
<file path=[Content_Types].xml><?xml version="1.0" encoding="utf-8"?>
<Types xmlns="http://schemas.openxmlformats.org/package/2006/content-types">
  <Default Extension="vml" ContentType="application/vnd.openxmlformats-officedocument.vmlDrawing"/>
  <Default Extension="png" ContentType="image/png"/>
  <Default Extension="wdp" ContentType="image/vnd.ms-photo"/>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olors1.xml" ContentType="application/vnd.ms-office.chartcolorstyle+xml"/>
  <Override PartName="/xl/charts/style1.xml" ContentType="application/vnd.ms-office.chartstyle+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showSheetTabs="0" windowWidth="15990" windowHeight="12105" tabRatio="841"/>
  </bookViews>
  <sheets>
    <sheet name="Home" sheetId="189" r:id="rId1"/>
    <sheet name="Summary" sheetId="244" r:id="rId2"/>
    <sheet name="Indicator_Ranking" sheetId="248" r:id="rId3"/>
    <sheet name="Scatter" sheetId="251" r:id="rId4"/>
    <sheet name="Scatter_InOut" sheetId="266" r:id="rId5"/>
    <sheet name="Scores" sheetId="261" r:id="rId6"/>
    <sheet name="CityProfile" sheetId="252" r:id="rId7"/>
    <sheet name="CityCompare" sheetId="107" r:id="rId8"/>
    <sheet name="CityScoreCard" sheetId="258" r:id="rId9"/>
    <sheet name="Weights" sheetId="27" r:id="rId10"/>
    <sheet name="uxb_works" sheetId="2" state="veryHidden" r:id="rId11"/>
    <sheet name="Data" sheetId="263" state="veryHidden" r:id="rId12"/>
    <sheet name="tblIndiSets" sheetId="5" state="veryHidden" r:id="rId13"/>
    <sheet name="iSummary" sheetId="245" state="veryHidden" r:id="rId14"/>
    <sheet name="iIndiRank" sheetId="249" state="veryHidden" r:id="rId15"/>
    <sheet name="iScatter" sheetId="250" state="veryHidden" r:id="rId16"/>
    <sheet name="iRatios" sheetId="264" state="veryHidden" r:id="rId17"/>
    <sheet name="iScatter_InOut" sheetId="265" state="veryHidden" r:id="rId18"/>
    <sheet name="iCityP" sheetId="253" state="veryHidden" r:id="rId19"/>
    <sheet name="iCityCompare" sheetId="105" state="veryHidden" r:id="rId20"/>
    <sheet name="iCCompSpider" sheetId="124" state="veryHidden" r:id="rId21"/>
    <sheet name="iCSCtbl" sheetId="260" state="veryHidden" r:id="rId22"/>
    <sheet name="iCityScoreCard" sheetId="259" state="veryHidden" r:id="rId23"/>
    <sheet name="tblIndicators_2014-O" sheetId="239" state="veryHidden" r:id="rId24"/>
    <sheet name="tblIndicators" sheetId="234" state="veryHidden" r:id="rId25"/>
    <sheet name="tblIndiSets_2014_O" sheetId="240" state="veryHidden" r:id="rId26"/>
    <sheet name="Scores_2014_O" sheetId="241" state="veryHidden" r:id="rId27"/>
    <sheet name="Data_2014_N" sheetId="7" state="veryHidden" r:id="rId28"/>
    <sheet name="Scores_2014_N" sheetId="6" state="veryHidden" r:id="rId29"/>
    <sheet name="Data_2017" sheetId="235" state="veryHidden" r:id="rId30"/>
    <sheet name="Scores_2017" sheetId="236" state="veryHidden" r:id="rId31"/>
    <sheet name="iWeights" sheetId="26" state="veryHidden" r:id="rId32"/>
    <sheet name="tblNavHist" sheetId="191" state="veryHidden" r:id="rId33"/>
    <sheet name="SheetNames" sheetId="190" state="veryHidden" r:id="rId34"/>
    <sheet name="tblCategories" sheetId="108" state="veryHidden" r:id="rId35"/>
    <sheet name="tblCategories_2014" sheetId="257" state="veryHidden" r:id="rId36"/>
    <sheet name="tblCategories_2017" sheetId="256" state="veryHidden" r:id="rId37"/>
    <sheet name="tblTerritories" sheetId="4" state="veryHidden" r:id="rId38"/>
    <sheet name="tblTerritories_2014_O" sheetId="247" state="veryHidden" r:id="rId39"/>
    <sheet name="tblTerritories_2014_N" sheetId="246" state="veryHidden" r:id="rId40"/>
    <sheet name="tblTerritories_2017" sheetId="238" state="veryHidden" r:id="rId41"/>
    <sheet name="Cities_list" sheetId="233" state="veryHidden" r:id="rId42"/>
    <sheet name="rScores_2014_O" sheetId="243" state="veryHidden" r:id="rId43"/>
    <sheet name="rScores_2014_N" sheetId="8" state="veryHidden" r:id="rId44"/>
    <sheet name="rScores_2017" sheetId="237" state="veryHidden" r:id="rId45"/>
  </sheets>
  <definedNames>
    <definedName name="_WeightProfile" hidden="1">OFFSET(iWeights!$A$84,uxb_works!$B$37,0)</definedName>
    <definedName name="aData_2014_N" hidden="1">Data_2014_N!$J$6:$BC$67</definedName>
    <definedName name="aData_2017" hidden="1">Data_2017!$J$6:$BR$67</definedName>
    <definedName name="aRank_2014_N" hidden="1">rScores_2014_N!$B$197:$AU$258</definedName>
    <definedName name="aRank_2014_O" hidden="1">rScores_2014_O!$B$179:$AY$234</definedName>
    <definedName name="aRank_2017" hidden="1">rScores_2017!$B$197:$BJ$258</definedName>
    <definedName name="aRankNumber_2014_N" hidden="1">rScores_2014_N!$B$67:$AU$128</definedName>
    <definedName name="aRankNumber_2014_O" hidden="1">rScores_2014_O!$B$61:$AY$116</definedName>
    <definedName name="aRankNumber_2017" hidden="1">rScores_2017!$B$67:$BJ$128</definedName>
    <definedName name="aRoundedScores_2014_N" hidden="1">rScores_2014_N!$B$2:$AU$63</definedName>
    <definedName name="aScores_2014_N" hidden="1">Scores_2014_N!$P$6:$BI$67</definedName>
    <definedName name="aScores_2014_O" hidden="1">Scores_2014_O!$P$6:$BM$61</definedName>
    <definedName name="aScores_2017" hidden="1">Scores_2017!$P$6:$BX$67</definedName>
    <definedName name="aScoresAverage_2014_N" hidden="1">rScores_2014_N!$AW$2:$AW$63</definedName>
    <definedName name="lu_Cities_2014_N" hidden="1">tblTerritories_2014_N!$C$3:$C$48</definedName>
    <definedName name="lu_Cities_2014_O" hidden="1">tblTerritories_2014_O!$C$3:$C$52</definedName>
    <definedName name="lu_Cities_2017" hidden="1">tblTerritories_2017!$C$3:$C$63</definedName>
    <definedName name="lu_indicode" hidden="1">tblIndicators!$F$2:$F$63</definedName>
    <definedName name="LuCities" hidden="1">OFFSET(tblTerritories!$C$3,0,0,uxb_works!$B$1,1)</definedName>
    <definedName name="LuCitiesPlusNone" hidden="1">OFFSET(tblTerritories!$C$2,0,0,uxb_works!$B$1+1,1)</definedName>
    <definedName name="luCountry_Status" hidden="1">OFFSET(luCountries,0,1)</definedName>
    <definedName name="luIndicators" hidden="1">OFFSET(tblIndiSets!$B$175,0,0,tblIndiSets!$B$173,1)</definedName>
    <definedName name="luPopFilter" hidden="1">tblTerritories!$AK$3:$AK$7</definedName>
    <definedName name="luRegions" hidden="1">tblTerritories!$S$4:$S$9</definedName>
    <definedName name="luRegionsPlusNone" hidden="1">tblTerritories!$S$3:$S$9</definedName>
    <definedName name="WeightsValues" hidden="1">OFFSET(WeightsCode,0,4)</definedName>
    <definedName name="Year_Select" hidden="1">tblIndiSets!$B$167:$B$169</definedName>
  </definedNames>
  <calcPr calcId="144525"/>
</workbook>
</file>

<file path=xl/sharedStrings.xml><?xml version="1.0" encoding="utf-8"?>
<sst xmlns="http://schemas.openxmlformats.org/spreadsheetml/2006/main" count="3586" uniqueCount="1020">
  <si>
    <t>Zoom</t>
  </si>
  <si>
    <t>Full screen</t>
  </si>
  <si>
    <t>Select a zoom level appropriate for your display.</t>
  </si>
  <si>
    <t>To maximise the viewing area, click for Full-Screen mode.</t>
  </si>
  <si>
    <t>Press Escape to return to normal display mode.</t>
  </si>
  <si>
    <t>Selected zoom will be applied to all worksheets.</t>
  </si>
  <si>
    <t>Sponsored by</t>
  </si>
  <si>
    <t>Average</t>
  </si>
  <si>
    <t>r</t>
  </si>
  <si>
    <t>S</t>
  </si>
  <si>
    <t>R</t>
  </si>
  <si>
    <t>DISTRIBUTION</t>
  </si>
  <si>
    <t>Units</t>
  </si>
  <si>
    <t>Definition</t>
  </si>
  <si>
    <t>Rank</t>
  </si>
  <si>
    <t>City</t>
  </si>
  <si>
    <t>Score / 100</t>
  </si>
  <si>
    <t>Score Visualisation</t>
  </si>
  <si>
    <t>CORRELATION(X,Y)</t>
  </si>
  <si>
    <t>INPUT INDICATORS</t>
  </si>
  <si>
    <t>OUTPUT INDICATORS</t>
  </si>
  <si>
    <t>Weight</t>
  </si>
  <si>
    <t>“=” denotes tied score</t>
  </si>
  <si>
    <t>Select indicator range</t>
  </si>
  <si>
    <t>Score</t>
  </si>
  <si>
    <t>Data</t>
  </si>
  <si>
    <t>Rank*</t>
  </si>
  <si>
    <t>OVERALL SCORE</t>
  </si>
  <si>
    <t>SELECT WEIGHT PROFILE</t>
  </si>
  <si>
    <t>`</t>
  </si>
  <si>
    <t>MAIN CATEGORIES</t>
  </si>
  <si>
    <t>Weight %</t>
  </si>
  <si>
    <t>INDICATORS</t>
  </si>
  <si>
    <t>SUB INDICATORS</t>
  </si>
  <si>
    <t>TERRITORY_COUNT</t>
  </si>
  <si>
    <t>Remove Kyoto</t>
  </si>
  <si>
    <t>REGION COUNT</t>
  </si>
  <si>
    <t>MAIN_DP</t>
  </si>
  <si>
    <t>WEIGHT_PROFILE_ID</t>
  </si>
  <si>
    <t>WEIGHT_ID_2</t>
  </si>
  <si>
    <t>plus none</t>
  </si>
  <si>
    <t>ignore none</t>
  </si>
  <si>
    <t>saved city</t>
  </si>
  <si>
    <t>2014_O</t>
  </si>
  <si>
    <t>2014_N</t>
  </si>
  <si>
    <t>CITY_HIGHLIGHT_DD</t>
  </si>
  <si>
    <t>&lt;none&gt;</t>
  </si>
  <si>
    <t>CITY_HIGHLIGHT_ID</t>
  </si>
  <si>
    <t>GROUP_HIGHLIGHT_DD_PLUS_NONE</t>
  </si>
  <si>
    <t>GROUP_HIGHLIGHT_DD</t>
  </si>
  <si>
    <t>GROUP_FILTER_ID1</t>
  </si>
  <si>
    <t>Not Applicable</t>
  </si>
  <si>
    <t>Group_Filter_2</t>
  </si>
  <si>
    <t>Income_Highlight</t>
  </si>
  <si>
    <t>Population_Filter</t>
  </si>
  <si>
    <t>NUMBER_OF_INDICATORS+SUBS</t>
  </si>
  <si>
    <t>Indicator Ranking</t>
  </si>
  <si>
    <t>Indi Name</t>
  </si>
  <si>
    <t>Indi Level</t>
  </si>
  <si>
    <t>Format</t>
  </si>
  <si>
    <t>Child</t>
  </si>
  <si>
    <t>Parent</t>
  </si>
  <si>
    <t>Ref</t>
  </si>
  <si>
    <t>INDI_ID</t>
  </si>
  <si>
    <t>Indi_ID</t>
  </si>
  <si>
    <t>CITY PROFILE</t>
  </si>
  <si>
    <t>Code</t>
  </si>
  <si>
    <t>CoreRegionID</t>
  </si>
  <si>
    <t>Note</t>
  </si>
  <si>
    <t>CITY1_ID</t>
  </si>
  <si>
    <t>Abu Dhabi</t>
  </si>
  <si>
    <t>CITY2_ID</t>
  </si>
  <si>
    <t>CITY3_ID</t>
  </si>
  <si>
    <t>Indicator _Toggle</t>
  </si>
  <si>
    <t>IND_SUB_INDI</t>
  </si>
  <si>
    <t>SCATTER</t>
  </si>
  <si>
    <t>Max</t>
  </si>
  <si>
    <t>INDI_1</t>
  </si>
  <si>
    <t>INDI_2</t>
  </si>
  <si>
    <t>BG_DATA</t>
  </si>
  <si>
    <t>SHOW_LABELS</t>
  </si>
  <si>
    <t>SHOW_OUTLIERS</t>
  </si>
  <si>
    <t>CHANGE_IN_WEIGHT</t>
  </si>
  <si>
    <t>US_CITY_COMPARE</t>
  </si>
  <si>
    <t>Int_CITY_Comp_Indi</t>
  </si>
  <si>
    <t>Int_CITY_Compare_01</t>
  </si>
  <si>
    <t>COMPARE_YES/NO</t>
  </si>
  <si>
    <t>SCORECARD_TOGGLE</t>
  </si>
  <si>
    <t>YEAR_SELECT</t>
  </si>
  <si>
    <t>COMPARE_YEAR</t>
  </si>
  <si>
    <t>INPUT/OUTPUT</t>
  </si>
  <si>
    <t>70% (recommended for 1024 width displays)</t>
  </si>
  <si>
    <t>100% (recommended for wide screen displays)</t>
  </si>
  <si>
    <t>ZOOM</t>
  </si>
  <si>
    <t>MODE</t>
  </si>
  <si>
    <t>PRODUCTION</t>
  </si>
  <si>
    <t>Weight_Compare</t>
  </si>
  <si>
    <t>Indicator</t>
  </si>
  <si>
    <t>WEIGHT_COMP</t>
  </si>
  <si>
    <t>Order</t>
  </si>
  <si>
    <t>KYOYO_ON_OFF</t>
  </si>
  <si>
    <t>1 = On, 0 = Off</t>
  </si>
  <si>
    <t>nav_historyID</t>
  </si>
  <si>
    <t>PAGE_HOME</t>
  </si>
  <si>
    <t>Home,</t>
  </si>
  <si>
    <t>SHEET_SET_ON_OPEN</t>
  </si>
  <si>
    <t>SHEET_SET_0</t>
  </si>
  <si>
    <t>SHEET_SET_1</t>
  </si>
  <si>
    <t>Summary,</t>
  </si>
  <si>
    <t>SHEET_SET_2</t>
  </si>
  <si>
    <t>Indicator_Ranking,Scatter,Scatter_InOut,Scores,</t>
  </si>
  <si>
    <t>SHEET_SET_3</t>
  </si>
  <si>
    <t>CityProfile,CityCompare,CityScoreCard,</t>
  </si>
  <si>
    <t>SHEET_SET_4</t>
  </si>
  <si>
    <t>Weights,</t>
  </si>
  <si>
    <t>SHEET_SET_5</t>
  </si>
  <si>
    <t>SHEET_SET_6</t>
  </si>
  <si>
    <t>SHEET_SET_7</t>
  </si>
  <si>
    <t>SHEET_SET_8</t>
  </si>
  <si>
    <t>SHEET_SET_9</t>
  </si>
  <si>
    <t>SHEET_SET_10</t>
  </si>
  <si>
    <t>Text0</t>
  </si>
  <si>
    <t>Due to additional indicators and updated data sources, the published 2014 scores and ranks are not directly comparable to the updated indices'</t>
  </si>
  <si>
    <t>Text 1</t>
  </si>
  <si>
    <t>Normalised scores 0-100, where 100 = most favourable conditions</t>
  </si>
  <si>
    <t>Text 2</t>
  </si>
  <si>
    <t>SCORE_TEXT</t>
  </si>
  <si>
    <r>
      <rPr>
        <sz val="11"/>
        <color theme="1"/>
        <rFont val="Calibri"/>
        <charset val="134"/>
        <scheme val="minor"/>
      </rPr>
      <t>In the Safe City Index, scores of 0 and 100 represent the lowest and highest possible score, respectively, as measured by the index criteria. Scores are normalized (0-100, where 100=most favorable environment)</t>
    </r>
    <r>
      <rPr>
        <i/>
        <sz val="14"/>
        <color rgb="FF000000"/>
        <rFont val="Calibri"/>
        <charset val="134"/>
        <scheme val="minor"/>
      </rPr>
      <t xml:space="preserve"> </t>
    </r>
  </si>
  <si>
    <t>WEIGHT_TEXT</t>
  </si>
  <si>
    <t>Change weights by editing the numbers highlighted in yellow. Metrics with higher numbers will be weighted more heavily, while setting a number to zero will completely remove the influence of a category, indicator or subindicator.</t>
  </si>
  <si>
    <t>TITLE</t>
  </si>
  <si>
    <t>Safe Cities Index: 2017</t>
  </si>
  <si>
    <t>HEADER_01</t>
  </si>
  <si>
    <t>SUMMARY</t>
  </si>
  <si>
    <t>INDICATOR EXPLORER</t>
  </si>
  <si>
    <t>CITY EXPLORER</t>
  </si>
  <si>
    <t>WEIGHTS</t>
  </si>
  <si>
    <t>SPARE1</t>
  </si>
  <si>
    <t>SUB_2_1</t>
  </si>
  <si>
    <t>INDICATOR RANKING</t>
  </si>
  <si>
    <t>SUB_2_2</t>
  </si>
  <si>
    <t>SUB_2_3</t>
  </si>
  <si>
    <t>OUTPUT / INPUT</t>
  </si>
  <si>
    <t>SUB_2_4</t>
  </si>
  <si>
    <t>SCORES</t>
  </si>
  <si>
    <t>SUB_2_5</t>
  </si>
  <si>
    <t>SPARE2</t>
  </si>
  <si>
    <t>SUB_3_1</t>
  </si>
  <si>
    <t>SUB_3_2</t>
  </si>
  <si>
    <t>CITY COMPARE</t>
  </si>
  <si>
    <t>SUB_3_3</t>
  </si>
  <si>
    <t>CITY SCORECARD</t>
  </si>
  <si>
    <t>SUB_3_4</t>
  </si>
  <si>
    <t>SUB_3_5</t>
  </si>
  <si>
    <t>DATA</t>
  </si>
  <si>
    <t>SPARE3</t>
  </si>
  <si>
    <t>Scatter_Ratios</t>
  </si>
  <si>
    <t>Select Series</t>
  </si>
  <si>
    <t>level</t>
  </si>
  <si>
    <t>Name</t>
  </si>
  <si>
    <t>CATEGORIES</t>
  </si>
  <si>
    <t>DO NOT DELETE</t>
  </si>
  <si>
    <t>OVERALL</t>
  </si>
  <si>
    <t>DISE</t>
  </si>
  <si>
    <t>DISE1.1</t>
  </si>
  <si>
    <t>HESE</t>
  </si>
  <si>
    <t>DISE1.1.1</t>
  </si>
  <si>
    <t>INSE</t>
  </si>
  <si>
    <t>DISE1.2</t>
  </si>
  <si>
    <t>DISE1.1.2</t>
  </si>
  <si>
    <t>PESE</t>
  </si>
  <si>
    <t>DISE1.1.3</t>
  </si>
  <si>
    <t>HESE2.1</t>
  </si>
  <si>
    <t>DISE1.1.4</t>
  </si>
  <si>
    <t>HESE2.2</t>
  </si>
  <si>
    <t>DISE1.1.5</t>
  </si>
  <si>
    <t>CATEGORIES + INDICATORS + SUB_INDICATORS</t>
  </si>
  <si>
    <t>INSE3.1</t>
  </si>
  <si>
    <t>DISE1.2.1</t>
  </si>
  <si>
    <t>INSE3.2</t>
  </si>
  <si>
    <t>DISE1.2.2</t>
  </si>
  <si>
    <t>DISE1.2.3</t>
  </si>
  <si>
    <t>PESE4.1</t>
  </si>
  <si>
    <t>PESE4.2</t>
  </si>
  <si>
    <t>HESE2.1.1</t>
  </si>
  <si>
    <t>HESE2.1.2</t>
  </si>
  <si>
    <t>HESE2.1.3</t>
  </si>
  <si>
    <t>HESE2.1.4</t>
  </si>
  <si>
    <t>HESE2.1.5</t>
  </si>
  <si>
    <t>HESE2.1.6</t>
  </si>
  <si>
    <t>HESE2.2.1</t>
  </si>
  <si>
    <t>HESE2.2.2</t>
  </si>
  <si>
    <t>HESE2.2.3</t>
  </si>
  <si>
    <t>HESE2.2.4</t>
  </si>
  <si>
    <t>HESE2.2.5</t>
  </si>
  <si>
    <t>HESE2.2.6</t>
  </si>
  <si>
    <t>HESE2.2.7</t>
  </si>
  <si>
    <t>INSE3.1.1</t>
  </si>
  <si>
    <t>INSE3.1.2</t>
  </si>
  <si>
    <t>INSE3.1.3</t>
  </si>
  <si>
    <t>INSE3.1.4</t>
  </si>
  <si>
    <t>INSE3.1.5</t>
  </si>
  <si>
    <t>INSE3.2.1</t>
  </si>
  <si>
    <t>INSE3.2.2</t>
  </si>
  <si>
    <t>INSE3.2.3</t>
  </si>
  <si>
    <t>INSE3.2.5</t>
  </si>
  <si>
    <t>INSE3.2.6</t>
  </si>
  <si>
    <t>INSE3.2.4</t>
  </si>
  <si>
    <t>PESE4.1.1</t>
  </si>
  <si>
    <t>PESE4.1.2</t>
  </si>
  <si>
    <t>PESE4.1.3</t>
  </si>
  <si>
    <t>PESE4.1.4</t>
  </si>
  <si>
    <t>PESE4.1.5</t>
  </si>
  <si>
    <t>PESE4.1.6</t>
  </si>
  <si>
    <t>PESE4.1.7</t>
  </si>
  <si>
    <t>PESE4.2.1.</t>
  </si>
  <si>
    <t>PESE4.2.2</t>
  </si>
  <si>
    <t>PESE4.2.4</t>
  </si>
  <si>
    <t>PESE4.2.5</t>
  </si>
  <si>
    <t>PESE4.2.6</t>
  </si>
  <si>
    <t>PESE4.2.3</t>
  </si>
  <si>
    <t>PESE4.2.7</t>
  </si>
  <si>
    <t>PESE4.2.8</t>
  </si>
  <si>
    <t>PESE4.2.9</t>
  </si>
  <si>
    <t>PESE4.2.10</t>
  </si>
  <si>
    <t>PESE4.2.11</t>
  </si>
  <si>
    <t>PESE4.2.1</t>
  </si>
  <si>
    <t>PESE4.2.12</t>
  </si>
  <si>
    <t>CATEGORIES + INDICATORS (SCORING ONES ONLY)</t>
  </si>
  <si>
    <t>INDICATORS + SUB_INDICATORS (SCORING ONES ONLY)</t>
  </si>
  <si>
    <t>City Compare Spider</t>
  </si>
  <si>
    <t>VIEW ALL</t>
  </si>
  <si>
    <t>YEARS</t>
  </si>
  <si>
    <t>data name</t>
  </si>
  <si>
    <t>score name</t>
  </si>
  <si>
    <t>City List</t>
  </si>
  <si>
    <t>Rank List</t>
  </si>
  <si>
    <t>2015 Original</t>
  </si>
  <si>
    <t>aData_2014_O</t>
  </si>
  <si>
    <t>aScores_2014_O</t>
  </si>
  <si>
    <t>lu_Cities_2014_O</t>
  </si>
  <si>
    <t>aRankNumber_2014_O</t>
  </si>
  <si>
    <t>aRank_2014_O</t>
  </si>
  <si>
    <t>2015 Updated</t>
  </si>
  <si>
    <t>aData_2014_N</t>
  </si>
  <si>
    <t>aScores_2014_N</t>
  </si>
  <si>
    <t>lu_Cities_2014_N</t>
  </si>
  <si>
    <t>aRankNumber_2014_N</t>
  </si>
  <si>
    <t>aRank_2014_N</t>
  </si>
  <si>
    <t>aData_2017</t>
  </si>
  <si>
    <t>aScores_2017</t>
  </si>
  <si>
    <t>lu_Cities_2017</t>
  </si>
  <si>
    <t>aRankNumber_2017</t>
  </si>
  <si>
    <t>aRank_2017</t>
  </si>
  <si>
    <t>DROP_DOWN)INDI_LIST</t>
  </si>
  <si>
    <t>2014_N &amp; 2017</t>
  </si>
  <si>
    <t>Level Select</t>
  </si>
  <si>
    <t>Sector</t>
  </si>
  <si>
    <t>Sub-Indicator</t>
  </si>
  <si>
    <t xml:space="preserve"> 1) DIGITAL SECURITY</t>
  </si>
  <si>
    <t xml:space="preserve">  1.1) Digital Security (Inputs)</t>
  </si>
  <si>
    <t xml:space="preserve">   1.1.1) Privacy policy</t>
  </si>
  <si>
    <t xml:space="preserve">   1.1.2) Citizen awareness of digital threats</t>
  </si>
  <si>
    <t xml:space="preserve">   1.1.3) Public-private partnerships</t>
  </si>
  <si>
    <t xml:space="preserve">   1.1.4) Level of technology employed</t>
  </si>
  <si>
    <t xml:space="preserve">   1.1.5) Dedicated cyber security teams</t>
  </si>
  <si>
    <t xml:space="preserve">  1.2) Digital Security (Outputs)</t>
  </si>
  <si>
    <t xml:space="preserve">   1.2.1) Frequency of identity theft</t>
  </si>
  <si>
    <t xml:space="preserve">   1.2.2) Percentage of computers infected</t>
  </si>
  <si>
    <t xml:space="preserve">   1.2.3) Percent with internet access</t>
  </si>
  <si>
    <t xml:space="preserve"> 2) HEALTH SECURITY</t>
  </si>
  <si>
    <t xml:space="preserve">  2.1) Health Security (Inputs)</t>
  </si>
  <si>
    <t xml:space="preserve">   2.1.1) Environmental policies</t>
  </si>
  <si>
    <t xml:space="preserve">   2.1.2) Access to healthcare</t>
  </si>
  <si>
    <t xml:space="preserve">   2.1.3) No. of beds per 1000</t>
  </si>
  <si>
    <t xml:space="preserve">   2.1.4) Number of doctors per 1000</t>
  </si>
  <si>
    <t xml:space="preserve">   2.1.5) Access to safe and quality food</t>
  </si>
  <si>
    <t xml:space="preserve">   2.1.6) Quality of health services</t>
  </si>
  <si>
    <t xml:space="preserve">  2.2) Health Security (Outputs)</t>
  </si>
  <si>
    <t xml:space="preserve">   2.2.1) Air quality</t>
  </si>
  <si>
    <t xml:space="preserve">   2.2.2) Water quality</t>
  </si>
  <si>
    <t xml:space="preserve">   2.2.3) Life expectancy</t>
  </si>
  <si>
    <t xml:space="preserve">   2.2.4) Infant mortality (deaths per 1,000 live births)</t>
  </si>
  <si>
    <t xml:space="preserve">   2.2.5) Cancer mortality rate ( Cancer deaths per 100,000)</t>
  </si>
  <si>
    <t>x</t>
  </si>
  <si>
    <t xml:space="preserve"> 3) INFRASTRUCTURE SAFETY</t>
  </si>
  <si>
    <t xml:space="preserve">  3.1) Infrastructure Safety (Inputs)</t>
  </si>
  <si>
    <t xml:space="preserve">   3.1.1) Enforcement of transport safety</t>
  </si>
  <si>
    <t xml:space="preserve">   3.1.2) Pedestrian friendliness</t>
  </si>
  <si>
    <t xml:space="preserve">   3.1.3) Quality of road infrastructure</t>
  </si>
  <si>
    <t xml:space="preserve">   3.1.4) Quality of electricity infrastructure</t>
  </si>
  <si>
    <t xml:space="preserve">   3.1.5) Disaster Management/Business Continuity Plan</t>
  </si>
  <si>
    <t xml:space="preserve">  3.2) Infrastructure Safety (Outputs)</t>
  </si>
  <si>
    <t xml:space="preserve">   3.2.1) Death from natural disasters</t>
  </si>
  <si>
    <t xml:space="preserve">   3.2.2) Frequency of vehicular accidents</t>
  </si>
  <si>
    <t xml:space="preserve">   3.2.3) Frequency of pedestrian deaths</t>
  </si>
  <si>
    <t xml:space="preserve">   3.2.4) Percent living in urban slums</t>
  </si>
  <si>
    <t xml:space="preserve"> 4) PERSONAL SAFETY</t>
  </si>
  <si>
    <t xml:space="preserve">  4.1) Personal Safety (Inputs)</t>
  </si>
  <si>
    <t xml:space="preserve">   4.1.1) Level of police engagement</t>
  </si>
  <si>
    <t xml:space="preserve">   4.1.2) Community-based patrolling</t>
  </si>
  <si>
    <t xml:space="preserve">   4.1.3) Availability of street-level crime data</t>
  </si>
  <si>
    <t xml:space="preserve">   4.1.4) Use of data-driven techniques for crime</t>
  </si>
  <si>
    <t xml:space="preserve">   4.1.5) Private security measures</t>
  </si>
  <si>
    <t xml:space="preserve">   4.1.6) Gun regulation and enforcement</t>
  </si>
  <si>
    <t xml:space="preserve">   4.1.7) Political Stability Risk</t>
  </si>
  <si>
    <t xml:space="preserve">  4.2) Personal Safety (Outputs)</t>
  </si>
  <si>
    <t xml:space="preserve">   4.2.1) Prevalence of petty crime</t>
  </si>
  <si>
    <t xml:space="preserve">   4.2.2) Prevalence of violence crime</t>
  </si>
  <si>
    <t xml:space="preserve">   4.2.3) Criminal gang activity</t>
  </si>
  <si>
    <t xml:space="preserve">   4.2.4) Level of corruption in police force</t>
  </si>
  <si>
    <t xml:space="preserve">   4.2.5) Rate of drug use</t>
  </si>
  <si>
    <t xml:space="preserve">   4.2.6) Frequency of terrorist attacks</t>
  </si>
  <si>
    <t>4.2.8</t>
  </si>
  <si>
    <t xml:space="preserve">   4.2.7) Gender safety</t>
  </si>
  <si>
    <t>4.2.9</t>
  </si>
  <si>
    <t xml:space="preserve">   4.2.8) Perceptions of safety</t>
  </si>
  <si>
    <t>All tiers</t>
  </si>
  <si>
    <t>2014 Original</t>
  </si>
  <si>
    <t>Rounding</t>
  </si>
  <si>
    <t>IN/OUT Group</t>
  </si>
  <si>
    <t>IsRegion</t>
  </si>
  <si>
    <t>ActiveStatus</t>
  </si>
  <si>
    <t>All Tiers</t>
  </si>
  <si>
    <t>Row Number of Year Compare</t>
  </si>
  <si>
    <t>Change in Score</t>
  </si>
  <si>
    <t>Change in Rank</t>
  </si>
  <si>
    <t>LU</t>
  </si>
  <si>
    <t>RankRounded</t>
  </si>
  <si>
    <t>Delta score</t>
  </si>
  <si>
    <t>Symbol</t>
  </si>
  <si>
    <t>Delta Rank</t>
  </si>
  <si>
    <t>Level</t>
  </si>
  <si>
    <t>Compared index Indi Number</t>
  </si>
  <si>
    <t>SHOW_DATA</t>
  </si>
  <si>
    <t>ALL UNFILTERED DATA POINTS</t>
  </si>
  <si>
    <t>REGION HIGHLIGHT DATAPOINTS</t>
  </si>
  <si>
    <t>City HIGHLIGHT</t>
  </si>
  <si>
    <t>Status</t>
  </si>
  <si>
    <t>Score (unrounded)</t>
  </si>
  <si>
    <t>Rank unrounded</t>
  </si>
  <si>
    <t>yScatter</t>
  </si>
  <si>
    <t>Isna</t>
  </si>
  <si>
    <t>Score Display</t>
  </si>
  <si>
    <t>X</t>
  </si>
  <si>
    <t>Y</t>
  </si>
  <si>
    <t>X-Highlight</t>
  </si>
  <si>
    <t>HAS_SUB_INDICATORS</t>
  </si>
  <si>
    <t>Tier Filter</t>
  </si>
  <si>
    <t>Region</t>
  </si>
  <si>
    <t>Less Than</t>
  </si>
  <si>
    <t>INDI_X</t>
  </si>
  <si>
    <t>INDI_Y</t>
  </si>
  <si>
    <t>City_HIGHLIGHT_ID</t>
  </si>
  <si>
    <t>BG6 Header at</t>
  </si>
  <si>
    <t>BG7 Header at</t>
  </si>
  <si>
    <t>X-LABEL</t>
  </si>
  <si>
    <t>Y-LABEL</t>
  </si>
  <si>
    <t>SLOPE</t>
  </si>
  <si>
    <t>INTERCEPT</t>
  </si>
  <si>
    <t>CORREL</t>
  </si>
  <si>
    <t>ERROR CORREL</t>
  </si>
  <si>
    <t>Raw data</t>
  </si>
  <si>
    <t>Allowable?</t>
  </si>
  <si>
    <t>Don't allow blanks or errors</t>
  </si>
  <si>
    <t>Anticipated</t>
  </si>
  <si>
    <t>CityHighlight</t>
  </si>
  <si>
    <t>Labels</t>
  </si>
  <si>
    <t>Base (unhighlighted)</t>
  </si>
  <si>
    <t>Highlighted</t>
  </si>
  <si>
    <t>City_ID</t>
  </si>
  <si>
    <t>STATUS</t>
  </si>
  <si>
    <t>Diff</t>
  </si>
  <si>
    <t>CityID</t>
  </si>
  <si>
    <t>Label</t>
  </si>
  <si>
    <t>Include?</t>
  </si>
  <si>
    <t>Max Outlier</t>
  </si>
  <si>
    <t>Target</t>
  </si>
  <si>
    <t>Min Outlier</t>
  </si>
  <si>
    <t>Ratios</t>
  </si>
  <si>
    <t>Active</t>
  </si>
  <si>
    <t>Scores</t>
  </si>
  <si>
    <t>y</t>
  </si>
  <si>
    <t>IN - 2017</t>
  </si>
  <si>
    <t>1) DIGITAL SECURITY</t>
  </si>
  <si>
    <t>2) HEALTH SECURITY</t>
  </si>
  <si>
    <t>3) INFRASTRUCTURE SECURITY</t>
  </si>
  <si>
    <t>4) PERSONAL SECURITY</t>
  </si>
  <si>
    <t>OUT - 2017</t>
  </si>
  <si>
    <t>INPUT SCORES</t>
  </si>
  <si>
    <t>OUTPUT SCORES</t>
  </si>
  <si>
    <t>CITY_COUNT</t>
  </si>
  <si>
    <t>Score  / 100</t>
  </si>
  <si>
    <t>Rank Equality</t>
  </si>
  <si>
    <t>Highest</t>
  </si>
  <si>
    <t>Lowest</t>
  </si>
  <si>
    <t>SET 0 = Indi, 1 = Sub-indi</t>
  </si>
  <si>
    <t>Higher Band (scores &gt;=75)</t>
  </si>
  <si>
    <t>Modest Band (scores 25-75)</t>
  </si>
  <si>
    <t>Lower Band (scores &lt;=25)</t>
  </si>
  <si>
    <t>Rank equal</t>
  </si>
  <si>
    <t>Band</t>
  </si>
  <si>
    <t>Overall Score</t>
  </si>
  <si>
    <t>rank</t>
  </si>
  <si>
    <t>Total</t>
  </si>
  <si>
    <t>city 1</t>
  </si>
  <si>
    <t>city 2</t>
  </si>
  <si>
    <t>city 3</t>
  </si>
  <si>
    <t>city 4</t>
  </si>
  <si>
    <t>city1</t>
  </si>
  <si>
    <t>city2</t>
  </si>
  <si>
    <t>city3</t>
  </si>
  <si>
    <t>city4</t>
  </si>
  <si>
    <t>Min</t>
  </si>
  <si>
    <t>Rank Numbers</t>
  </si>
  <si>
    <t>Rank`</t>
  </si>
  <si>
    <t>units</t>
  </si>
  <si>
    <t>Star</t>
  </si>
  <si>
    <t>City 1</t>
  </si>
  <si>
    <t>City 2</t>
  </si>
  <si>
    <t>IndiID</t>
  </si>
  <si>
    <t>IndiCode</t>
  </si>
  <si>
    <t>IndiParent</t>
  </si>
  <si>
    <t>Depth</t>
  </si>
  <si>
    <t>IsRef</t>
  </si>
  <si>
    <t>IndiRef</t>
  </si>
  <si>
    <t>Indicator/subindicator</t>
  </si>
  <si>
    <t>Categories/indicators/sub-indicators</t>
  </si>
  <si>
    <t>Description/why is it included?</t>
  </si>
  <si>
    <t>Definition/units</t>
  </si>
  <si>
    <t>Source(s)</t>
  </si>
  <si>
    <t>Score_System, 1 = weighted sum of scores, 2 = norm based on actual max/min, 3 = norm based on fixed max/min</t>
  </si>
  <si>
    <t>Score_Param1 (0=High Is Good)</t>
  </si>
  <si>
    <t>Score_Param2</t>
  </si>
  <si>
    <t>Score_Param3</t>
  </si>
  <si>
    <t>Default_Weight</t>
  </si>
  <si>
    <t>DP</t>
  </si>
  <si>
    <t>Spare#1</t>
  </si>
  <si>
    <t>Spare#2</t>
  </si>
  <si>
    <t>Spare#3</t>
  </si>
  <si>
    <t>Notes</t>
  </si>
  <si>
    <t>INDENT_DESC</t>
  </si>
  <si>
    <t>NUMFORMAT</t>
  </si>
  <si>
    <t>Active_Weight_Nom</t>
  </si>
  <si>
    <t>Active_Weight</t>
  </si>
  <si>
    <t>TOTAL</t>
  </si>
  <si>
    <t>Weighted sum of the category scores;
1) Knowledge-skill base
2) Creative destruction
3) Appropriate institutions
4) Innovation</t>
  </si>
  <si>
    <t>Ratio of the weighted sum of the output category scores (1 to 3 below) over the input category score (Innovation);
1) Knowledge-skill base
2) Creative destruction
3) Appropriate institutions
4) Innovation</t>
  </si>
  <si>
    <t>DIGSEC</t>
  </si>
  <si>
    <t>Category</t>
  </si>
  <si>
    <t>Category index score, weighted sum of the 2 sub-category scores:
1) Digital Security (Inputs)
2) Digital Security (Outputs)</t>
  </si>
  <si>
    <t>Weighted sum of underlying sub-category scores;</t>
  </si>
  <si>
    <t>DIGSEC_IP</t>
  </si>
  <si>
    <t>Sub-Category</t>
  </si>
  <si>
    <t>Digital Security (Inputs)</t>
  </si>
  <si>
    <t>Sub-category index score, weighted sum of the 5 indicator scores.
1) Privacy policy 
2) Citizen awareness of digital threats
3) Public-private partnerships
4) Level of technology employed
5) Dedicated cyber security teams</t>
  </si>
  <si>
    <t>Weighted sum of underlying indicator scores;</t>
  </si>
  <si>
    <t>TBA</t>
  </si>
  <si>
    <t>DIGSEC_IP_01</t>
  </si>
  <si>
    <t>1.1.1</t>
  </si>
  <si>
    <t>Privacy policy</t>
  </si>
  <si>
    <t>1=most restricted, 5=least restricted</t>
  </si>
  <si>
    <t>Scale 0-5</t>
  </si>
  <si>
    <t>DIGSEC_IP_02</t>
  </si>
  <si>
    <t>1.1.2</t>
  </si>
  <si>
    <t>Citizen awareness of digital threats</t>
  </si>
  <si>
    <t>Scale 0-2 (0- No/Minimal initiatives/Initiatives not evident, 1- Country level initiatives for digital threat awareness, 2- Has both country and state/province/city level initiatives for digital threat awareness)</t>
  </si>
  <si>
    <t>Scale 0-3</t>
  </si>
  <si>
    <t>DIGSEC_IP_03</t>
  </si>
  <si>
    <t>1.1.3</t>
  </si>
  <si>
    <t>Public-private partnerships</t>
  </si>
  <si>
    <t>0-No such partnerships, 1- Only has country level partnerships, 2- Has both country and state/province/city level partnerships</t>
  </si>
  <si>
    <t>Scale 0-2</t>
  </si>
  <si>
    <t>DIGSEC_IP_04</t>
  </si>
  <si>
    <t>1.1.4</t>
  </si>
  <si>
    <t>Level of technology employed</t>
  </si>
  <si>
    <t xml:space="preserve">Scored 0-50-75-100 </t>
  </si>
  <si>
    <t>Scale 0-100</t>
  </si>
  <si>
    <t>DIGSEC_IP_05</t>
  </si>
  <si>
    <t>1.1.5</t>
  </si>
  <si>
    <t>Dedicated cyber security teams</t>
  </si>
  <si>
    <t>0-No dedicated teams, 1- Country level dedicated teams to combat cybercrime, 2- Has both country and state/province/city level dedicated teams to combat cybercrime</t>
  </si>
  <si>
    <t>DIGSEC_OP</t>
  </si>
  <si>
    <t>Sub Category</t>
  </si>
  <si>
    <t>Digital Security (Outputs)</t>
  </si>
  <si>
    <t>Sub-category index score, weighted sum of the 3 indicator scores.
1) Frequency of identity theft (to be discussed again)
2) Money lost due to cybercrime (to be discussed again)
3) Percent with internet access</t>
  </si>
  <si>
    <t>DIGSEC_OP_01</t>
  </si>
  <si>
    <t>1.2.1</t>
  </si>
  <si>
    <t>Frequency of identity theft</t>
  </si>
  <si>
    <t>Population reporting</t>
  </si>
  <si>
    <t>%</t>
  </si>
  <si>
    <t>DIGSEC_OP_02</t>
  </si>
  <si>
    <t>1.2.2</t>
  </si>
  <si>
    <t>Percentage of computers infected</t>
  </si>
  <si>
    <t>Scale 1-5 (1 best, 5 worst)</t>
  </si>
  <si>
    <t>DIGSEC_OP_03</t>
  </si>
  <si>
    <t>1.2.3</t>
  </si>
  <si>
    <t>Percent with internet access</t>
  </si>
  <si>
    <t xml:space="preserve">% of city population </t>
  </si>
  <si>
    <t>HELSEC</t>
  </si>
  <si>
    <t>Category index score, weighted sum of the 2 sub-category scores:
1) Health Security (Inputs)
2) Health Security (Outputs)</t>
  </si>
  <si>
    <t>Weighted sum of underlying sub-category scores.</t>
  </si>
  <si>
    <t>HELSEC_IP</t>
  </si>
  <si>
    <t>Health Security (Inputs)</t>
  </si>
  <si>
    <t>Sub-category index score, weighted sum of the 6 indicator scores.
1) Environmental policies
2) Access to healthcare
3) No. of beds per 1000
4) Number of doctors per 1000
5) Access to safe and quality food
6) Quality of health services</t>
  </si>
  <si>
    <t>HELSEC_IP_01</t>
  </si>
  <si>
    <t>2.1.1</t>
  </si>
  <si>
    <t>Environmental policies</t>
  </si>
  <si>
    <t>EIU/Siemens Green Cities Index</t>
  </si>
  <si>
    <t>HELSEC_IP_02</t>
  </si>
  <si>
    <t>2.1.2</t>
  </si>
  <si>
    <t>Access to healthcare</t>
  </si>
  <si>
    <t>EIU City Liveability Index</t>
  </si>
  <si>
    <t>HELSEC_IP_03</t>
  </si>
  <si>
    <t>2.1.3</t>
  </si>
  <si>
    <t>No. of beds per 1000</t>
  </si>
  <si>
    <t>(Self-explanatory)</t>
  </si>
  <si>
    <t>#/1000</t>
  </si>
  <si>
    <t>HELSEC_IP_04</t>
  </si>
  <si>
    <t>2.1.4</t>
  </si>
  <si>
    <t>Number of doctors per 1000</t>
  </si>
  <si>
    <t>HELSEC_IP_05</t>
  </si>
  <si>
    <t>2.1.5</t>
  </si>
  <si>
    <t>Access to safe and quality food</t>
  </si>
  <si>
    <t>Scale 1-100</t>
  </si>
  <si>
    <t>HELSEC_IP_06</t>
  </si>
  <si>
    <t>2.1.6</t>
  </si>
  <si>
    <t>Quality of health services</t>
  </si>
  <si>
    <t>Scale 1-5</t>
  </si>
  <si>
    <t>HELSEC_OP</t>
  </si>
  <si>
    <t>Health Security (Outputs)</t>
  </si>
  <si>
    <t>Sub-category index score, weighted sum of the 5 indicator scores.
1) Air quality
2) Water quality
3) Life expectancy
4) Infant mortality (deaths per 1,000 live births)
5) Cancer mortality rate ( Cancer deaths per 100,000)</t>
  </si>
  <si>
    <t>HELSEC_OP_01</t>
  </si>
  <si>
    <t>2.2.1</t>
  </si>
  <si>
    <t>Air quality</t>
  </si>
  <si>
    <t>PM 2.5 levels</t>
  </si>
  <si>
    <t>HELSEC_OP_02</t>
  </si>
  <si>
    <t>2.2.2</t>
  </si>
  <si>
    <t>Water quality</t>
  </si>
  <si>
    <t>HELSEC_OP_03</t>
  </si>
  <si>
    <t>2.2.3</t>
  </si>
  <si>
    <t>Life expectancy</t>
  </si>
  <si>
    <t>Years</t>
  </si>
  <si>
    <t>Years (Higher yrs, better)</t>
  </si>
  <si>
    <t>HELSEC_OP_04</t>
  </si>
  <si>
    <t>2.2.4</t>
  </si>
  <si>
    <t>Infant mortality (deaths per 1,000 live births)</t>
  </si>
  <si>
    <t>Deaths per 1,000 births</t>
  </si>
  <si>
    <t>HELSEC_OP_05</t>
  </si>
  <si>
    <t>2.2.5</t>
  </si>
  <si>
    <t>Cancer mortality rate ( Cancer deaths per 100,000)</t>
  </si>
  <si>
    <t>#/100,000</t>
  </si>
  <si>
    <t>Cancer deaths per 100,000</t>
  </si>
  <si>
    <t>INFSAF</t>
  </si>
  <si>
    <t>Category index score, weighted sum of the two sub-category scores:
1) Infrastructure safety (Inputs)
2) Infrastructure safety (outputs)</t>
  </si>
  <si>
    <t>INFSAF_IP</t>
  </si>
  <si>
    <t>Infrastructure Security (Inputs)</t>
  </si>
  <si>
    <t>Weighted sum of the following 6 indicator scores;
1) Enforcement of transport safety
2) Pedestrian friendliness
3) Quality of road infrastructure
4) Quality of electricity infrastructure
5) Disaster Management/Business Continuity Plan</t>
  </si>
  <si>
    <t>INFSAF_IP_01</t>
  </si>
  <si>
    <t>3.1.1</t>
  </si>
  <si>
    <t>Enforcement of transport safety</t>
  </si>
  <si>
    <t>Scale 0-10</t>
  </si>
  <si>
    <t>INFSAF_IP_02</t>
  </si>
  <si>
    <t>3.1.2</t>
  </si>
  <si>
    <t>Pedestrian friendliness</t>
  </si>
  <si>
    <t>INFSAF_IP_03</t>
  </si>
  <si>
    <t>3.1.3</t>
  </si>
  <si>
    <t>Quality of road infrastructure</t>
  </si>
  <si>
    <t>INFSAF_IP_04</t>
  </si>
  <si>
    <t>3.1.4</t>
  </si>
  <si>
    <t>Quality of electricity infrastructure</t>
  </si>
  <si>
    <t>INFSAF_IP_05</t>
  </si>
  <si>
    <t>3.1.5</t>
  </si>
  <si>
    <t>Disaster Management/Business Continuity Plan</t>
  </si>
  <si>
    <t>INFSAF_OP</t>
  </si>
  <si>
    <t>Infrastructure Security (Outputs)</t>
  </si>
  <si>
    <t>Sub-category index score, weighted sum of the 5 indicator scores.
1) Death from natural disasters
2) Frequency of vehicular accidents
3) Frequency of pedestrian deaths
4) Percent living in urban slums</t>
  </si>
  <si>
    <t>INFSAF_OP_01</t>
  </si>
  <si>
    <t>3.2.1</t>
  </si>
  <si>
    <t>Death from natural disasters</t>
  </si>
  <si>
    <t># per year per million inhabitants</t>
  </si>
  <si>
    <t>#/year/m</t>
  </si>
  <si>
    <t>INFSAF_OP_02</t>
  </si>
  <si>
    <t>3.2.2</t>
  </si>
  <si>
    <t>Frequency of vehicular accidents</t>
  </si>
  <si>
    <t># per year per 100,000 inhabitants</t>
  </si>
  <si>
    <t>INFSAF_OP_03</t>
  </si>
  <si>
    <t>3.2.3</t>
  </si>
  <si>
    <t>Frequency of pedestrian deaths</t>
  </si>
  <si>
    <t>INFSAF_OP_04</t>
  </si>
  <si>
    <t>3.2.4</t>
  </si>
  <si>
    <t>Percent living in urban slums</t>
  </si>
  <si>
    <t>PERSAF</t>
  </si>
  <si>
    <t>Category index score, weighted sum of the two sub-category scores:
1) Personal safety (Inputs)
2) Personal safety (outputs)</t>
  </si>
  <si>
    <t>PERSAF_IP</t>
  </si>
  <si>
    <t>Personal Security (Inputs)</t>
  </si>
  <si>
    <t>Sub-category index score, weighted sum of the 6 indicator scores.
1) Level of police engagement
2) Community-based patrolling
3) Availability of street-level crime data
4) Use of data-driven techniques for crime
5) Private security measures
6) Gun regulation and enforcement
7) Political Stability Risk</t>
  </si>
  <si>
    <t>PERSAF_IP_01</t>
  </si>
  <si>
    <t>4.1.1</t>
  </si>
  <si>
    <t>Level of police engagement</t>
  </si>
  <si>
    <t>0-No/Minimal/Partial policies/No centralised policies/Policies not evident, 1- Only Has country level policies, 2- Has both country and state/province/city level policies</t>
  </si>
  <si>
    <t>Scale 0 - 1</t>
  </si>
  <si>
    <t>PERSAF_IP_02</t>
  </si>
  <si>
    <t>4.1.2</t>
  </si>
  <si>
    <t>Community-based patrolling</t>
  </si>
  <si>
    <t>Yes/no</t>
  </si>
  <si>
    <t>Score 0 - 1</t>
  </si>
  <si>
    <t>PERSAF_IP_03</t>
  </si>
  <si>
    <t>4.1.3</t>
  </si>
  <si>
    <t>Availability of street-level crime data</t>
  </si>
  <si>
    <t>PERSAF_IP_04</t>
  </si>
  <si>
    <t>4.1.4</t>
  </si>
  <si>
    <t>Use of data-driven techniques for crime</t>
  </si>
  <si>
    <t>PERSAF_IP_05</t>
  </si>
  <si>
    <t>4.1.5</t>
  </si>
  <si>
    <t>Private security measures</t>
  </si>
  <si>
    <t>PERSAF_IP_06</t>
  </si>
  <si>
    <t>4.1.6</t>
  </si>
  <si>
    <t>Gun regulation and enforcement</t>
  </si>
  <si>
    <t>Scale 0 - 10</t>
  </si>
  <si>
    <t>PERSAF_IP_07</t>
  </si>
  <si>
    <t>4.1.7</t>
  </si>
  <si>
    <t>Political Stability Risk</t>
  </si>
  <si>
    <t>Scale 0 - 100</t>
  </si>
  <si>
    <t>PERSAF_OP</t>
  </si>
  <si>
    <t>Personal Security (Outputs)</t>
  </si>
  <si>
    <t>Sub-category index score, weighted sum of the 9 indicator scores.
1) Prevalence of petty crime
2) Prevalence of violence crime
3) Criminal gang activity
4) Level of corruption in police force
5) Rate of drug use
6) Frequency of terrorist attacks
7) Gender safety
8) Perceptions of safety</t>
  </si>
  <si>
    <t>PERSAF_OP_01</t>
  </si>
  <si>
    <t>4.2.1</t>
  </si>
  <si>
    <t>Prevalence of petty crime</t>
  </si>
  <si>
    <t>EIU Rating</t>
  </si>
  <si>
    <t>PERSAF_OP_02</t>
  </si>
  <si>
    <t>4.2.2</t>
  </si>
  <si>
    <t>Prevalence of violence crime</t>
  </si>
  <si>
    <t>PERSAF_OP_03</t>
  </si>
  <si>
    <t>4.2.3</t>
  </si>
  <si>
    <t>Criminal gang activity</t>
  </si>
  <si>
    <t>Value of Black Market</t>
  </si>
  <si>
    <t>US $ billions</t>
  </si>
  <si>
    <t>PERSAF_OP_04</t>
  </si>
  <si>
    <t>4.2.4</t>
  </si>
  <si>
    <t>Level of corruption in police force</t>
  </si>
  <si>
    <t>PERSAF_OP_05</t>
  </si>
  <si>
    <t>4.2.5</t>
  </si>
  <si>
    <t>Rate of drug use</t>
  </si>
  <si>
    <t>PERSAF_OP_07</t>
  </si>
  <si>
    <t>4.2.6</t>
  </si>
  <si>
    <t>Frequency of terrorist attacks</t>
  </si>
  <si>
    <t># per year</t>
  </si>
  <si>
    <t>#/year</t>
  </si>
  <si>
    <t>PERSAF_OP_08</t>
  </si>
  <si>
    <t>4.2.7</t>
  </si>
  <si>
    <t>Gender safety</t>
  </si>
  <si>
    <t>Lower bound = positive, upper bound = negative</t>
  </si>
  <si>
    <t>Index</t>
  </si>
  <si>
    <t>PERSAF_OP_09</t>
  </si>
  <si>
    <t>Perceptions of safety</t>
  </si>
  <si>
    <t>scale 1-100, 100=best</t>
  </si>
  <si>
    <t>ID</t>
  </si>
  <si>
    <t>IS_BG</t>
  </si>
  <si>
    <t>IS_RATIO</t>
  </si>
  <si>
    <t>INDI_CODE</t>
  </si>
  <si>
    <t>PARENT_CODE</t>
  </si>
  <si>
    <t>DEPTH</t>
  </si>
  <si>
    <t>REF</t>
  </si>
  <si>
    <t>NDICATOR_SHORT</t>
  </si>
  <si>
    <t>NDICATOR_LONG</t>
  </si>
  <si>
    <t>Compound description</t>
  </si>
  <si>
    <t>INDICATOR_UNIT</t>
  </si>
  <si>
    <t>INDICATOR_UNIT_2</t>
  </si>
  <si>
    <t>SPARE</t>
  </si>
  <si>
    <t>SOURCE</t>
  </si>
  <si>
    <t>YEAR</t>
  </si>
  <si>
    <t>HIGH=Good</t>
  </si>
  <si>
    <t>HIGH_IS</t>
  </si>
  <si>
    <t>NORM_ID (1=sumproduct, 2=min max set by data values, 2=min max set by user here)</t>
  </si>
  <si>
    <t>If NORM = 3 Set Min</t>
  </si>
  <si>
    <t>If NORM = 3 Set Max</t>
  </si>
  <si>
    <t>WEIGHT_NOM</t>
  </si>
  <si>
    <t>WEIGHT_PERC</t>
  </si>
  <si>
    <t>REF_INDI</t>
  </si>
  <si>
    <t>PARENT_COAEE</t>
  </si>
  <si>
    <t>Weight_row</t>
  </si>
  <si>
    <t>Weight_nom</t>
  </si>
  <si>
    <t>Weight-%</t>
  </si>
  <si>
    <t>Weighted sum of the category scores</t>
  </si>
  <si>
    <t>EIU analysis</t>
  </si>
  <si>
    <t>Good</t>
  </si>
  <si>
    <t>0.0</t>
  </si>
  <si>
    <t>DIGITAL SECURITY</t>
  </si>
  <si>
    <t>EIU Calculation</t>
  </si>
  <si>
    <t>Digital security (Inputs)</t>
  </si>
  <si>
    <t>Scale 1 - 5</t>
  </si>
  <si>
    <t>DLA Piper Data Protection Laws of the World; EIU Calculation</t>
  </si>
  <si>
    <t>Scale 0 - 3</t>
  </si>
  <si>
    <t>Scale 0 - 2</t>
  </si>
  <si>
    <t>Digital security (Outputs)</t>
  </si>
  <si>
    <t/>
  </si>
  <si>
    <t>bad</t>
  </si>
  <si>
    <t>Kaspersky Lab</t>
  </si>
  <si>
    <t>Percentage with Internet access</t>
  </si>
  <si>
    <t>ITU</t>
  </si>
  <si>
    <t>HEALTH SECURITY</t>
  </si>
  <si>
    <t>Health security (Inputs)</t>
  </si>
  <si>
    <t>Score 0 - 100</t>
  </si>
  <si>
    <t>No. of beds per 1,000</t>
  </si>
  <si>
    <t>World Bank; Local data sources</t>
  </si>
  <si>
    <t>No. of doctors per 1,000</t>
  </si>
  <si>
    <t>WHO; Local data sources</t>
  </si>
  <si>
    <t>Health security (Outputs)</t>
  </si>
  <si>
    <t>Air quality (PM 2.5 levels)</t>
  </si>
  <si>
    <t>WHO</t>
  </si>
  <si>
    <t>Life expectancy years</t>
  </si>
  <si>
    <t>Years (the longer, the better)</t>
  </si>
  <si>
    <t>World Bank; Measure of America; Local data sources</t>
  </si>
  <si>
    <t>Infant mortality</t>
  </si>
  <si>
    <t>World Bank; CDC; Local data sources</t>
  </si>
  <si>
    <t>Cancer mortality rate</t>
  </si>
  <si>
    <t>2.2.6</t>
  </si>
  <si>
    <t>Number of attacks using biological, chemical and/or radiological weapons</t>
  </si>
  <si>
    <t>Global Terrorism Database</t>
  </si>
  <si>
    <t>INFRASTRUCTURE SECURITY</t>
  </si>
  <si>
    <t>Infrastructure security (Inputs)</t>
  </si>
  <si>
    <t>Scale 0 - 10, 10 = best</t>
  </si>
  <si>
    <t>WHO; EIU analysis</t>
  </si>
  <si>
    <t>Scale 0-5, 5 = best</t>
  </si>
  <si>
    <t>Scale 1-5, 5 = best</t>
  </si>
  <si>
    <t>Disaster management/business continuity plan</t>
  </si>
  <si>
    <t>Infrastructure security (Outputs)</t>
  </si>
  <si>
    <t>Deaths from natural disaster</t>
  </si>
  <si>
    <t>#/million/year, average of the last five years</t>
  </si>
  <si>
    <t>EM - DAT</t>
  </si>
  <si>
    <t>#/million/year</t>
  </si>
  <si>
    <t>Local data sources</t>
  </si>
  <si>
    <t>Percentage living in slums</t>
  </si>
  <si>
    <t>3.2.5</t>
  </si>
  <si>
    <t>Number of attacks on facilities/infrastructure</t>
  </si>
  <si>
    <t>PERSONAL SECURITY</t>
  </si>
  <si>
    <t>Personal security (Inputs)</t>
  </si>
  <si>
    <t>Scale 0 - 1, 1 = has police engagement plans</t>
  </si>
  <si>
    <t>Scale 0 - 1, 1 = yes, 0 = none</t>
  </si>
  <si>
    <t>Available street-level crime data</t>
  </si>
  <si>
    <t>Scale 0 - 10, 10 = unrestricted</t>
  </si>
  <si>
    <t>Free Existence Gun Rights Index</t>
  </si>
  <si>
    <t>Political stability risk</t>
  </si>
  <si>
    <t>Scale 0 - 100, 0 = no risk</t>
  </si>
  <si>
    <t>EIU Operational Risk Model</t>
  </si>
  <si>
    <t>Personal security (Outputs)</t>
  </si>
  <si>
    <t>Prevalence of violent crime</t>
  </si>
  <si>
    <t>Organised crime</t>
  </si>
  <si>
    <t>Scale 0 - 4</t>
  </si>
  <si>
    <t>Level of corruption</t>
  </si>
  <si>
    <t>Transparency International</t>
  </si>
  <si>
    <t xml:space="preserve">Rate of drug use </t>
  </si>
  <si>
    <t>UN Office on Drugs and Crime; Local data sources</t>
  </si>
  <si>
    <t xml:space="preserve">Frequency of terrorist attacks </t>
  </si>
  <si>
    <t>Severity of terrorist attacks</t>
  </si>
  <si>
    <t>Gender safety (Female homicide victims per 100,000)</t>
  </si>
  <si>
    <t>per 100,000</t>
  </si>
  <si>
    <t>Scale 0 – 100, 100 = perceived as most safe</t>
  </si>
  <si>
    <t>Numbeo</t>
  </si>
  <si>
    <t>4.2.10</t>
  </si>
  <si>
    <t>Threat of terrorism</t>
  </si>
  <si>
    <t xml:space="preserve">Rating 0-4. </t>
  </si>
  <si>
    <t>4.2.11</t>
  </si>
  <si>
    <t>Threat of military conflict</t>
  </si>
  <si>
    <t>4.2.12</t>
  </si>
  <si>
    <t>Threat of civil unrest</t>
  </si>
  <si>
    <t>Rating 0-4.</t>
  </si>
  <si>
    <t>DESC</t>
  </si>
  <si>
    <t>DIGSEC_IP_06</t>
  </si>
  <si>
    <t>SUB CATEGORIES (FOR WEIGHTS)</t>
  </si>
  <si>
    <t>INDICATORS (FOR WEIGHTS)</t>
  </si>
  <si>
    <t>SCATTER_X</t>
  </si>
  <si>
    <t>SCATTER_Y</t>
  </si>
  <si>
    <t>COUNTRY COMPARE INDICATOR SELECTOR</t>
  </si>
  <si>
    <t>TABLE SET FOR INDICATOR RANK</t>
  </si>
  <si>
    <t>Min-set</t>
  </si>
  <si>
    <t>Max-set</t>
  </si>
  <si>
    <t>Amsterdam</t>
  </si>
  <si>
    <t>Bangkok</t>
  </si>
  <si>
    <t>Barcelona</t>
  </si>
  <si>
    <t>Beijing</t>
  </si>
  <si>
    <t>Brussels</t>
  </si>
  <si>
    <t>Buenos Aires</t>
  </si>
  <si>
    <t>Chicago</t>
  </si>
  <si>
    <t>Delhi</t>
  </si>
  <si>
    <t>Doha</t>
  </si>
  <si>
    <t>Frankfurt</t>
  </si>
  <si>
    <t>Guangzhou</t>
  </si>
  <si>
    <t>Ho Chi Minh City</t>
  </si>
  <si>
    <t>Hong Kong</t>
  </si>
  <si>
    <t>Istanbul</t>
  </si>
  <si>
    <t>Jakarta</t>
  </si>
  <si>
    <t>Johannesburg</t>
  </si>
  <si>
    <t>Kuwait City</t>
  </si>
  <si>
    <t>Lima</t>
  </si>
  <si>
    <t>London</t>
  </si>
  <si>
    <t>Los Angeles</t>
  </si>
  <si>
    <t>Madrid</t>
  </si>
  <si>
    <t>Melbourne</t>
  </si>
  <si>
    <t>Mexico City</t>
  </si>
  <si>
    <t>Milan</t>
  </si>
  <si>
    <t>Montreal</t>
  </si>
  <si>
    <t>Moscow</t>
  </si>
  <si>
    <t>Mumbai</t>
  </si>
  <si>
    <t>New York</t>
  </si>
  <si>
    <t>Osaka</t>
  </si>
  <si>
    <t>Paris</t>
  </si>
  <si>
    <t>Rio de Janeiro</t>
  </si>
  <si>
    <t>Riyadh</t>
  </si>
  <si>
    <t>Rome</t>
  </si>
  <si>
    <t>San Francisco</t>
  </si>
  <si>
    <t>Santiago</t>
  </si>
  <si>
    <t>Sao Paulo</t>
  </si>
  <si>
    <t>Seoul</t>
  </si>
  <si>
    <t>Shanghai</t>
  </si>
  <si>
    <t>Shenzhen</t>
  </si>
  <si>
    <t>Singapore</t>
  </si>
  <si>
    <t>Stockholm</t>
  </si>
  <si>
    <t>Sydney</t>
  </si>
  <si>
    <t>Taipei</t>
  </si>
  <si>
    <t>Tehran</t>
  </si>
  <si>
    <t>Tianjin</t>
  </si>
  <si>
    <t>Tokyo</t>
  </si>
  <si>
    <t>Toronto</t>
  </si>
  <si>
    <t>Washington DC</t>
  </si>
  <si>
    <t>Zurich</t>
  </si>
  <si>
    <t>1.1) Digital Security (Inputs)</t>
  </si>
  <si>
    <t>1.1.1) Privacy policy</t>
  </si>
  <si>
    <t>1.1.2) Citizen awareness of digital threats</t>
  </si>
  <si>
    <t>1.1.3) Public-private partnerships</t>
  </si>
  <si>
    <t>1.1.4) Level of technology employed</t>
  </si>
  <si>
    <t>1.1.5) Dedicated cyber security teams</t>
  </si>
  <si>
    <t>1.2) Digital Security (Outputs)</t>
  </si>
  <si>
    <t>1.2.1) Frequency of identity theft</t>
  </si>
  <si>
    <t>1.2.2) Percentage of computers infected</t>
  </si>
  <si>
    <t>1.2.3) Percent with internet access</t>
  </si>
  <si>
    <t>2.1) Health Security (Inputs)</t>
  </si>
  <si>
    <t>2.1.1) Environmental policies</t>
  </si>
  <si>
    <t>2.1.2) Access to healthcare</t>
  </si>
  <si>
    <t>2.1.3) No. of beds per 1000</t>
  </si>
  <si>
    <t>2.1.4) Number of doctors per 1000</t>
  </si>
  <si>
    <t>2.1.5) Access to safe and quality food</t>
  </si>
  <si>
    <t>2.1.6) Quality of health services</t>
  </si>
  <si>
    <t>2.2) Health Security (Outputs)</t>
  </si>
  <si>
    <t>2.2.1) Air quality</t>
  </si>
  <si>
    <t>2.2.2) Water quality</t>
  </si>
  <si>
    <t>2.2.3) Life expectancy</t>
  </si>
  <si>
    <t>2.2.4) Infant mortality (deaths per 1,000 live births)</t>
  </si>
  <si>
    <t>2.2.5) Cancer mortality rate ( Cancer deaths per 100,000)</t>
  </si>
  <si>
    <t>3) INFRASTRUCTURE SAFETY</t>
  </si>
  <si>
    <t>3.1) Infrastructure Safety (Inputs)</t>
  </si>
  <si>
    <t>3.1.1) Enforcement of transport safety</t>
  </si>
  <si>
    <t>3.1.2) Pedestrian friendliness</t>
  </si>
  <si>
    <t>3.1.3) Quality of road infrastructure</t>
  </si>
  <si>
    <t>3.1.4) Quality of electricity infrastructure</t>
  </si>
  <si>
    <t>3.1.5) Disaster Management/Business Continuity Plan</t>
  </si>
  <si>
    <t>3.2) Infrastructure Safety (Outputs)</t>
  </si>
  <si>
    <t>3.2.1) Death from natural disasters</t>
  </si>
  <si>
    <t>3.2.2) Frequency of vehicular accidents</t>
  </si>
  <si>
    <t>3.2.3) Frequency of pedestrian deaths</t>
  </si>
  <si>
    <t>3.2.4) Percent living in urban slums</t>
  </si>
  <si>
    <t>4) PERSONAL SAFETY</t>
  </si>
  <si>
    <t>4.1) Personal Safety (Inputs)</t>
  </si>
  <si>
    <t>4.1.1) Level of police engagement</t>
  </si>
  <si>
    <t>4.1.2) Community-based patrolling</t>
  </si>
  <si>
    <t>4.1.3) Availability of street-level crime data</t>
  </si>
  <si>
    <t>4.1.4) Use of data-driven techniques for crime</t>
  </si>
  <si>
    <t>4.1.5) Private security measures</t>
  </si>
  <si>
    <t>4.1.6) Gun regulation and enforcement</t>
  </si>
  <si>
    <t>4.1.7) Political Stability Risk</t>
  </si>
  <si>
    <t>4.2) Personal Safety (Outputs)</t>
  </si>
  <si>
    <t>4.2.1) Prevalence of petty crime</t>
  </si>
  <si>
    <t>4.2.2) Prevalence of violence crime</t>
  </si>
  <si>
    <t>4.2.3) Criminal gang activity</t>
  </si>
  <si>
    <t>4.2.4) Level of corruption in police force</t>
  </si>
  <si>
    <t>4.2.5) Rate of drug use</t>
  </si>
  <si>
    <t>4.2.6) Frequency of terrorist attacks</t>
  </si>
  <si>
    <t>4.2.7) Gender safety</t>
  </si>
  <si>
    <t>4.2.8) Perceptions of safety</t>
  </si>
  <si>
    <t>MIN</t>
  </si>
  <si>
    <t>MAX</t>
  </si>
  <si>
    <t>RANGE</t>
  </si>
  <si>
    <t>Indicators</t>
  </si>
  <si>
    <t>Weight Profile Names</t>
  </si>
  <si>
    <t>Equal category weights</t>
  </si>
  <si>
    <t>Row</t>
  </si>
  <si>
    <t>Indicator/Category Name</t>
  </si>
  <si>
    <t>if Changed from Neutral</t>
  </si>
  <si>
    <t>Equal indicator weights</t>
  </si>
  <si>
    <t>Equal sub-indicator weights</t>
  </si>
  <si>
    <t>Spare#4</t>
  </si>
  <si>
    <t>Spare#5</t>
  </si>
  <si>
    <t>Spare#6</t>
  </si>
  <si>
    <t>Spare#7</t>
  </si>
  <si>
    <t>Spare#8</t>
  </si>
  <si>
    <t>Spare#9</t>
  </si>
  <si>
    <t>The weightings profile has been changed from it's EIU default setting.</t>
  </si>
  <si>
    <t>Section</t>
  </si>
  <si>
    <t>Page</t>
  </si>
  <si>
    <t>ScrollRow</t>
  </si>
  <si>
    <t>Home</t>
  </si>
  <si>
    <t>Summary</t>
  </si>
  <si>
    <t>Indicator_Ranking</t>
  </si>
  <si>
    <t>Scatter</t>
  </si>
  <si>
    <t>Scatter_InOut</t>
  </si>
  <si>
    <t>CityProfile</t>
  </si>
  <si>
    <t>CityCompare</t>
  </si>
  <si>
    <t>CityScoreCard</t>
  </si>
  <si>
    <t>Weights</t>
  </si>
  <si>
    <t>uxb_works</t>
  </si>
  <si>
    <t>tblIndiSets</t>
  </si>
  <si>
    <t>iSummary</t>
  </si>
  <si>
    <t>iIndiRank</t>
  </si>
  <si>
    <t>iScatter</t>
  </si>
  <si>
    <t>iRatios</t>
  </si>
  <si>
    <t>iScatter_InOut</t>
  </si>
  <si>
    <t>iCityP</t>
  </si>
  <si>
    <t>iCityCompare</t>
  </si>
  <si>
    <t>iCCompSpider</t>
  </si>
  <si>
    <t>iCSCtbl</t>
  </si>
  <si>
    <t>iCityScoreCard</t>
  </si>
  <si>
    <t>tblIndicators_2014-O</t>
  </si>
  <si>
    <t>tblIndiSets_2014_O</t>
  </si>
  <si>
    <t>Scores_2014_O</t>
  </si>
  <si>
    <t>Data_2014_N</t>
  </si>
  <si>
    <t>Scores_2014_N</t>
  </si>
  <si>
    <t>Data_2017</t>
  </si>
  <si>
    <t>Scores_2017</t>
  </si>
  <si>
    <t>iWeights</t>
  </si>
  <si>
    <t>tblNavHist</t>
  </si>
  <si>
    <t>SheetNames</t>
  </si>
  <si>
    <t>tblIndicators</t>
  </si>
  <si>
    <t>tblCategories</t>
  </si>
  <si>
    <t>tblCategories_2014</t>
  </si>
  <si>
    <t>tblCategories_2017</t>
  </si>
  <si>
    <t>tblTerritories</t>
  </si>
  <si>
    <t>tblTerritories_2014_O</t>
  </si>
  <si>
    <t>tblTerritories_2014_N</t>
  </si>
  <si>
    <t>tblTerritories_2017</t>
  </si>
  <si>
    <t>Cities_list</t>
  </si>
  <si>
    <t>rScores_2014_O</t>
  </si>
  <si>
    <t>rScores_2014_N</t>
  </si>
  <si>
    <t>rScores_2017</t>
  </si>
  <si>
    <t>ISO</t>
  </si>
  <si>
    <t>DisplayName</t>
  </si>
  <si>
    <t>ISO/MAP</t>
  </si>
  <si>
    <t>Display_Status</t>
  </si>
  <si>
    <t>ParentCity</t>
  </si>
  <si>
    <t>For Spider Chart</t>
  </si>
  <si>
    <t>All</t>
  </si>
  <si>
    <t>GROUP_HIGHLIGHT_ID</t>
  </si>
  <si>
    <t>RegionFilter</t>
  </si>
  <si>
    <t>RegionHighlight</t>
  </si>
  <si>
    <t>IncomeHighlight</t>
  </si>
  <si>
    <t>No_Spaces</t>
  </si>
  <si>
    <t>Parentcity</t>
  </si>
  <si>
    <t>Tier No.</t>
  </si>
  <si>
    <t>Groups</t>
  </si>
  <si>
    <t>&lt;no filter&gt;</t>
  </si>
  <si>
    <t>All City Average</t>
  </si>
  <si>
    <t>All Regions/Groups</t>
  </si>
  <si>
    <t>Asia Pacific</t>
  </si>
  <si>
    <t>Europe</t>
  </si>
  <si>
    <t>Latin America</t>
  </si>
  <si>
    <t>Middle East and Africa</t>
  </si>
  <si>
    <t>North America</t>
  </si>
  <si>
    <t>High Income</t>
  </si>
  <si>
    <t>Upper Middle Income</t>
  </si>
  <si>
    <t>Lower Middle Income</t>
  </si>
  <si>
    <t>Low Income</t>
  </si>
  <si>
    <t>Population &lt; 5 million</t>
  </si>
  <si>
    <t>Population 5 - 10 million</t>
  </si>
  <si>
    <t>Population 10 - 15 million</t>
  </si>
  <si>
    <t>Population &gt; 15 million</t>
  </si>
  <si>
    <t>Is In Region n</t>
  </si>
  <si>
    <t xml:space="preserve">Is ion income level </t>
  </si>
  <si>
    <t>Income</t>
  </si>
  <si>
    <t>Population</t>
  </si>
  <si>
    <t>combined</t>
  </si>
  <si>
    <t>Region Filter</t>
  </si>
  <si>
    <t>NONE</t>
  </si>
  <si>
    <t>ALL</t>
  </si>
  <si>
    <t>GROUP_FILTER_ID</t>
  </si>
  <si>
    <t>Pop1</t>
  </si>
  <si>
    <t>pop2</t>
  </si>
  <si>
    <t>Pop3</t>
  </si>
  <si>
    <t>pop3</t>
  </si>
  <si>
    <t xml:space="preserve">Is in income level </t>
  </si>
  <si>
    <t>Is in Region</t>
  </si>
  <si>
    <t>Athens</t>
  </si>
  <si>
    <t>Bogota</t>
  </si>
  <si>
    <t>Cairo</t>
  </si>
  <si>
    <t>Caracas</t>
  </si>
  <si>
    <t>Casablanca</t>
  </si>
  <si>
    <t>Dallas</t>
  </si>
  <si>
    <t>jjj</t>
  </si>
  <si>
    <t>Dhaka</t>
  </si>
  <si>
    <t>Jeddah</t>
  </si>
  <si>
    <t>Karachi</t>
  </si>
  <si>
    <t>Kuala Lumpur</t>
  </si>
  <si>
    <t>Manila</t>
  </si>
  <si>
    <t>Quito</t>
  </si>
  <si>
    <t>Wellington</t>
  </si>
  <si>
    <t>Yangon</t>
  </si>
  <si>
    <t>Kyoto</t>
  </si>
  <si>
    <t>CITY LIST IN USE</t>
  </si>
  <si>
    <t>Rankings to be shown</t>
  </si>
  <si>
    <t>2014-O</t>
  </si>
  <si>
    <t>2014-N</t>
  </si>
  <si>
    <t>active</t>
  </si>
  <si>
    <t>All cities for new 2017 index</t>
  </si>
  <si>
    <t>15 new cities in 2017 data</t>
  </si>
  <si>
    <t>Original 50 cities in 2014 index</t>
  </si>
  <si>
    <t>2014 cities now dropped in 2017 index</t>
  </si>
  <si>
    <r>
      <rPr>
        <b/>
        <sz val="9"/>
        <color theme="0"/>
        <rFont val="Arial"/>
        <charset val="134"/>
      </rPr>
      <t xml:space="preserve">*46 cities for the </t>
    </r>
    <r>
      <rPr>
        <b/>
        <u/>
        <sz val="9"/>
        <color theme="0"/>
        <rFont val="Arial"/>
        <charset val="134"/>
      </rPr>
      <t>updated</t>
    </r>
    <r>
      <rPr>
        <b/>
        <sz val="9"/>
        <color theme="0"/>
        <rFont val="Arial"/>
        <charset val="134"/>
      </rPr>
      <t xml:space="preserve"> 2014 index</t>
    </r>
  </si>
  <si>
    <t>RANK</t>
  </si>
  <si>
    <t>AVERAGES</t>
  </si>
  <si>
    <t>Active Group</t>
  </si>
</sst>
</file>

<file path=xl/styles.xml><?xml version="1.0" encoding="utf-8"?>
<styleSheet xmlns="http://schemas.openxmlformats.org/spreadsheetml/2006/main">
  <numFmts count="23">
    <numFmt numFmtId="42" formatCode="_(&quot;$&quot;* #,##0_);_(&quot;$&quot;* \(#,##0\);_(&quot;$&quot;* &quot;-&quot;_);_(@_)"/>
    <numFmt numFmtId="43" formatCode="_(* #,##0.00_);_(* \(#,##0.00\);_(* &quot;-&quot;??_);_(@_)"/>
    <numFmt numFmtId="41" formatCode="_(* #,##0_);_(* \(#,##0\);_(* &quot;-&quot;_);_(@_)"/>
    <numFmt numFmtId="44" formatCode="_(&quot;$&quot;* #,##0.00_);_(&quot;$&quot;* \(#,##0.00\);_(&quot;$&quot;* &quot;-&quot;??_);_(@_)"/>
    <numFmt numFmtId="176" formatCode="_(&quot;£&quot;\ * #,##0_);_(&quot;£&quot;\ * \(#,##0\);_(&quot;£&quot;\ * &quot;-&quot;_);_(@_)"/>
    <numFmt numFmtId="177" formatCode="0.0"/>
    <numFmt numFmtId="178" formatCode="_-&quot;€&quot;\ * #,##0.00_-;\-&quot;€&quot;\ * #,##0.00_-;_-&quot;€&quot;\ * &quot;-&quot;??_-;_-@_-"/>
    <numFmt numFmtId="179" formatCode="_ * #,##0.00_ ;_ * \-#,##0.00_ ;_ * &quot;-&quot;??_ ;_ @_ "/>
    <numFmt numFmtId="180" formatCode="_ * #,##0_ ;_ * \-#,##0_ ;_ * &quot;-&quot;_ ;_ @_ "/>
    <numFmt numFmtId="181" formatCode="0.000"/>
    <numFmt numFmtId="182" formatCode="#\ ##0.00_-;\-#\ ##0.00_-;_-0.00_-;_-@_ "/>
    <numFmt numFmtId="183" formatCode="#,##0_ "/>
    <numFmt numFmtId="184" formatCode="_ * #,##0.00_ ;_ * \!\-#,##0.00_ ;_ * &quot;-&quot;??_ ;_ @_ "/>
    <numFmt numFmtId="185" formatCode="#,###,##0"/>
    <numFmt numFmtId="186" formatCode="_-* #,##0.00\ _D_M_-;\-* #,##0.00\ _D_M_-;_-* &quot;-&quot;??\ _D_M_-;_-@_-"/>
    <numFmt numFmtId="187" formatCode="#,##0.0"/>
    <numFmt numFmtId="188" formatCode="_(&quot;£&quot;* #,##0_);_(&quot;£&quot;* \(#,##0\);_(&quot;£&quot;* &quot;-&quot;_);_(@_)"/>
    <numFmt numFmtId="189" formatCode="_-* #,##0.00\ _€_-;\-* #,##0.00\ _€_-;_-* &quot;-&quot;??\ _€_-;_-@_-"/>
    <numFmt numFmtId="190" formatCode="\1"/>
    <numFmt numFmtId="191" formatCode="#\ ##0.0_-;\-#\ ##0.0_-;_-0.0_-;_-@_ "/>
    <numFmt numFmtId="192" formatCode="#,##0.00;[Red]\(#,##0.00\)"/>
    <numFmt numFmtId="193" formatCode="_(&quot;£&quot;\ * #,##0.00_);_(&quot;£&quot;\ * \(#,##0.00\);_(&quot;£&quot;\ * &quot;-&quot;??_);_(@_)"/>
    <numFmt numFmtId="194" formatCode="0.0%"/>
  </numFmts>
  <fonts count="229">
    <font>
      <sz val="11"/>
      <color theme="1"/>
      <name val="Calibri"/>
      <charset val="134"/>
      <scheme val="minor"/>
    </font>
    <font>
      <sz val="8"/>
      <color indexed="8"/>
      <name val="Calibri"/>
      <charset val="134"/>
    </font>
    <font>
      <sz val="8"/>
      <color indexed="10"/>
      <name val="Calibri"/>
      <charset val="134"/>
    </font>
    <font>
      <sz val="9"/>
      <color theme="0"/>
      <name val="Arial"/>
      <charset val="134"/>
    </font>
    <font>
      <sz val="9"/>
      <color theme="1"/>
      <name val="Arial"/>
      <charset val="134"/>
    </font>
    <font>
      <i/>
      <sz val="9"/>
      <color theme="4" tint="-0.249977111117893"/>
      <name val="Arial"/>
      <charset val="134"/>
    </font>
    <font>
      <b/>
      <sz val="9"/>
      <color theme="0"/>
      <name val="Arial"/>
      <charset val="134"/>
    </font>
    <font>
      <i/>
      <sz val="9"/>
      <color theme="0" tint="-0.499984740745262"/>
      <name val="Arial"/>
      <charset val="134"/>
    </font>
    <font>
      <b/>
      <sz val="8"/>
      <color indexed="8"/>
      <name val="Calibri"/>
      <charset val="134"/>
    </font>
    <font>
      <sz val="8"/>
      <name val="Calibri"/>
      <charset val="134"/>
    </font>
    <font>
      <sz val="10"/>
      <color indexed="10"/>
      <name val="Calibri"/>
      <charset val="134"/>
    </font>
    <font>
      <sz val="8"/>
      <color indexed="40"/>
      <name val="Calibri"/>
      <charset val="134"/>
    </font>
    <font>
      <sz val="10"/>
      <name val="Calibri"/>
      <charset val="134"/>
    </font>
    <font>
      <sz val="10"/>
      <color theme="1"/>
      <name val="Arial"/>
      <charset val="134"/>
    </font>
    <font>
      <sz val="10"/>
      <color indexed="8"/>
      <name val="Calibri"/>
      <charset val="134"/>
    </font>
    <font>
      <b/>
      <sz val="10"/>
      <name val="Calibri"/>
      <charset val="134"/>
    </font>
    <font>
      <sz val="8"/>
      <color rgb="FFFF0000"/>
      <name val="Calibri"/>
      <charset val="134"/>
    </font>
    <font>
      <sz val="12.1"/>
      <color rgb="FF000000"/>
      <name val="Calibri"/>
      <charset val="134"/>
    </font>
    <font>
      <b/>
      <sz val="8"/>
      <color theme="1"/>
      <name val="Calibri"/>
      <charset val="134"/>
      <scheme val="minor"/>
    </font>
    <font>
      <sz val="8"/>
      <color theme="9" tint="-0.499984740745262"/>
      <name val="Calibri"/>
      <charset val="134"/>
      <scheme val="minor"/>
    </font>
    <font>
      <b/>
      <sz val="8"/>
      <name val="Calibri"/>
      <charset val="134"/>
    </font>
    <font>
      <sz val="8"/>
      <color theme="0"/>
      <name val="Calibri"/>
      <charset val="134"/>
      <scheme val="minor"/>
    </font>
    <font>
      <sz val="9"/>
      <color theme="1" tint="0.249977111117893"/>
      <name val="Calibri"/>
      <charset val="134"/>
    </font>
    <font>
      <sz val="10"/>
      <name val="Calibri"/>
      <charset val="134"/>
      <scheme val="minor"/>
    </font>
    <font>
      <sz val="14"/>
      <color indexed="8"/>
      <name val="Calibri"/>
      <charset val="134"/>
      <scheme val="minor"/>
    </font>
    <font>
      <b/>
      <sz val="12"/>
      <color theme="1"/>
      <name val="Calibri"/>
      <charset val="134"/>
      <scheme val="minor"/>
    </font>
    <font>
      <sz val="10"/>
      <color indexed="8"/>
      <name val="Calibri"/>
      <charset val="134"/>
      <scheme val="minor"/>
    </font>
    <font>
      <sz val="10"/>
      <color theme="0"/>
      <name val="Calibri"/>
      <charset val="134"/>
      <scheme val="minor"/>
    </font>
    <font>
      <sz val="16"/>
      <color rgb="FFFF0000"/>
      <name val="Calibri"/>
      <charset val="134"/>
      <scheme val="minor"/>
    </font>
    <font>
      <b/>
      <sz val="14"/>
      <name val="Calibri"/>
      <charset val="134"/>
      <scheme val="minor"/>
    </font>
    <font>
      <sz val="10"/>
      <color rgb="FFFF0000"/>
      <name val="Calibri"/>
      <charset val="134"/>
      <scheme val="minor"/>
    </font>
    <font>
      <sz val="14"/>
      <name val="Calibri"/>
      <charset val="134"/>
      <scheme val="minor"/>
    </font>
    <font>
      <b/>
      <sz val="16"/>
      <name val="Calibri"/>
      <charset val="134"/>
      <scheme val="minor"/>
    </font>
    <font>
      <b/>
      <sz val="11"/>
      <color theme="1"/>
      <name val="Calibri"/>
      <charset val="134"/>
      <scheme val="minor"/>
    </font>
    <font>
      <sz val="16"/>
      <name val="Calibri"/>
      <charset val="134"/>
      <scheme val="minor"/>
    </font>
    <font>
      <sz val="12"/>
      <color indexed="9"/>
      <name val="Calibri"/>
      <charset val="134"/>
      <scheme val="minor"/>
    </font>
    <font>
      <sz val="14"/>
      <color theme="0"/>
      <name val="Calibri"/>
      <charset val="134"/>
      <scheme val="minor"/>
    </font>
    <font>
      <sz val="14"/>
      <color indexed="9"/>
      <name val="Calibri"/>
      <charset val="134"/>
      <scheme val="minor"/>
    </font>
    <font>
      <sz val="14"/>
      <color theme="1"/>
      <name val="Calibri"/>
      <charset val="134"/>
      <scheme val="minor"/>
    </font>
    <font>
      <b/>
      <sz val="16"/>
      <color indexed="9"/>
      <name val="Calibri"/>
      <charset val="134"/>
      <scheme val="minor"/>
    </font>
    <font>
      <i/>
      <sz val="11"/>
      <color theme="1"/>
      <name val="Calibri"/>
      <charset val="134"/>
      <scheme val="minor"/>
    </font>
    <font>
      <b/>
      <sz val="14"/>
      <color indexed="15"/>
      <name val="Calibri"/>
      <charset val="134"/>
      <scheme val="minor"/>
    </font>
    <font>
      <sz val="8"/>
      <color theme="1"/>
      <name val="Calibri"/>
      <charset val="134"/>
      <scheme val="minor"/>
    </font>
    <font>
      <i/>
      <sz val="8"/>
      <color theme="1"/>
      <name val="Calibri"/>
      <charset val="134"/>
      <scheme val="minor"/>
    </font>
    <font>
      <sz val="10"/>
      <color theme="1"/>
      <name val="Calibri"/>
      <charset val="134"/>
      <scheme val="minor"/>
    </font>
    <font>
      <b/>
      <sz val="10"/>
      <color theme="1"/>
      <name val="Calibri"/>
      <charset val="134"/>
      <scheme val="minor"/>
    </font>
    <font>
      <b/>
      <i/>
      <sz val="10"/>
      <color theme="1"/>
      <name val="Calibri"/>
      <charset val="134"/>
      <scheme val="minor"/>
    </font>
    <font>
      <b/>
      <sz val="8"/>
      <color rgb="FF0070C0"/>
      <name val="Calibri"/>
      <charset val="134"/>
      <scheme val="minor"/>
    </font>
    <font>
      <sz val="8"/>
      <color theme="0" tint="-0.499984740745262"/>
      <name val="Calibri"/>
      <charset val="134"/>
      <scheme val="minor"/>
    </font>
    <font>
      <b/>
      <sz val="8"/>
      <color rgb="FFFF0000"/>
      <name val="Calibri"/>
      <charset val="134"/>
      <scheme val="minor"/>
    </font>
    <font>
      <b/>
      <sz val="8"/>
      <color rgb="FF00B050"/>
      <name val="Calibri"/>
      <charset val="134"/>
      <scheme val="minor"/>
    </font>
    <font>
      <sz val="12"/>
      <name val="Calibri"/>
      <charset val="134"/>
    </font>
    <font>
      <sz val="12"/>
      <color theme="0"/>
      <name val="Calibri"/>
      <charset val="134"/>
    </font>
    <font>
      <b/>
      <sz val="8"/>
      <color theme="0"/>
      <name val="Calibri"/>
      <charset val="134"/>
      <scheme val="minor"/>
    </font>
    <font>
      <b/>
      <sz val="18"/>
      <color theme="0"/>
      <name val="Calibri"/>
      <charset val="134"/>
      <scheme val="minor"/>
    </font>
    <font>
      <sz val="11"/>
      <color rgb="FF000000"/>
      <name val="Calibri"/>
      <charset val="134"/>
      <scheme val="minor"/>
    </font>
    <font>
      <i/>
      <sz val="11"/>
      <color rgb="FF000000"/>
      <name val="Calibri"/>
      <charset val="134"/>
      <scheme val="minor"/>
    </font>
    <font>
      <i/>
      <sz val="11"/>
      <color rgb="FFFF0000"/>
      <name val="Calibri"/>
      <charset val="134"/>
      <scheme val="minor"/>
    </font>
    <font>
      <sz val="9"/>
      <color theme="0" tint="-0.499984740745262"/>
      <name val="Calibri"/>
      <charset val="134"/>
      <scheme val="minor"/>
    </font>
    <font>
      <sz val="8"/>
      <color theme="0" tint="-0.349986266670736"/>
      <name val="Calibri"/>
      <charset val="134"/>
      <scheme val="minor"/>
    </font>
    <font>
      <sz val="8"/>
      <color rgb="FFFF0000"/>
      <name val="Calibri"/>
      <charset val="134"/>
      <scheme val="minor"/>
    </font>
    <font>
      <sz val="8"/>
      <color rgb="FF00B050"/>
      <name val="Calibri"/>
      <charset val="134"/>
      <scheme val="minor"/>
    </font>
    <font>
      <sz val="11"/>
      <name val="Calibri"/>
      <charset val="134"/>
      <scheme val="minor"/>
    </font>
    <font>
      <sz val="11"/>
      <color indexed="9"/>
      <name val="Calibri"/>
      <charset val="134"/>
    </font>
    <font>
      <sz val="11"/>
      <color indexed="10"/>
      <name val="Calibri"/>
      <charset val="134"/>
    </font>
    <font>
      <sz val="8"/>
      <color indexed="8"/>
      <name val="Arial"/>
      <charset val="134"/>
    </font>
    <font>
      <b/>
      <sz val="11"/>
      <color indexed="8"/>
      <name val="Calibri"/>
      <charset val="134"/>
    </font>
    <font>
      <b/>
      <sz val="8"/>
      <color rgb="FF0070C0"/>
      <name val="Calibri"/>
      <charset val="134"/>
    </font>
    <font>
      <sz val="11"/>
      <name val="Calibri"/>
      <charset val="134"/>
    </font>
    <font>
      <i/>
      <sz val="8"/>
      <color indexed="8"/>
      <name val="Calibri"/>
      <charset val="134"/>
    </font>
    <font>
      <sz val="8"/>
      <color indexed="17"/>
      <name val="Calibri"/>
      <charset val="134"/>
    </font>
    <font>
      <sz val="8"/>
      <color indexed="38"/>
      <name val="Calibri"/>
      <charset val="134"/>
    </font>
    <font>
      <sz val="10"/>
      <name val="Arial"/>
      <charset val="134"/>
    </font>
    <font>
      <sz val="8"/>
      <name val="Calibri"/>
      <charset val="134"/>
      <scheme val="minor"/>
    </font>
    <font>
      <b/>
      <sz val="16"/>
      <color theme="4" tint="-0.249977111117893"/>
      <name val="Calibri"/>
      <charset val="134"/>
    </font>
    <font>
      <sz val="8"/>
      <color theme="4" tint="-0.249977111117893"/>
      <name val="Calibri"/>
      <charset val="134"/>
    </font>
    <font>
      <b/>
      <sz val="14"/>
      <color theme="4" tint="-0.249977111117893"/>
      <name val="Calibri"/>
      <charset val="134"/>
    </font>
    <font>
      <b/>
      <sz val="12"/>
      <color theme="4" tint="-0.249977111117893"/>
      <name val="Calibri"/>
      <charset val="134"/>
    </font>
    <font>
      <sz val="18"/>
      <name val="Calibri"/>
      <charset val="134"/>
      <scheme val="minor"/>
    </font>
    <font>
      <b/>
      <sz val="10"/>
      <color indexed="8"/>
      <name val="Calibri"/>
      <charset val="134"/>
    </font>
    <font>
      <sz val="11"/>
      <color indexed="8"/>
      <name val="Calibri"/>
      <charset val="134"/>
    </font>
    <font>
      <b/>
      <sz val="18"/>
      <name val="Calibri"/>
      <charset val="134"/>
      <scheme val="minor"/>
    </font>
    <font>
      <sz val="9"/>
      <color indexed="8"/>
      <name val="Calibri"/>
      <charset val="134"/>
    </font>
    <font>
      <b/>
      <sz val="14"/>
      <name val="Calibri"/>
      <charset val="134"/>
    </font>
    <font>
      <sz val="11"/>
      <color rgb="FF002451"/>
      <name val="Calibri"/>
      <charset val="134"/>
    </font>
    <font>
      <b/>
      <sz val="11"/>
      <color rgb="FF808080"/>
      <name val="Calibri"/>
      <charset val="134"/>
      <scheme val="minor"/>
    </font>
    <font>
      <sz val="11"/>
      <color rgb="FF808080"/>
      <name val="Calibri"/>
      <charset val="134"/>
      <scheme val="minor"/>
    </font>
    <font>
      <sz val="18"/>
      <color theme="0"/>
      <name val="Calibri"/>
      <charset val="134"/>
      <scheme val="minor"/>
    </font>
    <font>
      <sz val="12"/>
      <color indexed="8"/>
      <name val="Calibri"/>
      <charset val="134"/>
      <scheme val="minor"/>
    </font>
    <font>
      <sz val="12"/>
      <color theme="1"/>
      <name val="Calibri"/>
      <charset val="134"/>
      <scheme val="minor"/>
    </font>
    <font>
      <b/>
      <sz val="18"/>
      <color theme="3" tint="-0.499984740745262"/>
      <name val="Calibri"/>
      <charset val="134"/>
      <scheme val="minor"/>
    </font>
    <font>
      <sz val="9"/>
      <color indexed="9"/>
      <name val="Calibri"/>
      <charset val="134"/>
      <scheme val="minor"/>
    </font>
    <font>
      <b/>
      <sz val="10"/>
      <color indexed="8"/>
      <name val="Calibri"/>
      <charset val="134"/>
      <scheme val="minor"/>
    </font>
    <font>
      <sz val="10"/>
      <color rgb="FF382E2C"/>
      <name val="Calibri"/>
      <charset val="134"/>
      <scheme val="minor"/>
    </font>
    <font>
      <b/>
      <sz val="20"/>
      <name val="Calibri"/>
      <charset val="134"/>
      <scheme val="minor"/>
    </font>
    <font>
      <b/>
      <sz val="12"/>
      <name val="Calibri"/>
      <charset val="134"/>
      <scheme val="minor"/>
    </font>
    <font>
      <sz val="12"/>
      <name val="Calibri"/>
      <charset val="134"/>
      <scheme val="minor"/>
    </font>
    <font>
      <u/>
      <sz val="11"/>
      <color theme="4" tint="-0.249977111117893"/>
      <name val="Calibri"/>
      <charset val="134"/>
      <scheme val="minor"/>
    </font>
    <font>
      <sz val="12"/>
      <color rgb="FFFF0000"/>
      <name val="Calibri"/>
      <charset val="134"/>
      <scheme val="minor"/>
    </font>
    <font>
      <b/>
      <sz val="12"/>
      <color rgb="FF382E2C"/>
      <name val="Calibri"/>
      <charset val="134"/>
      <scheme val="minor"/>
    </font>
    <font>
      <sz val="11"/>
      <color theme="0"/>
      <name val="Calibri"/>
      <charset val="134"/>
      <scheme val="minor"/>
    </font>
    <font>
      <b/>
      <sz val="14"/>
      <color theme="1"/>
      <name val="Calibri"/>
      <charset val="134"/>
      <scheme val="minor"/>
    </font>
    <font>
      <sz val="11"/>
      <color rgb="FFFF0000"/>
      <name val="Calibri"/>
      <charset val="134"/>
      <scheme val="minor"/>
    </font>
    <font>
      <i/>
      <sz val="10"/>
      <color rgb="FF382E2C"/>
      <name val="Calibri"/>
      <charset val="134"/>
      <scheme val="minor"/>
    </font>
    <font>
      <b/>
      <sz val="14"/>
      <color theme="0"/>
      <name val="Calibri"/>
      <charset val="134"/>
      <scheme val="minor"/>
    </font>
    <font>
      <b/>
      <sz val="14"/>
      <color rgb="FFFF0000"/>
      <name val="Calibri"/>
      <charset val="134"/>
      <scheme val="minor"/>
    </font>
    <font>
      <b/>
      <sz val="13"/>
      <color rgb="FF8D2E42"/>
      <name val="Calibri"/>
      <charset val="134"/>
      <scheme val="minor"/>
    </font>
    <font>
      <sz val="12"/>
      <color theme="0"/>
      <name val="Calibri"/>
      <charset val="134"/>
      <scheme val="minor"/>
    </font>
    <font>
      <i/>
      <sz val="10"/>
      <color theme="0"/>
      <name val="Calibri"/>
      <charset val="134"/>
      <scheme val="minor"/>
    </font>
    <font>
      <i/>
      <sz val="10"/>
      <color indexed="8"/>
      <name val="Calibri"/>
      <charset val="134"/>
      <scheme val="minor"/>
    </font>
    <font>
      <i/>
      <sz val="10"/>
      <color theme="1"/>
      <name val="Calibri"/>
      <charset val="134"/>
      <scheme val="minor"/>
    </font>
    <font>
      <sz val="13"/>
      <color theme="1"/>
      <name val="Calibri"/>
      <charset val="134"/>
      <scheme val="minor"/>
    </font>
    <font>
      <b/>
      <sz val="13"/>
      <color rgb="FFC0504D"/>
      <name val="Calibri"/>
      <charset val="134"/>
      <scheme val="minor"/>
    </font>
    <font>
      <b/>
      <sz val="13"/>
      <color theme="9" tint="-0.249977111117893"/>
      <name val="Calibri"/>
      <charset val="134"/>
      <scheme val="minor"/>
    </font>
    <font>
      <b/>
      <i/>
      <sz val="12"/>
      <color rgb="FF382E2C"/>
      <name val="Calibri"/>
      <charset val="134"/>
      <scheme val="minor"/>
    </font>
    <font>
      <b/>
      <sz val="13"/>
      <color theme="9" tint="0.399975585192419"/>
      <name val="Calibri"/>
      <charset val="134"/>
      <scheme val="minor"/>
    </font>
    <font>
      <sz val="20"/>
      <name val="Calibri"/>
      <charset val="134"/>
      <scheme val="minor"/>
    </font>
    <font>
      <i/>
      <sz val="10"/>
      <color rgb="FFFF0000"/>
      <name val="Calibri"/>
      <charset val="134"/>
      <scheme val="minor"/>
    </font>
    <font>
      <i/>
      <sz val="12"/>
      <color theme="0"/>
      <name val="Calibri"/>
      <charset val="134"/>
      <scheme val="minor"/>
    </font>
    <font>
      <i/>
      <sz val="12"/>
      <color rgb="FFFF0000"/>
      <name val="Calibri"/>
      <charset val="134"/>
      <scheme val="minor"/>
    </font>
    <font>
      <sz val="12"/>
      <color rgb="FF382E2C"/>
      <name val="Calibri"/>
      <charset val="134"/>
      <scheme val="minor"/>
    </font>
    <font>
      <sz val="10.5"/>
      <color theme="1"/>
      <name val="Calibri"/>
      <charset val="134"/>
      <scheme val="minor"/>
    </font>
    <font>
      <i/>
      <sz val="11"/>
      <color rgb="FF382E2C"/>
      <name val="Calibri"/>
      <charset val="134"/>
      <scheme val="minor"/>
    </font>
    <font>
      <b/>
      <sz val="11"/>
      <color rgb="FF382E2C"/>
      <name val="Calibri"/>
      <charset val="134"/>
      <scheme val="minor"/>
    </font>
    <font>
      <b/>
      <sz val="12"/>
      <color theme="0"/>
      <name val="Calibri"/>
      <charset val="134"/>
      <scheme val="minor"/>
    </font>
    <font>
      <b/>
      <sz val="14"/>
      <color indexed="8"/>
      <name val="Calibri"/>
      <charset val="134"/>
      <scheme val="minor"/>
    </font>
    <font>
      <b/>
      <sz val="18"/>
      <color theme="1"/>
      <name val="Calibri"/>
      <charset val="134"/>
      <scheme val="minor"/>
    </font>
    <font>
      <b/>
      <sz val="16"/>
      <color theme="3" tint="-0.499984740745262"/>
      <name val="Calibri"/>
      <charset val="134"/>
    </font>
    <font>
      <sz val="12"/>
      <color theme="3" tint="-0.499984740745262"/>
      <name val="Calibri"/>
      <charset val="134"/>
      <scheme val="minor"/>
    </font>
    <font>
      <sz val="10"/>
      <color theme="3" tint="-0.499984740745262"/>
      <name val="Calibri"/>
      <charset val="134"/>
    </font>
    <font>
      <sz val="11"/>
      <color theme="3" tint="-0.499984740745262"/>
      <name val="Calibri"/>
      <charset val="134"/>
      <scheme val="minor"/>
    </font>
    <font>
      <b/>
      <sz val="16"/>
      <color theme="3" tint="-0.499984740745262"/>
      <name val="Calibri"/>
      <charset val="134"/>
      <scheme val="minor"/>
    </font>
    <font>
      <b/>
      <sz val="12"/>
      <color theme="3" tint="-0.499984740745262"/>
      <name val="Calibri"/>
      <charset val="134"/>
    </font>
    <font>
      <sz val="10"/>
      <color theme="0"/>
      <name val="Calibri"/>
      <charset val="134"/>
    </font>
    <font>
      <sz val="12"/>
      <color theme="3" tint="-0.499984740745262"/>
      <name val="Calibri"/>
      <charset val="134"/>
    </font>
    <font>
      <sz val="11"/>
      <color rgb="FF382E2C"/>
      <name val="Calibri"/>
      <charset val="134"/>
      <scheme val="minor"/>
    </font>
    <font>
      <b/>
      <sz val="8"/>
      <name val="Calibri"/>
      <charset val="134"/>
      <scheme val="minor"/>
    </font>
    <font>
      <b/>
      <sz val="10"/>
      <name val="Calibri"/>
      <charset val="134"/>
      <scheme val="minor"/>
    </font>
    <font>
      <b/>
      <sz val="9"/>
      <name val="Wingdings 3"/>
      <charset val="2"/>
    </font>
    <font>
      <b/>
      <sz val="9"/>
      <name val="Calibri"/>
      <charset val="134"/>
      <scheme val="minor"/>
    </font>
    <font>
      <sz val="8"/>
      <color rgb="FF382E2C"/>
      <name val="Arial"/>
      <charset val="134"/>
    </font>
    <font>
      <sz val="8"/>
      <color rgb="FF382E2C"/>
      <name val="Calibri"/>
      <charset val="134"/>
      <scheme val="minor"/>
    </font>
    <font>
      <sz val="9"/>
      <color rgb="FF382E2C"/>
      <name val="Calibri"/>
      <charset val="134"/>
      <scheme val="minor"/>
    </font>
    <font>
      <sz val="9"/>
      <color rgb="FF382E2C"/>
      <name val="Wingdings 3"/>
      <charset val="2"/>
    </font>
    <font>
      <sz val="10"/>
      <color rgb="FF382E2C"/>
      <name val="Wingdings 3"/>
      <charset val="2"/>
    </font>
    <font>
      <b/>
      <sz val="10"/>
      <color rgb="FF382E2C"/>
      <name val="Calibri"/>
      <charset val="134"/>
      <scheme val="minor"/>
    </font>
    <font>
      <i/>
      <sz val="12"/>
      <color indexed="8"/>
      <name val="Calibri"/>
      <charset val="134"/>
      <scheme val="minor"/>
    </font>
    <font>
      <sz val="18"/>
      <color rgb="FF002451"/>
      <name val="Calibri"/>
      <charset val="134"/>
      <scheme val="minor"/>
    </font>
    <font>
      <sz val="11"/>
      <color indexed="8"/>
      <name val="Calibri"/>
      <charset val="134"/>
      <scheme val="minor"/>
    </font>
    <font>
      <b/>
      <i/>
      <sz val="10"/>
      <name val="Calibri"/>
      <charset val="134"/>
      <scheme val="minor"/>
    </font>
    <font>
      <i/>
      <sz val="12"/>
      <color theme="1"/>
      <name val="Calibri"/>
      <charset val="134"/>
      <scheme val="minor"/>
    </font>
    <font>
      <b/>
      <i/>
      <sz val="12"/>
      <name val="Calibri"/>
      <charset val="134"/>
      <scheme val="minor"/>
    </font>
    <font>
      <sz val="16"/>
      <color indexed="9"/>
      <name val="Calibri"/>
      <charset val="134"/>
      <scheme val="minor"/>
    </font>
    <font>
      <b/>
      <sz val="11"/>
      <name val="Calibri"/>
      <charset val="134"/>
      <scheme val="minor"/>
    </font>
    <font>
      <i/>
      <sz val="12"/>
      <name val="Calibri"/>
      <charset val="134"/>
      <scheme val="minor"/>
    </font>
    <font>
      <i/>
      <sz val="10"/>
      <name val="Calibri"/>
      <charset val="134"/>
      <scheme val="minor"/>
    </font>
    <font>
      <b/>
      <sz val="10"/>
      <color indexed="9"/>
      <name val="Calibri"/>
      <charset val="134"/>
      <scheme val="minor"/>
    </font>
    <font>
      <b/>
      <sz val="12"/>
      <color indexed="9"/>
      <name val="Calibri"/>
      <charset val="134"/>
      <scheme val="minor"/>
    </font>
    <font>
      <sz val="10"/>
      <color indexed="9"/>
      <name val="Calibri"/>
      <charset val="134"/>
      <scheme val="minor"/>
    </font>
    <font>
      <u/>
      <sz val="12"/>
      <color indexed="9"/>
      <name val="Calibri"/>
      <charset val="134"/>
      <scheme val="minor"/>
    </font>
    <font>
      <b/>
      <sz val="11"/>
      <color rgb="FF1414A0"/>
      <name val="Calibri"/>
      <charset val="134"/>
      <scheme val="minor"/>
    </font>
    <font>
      <b/>
      <sz val="14"/>
      <color indexed="55"/>
      <name val="Calibri"/>
      <charset val="134"/>
      <scheme val="minor"/>
    </font>
    <font>
      <sz val="11"/>
      <color theme="1"/>
      <name val="Calibri"/>
      <charset val="134"/>
      <scheme val="minor"/>
    </font>
    <font>
      <sz val="11"/>
      <color theme="0"/>
      <name val="Calibri"/>
      <charset val="0"/>
      <scheme val="minor"/>
    </font>
    <font>
      <b/>
      <sz val="11"/>
      <color theme="1"/>
      <name val="Calibri"/>
      <charset val="0"/>
      <scheme val="minor"/>
    </font>
    <font>
      <b/>
      <sz val="11"/>
      <color theme="3"/>
      <name val="Calibri"/>
      <charset val="134"/>
      <scheme val="minor"/>
    </font>
    <font>
      <b/>
      <sz val="18"/>
      <color theme="3"/>
      <name val="Calibri"/>
      <charset val="134"/>
      <scheme val="minor"/>
    </font>
    <font>
      <u/>
      <sz val="11"/>
      <color rgb="FF0000FF"/>
      <name val="Calibri"/>
      <charset val="0"/>
      <scheme val="minor"/>
    </font>
    <font>
      <sz val="11"/>
      <color rgb="FFFF0000"/>
      <name val="Calibri"/>
      <charset val="0"/>
      <scheme val="minor"/>
    </font>
    <font>
      <sz val="11"/>
      <color rgb="FF3F3F76"/>
      <name val="Calibri"/>
      <charset val="0"/>
      <scheme val="minor"/>
    </font>
    <font>
      <b/>
      <sz val="13"/>
      <color theme="3"/>
      <name val="Calibri"/>
      <charset val="134"/>
      <scheme val="minor"/>
    </font>
    <font>
      <sz val="11"/>
      <color theme="1"/>
      <name val="Calibri"/>
      <charset val="0"/>
      <scheme val="minor"/>
    </font>
    <font>
      <i/>
      <sz val="11"/>
      <color rgb="FF7F7F7F"/>
      <name val="Calibri"/>
      <charset val="0"/>
      <scheme val="minor"/>
    </font>
    <font>
      <u/>
      <sz val="11"/>
      <color rgb="FF800080"/>
      <name val="Calibri"/>
      <charset val="0"/>
      <scheme val="minor"/>
    </font>
    <font>
      <b/>
      <sz val="11"/>
      <color rgb="FFFA7D00"/>
      <name val="Calibri"/>
      <charset val="0"/>
      <scheme val="minor"/>
    </font>
    <font>
      <b/>
      <sz val="15"/>
      <color theme="3"/>
      <name val="Calibri"/>
      <charset val="134"/>
      <scheme val="minor"/>
    </font>
    <font>
      <sz val="10"/>
      <color indexed="8"/>
      <name val="MS Sans Serif"/>
      <charset val="134"/>
    </font>
    <font>
      <sz val="11"/>
      <color rgb="FF006100"/>
      <name val="Calibri"/>
      <charset val="0"/>
      <scheme val="minor"/>
    </font>
    <font>
      <b/>
      <sz val="11"/>
      <color rgb="FFFFFFFF"/>
      <name val="Calibri"/>
      <charset val="0"/>
      <scheme val="minor"/>
    </font>
    <font>
      <b/>
      <sz val="15"/>
      <color indexed="56"/>
      <name val="Calibri"/>
      <charset val="134"/>
    </font>
    <font>
      <sz val="1"/>
      <color indexed="8"/>
      <name val="Courier"/>
      <charset val="134"/>
    </font>
    <font>
      <b/>
      <sz val="11"/>
      <color rgb="FF3F3F3F"/>
      <name val="Calibri"/>
      <charset val="0"/>
      <scheme val="minor"/>
    </font>
    <font>
      <sz val="10"/>
      <name val="돋움"/>
      <charset val="129"/>
    </font>
    <font>
      <sz val="10"/>
      <name val="MS Sans Serif"/>
      <charset val="134"/>
    </font>
    <font>
      <sz val="10"/>
      <color indexed="10"/>
      <name val="Arial"/>
      <charset val="134"/>
    </font>
    <font>
      <b/>
      <sz val="18"/>
      <color theme="3"/>
      <name val="Cambria"/>
      <charset val="134"/>
      <scheme val="major"/>
    </font>
    <font>
      <sz val="10"/>
      <name val="Times New Roman"/>
      <charset val="134"/>
    </font>
    <font>
      <u/>
      <sz val="9.9"/>
      <color theme="10"/>
      <name val="Calibri"/>
      <charset val="134"/>
    </font>
    <font>
      <u/>
      <sz val="11"/>
      <color theme="10"/>
      <name val="Calibri"/>
      <charset val="134"/>
    </font>
    <font>
      <sz val="11"/>
      <color rgb="FFFA7D00"/>
      <name val="Calibri"/>
      <charset val="0"/>
      <scheme val="minor"/>
    </font>
    <font>
      <sz val="11"/>
      <color rgb="FF9C6500"/>
      <name val="Calibri"/>
      <charset val="0"/>
      <scheme val="minor"/>
    </font>
    <font>
      <sz val="12"/>
      <name val="DTMLetterRegular"/>
      <charset val="134"/>
    </font>
    <font>
      <sz val="11"/>
      <color rgb="FF9C0006"/>
      <name val="Calibri"/>
      <charset val="0"/>
      <scheme val="minor"/>
    </font>
    <font>
      <b/>
      <sz val="10"/>
      <color indexed="8"/>
      <name val="Arial"/>
      <charset val="134"/>
    </font>
    <font>
      <b/>
      <sz val="11"/>
      <color indexed="9"/>
      <name val="Calibri"/>
      <charset val="134"/>
    </font>
    <font>
      <b/>
      <sz val="11"/>
      <color indexed="52"/>
      <name val="Calibri"/>
      <charset val="134"/>
    </font>
    <font>
      <sz val="12"/>
      <name val="Times New Roman"/>
      <charset val="134"/>
    </font>
    <font>
      <sz val="10"/>
      <color indexed="8"/>
      <name val="Arial"/>
      <charset val="134"/>
    </font>
    <font>
      <u/>
      <sz val="10"/>
      <color theme="10"/>
      <name val="Arial"/>
      <charset val="134"/>
    </font>
    <font>
      <sz val="11"/>
      <name val="돋움"/>
      <charset val="129"/>
    </font>
    <font>
      <sz val="11"/>
      <name val="SL Swiss"/>
      <charset val="134"/>
    </font>
    <font>
      <sz val="9"/>
      <name val="Verdana"/>
      <charset val="134"/>
    </font>
    <font>
      <sz val="6"/>
      <color indexed="8"/>
      <name val="Arial"/>
      <charset val="134"/>
    </font>
    <font>
      <sz val="11"/>
      <color indexed="17"/>
      <name val="Calibri"/>
      <charset val="134"/>
    </font>
    <font>
      <sz val="11"/>
      <name val="Arial"/>
      <charset val="134"/>
    </font>
    <font>
      <b/>
      <sz val="11"/>
      <color indexed="56"/>
      <name val="Calibri"/>
      <charset val="134"/>
    </font>
    <font>
      <sz val="11"/>
      <color indexed="20"/>
      <name val="Calibri"/>
      <charset val="134"/>
    </font>
    <font>
      <sz val="12"/>
      <name val="宋体"/>
      <charset val="134"/>
    </font>
    <font>
      <u/>
      <sz val="10"/>
      <color indexed="12"/>
      <name val="Arial"/>
      <charset val="134"/>
    </font>
    <font>
      <b/>
      <sz val="10"/>
      <name val="Arial"/>
      <charset val="134"/>
    </font>
    <font>
      <i/>
      <sz val="11"/>
      <color indexed="23"/>
      <name val="Calibri"/>
      <charset val="134"/>
    </font>
    <font>
      <b/>
      <sz val="12"/>
      <color indexed="8"/>
      <name val="Arial"/>
      <charset val="134"/>
    </font>
    <font>
      <sz val="7.5"/>
      <name val="Century Schoolbook"/>
      <charset val="134"/>
    </font>
    <font>
      <b/>
      <sz val="11"/>
      <color indexed="63"/>
      <name val="Calibri"/>
      <charset val="134"/>
    </font>
    <font>
      <b/>
      <sz val="12"/>
      <color rgb="FF000000"/>
      <name val="Calibri"/>
      <charset val="134"/>
    </font>
    <font>
      <sz val="10"/>
      <color rgb="FF000000"/>
      <name val="Arial"/>
      <charset val="134"/>
    </font>
    <font>
      <sz val="11"/>
      <color indexed="52"/>
      <name val="Calibri"/>
      <charset val="134"/>
    </font>
    <font>
      <b/>
      <sz val="13"/>
      <color indexed="56"/>
      <name val="Calibri"/>
      <charset val="134"/>
    </font>
    <font>
      <sz val="8"/>
      <name val="Futura Lt BT"/>
      <charset val="134"/>
    </font>
    <font>
      <sz val="11"/>
      <color indexed="62"/>
      <name val="Calibri"/>
      <charset val="134"/>
    </font>
    <font>
      <sz val="12"/>
      <name val="Arial"/>
      <charset val="134"/>
    </font>
    <font>
      <sz val="11"/>
      <color indexed="60"/>
      <name val="Calibri"/>
      <charset val="134"/>
    </font>
    <font>
      <sz val="10"/>
      <name val="Arial CE"/>
      <charset val="134"/>
    </font>
    <font>
      <b/>
      <sz val="14"/>
      <color indexed="23"/>
      <name val="Arial"/>
      <charset val="134"/>
    </font>
    <font>
      <sz val="12"/>
      <name val="바탕체"/>
      <charset val="129"/>
    </font>
    <font>
      <sz val="11"/>
      <color theme="1"/>
      <name val="맑은 고딕"/>
      <charset val="129"/>
    </font>
    <font>
      <sz val="11"/>
      <name val="ＭＳ Ｐゴシック"/>
      <charset val="128"/>
    </font>
    <font>
      <b/>
      <u/>
      <sz val="9"/>
      <color theme="0"/>
      <name val="Arial"/>
      <charset val="134"/>
    </font>
    <font>
      <i/>
      <sz val="14"/>
      <color rgb="FF000000"/>
      <name val="Calibri"/>
      <charset val="134"/>
      <scheme val="minor"/>
    </font>
  </fonts>
  <fills count="82">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rgb="FF92D050"/>
        <bgColor indexed="64"/>
      </patternFill>
    </fill>
    <fill>
      <patternFill patternType="solid">
        <fgColor rgb="FFFDF8D9"/>
        <bgColor indexed="64"/>
      </patternFill>
    </fill>
    <fill>
      <patternFill patternType="solid">
        <fgColor theme="1" tint="0.249977111117893"/>
        <bgColor indexed="64"/>
      </patternFill>
    </fill>
    <fill>
      <patternFill patternType="solid">
        <fgColor theme="0" tint="-0.349986266670736"/>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rgb="FFDCE6F2"/>
        <bgColor indexed="64"/>
      </patternFill>
    </fill>
    <fill>
      <patternFill patternType="solid">
        <fgColor theme="0"/>
        <bgColor indexed="64"/>
      </patternFill>
    </fill>
    <fill>
      <patternFill patternType="solid">
        <fgColor rgb="FF5B84A2"/>
        <bgColor indexed="64"/>
      </patternFill>
    </fill>
    <fill>
      <patternFill patternType="solid">
        <fgColor theme="3" tint="-0.249977111117893"/>
        <bgColor indexed="64"/>
      </patternFill>
    </fill>
    <fill>
      <patternFill patternType="solid">
        <fgColor rgb="FF002451"/>
        <bgColor indexed="64"/>
      </patternFill>
    </fill>
    <fill>
      <patternFill patternType="solid">
        <fgColor theme="4" tint="0.599993896298105"/>
        <bgColor indexed="64"/>
      </patternFill>
    </fill>
    <fill>
      <patternFill patternType="solid">
        <fgColor theme="0" tint="-0.0499893185216834"/>
        <bgColor indexed="64"/>
      </patternFill>
    </fill>
    <fill>
      <patternFill patternType="solid">
        <fgColor theme="5" tint="0.799981688894314"/>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theme="6" tint="0.799981688894314"/>
        <bgColor indexed="64"/>
      </patternFill>
    </fill>
    <fill>
      <patternFill patternType="solid">
        <fgColor indexed="51"/>
        <bgColor indexed="64"/>
      </patternFill>
    </fill>
    <fill>
      <patternFill patternType="solid">
        <fgColor indexed="8"/>
        <bgColor indexed="64"/>
      </patternFill>
    </fill>
    <fill>
      <patternFill patternType="solid">
        <fgColor theme="9" tint="0.399975585192419"/>
        <bgColor indexed="64"/>
      </patternFill>
    </fill>
    <fill>
      <patternFill patternType="solid">
        <fgColor indexed="13"/>
        <bgColor indexed="64"/>
      </patternFill>
    </fill>
    <fill>
      <patternFill patternType="solid">
        <fgColor indexed="43"/>
        <bgColor indexed="64"/>
      </patternFill>
    </fill>
    <fill>
      <patternFill patternType="solid">
        <fgColor theme="9" tint="-0.249977111117893"/>
        <bgColor indexed="64"/>
      </patternFill>
    </fill>
    <fill>
      <patternFill patternType="solid">
        <fgColor rgb="FF8EAAC2"/>
        <bgColor indexed="64"/>
      </patternFill>
    </fill>
    <fill>
      <patternFill patternType="solid">
        <fgColor theme="9" tint="0.799981688894314"/>
        <bgColor indexed="64"/>
      </patternFill>
    </fill>
    <fill>
      <patternFill patternType="solid">
        <fgColor theme="9" tint="-0.499984740745262"/>
        <bgColor indexed="64"/>
      </patternFill>
    </fill>
    <fill>
      <patternFill patternType="solid">
        <fgColor rgb="FFFDE9D9"/>
        <bgColor indexed="64"/>
      </patternFill>
    </fill>
    <fill>
      <patternFill patternType="solid">
        <fgColor indexed="42"/>
        <bgColor indexed="64"/>
      </patternFill>
    </fill>
    <fill>
      <patternFill patternType="solid">
        <fgColor theme="4"/>
        <bgColor indexed="64"/>
      </patternFill>
    </fill>
    <fill>
      <patternFill patternType="solid">
        <fgColor theme="6"/>
        <bgColor indexed="64"/>
      </patternFill>
    </fill>
    <fill>
      <patternFill patternType="solid">
        <fgColor theme="9" tint="0.399975585192419"/>
        <bgColor indexed="64"/>
      </patternFill>
    </fill>
    <fill>
      <patternFill patternType="solid">
        <fgColor theme="9"/>
        <bgColor indexed="64"/>
      </patternFill>
    </fill>
    <fill>
      <patternFill patternType="solid">
        <fgColor rgb="FFFFCC9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rgb="FFF2F2F2"/>
        <bgColor indexed="64"/>
      </patternFill>
    </fill>
    <fill>
      <patternFill patternType="solid">
        <fgColor theme="7"/>
        <bgColor indexed="64"/>
      </patternFill>
    </fill>
    <fill>
      <patternFill patternType="solid">
        <fgColor rgb="FFFFFFCC"/>
        <bgColor indexed="64"/>
      </patternFill>
    </fill>
    <fill>
      <patternFill patternType="solid">
        <fgColor theme="6" tint="0.599993896298105"/>
        <bgColor indexed="64"/>
      </patternFill>
    </fill>
    <fill>
      <patternFill patternType="solid">
        <fgColor theme="4"/>
        <bgColor indexed="64"/>
      </patternFill>
    </fill>
    <fill>
      <patternFill patternType="solid">
        <fgColor indexed="44"/>
        <bgColor indexed="64"/>
      </patternFill>
    </fill>
    <fill>
      <patternFill patternType="solid">
        <fgColor indexed="31"/>
        <bgColor indexed="64"/>
      </patternFill>
    </fill>
    <fill>
      <patternFill patternType="solid">
        <fgColor rgb="FFC6EFCE"/>
        <bgColor indexed="64"/>
      </patternFill>
    </fill>
    <fill>
      <patternFill patternType="solid">
        <fgColor theme="7"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5"/>
        <bgColor indexed="64"/>
      </patternFill>
    </fill>
    <fill>
      <patternFill patternType="solid">
        <fgColor theme="7" tint="0.399975585192419"/>
        <bgColor indexed="64"/>
      </patternFill>
    </fill>
    <fill>
      <patternFill patternType="solid">
        <fgColor indexed="47"/>
        <bgColor indexed="64"/>
      </patternFill>
    </fill>
    <fill>
      <patternFill patternType="solid">
        <fgColor theme="8"/>
        <bgColor indexed="64"/>
      </patternFill>
    </fill>
    <fill>
      <patternFill patternType="solid">
        <fgColor theme="7"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indexed="11"/>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rgb="FFFFC7CE"/>
        <bgColor indexed="64"/>
      </patternFill>
    </fill>
    <fill>
      <patternFill patternType="gray0625">
        <fgColor indexed="9"/>
      </patternFill>
    </fill>
    <fill>
      <patternFill patternType="solid">
        <fgColor theme="8" tint="0.599993896298105"/>
        <bgColor indexed="64"/>
      </patternFill>
    </fill>
    <fill>
      <patternFill patternType="solid">
        <fgColor indexed="55"/>
        <bgColor indexed="64"/>
      </patternFill>
    </fill>
    <fill>
      <patternFill patternType="solid">
        <fgColor indexed="45"/>
        <bgColor indexed="64"/>
      </patternFill>
    </fill>
    <fill>
      <patternFill patternType="solid">
        <fgColor indexed="27"/>
        <bgColor indexed="64"/>
      </patternFill>
    </fill>
    <fill>
      <patternFill patternType="solid">
        <fgColor indexed="49"/>
        <bgColor indexed="64"/>
      </patternFill>
    </fill>
    <fill>
      <patternFill patternType="solid">
        <fgColor indexed="22"/>
        <bgColor indexed="64"/>
      </patternFill>
    </fill>
    <fill>
      <patternFill patternType="solid">
        <fgColor indexed="29"/>
        <bgColor indexed="64"/>
      </patternFill>
    </fill>
    <fill>
      <patternFill patternType="solid">
        <fgColor indexed="46"/>
        <bgColor indexed="64"/>
      </patternFill>
    </fill>
    <fill>
      <patternFill patternType="solid">
        <fgColor indexed="61"/>
        <bgColor indexed="64"/>
      </patternFill>
    </fill>
    <fill>
      <patternFill patternType="solid">
        <fgColor indexed="36"/>
        <bgColor indexed="64"/>
      </patternFill>
    </fill>
    <fill>
      <patternFill patternType="solid">
        <fgColor indexed="30"/>
        <bgColor indexed="64"/>
      </patternFill>
    </fill>
    <fill>
      <patternFill patternType="solid">
        <fgColor indexed="52"/>
        <bgColor indexed="64"/>
      </patternFill>
    </fill>
    <fill>
      <patternFill patternType="solid">
        <fgColor rgb="FFFFFFCC"/>
        <bgColor indexed="64"/>
      </patternFill>
    </fill>
    <fill>
      <patternFill patternType="solid">
        <fgColor indexed="23"/>
        <bgColor indexed="64"/>
      </patternFill>
    </fill>
  </fills>
  <borders count="100">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medium">
        <color auto="1"/>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right/>
      <top style="thin">
        <color auto="1"/>
      </top>
      <bottom style="thin">
        <color auto="1"/>
      </bottom>
      <diagonal/>
    </border>
    <border>
      <left style="thin">
        <color rgb="FF002451"/>
      </left>
      <right/>
      <top style="thin">
        <color rgb="FF002451"/>
      </top>
      <bottom/>
      <diagonal/>
    </border>
    <border>
      <left/>
      <right/>
      <top style="thin">
        <color rgb="FF002451"/>
      </top>
      <bottom style="dotted">
        <color rgb="FF002451"/>
      </bottom>
      <diagonal/>
    </border>
    <border>
      <left/>
      <right/>
      <top style="thin">
        <color rgb="FF002451"/>
      </top>
      <bottom/>
      <diagonal/>
    </border>
    <border>
      <left/>
      <right style="dotted">
        <color rgb="FF002451"/>
      </right>
      <top style="thin">
        <color rgb="FF002451"/>
      </top>
      <bottom style="dotted">
        <color rgb="FF002451"/>
      </bottom>
      <diagonal/>
    </border>
    <border>
      <left style="dotted">
        <color rgb="FF002451"/>
      </left>
      <right style="dotted">
        <color rgb="FF002451"/>
      </right>
      <top style="thin">
        <color rgb="FF002451"/>
      </top>
      <bottom style="dotted">
        <color rgb="FF002451"/>
      </bottom>
      <diagonal/>
    </border>
    <border>
      <left style="dotted">
        <color rgb="FF002451"/>
      </left>
      <right style="dotted">
        <color rgb="FF002451"/>
      </right>
      <top style="thin">
        <color auto="1"/>
      </top>
      <bottom/>
      <diagonal/>
    </border>
    <border>
      <left/>
      <right style="dotted">
        <color rgb="FF002451"/>
      </right>
      <top style="thin">
        <color rgb="FF002451"/>
      </top>
      <bottom/>
      <diagonal/>
    </border>
    <border>
      <left style="thin">
        <color auto="1"/>
      </left>
      <right style="dotted">
        <color rgb="FF002451"/>
      </right>
      <top style="thin">
        <color auto="1"/>
      </top>
      <bottom/>
      <diagonal/>
    </border>
    <border>
      <left style="dotted">
        <color rgb="FF002451"/>
      </left>
      <right/>
      <top style="thin">
        <color auto="1"/>
      </top>
      <bottom/>
      <diagonal/>
    </border>
    <border>
      <left/>
      <right style="dotted">
        <color rgb="FF002451"/>
      </right>
      <top style="thin">
        <color auto="1"/>
      </top>
      <bottom style="thin">
        <color auto="1"/>
      </bottom>
      <diagonal/>
    </border>
    <border>
      <left style="thin">
        <color auto="1"/>
      </left>
      <right style="dotted">
        <color rgb="FF002451"/>
      </right>
      <top style="thin">
        <color auto="1"/>
      </top>
      <bottom style="thin">
        <color auto="1"/>
      </bottom>
      <diagonal/>
    </border>
    <border>
      <left/>
      <right style="dotted">
        <color auto="1"/>
      </right>
      <top/>
      <bottom/>
      <diagonal/>
    </border>
    <border>
      <left style="thin">
        <color rgb="FF002451"/>
      </left>
      <right/>
      <top style="thin">
        <color rgb="FF002451"/>
      </top>
      <bottom style="dotted">
        <color rgb="FF002451"/>
      </bottom>
      <diagonal/>
    </border>
    <border>
      <left style="thin">
        <color rgb="FF002451"/>
      </left>
      <right/>
      <top style="dotted">
        <color rgb="FF002451"/>
      </top>
      <bottom style="dotted">
        <color rgb="FF002451"/>
      </bottom>
      <diagonal/>
    </border>
    <border>
      <left/>
      <right/>
      <top style="dotted">
        <color rgb="FF002451"/>
      </top>
      <bottom style="dotted">
        <color rgb="FF002451"/>
      </bottom>
      <diagonal/>
    </border>
    <border>
      <left style="dotted">
        <color auto="1"/>
      </left>
      <right style="dotted">
        <color auto="1"/>
      </right>
      <top/>
      <bottom/>
      <diagonal/>
    </border>
    <border>
      <left style="dotted">
        <color rgb="FF002451"/>
      </left>
      <right style="dotted">
        <color rgb="FF002451"/>
      </right>
      <top/>
      <bottom style="dotted">
        <color rgb="FF002451"/>
      </bottom>
      <diagonal/>
    </border>
    <border>
      <left/>
      <right/>
      <top/>
      <bottom style="dotted">
        <color rgb="FF002451"/>
      </bottom>
      <diagonal/>
    </border>
    <border>
      <left style="dotted">
        <color rgb="FF002451"/>
      </left>
      <right style="dotted">
        <color rgb="FF002451"/>
      </right>
      <top style="thin">
        <color auto="1"/>
      </top>
      <bottom style="thin">
        <color auto="1"/>
      </bottom>
      <diagonal/>
    </border>
    <border>
      <left/>
      <right style="dotted">
        <color rgb="FF002451"/>
      </right>
      <top style="thin">
        <color auto="1"/>
      </top>
      <bottom/>
      <diagonal/>
    </border>
    <border>
      <left style="dotted">
        <color rgb="FF002451"/>
      </left>
      <right style="dotted">
        <color rgb="FF002451"/>
      </right>
      <top style="thin">
        <color rgb="FF002451"/>
      </top>
      <bottom/>
      <diagonal/>
    </border>
    <border>
      <left/>
      <right/>
      <top style="thin">
        <color indexed="16"/>
      </top>
      <bottom/>
      <diagonal/>
    </border>
    <border>
      <left style="thin">
        <color theme="0"/>
      </left>
      <right style="thin">
        <color theme="0"/>
      </right>
      <top style="thin">
        <color theme="0"/>
      </top>
      <bottom style="thin">
        <color theme="0"/>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auto="1"/>
      </left>
      <right/>
      <top/>
      <bottom/>
      <diagonal/>
    </border>
    <border>
      <left style="thin">
        <color auto="1"/>
      </left>
      <right style="thin">
        <color auto="1"/>
      </right>
      <top/>
      <bottom style="thin">
        <color auto="1"/>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right style="thin">
        <color auto="1"/>
      </right>
      <top style="thin">
        <color auto="1"/>
      </top>
      <bottom style="dotted">
        <color rgb="FF002451"/>
      </bottom>
      <diagonal/>
    </border>
    <border>
      <left/>
      <right style="thin">
        <color auto="1"/>
      </right>
      <top style="thin">
        <color auto="1"/>
      </top>
      <bottom/>
      <diagonal/>
    </border>
    <border>
      <left style="dotted">
        <color rgb="FF002451"/>
      </left>
      <right style="thin">
        <color auto="1"/>
      </right>
      <top style="thin">
        <color auto="1"/>
      </top>
      <bottom style="thin">
        <color auto="1"/>
      </bottom>
      <diagonal/>
    </border>
    <border>
      <left/>
      <right/>
      <top/>
      <bottom style="thin">
        <color theme="9" tint="-0.249946592608417"/>
      </bottom>
      <diagonal/>
    </border>
    <border>
      <left/>
      <right/>
      <top/>
      <bottom style="hair">
        <color indexed="55"/>
      </bottom>
      <diagonal/>
    </border>
    <border>
      <left/>
      <right/>
      <top style="thin">
        <color theme="3" tint="0.799981688894314"/>
      </top>
      <bottom style="thin">
        <color theme="3" tint="0.799981688894314"/>
      </bottom>
      <diagonal/>
    </border>
    <border>
      <left style="thin">
        <color auto="1"/>
      </left>
      <right/>
      <top style="thin">
        <color auto="1"/>
      </top>
      <bottom style="thin">
        <color auto="1"/>
      </bottom>
      <diagonal/>
    </border>
    <border>
      <left style="thin">
        <color theme="3" tint="0.599963377788629"/>
      </left>
      <right style="thin">
        <color indexed="44"/>
      </right>
      <top style="thin">
        <color auto="1"/>
      </top>
      <bottom style="thin">
        <color indexed="44"/>
      </bottom>
      <diagonal/>
    </border>
    <border>
      <left/>
      <right/>
      <top style="thin">
        <color auto="1"/>
      </top>
      <bottom style="thin">
        <color indexed="44"/>
      </bottom>
      <diagonal/>
    </border>
    <border>
      <left style="thin">
        <color theme="3" tint="0.599963377788629"/>
      </left>
      <right style="dotted">
        <color theme="4" tint="0.799981688894314"/>
      </right>
      <top style="thin">
        <color auto="1"/>
      </top>
      <bottom style="thin">
        <color indexed="44"/>
      </bottom>
      <diagonal/>
    </border>
    <border>
      <left style="thin">
        <color theme="3" tint="0.599963377788629"/>
      </left>
      <right style="thin">
        <color indexed="44"/>
      </right>
      <top style="thin">
        <color indexed="44"/>
      </top>
      <bottom style="thin">
        <color indexed="44"/>
      </bottom>
      <diagonal/>
    </border>
    <border>
      <left/>
      <right/>
      <top style="thin">
        <color indexed="44"/>
      </top>
      <bottom style="thin">
        <color indexed="44"/>
      </bottom>
      <diagonal/>
    </border>
    <border>
      <left style="thin">
        <color theme="3" tint="0.599963377788629"/>
      </left>
      <right style="dotted">
        <color theme="4" tint="0.799981688894314"/>
      </right>
      <top style="thin">
        <color indexed="44"/>
      </top>
      <bottom style="thin">
        <color indexed="44"/>
      </bottom>
      <diagonal/>
    </border>
    <border>
      <left/>
      <right style="thin">
        <color auto="1"/>
      </right>
      <top style="thin">
        <color auto="1"/>
      </top>
      <bottom style="thin">
        <color auto="1"/>
      </bottom>
      <diagonal/>
    </border>
    <border>
      <left style="dotted">
        <color theme="4" tint="0.799981688894314"/>
      </left>
      <right style="dotted">
        <color theme="4" tint="0.799981688894314"/>
      </right>
      <top style="thin">
        <color auto="1"/>
      </top>
      <bottom style="thin">
        <color indexed="44"/>
      </bottom>
      <diagonal/>
    </border>
    <border>
      <left/>
      <right style="thin">
        <color rgb="FF6599D9"/>
      </right>
      <top style="thin">
        <color auto="1"/>
      </top>
      <bottom style="thin">
        <color indexed="44"/>
      </bottom>
      <diagonal/>
    </border>
    <border>
      <left style="dotted">
        <color theme="4" tint="0.799981688894314"/>
      </left>
      <right style="dotted">
        <color theme="4" tint="0.799981688894314"/>
      </right>
      <top style="thin">
        <color indexed="44"/>
      </top>
      <bottom style="thin">
        <color indexed="44"/>
      </bottom>
      <diagonal/>
    </border>
    <border>
      <left/>
      <right style="thin">
        <color rgb="FF6599D9"/>
      </right>
      <top style="thin">
        <color indexed="44"/>
      </top>
      <bottom style="thin">
        <color indexed="44"/>
      </bottom>
      <diagonal/>
    </border>
    <border>
      <left/>
      <right style="dotted">
        <color rgb="FF002451"/>
      </right>
      <top/>
      <bottom/>
      <diagonal/>
    </border>
    <border>
      <left style="thin">
        <color auto="1"/>
      </left>
      <right/>
      <top style="thin">
        <color auto="1"/>
      </top>
      <bottom/>
      <diagonal/>
    </border>
    <border>
      <left style="dotted">
        <color rgb="FF002451"/>
      </left>
      <right style="dotted">
        <color rgb="FF002451"/>
      </right>
      <top/>
      <bottom/>
      <diagonal/>
    </border>
    <border>
      <left/>
      <right/>
      <top/>
      <bottom style="thin">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diagonal/>
    </border>
    <border>
      <left/>
      <right style="thin">
        <color theme="0"/>
      </right>
      <top/>
      <bottom style="thin">
        <color theme="0"/>
      </bottom>
      <diagonal/>
    </border>
    <border>
      <left style="dotted">
        <color auto="1"/>
      </left>
      <right/>
      <top/>
      <bottom style="thin">
        <color auto="1"/>
      </bottom>
      <diagonal/>
    </border>
    <border>
      <left/>
      <right style="dotted">
        <color auto="1"/>
      </right>
      <top/>
      <bottom style="thin">
        <color auto="1"/>
      </bottom>
      <diagonal/>
    </border>
    <border>
      <left style="dotted">
        <color auto="1"/>
      </left>
      <right/>
      <top/>
      <bottom style="dotted">
        <color auto="1"/>
      </bottom>
      <diagonal/>
    </border>
    <border>
      <left/>
      <right style="dotted">
        <color auto="1"/>
      </right>
      <top/>
      <bottom style="dotted">
        <color auto="1"/>
      </bottom>
      <diagonal/>
    </border>
    <border>
      <left/>
      <right/>
      <top/>
      <bottom style="dotted">
        <color auto="1"/>
      </bottom>
      <diagonal/>
    </border>
    <border>
      <left style="dotted">
        <color auto="1"/>
      </left>
      <right/>
      <top style="dotted">
        <color auto="1"/>
      </top>
      <bottom style="dotted">
        <color auto="1"/>
      </bottom>
      <diagonal/>
    </border>
    <border>
      <left/>
      <right/>
      <top/>
      <bottom style="thin">
        <color indexed="9"/>
      </bottom>
      <diagonal/>
    </border>
    <border>
      <left/>
      <right/>
      <top/>
      <bottom style="thin">
        <color theme="0"/>
      </bottom>
      <diagonal/>
    </border>
    <border>
      <left/>
      <right style="dotted">
        <color auto="1"/>
      </right>
      <top style="dotted">
        <color auto="1"/>
      </top>
      <bottom style="dotted">
        <color auto="1"/>
      </bottom>
      <diagonal/>
    </border>
    <border>
      <left/>
      <right/>
      <top/>
      <bottom style="hair">
        <color rgb="FF002451"/>
      </bottom>
      <diagonal/>
    </border>
    <border>
      <left/>
      <right style="thin">
        <color theme="0"/>
      </right>
      <top style="hair">
        <color rgb="FF002451"/>
      </top>
      <bottom style="thin">
        <color theme="0"/>
      </bottom>
      <diagonal/>
    </border>
    <border>
      <left/>
      <right style="thin">
        <color theme="0"/>
      </right>
      <top/>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9"/>
      </left>
      <right style="thin">
        <color indexed="9"/>
      </right>
      <top style="thin">
        <color indexed="9"/>
      </top>
      <bottom style="thin">
        <color indexed="9"/>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right/>
      <top/>
      <bottom style="double">
        <color indexed="52"/>
      </bottom>
      <diagonal/>
    </border>
    <border>
      <left/>
      <right/>
      <top/>
      <bottom style="thick">
        <color indexed="22"/>
      </bottom>
      <diagonal/>
    </border>
    <border>
      <left/>
      <right style="thin">
        <color auto="1"/>
      </right>
      <top/>
      <bottom/>
      <diagonal/>
    </border>
  </borders>
  <cellStyleXfs count="231">
    <xf numFmtId="0" fontId="0" fillId="0" borderId="0"/>
    <xf numFmtId="0" fontId="72" fillId="0" borderId="0">
      <protection locked="0"/>
    </xf>
    <xf numFmtId="0" fontId="171" fillId="38" borderId="0" applyNumberFormat="0" applyBorder="0" applyAlignment="0" applyProtection="0">
      <alignment vertical="center"/>
    </xf>
    <xf numFmtId="179" fontId="162" fillId="0" borderId="0" applyFont="0" applyFill="0" applyBorder="0" applyAlignment="0" applyProtection="0">
      <alignment vertical="center"/>
    </xf>
    <xf numFmtId="180" fontId="162" fillId="0" borderId="0" applyFont="0" applyFill="0" applyBorder="0" applyAlignment="0" applyProtection="0">
      <alignment vertical="center"/>
    </xf>
    <xf numFmtId="0" fontId="72" fillId="0" borderId="0"/>
    <xf numFmtId="0" fontId="72" fillId="0" borderId="0">
      <alignment horizontal="left" wrapText="1"/>
    </xf>
    <xf numFmtId="42" fontId="162" fillId="0" borderId="0" applyFont="0" applyFill="0" applyBorder="0" applyAlignment="0" applyProtection="0">
      <alignment vertical="center"/>
    </xf>
    <xf numFmtId="44" fontId="162" fillId="0" borderId="0" applyFont="0" applyFill="0" applyBorder="0" applyAlignment="0" applyProtection="0">
      <alignment vertical="center"/>
    </xf>
    <xf numFmtId="9" fontId="0" fillId="0" borderId="0" applyFont="0" applyFill="0" applyBorder="0" applyAlignment="0" applyProtection="0"/>
    <xf numFmtId="0" fontId="178" fillId="51" borderId="88" applyNumberFormat="0" applyAlignment="0" applyProtection="0">
      <alignment vertical="center"/>
    </xf>
    <xf numFmtId="0" fontId="180" fillId="0" borderId="0">
      <protection locked="0"/>
    </xf>
    <xf numFmtId="0" fontId="170" fillId="0" borderId="86" applyNumberFormat="0" applyFill="0" applyAlignment="0" applyProtection="0">
      <alignment vertical="center"/>
    </xf>
    <xf numFmtId="0" fontId="162" fillId="44" borderId="87" applyNumberFormat="0" applyFont="0" applyAlignment="0" applyProtection="0">
      <alignment vertical="center"/>
    </xf>
    <xf numFmtId="0" fontId="13" fillId="0" borderId="0"/>
    <xf numFmtId="0" fontId="167" fillId="0" borderId="0" applyNumberFormat="0" applyFill="0" applyBorder="0" applyAlignment="0" applyProtection="0">
      <alignment vertical="center"/>
    </xf>
    <xf numFmtId="0" fontId="163" fillId="56" borderId="0" applyNumberFormat="0" applyBorder="0" applyAlignment="0" applyProtection="0">
      <alignment vertical="center"/>
    </xf>
    <xf numFmtId="0" fontId="173" fillId="0" borderId="0" applyNumberFormat="0" applyFill="0" applyBorder="0" applyAlignment="0" applyProtection="0">
      <alignment vertical="center"/>
    </xf>
    <xf numFmtId="0" fontId="171" fillId="45" borderId="0" applyNumberFormat="0" applyBorder="0" applyAlignment="0" applyProtection="0">
      <alignment vertical="center"/>
    </xf>
    <xf numFmtId="0" fontId="168" fillId="0" borderId="0" applyNumberFormat="0" applyFill="0" applyBorder="0" applyAlignment="0" applyProtection="0">
      <alignment vertical="center"/>
    </xf>
    <xf numFmtId="177" fontId="184" fillId="0" borderId="0" applyFont="0" applyProtection="0"/>
    <xf numFmtId="0" fontId="171" fillId="39" borderId="0" applyNumberFormat="0" applyBorder="0" applyAlignment="0" applyProtection="0">
      <alignment vertical="center"/>
    </xf>
    <xf numFmtId="0" fontId="72" fillId="0" borderId="0"/>
    <xf numFmtId="0" fontId="166"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80" fillId="0" borderId="0">
      <protection locked="0"/>
    </xf>
    <xf numFmtId="0" fontId="175" fillId="0" borderId="86" applyNumberFormat="0" applyFill="0" applyAlignment="0" applyProtection="0">
      <alignment vertical="center"/>
    </xf>
    <xf numFmtId="0" fontId="80" fillId="31" borderId="0" applyNumberFormat="0" applyBorder="0" applyAlignment="0" applyProtection="0"/>
    <xf numFmtId="0" fontId="165" fillId="0" borderId="84" applyNumberFormat="0" applyFill="0" applyAlignment="0" applyProtection="0">
      <alignment vertical="center"/>
    </xf>
    <xf numFmtId="0" fontId="165" fillId="0" borderId="0" applyNumberFormat="0" applyFill="0" applyBorder="0" applyAlignment="0" applyProtection="0">
      <alignment vertical="center"/>
    </xf>
    <xf numFmtId="0" fontId="169" fillId="36" borderId="85" applyNumberFormat="0" applyAlignment="0" applyProtection="0">
      <alignment vertical="center"/>
    </xf>
    <xf numFmtId="0" fontId="163" fillId="41" borderId="0" applyNumberFormat="0" applyBorder="0" applyAlignment="0" applyProtection="0">
      <alignment vertical="center"/>
    </xf>
    <xf numFmtId="0" fontId="72" fillId="0" borderId="0">
      <alignment horizontal="left" wrapText="1"/>
    </xf>
    <xf numFmtId="0" fontId="177" fillId="49" borderId="0" applyNumberFormat="0" applyBorder="0" applyAlignment="0" applyProtection="0">
      <alignment vertical="center"/>
    </xf>
    <xf numFmtId="0" fontId="181" fillId="42" borderId="90" applyNumberFormat="0" applyAlignment="0" applyProtection="0">
      <alignment vertical="center"/>
    </xf>
    <xf numFmtId="0" fontId="171" fillId="40" borderId="0" applyNumberFormat="0" applyBorder="0" applyAlignment="0" applyProtection="0">
      <alignment vertical="center"/>
    </xf>
    <xf numFmtId="0" fontId="174" fillId="42" borderId="85" applyNumberFormat="0" applyAlignment="0" applyProtection="0">
      <alignment vertical="center"/>
    </xf>
    <xf numFmtId="2" fontId="184" fillId="0" borderId="0" applyFont="0" applyProtection="0"/>
    <xf numFmtId="0" fontId="189" fillId="0" borderId="91" applyNumberFormat="0" applyFill="0" applyAlignment="0" applyProtection="0">
      <alignment vertical="center"/>
    </xf>
    <xf numFmtId="0" fontId="164" fillId="0" borderId="83" applyNumberFormat="0" applyFill="0" applyAlignment="0" applyProtection="0">
      <alignment vertical="center"/>
    </xf>
    <xf numFmtId="0" fontId="63" fillId="62" borderId="0" applyNumberFormat="0" applyBorder="0" applyAlignment="0" applyProtection="0"/>
    <xf numFmtId="183" fontId="182" fillId="0" borderId="0" applyNumberFormat="0">
      <alignment vertical="center"/>
    </xf>
    <xf numFmtId="0" fontId="192" fillId="66" borderId="0" applyNumberFormat="0" applyBorder="0" applyAlignment="0" applyProtection="0">
      <alignment vertical="center"/>
    </xf>
    <xf numFmtId="38" fontId="183" fillId="0" borderId="0" applyFont="0" applyFill="0" applyBorder="0" applyAlignment="0" applyProtection="0"/>
    <xf numFmtId="43" fontId="72" fillId="0" borderId="0" applyFont="0" applyFill="0" applyBorder="0" applyAlignment="0" applyProtection="0"/>
    <xf numFmtId="0" fontId="190" fillId="60" borderId="0" applyNumberFormat="0" applyBorder="0" applyAlignment="0" applyProtection="0">
      <alignment vertical="center"/>
    </xf>
    <xf numFmtId="0" fontId="163" fillId="32" borderId="0" applyNumberFormat="0" applyBorder="0" applyAlignment="0" applyProtection="0">
      <alignment vertical="center"/>
    </xf>
    <xf numFmtId="0" fontId="163" fillId="64" borderId="0" applyNumberFormat="0" applyBorder="0" applyAlignment="0" applyProtection="0">
      <alignment vertical="center"/>
    </xf>
    <xf numFmtId="0" fontId="72" fillId="0" borderId="0">
      <alignment horizontal="left" wrapText="1"/>
    </xf>
    <xf numFmtId="0" fontId="171" fillId="63" borderId="0" applyNumberFormat="0" applyBorder="0" applyAlignment="0" applyProtection="0">
      <alignment vertical="center"/>
    </xf>
    <xf numFmtId="0" fontId="163" fillId="55" borderId="0" applyNumberFormat="0" applyBorder="0" applyAlignment="0" applyProtection="0">
      <alignment vertical="center"/>
    </xf>
    <xf numFmtId="0" fontId="176" fillId="0" borderId="0">
      <protection locked="0"/>
    </xf>
    <xf numFmtId="0" fontId="171" fillId="53" borderId="0" applyNumberFormat="0" applyBorder="0" applyAlignment="0" applyProtection="0">
      <alignment vertical="center"/>
    </xf>
    <xf numFmtId="0" fontId="171" fillId="52" borderId="0" applyNumberFormat="0" applyBorder="0" applyAlignment="0" applyProtection="0">
      <alignment vertical="center"/>
    </xf>
    <xf numFmtId="0" fontId="185" fillId="0" borderId="0" applyNumberFormat="0" applyFill="0" applyBorder="0" applyAlignment="0" applyProtection="0"/>
    <xf numFmtId="0" fontId="72" fillId="0" borderId="0"/>
    <xf numFmtId="0" fontId="163" fillId="61" borderId="0" applyNumberFormat="0" applyBorder="0" applyAlignment="0" applyProtection="0">
      <alignment vertical="center"/>
    </xf>
    <xf numFmtId="0" fontId="163" fillId="33" borderId="0" applyNumberFormat="0" applyBorder="0" applyAlignment="0" applyProtection="0">
      <alignment vertical="center"/>
    </xf>
    <xf numFmtId="0" fontId="72" fillId="0" borderId="0">
      <protection locked="0"/>
    </xf>
    <xf numFmtId="0" fontId="171" fillId="54" borderId="0" applyNumberFormat="0" applyBorder="0" applyAlignment="0" applyProtection="0">
      <alignment vertical="center"/>
    </xf>
    <xf numFmtId="0" fontId="163" fillId="43" borderId="0" applyNumberFormat="0" applyBorder="0" applyAlignment="0" applyProtection="0">
      <alignment vertical="center"/>
    </xf>
    <xf numFmtId="0" fontId="171" fillId="50" borderId="0" applyNumberFormat="0" applyBorder="0" applyAlignment="0" applyProtection="0">
      <alignment vertical="center"/>
    </xf>
    <xf numFmtId="0" fontId="171" fillId="59" borderId="0" applyNumberFormat="0" applyBorder="0" applyAlignment="0" applyProtection="0">
      <alignment vertical="center"/>
    </xf>
    <xf numFmtId="3" fontId="184" fillId="0" borderId="0" applyFont="0" applyProtection="0"/>
    <xf numFmtId="0" fontId="163" fillId="58" borderId="0" applyNumberFormat="0" applyBorder="0" applyAlignment="0" applyProtection="0">
      <alignment vertical="center"/>
    </xf>
    <xf numFmtId="0" fontId="72" fillId="0" borderId="0">
      <alignment horizontal="left" wrapText="1"/>
    </xf>
    <xf numFmtId="0" fontId="171" fillId="68" borderId="0" applyNumberFormat="0" applyBorder="0" applyAlignment="0" applyProtection="0">
      <alignment vertical="center"/>
    </xf>
    <xf numFmtId="0" fontId="163" fillId="37" borderId="0" applyNumberFormat="0" applyBorder="0" applyAlignment="0" applyProtection="0">
      <alignment vertical="center"/>
    </xf>
    <xf numFmtId="0" fontId="163" fillId="35" borderId="0" applyNumberFormat="0" applyBorder="0" applyAlignment="0" applyProtection="0">
      <alignment vertical="center"/>
    </xf>
    <xf numFmtId="0" fontId="171" fillId="65" borderId="0" applyNumberFormat="0" applyBorder="0" applyAlignment="0" applyProtection="0">
      <alignment vertical="center"/>
    </xf>
    <xf numFmtId="0" fontId="163" fillId="34" borderId="0" applyNumberFormat="0" applyBorder="0" applyAlignment="0" applyProtection="0">
      <alignment vertical="center"/>
    </xf>
    <xf numFmtId="0" fontId="72" fillId="0" borderId="0">
      <alignment horizontal="left" wrapText="1"/>
    </xf>
    <xf numFmtId="0" fontId="72" fillId="0" borderId="0"/>
    <xf numFmtId="0" fontId="72" fillId="0" borderId="0">
      <alignment horizontal="left" wrapText="1"/>
    </xf>
    <xf numFmtId="0" fontId="72" fillId="0" borderId="0"/>
    <xf numFmtId="187" fontId="184" fillId="0" borderId="0" applyFont="0" applyProtection="0"/>
    <xf numFmtId="1" fontId="197" fillId="0" borderId="0" applyFont="0"/>
    <xf numFmtId="0" fontId="72" fillId="0" borderId="0">
      <alignment horizontal="left" wrapText="1"/>
    </xf>
    <xf numFmtId="185" fontId="193" fillId="67" borderId="0" applyNumberFormat="0" applyBorder="0">
      <protection locked="0"/>
    </xf>
    <xf numFmtId="0" fontId="72" fillId="0" borderId="0"/>
    <xf numFmtId="0" fontId="72" fillId="0" borderId="0"/>
    <xf numFmtId="0" fontId="176" fillId="0" borderId="0"/>
    <xf numFmtId="0" fontId="72" fillId="0" borderId="0">
      <alignment horizontal="left" wrapText="1"/>
    </xf>
    <xf numFmtId="0" fontId="72" fillId="0" borderId="0">
      <protection locked="0"/>
    </xf>
    <xf numFmtId="0" fontId="198" fillId="0" borderId="0" applyNumberFormat="0" applyFill="0" applyBorder="0" applyAlignment="0" applyProtection="0">
      <alignment vertical="top"/>
      <protection locked="0"/>
    </xf>
    <xf numFmtId="0" fontId="72" fillId="0" borderId="0">
      <alignment horizontal="left" wrapText="1"/>
    </xf>
    <xf numFmtId="41" fontId="199" fillId="0" borderId="0" applyFont="0" applyFill="0" applyBorder="0" applyAlignment="0" applyProtection="0"/>
    <xf numFmtId="0" fontId="176" fillId="0" borderId="0">
      <protection locked="0"/>
    </xf>
    <xf numFmtId="0" fontId="80" fillId="48" borderId="0" applyNumberFormat="0" applyBorder="0" applyAlignment="0" applyProtection="0"/>
    <xf numFmtId="0" fontId="72" fillId="0" borderId="0">
      <protection locked="0"/>
    </xf>
    <xf numFmtId="0" fontId="176" fillId="0" borderId="0"/>
    <xf numFmtId="0" fontId="72" fillId="0" borderId="0">
      <protection locked="0"/>
    </xf>
    <xf numFmtId="0" fontId="72" fillId="0" borderId="0">
      <alignment horizontal="left" wrapText="1"/>
    </xf>
    <xf numFmtId="43" fontId="72" fillId="0" borderId="0" applyFont="0" applyFill="0" applyBorder="0" applyAlignment="0" applyProtection="0"/>
    <xf numFmtId="0" fontId="72" fillId="0" borderId="0">
      <alignment horizontal="left" wrapText="1"/>
    </xf>
    <xf numFmtId="43" fontId="72" fillId="0" borderId="0" applyFont="0" applyFill="0" applyBorder="0" applyAlignment="0" applyProtection="0"/>
    <xf numFmtId="0" fontId="72" fillId="0" borderId="0">
      <alignment horizontal="left" wrapText="1"/>
    </xf>
    <xf numFmtId="0" fontId="72" fillId="0" borderId="0">
      <alignment horizontal="left" wrapText="1"/>
    </xf>
    <xf numFmtId="0" fontId="72" fillId="0" borderId="0">
      <alignment horizontal="left" wrapText="1"/>
    </xf>
    <xf numFmtId="0" fontId="201" fillId="0" borderId="0"/>
    <xf numFmtId="0" fontId="72" fillId="0" borderId="0"/>
    <xf numFmtId="0" fontId="72" fillId="0" borderId="0"/>
    <xf numFmtId="0" fontId="72" fillId="0" borderId="0">
      <protection locked="0"/>
    </xf>
    <xf numFmtId="0" fontId="72" fillId="0" borderId="0">
      <protection locked="0"/>
    </xf>
    <xf numFmtId="0" fontId="203" fillId="31" borderId="0" applyNumberFormat="0" applyBorder="0" applyAlignment="0" applyProtection="0"/>
    <xf numFmtId="43" fontId="0" fillId="0" borderId="0" applyFont="0" applyFill="0" applyBorder="0" applyAlignment="0" applyProtection="0"/>
    <xf numFmtId="0" fontId="72" fillId="0" borderId="0">
      <alignment horizontal="left" wrapText="1"/>
    </xf>
    <xf numFmtId="189" fontId="0" fillId="0" borderId="0" applyFont="0" applyFill="0" applyBorder="0" applyAlignment="0" applyProtection="0"/>
    <xf numFmtId="0" fontId="176" fillId="0" borderId="0">
      <protection locked="0"/>
    </xf>
    <xf numFmtId="0" fontId="72" fillId="0" borderId="0"/>
    <xf numFmtId="0" fontId="72" fillId="0" borderId="0"/>
    <xf numFmtId="0" fontId="72" fillId="0" borderId="0">
      <protection locked="0"/>
    </xf>
    <xf numFmtId="0" fontId="72" fillId="0" borderId="0"/>
    <xf numFmtId="0" fontId="196" fillId="0" borderId="0" applyNumberFormat="0" applyFill="0" applyBorder="0" applyAlignment="0" applyProtection="0"/>
    <xf numFmtId="0" fontId="72" fillId="0" borderId="0"/>
    <xf numFmtId="0" fontId="196" fillId="0" borderId="0" applyNumberFormat="0" applyFill="0" applyBorder="0" applyAlignment="0" applyProtection="0"/>
    <xf numFmtId="0" fontId="187" fillId="0" borderId="0" applyNumberFormat="0" applyFill="0" applyBorder="0" applyAlignment="0" applyProtection="0">
      <alignment vertical="top"/>
      <protection locked="0"/>
    </xf>
    <xf numFmtId="0" fontId="176" fillId="0" borderId="0"/>
    <xf numFmtId="0" fontId="191" fillId="0" borderId="0"/>
    <xf numFmtId="0" fontId="72" fillId="0" borderId="0"/>
    <xf numFmtId="0" fontId="72" fillId="0" borderId="0"/>
    <xf numFmtId="0" fontId="80" fillId="70" borderId="0" applyNumberFormat="0" applyBorder="0" applyAlignment="0" applyProtection="0"/>
    <xf numFmtId="0" fontId="80" fillId="75" borderId="0" applyNumberFormat="0" applyBorder="0" applyAlignment="0" applyProtection="0"/>
    <xf numFmtId="0" fontId="80" fillId="71" borderId="0" applyNumberFormat="0" applyBorder="0" applyAlignment="0" applyProtection="0"/>
    <xf numFmtId="0" fontId="80" fillId="57" borderId="0" applyNumberFormat="0" applyBorder="0" applyAlignment="0" applyProtection="0"/>
    <xf numFmtId="0" fontId="80" fillId="47" borderId="0" applyNumberFormat="0" applyBorder="0" applyAlignment="0" applyProtection="0"/>
    <xf numFmtId="0" fontId="207" fillId="0" borderId="0"/>
    <xf numFmtId="0" fontId="80" fillId="74" borderId="0" applyNumberFormat="0" applyBorder="0" applyAlignment="0" applyProtection="0"/>
    <xf numFmtId="0" fontId="80" fillId="62" borderId="0" applyNumberFormat="0" applyBorder="0" applyAlignment="0" applyProtection="0"/>
    <xf numFmtId="192" fontId="186" fillId="48" borderId="0"/>
    <xf numFmtId="188" fontId="72" fillId="0" borderId="0" applyFont="0" applyFill="0" applyBorder="0" applyAlignment="0" applyProtection="0"/>
    <xf numFmtId="0" fontId="80" fillId="75" borderId="0" applyNumberFormat="0" applyBorder="0" applyAlignment="0" applyProtection="0"/>
    <xf numFmtId="0" fontId="80" fillId="47" borderId="0" applyNumberFormat="0" applyBorder="0" applyAlignment="0" applyProtection="0"/>
    <xf numFmtId="0" fontId="80" fillId="21" borderId="0" applyNumberFormat="0" applyBorder="0" applyAlignment="0" applyProtection="0"/>
    <xf numFmtId="0" fontId="209" fillId="24" borderId="94">
      <alignment horizontal="left"/>
      <protection locked="0"/>
    </xf>
    <xf numFmtId="0" fontId="63" fillId="78" borderId="0" applyNumberFormat="0" applyBorder="0" applyAlignment="0" applyProtection="0"/>
    <xf numFmtId="0" fontId="63" fillId="74" borderId="0" applyNumberFormat="0" applyBorder="0" applyAlignment="0" applyProtection="0"/>
    <xf numFmtId="0" fontId="63" fillId="77" borderId="0" applyNumberFormat="0" applyBorder="0" applyAlignment="0" applyProtection="0"/>
    <xf numFmtId="0" fontId="63" fillId="72" borderId="0" applyNumberFormat="0" applyBorder="0" applyAlignment="0" applyProtection="0"/>
    <xf numFmtId="0" fontId="63" fillId="79" borderId="0" applyNumberFormat="0" applyBorder="0" applyAlignment="0" applyProtection="0"/>
    <xf numFmtId="0" fontId="100" fillId="46" borderId="0" applyNumberFormat="0" applyBorder="0" applyAlignment="0" applyProtection="0"/>
    <xf numFmtId="0" fontId="72" fillId="0" borderId="0" applyNumberFormat="0" applyFill="0" applyBorder="0" applyAlignment="0" applyProtection="0"/>
    <xf numFmtId="0" fontId="206" fillId="70" borderId="0" applyNumberFormat="0" applyBorder="0" applyAlignment="0" applyProtection="0"/>
    <xf numFmtId="0" fontId="197" fillId="76" borderId="94" applyNumberFormat="0" applyFont="0" applyAlignment="0">
      <alignment horizontal="left"/>
      <protection locked="0"/>
    </xf>
    <xf numFmtId="0" fontId="195" fillId="73" borderId="93" applyNumberFormat="0" applyAlignment="0" applyProtection="0"/>
    <xf numFmtId="0" fontId="0" fillId="0" borderId="0"/>
    <xf numFmtId="0" fontId="194" fillId="69" borderId="92" applyNumberFormat="0" applyAlignment="0" applyProtection="0"/>
    <xf numFmtId="0" fontId="80" fillId="80" borderId="87" applyNumberFormat="0" applyFont="0" applyAlignment="0" applyProtection="0"/>
    <xf numFmtId="43" fontId="0" fillId="0" borderId="0" applyFont="0" applyFill="0" applyBorder="0" applyAlignment="0" applyProtection="0"/>
    <xf numFmtId="0" fontId="211" fillId="81" borderId="0" applyFont="0" applyAlignment="0">
      <alignment horizontal="left"/>
      <protection locked="0"/>
    </xf>
    <xf numFmtId="43" fontId="80"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0" fillId="0" borderId="0" applyFont="0" applyFill="0" applyBorder="0" applyAlignment="0" applyProtection="0"/>
    <xf numFmtId="0" fontId="72" fillId="0" borderId="0"/>
    <xf numFmtId="186" fontId="72" fillId="0" borderId="0" applyFont="0" applyFill="0" applyBorder="0" applyAlignment="0" applyProtection="0"/>
    <xf numFmtId="178" fontId="72" fillId="0" borderId="0" applyFont="0" applyFill="0" applyBorder="0" applyAlignment="0" applyProtection="0"/>
    <xf numFmtId="0" fontId="210" fillId="0" borderId="0" applyNumberFormat="0" applyFill="0" applyBorder="0" applyAlignment="0" applyProtection="0"/>
    <xf numFmtId="0" fontId="180" fillId="0" borderId="0">
      <protection locked="0"/>
    </xf>
    <xf numFmtId="0" fontId="72" fillId="0" borderId="0">
      <protection locked="0"/>
    </xf>
    <xf numFmtId="0" fontId="205" fillId="0" borderId="96" applyNumberFormat="0" applyFill="0" applyAlignment="0" applyProtection="0"/>
    <xf numFmtId="0" fontId="180" fillId="0" borderId="0">
      <protection locked="0"/>
    </xf>
    <xf numFmtId="0" fontId="0" fillId="0" borderId="0"/>
    <xf numFmtId="0" fontId="72" fillId="0" borderId="0">
      <protection locked="0"/>
    </xf>
    <xf numFmtId="0" fontId="180" fillId="0" borderId="0">
      <protection locked="0"/>
    </xf>
    <xf numFmtId="0" fontId="72" fillId="0" borderId="0">
      <protection locked="0"/>
    </xf>
    <xf numFmtId="0" fontId="180" fillId="0" borderId="0">
      <protection locked="0"/>
    </xf>
    <xf numFmtId="0" fontId="180" fillId="0" borderId="0">
      <protection locked="0"/>
    </xf>
    <xf numFmtId="0" fontId="72" fillId="0" borderId="0">
      <protection locked="0"/>
    </xf>
    <xf numFmtId="0" fontId="179" fillId="0" borderId="89" applyNumberFormat="0" applyFill="0" applyAlignment="0" applyProtection="0"/>
    <xf numFmtId="0" fontId="72" fillId="0" borderId="0">
      <protection locked="0"/>
    </xf>
    <xf numFmtId="0" fontId="217" fillId="0" borderId="98" applyNumberFormat="0" applyFill="0" applyAlignment="0" applyProtection="0"/>
    <xf numFmtId="0" fontId="72" fillId="0" borderId="0">
      <protection locked="0"/>
    </xf>
    <xf numFmtId="0" fontId="218" fillId="0" borderId="0" applyNumberFormat="0">
      <alignment horizontal="left"/>
    </xf>
    <xf numFmtId="0" fontId="205" fillId="0" borderId="0" applyNumberFormat="0" applyFill="0" applyBorder="0" applyAlignment="0" applyProtection="0"/>
    <xf numFmtId="0" fontId="20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98" fillId="0" borderId="0" applyNumberFormat="0" applyFill="0" applyBorder="0" applyAlignment="0" applyProtection="0">
      <alignment vertical="top"/>
      <protection locked="0"/>
    </xf>
    <xf numFmtId="0" fontId="219" fillId="57" borderId="93" applyNumberFormat="0" applyAlignment="0" applyProtection="0"/>
    <xf numFmtId="0" fontId="216" fillId="0" borderId="97" applyNumberFormat="0" applyFill="0" applyAlignment="0" applyProtection="0"/>
    <xf numFmtId="41" fontId="186" fillId="0" borderId="0" applyFont="0" applyFill="0" applyBorder="0" applyAlignment="0" applyProtection="0"/>
    <xf numFmtId="179" fontId="72" fillId="0" borderId="0" applyFont="0" applyFill="0" applyBorder="0" applyAlignment="0" applyProtection="0"/>
    <xf numFmtId="176" fontId="186" fillId="0" borderId="0" applyFont="0" applyFill="0" applyBorder="0" applyAlignment="0" applyProtection="0"/>
    <xf numFmtId="193" fontId="186" fillId="0" borderId="0" applyFont="0" applyFill="0" applyBorder="0" applyAlignment="0" applyProtection="0"/>
    <xf numFmtId="191" fontId="212" fillId="0" borderId="0" applyFill="0" applyBorder="0" applyProtection="0">
      <alignment horizontal="right" vertical="center"/>
    </xf>
    <xf numFmtId="182" fontId="212" fillId="0" borderId="0" applyFill="0" applyBorder="0" applyProtection="0">
      <alignment horizontal="right" vertical="center"/>
    </xf>
    <xf numFmtId="0" fontId="200" fillId="0" borderId="0"/>
    <xf numFmtId="43" fontId="72" fillId="0" borderId="0" applyFont="0" applyFill="0" applyBorder="0" applyAlignment="0" applyProtection="0"/>
    <xf numFmtId="0" fontId="202" fillId="0" borderId="0"/>
    <xf numFmtId="0" fontId="221" fillId="25" borderId="0" applyNumberFormat="0" applyBorder="0" applyAlignment="0" applyProtection="0"/>
    <xf numFmtId="0" fontId="0" fillId="0" borderId="0"/>
    <xf numFmtId="0" fontId="0" fillId="0" borderId="0"/>
    <xf numFmtId="0" fontId="0" fillId="0" borderId="0"/>
    <xf numFmtId="0" fontId="215" fillId="0" borderId="0"/>
    <xf numFmtId="0" fontId="72" fillId="0" borderId="0"/>
    <xf numFmtId="0" fontId="72" fillId="0" borderId="0">
      <alignment horizontal="left" wrapText="1"/>
    </xf>
    <xf numFmtId="0" fontId="0" fillId="0" borderId="0"/>
    <xf numFmtId="0" fontId="220" fillId="0" borderId="0"/>
    <xf numFmtId="0" fontId="72" fillId="0" borderId="0"/>
    <xf numFmtId="0" fontId="202" fillId="0" borderId="0"/>
    <xf numFmtId="0" fontId="215" fillId="0" borderId="0"/>
    <xf numFmtId="0" fontId="0" fillId="0" borderId="0"/>
    <xf numFmtId="0" fontId="72" fillId="0" borderId="0"/>
    <xf numFmtId="0" fontId="72" fillId="0" borderId="0"/>
    <xf numFmtId="0" fontId="72" fillId="0" borderId="0"/>
    <xf numFmtId="0" fontId="13" fillId="0" borderId="0"/>
    <xf numFmtId="0" fontId="12" fillId="0" borderId="0"/>
    <xf numFmtId="0" fontId="72" fillId="0" borderId="0"/>
    <xf numFmtId="0" fontId="72" fillId="0" borderId="0"/>
    <xf numFmtId="0" fontId="204" fillId="0" borderId="0"/>
    <xf numFmtId="0" fontId="214" fillId="0" borderId="0"/>
    <xf numFmtId="0" fontId="0" fillId="0" borderId="0"/>
    <xf numFmtId="0" fontId="0" fillId="0" borderId="0"/>
    <xf numFmtId="0" fontId="222" fillId="0" borderId="0"/>
    <xf numFmtId="0" fontId="213" fillId="73" borderId="95" applyNumberFormat="0" applyAlignment="0" applyProtection="0"/>
    <xf numFmtId="9" fontId="72" fillId="0" borderId="0" applyFont="0" applyFill="0" applyBorder="0" applyAlignment="0" applyProtection="0"/>
    <xf numFmtId="9" fontId="202" fillId="0" borderId="0" applyFont="0" applyFill="0" applyBorder="0" applyAlignment="0" applyProtection="0"/>
    <xf numFmtId="0" fontId="186" fillId="0" borderId="0" applyNumberFormat="0" applyFont="0" applyBorder="0" applyAlignment="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0" fontId="176" fillId="0" borderId="0">
      <protection locked="0"/>
    </xf>
    <xf numFmtId="0" fontId="223" fillId="0" borderId="0" applyFill="0" applyAlignment="0">
      <alignment horizontal="left"/>
      <protection locked="0"/>
    </xf>
    <xf numFmtId="43" fontId="72" fillId="0" borderId="0" applyFont="0" applyFill="0" applyBorder="0" applyAlignment="0" applyProtection="0"/>
    <xf numFmtId="0" fontId="64" fillId="0" borderId="0" applyNumberFormat="0" applyFill="0" applyBorder="0" applyAlignment="0" applyProtection="0"/>
    <xf numFmtId="184" fontId="224" fillId="0" borderId="0" applyFont="0" applyFill="0" applyBorder="0" applyAlignment="0" applyProtection="0"/>
    <xf numFmtId="0" fontId="225" fillId="0" borderId="0">
      <alignment vertical="center"/>
    </xf>
    <xf numFmtId="0" fontId="72" fillId="0" borderId="99"/>
    <xf numFmtId="0" fontId="226" fillId="0" borderId="0"/>
  </cellStyleXfs>
  <cellXfs count="729">
    <xf numFmtId="0" fontId="0" fillId="0" borderId="0" xfId="0"/>
    <xf numFmtId="0" fontId="1" fillId="0" borderId="0" xfId="0" applyFont="1"/>
    <xf numFmtId="0" fontId="2" fillId="0" borderId="1" xfId="0" applyFont="1" applyBorder="1"/>
    <xf numFmtId="0" fontId="3" fillId="2" borderId="0" xfId="0" applyFont="1" applyFill="1" applyAlignment="1">
      <alignment vertical="center" wrapText="1"/>
    </xf>
    <xf numFmtId="0" fontId="4" fillId="0" borderId="0" xfId="0" applyFont="1" applyAlignment="1">
      <alignment vertical="center"/>
    </xf>
    <xf numFmtId="0" fontId="4" fillId="0" borderId="0" xfId="0" applyFont="1" applyAlignment="1">
      <alignment horizontal="lef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5" xfId="0" applyFont="1" applyBorder="1" applyAlignment="1">
      <alignment vertical="center"/>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5" fillId="0" borderId="0" xfId="0" applyFont="1" applyAlignment="1">
      <alignment vertical="center"/>
    </xf>
    <xf numFmtId="0" fontId="6" fillId="2" borderId="0" xfId="0" applyFont="1" applyFill="1" applyAlignment="1">
      <alignment vertical="center" wrapText="1"/>
    </xf>
    <xf numFmtId="0" fontId="7" fillId="0" borderId="0" xfId="0" applyFont="1" applyAlignment="1">
      <alignment vertical="center"/>
    </xf>
    <xf numFmtId="0" fontId="6" fillId="2" borderId="0" xfId="0" applyFont="1" applyFill="1" applyAlignment="1">
      <alignment horizontal="center" vertical="center" wrapText="1"/>
    </xf>
    <xf numFmtId="0" fontId="6" fillId="2" borderId="0" xfId="0" applyFont="1" applyFill="1" applyAlignment="1">
      <alignment horizontal="left" vertical="center" wrapText="1"/>
    </xf>
    <xf numFmtId="0" fontId="1" fillId="0" borderId="6" xfId="0" applyFont="1" applyBorder="1"/>
    <xf numFmtId="0" fontId="1" fillId="0" borderId="0" xfId="0" applyFont="1" applyAlignment="1">
      <alignment horizontal="left"/>
    </xf>
    <xf numFmtId="0" fontId="1" fillId="0" borderId="6" xfId="0" applyFont="1" applyBorder="1" applyAlignment="1">
      <alignment horizontal="left"/>
    </xf>
    <xf numFmtId="0" fontId="1" fillId="0" borderId="0" xfId="0" applyFont="1" applyFill="1"/>
    <xf numFmtId="0" fontId="8" fillId="0" borderId="0" xfId="0" applyFont="1"/>
    <xf numFmtId="0" fontId="9" fillId="0" borderId="0" xfId="0" applyFont="1"/>
    <xf numFmtId="0" fontId="2" fillId="0" borderId="0" xfId="0" applyFont="1"/>
    <xf numFmtId="0" fontId="1" fillId="0" borderId="0" xfId="0" applyFont="1" applyBorder="1"/>
    <xf numFmtId="0" fontId="8" fillId="0" borderId="0" xfId="0" applyFont="1" applyBorder="1" applyAlignment="1">
      <alignment horizontal="right"/>
    </xf>
    <xf numFmtId="0" fontId="8" fillId="0" borderId="0" xfId="0" applyFont="1" applyBorder="1" applyAlignment="1"/>
    <xf numFmtId="0" fontId="10" fillId="0" borderId="0" xfId="0" applyFont="1" applyAlignment="1">
      <alignment horizontal="left"/>
    </xf>
    <xf numFmtId="0" fontId="9" fillId="0" borderId="0" xfId="0" applyFont="1" applyBorder="1"/>
    <xf numFmtId="0" fontId="9" fillId="0" borderId="0" xfId="0" applyFont="1" applyBorder="1" applyAlignment="1">
      <alignment horizontal="left"/>
    </xf>
    <xf numFmtId="0" fontId="2" fillId="0" borderId="0" xfId="0" applyFont="1" applyBorder="1"/>
    <xf numFmtId="0" fontId="11" fillId="0" borderId="0" xfId="0" applyFont="1" applyBorder="1"/>
    <xf numFmtId="0" fontId="12" fillId="0" borderId="0" xfId="0" applyFont="1" applyBorder="1" applyAlignment="1">
      <alignment horizontal="left"/>
    </xf>
    <xf numFmtId="0" fontId="1" fillId="3" borderId="0" xfId="0" applyFont="1" applyFill="1"/>
    <xf numFmtId="0" fontId="1" fillId="4" borderId="7" xfId="0" applyFont="1" applyFill="1" applyBorder="1"/>
    <xf numFmtId="0" fontId="13" fillId="0" borderId="0" xfId="0" applyFont="1" applyFill="1"/>
    <xf numFmtId="0" fontId="13" fillId="0" borderId="0" xfId="0" applyFont="1"/>
    <xf numFmtId="4" fontId="4" fillId="0" borderId="0" xfId="0" applyNumberFormat="1" applyFont="1" applyAlignment="1">
      <alignment vertical="center"/>
    </xf>
    <xf numFmtId="0" fontId="14" fillId="5" borderId="8" xfId="0" applyFont="1" applyFill="1" applyBorder="1"/>
    <xf numFmtId="0" fontId="14" fillId="3" borderId="8" xfId="0" applyFont="1" applyFill="1" applyBorder="1"/>
    <xf numFmtId="0" fontId="1" fillId="0" borderId="2" xfId="0" applyFont="1" applyFill="1" applyBorder="1"/>
    <xf numFmtId="0" fontId="1" fillId="0" borderId="9" xfId="0" applyFont="1" applyFill="1" applyBorder="1"/>
    <xf numFmtId="0" fontId="9" fillId="0" borderId="9" xfId="0" applyFont="1" applyFill="1" applyBorder="1"/>
    <xf numFmtId="0" fontId="9" fillId="5" borderId="10" xfId="0" applyFont="1" applyFill="1" applyBorder="1"/>
    <xf numFmtId="0" fontId="1" fillId="0" borderId="4" xfId="0" applyFont="1" applyFill="1" applyBorder="1"/>
    <xf numFmtId="0" fontId="1" fillId="0" borderId="0" xfId="0" applyFont="1" applyFill="1" applyBorder="1"/>
    <xf numFmtId="0" fontId="9" fillId="0" borderId="0" xfId="0" applyFont="1" applyFill="1" applyBorder="1"/>
    <xf numFmtId="0" fontId="15" fillId="0" borderId="0" xfId="0" applyFont="1"/>
    <xf numFmtId="0" fontId="9" fillId="0" borderId="3" xfId="0" applyFont="1" applyFill="1" applyBorder="1"/>
    <xf numFmtId="0" fontId="9" fillId="0" borderId="5" xfId="0" applyFont="1" applyFill="1" applyBorder="1"/>
    <xf numFmtId="0" fontId="16" fillId="0" borderId="0" xfId="0" applyFont="1"/>
    <xf numFmtId="0" fontId="17" fillId="0" borderId="0" xfId="0" applyFont="1" applyBorder="1"/>
    <xf numFmtId="4" fontId="1" fillId="0" borderId="0" xfId="0" applyNumberFormat="1" applyFont="1"/>
    <xf numFmtId="0" fontId="1" fillId="6" borderId="0" xfId="0" applyFont="1" applyFill="1"/>
    <xf numFmtId="0" fontId="8" fillId="0" borderId="0" xfId="0" applyFont="1" applyAlignment="1">
      <alignment horizontal="right"/>
    </xf>
    <xf numFmtId="0" fontId="8" fillId="0" borderId="11" xfId="0" applyFont="1" applyBorder="1" applyAlignment="1"/>
    <xf numFmtId="0" fontId="9" fillId="0" borderId="6" xfId="0" applyFont="1" applyBorder="1" applyAlignment="1">
      <alignment horizontal="left"/>
    </xf>
    <xf numFmtId="0" fontId="10" fillId="0" borderId="0" xfId="0" applyFont="1" applyAlignment="1">
      <alignment horizontal="right"/>
    </xf>
    <xf numFmtId="0" fontId="18" fillId="0" borderId="0" xfId="0" applyFont="1"/>
    <xf numFmtId="0" fontId="19" fillId="0" borderId="0" xfId="0" applyFont="1"/>
    <xf numFmtId="0" fontId="20" fillId="0" borderId="0" xfId="0" applyFont="1"/>
    <xf numFmtId="0" fontId="21" fillId="7" borderId="0" xfId="0" applyFont="1" applyFill="1" applyAlignment="1">
      <alignment vertical="center" wrapText="1"/>
    </xf>
    <xf numFmtId="0" fontId="1" fillId="0" borderId="11" xfId="0" applyFont="1" applyBorder="1"/>
    <xf numFmtId="0" fontId="22" fillId="0" borderId="12" xfId="0" applyFont="1" applyFill="1" applyBorder="1" applyAlignment="1">
      <alignment horizontal="center" vertical="center" wrapText="1"/>
    </xf>
    <xf numFmtId="0" fontId="23" fillId="0" borderId="0" xfId="205" applyFont="1"/>
    <xf numFmtId="0" fontId="23" fillId="0" borderId="0" xfId="205" applyFont="1" applyBorder="1"/>
    <xf numFmtId="0" fontId="24" fillId="0" borderId="0" xfId="0" applyFont="1" applyFill="1" applyAlignment="1">
      <alignment horizontal="center" vertical="center" wrapText="1"/>
    </xf>
    <xf numFmtId="0" fontId="25" fillId="0" borderId="0" xfId="0" applyFont="1"/>
    <xf numFmtId="0" fontId="0" fillId="0" borderId="0" xfId="0" applyFont="1"/>
    <xf numFmtId="0" fontId="0" fillId="0" borderId="13" xfId="0" applyFont="1" applyBorder="1"/>
    <xf numFmtId="0" fontId="26" fillId="0" borderId="0" xfId="0" applyFont="1"/>
    <xf numFmtId="1" fontId="26" fillId="0" borderId="0" xfId="0" applyNumberFormat="1" applyFont="1" applyAlignment="1">
      <alignment horizontal="left"/>
    </xf>
    <xf numFmtId="0" fontId="26" fillId="0" borderId="0" xfId="0" applyFont="1" applyAlignment="1">
      <alignment horizontal="left"/>
    </xf>
    <xf numFmtId="1" fontId="26" fillId="0" borderId="0" xfId="0" applyNumberFormat="1" applyFont="1" applyAlignment="1">
      <alignment horizontal="center"/>
    </xf>
    <xf numFmtId="0" fontId="26" fillId="0" borderId="0" xfId="0" applyFont="1" applyAlignment="1">
      <alignment horizontal="left" wrapText="1" indent="1"/>
    </xf>
    <xf numFmtId="194" fontId="26" fillId="0" borderId="0" xfId="0" applyNumberFormat="1" applyFont="1" applyAlignment="1">
      <alignment horizontal="right" indent="1"/>
    </xf>
    <xf numFmtId="0" fontId="26" fillId="0" borderId="0" xfId="0" applyFont="1" applyAlignment="1">
      <alignment horizontal="right" indent="1"/>
    </xf>
    <xf numFmtId="0" fontId="27" fillId="0" borderId="0" xfId="205" applyFont="1"/>
    <xf numFmtId="0" fontId="28" fillId="0" borderId="0" xfId="205" applyFont="1" applyAlignment="1">
      <alignment vertical="center"/>
    </xf>
    <xf numFmtId="0" fontId="29" fillId="0" borderId="0" xfId="205" applyFont="1" applyAlignment="1">
      <alignment vertical="center"/>
    </xf>
    <xf numFmtId="0" fontId="27" fillId="8" borderId="0" xfId="205" applyNumberFormat="1" applyFont="1" applyFill="1" applyAlignment="1">
      <alignment horizontal="center"/>
    </xf>
    <xf numFmtId="0" fontId="30" fillId="8" borderId="0" xfId="205" applyFont="1" applyFill="1"/>
    <xf numFmtId="0" fontId="23" fillId="8" borderId="0" xfId="205" applyFont="1" applyFill="1"/>
    <xf numFmtId="0" fontId="27" fillId="8" borderId="0" xfId="205" applyFont="1" applyFill="1" applyBorder="1"/>
    <xf numFmtId="0" fontId="30" fillId="8" borderId="0" xfId="205" applyFont="1" applyFill="1" applyBorder="1"/>
    <xf numFmtId="0" fontId="23" fillId="8" borderId="0" xfId="205" applyFont="1" applyFill="1" applyBorder="1"/>
    <xf numFmtId="0" fontId="31" fillId="9" borderId="0" xfId="0" applyFont="1" applyFill="1" applyAlignment="1">
      <alignment horizontal="center" vertical="center" wrapText="1"/>
    </xf>
    <xf numFmtId="1" fontId="31" fillId="9" borderId="0" xfId="0" applyNumberFormat="1" applyFont="1" applyFill="1" applyAlignment="1">
      <alignment horizontal="center" vertical="center" wrapText="1"/>
    </xf>
    <xf numFmtId="0" fontId="25" fillId="0" borderId="14" xfId="0" applyFont="1" applyBorder="1" applyAlignment="1">
      <alignment vertical="center"/>
    </xf>
    <xf numFmtId="0" fontId="25" fillId="0" borderId="15" xfId="0" applyFont="1" applyBorder="1" applyAlignment="1">
      <alignment vertical="center"/>
    </xf>
    <xf numFmtId="0" fontId="0" fillId="0" borderId="0" xfId="0" applyFont="1" applyBorder="1" applyAlignment="1">
      <alignment vertical="center"/>
    </xf>
    <xf numFmtId="0" fontId="0" fillId="0" borderId="16" xfId="0" applyFont="1" applyBorder="1" applyAlignment="1">
      <alignment vertical="center"/>
    </xf>
    <xf numFmtId="0" fontId="0" fillId="0" borderId="13" xfId="0" applyFont="1" applyBorder="1" applyAlignment="1">
      <alignment vertical="center"/>
    </xf>
    <xf numFmtId="0" fontId="23" fillId="0" borderId="0" xfId="205" applyFont="1" applyFill="1"/>
    <xf numFmtId="194" fontId="32" fillId="9" borderId="0" xfId="0" applyNumberFormat="1" applyFont="1" applyFill="1" applyAlignment="1">
      <alignment horizontal="left" vertical="center" wrapText="1"/>
    </xf>
    <xf numFmtId="194" fontId="31" fillId="9" borderId="0" xfId="0" applyNumberFormat="1" applyFont="1" applyFill="1" applyAlignment="1">
      <alignment horizontal="center" vertical="center" wrapText="1"/>
    </xf>
    <xf numFmtId="0" fontId="25" fillId="0" borderId="17" xfId="0" applyFont="1" applyBorder="1" applyAlignment="1">
      <alignment vertical="center"/>
    </xf>
    <xf numFmtId="0" fontId="25" fillId="10" borderId="18" xfId="0" applyFont="1" applyFill="1" applyBorder="1" applyAlignment="1">
      <alignment vertical="center"/>
    </xf>
    <xf numFmtId="0" fontId="25" fillId="10" borderId="16" xfId="0" applyFont="1" applyFill="1" applyBorder="1" applyAlignment="1">
      <alignment vertical="center"/>
    </xf>
    <xf numFmtId="0" fontId="25" fillId="10" borderId="16" xfId="0" applyFont="1" applyFill="1" applyBorder="1" applyAlignment="1">
      <alignment horizontal="right" vertical="center" indent="1"/>
    </xf>
    <xf numFmtId="2" fontId="0" fillId="0" borderId="19" xfId="0" applyNumberFormat="1" applyFont="1" applyBorder="1" applyAlignment="1">
      <alignment horizontal="right" vertical="center" indent="1"/>
    </xf>
    <xf numFmtId="0" fontId="0" fillId="0" borderId="20" xfId="0" applyFont="1" applyBorder="1" applyAlignment="1">
      <alignment vertical="center"/>
    </xf>
    <xf numFmtId="0" fontId="0" fillId="0" borderId="21" xfId="0" applyFont="1" applyFill="1" applyBorder="1" applyAlignment="1">
      <alignment vertical="center"/>
    </xf>
    <xf numFmtId="194" fontId="33" fillId="0" borderId="22" xfId="9" applyNumberFormat="1" applyFont="1" applyFill="1" applyBorder="1" applyAlignment="1">
      <alignment horizontal="right" vertical="center" indent="1"/>
    </xf>
    <xf numFmtId="0" fontId="0" fillId="0" borderId="23" xfId="0" applyFont="1" applyBorder="1" applyAlignment="1">
      <alignment vertical="center"/>
    </xf>
    <xf numFmtId="0" fontId="0" fillId="0" borderId="24" xfId="0" applyFont="1" applyFill="1" applyBorder="1" applyAlignment="1">
      <alignment vertical="center"/>
    </xf>
    <xf numFmtId="194" fontId="0" fillId="0" borderId="24" xfId="9" applyNumberFormat="1" applyFont="1" applyFill="1" applyBorder="1" applyAlignment="1">
      <alignment horizontal="right" vertical="center" indent="1"/>
    </xf>
    <xf numFmtId="0" fontId="0" fillId="0" borderId="0" xfId="0" applyAlignment="1">
      <alignment horizontal="center"/>
    </xf>
    <xf numFmtId="0" fontId="0" fillId="0" borderId="0" xfId="0" applyFont="1" applyBorder="1"/>
    <xf numFmtId="0" fontId="0" fillId="0" borderId="0" xfId="0" applyFont="1" applyAlignment="1">
      <alignment horizontal="right" indent="1"/>
    </xf>
    <xf numFmtId="0" fontId="0" fillId="0" borderId="0" xfId="0" applyFont="1" applyAlignment="1">
      <alignment horizontal="left" wrapText="1" indent="1"/>
    </xf>
    <xf numFmtId="0" fontId="24" fillId="0" borderId="0" xfId="0" applyFont="1" applyFill="1" applyAlignment="1" applyProtection="1">
      <alignment horizontal="center" vertical="center" wrapText="1"/>
    </xf>
    <xf numFmtId="0" fontId="0" fillId="0" borderId="0" xfId="0" applyFont="1" applyBorder="1" applyAlignment="1" applyProtection="1">
      <alignment vertical="center"/>
    </xf>
    <xf numFmtId="0" fontId="0" fillId="0" borderId="0" xfId="0" applyFont="1" applyAlignment="1" applyProtection="1">
      <alignment vertical="center"/>
    </xf>
    <xf numFmtId="0" fontId="0" fillId="0" borderId="0" xfId="0" applyFont="1" applyAlignment="1" applyProtection="1">
      <alignment vertical="top"/>
    </xf>
    <xf numFmtId="0" fontId="0" fillId="0" borderId="0" xfId="0" applyFont="1" applyProtection="1"/>
    <xf numFmtId="0" fontId="27" fillId="11" borderId="0" xfId="0" applyFont="1" applyFill="1" applyAlignment="1" applyProtection="1"/>
    <xf numFmtId="1" fontId="26" fillId="0" borderId="0" xfId="0" applyNumberFormat="1" applyFont="1" applyAlignment="1" applyProtection="1"/>
    <xf numFmtId="0" fontId="26" fillId="0" borderId="0" xfId="0" applyFont="1" applyAlignment="1" applyProtection="1"/>
    <xf numFmtId="0" fontId="26" fillId="0" borderId="0" xfId="0" applyFont="1" applyAlignment="1" applyProtection="1">
      <alignment horizontal="left" vertical="top"/>
    </xf>
    <xf numFmtId="0" fontId="26" fillId="0" borderId="0" xfId="0" applyFont="1" applyProtection="1"/>
    <xf numFmtId="0" fontId="34" fillId="0" borderId="0" xfId="205" applyFont="1" applyAlignment="1">
      <alignment vertical="center"/>
    </xf>
    <xf numFmtId="0" fontId="23" fillId="8" borderId="0" xfId="205" applyNumberFormat="1" applyFont="1" applyFill="1" applyAlignment="1">
      <alignment horizontal="center"/>
    </xf>
    <xf numFmtId="0" fontId="35" fillId="12" borderId="0" xfId="0" applyFont="1" applyFill="1" applyAlignment="1" applyProtection="1">
      <alignment horizontal="center" vertical="top" wrapText="1"/>
    </xf>
    <xf numFmtId="0" fontId="36" fillId="13" borderId="0" xfId="0" applyFont="1" applyFill="1" applyAlignment="1" applyProtection="1">
      <alignment horizontal="center" vertical="center"/>
    </xf>
    <xf numFmtId="1" fontId="37" fillId="13" borderId="0" xfId="0" applyNumberFormat="1" applyFont="1" applyFill="1" applyAlignment="1" applyProtection="1">
      <alignment horizontal="center" vertical="center"/>
    </xf>
    <xf numFmtId="0" fontId="37" fillId="13" borderId="0" xfId="0" applyFont="1" applyFill="1" applyAlignment="1" applyProtection="1">
      <alignment horizontal="center" vertical="center"/>
    </xf>
    <xf numFmtId="0" fontId="37" fillId="9" borderId="0" xfId="0" applyFont="1" applyFill="1" applyAlignment="1" applyProtection="1">
      <alignment horizontal="center" vertical="center"/>
    </xf>
    <xf numFmtId="0" fontId="29" fillId="9" borderId="25" xfId="0" applyFont="1" applyFill="1" applyBorder="1" applyAlignment="1">
      <alignment horizontal="center" vertical="center" wrapText="1"/>
    </xf>
    <xf numFmtId="0" fontId="0" fillId="0" borderId="26" xfId="0" applyFont="1" applyBorder="1" applyAlignment="1" applyProtection="1">
      <alignment vertical="center"/>
    </xf>
    <xf numFmtId="0" fontId="0" fillId="0" borderId="15" xfId="0" applyFont="1" applyBorder="1" applyAlignment="1" applyProtection="1">
      <alignment vertical="center"/>
    </xf>
    <xf numFmtId="0" fontId="25" fillId="0" borderId="16" xfId="0" applyFont="1" applyFill="1" applyBorder="1" applyAlignment="1">
      <alignment vertical="center"/>
    </xf>
    <xf numFmtId="0" fontId="0" fillId="0" borderId="27" xfId="0" applyFont="1" applyBorder="1" applyAlignment="1" applyProtection="1">
      <alignment vertical="center"/>
    </xf>
    <xf numFmtId="0" fontId="0" fillId="0" borderId="28" xfId="0" applyFont="1" applyBorder="1" applyAlignment="1" applyProtection="1">
      <alignment vertical="center"/>
    </xf>
    <xf numFmtId="0" fontId="29" fillId="0" borderId="0" xfId="205" applyFont="1" applyAlignment="1">
      <alignment horizontal="left" vertical="center"/>
    </xf>
    <xf numFmtId="0" fontId="23" fillId="8" borderId="0" xfId="205" applyFont="1" applyFill="1" applyAlignment="1">
      <alignment horizontal="left"/>
    </xf>
    <xf numFmtId="0" fontId="23" fillId="8" borderId="0" xfId="205" applyFont="1" applyFill="1" applyBorder="1" applyAlignment="1">
      <alignment horizontal="left"/>
    </xf>
    <xf numFmtId="0" fontId="35" fillId="12" borderId="0" xfId="0" applyFont="1" applyFill="1" applyAlignment="1" applyProtection="1">
      <alignment horizontal="left" vertical="top" wrapText="1"/>
    </xf>
    <xf numFmtId="0" fontId="35" fillId="12" borderId="0" xfId="0" applyFont="1" applyFill="1" applyAlignment="1" applyProtection="1">
      <alignment horizontal="center" vertical="center" wrapText="1"/>
    </xf>
    <xf numFmtId="1" fontId="29" fillId="9" borderId="29" xfId="0" applyNumberFormat="1" applyFont="1" applyFill="1" applyBorder="1" applyAlignment="1">
      <alignment horizontal="left" vertical="center" wrapText="1"/>
    </xf>
    <xf numFmtId="1" fontId="29" fillId="9" borderId="29" xfId="0" applyNumberFormat="1" applyFont="1" applyFill="1" applyBorder="1" applyAlignment="1">
      <alignment horizontal="center" vertical="center" wrapText="1"/>
    </xf>
    <xf numFmtId="0" fontId="0" fillId="0" borderId="15" xfId="0" applyFont="1" applyFill="1" applyBorder="1" applyAlignment="1" applyProtection="1">
      <alignment horizontal="left" vertical="center"/>
    </xf>
    <xf numFmtId="0" fontId="0" fillId="0" borderId="30" xfId="0" applyFont="1" applyFill="1" applyBorder="1" applyAlignment="1" applyProtection="1">
      <alignment horizontal="right" vertical="center" indent="2"/>
    </xf>
    <xf numFmtId="0" fontId="0" fillId="0" borderId="31" xfId="0" applyFont="1" applyFill="1" applyBorder="1" applyAlignment="1" applyProtection="1">
      <alignment horizontal="right" vertical="center" indent="2"/>
    </xf>
    <xf numFmtId="0" fontId="0" fillId="0" borderId="21" xfId="0" applyFont="1" applyFill="1" applyBorder="1" applyAlignment="1">
      <alignment horizontal="left" vertical="center"/>
    </xf>
    <xf numFmtId="0" fontId="0" fillId="0" borderId="21" xfId="0" applyFont="1" applyFill="1" applyBorder="1" applyAlignment="1">
      <alignment horizontal="right" vertical="center" indent="2"/>
    </xf>
    <xf numFmtId="177" fontId="0" fillId="0" borderId="19" xfId="0" applyNumberFormat="1" applyFont="1" applyFill="1" applyBorder="1" applyAlignment="1">
      <alignment horizontal="right" vertical="center" indent="2"/>
    </xf>
    <xf numFmtId="0" fontId="0" fillId="0" borderId="24" xfId="0" applyFont="1" applyFill="1" applyBorder="1" applyAlignment="1">
      <alignment horizontal="left" vertical="center"/>
    </xf>
    <xf numFmtId="177" fontId="0" fillId="0" borderId="32" xfId="0" applyNumberFormat="1" applyFont="1" applyFill="1" applyBorder="1" applyAlignment="1">
      <alignment horizontal="right" vertical="center" indent="2"/>
    </xf>
    <xf numFmtId="9" fontId="0" fillId="0" borderId="32" xfId="0" applyNumberFormat="1" applyFont="1" applyFill="1" applyBorder="1" applyAlignment="1">
      <alignment horizontal="right" vertical="center" indent="2"/>
    </xf>
    <xf numFmtId="177" fontId="0" fillId="0" borderId="33" xfId="0" applyNumberFormat="1" applyFont="1" applyFill="1" applyBorder="1" applyAlignment="1">
      <alignment horizontal="right" vertical="center" indent="2"/>
    </xf>
    <xf numFmtId="0" fontId="0" fillId="0" borderId="0" xfId="0" applyProtection="1"/>
    <xf numFmtId="0" fontId="38" fillId="0" borderId="0" xfId="0" applyFont="1" applyFill="1" applyAlignment="1" applyProtection="1">
      <alignment vertical="center"/>
    </xf>
    <xf numFmtId="0" fontId="0" fillId="0" borderId="0" xfId="0" applyFont="1" applyBorder="1" applyAlignment="1" applyProtection="1">
      <alignment horizontal="left" vertical="center"/>
    </xf>
    <xf numFmtId="0" fontId="0" fillId="0" borderId="0" xfId="0" applyFont="1" applyAlignment="1" applyProtection="1">
      <alignment horizontal="left" vertical="center"/>
    </xf>
    <xf numFmtId="0" fontId="0" fillId="0" borderId="0" xfId="0" applyFont="1" applyAlignment="1" applyProtection="1">
      <alignment horizontal="left" vertical="top"/>
    </xf>
    <xf numFmtId="0" fontId="0" fillId="0" borderId="0" xfId="0" applyFont="1" applyAlignment="1" applyProtection="1">
      <alignment horizontal="left"/>
    </xf>
    <xf numFmtId="0" fontId="37" fillId="14" borderId="0" xfId="0" applyFont="1" applyFill="1" applyAlignment="1">
      <alignment horizontal="center" vertical="center" wrapText="1"/>
    </xf>
    <xf numFmtId="1" fontId="37" fillId="14" borderId="0" xfId="0" applyNumberFormat="1" applyFont="1" applyFill="1" applyAlignment="1">
      <alignment horizontal="center" vertical="center" wrapText="1"/>
    </xf>
    <xf numFmtId="194" fontId="39" fillId="14" borderId="0" xfId="0" applyNumberFormat="1" applyFont="1" applyFill="1" applyAlignment="1">
      <alignment horizontal="left" vertical="center" wrapText="1"/>
    </xf>
    <xf numFmtId="194" fontId="37" fillId="14" borderId="0" xfId="0" applyNumberFormat="1" applyFont="1" applyFill="1" applyAlignment="1">
      <alignment horizontal="center" vertical="center" wrapText="1"/>
    </xf>
    <xf numFmtId="177" fontId="25" fillId="0" borderId="34" xfId="0" applyNumberFormat="1" applyFont="1" applyBorder="1" applyAlignment="1">
      <alignment horizontal="right" vertical="center" indent="1"/>
    </xf>
    <xf numFmtId="0" fontId="0" fillId="10" borderId="34" xfId="0" applyFont="1" applyFill="1" applyBorder="1" applyAlignment="1">
      <alignment vertical="center"/>
    </xf>
    <xf numFmtId="0" fontId="0" fillId="10" borderId="21" xfId="0" applyFont="1" applyFill="1" applyBorder="1" applyAlignment="1">
      <alignment vertical="center"/>
    </xf>
    <xf numFmtId="194" fontId="33" fillId="0" borderId="22" xfId="9" applyNumberFormat="1" applyFont="1" applyBorder="1" applyAlignment="1">
      <alignment horizontal="right" vertical="center" indent="1"/>
    </xf>
    <xf numFmtId="0" fontId="0" fillId="10" borderId="32" xfId="0" applyFont="1" applyFill="1" applyBorder="1" applyAlignment="1">
      <alignment vertical="center"/>
    </xf>
    <xf numFmtId="0" fontId="0" fillId="15" borderId="24" xfId="0" applyFont="1" applyFill="1" applyBorder="1" applyAlignment="1">
      <alignment vertical="center"/>
    </xf>
    <xf numFmtId="194" fontId="0" fillId="15" borderId="24" xfId="9" applyNumberFormat="1" applyFont="1" applyFill="1" applyBorder="1" applyAlignment="1">
      <alignment horizontal="right" vertical="center" indent="1"/>
    </xf>
    <xf numFmtId="0" fontId="0" fillId="10" borderId="24" xfId="0" applyFont="1" applyFill="1" applyBorder="1" applyAlignment="1">
      <alignment vertical="center"/>
    </xf>
    <xf numFmtId="194" fontId="0" fillId="10" borderId="24" xfId="9" applyNumberFormat="1" applyFont="1" applyFill="1" applyBorder="1" applyAlignment="1">
      <alignment horizontal="right" vertical="center" indent="1"/>
    </xf>
    <xf numFmtId="0" fontId="26" fillId="0" borderId="0" xfId="0" applyFont="1" applyAlignment="1" applyProtection="1">
      <alignment horizontal="center" vertical="top"/>
    </xf>
    <xf numFmtId="0" fontId="39" fillId="13" borderId="0" xfId="0" applyFont="1" applyFill="1" applyAlignment="1" applyProtection="1">
      <alignment horizontal="left" vertical="center" wrapText="1"/>
    </xf>
    <xf numFmtId="0" fontId="29" fillId="0" borderId="0" xfId="205" applyFont="1" applyAlignment="1">
      <alignment horizontal="center" vertical="center"/>
    </xf>
    <xf numFmtId="0" fontId="23" fillId="8" borderId="0" xfId="205" applyFont="1" applyFill="1" applyAlignment="1">
      <alignment horizontal="center"/>
    </xf>
    <xf numFmtId="0" fontId="23" fillId="8" borderId="0" xfId="205" applyFont="1" applyFill="1" applyBorder="1" applyAlignment="1">
      <alignment horizontal="center"/>
    </xf>
    <xf numFmtId="0" fontId="39" fillId="13" borderId="0" xfId="0" applyFont="1" applyFill="1" applyAlignment="1" applyProtection="1">
      <alignment horizontal="center" vertical="center" wrapText="1"/>
    </xf>
    <xf numFmtId="0" fontId="37" fillId="13" borderId="0" xfId="0" applyFont="1" applyFill="1" applyBorder="1" applyAlignment="1" applyProtection="1">
      <alignment horizontal="center" vertical="center" wrapText="1"/>
    </xf>
    <xf numFmtId="0" fontId="0" fillId="0" borderId="15" xfId="0" applyFont="1" applyBorder="1" applyAlignment="1" applyProtection="1">
      <alignment horizontal="center" vertical="center"/>
    </xf>
    <xf numFmtId="0" fontId="0" fillId="10" borderId="30" xfId="0" applyFont="1" applyFill="1" applyBorder="1" applyAlignment="1" applyProtection="1">
      <alignment horizontal="right" vertical="center" indent="2"/>
    </xf>
    <xf numFmtId="0" fontId="0" fillId="0" borderId="31" xfId="0" applyFont="1" applyBorder="1" applyAlignment="1" applyProtection="1">
      <alignment horizontal="right" vertical="center" indent="2"/>
    </xf>
    <xf numFmtId="0" fontId="0" fillId="10" borderId="21" xfId="0" applyFont="1" applyFill="1" applyBorder="1" applyAlignment="1">
      <alignment horizontal="center" vertical="center"/>
    </xf>
    <xf numFmtId="0" fontId="0" fillId="10" borderId="21" xfId="0" applyFont="1" applyFill="1" applyBorder="1" applyAlignment="1">
      <alignment horizontal="right" vertical="center" indent="2"/>
    </xf>
    <xf numFmtId="177" fontId="0" fillId="10" borderId="19" xfId="0" applyNumberFormat="1" applyFont="1" applyFill="1" applyBorder="1" applyAlignment="1">
      <alignment horizontal="right" vertical="center" indent="2"/>
    </xf>
    <xf numFmtId="0" fontId="0" fillId="15" borderId="24" xfId="0" applyFont="1" applyFill="1" applyBorder="1" applyAlignment="1">
      <alignment horizontal="center" vertical="center"/>
    </xf>
    <xf numFmtId="177" fontId="0" fillId="0" borderId="32" xfId="0" applyNumberFormat="1" applyFont="1" applyBorder="1" applyAlignment="1">
      <alignment horizontal="right" vertical="center" indent="2"/>
    </xf>
    <xf numFmtId="177" fontId="0" fillId="15" borderId="32" xfId="0" applyNumberFormat="1" applyFont="1" applyFill="1" applyBorder="1" applyAlignment="1">
      <alignment horizontal="right" vertical="center" indent="2"/>
    </xf>
    <xf numFmtId="0" fontId="0" fillId="10" borderId="24" xfId="0" applyFont="1" applyFill="1" applyBorder="1" applyAlignment="1">
      <alignment horizontal="center" vertical="center"/>
    </xf>
    <xf numFmtId="177" fontId="0" fillId="10" borderId="32" xfId="0" applyNumberFormat="1" applyFont="1" applyFill="1" applyBorder="1" applyAlignment="1">
      <alignment horizontal="right" vertical="center" indent="2"/>
    </xf>
    <xf numFmtId="177" fontId="0" fillId="10" borderId="33" xfId="0" applyNumberFormat="1" applyFont="1" applyFill="1" applyBorder="1" applyAlignment="1">
      <alignment horizontal="right" vertical="center" indent="2"/>
    </xf>
    <xf numFmtId="0" fontId="0" fillId="0" borderId="0" xfId="0" applyFont="1" applyBorder="1" applyAlignment="1" applyProtection="1">
      <alignment horizontal="center" vertical="center"/>
    </xf>
    <xf numFmtId="0" fontId="0" fillId="0" borderId="0" xfId="0" applyFont="1" applyAlignment="1" applyProtection="1">
      <alignment horizontal="center" vertical="center"/>
    </xf>
    <xf numFmtId="0" fontId="0" fillId="0" borderId="0" xfId="0" applyFont="1" applyAlignment="1" applyProtection="1">
      <alignment horizontal="center" vertical="top"/>
    </xf>
    <xf numFmtId="0" fontId="0" fillId="0" borderId="0" xfId="0" applyFont="1" applyAlignment="1" applyProtection="1">
      <alignment horizontal="center"/>
    </xf>
    <xf numFmtId="0" fontId="40" fillId="0" borderId="0" xfId="0" applyFont="1"/>
    <xf numFmtId="0" fontId="41" fillId="0" borderId="0" xfId="0" applyFont="1" applyAlignment="1">
      <alignment horizontal="left" vertical="center" indent="4"/>
    </xf>
    <xf numFmtId="0" fontId="42" fillId="0" borderId="0" xfId="0" applyFont="1"/>
    <xf numFmtId="0" fontId="42" fillId="0" borderId="0" xfId="0" applyNumberFormat="1" applyFont="1"/>
    <xf numFmtId="0" fontId="43" fillId="0" borderId="0" xfId="0" applyFont="1"/>
    <xf numFmtId="0" fontId="43" fillId="0" borderId="0" xfId="0" applyNumberFormat="1" applyFont="1"/>
    <xf numFmtId="0" fontId="0" fillId="16" borderId="0" xfId="0" applyFill="1"/>
    <xf numFmtId="0" fontId="0" fillId="17" borderId="0" xfId="0" applyFill="1"/>
    <xf numFmtId="0" fontId="44" fillId="17" borderId="0" xfId="0" applyFont="1" applyFill="1" applyAlignment="1">
      <alignment horizontal="left"/>
    </xf>
    <xf numFmtId="0" fontId="44" fillId="17" borderId="0" xfId="0" applyFont="1" applyFill="1" applyAlignment="1">
      <alignment horizontal="right"/>
    </xf>
    <xf numFmtId="0" fontId="42" fillId="0" borderId="0" xfId="0" applyNumberFormat="1" applyFont="1" applyBorder="1"/>
    <xf numFmtId="0" fontId="45" fillId="0" borderId="35" xfId="0" applyNumberFormat="1" applyFont="1" applyBorder="1"/>
    <xf numFmtId="194" fontId="45" fillId="0" borderId="35" xfId="0" applyNumberFormat="1" applyFont="1" applyBorder="1"/>
    <xf numFmtId="177" fontId="45" fillId="0" borderId="35" xfId="0" applyNumberFormat="1" applyFont="1" applyBorder="1"/>
    <xf numFmtId="0" fontId="43" fillId="0" borderId="0" xfId="0" applyNumberFormat="1" applyFont="1" applyBorder="1"/>
    <xf numFmtId="0" fontId="46" fillId="0" borderId="35" xfId="0" applyNumberFormat="1" applyFont="1" applyBorder="1"/>
    <xf numFmtId="194" fontId="46" fillId="0" borderId="35" xfId="0" applyNumberFormat="1" applyFont="1" applyBorder="1"/>
    <xf numFmtId="177" fontId="46" fillId="0" borderId="35" xfId="0" applyNumberFormat="1" applyFont="1" applyBorder="1"/>
    <xf numFmtId="0" fontId="44" fillId="0" borderId="35" xfId="0" applyNumberFormat="1" applyFont="1" applyBorder="1"/>
    <xf numFmtId="194" fontId="44" fillId="0" borderId="35" xfId="0" applyNumberFormat="1" applyFont="1" applyBorder="1"/>
    <xf numFmtId="177" fontId="44" fillId="0" borderId="35" xfId="0" applyNumberFormat="1" applyFont="1" applyBorder="1"/>
    <xf numFmtId="177" fontId="0" fillId="0" borderId="0" xfId="0" applyNumberFormat="1"/>
    <xf numFmtId="0" fontId="33" fillId="0" borderId="0" xfId="0" applyFont="1"/>
    <xf numFmtId="0" fontId="42" fillId="0" borderId="0" xfId="0" applyFont="1" applyAlignment="1"/>
    <xf numFmtId="0" fontId="47" fillId="0" borderId="0" xfId="0" applyFont="1" applyAlignment="1"/>
    <xf numFmtId="0" fontId="47" fillId="0" borderId="0" xfId="0" applyFont="1" applyFill="1" applyAlignment="1"/>
    <xf numFmtId="0" fontId="18" fillId="0" borderId="0" xfId="0" applyFont="1" applyAlignment="1"/>
    <xf numFmtId="0" fontId="48" fillId="0" borderId="0" xfId="0" applyFont="1" applyFill="1" applyAlignment="1"/>
    <xf numFmtId="0" fontId="49" fillId="0" borderId="0" xfId="0" applyFont="1" applyFill="1" applyAlignment="1"/>
    <xf numFmtId="0" fontId="50" fillId="0" borderId="0" xfId="0" applyFont="1" applyFill="1" applyAlignment="1"/>
    <xf numFmtId="0" fontId="51" fillId="0" borderId="0" xfId="0" applyFont="1" applyFill="1" applyAlignment="1">
      <alignment vertical="top"/>
    </xf>
    <xf numFmtId="0" fontId="51" fillId="0" borderId="0" xfId="0" applyFont="1" applyFill="1" applyAlignment="1">
      <alignment horizontal="right" vertical="top"/>
    </xf>
    <xf numFmtId="0" fontId="52" fillId="18" borderId="0" xfId="0" applyFont="1" applyFill="1" applyAlignment="1">
      <alignment vertical="top"/>
    </xf>
    <xf numFmtId="0" fontId="52" fillId="18" borderId="0" xfId="0" applyFont="1" applyFill="1" applyAlignment="1">
      <alignment horizontal="right" vertical="top"/>
    </xf>
    <xf numFmtId="0" fontId="53" fillId="19" borderId="0" xfId="0" applyFont="1" applyFill="1" applyAlignment="1">
      <alignment vertical="top" wrapText="1"/>
    </xf>
    <xf numFmtId="0" fontId="53" fillId="19" borderId="0" xfId="0" applyFont="1" applyFill="1" applyAlignment="1">
      <alignment horizontal="right" vertical="top" wrapText="1"/>
    </xf>
    <xf numFmtId="0" fontId="54" fillId="14" borderId="0" xfId="0" applyFont="1" applyFill="1" applyAlignment="1">
      <alignment vertical="top" wrapText="1"/>
    </xf>
    <xf numFmtId="0" fontId="54" fillId="14" borderId="0" xfId="0" applyFont="1" applyFill="1" applyAlignment="1">
      <alignment horizontal="right" vertical="top" wrapText="1"/>
    </xf>
    <xf numFmtId="0" fontId="55" fillId="0" borderId="0" xfId="0" applyFont="1" applyBorder="1" applyAlignment="1">
      <alignment vertical="top" wrapText="1"/>
    </xf>
    <xf numFmtId="0" fontId="55" fillId="0" borderId="0" xfId="0" applyFont="1" applyBorder="1" applyAlignment="1">
      <alignment horizontal="right" vertical="top" wrapText="1"/>
    </xf>
    <xf numFmtId="0" fontId="56" fillId="0" borderId="0" xfId="0" applyFont="1" applyBorder="1" applyAlignment="1">
      <alignment vertical="top" wrapText="1"/>
    </xf>
    <xf numFmtId="0" fontId="56" fillId="0" borderId="0" xfId="0" applyFont="1" applyBorder="1" applyAlignment="1">
      <alignment horizontal="right" vertical="top" wrapText="1"/>
    </xf>
    <xf numFmtId="0" fontId="1" fillId="0" borderId="0" xfId="0" applyFont="1" applyFill="1" applyAlignment="1">
      <alignment vertical="top"/>
    </xf>
    <xf numFmtId="0" fontId="57" fillId="0" borderId="0" xfId="0" applyFont="1" applyBorder="1" applyAlignment="1">
      <alignment vertical="top" wrapText="1"/>
    </xf>
    <xf numFmtId="0" fontId="49" fillId="0" borderId="0" xfId="0" applyFont="1" applyAlignment="1"/>
    <xf numFmtId="0" fontId="50" fillId="0" borderId="0" xfId="0" applyFont="1" applyAlignment="1"/>
    <xf numFmtId="0" fontId="48" fillId="0" borderId="0" xfId="0" applyFont="1" applyAlignment="1"/>
    <xf numFmtId="0" fontId="42" fillId="0" borderId="0" xfId="0" applyFont="1" applyFill="1" applyAlignment="1"/>
    <xf numFmtId="177" fontId="42" fillId="0" borderId="0" xfId="0" applyNumberFormat="1" applyFont="1" applyFill="1" applyAlignment="1"/>
    <xf numFmtId="0" fontId="0" fillId="0" borderId="0" xfId="0" applyFill="1" applyAlignment="1"/>
    <xf numFmtId="0" fontId="42" fillId="20" borderId="0" xfId="0" applyFont="1" applyFill="1" applyAlignment="1"/>
    <xf numFmtId="0" fontId="0" fillId="20" borderId="0" xfId="0" applyFill="1" applyAlignment="1"/>
    <xf numFmtId="0" fontId="18" fillId="0" borderId="0" xfId="0" applyFont="1" applyFill="1" applyAlignment="1"/>
    <xf numFmtId="177" fontId="18" fillId="0" borderId="0" xfId="0" applyNumberFormat="1" applyFont="1" applyFill="1" applyAlignment="1"/>
    <xf numFmtId="177" fontId="49" fillId="0" borderId="0" xfId="0" applyNumberFormat="1" applyFont="1" applyFill="1" applyAlignment="1"/>
    <xf numFmtId="177" fontId="50" fillId="0" borderId="0" xfId="0" applyNumberFormat="1" applyFont="1" applyFill="1" applyAlignment="1"/>
    <xf numFmtId="177" fontId="47" fillId="0" borderId="0" xfId="0" applyNumberFormat="1" applyFont="1" applyFill="1" applyAlignment="1"/>
    <xf numFmtId="177" fontId="48" fillId="0" borderId="0" xfId="0" applyNumberFormat="1" applyFont="1" applyFill="1" applyAlignment="1"/>
    <xf numFmtId="0" fontId="58" fillId="0" borderId="0" xfId="0" applyFont="1" applyFill="1" applyBorder="1" applyAlignment="1">
      <alignment horizontal="left" vertical="top" readingOrder="1"/>
    </xf>
    <xf numFmtId="190" fontId="44" fillId="0" borderId="0" xfId="0" applyNumberFormat="1" applyFont="1" applyBorder="1"/>
    <xf numFmtId="0" fontId="50" fillId="0" borderId="0" xfId="0" applyFont="1" applyFill="1" applyAlignment="1">
      <alignment vertical="top" wrapText="1"/>
    </xf>
    <xf numFmtId="0" fontId="50" fillId="0" borderId="0" xfId="0" applyFont="1" applyFill="1" applyAlignment="1">
      <alignment wrapText="1"/>
    </xf>
    <xf numFmtId="0" fontId="47" fillId="0" borderId="0" xfId="0" applyFont="1" applyFill="1" applyAlignment="1">
      <alignment vertical="top" wrapText="1"/>
    </xf>
    <xf numFmtId="190" fontId="44" fillId="0" borderId="0" xfId="0" applyNumberFormat="1" applyFont="1" applyBorder="1" applyAlignment="1">
      <alignment horizontal="left"/>
    </xf>
    <xf numFmtId="0" fontId="59" fillId="0" borderId="0" xfId="0" applyFont="1" applyFill="1" applyAlignment="1"/>
    <xf numFmtId="0" fontId="23" fillId="8" borderId="36" xfId="0" applyFont="1" applyFill="1" applyBorder="1" applyAlignment="1">
      <alignment horizontal="left" vertical="center" wrapText="1"/>
    </xf>
    <xf numFmtId="0" fontId="0" fillId="0" borderId="0" xfId="0" applyFill="1"/>
    <xf numFmtId="0" fontId="49" fillId="0" borderId="0" xfId="0" applyFont="1" applyFill="1" applyAlignment="1">
      <alignment wrapText="1"/>
    </xf>
    <xf numFmtId="0" fontId="18" fillId="20" borderId="0" xfId="0" applyFont="1" applyFill="1" applyAlignment="1"/>
    <xf numFmtId="0" fontId="49" fillId="20" borderId="0" xfId="0" applyFont="1" applyFill="1" applyAlignment="1"/>
    <xf numFmtId="0" fontId="60" fillId="20" borderId="0" xfId="0" applyFont="1" applyFill="1" applyAlignment="1"/>
    <xf numFmtId="0" fontId="50" fillId="20" borderId="0" xfId="0" applyFont="1" applyFill="1" applyAlignment="1"/>
    <xf numFmtId="0" fontId="61" fillId="20" borderId="0" xfId="0" applyFont="1" applyFill="1" applyAlignment="1"/>
    <xf numFmtId="0" fontId="47" fillId="20" borderId="0" xfId="0" applyFont="1" applyFill="1" applyAlignment="1"/>
    <xf numFmtId="0" fontId="48" fillId="20" borderId="0" xfId="0" applyFont="1" applyFill="1" applyAlignment="1"/>
    <xf numFmtId="0" fontId="1" fillId="0" borderId="0" xfId="0" applyFont="1" applyAlignment="1">
      <alignment horizontal="right"/>
    </xf>
    <xf numFmtId="1" fontId="1" fillId="0" borderId="0" xfId="0" applyNumberFormat="1" applyFont="1"/>
    <xf numFmtId="0" fontId="1" fillId="0" borderId="2" xfId="0" applyFont="1" applyBorder="1"/>
    <xf numFmtId="177" fontId="1" fillId="0" borderId="0" xfId="0" applyNumberFormat="1" applyFont="1" applyBorder="1"/>
    <xf numFmtId="0" fontId="1" fillId="0" borderId="9" xfId="0" applyFont="1" applyBorder="1"/>
    <xf numFmtId="0" fontId="1" fillId="0" borderId="4" xfId="0" applyFont="1" applyBorder="1"/>
    <xf numFmtId="0" fontId="1" fillId="0" borderId="3" xfId="0" applyFont="1" applyBorder="1"/>
    <xf numFmtId="0" fontId="1" fillId="0" borderId="5" xfId="0" applyFont="1" applyBorder="1"/>
    <xf numFmtId="0" fontId="1" fillId="0" borderId="37" xfId="0" applyFont="1" applyBorder="1"/>
    <xf numFmtId="177" fontId="1" fillId="0" borderId="0" xfId="0" applyNumberFormat="1" applyFont="1"/>
    <xf numFmtId="0" fontId="1" fillId="0" borderId="38" xfId="0" applyFont="1" applyBorder="1"/>
    <xf numFmtId="0" fontId="1" fillId="0" borderId="39" xfId="0" applyFont="1" applyBorder="1"/>
    <xf numFmtId="0" fontId="62" fillId="0" borderId="0" xfId="0" applyFont="1" applyAlignment="1">
      <alignment vertical="center"/>
    </xf>
    <xf numFmtId="0" fontId="1" fillId="21" borderId="0" xfId="0" applyFont="1" applyFill="1"/>
    <xf numFmtId="0" fontId="63" fillId="22" borderId="0" xfId="0" applyFont="1" applyFill="1"/>
    <xf numFmtId="0" fontId="64" fillId="0" borderId="0" xfId="0" applyFont="1"/>
    <xf numFmtId="0" fontId="0" fillId="0" borderId="0" xfId="0" applyAlignment="1">
      <alignment horizontal="right"/>
    </xf>
    <xf numFmtId="0" fontId="0" fillId="3" borderId="0" xfId="0" applyFill="1"/>
    <xf numFmtId="0" fontId="65" fillId="0" borderId="0" xfId="0" applyFont="1"/>
    <xf numFmtId="0" fontId="65" fillId="0" borderId="0" xfId="0" applyFont="1" applyAlignment="1">
      <alignment horizontal="right"/>
    </xf>
    <xf numFmtId="0" fontId="66" fillId="0" borderId="0" xfId="0" applyFont="1"/>
    <xf numFmtId="0" fontId="0" fillId="0" borderId="0" xfId="0" applyAlignment="1">
      <alignment horizontal="left"/>
    </xf>
    <xf numFmtId="2" fontId="1" fillId="0" borderId="0" xfId="0" applyNumberFormat="1" applyFont="1"/>
    <xf numFmtId="2" fontId="1" fillId="0" borderId="0" xfId="0" applyNumberFormat="1" applyFont="1" applyAlignment="1">
      <alignment horizontal="right"/>
    </xf>
    <xf numFmtId="177" fontId="1" fillId="0" borderId="0" xfId="0" applyNumberFormat="1" applyFont="1" applyAlignment="1">
      <alignment horizontal="right"/>
    </xf>
    <xf numFmtId="0" fontId="1" fillId="0" borderId="40" xfId="0" applyFont="1" applyBorder="1"/>
    <xf numFmtId="177" fontId="1" fillId="3" borderId="0" xfId="0" applyNumberFormat="1" applyFont="1" applyFill="1"/>
    <xf numFmtId="0" fontId="1" fillId="21" borderId="40" xfId="0" applyFont="1" applyFill="1" applyBorder="1"/>
    <xf numFmtId="0" fontId="53" fillId="19" borderId="0" xfId="0" applyFont="1" applyFill="1" applyAlignment="1">
      <alignment horizontal="right" vertical="center" wrapText="1"/>
    </xf>
    <xf numFmtId="0" fontId="54" fillId="14" borderId="0" xfId="0" applyFont="1" applyFill="1" applyAlignment="1">
      <alignment horizontal="right" vertical="center" wrapText="1"/>
    </xf>
    <xf numFmtId="0" fontId="21" fillId="19" borderId="0" xfId="0" applyFont="1" applyFill="1" applyAlignment="1">
      <alignment horizontal="right" vertical="center" wrapText="1"/>
    </xf>
    <xf numFmtId="0" fontId="53" fillId="19" borderId="0" xfId="0" applyFont="1" applyFill="1" applyAlignment="1">
      <alignment horizontal="left" vertical="center" wrapText="1"/>
    </xf>
    <xf numFmtId="0" fontId="67" fillId="0" borderId="0" xfId="0" applyFont="1" applyFill="1" applyAlignment="1"/>
    <xf numFmtId="0" fontId="9" fillId="0" borderId="0" xfId="0" applyFont="1" applyFill="1" applyAlignment="1"/>
    <xf numFmtId="0" fontId="68" fillId="0" borderId="0" xfId="0" applyFont="1" applyFill="1" applyAlignment="1">
      <alignment horizontal="right"/>
    </xf>
    <xf numFmtId="0" fontId="55" fillId="0" borderId="0" xfId="0" applyFont="1" applyBorder="1" applyAlignment="1">
      <alignment horizontal="right" vertical="center" wrapText="1"/>
    </xf>
    <xf numFmtId="0" fontId="0" fillId="0" borderId="0" xfId="0" applyBorder="1" applyAlignment="1">
      <alignment horizontal="right" vertical="center" wrapText="1"/>
    </xf>
    <xf numFmtId="0" fontId="69" fillId="0" borderId="0" xfId="0" applyFont="1" applyAlignment="1">
      <alignment horizontal="right"/>
    </xf>
    <xf numFmtId="0" fontId="23" fillId="0" borderId="0" xfId="205" applyFont="1" applyFill="1" applyBorder="1"/>
    <xf numFmtId="0" fontId="23" fillId="16" borderId="0" xfId="205" applyFont="1" applyFill="1"/>
    <xf numFmtId="0" fontId="23" fillId="16" borderId="0" xfId="205" applyFont="1" applyFill="1" applyBorder="1"/>
    <xf numFmtId="0" fontId="29" fillId="23" borderId="10" xfId="0" applyFont="1" applyFill="1" applyBorder="1" applyAlignment="1">
      <alignment horizontal="center" vertical="center" wrapText="1"/>
    </xf>
    <xf numFmtId="0" fontId="0" fillId="0" borderId="15" xfId="0" applyFont="1" applyFill="1" applyBorder="1" applyAlignment="1" applyProtection="1">
      <alignment horizontal="center" vertical="center"/>
    </xf>
    <xf numFmtId="0" fontId="25" fillId="0" borderId="41" xfId="0" applyFont="1" applyFill="1" applyBorder="1" applyAlignment="1">
      <alignment vertical="center"/>
    </xf>
    <xf numFmtId="0" fontId="23" fillId="16" borderId="0" xfId="205" applyFont="1" applyFill="1" applyAlignment="1">
      <alignment horizontal="center"/>
    </xf>
    <xf numFmtId="0" fontId="23" fillId="16" borderId="0" xfId="205" applyFont="1" applyFill="1" applyBorder="1" applyAlignment="1">
      <alignment horizontal="center"/>
    </xf>
    <xf numFmtId="1" fontId="29" fillId="23" borderId="42" xfId="0" applyNumberFormat="1" applyFont="1" applyFill="1" applyBorder="1" applyAlignment="1">
      <alignment horizontal="center" vertical="center" wrapText="1"/>
    </xf>
    <xf numFmtId="1" fontId="29" fillId="23" borderId="43" xfId="0" applyNumberFormat="1" applyFont="1" applyFill="1" applyBorder="1" applyAlignment="1">
      <alignment horizontal="center" vertical="center" wrapText="1"/>
    </xf>
    <xf numFmtId="0" fontId="29" fillId="23" borderId="43" xfId="0" applyFont="1" applyFill="1" applyBorder="1" applyAlignment="1">
      <alignment horizontal="center" vertical="center" wrapText="1"/>
    </xf>
    <xf numFmtId="0" fontId="0" fillId="0" borderId="31" xfId="0" applyFont="1" applyFill="1" applyBorder="1" applyAlignment="1" applyProtection="1">
      <alignment horizontal="center" vertical="center"/>
    </xf>
    <xf numFmtId="0" fontId="0" fillId="0" borderId="21" xfId="0" applyFont="1" applyFill="1" applyBorder="1" applyAlignment="1">
      <alignment horizontal="center" vertical="center"/>
    </xf>
    <xf numFmtId="0" fontId="0" fillId="0" borderId="24" xfId="0" applyFont="1" applyFill="1" applyBorder="1" applyAlignment="1">
      <alignment horizontal="center" vertical="center"/>
    </xf>
    <xf numFmtId="194" fontId="29" fillId="23" borderId="43" xfId="0" applyNumberFormat="1" applyFont="1" applyFill="1" applyBorder="1" applyAlignment="1">
      <alignment horizontal="left" vertical="center" wrapText="1"/>
    </xf>
    <xf numFmtId="194" fontId="29" fillId="23" borderId="43" xfId="0" applyNumberFormat="1" applyFont="1" applyFill="1" applyBorder="1" applyAlignment="1">
      <alignment horizontal="center" vertical="center" wrapText="1"/>
    </xf>
    <xf numFmtId="0" fontId="29" fillId="23" borderId="44" xfId="0" applyFont="1" applyFill="1" applyBorder="1" applyAlignment="1">
      <alignment horizontal="center" vertical="center" wrapText="1"/>
    </xf>
    <xf numFmtId="0" fontId="0" fillId="0" borderId="45" xfId="0" applyFont="1" applyFill="1" applyBorder="1" applyAlignment="1" applyProtection="1">
      <alignment horizontal="right" vertical="center" indent="2"/>
    </xf>
    <xf numFmtId="177" fontId="0" fillId="0" borderId="46" xfId="0" applyNumberFormat="1" applyFont="1" applyFill="1" applyBorder="1" applyAlignment="1">
      <alignment horizontal="right" vertical="center" indent="2"/>
    </xf>
    <xf numFmtId="177" fontId="0" fillId="0" borderId="47" xfId="0" applyNumberFormat="1" applyFont="1" applyFill="1" applyBorder="1" applyAlignment="1">
      <alignment horizontal="right" vertical="center" indent="2"/>
    </xf>
    <xf numFmtId="0" fontId="0" fillId="0" borderId="0" xfId="0" applyProtection="1">
      <protection locked="0"/>
    </xf>
    <xf numFmtId="0" fontId="1" fillId="0" borderId="0" xfId="0" applyFont="1" applyProtection="1">
      <protection locked="0"/>
    </xf>
    <xf numFmtId="0" fontId="1" fillId="24" borderId="0" xfId="0" applyFont="1" applyFill="1" applyProtection="1">
      <protection locked="0"/>
    </xf>
    <xf numFmtId="0" fontId="1" fillId="0" borderId="0" xfId="197" applyFont="1" applyProtection="1">
      <protection locked="0"/>
    </xf>
    <xf numFmtId="0" fontId="2" fillId="0" borderId="0" xfId="0" applyFont="1" applyProtection="1">
      <protection locked="0"/>
    </xf>
    <xf numFmtId="0" fontId="8" fillId="0" borderId="0" xfId="0" applyFont="1" applyProtection="1">
      <protection locked="0"/>
    </xf>
    <xf numFmtId="0" fontId="70" fillId="0" borderId="0" xfId="0" applyFont="1" applyAlignment="1" applyProtection="1">
      <alignment horizontal="right"/>
      <protection locked="0"/>
    </xf>
    <xf numFmtId="0" fontId="71" fillId="0" borderId="0" xfId="0" applyFont="1" applyProtection="1">
      <protection locked="0"/>
    </xf>
    <xf numFmtId="0" fontId="42" fillId="0" borderId="0" xfId="0" applyFont="1" applyProtection="1">
      <protection locked="0"/>
    </xf>
    <xf numFmtId="0" fontId="72" fillId="0" borderId="0" xfId="0" applyFont="1" applyAlignment="1" applyProtection="1">
      <protection locked="0"/>
    </xf>
    <xf numFmtId="9" fontId="42" fillId="0" borderId="0" xfId="0" applyNumberFormat="1" applyFont="1" applyProtection="1">
      <protection locked="0"/>
    </xf>
    <xf numFmtId="0" fontId="0" fillId="0" borderId="0" xfId="0" applyAlignment="1" applyProtection="1">
      <protection locked="0"/>
    </xf>
    <xf numFmtId="0" fontId="40" fillId="0" borderId="0" xfId="0" applyFont="1" applyProtection="1">
      <protection locked="0"/>
    </xf>
    <xf numFmtId="0" fontId="67" fillId="0" borderId="0" xfId="0" applyFont="1" applyFill="1" applyAlignment="1" applyProtection="1">
      <protection locked="0"/>
    </xf>
    <xf numFmtId="0" fontId="70" fillId="0" borderId="0" xfId="0" applyFont="1" applyProtection="1">
      <protection locked="0"/>
    </xf>
    <xf numFmtId="0" fontId="73" fillId="0" borderId="0" xfId="0" applyFont="1"/>
    <xf numFmtId="0" fontId="0" fillId="0" borderId="0" xfId="0" applyAlignment="1">
      <alignment horizontal="left" readingOrder="1"/>
    </xf>
    <xf numFmtId="0" fontId="55" fillId="0" borderId="0" xfId="0" applyFont="1"/>
    <xf numFmtId="0" fontId="74" fillId="0" borderId="0" xfId="0" applyFont="1" applyProtection="1">
      <protection locked="0"/>
    </xf>
    <xf numFmtId="0" fontId="75" fillId="0" borderId="0" xfId="0" applyFont="1" applyProtection="1">
      <protection locked="0"/>
    </xf>
    <xf numFmtId="0" fontId="76" fillId="0" borderId="0" xfId="0" applyFont="1" applyProtection="1">
      <protection locked="0"/>
    </xf>
    <xf numFmtId="0" fontId="77" fillId="0" borderId="0" xfId="0" applyFont="1" applyProtection="1">
      <protection locked="0"/>
    </xf>
    <xf numFmtId="0" fontId="78" fillId="0" borderId="0" xfId="205" applyFont="1"/>
    <xf numFmtId="0" fontId="79" fillId="0" borderId="0" xfId="0" applyFont="1" applyAlignment="1">
      <alignment vertical="center"/>
    </xf>
    <xf numFmtId="0" fontId="80" fillId="0" borderId="0" xfId="0" applyFont="1" applyAlignment="1">
      <alignment vertical="center"/>
    </xf>
    <xf numFmtId="0" fontId="14" fillId="0" borderId="0" xfId="0" applyFont="1"/>
    <xf numFmtId="0" fontId="78" fillId="0" borderId="0" xfId="205" applyFont="1" applyAlignment="1">
      <alignment vertical="center"/>
    </xf>
    <xf numFmtId="0" fontId="81" fillId="0" borderId="0" xfId="205" applyFont="1" applyAlignment="1">
      <alignment vertical="center"/>
    </xf>
    <xf numFmtId="0" fontId="23" fillId="0" borderId="0" xfId="205" applyNumberFormat="1" applyFont="1" applyFill="1" applyAlignment="1">
      <alignment horizontal="center"/>
    </xf>
    <xf numFmtId="0" fontId="82" fillId="0" borderId="0" xfId="0" applyFont="1"/>
    <xf numFmtId="0" fontId="82" fillId="0" borderId="0" xfId="0" applyFont="1" applyAlignment="1">
      <alignment horizontal="left"/>
    </xf>
    <xf numFmtId="0" fontId="83" fillId="23" borderId="48" xfId="0" applyFont="1" applyFill="1" applyBorder="1" applyAlignment="1" applyProtection="1">
      <alignment vertical="center"/>
    </xf>
    <xf numFmtId="0" fontId="83" fillId="23" borderId="48" xfId="0" applyFont="1" applyFill="1" applyBorder="1" applyAlignment="1" applyProtection="1">
      <alignment horizontal="left" vertical="center" indent="1"/>
    </xf>
    <xf numFmtId="0" fontId="84" fillId="0" borderId="49" xfId="0" applyFont="1" applyBorder="1" applyProtection="1"/>
    <xf numFmtId="0" fontId="80" fillId="25" borderId="49" xfId="0" applyFont="1" applyFill="1" applyBorder="1" applyAlignment="1" applyProtection="1">
      <alignment horizontal="center"/>
      <protection locked="0"/>
    </xf>
    <xf numFmtId="194" fontId="80" fillId="0" borderId="49" xfId="0" applyNumberFormat="1" applyFont="1" applyBorder="1" applyProtection="1"/>
    <xf numFmtId="0" fontId="80" fillId="0" borderId="0" xfId="0" applyFont="1" applyBorder="1" applyProtection="1"/>
    <xf numFmtId="0" fontId="68" fillId="9" borderId="0" xfId="0" applyFont="1" applyFill="1" applyAlignment="1" applyProtection="1">
      <alignment vertical="center"/>
    </xf>
    <xf numFmtId="0" fontId="68" fillId="9" borderId="0" xfId="0" applyFont="1" applyFill="1" applyAlignment="1" applyProtection="1">
      <alignment horizontal="left" vertical="center" indent="1"/>
    </xf>
    <xf numFmtId="1" fontId="14" fillId="0" borderId="0" xfId="0" applyNumberFormat="1" applyFont="1"/>
    <xf numFmtId="0" fontId="80" fillId="0" borderId="49" xfId="0" applyFont="1" applyFill="1" applyBorder="1" applyProtection="1"/>
    <xf numFmtId="0" fontId="68" fillId="0" borderId="49" xfId="0" applyFont="1" applyBorder="1" applyProtection="1"/>
    <xf numFmtId="0" fontId="68" fillId="0" borderId="0" xfId="0" applyFont="1" applyBorder="1" applyProtection="1"/>
    <xf numFmtId="0" fontId="80" fillId="25" borderId="0" xfId="0" applyFont="1" applyFill="1" applyBorder="1" applyAlignment="1" applyProtection="1">
      <alignment horizontal="center"/>
      <protection locked="0"/>
    </xf>
    <xf numFmtId="194" fontId="80" fillId="0" borderId="0" xfId="0" applyNumberFormat="1" applyFont="1" applyBorder="1" applyProtection="1"/>
    <xf numFmtId="0" fontId="0" fillId="0" borderId="0" xfId="0" applyAlignment="1" applyProtection="1">
      <alignment horizontal="center"/>
    </xf>
    <xf numFmtId="0" fontId="68" fillId="9" borderId="0" xfId="0" applyFont="1" applyFill="1" applyAlignment="1" applyProtection="1">
      <alignment horizontal="center" vertical="center"/>
    </xf>
    <xf numFmtId="0" fontId="80" fillId="0" borderId="49" xfId="0" applyFont="1" applyFill="1" applyBorder="1" applyAlignment="1" applyProtection="1">
      <alignment horizontal="center"/>
    </xf>
    <xf numFmtId="0" fontId="78" fillId="0" borderId="0" xfId="205" applyFont="1" applyFill="1"/>
    <xf numFmtId="0" fontId="85" fillId="0" borderId="0" xfId="0" applyFont="1" applyAlignment="1">
      <alignment horizontal="left" vertical="center" readingOrder="1"/>
    </xf>
    <xf numFmtId="0" fontId="14" fillId="0" borderId="49" xfId="0" applyFont="1" applyBorder="1" applyProtection="1"/>
    <xf numFmtId="0" fontId="65" fillId="0" borderId="49" xfId="0" applyFont="1" applyBorder="1" applyProtection="1"/>
    <xf numFmtId="0" fontId="86" fillId="0" borderId="0" xfId="0" applyFont="1" applyAlignment="1">
      <alignment horizontal="left" readingOrder="1"/>
    </xf>
    <xf numFmtId="0" fontId="14" fillId="0" borderId="0" xfId="0" applyFont="1" applyBorder="1" applyProtection="1"/>
    <xf numFmtId="0" fontId="65" fillId="0" borderId="0" xfId="0" applyFont="1" applyBorder="1" applyProtection="1"/>
    <xf numFmtId="0" fontId="0" fillId="0" borderId="0" xfId="0" applyBorder="1"/>
    <xf numFmtId="0" fontId="78" fillId="0" borderId="0" xfId="205" applyFont="1" applyBorder="1"/>
    <xf numFmtId="0" fontId="87" fillId="0" borderId="0" xfId="205" applyFont="1"/>
    <xf numFmtId="0" fontId="26" fillId="0" borderId="0" xfId="0" applyFont="1" applyFill="1"/>
    <xf numFmtId="0" fontId="88" fillId="0" borderId="0" xfId="0" applyFont="1" applyAlignment="1">
      <alignment vertical="center"/>
    </xf>
    <xf numFmtId="0" fontId="26" fillId="0" borderId="0" xfId="0" applyFont="1" applyAlignment="1">
      <alignment vertical="center"/>
    </xf>
    <xf numFmtId="0" fontId="0" fillId="0" borderId="0" xfId="0" applyAlignment="1">
      <alignment vertical="center"/>
    </xf>
    <xf numFmtId="0" fontId="89" fillId="0" borderId="0" xfId="0" applyFont="1" applyAlignment="1">
      <alignment vertical="center"/>
    </xf>
    <xf numFmtId="0" fontId="81" fillId="0" borderId="0" xfId="205" applyNumberFormat="1" applyFont="1" applyFill="1" applyAlignment="1">
      <alignment horizontal="left"/>
    </xf>
    <xf numFmtId="0" fontId="90" fillId="0" borderId="0" xfId="205" applyFont="1" applyAlignment="1">
      <alignment vertical="center"/>
    </xf>
    <xf numFmtId="0" fontId="91" fillId="0" borderId="0" xfId="0" applyFont="1" applyFill="1" applyAlignment="1">
      <alignment horizontal="right" vertical="center" indent="3"/>
    </xf>
    <xf numFmtId="0" fontId="35" fillId="0" borderId="0" xfId="0" applyFont="1" applyFill="1" applyAlignment="1">
      <alignment horizontal="left" vertical="center" indent="3"/>
    </xf>
    <xf numFmtId="0" fontId="29" fillId="0" borderId="0" xfId="203" applyFont="1" applyFill="1" applyAlignment="1">
      <alignment vertical="center"/>
    </xf>
    <xf numFmtId="0" fontId="92" fillId="0" borderId="0" xfId="0" applyFont="1" applyAlignment="1">
      <alignment vertical="top"/>
    </xf>
    <xf numFmtId="0" fontId="93" fillId="0" borderId="0" xfId="0" applyFont="1"/>
    <xf numFmtId="0" fontId="94" fillId="0" borderId="0" xfId="0" applyFont="1" applyAlignment="1">
      <alignment vertical="top"/>
    </xf>
    <xf numFmtId="0" fontId="34" fillId="0" borderId="0" xfId="0" applyNumberFormat="1" applyFont="1" applyAlignment="1">
      <alignment horizontal="left" vertical="center" indent="1"/>
    </xf>
    <xf numFmtId="0" fontId="95" fillId="0" borderId="0" xfId="0" applyFont="1" applyAlignment="1">
      <alignment horizontal="right" vertical="center"/>
    </xf>
    <xf numFmtId="0" fontId="29" fillId="26" borderId="0" xfId="0" applyFont="1" applyFill="1" applyAlignment="1">
      <alignment vertical="center"/>
    </xf>
    <xf numFmtId="0" fontId="31" fillId="26" borderId="0" xfId="0" applyFont="1" applyFill="1" applyAlignment="1">
      <alignment vertical="center"/>
    </xf>
    <xf numFmtId="2" fontId="31" fillId="26" borderId="0" xfId="0" applyNumberFormat="1" applyFont="1" applyFill="1" applyAlignment="1">
      <alignment vertical="center"/>
    </xf>
    <xf numFmtId="0" fontId="31" fillId="26" borderId="0" xfId="0" applyFont="1" applyFill="1" applyAlignment="1">
      <alignment horizontal="right" vertical="center"/>
    </xf>
    <xf numFmtId="0" fontId="96" fillId="0" borderId="50" xfId="0" applyFont="1" applyBorder="1" applyAlignment="1">
      <alignment horizontal="left" vertical="center" indent="1"/>
    </xf>
    <xf numFmtId="0" fontId="96" fillId="0" borderId="50" xfId="0" applyFont="1" applyBorder="1" applyAlignment="1">
      <alignment vertical="center"/>
    </xf>
    <xf numFmtId="177" fontId="96" fillId="0" borderId="50" xfId="0" applyNumberFormat="1" applyFont="1" applyBorder="1" applyAlignment="1">
      <alignment horizontal="right" vertical="center"/>
    </xf>
    <xf numFmtId="0" fontId="96" fillId="0" borderId="50" xfId="0" applyFont="1" applyBorder="1" applyAlignment="1">
      <alignment horizontal="right" vertical="center"/>
    </xf>
    <xf numFmtId="0" fontId="0" fillId="0" borderId="0" xfId="0" applyFont="1" applyAlignment="1">
      <alignment vertical="center"/>
    </xf>
    <xf numFmtId="0" fontId="97" fillId="0" borderId="0" xfId="0" applyFont="1" applyAlignment="1">
      <alignment horizontal="left" vertical="center" indent="2"/>
    </xf>
    <xf numFmtId="0" fontId="23" fillId="0" borderId="0" xfId="0" applyFont="1" applyAlignment="1">
      <alignment vertical="center"/>
    </xf>
    <xf numFmtId="177" fontId="23" fillId="0" borderId="0" xfId="0" applyNumberFormat="1" applyFont="1" applyAlignment="1">
      <alignment horizontal="right" vertical="center"/>
    </xf>
    <xf numFmtId="0" fontId="23" fillId="0" borderId="0" xfId="0" applyFont="1" applyAlignment="1">
      <alignment horizontal="right" vertical="center"/>
    </xf>
    <xf numFmtId="177" fontId="62" fillId="0" borderId="0" xfId="0" applyNumberFormat="1" applyFont="1" applyAlignment="1">
      <alignment horizontal="right" vertical="center"/>
    </xf>
    <xf numFmtId="0" fontId="62" fillId="0" borderId="0" xfId="0" applyFont="1" applyAlignment="1">
      <alignment horizontal="right" vertical="center"/>
    </xf>
    <xf numFmtId="0" fontId="96" fillId="0" borderId="0" xfId="0" applyFont="1" applyAlignment="1">
      <alignment vertical="center"/>
    </xf>
    <xf numFmtId="177" fontId="96" fillId="0" borderId="0" xfId="0" applyNumberFormat="1" applyFont="1" applyAlignment="1">
      <alignment horizontal="right" vertical="center"/>
    </xf>
    <xf numFmtId="0" fontId="96" fillId="0" borderId="0" xfId="0" applyFont="1" applyAlignment="1">
      <alignment horizontal="right" vertical="center"/>
    </xf>
    <xf numFmtId="0" fontId="96" fillId="0" borderId="0" xfId="0" applyFont="1" applyAlignment="1">
      <alignment horizontal="left" vertical="center" indent="1"/>
    </xf>
    <xf numFmtId="0" fontId="91" fillId="0" borderId="0" xfId="0" applyFont="1" applyFill="1" applyAlignment="1">
      <alignment horizontal="right" vertical="center"/>
    </xf>
    <xf numFmtId="0" fontId="91" fillId="0" borderId="0" xfId="0" applyFont="1" applyFill="1" applyAlignment="1">
      <alignment horizontal="center" vertical="center"/>
    </xf>
    <xf numFmtId="0" fontId="98" fillId="0" borderId="0" xfId="0" applyFont="1" applyAlignment="1">
      <alignment vertical="center"/>
    </xf>
    <xf numFmtId="0" fontId="99" fillId="0" borderId="0" xfId="0" applyFont="1" applyAlignment="1">
      <alignment vertical="center" wrapText="1"/>
    </xf>
    <xf numFmtId="177" fontId="93" fillId="0" borderId="0" xfId="0" applyNumberFormat="1" applyFont="1" applyAlignment="1">
      <alignment horizontal="left" vertical="center"/>
    </xf>
    <xf numFmtId="0" fontId="100" fillId="0" borderId="0" xfId="0" applyFont="1"/>
    <xf numFmtId="0" fontId="0" fillId="0" borderId="0" xfId="0" applyFont="1" applyAlignment="1">
      <alignment wrapText="1"/>
    </xf>
    <xf numFmtId="0" fontId="101" fillId="0" borderId="0" xfId="0" applyFont="1" applyAlignment="1">
      <alignment vertical="center"/>
    </xf>
    <xf numFmtId="0" fontId="102" fillId="0" borderId="0" xfId="0" applyFont="1"/>
    <xf numFmtId="0" fontId="0" fillId="0" borderId="0" xfId="0" applyFont="1" applyAlignment="1">
      <alignment horizontal="left" vertical="top" wrapText="1"/>
    </xf>
    <xf numFmtId="0" fontId="0" fillId="0" borderId="0" xfId="0" applyFont="1" applyAlignment="1">
      <alignment vertical="top"/>
    </xf>
    <xf numFmtId="0" fontId="62" fillId="0" borderId="0" xfId="0" applyFont="1"/>
    <xf numFmtId="0" fontId="40" fillId="0" borderId="0" xfId="0" applyFont="1" applyAlignment="1">
      <alignment vertical="top"/>
    </xf>
    <xf numFmtId="1" fontId="0" fillId="0" borderId="0" xfId="0" applyNumberFormat="1" applyFont="1" applyAlignment="1">
      <alignment vertical="top"/>
    </xf>
    <xf numFmtId="0" fontId="27" fillId="0" borderId="0" xfId="0" applyFont="1" applyAlignment="1">
      <alignment wrapText="1"/>
    </xf>
    <xf numFmtId="0" fontId="62" fillId="11" borderId="0" xfId="0" applyFont="1" applyFill="1"/>
    <xf numFmtId="0" fontId="27" fillId="0" borderId="0" xfId="205" applyNumberFormat="1" applyFont="1" applyFill="1" applyAlignment="1">
      <alignment horizontal="center"/>
    </xf>
    <xf numFmtId="0" fontId="30" fillId="0" borderId="0" xfId="205" applyFont="1" applyFill="1"/>
    <xf numFmtId="0" fontId="27" fillId="0" borderId="0" xfId="205" applyFont="1" applyFill="1" applyBorder="1"/>
    <xf numFmtId="0" fontId="30" fillId="0" borderId="0" xfId="205" applyFont="1" applyFill="1" applyBorder="1"/>
    <xf numFmtId="0" fontId="29" fillId="0" borderId="0" xfId="0" applyFont="1" applyAlignment="1">
      <alignment horizontal="left" vertical="center" wrapText="1"/>
    </xf>
    <xf numFmtId="0" fontId="27" fillId="0" borderId="0" xfId="0" applyFont="1" applyAlignment="1">
      <alignment vertical="top"/>
    </xf>
    <xf numFmtId="0" fontId="103" fillId="0" borderId="0" xfId="0" applyFont="1" applyAlignment="1"/>
    <xf numFmtId="0" fontId="26" fillId="0" borderId="0" xfId="0" applyFont="1" applyAlignment="1">
      <alignment vertical="top"/>
    </xf>
    <xf numFmtId="0" fontId="26" fillId="0" borderId="0" xfId="0" applyFont="1" applyAlignment="1">
      <alignment horizontal="left" vertical="top" wrapText="1"/>
    </xf>
    <xf numFmtId="0" fontId="104" fillId="0" borderId="0" xfId="0" applyFont="1" applyAlignment="1">
      <alignment vertical="center"/>
    </xf>
    <xf numFmtId="0" fontId="105" fillId="0" borderId="0" xfId="0" applyFont="1" applyAlignment="1">
      <alignment vertical="center"/>
    </xf>
    <xf numFmtId="0" fontId="101" fillId="0" borderId="0" xfId="0" applyFont="1" applyAlignment="1">
      <alignment horizontal="left" vertical="center" wrapText="1"/>
    </xf>
    <xf numFmtId="0" fontId="106" fillId="16" borderId="51" xfId="0" applyFont="1" applyFill="1" applyBorder="1" applyAlignment="1">
      <alignment horizontal="center" vertical="center" wrapText="1"/>
    </xf>
    <xf numFmtId="0" fontId="96" fillId="26" borderId="10" xfId="0" applyFont="1" applyFill="1" applyBorder="1" applyAlignment="1">
      <alignment vertical="top"/>
    </xf>
    <xf numFmtId="0" fontId="35" fillId="12" borderId="0" xfId="0" applyFont="1" applyFill="1" applyAlignment="1">
      <alignment vertical="top"/>
    </xf>
    <xf numFmtId="0" fontId="96" fillId="26" borderId="51" xfId="0" applyFont="1" applyFill="1" applyBorder="1" applyAlignment="1">
      <alignment horizontal="center" vertical="top"/>
    </xf>
    <xf numFmtId="0" fontId="107" fillId="0" borderId="0" xfId="0" applyFont="1" applyAlignment="1">
      <alignment vertical="center"/>
    </xf>
    <xf numFmtId="177" fontId="99" fillId="23" borderId="52" xfId="0" applyNumberFormat="1" applyFont="1" applyFill="1" applyBorder="1" applyAlignment="1">
      <alignment horizontal="left" vertical="center" wrapText="1"/>
    </xf>
    <xf numFmtId="177" fontId="99" fillId="27" borderId="53" xfId="0" applyNumberFormat="1" applyFont="1" applyFill="1" applyBorder="1" applyAlignment="1">
      <alignment horizontal="right" vertical="center"/>
    </xf>
    <xf numFmtId="177" fontId="99" fillId="23" borderId="54" xfId="0" applyNumberFormat="1" applyFont="1" applyFill="1" applyBorder="1" applyAlignment="1">
      <alignment horizontal="right" vertical="center"/>
    </xf>
    <xf numFmtId="0" fontId="100" fillId="0" borderId="0" xfId="0" applyFont="1" applyAlignment="1">
      <alignment vertical="center"/>
    </xf>
    <xf numFmtId="0" fontId="102" fillId="0" borderId="0" xfId="0" applyFont="1" applyAlignment="1">
      <alignment vertical="center"/>
    </xf>
    <xf numFmtId="177" fontId="93" fillId="0" borderId="55" xfId="0" applyNumberFormat="1" applyFont="1" applyBorder="1" applyAlignment="1">
      <alignment horizontal="left" vertical="center" wrapText="1"/>
    </xf>
    <xf numFmtId="0" fontId="93" fillId="0" borderId="56" xfId="0" applyNumberFormat="1" applyFont="1" applyBorder="1" applyAlignment="1">
      <alignment horizontal="right" vertical="center"/>
    </xf>
    <xf numFmtId="177" fontId="93" fillId="28" borderId="57" xfId="0" applyNumberFormat="1" applyFont="1" applyFill="1" applyBorder="1" applyAlignment="1">
      <alignment horizontal="right" vertical="center"/>
    </xf>
    <xf numFmtId="0" fontId="108" fillId="0" borderId="0" xfId="0" applyFont="1" applyAlignment="1">
      <alignment vertical="top"/>
    </xf>
    <xf numFmtId="1" fontId="23" fillId="0" borderId="0" xfId="0" applyNumberFormat="1" applyFont="1" applyAlignment="1">
      <alignment vertical="top"/>
    </xf>
    <xf numFmtId="0" fontId="109" fillId="0" borderId="0" xfId="0" applyFont="1" applyAlignment="1">
      <alignment vertical="top"/>
    </xf>
    <xf numFmtId="0" fontId="110" fillId="0" borderId="0" xfId="0" applyFont="1" applyAlignment="1">
      <alignment vertical="top"/>
    </xf>
    <xf numFmtId="1" fontId="26" fillId="0" borderId="0" xfId="0" applyNumberFormat="1" applyFont="1" applyAlignment="1">
      <alignment vertical="top"/>
    </xf>
    <xf numFmtId="0" fontId="106" fillId="16" borderId="13" xfId="0" applyFont="1" applyFill="1" applyBorder="1" applyAlignment="1">
      <alignment horizontal="center" vertical="center" wrapText="1"/>
    </xf>
    <xf numFmtId="0" fontId="106" fillId="16" borderId="58" xfId="0" applyFont="1" applyFill="1" applyBorder="1" applyAlignment="1">
      <alignment horizontal="center" vertical="center" wrapText="1"/>
    </xf>
    <xf numFmtId="0" fontId="111" fillId="0" borderId="0" xfId="0" applyFont="1"/>
    <xf numFmtId="0" fontId="112" fillId="16" borderId="51" xfId="0" applyFont="1" applyFill="1" applyBorder="1" applyAlignment="1">
      <alignment horizontal="center" vertical="center" wrapText="1"/>
    </xf>
    <xf numFmtId="0" fontId="112" fillId="16" borderId="13" xfId="0" applyFont="1" applyFill="1" applyBorder="1" applyAlignment="1">
      <alignment horizontal="center" vertical="center" wrapText="1"/>
    </xf>
    <xf numFmtId="0" fontId="112" fillId="16" borderId="58" xfId="0" applyFont="1" applyFill="1" applyBorder="1" applyAlignment="1">
      <alignment horizontal="center" vertical="center" wrapText="1"/>
    </xf>
    <xf numFmtId="0" fontId="113" fillId="16" borderId="51" xfId="0" applyFont="1" applyFill="1" applyBorder="1" applyAlignment="1">
      <alignment horizontal="center" vertical="center" wrapText="1"/>
    </xf>
    <xf numFmtId="0" fontId="96" fillId="26" borderId="13" xfId="0" applyFont="1" applyFill="1" applyBorder="1" applyAlignment="1">
      <alignment horizontal="center" vertical="top"/>
    </xf>
    <xf numFmtId="0" fontId="96" fillId="26" borderId="58" xfId="0" applyFont="1" applyFill="1" applyBorder="1" applyAlignment="1">
      <alignment horizontal="center" vertical="top"/>
    </xf>
    <xf numFmtId="0" fontId="0" fillId="0" borderId="0" xfId="0" applyFont="1" applyAlignment="1">
      <alignment horizontal="center"/>
    </xf>
    <xf numFmtId="177" fontId="114" fillId="23" borderId="59" xfId="0" applyNumberFormat="1" applyFont="1" applyFill="1" applyBorder="1" applyAlignment="1">
      <alignment horizontal="right" vertical="center"/>
    </xf>
    <xf numFmtId="1" fontId="99" fillId="23" borderId="60" xfId="0" applyNumberFormat="1" applyFont="1" applyFill="1" applyBorder="1" applyAlignment="1">
      <alignment horizontal="right" vertical="center"/>
    </xf>
    <xf numFmtId="177" fontId="103" fillId="0" borderId="61" xfId="0" applyNumberFormat="1" applyFont="1" applyBorder="1" applyAlignment="1">
      <alignment horizontal="right" vertical="center"/>
    </xf>
    <xf numFmtId="1" fontId="93" fillId="0" borderId="62" xfId="0" applyNumberFormat="1" applyFont="1" applyBorder="1" applyAlignment="1">
      <alignment horizontal="right" vertical="center"/>
    </xf>
    <xf numFmtId="0" fontId="113" fillId="16" borderId="58" xfId="0" applyFont="1" applyFill="1" applyBorder="1" applyAlignment="1">
      <alignment horizontal="center" vertical="center" wrapText="1"/>
    </xf>
    <xf numFmtId="0" fontId="115" fillId="16" borderId="51" xfId="0" applyFont="1" applyFill="1" applyBorder="1" applyAlignment="1">
      <alignment horizontal="center" vertical="center" wrapText="1"/>
    </xf>
    <xf numFmtId="0" fontId="115" fillId="16" borderId="58" xfId="0" applyFont="1" applyFill="1" applyBorder="1" applyAlignment="1">
      <alignment horizontal="center" vertical="center" wrapText="1"/>
    </xf>
    <xf numFmtId="0" fontId="104" fillId="0" borderId="0" xfId="0" applyFont="1" applyAlignment="1">
      <alignment vertical="center" wrapText="1"/>
    </xf>
    <xf numFmtId="0" fontId="107" fillId="0" borderId="0" xfId="0" applyFont="1" applyAlignment="1">
      <alignment vertical="center" wrapText="1"/>
    </xf>
    <xf numFmtId="0" fontId="27" fillId="0" borderId="0" xfId="0" applyFont="1" applyAlignment="1">
      <alignment vertical="center" wrapText="1"/>
    </xf>
    <xf numFmtId="0" fontId="29" fillId="0" borderId="0" xfId="0" applyFont="1" applyAlignment="1">
      <alignment vertical="center"/>
    </xf>
    <xf numFmtId="0" fontId="29" fillId="11" borderId="0" xfId="0" applyFont="1" applyFill="1" applyAlignment="1">
      <alignment vertical="center"/>
    </xf>
    <xf numFmtId="0" fontId="96" fillId="11" borderId="0" xfId="0" applyFont="1" applyFill="1" applyAlignment="1">
      <alignment vertical="center"/>
    </xf>
    <xf numFmtId="177" fontId="96" fillId="0" borderId="0" xfId="0" applyNumberFormat="1" applyFont="1" applyAlignment="1">
      <alignment vertical="center"/>
    </xf>
    <xf numFmtId="0" fontId="62" fillId="11" borderId="0" xfId="0" applyFont="1" applyFill="1" applyAlignment="1">
      <alignment vertical="center"/>
    </xf>
    <xf numFmtId="177" fontId="89" fillId="0" borderId="0" xfId="0" applyNumberFormat="1" applyFont="1" applyAlignment="1">
      <alignment vertical="center"/>
    </xf>
    <xf numFmtId="0" fontId="100" fillId="0" borderId="0" xfId="0" applyFont="1" applyAlignment="1">
      <alignment wrapText="1"/>
    </xf>
    <xf numFmtId="0" fontId="102" fillId="0" borderId="0" xfId="0" applyFont="1" applyAlignment="1">
      <alignment wrapText="1"/>
    </xf>
    <xf numFmtId="0" fontId="0" fillId="0" borderId="0" xfId="0" applyFont="1" applyAlignment="1">
      <alignment vertical="top" wrapText="1"/>
    </xf>
    <xf numFmtId="0" fontId="62" fillId="0" borderId="0" xfId="0" applyFont="1" applyAlignment="1">
      <alignment wrapText="1"/>
    </xf>
    <xf numFmtId="0" fontId="40" fillId="0" borderId="0" xfId="0" applyFont="1" applyAlignment="1">
      <alignment vertical="top" wrapText="1"/>
    </xf>
    <xf numFmtId="1" fontId="0" fillId="0" borderId="0" xfId="0" applyNumberFormat="1" applyFont="1" applyAlignment="1">
      <alignment vertical="top" wrapText="1"/>
    </xf>
    <xf numFmtId="0" fontId="62" fillId="11" borderId="0" xfId="0" applyFont="1" applyFill="1" applyAlignment="1">
      <alignment wrapText="1"/>
    </xf>
    <xf numFmtId="0" fontId="89" fillId="0" borderId="0" xfId="0" applyFont="1" applyAlignment="1">
      <alignment wrapText="1"/>
    </xf>
    <xf numFmtId="0" fontId="27" fillId="0" borderId="0" xfId="205" applyFont="1" applyFill="1"/>
    <xf numFmtId="0" fontId="116" fillId="0" borderId="0" xfId="0" applyFont="1" applyAlignment="1">
      <alignment vertical="center"/>
    </xf>
    <xf numFmtId="0" fontId="103" fillId="0" borderId="0" xfId="0" applyFont="1" applyAlignment="1">
      <alignment horizontal="left"/>
    </xf>
    <xf numFmtId="0" fontId="96" fillId="9" borderId="0" xfId="0" applyFont="1" applyFill="1" applyAlignment="1">
      <alignment vertical="top" wrapText="1"/>
    </xf>
    <xf numFmtId="0" fontId="62" fillId="9" borderId="0" xfId="0" applyFont="1" applyFill="1" applyAlignment="1">
      <alignment horizontal="center" vertical="top" wrapText="1"/>
    </xf>
    <xf numFmtId="0" fontId="23" fillId="9" borderId="0" xfId="0" applyFont="1" applyFill="1" applyAlignment="1">
      <alignment horizontal="center" vertical="top" wrapText="1"/>
    </xf>
    <xf numFmtId="0" fontId="108" fillId="0" borderId="0" xfId="0" applyFont="1" applyAlignment="1">
      <alignment vertical="top" wrapText="1"/>
    </xf>
    <xf numFmtId="0" fontId="117" fillId="0" borderId="0" xfId="0" applyFont="1" applyAlignment="1">
      <alignment vertical="top" wrapText="1"/>
    </xf>
    <xf numFmtId="0" fontId="96" fillId="0" borderId="0" xfId="0" applyFont="1" applyAlignment="1">
      <alignment wrapText="1"/>
    </xf>
    <xf numFmtId="1" fontId="99" fillId="0" borderId="31" xfId="0" applyNumberFormat="1" applyFont="1" applyFill="1" applyBorder="1" applyAlignment="1">
      <alignment horizontal="left" vertical="center"/>
    </xf>
    <xf numFmtId="1" fontId="99" fillId="0" borderId="31" xfId="0" applyNumberFormat="1" applyFont="1" applyFill="1" applyBorder="1" applyAlignment="1">
      <alignment horizontal="right" vertical="center" indent="1"/>
    </xf>
    <xf numFmtId="2" fontId="99" fillId="0" borderId="31" xfId="0" applyNumberFormat="1" applyFont="1" applyFill="1" applyBorder="1" applyAlignment="1">
      <alignment horizontal="right" vertical="center" indent="1"/>
    </xf>
    <xf numFmtId="0" fontId="118" fillId="0" borderId="0" xfId="0" applyFont="1" applyAlignment="1">
      <alignment vertical="top" wrapText="1"/>
    </xf>
    <xf numFmtId="0" fontId="119" fillId="0" borderId="0" xfId="0" applyFont="1" applyAlignment="1">
      <alignment vertical="top" wrapText="1"/>
    </xf>
    <xf numFmtId="1" fontId="120" fillId="0" borderId="31" xfId="0" applyNumberFormat="1" applyFont="1" applyFill="1" applyBorder="1" applyAlignment="1">
      <alignment horizontal="left" vertical="center"/>
    </xf>
    <xf numFmtId="1" fontId="120" fillId="0" borderId="31" xfId="0" applyNumberFormat="1" applyFont="1" applyFill="1" applyBorder="1" applyAlignment="1">
      <alignment horizontal="right" vertical="center" indent="1"/>
    </xf>
    <xf numFmtId="2" fontId="120" fillId="0" borderId="31" xfId="0" applyNumberFormat="1" applyFont="1" applyFill="1" applyBorder="1" applyAlignment="1">
      <alignment horizontal="right" vertical="center" indent="1"/>
    </xf>
    <xf numFmtId="0" fontId="107" fillId="0" borderId="0" xfId="0" applyFont="1" applyAlignment="1">
      <alignment wrapText="1"/>
    </xf>
    <xf numFmtId="0" fontId="89" fillId="0" borderId="0" xfId="0" applyFont="1" applyAlignment="1">
      <alignment vertical="top" wrapText="1"/>
    </xf>
    <xf numFmtId="0" fontId="121" fillId="0" borderId="0" xfId="0" applyFont="1" applyAlignment="1">
      <alignment vertical="top" wrapText="1"/>
    </xf>
    <xf numFmtId="0" fontId="62" fillId="0" borderId="0" xfId="0" applyFont="1" applyAlignment="1">
      <alignment horizontal="center" vertical="top" wrapText="1"/>
    </xf>
    <xf numFmtId="0" fontId="122" fillId="0" borderId="0" xfId="0" applyFont="1" applyAlignment="1">
      <alignment wrapText="1"/>
    </xf>
    <xf numFmtId="0" fontId="123" fillId="0" borderId="0" xfId="0" applyFont="1" applyAlignment="1">
      <alignment wrapText="1"/>
    </xf>
    <xf numFmtId="0" fontId="40" fillId="0" borderId="0" xfId="0" applyFont="1" applyAlignment="1">
      <alignment wrapText="1"/>
    </xf>
    <xf numFmtId="0" fontId="124" fillId="29" borderId="0" xfId="0" applyFont="1" applyFill="1" applyAlignment="1">
      <alignment horizontal="center" vertical="center" wrapText="1"/>
    </xf>
    <xf numFmtId="0" fontId="124" fillId="26" borderId="0" xfId="0" applyFont="1" applyFill="1" applyAlignment="1">
      <alignment horizontal="center" vertical="center" wrapText="1"/>
    </xf>
    <xf numFmtId="0" fontId="62" fillId="0" borderId="0" xfId="0" applyFont="1" applyAlignment="1">
      <alignment vertical="top" wrapText="1"/>
    </xf>
    <xf numFmtId="1" fontId="93" fillId="0" borderId="31" xfId="0" applyNumberFormat="1" applyFont="1" applyFill="1" applyBorder="1" applyAlignment="1">
      <alignment horizontal="left" vertical="center" wrapText="1"/>
    </xf>
    <xf numFmtId="1" fontId="93" fillId="0" borderId="31" xfId="0" applyNumberFormat="1" applyFont="1" applyFill="1" applyBorder="1" applyAlignment="1">
      <alignment horizontal="right" vertical="center" wrapText="1" indent="1"/>
    </xf>
    <xf numFmtId="0" fontId="100" fillId="0" borderId="0" xfId="0" applyFont="1" applyAlignment="1">
      <alignment vertical="top" wrapText="1"/>
    </xf>
    <xf numFmtId="0" fontId="0" fillId="0" borderId="0" xfId="0" applyFont="1" applyBorder="1" applyAlignment="1">
      <alignment wrapText="1"/>
    </xf>
    <xf numFmtId="0" fontId="89" fillId="0" borderId="0" xfId="0" applyFont="1" applyBorder="1" applyAlignment="1">
      <alignment wrapText="1"/>
    </xf>
    <xf numFmtId="0" fontId="89" fillId="0" borderId="0" xfId="0" applyFont="1" applyBorder="1" applyAlignment="1">
      <alignment vertical="top" wrapText="1"/>
    </xf>
    <xf numFmtId="0" fontId="121" fillId="0" borderId="0" xfId="0" applyFont="1" applyBorder="1" applyAlignment="1">
      <alignment vertical="top" wrapText="1"/>
    </xf>
    <xf numFmtId="0" fontId="95" fillId="23" borderId="0" xfId="0" applyFont="1" applyFill="1" applyAlignment="1">
      <alignment horizontal="center" vertical="center" wrapText="1"/>
    </xf>
    <xf numFmtId="0" fontId="0" fillId="0" borderId="0" xfId="0" applyFont="1" applyAlignment="1">
      <alignment horizontal="center" wrapText="1"/>
    </xf>
    <xf numFmtId="0" fontId="0" fillId="0" borderId="0" xfId="0" applyFont="1" applyBorder="1" applyAlignment="1">
      <alignment vertical="top" wrapText="1"/>
    </xf>
    <xf numFmtId="0" fontId="23" fillId="0" borderId="0" xfId="0" applyFont="1"/>
    <xf numFmtId="0" fontId="125" fillId="0" borderId="0" xfId="0" applyFont="1" applyFill="1" applyAlignment="1">
      <alignment horizontal="center" vertical="center" wrapText="1"/>
    </xf>
    <xf numFmtId="0" fontId="30" fillId="16" borderId="0" xfId="205" applyFont="1" applyFill="1"/>
    <xf numFmtId="0" fontId="30" fillId="16" borderId="0" xfId="205" applyFont="1" applyFill="1" applyBorder="1"/>
    <xf numFmtId="1" fontId="23" fillId="0" borderId="0" xfId="0" applyNumberFormat="1" applyFont="1" applyAlignment="1">
      <alignment horizontal="left"/>
    </xf>
    <xf numFmtId="0" fontId="23" fillId="0" borderId="0" xfId="0" applyFont="1" applyAlignment="1">
      <alignment horizontal="left"/>
    </xf>
    <xf numFmtId="1" fontId="23" fillId="0" borderId="0" xfId="0" applyNumberFormat="1" applyFont="1" applyAlignment="1">
      <alignment horizontal="center"/>
    </xf>
    <xf numFmtId="1" fontId="29" fillId="9" borderId="0" xfId="0" applyNumberFormat="1" applyFont="1" applyFill="1" applyAlignment="1">
      <alignment horizontal="center" vertical="center" wrapText="1"/>
    </xf>
    <xf numFmtId="0" fontId="29" fillId="9" borderId="0" xfId="0" applyFont="1" applyFill="1" applyAlignment="1">
      <alignment horizontal="center" vertical="center" wrapText="1"/>
    </xf>
    <xf numFmtId="0" fontId="23" fillId="0" borderId="0" xfId="0" applyFont="1" applyAlignment="1">
      <alignment horizontal="left" wrapText="1" indent="1"/>
    </xf>
    <xf numFmtId="194" fontId="23" fillId="0" borderId="0" xfId="0" applyNumberFormat="1" applyFont="1" applyAlignment="1">
      <alignment horizontal="right" indent="1"/>
    </xf>
    <xf numFmtId="0" fontId="23" fillId="0" borderId="0" xfId="0" applyFont="1" applyAlignment="1">
      <alignment horizontal="right" indent="1"/>
    </xf>
    <xf numFmtId="194" fontId="32" fillId="23" borderId="10" xfId="0" applyNumberFormat="1" applyFont="1" applyFill="1" applyBorder="1" applyAlignment="1">
      <alignment horizontal="left" vertical="center" wrapText="1"/>
    </xf>
    <xf numFmtId="194" fontId="29" fillId="23" borderId="10" xfId="0" applyNumberFormat="1" applyFont="1" applyFill="1" applyBorder="1" applyAlignment="1">
      <alignment horizontal="center" vertical="center" wrapText="1"/>
    </xf>
    <xf numFmtId="0" fontId="29" fillId="23" borderId="23" xfId="0" applyFont="1" applyFill="1" applyBorder="1" applyAlignment="1">
      <alignment horizontal="center" vertical="center" wrapText="1"/>
    </xf>
    <xf numFmtId="0" fontId="95" fillId="0" borderId="41" xfId="0" applyFont="1" applyFill="1" applyBorder="1" applyAlignment="1">
      <alignment vertical="center"/>
    </xf>
    <xf numFmtId="0" fontId="95" fillId="0" borderId="8" xfId="0" applyFont="1" applyFill="1" applyBorder="1" applyAlignment="1">
      <alignment horizontal="right" vertical="center" indent="1"/>
    </xf>
    <xf numFmtId="177" fontId="25" fillId="0" borderId="63" xfId="0" applyNumberFormat="1" applyFont="1" applyBorder="1" applyAlignment="1">
      <alignment horizontal="right" vertical="center" indent="1"/>
    </xf>
    <xf numFmtId="0" fontId="0" fillId="0" borderId="64" xfId="0" applyFont="1" applyFill="1" applyBorder="1" applyAlignment="1">
      <alignment vertical="center"/>
    </xf>
    <xf numFmtId="194" fontId="33" fillId="0" borderId="10" xfId="9" applyNumberFormat="1" applyFont="1" applyFill="1" applyBorder="1" applyAlignment="1">
      <alignment horizontal="right" vertical="center" indent="1"/>
    </xf>
    <xf numFmtId="177" fontId="0" fillId="0" borderId="33" xfId="0" applyNumberFormat="1" applyFont="1" applyBorder="1" applyAlignment="1">
      <alignment horizontal="right" vertical="center" indent="1"/>
    </xf>
    <xf numFmtId="194" fontId="0" fillId="0" borderId="10" xfId="9" applyNumberFormat="1" applyFont="1" applyFill="1" applyBorder="1" applyAlignment="1">
      <alignment horizontal="right" vertical="center" indent="1"/>
    </xf>
    <xf numFmtId="177" fontId="0" fillId="0" borderId="23" xfId="0" applyNumberFormat="1" applyFont="1" applyBorder="1" applyAlignment="1">
      <alignment horizontal="right" vertical="center" indent="1"/>
    </xf>
    <xf numFmtId="0" fontId="29" fillId="23" borderId="32" xfId="0" applyFont="1" applyFill="1" applyBorder="1" applyAlignment="1">
      <alignment horizontal="center" vertical="center" wrapText="1"/>
    </xf>
    <xf numFmtId="177" fontId="25" fillId="0" borderId="65" xfId="0" applyNumberFormat="1" applyFont="1" applyBorder="1" applyAlignment="1">
      <alignment horizontal="right" vertical="center" indent="1"/>
    </xf>
    <xf numFmtId="177" fontId="0" fillId="0" borderId="19" xfId="0" applyNumberFormat="1" applyFont="1" applyBorder="1" applyAlignment="1">
      <alignment horizontal="right" vertical="center" indent="1"/>
    </xf>
    <xf numFmtId="177" fontId="0" fillId="0" borderId="32" xfId="0" applyNumberFormat="1" applyFont="1" applyBorder="1" applyAlignment="1">
      <alignment horizontal="right" vertical="center" indent="1"/>
    </xf>
    <xf numFmtId="0" fontId="29" fillId="23" borderId="47" xfId="0" applyFont="1" applyFill="1" applyBorder="1" applyAlignment="1">
      <alignment horizontal="center" vertical="center" wrapText="1"/>
    </xf>
    <xf numFmtId="0" fontId="33" fillId="0" borderId="0" xfId="0" applyFont="1" applyAlignment="1">
      <alignment horizontal="center"/>
    </xf>
    <xf numFmtId="0" fontId="89" fillId="0" borderId="0" xfId="0" applyFont="1"/>
    <xf numFmtId="0" fontId="126" fillId="0" borderId="0" xfId="0" applyFont="1" applyAlignment="1">
      <alignment vertical="center"/>
    </xf>
    <xf numFmtId="0" fontId="81" fillId="0" borderId="0" xfId="0" applyFont="1" applyFill="1" applyAlignment="1">
      <alignment horizontal="left"/>
    </xf>
    <xf numFmtId="0" fontId="0" fillId="0" borderId="0" xfId="0" applyFont="1" applyFill="1"/>
    <xf numFmtId="0" fontId="127" fillId="0" borderId="0" xfId="0" applyFont="1"/>
    <xf numFmtId="0" fontId="128" fillId="0" borderId="0" xfId="0" applyFont="1"/>
    <xf numFmtId="0" fontId="129" fillId="0" borderId="0" xfId="0" applyFont="1" applyAlignment="1">
      <alignment horizontal="left" vertical="top" wrapText="1" indent="1"/>
    </xf>
    <xf numFmtId="0" fontId="129" fillId="0" borderId="0" xfId="0" applyFont="1"/>
    <xf numFmtId="0" fontId="130" fillId="0" borderId="0" xfId="0" applyFont="1"/>
    <xf numFmtId="0" fontId="100" fillId="0" borderId="0" xfId="0" applyFont="1" applyFill="1"/>
    <xf numFmtId="0" fontId="131" fillId="0" borderId="0" xfId="0" applyFont="1" applyAlignment="1">
      <alignment horizontal="center" vertical="top"/>
    </xf>
    <xf numFmtId="0" fontId="107" fillId="0" borderId="0" xfId="0" applyFont="1"/>
    <xf numFmtId="0" fontId="132" fillId="0" borderId="0" xfId="0" applyFont="1" applyAlignment="1">
      <alignment horizontal="right"/>
    </xf>
    <xf numFmtId="0" fontId="129" fillId="0" borderId="0" xfId="0" applyFont="1" applyAlignment="1">
      <alignment horizontal="right" vertical="top" wrapText="1" indent="2"/>
    </xf>
    <xf numFmtId="0" fontId="133" fillId="0" borderId="0" xfId="0" applyFont="1" applyAlignment="1">
      <alignment horizontal="right" vertical="top" wrapText="1" indent="2"/>
    </xf>
    <xf numFmtId="0" fontId="126" fillId="0" borderId="0" xfId="0" applyFont="1"/>
    <xf numFmtId="0" fontId="25" fillId="30" borderId="66" xfId="0" applyFont="1" applyFill="1" applyBorder="1" applyAlignment="1">
      <alignment vertical="center"/>
    </xf>
    <xf numFmtId="0" fontId="0" fillId="30" borderId="66" xfId="0" applyFont="1" applyFill="1" applyBorder="1"/>
    <xf numFmtId="0" fontId="0" fillId="5" borderId="67" xfId="0" applyFont="1" applyFill="1" applyBorder="1"/>
    <xf numFmtId="177" fontId="0" fillId="5" borderId="67" xfId="0" applyNumberFormat="1" applyFont="1" applyFill="1" applyBorder="1"/>
    <xf numFmtId="0" fontId="0" fillId="5" borderId="68" xfId="0" applyFont="1" applyFill="1" applyBorder="1"/>
    <xf numFmtId="177" fontId="0" fillId="5" borderId="68" xfId="0" applyNumberFormat="1" applyFont="1" applyFill="1" applyBorder="1"/>
    <xf numFmtId="0" fontId="0" fillId="5" borderId="69" xfId="0" applyFont="1" applyFill="1" applyBorder="1"/>
    <xf numFmtId="177" fontId="0" fillId="5" borderId="69" xfId="0" applyNumberFormat="1" applyFont="1" applyFill="1" applyBorder="1"/>
    <xf numFmtId="0" fontId="0" fillId="0" borderId="0" xfId="0" applyFont="1" applyFill="1" applyBorder="1"/>
    <xf numFmtId="0" fontId="89" fillId="0" borderId="0" xfId="0" applyFont="1" applyBorder="1"/>
    <xf numFmtId="0" fontId="128" fillId="0" borderId="0" xfId="0" applyFont="1" applyBorder="1"/>
    <xf numFmtId="0" fontId="134" fillId="0" borderId="0" xfId="0" applyFont="1" applyAlignment="1">
      <alignment horizontal="right" vertical="top" indent="1"/>
    </xf>
    <xf numFmtId="0" fontId="130" fillId="0" borderId="0" xfId="0" applyFont="1" applyBorder="1"/>
    <xf numFmtId="2" fontId="129" fillId="0" borderId="0" xfId="0" applyNumberFormat="1" applyFont="1" applyBorder="1" applyAlignment="1">
      <alignment horizontal="right"/>
    </xf>
    <xf numFmtId="0" fontId="129" fillId="0" borderId="0" xfId="0" applyFont="1" applyBorder="1" applyAlignment="1">
      <alignment horizontal="right"/>
    </xf>
    <xf numFmtId="0" fontId="132" fillId="0" borderId="0" xfId="0" applyFont="1"/>
    <xf numFmtId="0" fontId="26" fillId="0" borderId="0" xfId="0" applyFont="1" applyAlignment="1"/>
    <xf numFmtId="0" fontId="26" fillId="0" borderId="0" xfId="0" applyFont="1" applyAlignment="1">
      <alignment horizontal="left" vertical="top"/>
    </xf>
    <xf numFmtId="2" fontId="26" fillId="0" borderId="0" xfId="0" applyNumberFormat="1" applyFont="1"/>
    <xf numFmtId="0" fontId="26" fillId="0" borderId="0" xfId="0" applyFont="1" applyAlignment="1">
      <alignment horizontal="right" indent="2"/>
    </xf>
    <xf numFmtId="0" fontId="26" fillId="0" borderId="0" xfId="0" applyFont="1" applyAlignment="1">
      <alignment horizontal="right"/>
    </xf>
    <xf numFmtId="0" fontId="78" fillId="0" borderId="0" xfId="0" applyFont="1" applyAlignment="1">
      <alignment vertical="center"/>
    </xf>
    <xf numFmtId="2" fontId="0" fillId="0" borderId="0" xfId="0" applyNumberFormat="1" applyFont="1" applyAlignment="1">
      <alignment horizontal="left" indent="3"/>
    </xf>
    <xf numFmtId="2" fontId="26" fillId="0" borderId="0" xfId="0" applyNumberFormat="1" applyFont="1" applyAlignment="1">
      <alignment horizontal="left" indent="3"/>
    </xf>
    <xf numFmtId="0" fontId="135" fillId="0" borderId="0" xfId="0" applyFont="1" applyAlignment="1">
      <alignment horizontal="left" vertical="top" wrapText="1"/>
    </xf>
    <xf numFmtId="0" fontId="0" fillId="0" borderId="0" xfId="0" applyFont="1" applyAlignment="1"/>
    <xf numFmtId="2" fontId="26" fillId="0" borderId="0" xfId="0" applyNumberFormat="1" applyFont="1" applyAlignment="1"/>
    <xf numFmtId="0" fontId="92" fillId="0" borderId="0" xfId="0" applyFont="1" applyAlignment="1">
      <alignment horizontal="left" vertical="top" indent="2"/>
    </xf>
    <xf numFmtId="0" fontId="136" fillId="0" borderId="0" xfId="0" applyFont="1" applyFill="1"/>
    <xf numFmtId="0" fontId="31" fillId="0" borderId="0" xfId="0" applyFont="1" applyAlignment="1">
      <alignment horizontal="left" vertical="center"/>
    </xf>
    <xf numFmtId="0" fontId="0" fillId="0" borderId="0" xfId="0" applyFont="1" applyAlignment="1">
      <alignment horizontal="left" vertical="top"/>
    </xf>
    <xf numFmtId="0" fontId="137" fillId="9" borderId="66" xfId="0" applyFont="1" applyFill="1" applyBorder="1"/>
    <xf numFmtId="0" fontId="95" fillId="9" borderId="66" xfId="0" applyFont="1" applyFill="1" applyBorder="1" applyAlignment="1">
      <alignment horizontal="right" vertical="top"/>
    </xf>
    <xf numFmtId="0" fontId="95" fillId="9" borderId="66" xfId="0" applyFont="1" applyFill="1" applyBorder="1" applyAlignment="1">
      <alignment horizontal="left" vertical="top" indent="1"/>
    </xf>
    <xf numFmtId="0" fontId="95" fillId="9" borderId="66" xfId="0" applyFont="1" applyFill="1" applyBorder="1" applyAlignment="1">
      <alignment vertical="top"/>
    </xf>
    <xf numFmtId="0" fontId="44" fillId="0" borderId="70" xfId="0" applyFont="1" applyBorder="1"/>
    <xf numFmtId="1" fontId="93" fillId="0" borderId="31" xfId="0" applyNumberFormat="1" applyFont="1" applyFill="1" applyBorder="1" applyAlignment="1">
      <alignment horizontal="right" vertical="center"/>
    </xf>
    <xf numFmtId="1" fontId="93" fillId="0" borderId="31" xfId="0" applyNumberFormat="1" applyFont="1" applyFill="1" applyBorder="1" applyAlignment="1">
      <alignment horizontal="left" vertical="center" indent="1"/>
    </xf>
    <xf numFmtId="1" fontId="93" fillId="0" borderId="31" xfId="0" applyNumberFormat="1" applyFont="1" applyFill="1" applyBorder="1" applyAlignment="1">
      <alignment horizontal="left" vertical="center"/>
    </xf>
    <xf numFmtId="2" fontId="93" fillId="0" borderId="31" xfId="0" applyNumberFormat="1" applyFont="1" applyFill="1" applyBorder="1" applyAlignment="1">
      <alignment vertical="center"/>
    </xf>
    <xf numFmtId="0" fontId="0" fillId="0" borderId="0" xfId="0" applyFont="1" applyAlignment="1">
      <alignment horizontal="right" indent="2"/>
    </xf>
    <xf numFmtId="0" fontId="0" fillId="0" borderId="0" xfId="0" applyFont="1" applyAlignment="1">
      <alignment horizontal="right"/>
    </xf>
    <xf numFmtId="0" fontId="23" fillId="0" borderId="0" xfId="0" applyFont="1" applyAlignment="1">
      <alignment horizontal="left" vertical="center" wrapText="1"/>
    </xf>
    <xf numFmtId="0" fontId="26" fillId="0" borderId="0" xfId="0" applyFont="1" applyAlignment="1">
      <alignment horizontal="right" vertical="top" indent="2"/>
    </xf>
    <xf numFmtId="0" fontId="95" fillId="9" borderId="66" xfId="0" applyFont="1" applyFill="1" applyBorder="1" applyAlignment="1">
      <alignment horizontal="right" vertical="top" indent="1"/>
    </xf>
    <xf numFmtId="1" fontId="138" fillId="9" borderId="71" xfId="0" applyNumberFormat="1" applyFont="1" applyFill="1" applyBorder="1" applyAlignment="1">
      <alignment horizontal="right" vertical="center"/>
    </xf>
    <xf numFmtId="1" fontId="139" fillId="9" borderId="72" xfId="0" applyNumberFormat="1" applyFont="1" applyFill="1" applyBorder="1" applyAlignment="1">
      <alignment horizontal="left" vertical="center"/>
    </xf>
    <xf numFmtId="1" fontId="138" fillId="9" borderId="66" xfId="0" applyNumberFormat="1" applyFont="1" applyFill="1" applyBorder="1" applyAlignment="1">
      <alignment horizontal="right" vertical="center"/>
    </xf>
    <xf numFmtId="1" fontId="139" fillId="9" borderId="66" xfId="0" applyNumberFormat="1" applyFont="1" applyFill="1" applyBorder="1" applyAlignment="1">
      <alignment horizontal="left" vertical="center"/>
    </xf>
    <xf numFmtId="1" fontId="140" fillId="0" borderId="31" xfId="0" applyNumberFormat="1" applyFont="1" applyFill="1" applyBorder="1" applyAlignment="1">
      <alignment horizontal="left" vertical="center" indent="1"/>
    </xf>
    <xf numFmtId="187" fontId="141" fillId="0" borderId="31" xfId="0" applyNumberFormat="1" applyFont="1" applyFill="1" applyBorder="1" applyAlignment="1">
      <alignment horizontal="right" vertical="center" indent="1"/>
    </xf>
    <xf numFmtId="2" fontId="142" fillId="0" borderId="73" xfId="0" applyNumberFormat="1" applyFont="1" applyBorder="1" applyAlignment="1">
      <alignment horizontal="right"/>
    </xf>
    <xf numFmtId="1" fontId="143" fillId="0" borderId="74" xfId="0" applyNumberFormat="1" applyFont="1" applyBorder="1"/>
    <xf numFmtId="1" fontId="142" fillId="0" borderId="75" xfId="0" applyNumberFormat="1" applyFont="1" applyBorder="1" applyAlignment="1">
      <alignment horizontal="right"/>
    </xf>
    <xf numFmtId="1" fontId="144" fillId="0" borderId="75" xfId="0" applyNumberFormat="1" applyFont="1" applyBorder="1"/>
    <xf numFmtId="2" fontId="142" fillId="0" borderId="76" xfId="0" applyNumberFormat="1" applyFont="1" applyBorder="1" applyAlignment="1">
      <alignment horizontal="right"/>
    </xf>
    <xf numFmtId="1" fontId="142" fillId="0" borderId="68" xfId="0" applyNumberFormat="1" applyFont="1" applyBorder="1" applyAlignment="1">
      <alignment horizontal="right"/>
    </xf>
    <xf numFmtId="177" fontId="142" fillId="0" borderId="76" xfId="0" applyNumberFormat="1" applyFont="1" applyBorder="1" applyAlignment="1">
      <alignment horizontal="right"/>
    </xf>
    <xf numFmtId="0" fontId="0" fillId="0" borderId="0" xfId="0" applyFont="1" applyAlignment="1">
      <alignment horizontal="left" indent="3"/>
    </xf>
    <xf numFmtId="0" fontId="26" fillId="0" borderId="0" xfId="0" applyFont="1" applyAlignment="1">
      <alignment horizontal="left" indent="3"/>
    </xf>
    <xf numFmtId="1" fontId="93" fillId="31" borderId="77" xfId="0" applyNumberFormat="1" applyFont="1" applyFill="1" applyBorder="1" applyAlignment="1">
      <alignment horizontal="center" vertical="center"/>
    </xf>
    <xf numFmtId="0" fontId="145" fillId="0" borderId="0" xfId="0" applyFont="1"/>
    <xf numFmtId="0" fontId="93" fillId="0" borderId="0" xfId="0" applyFont="1" applyAlignment="1">
      <alignment horizontal="left" vertical="top" wrapText="1" indent="1"/>
    </xf>
    <xf numFmtId="0" fontId="145" fillId="0" borderId="0" xfId="0" applyFont="1" applyAlignment="1">
      <alignment vertical="top" wrapText="1"/>
    </xf>
    <xf numFmtId="0" fontId="145" fillId="0" borderId="0" xfId="0" applyFont="1" applyAlignment="1">
      <alignment horizontal="left" wrapText="1"/>
    </xf>
    <xf numFmtId="1" fontId="26" fillId="0" borderId="0" xfId="0" applyNumberFormat="1" applyFont="1"/>
    <xf numFmtId="0" fontId="44" fillId="0" borderId="78" xfId="0" applyFont="1" applyBorder="1"/>
    <xf numFmtId="177" fontId="93" fillId="0" borderId="31" xfId="0" applyNumberFormat="1" applyFont="1" applyFill="1" applyBorder="1" applyAlignment="1">
      <alignment vertical="center"/>
    </xf>
    <xf numFmtId="0" fontId="27" fillId="0" borderId="0" xfId="0" applyFont="1"/>
    <xf numFmtId="1" fontId="143" fillId="0" borderId="79" xfId="0" applyNumberFormat="1" applyFont="1" applyBorder="1"/>
    <xf numFmtId="1" fontId="144" fillId="0" borderId="68" xfId="0" applyNumberFormat="1" applyFont="1" applyBorder="1"/>
    <xf numFmtId="181" fontId="26" fillId="0" borderId="0" xfId="0" applyNumberFormat="1" applyFont="1"/>
    <xf numFmtId="181" fontId="26" fillId="0" borderId="0" xfId="0" applyNumberFormat="1" applyFont="1" applyAlignment="1">
      <alignment horizontal="right"/>
    </xf>
    <xf numFmtId="0" fontId="26" fillId="0" borderId="0" xfId="0" applyFont="1" applyBorder="1"/>
    <xf numFmtId="0" fontId="26" fillId="0" borderId="0" xfId="0" applyFont="1" applyAlignment="1">
      <alignment horizontal="left" indent="1"/>
    </xf>
    <xf numFmtId="0" fontId="146" fillId="0" borderId="0" xfId="0" applyFont="1" applyAlignment="1">
      <alignment horizontal="left" indent="1"/>
    </xf>
    <xf numFmtId="0" fontId="26" fillId="0" borderId="0" xfId="0" applyFont="1" applyAlignment="1">
      <alignment horizontal="left" vertical="center" indent="1"/>
    </xf>
    <xf numFmtId="0" fontId="26" fillId="0" borderId="0" xfId="0" applyFont="1" applyAlignment="1">
      <alignment wrapText="1"/>
    </xf>
    <xf numFmtId="0" fontId="147" fillId="0" borderId="0" xfId="0" applyFont="1" applyAlignment="1">
      <alignment vertical="center"/>
    </xf>
    <xf numFmtId="0" fontId="0" fillId="16" borderId="0" xfId="0" applyFont="1" applyFill="1"/>
    <xf numFmtId="0" fontId="26" fillId="16" borderId="0" xfId="0" applyFont="1" applyFill="1" applyAlignment="1">
      <alignment horizontal="left" indent="3"/>
    </xf>
    <xf numFmtId="0" fontId="26" fillId="16" borderId="0" xfId="0" applyFont="1" applyFill="1"/>
    <xf numFmtId="0" fontId="135" fillId="16" borderId="0" xfId="0" applyFont="1" applyFill="1" applyAlignment="1">
      <alignment horizontal="left" vertical="top" wrapText="1"/>
    </xf>
    <xf numFmtId="0" fontId="148" fillId="0" borderId="0" xfId="0" applyFont="1" applyBorder="1" applyAlignment="1">
      <alignment wrapText="1"/>
    </xf>
    <xf numFmtId="0" fontId="148" fillId="0" borderId="0" xfId="0" applyFont="1" applyBorder="1" applyAlignment="1">
      <alignment horizontal="left" wrapText="1" indent="3"/>
    </xf>
    <xf numFmtId="0" fontId="148" fillId="0" borderId="0" xfId="0" applyFont="1" applyAlignment="1">
      <alignment wrapText="1"/>
    </xf>
    <xf numFmtId="0" fontId="148" fillId="0" borderId="0" xfId="0" applyFont="1" applyAlignment="1">
      <alignment horizontal="left" wrapText="1" indent="3"/>
    </xf>
    <xf numFmtId="0" fontId="0" fillId="0" borderId="0" xfId="0" applyFont="1" applyAlignment="1">
      <alignment horizontal="left" indent="1"/>
    </xf>
    <xf numFmtId="1" fontId="26" fillId="0" borderId="0" xfId="0" applyNumberFormat="1" applyFont="1" applyAlignment="1">
      <alignment horizontal="left" indent="1"/>
    </xf>
    <xf numFmtId="0" fontId="32" fillId="23" borderId="0" xfId="0" applyFont="1" applyFill="1" applyAlignment="1">
      <alignment horizontal="left" vertical="top" wrapText="1" indent="1"/>
    </xf>
    <xf numFmtId="1" fontId="149" fillId="23" borderId="0" xfId="0" applyNumberFormat="1" applyFont="1" applyFill="1" applyAlignment="1">
      <alignment horizontal="center" vertical="center" wrapText="1"/>
    </xf>
    <xf numFmtId="0" fontId="150" fillId="0" borderId="0" xfId="0" applyFont="1" applyAlignment="1">
      <alignment horizontal="left" indent="1"/>
    </xf>
    <xf numFmtId="1" fontId="146" fillId="0" borderId="0" xfId="0" applyNumberFormat="1" applyFont="1" applyAlignment="1">
      <alignment horizontal="left" indent="1"/>
    </xf>
    <xf numFmtId="0" fontId="151" fillId="23" borderId="0" xfId="0" applyFont="1" applyFill="1" applyAlignment="1">
      <alignment horizontal="left" vertical="top" wrapText="1" indent="1"/>
    </xf>
    <xf numFmtId="0" fontId="151" fillId="23" borderId="0" xfId="0" applyFont="1" applyFill="1" applyAlignment="1">
      <alignment horizontal="left" vertical="top" indent="1"/>
    </xf>
    <xf numFmtId="0" fontId="0" fillId="0" borderId="0" xfId="0" applyFont="1" applyAlignment="1">
      <alignment horizontal="left" vertical="center" indent="1"/>
    </xf>
    <xf numFmtId="1" fontId="26" fillId="0" borderId="0" xfId="0" applyNumberFormat="1" applyFont="1" applyAlignment="1">
      <alignment horizontal="left" vertical="center" indent="1"/>
    </xf>
    <xf numFmtId="0" fontId="152" fillId="28" borderId="80" xfId="0" applyFont="1" applyFill="1" applyBorder="1" applyAlignment="1">
      <alignment horizontal="left" vertical="center" wrapText="1" indent="1"/>
    </xf>
    <xf numFmtId="0" fontId="95" fillId="28" borderId="80" xfId="0" applyFont="1" applyFill="1" applyBorder="1" applyAlignment="1">
      <alignment horizontal="left" vertical="center" wrapText="1"/>
    </xf>
    <xf numFmtId="177" fontId="153" fillId="28" borderId="75" xfId="0" applyNumberFormat="1" applyFont="1" applyFill="1" applyBorder="1" applyAlignment="1">
      <alignment horizontal="left" vertical="center" wrapText="1" indent="3"/>
    </xf>
    <xf numFmtId="1" fontId="138" fillId="28" borderId="73" xfId="0" applyNumberFormat="1" applyFont="1" applyFill="1" applyBorder="1" applyAlignment="1">
      <alignment horizontal="right" vertical="center"/>
    </xf>
    <xf numFmtId="1" fontId="93" fillId="0" borderId="31" xfId="0" applyNumberFormat="1" applyFont="1" applyFill="1" applyBorder="1" applyAlignment="1">
      <alignment vertical="center"/>
    </xf>
    <xf numFmtId="2" fontId="93" fillId="0" borderId="68" xfId="0" applyNumberFormat="1" applyFont="1" applyFill="1" applyBorder="1" applyAlignment="1">
      <alignment horizontal="left" vertical="center" indent="3"/>
    </xf>
    <xf numFmtId="2" fontId="23" fillId="0" borderId="68" xfId="0" applyNumberFormat="1" applyFont="1" applyFill="1" applyBorder="1" applyAlignment="1">
      <alignment horizontal="left" vertical="center" indent="3"/>
    </xf>
    <xf numFmtId="0" fontId="26" fillId="16" borderId="0" xfId="0" applyFont="1" applyFill="1" applyAlignment="1">
      <alignment horizontal="right"/>
    </xf>
    <xf numFmtId="0" fontId="148" fillId="0" borderId="0" xfId="0" applyFont="1" applyBorder="1" applyAlignment="1">
      <alignment horizontal="right" wrapText="1"/>
    </xf>
    <xf numFmtId="0" fontId="148" fillId="0" borderId="0" xfId="0" applyFont="1" applyAlignment="1">
      <alignment horizontal="right" wrapText="1"/>
    </xf>
    <xf numFmtId="0" fontId="31" fillId="9" borderId="0" xfId="0" applyFont="1" applyFill="1" applyAlignment="1">
      <alignment horizontal="left" vertical="top" wrapText="1" indent="1"/>
    </xf>
    <xf numFmtId="0" fontId="154" fillId="9" borderId="0" xfId="0" applyFont="1" applyFill="1" applyAlignment="1">
      <alignment horizontal="left" vertical="top" wrapText="1" indent="1"/>
    </xf>
    <xf numFmtId="0" fontId="154" fillId="9" borderId="0" xfId="0" applyFont="1" applyFill="1" applyAlignment="1">
      <alignment horizontal="left" vertical="top" indent="1"/>
    </xf>
    <xf numFmtId="1" fontId="139" fillId="28" borderId="74" xfId="0" applyNumberFormat="1" applyFont="1" applyFill="1" applyBorder="1" applyAlignment="1">
      <alignment horizontal="left" vertical="center"/>
    </xf>
    <xf numFmtId="1" fontId="138" fillId="28" borderId="75" xfId="0" applyNumberFormat="1" applyFont="1" applyFill="1" applyBorder="1" applyAlignment="1">
      <alignment horizontal="right" vertical="center"/>
    </xf>
    <xf numFmtId="1" fontId="139" fillId="28" borderId="75" xfId="0" applyNumberFormat="1" applyFont="1" applyFill="1" applyBorder="1" applyAlignment="1">
      <alignment horizontal="left" vertical="center"/>
    </xf>
    <xf numFmtId="1" fontId="93" fillId="0" borderId="0" xfId="0" applyNumberFormat="1" applyFont="1"/>
    <xf numFmtId="0" fontId="44" fillId="0" borderId="81" xfId="0" applyFont="1" applyBorder="1"/>
    <xf numFmtId="1" fontId="23" fillId="0" borderId="31" xfId="0" applyNumberFormat="1" applyFont="1" applyFill="1" applyBorder="1" applyAlignment="1">
      <alignment horizontal="right" vertical="center"/>
    </xf>
    <xf numFmtId="0" fontId="155" fillId="9" borderId="0" xfId="0" applyFont="1" applyFill="1" applyAlignment="1">
      <alignment horizontal="center" vertical="center" wrapText="1"/>
    </xf>
    <xf numFmtId="1" fontId="24" fillId="0" borderId="0" xfId="0" applyNumberFormat="1" applyFont="1" applyAlignment="1">
      <alignment horizontal="left" indent="1"/>
    </xf>
    <xf numFmtId="0" fontId="150" fillId="0" borderId="0" xfId="0" applyFont="1"/>
    <xf numFmtId="1" fontId="23" fillId="0" borderId="31" xfId="0" applyNumberFormat="1" applyFont="1" applyFill="1" applyBorder="1" applyAlignment="1">
      <alignment vertical="center"/>
    </xf>
    <xf numFmtId="2" fontId="23" fillId="0" borderId="31" xfId="0" applyNumberFormat="1" applyFont="1" applyFill="1" applyBorder="1" applyAlignment="1">
      <alignment horizontal="left" vertical="center" indent="3"/>
    </xf>
    <xf numFmtId="0" fontId="0" fillId="16" borderId="0" xfId="0" applyFont="1" applyFill="1" applyAlignment="1">
      <alignment horizontal="left" indent="3"/>
    </xf>
    <xf numFmtId="0" fontId="135" fillId="16" borderId="0" xfId="0" applyFont="1" applyFill="1" applyAlignment="1">
      <alignment horizontal="right" vertical="top" wrapText="1"/>
    </xf>
    <xf numFmtId="0" fontId="135" fillId="0" borderId="0" xfId="0" applyFont="1" applyAlignment="1">
      <alignment horizontal="right" vertical="top" wrapText="1"/>
    </xf>
    <xf numFmtId="0" fontId="0" fillId="0" borderId="0" xfId="0" applyFont="1" applyBorder="1" applyAlignment="1">
      <alignment horizontal="left" indent="3"/>
    </xf>
    <xf numFmtId="2" fontId="93" fillId="0" borderId="31" xfId="0" applyNumberFormat="1" applyFont="1" applyFill="1" applyBorder="1" applyAlignment="1">
      <alignment horizontal="left" vertical="center" indent="3"/>
    </xf>
    <xf numFmtId="0" fontId="38" fillId="0" borderId="0" xfId="0" applyFont="1" applyAlignment="1">
      <alignment horizontal="left" indent="1"/>
    </xf>
    <xf numFmtId="1" fontId="0" fillId="0" borderId="0" xfId="0" applyNumberFormat="1" applyFont="1"/>
    <xf numFmtId="1" fontId="142" fillId="0" borderId="68" xfId="0" applyNumberFormat="1" applyFont="1" applyBorder="1"/>
    <xf numFmtId="177" fontId="93" fillId="0" borderId="68" xfId="0" applyNumberFormat="1" applyFont="1" applyFill="1" applyBorder="1" applyAlignment="1">
      <alignment horizontal="left" vertical="center" indent="3"/>
    </xf>
    <xf numFmtId="0" fontId="26" fillId="0" borderId="0" xfId="0" applyFont="1" applyAlignment="1">
      <alignment horizontal="left" wrapText="1" indent="3"/>
    </xf>
    <xf numFmtId="0" fontId="44" fillId="0" borderId="82" xfId="0" applyFont="1" applyBorder="1"/>
    <xf numFmtId="0" fontId="26" fillId="0" borderId="0" xfId="0" applyFont="1" applyAlignment="1">
      <alignment horizontal="right" wrapText="1"/>
    </xf>
    <xf numFmtId="177" fontId="23" fillId="0" borderId="31" xfId="0" applyNumberFormat="1" applyFont="1" applyFill="1" applyBorder="1" applyAlignment="1">
      <alignment horizontal="left" vertical="center" indent="3"/>
    </xf>
    <xf numFmtId="177" fontId="93" fillId="0" borderId="31" xfId="0" applyNumberFormat="1" applyFont="1" applyFill="1" applyBorder="1" applyAlignment="1">
      <alignment horizontal="left" vertical="center" indent="3"/>
    </xf>
    <xf numFmtId="17" fontId="156" fillId="0" borderId="0" xfId="205" applyNumberFormat="1" applyFont="1" applyFill="1" applyBorder="1" applyAlignment="1">
      <alignment horizontal="left"/>
    </xf>
    <xf numFmtId="0" fontId="157" fillId="0" borderId="0" xfId="205" applyFont="1" applyFill="1" applyAlignment="1">
      <alignment horizontal="left"/>
    </xf>
    <xf numFmtId="0" fontId="158" fillId="0" borderId="0" xfId="205" applyFont="1" applyFill="1" applyAlignment="1">
      <alignment horizontal="left"/>
    </xf>
    <xf numFmtId="0" fontId="159" fillId="0" borderId="0" xfId="176" applyFont="1" applyFill="1" applyAlignment="1" applyProtection="1">
      <alignment horizontal="left"/>
    </xf>
    <xf numFmtId="0" fontId="33" fillId="0" borderId="0" xfId="0" applyFont="1" applyFill="1"/>
    <xf numFmtId="0" fontId="95" fillId="0" borderId="0" xfId="205" applyFont="1" applyFill="1" applyBorder="1" applyAlignment="1" applyProtection="1">
      <alignment horizontal="left"/>
      <protection locked="0"/>
    </xf>
    <xf numFmtId="0" fontId="101" fillId="0" borderId="0" xfId="0" applyFont="1" applyFill="1"/>
    <xf numFmtId="0" fontId="160" fillId="0" borderId="0" xfId="0" applyFont="1"/>
    <xf numFmtId="0" fontId="156" fillId="0" borderId="0" xfId="205" applyFont="1" applyFill="1" applyAlignment="1">
      <alignment horizontal="right"/>
    </xf>
    <xf numFmtId="17" fontId="156" fillId="0" borderId="0" xfId="205" applyNumberFormat="1" applyFont="1" applyFill="1" applyAlignment="1">
      <alignment horizontal="right"/>
    </xf>
    <xf numFmtId="0" fontId="137" fillId="0" borderId="0" xfId="205" applyFont="1" applyFill="1" applyAlignment="1">
      <alignment horizontal="center" vertical="center"/>
    </xf>
    <xf numFmtId="0" fontId="33" fillId="0" borderId="0" xfId="0" applyFont="1" applyFill="1" applyAlignment="1">
      <alignment horizontal="left" indent="2"/>
    </xf>
    <xf numFmtId="0" fontId="0" fillId="0" borderId="0" xfId="0" applyFont="1" applyFill="1" applyAlignment="1">
      <alignment horizontal="left" indent="2"/>
    </xf>
    <xf numFmtId="0" fontId="161" fillId="0" borderId="0" xfId="205" applyFont="1" applyFill="1"/>
    <xf numFmtId="0" fontId="0" fillId="0" borderId="0" xfId="0" applyProtection="1" quotePrefix="1">
      <protection locked="0"/>
    </xf>
  </cellXfs>
  <cellStyles count="231">
    <cellStyle name="Normal" xfId="0" builtinId="0"/>
    <cellStyle name="F5 2" xfId="1"/>
    <cellStyle name="40% - Accent1" xfId="2" builtinId="31"/>
    <cellStyle name="Comma" xfId="3" builtinId="3"/>
    <cellStyle name="Comma [0]" xfId="4" builtinId="6"/>
    <cellStyle name="_x000a__x000a_JournalTemplate=C:\COMFO\CTALK\JOURSTD.TPL_x000a__x000a_LbStateAddress=3 3 0 251 1 89 2 311_x000a__x000a_LbStateJou" xfId="5"/>
    <cellStyle name="%" xfId="6"/>
    <cellStyle name="Currency [0]" xfId="7" builtinId="7"/>
    <cellStyle name="Currency" xfId="8" builtinId="4"/>
    <cellStyle name="Percent" xfId="9" builtinId="5"/>
    <cellStyle name="Check Cell" xfId="10" builtinId="23"/>
    <cellStyle name="F8" xfId="11"/>
    <cellStyle name="Heading 2" xfId="12" builtinId="17"/>
    <cellStyle name="Note" xfId="13" builtinId="10"/>
    <cellStyle name="Normal 7 2" xfId="14"/>
    <cellStyle name="Hyperlink" xfId="15" builtinId="8"/>
    <cellStyle name="60% - Accent4" xfId="16" builtinId="44"/>
    <cellStyle name="Followed Hyperlink" xfId="17" builtinId="9"/>
    <cellStyle name="40% - Accent3" xfId="18" builtinId="39"/>
    <cellStyle name="Warning Text" xfId="19" builtinId="11"/>
    <cellStyle name="!Decimal (1)" xfId="20"/>
    <cellStyle name="40% - Accent2" xfId="21" builtinId="35"/>
    <cellStyle name="Normal 6 3" xfId="22"/>
    <cellStyle name="Title" xfId="23" builtinId="15"/>
    <cellStyle name="CExplanatory Text" xfId="24" builtinId="53"/>
    <cellStyle name="F7" xfId="25"/>
    <cellStyle name="Heading 1" xfId="26" builtinId="16"/>
    <cellStyle name="20% - Accent3 2" xfId="27"/>
    <cellStyle name="Heading 3" xfId="28" builtinId="18"/>
    <cellStyle name="Heading 4" xfId="29" builtinId="19"/>
    <cellStyle name="Input" xfId="30" builtinId="20"/>
    <cellStyle name="60% - Accent3" xfId="31" builtinId="40"/>
    <cellStyle name="_Sheet1" xfId="32"/>
    <cellStyle name="Good" xfId="33" builtinId="26"/>
    <cellStyle name="Output" xfId="34" builtinId="21"/>
    <cellStyle name="20% - Accent1" xfId="35" builtinId="30"/>
    <cellStyle name="Calculation" xfId="36" builtinId="22"/>
    <cellStyle name="!Decimal (2)" xfId="37"/>
    <cellStyle name="Linked Cell" xfId="38" builtinId="24"/>
    <cellStyle name="Total" xfId="39" builtinId="25"/>
    <cellStyle name="60% - Accent3 2" xfId="40"/>
    <cellStyle name="1-1" xfId="41"/>
    <cellStyle name="Bad" xfId="42" builtinId="27"/>
    <cellStyle name="@_x000a_" xfId="43"/>
    <cellStyle name="Separador de milhares 2 2" xfId="44"/>
    <cellStyle name="Neutral" xfId="45" builtinId="28"/>
    <cellStyle name="Accent1" xfId="46" builtinId="29"/>
    <cellStyle name="60% - Accent1" xfId="47" builtinId="32"/>
    <cellStyle name="% 2" xfId="48"/>
    <cellStyle name="20% - Accent5" xfId="49" builtinId="46"/>
    <cellStyle name="Accent2" xfId="50" builtinId="33"/>
    <cellStyle name="_x000d__x000a_JournalTemplate=C:\COMFO\CTALK\JOURSTD.TPL_x000d__x000a_LbStateAddress=3 3 0 251 1 89 2 311_x000d__x000a_LbStateJou 2" xfId="51"/>
    <cellStyle name="20% - Accent2" xfId="52" builtinId="34"/>
    <cellStyle name="20% - Accent6" xfId="53" builtinId="50"/>
    <cellStyle name="Title 2" xfId="54"/>
    <cellStyle name="Normal 6 3 2" xfId="55"/>
    <cellStyle name="60% - Accent2" xfId="56" builtinId="36"/>
    <cellStyle name="Accent3" xfId="57" builtinId="37"/>
    <cellStyle name="_x000d__x000a_JournalTemplate=C:\COMFO\CTALK\JOURSTD.TPL_x000d__x000a_LbStateAddress=3 3 0 251 1 89 2 311_x000d__x000a_LbStateJou 3" xfId="58"/>
    <cellStyle name="20% - Accent3" xfId="59" builtinId="38"/>
    <cellStyle name="Accent4" xfId="60" builtinId="41"/>
    <cellStyle name="20% - Accent4" xfId="61" builtinId="42"/>
    <cellStyle name="40% - Accent4" xfId="62" builtinId="43"/>
    <cellStyle name="!Comma (0)" xfId="63"/>
    <cellStyle name="Accent5" xfId="64" builtinId="45"/>
    <cellStyle name=" 1" xfId="65"/>
    <cellStyle name="40% - Accent5" xfId="66" builtinId="47"/>
    <cellStyle name="60% - Accent5" xfId="67" builtinId="48"/>
    <cellStyle name="Accent6" xfId="68" builtinId="49"/>
    <cellStyle name="40% - Accent6" xfId="69" builtinId="51"/>
    <cellStyle name="60% - Accent6" xfId="70" builtinId="52"/>
    <cellStyle name="_.csv]StatisticalData(1)" xfId="71"/>
    <cellStyle name="_HSPE_1" xfId="72"/>
    <cellStyle name=" 1 2" xfId="73"/>
    <cellStyle name="_x000d__x000a_JournalTemplate=C:\COMFO\CTALK\JOURSTD.TPL_x000d__x000a_LbStateAddress=3 3 0 251 1 89 2 311_x000d__x000a_LbStateJou" xfId="74"/>
    <cellStyle name="!Comma (1)" xfId="75"/>
    <cellStyle name="!Year" xfId="76"/>
    <cellStyle name="_.csv]StatisticalData(1) 2" xfId="77"/>
    <cellStyle name="Total intermediaire" xfId="78"/>
    <cellStyle name="_CFCO" xfId="79"/>
    <cellStyle name="_China_Hotspots_BER_SX" xfId="80"/>
    <cellStyle name="_CNWB" xfId="81"/>
    <cellStyle name="_CountryIndicators" xfId="82"/>
    <cellStyle name="_Data" xfId="83"/>
    <cellStyle name="Hyperlink 5" xfId="84"/>
    <cellStyle name="_Data 2" xfId="85"/>
    <cellStyle name="콤마 [0]" xfId="86"/>
    <cellStyle name="_Data 3" xfId="87"/>
    <cellStyle name="20% - Accent1 2" xfId="88"/>
    <cellStyle name="_Data_1" xfId="89"/>
    <cellStyle name="_DOW_CHEMICAL_INTERNAL_0.93" xfId="90"/>
    <cellStyle name="_EGwb" xfId="91"/>
    <cellStyle name="_FinancialIndicators" xfId="92"/>
    <cellStyle name="Comma 2" xfId="93"/>
    <cellStyle name="_HCSV" xfId="94"/>
    <cellStyle name="Comma 2 2" xfId="95"/>
    <cellStyle name="_HCSV 2" xfId="96"/>
    <cellStyle name="_HSPE" xfId="97"/>
    <cellStyle name="_HSPE 2" xfId="98"/>
    <cellStyle name="Normal 14" xfId="99"/>
    <cellStyle name="_IFS1" xfId="100"/>
    <cellStyle name="_Industry workbook format" xfId="101"/>
    <cellStyle name="_INWB" xfId="102"/>
    <cellStyle name="_SAWB" xfId="103"/>
    <cellStyle name="Good 2" xfId="104"/>
    <cellStyle name="Comma 6" xfId="105"/>
    <cellStyle name="_Sheet1 2" xfId="106"/>
    <cellStyle name="Comma 7" xfId="107"/>
    <cellStyle name="_Sheet1 3" xfId="108"/>
    <cellStyle name="_Sheet1_1" xfId="109"/>
    <cellStyle name="Normal 10 3" xfId="110"/>
    <cellStyle name="_Summary" xfId="111"/>
    <cellStyle name="_Working" xfId="112"/>
    <cellStyle name="Style 1" xfId="113"/>
    <cellStyle name="_XSection6" xfId="114"/>
    <cellStyle name="=C:\WINNT\SYSTEM32\COMMAND.COM" xfId="115"/>
    <cellStyle name="Hyperlink 4" xfId="116"/>
    <cellStyle name="=C:\WINNT\SYSTEM32\COMMAND.COM 2" xfId="117"/>
    <cellStyle name="=C:\WINNT35\SYSTEM32\COMMAND.COM" xfId="118"/>
    <cellStyle name="0,0_x000a__x000a_NA_x000a__x000a_" xfId="119"/>
    <cellStyle name="0,0_x000d__x000a_NA_x000d__x000a_" xfId="120"/>
    <cellStyle name="20% - Accent2 2" xfId="121"/>
    <cellStyle name="20% - Accent4 2" xfId="122"/>
    <cellStyle name="20% - Accent5 2" xfId="123"/>
    <cellStyle name="20% - Accent6 2" xfId="124"/>
    <cellStyle name="40% - Accent1 2" xfId="125"/>
    <cellStyle name="常规_341-372刘苗 2_1999-2010 City Data(For London)full_RS" xfId="126"/>
    <cellStyle name="40% - Accent2 2" xfId="127"/>
    <cellStyle name="40% - Accent3 2" xfId="128"/>
    <cellStyle name="nPlode" xfId="129"/>
    <cellStyle name="A satisfied Microsoft Office user" xfId="130"/>
    <cellStyle name="40% - Accent4 2" xfId="131"/>
    <cellStyle name="40% - Accent5 2" xfId="132"/>
    <cellStyle name="40% - Accent6 2" xfId="133"/>
    <cellStyle name="header" xfId="134"/>
    <cellStyle name="60% - Accent1 2" xfId="135"/>
    <cellStyle name="60% - Accent2 2" xfId="136"/>
    <cellStyle name="60% - Accent4 2" xfId="137"/>
    <cellStyle name="60% - Accent5 2" xfId="138"/>
    <cellStyle name="60% - Accent6 2" xfId="139"/>
    <cellStyle name="Accent1 2" xfId="140"/>
    <cellStyle name="ANCLAS,REZONES Y SUS PARTES,DE FUNDICION,DE HIERRO O DE ACERO" xfId="141"/>
    <cellStyle name="Bad 2" xfId="142"/>
    <cellStyle name="body" xfId="143"/>
    <cellStyle name="Calculation 2" xfId="144"/>
    <cellStyle name="Normal 12" xfId="145"/>
    <cellStyle name="Check Cell 2" xfId="146"/>
    <cellStyle name="Note 2" xfId="147"/>
    <cellStyle name="Comma 3" xfId="148"/>
    <cellStyle name="nav" xfId="149"/>
    <cellStyle name="Comma 4" xfId="150"/>
    <cellStyle name="Comma 5" xfId="151"/>
    <cellStyle name="Comma 5 2" xfId="152"/>
    <cellStyle name="Vírgula 3" xfId="153"/>
    <cellStyle name="Currency 2" xfId="154"/>
    <cellStyle name="Normal 6" xfId="155"/>
    <cellStyle name="Dezimal_Energiekosten_test" xfId="156"/>
    <cellStyle name="Euro" xfId="157"/>
    <cellStyle name="Explanatory Text 2" xfId="158"/>
    <cellStyle name="F2" xfId="159"/>
    <cellStyle name="F2 2" xfId="160"/>
    <cellStyle name="Heading 3 2" xfId="161"/>
    <cellStyle name="F3" xfId="162"/>
    <cellStyle name="Normal 15" xfId="163"/>
    <cellStyle name="F3 2" xfId="164"/>
    <cellStyle name="F4" xfId="165"/>
    <cellStyle name="F4 2" xfId="166"/>
    <cellStyle name="F5" xfId="167"/>
    <cellStyle name="F6" xfId="168"/>
    <cellStyle name="F6 2" xfId="169"/>
    <cellStyle name="Heading 1 2" xfId="170"/>
    <cellStyle name="F7 2" xfId="171"/>
    <cellStyle name="Heading 2 2" xfId="172"/>
    <cellStyle name="F8 2" xfId="173"/>
    <cellStyle name="foot left" xfId="174"/>
    <cellStyle name="Heading 4 2" xfId="175"/>
    <cellStyle name="Hyperlink 2" xfId="176"/>
    <cellStyle name="Hyperlink 3" xfId="177"/>
    <cellStyle name="Hyperlink 4 2" xfId="178"/>
    <cellStyle name="Input 2" xfId="179"/>
    <cellStyle name="Linked Cell 2" xfId="180"/>
    <cellStyle name="Millares [0]_COLOC00" xfId="181"/>
    <cellStyle name="Millares_Apctasnacionles" xfId="182"/>
    <cellStyle name="Moneda [0]_COLOC00" xfId="183"/>
    <cellStyle name="Moneda_COLOC00" xfId="184"/>
    <cellStyle name="n1" xfId="185"/>
    <cellStyle name="n2" xfId="186"/>
    <cellStyle name="Navadno_Vse BOP skupaj" xfId="187"/>
    <cellStyle name="Separador de milhares 2 2 2" xfId="188"/>
    <cellStyle name="Normal 17" xfId="189"/>
    <cellStyle name="Neutral 2" xfId="190"/>
    <cellStyle name="Normal 10" xfId="191"/>
    <cellStyle name="Normal 11" xfId="192"/>
    <cellStyle name="Normal 13" xfId="193"/>
    <cellStyle name="Normal 16" xfId="194"/>
    <cellStyle name="Normal 19" xfId="195"/>
    <cellStyle name="Normal 2" xfId="196"/>
    <cellStyle name="Normal 2 2" xfId="197"/>
    <cellStyle name="Normal 2 3" xfId="198"/>
    <cellStyle name="Normal 2 4" xfId="199"/>
    <cellStyle name="Normal 2 5" xfId="200"/>
    <cellStyle name="Normal 2 6" xfId="201"/>
    <cellStyle name="Normal 3" xfId="202"/>
    <cellStyle name="Normal 3 2" xfId="203"/>
    <cellStyle name="Normal 3 2 2" xfId="204"/>
    <cellStyle name="Normal 4" xfId="205"/>
    <cellStyle name="Normal 4 2" xfId="206"/>
    <cellStyle name="Normal 5" xfId="207"/>
    <cellStyle name="Normal 6 2" xfId="208"/>
    <cellStyle name="Normal 6 4" xfId="209"/>
    <cellStyle name="Normal 7" xfId="210"/>
    <cellStyle name="Normal 8" xfId="211"/>
    <cellStyle name="Normal 8 2" xfId="212"/>
    <cellStyle name="Normal 9" xfId="213"/>
    <cellStyle name="Normalny_Arkusz1" xfId="214"/>
    <cellStyle name="Output 2" xfId="215"/>
    <cellStyle name="Percent 2" xfId="216"/>
    <cellStyle name="Percent 3" xfId="217"/>
    <cellStyle name="sample" xfId="218"/>
    <cellStyle name="Separador de milhares 2" xfId="219"/>
    <cellStyle name="Separador de milhares 2 3" xfId="220"/>
    <cellStyle name="Standard_0 - Inhalt, Erläuterungen, Einheiten" xfId="221"/>
    <cellStyle name="Style 1 2" xfId="222"/>
    <cellStyle name="Style 1 2 2" xfId="223"/>
    <cellStyle name="top" xfId="224"/>
    <cellStyle name="Vírgula 2" xfId="225"/>
    <cellStyle name="Warning Text 2" xfId="226"/>
    <cellStyle name="콤마_아산" xfId="227"/>
    <cellStyle name="표준 46" xfId="228"/>
    <cellStyle name="年資料" xfId="229"/>
    <cellStyle name="標準_gt3001" xfId="230"/>
  </cellStyles>
  <dxfs count="34">
    <dxf>
      <font>
        <color rgb="FFFF0000"/>
      </font>
    </dxf>
    <dxf>
      <font>
        <color rgb="FF00B050"/>
      </font>
    </dxf>
    <dxf>
      <font>
        <color rgb="FFFF0000"/>
      </font>
    </dxf>
    <dxf>
      <fill>
        <patternFill patternType="solid">
          <bgColor rgb="FF1A9641"/>
        </patternFill>
      </fill>
    </dxf>
    <dxf>
      <fill>
        <patternFill patternType="solid">
          <bgColor rgb="FFA6D96A"/>
        </patternFill>
      </fill>
    </dxf>
    <dxf>
      <fill>
        <patternFill patternType="solid">
          <bgColor rgb="FFFDAE61"/>
        </patternFill>
      </fill>
    </dxf>
    <dxf>
      <fill>
        <patternFill patternType="solid">
          <bgColor rgb="FFD7191C"/>
        </patternFill>
      </fill>
    </dxf>
    <dxf>
      <font>
        <color auto="1"/>
      </font>
      <fill>
        <patternFill patternType="solid">
          <bgColor theme="9" tint="0.599963377788629"/>
        </patternFill>
      </fill>
    </dxf>
    <dxf>
      <font>
        <color theme="0"/>
      </font>
      <fill>
        <patternFill patternType="solid">
          <bgColor theme="0"/>
        </patternFill>
      </fill>
      <border>
        <left style="thin">
          <color theme="0"/>
        </left>
        <right style="thin">
          <color theme="0"/>
        </right>
        <bottom style="thin">
          <color theme="0"/>
        </bottom>
      </border>
    </dxf>
    <dxf>
      <font>
        <color theme="0" tint="-0.249946592608417"/>
      </font>
      <fill>
        <patternFill patternType="none"/>
      </fill>
    </dxf>
    <dxf>
      <font>
        <color theme="0" tint="-0.249946592608417"/>
      </font>
      <fill>
        <patternFill patternType="solid">
          <bgColor theme="0"/>
        </patternFill>
      </fill>
    </dxf>
    <dxf>
      <font>
        <color theme="0" tint="-0.249946592608417"/>
      </font>
      <fill>
        <patternFill patternType="solid">
          <bgColor theme="0"/>
        </patternFill>
      </fill>
    </dxf>
    <dxf>
      <font>
        <color theme="0"/>
      </font>
      <fill>
        <patternFill patternType="solid">
          <bgColor theme="0"/>
        </patternFill>
      </fill>
      <border>
        <bottom style="thin">
          <color theme="0"/>
        </bottom>
      </border>
    </dxf>
    <dxf>
      <border>
        <right style="thin">
          <color auto="1"/>
        </right>
      </border>
    </dxf>
    <dxf>
      <numFmt numFmtId="194" formatCode="0.0%"/>
    </dxf>
    <dxf>
      <font>
        <color theme="0"/>
      </font>
      <fill>
        <patternFill patternType="solid">
          <bgColor theme="0"/>
        </patternFill>
      </fill>
      <border>
        <left style="thin">
          <color theme="0"/>
        </left>
        <right style="thin">
          <color theme="0"/>
        </right>
        <top style="thin">
          <color theme="0"/>
        </top>
        <bottom style="thin">
          <color theme="0"/>
        </bottom>
      </border>
    </dxf>
    <dxf>
      <border>
        <bottom style="thin">
          <color auto="1"/>
        </bottom>
      </border>
    </dxf>
    <dxf>
      <font>
        <b val="0"/>
        <i val="1"/>
      </font>
    </dxf>
    <dxf>
      <fill>
        <patternFill patternType="solid">
          <bgColor theme="0" tint="-0.0499893185216834"/>
        </patternFill>
      </fill>
    </dxf>
    <dxf>
      <font>
        <b val="1"/>
        <i val="0"/>
      </font>
      <numFmt numFmtId="2" formatCode="0.00"/>
      <fill>
        <patternFill patternType="solid">
          <bgColor theme="9" tint="0.799981688894314"/>
        </patternFill>
      </fill>
      <border>
        <top style="thin">
          <color rgb="FF002451"/>
        </top>
        <bottom style="thin">
          <color rgb="FF002451"/>
        </bottom>
      </border>
    </dxf>
    <dxf>
      <font>
        <b val="1"/>
        <i val="0"/>
        <color auto="1"/>
      </font>
      <numFmt numFmtId="2" formatCode="0.00"/>
      <fill>
        <patternFill patternType="solid">
          <bgColor theme="9" tint="0.599963377788629"/>
        </patternFill>
      </fill>
    </dxf>
    <dxf>
      <font>
        <color theme="0"/>
      </font>
      <fill>
        <patternFill patternType="solid">
          <bgColor theme="0"/>
        </patternFill>
      </fill>
    </dxf>
    <dxf>
      <font>
        <color rgb="FF382E2C"/>
      </font>
      <fill>
        <patternFill patternType="solid">
          <bgColor rgb="FF92C5EB"/>
        </patternFill>
      </fill>
    </dxf>
    <dxf>
      <font>
        <color theme="0"/>
      </font>
      <fill>
        <patternFill patternType="solid">
          <bgColor rgb="FF002451"/>
        </patternFill>
      </fill>
    </dxf>
    <dxf>
      <font>
        <color theme="0"/>
      </font>
      <fill>
        <patternFill patternType="solid">
          <bgColor theme="0"/>
        </patternFill>
      </fill>
      <border>
        <left/>
        <right/>
        <top/>
        <bottom/>
      </border>
    </dxf>
    <dxf>
      <font>
        <b val="1"/>
        <i val="0"/>
      </font>
    </dxf>
    <dxf>
      <border>
        <bottom style="thin">
          <color theme="3" tint="0.599963377788629"/>
        </bottom>
      </border>
    </dxf>
    <dxf>
      <border>
        <top style="thin">
          <color theme="3" tint="0.799981688894314"/>
        </top>
        <bottom style="thin">
          <color theme="3" tint="0.799981688894314"/>
        </bottom>
      </border>
    </dxf>
    <dxf>
      <font>
        <b val="1"/>
        <i val="0"/>
        <color theme="1"/>
      </font>
      <fill>
        <patternFill patternType="solid">
          <bgColor theme="9" tint="0.399945066682943"/>
        </patternFill>
      </fill>
      <border>
        <top style="thin">
          <color auto="1"/>
        </top>
        <bottom style="thin">
          <color auto="1"/>
        </bottom>
      </border>
    </dxf>
    <dxf>
      <font>
        <b val="1"/>
        <i val="0"/>
        <color rgb="FF0000FF"/>
      </font>
    </dxf>
    <dxf>
      <font>
        <color theme="0" tint="-0.349986266670736"/>
      </font>
    </dxf>
    <dxf>
      <font>
        <b val="1"/>
        <i val="0"/>
        <color rgb="FF002451"/>
      </font>
    </dxf>
    <dxf>
      <font>
        <color theme="6" tint="-0.499984740745262"/>
      </font>
      <fill>
        <patternFill patternType="solid">
          <bgColor theme="6" tint="0.399945066682943"/>
        </patternFill>
      </fill>
    </dxf>
    <dxf>
      <font>
        <color rgb="FF9C0006"/>
      </font>
      <fill>
        <patternFill patternType="solid">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B6E8F"/>
      <rgbColor rgb="00FFFFFF"/>
      <rgbColor rgb="00FF0000"/>
      <rgbColor rgb="0000FF00"/>
      <rgbColor rgb="00E37C00"/>
      <rgbColor rgb="00FFFF00"/>
      <rgbColor rgb="00FF00FF"/>
      <rgbColor rgb="0000FFFF"/>
      <rgbColor rgb="00800000"/>
      <rgbColor rgb="00008000"/>
      <rgbColor rgb="0068ACE5"/>
      <rgbColor rgb="00808000"/>
      <rgbColor rgb="00800080"/>
      <rgbColor rgb="00008080"/>
      <rgbColor rgb="009F1C35"/>
      <rgbColor rgb="00820014"/>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36424A"/>
      <rgbColor rgb="00CCFFFF"/>
      <rgbColor rgb="00CCFFCC"/>
      <rgbColor rgb="00FFFF99"/>
      <rgbColor rgb="0099CCFF"/>
      <rgbColor rgb="00FF99CC"/>
      <rgbColor rgb="00CC99FF"/>
      <rgbColor rgb="00FFCC99"/>
      <rgbColor rgb="0073D1B7"/>
      <rgbColor rgb="0033CCCC"/>
      <rgbColor rgb="0099CC00"/>
      <rgbColor rgb="00FFCC00"/>
      <rgbColor rgb="00FF9900"/>
      <rgbColor rgb="00FF6600"/>
      <rgbColor rgb="0044687D"/>
      <rgbColor rgb="00CE1432"/>
      <rgbColor rgb="00003366"/>
      <rgbColor rgb="00339966"/>
      <rgbColor rgb="00003300"/>
      <rgbColor rgb="00333300"/>
      <rgbColor rgb="00993300"/>
      <rgbColor rgb="00993366"/>
      <rgbColor rgb="00382E2C"/>
      <rgbColor rgb="00700008"/>
    </indexedColors>
    <mruColors>
      <color rgb="001414A0"/>
      <color rgb="00FDF8D9"/>
      <color rgb="00FDE9D9"/>
      <color rgb="00C0504D"/>
      <color rgb="008D2E42"/>
      <color rgb="00005B94"/>
      <color rgb="00DCE6F2"/>
      <color rgb="00FFFFFF"/>
      <color rgb="00F08221"/>
      <color rgb="0000245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8"/>
            <c:spPr>
              <a:solidFill>
                <a:srgbClr val="4F81BD"/>
              </a:solidFill>
              <a:ln w="9525" cap="flat" cmpd="sng" algn="ctr">
                <a:solidFill>
                  <a:schemeClr val="accent6">
                    <a:lumMod val="75000"/>
                  </a:schemeClr>
                </a:solidFill>
                <a:prstDash val="solid"/>
                <a:round/>
              </a:ln>
            </c:spPr>
          </c:marker>
          <c:dLbls>
            <c:delete val="1"/>
          </c:dLbls>
          <c:xVal>
            <c:numRef>
              <c:f>iIndiRank!$AC$8:$AC$68</c:f>
              <c:numCache>
                <c:formatCode>General</c:formatCode>
                <c:ptCount val="61"/>
                <c:pt idx="0">
                  <c:v>89.8</c:v>
                </c:pt>
                <c:pt idx="1">
                  <c:v>89.64</c:v>
                </c:pt>
                <c:pt idx="2">
                  <c:v>88.87</c:v>
                </c:pt>
                <c:pt idx="3">
                  <c:v>87.36</c:v>
                </c:pt>
                <c:pt idx="4">
                  <c:v>87.3</c:v>
                </c:pt>
                <c:pt idx="5">
                  <c:v>87.26</c:v>
                </c:pt>
                <c:pt idx="6">
                  <c:v>86.74</c:v>
                </c:pt>
                <c:pt idx="7">
                  <c:v>86.72</c:v>
                </c:pt>
                <c:pt idx="8">
                  <c:v>86.22</c:v>
                </c:pt>
                <c:pt idx="9">
                  <c:v>85.2</c:v>
                </c:pt>
                <c:pt idx="10">
                  <c:v>84.86</c:v>
                </c:pt>
                <c:pt idx="11">
                  <c:v>83.88</c:v>
                </c:pt>
                <c:pt idx="12">
                  <c:v>83.71</c:v>
                </c:pt>
                <c:pt idx="13">
                  <c:v>83.61</c:v>
                </c:pt>
                <c:pt idx="14">
                  <c:v>83.55</c:v>
                </c:pt>
                <c:pt idx="15">
                  <c:v>83.18</c:v>
                </c:pt>
                <c:pt idx="16">
                  <c:v>83.01</c:v>
                </c:pt>
                <c:pt idx="17">
                  <c:v>82.26</c:v>
                </c:pt>
                <c:pt idx="18">
                  <c:v>82.21</c:v>
                </c:pt>
                <c:pt idx="19">
                  <c:v>82.1</c:v>
                </c:pt>
                <c:pt idx="20">
                  <c:v>81.01</c:v>
                </c:pt>
                <c:pt idx="21">
                  <c:v>80.7</c:v>
                </c:pt>
                <c:pt idx="22">
                  <c:v>80.37</c:v>
                </c:pt>
                <c:pt idx="23">
                  <c:v>79.71</c:v>
                </c:pt>
                <c:pt idx="24">
                  <c:v>79.3</c:v>
                </c:pt>
                <c:pt idx="25">
                  <c:v>78.73</c:v>
                </c:pt>
                <c:pt idx="26">
                  <c:v>78.67</c:v>
                </c:pt>
                <c:pt idx="27">
                  <c:v>76.91</c:v>
                </c:pt>
                <c:pt idx="28">
                  <c:v>76.35</c:v>
                </c:pt>
                <c:pt idx="29">
                  <c:v>73.59</c:v>
                </c:pt>
                <c:pt idx="30">
                  <c:v>73.11</c:v>
                </c:pt>
                <c:pt idx="31">
                  <c:v>72.06</c:v>
                </c:pt>
                <c:pt idx="32">
                  <c:v>71.9</c:v>
                </c:pt>
                <c:pt idx="33">
                  <c:v>70.93</c:v>
                </c:pt>
                <c:pt idx="34">
                  <c:v>70.03</c:v>
                </c:pt>
                <c:pt idx="35">
                  <c:v>67.61</c:v>
                </c:pt>
                <c:pt idx="36">
                  <c:v>66.54</c:v>
                </c:pt>
                <c:pt idx="37">
                  <c:v>66.3</c:v>
                </c:pt>
                <c:pt idx="38">
                  <c:v>65.52</c:v>
                </c:pt>
                <c:pt idx="39">
                  <c:v>65.23</c:v>
                </c:pt>
                <c:pt idx="40">
                  <c:v>63.99</c:v>
                </c:pt>
                <c:pt idx="41">
                  <c:v>62.8</c:v>
                </c:pt>
                <c:pt idx="42">
                  <c:v>62.34</c:v>
                </c:pt>
                <c:pt idx="43">
                  <c:v>61.9</c:v>
                </c:pt>
                <c:pt idx="44">
                  <c:v>61.84</c:v>
                </c:pt>
                <c:pt idx="45">
                  <c:v>61.36</c:v>
                </c:pt>
                <c:pt idx="46">
                  <c:v>61.23</c:v>
                </c:pt>
                <c:pt idx="47">
                  <c:v>61.2</c:v>
                </c:pt>
                <c:pt idx="48">
                  <c:v>60.05</c:v>
                </c:pt>
                <c:pt idx="49">
                  <c:v>59.17</c:v>
                </c:pt>
                <c:pt idx="50">
                  <c:v>58.33</c:v>
                </c:pt>
                <c:pt idx="51">
                  <c:v>56.49</c:v>
                </c:pt>
                <c:pt idx="52">
                  <c:v>56.39</c:v>
                </c:pt>
                <c:pt idx="53">
                  <c:v>55.22</c:v>
                </c:pt>
                <c:pt idx="54">
                  <c:v>54.86</c:v>
                </c:pt>
                <c:pt idx="55">
                  <c:v>54.33</c:v>
                </c:pt>
                <c:pt idx="56">
                  <c:v>53.39</c:v>
                </c:pt>
                <c:pt idx="57">
                  <c:v>47.37</c:v>
                </c:pt>
                <c:pt idx="58">
                  <c:v>46.47</c:v>
                </c:pt>
                <c:pt idx="59">
                  <c:v>38.77</c:v>
                </c:pt>
                <c:pt idx="60">
                  <c:v>#N/A</c:v>
                </c:pt>
              </c:numCache>
            </c:numRef>
          </c:xVal>
          <c:yVal>
            <c:numRef>
              <c:f>iIndiRank!$AD$8:$AD$68</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uxb_works!$C$6</c:f>
              <c:strCache>
                <c:ptCount val="1"/>
                <c:pt idx="0">
                  <c:v>&lt;none&gt;</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9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iIndiRank!$T$72</c:f>
              <c:numCache>
                <c:formatCode>General</c:formatCode>
                <c:ptCount val="1"/>
                <c:pt idx="0">
                  <c:v>#N/A</c:v>
                </c:pt>
              </c:numCache>
            </c:numRef>
          </c:xVal>
          <c:yVal>
            <c:numRef>
              <c:f>iIndiRank!$M$72</c:f>
              <c:numCache>
                <c:formatCode>General</c:formatCode>
                <c:ptCount val="1"/>
                <c:pt idx="0">
                  <c:v>1</c:v>
                </c:pt>
              </c:numCache>
            </c:numRef>
          </c:yVal>
          <c:smooth val="0"/>
        </c:ser>
        <c:ser>
          <c:idx val="2"/>
          <c:order val="2"/>
          <c:spPr>
            <a:ln w="28575" cap="rnd" cmpd="sng" algn="ctr">
              <a:noFill/>
              <a:prstDash val="solid"/>
              <a:round/>
            </a:ln>
          </c:spPr>
          <c:marker>
            <c:symbol val="diamond"/>
            <c:size val="7"/>
            <c:spPr>
              <a:solidFill>
                <a:srgbClr val="C00000"/>
              </a:solidFill>
              <a:ln w="9525" cap="flat" cmpd="sng" algn="ctr">
                <a:solidFill>
                  <a:srgbClr val="C00000"/>
                </a:solidFill>
                <a:prstDash val="solid"/>
                <a:round/>
              </a:ln>
            </c:spPr>
          </c:marker>
          <c:dLbls>
            <c:delete val="1"/>
          </c:dLbls>
          <c:xVal>
            <c:numRef>
              <c:f>iIndiRank!$AE$8:$AE$68</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iIndiRank!$AD$8:$AD$68</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dLbls>
          <c:showLegendKey val="0"/>
          <c:showVal val="0"/>
          <c:showCatName val="0"/>
          <c:showSerName val="0"/>
          <c:showPercent val="0"/>
          <c:showBubbleSize val="0"/>
        </c:dLbls>
        <c:axId val="439292288"/>
        <c:axId val="439294208"/>
      </c:scatterChart>
      <c:valAx>
        <c:axId val="439292288"/>
        <c:scaling>
          <c:orientation val="minMax"/>
          <c:min val="0"/>
        </c:scaling>
        <c:delete val="0"/>
        <c:axPos val="b"/>
        <c:majorGridlines>
          <c:spPr>
            <a:ln w="9525" cap="flat" cmpd="sng" algn="ctr">
              <a:solidFill>
                <a:schemeClr val="bg1">
                  <a:lumMod val="75000"/>
                  <a:alpha val="90000"/>
                </a:schemeClr>
              </a:solidFill>
              <a:prstDash val="solid"/>
              <a:round/>
            </a:ln>
          </c:spPr>
        </c:majorGridlines>
        <c:minorGridlines>
          <c:spPr>
            <a:ln w="3175" cap="flat" cmpd="sng" algn="ctr">
              <a:solidFill>
                <a:srgbClr val="E8E8E8">
                  <a:alpha val="50000"/>
                </a:srgbClr>
              </a:solidFill>
              <a:prstDash val="solid"/>
              <a:round/>
            </a:ln>
          </c:spPr>
        </c:minorGridlines>
        <c:numFmt formatCode="#,##0" sourceLinked="0"/>
        <c:majorTickMark val="out"/>
        <c:minorTickMark val="none"/>
        <c:tickLblPos val="nextTo"/>
        <c:spPr>
          <a:ln w="9525" cap="flat" cmpd="sng" algn="ctr">
            <a:no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crossAx val="439294208"/>
        <c:crosses val="autoZero"/>
        <c:crossBetween val="midCat"/>
      </c:valAx>
      <c:valAx>
        <c:axId val="439294208"/>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39292288"/>
        <c:crosses val="autoZero"/>
        <c:crossBetween val="midCat"/>
      </c:valAx>
      <c:spPr>
        <a:solidFill>
          <a:srgbClr val="FFFFFF"/>
        </a:solidFill>
        <a:ln w="6350">
          <a:solidFill>
            <a:schemeClr val="bg1">
              <a:lumMod val="65000"/>
              <a:alpha val="80000"/>
            </a:schemeClr>
          </a:solidFill>
        </a:ln>
      </c:spPr>
    </c:plotArea>
    <c:plotVisOnly val="1"/>
    <c:dispBlanksAs val="gap"/>
    <c:showDLblsOverMax val="0"/>
  </c:chart>
  <c:spPr>
    <a:solidFill>
      <a:srgbClr val="FFFFFF"/>
    </a:solidFill>
    <a:ln w="3175" cap="flat" cmpd="sng" algn="ctr">
      <a:solidFill>
        <a:srgbClr val="80808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iCityScoreCard!$AM$70</c:f>
              <c:numCache>
                <c:formatCode>General</c:formatCode>
                <c:ptCount val="1"/>
                <c:pt idx="0">
                  <c:v>68.5404322865189</c:v>
                </c:pt>
              </c:numCache>
            </c:numRef>
          </c:val>
        </c:ser>
        <c:dLbls>
          <c:showLegendKey val="0"/>
          <c:showVal val="0"/>
          <c:showCatName val="0"/>
          <c:showSerName val="0"/>
          <c:showPercent val="0"/>
          <c:showBubbleSize val="0"/>
        </c:dLbls>
        <c:gapWidth val="0"/>
        <c:axId val="450841984"/>
        <c:axId val="450884736"/>
      </c:barChart>
      <c:catAx>
        <c:axId val="450841984"/>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0884736"/>
        <c:crosses val="autoZero"/>
        <c:auto val="1"/>
        <c:lblAlgn val="ctr"/>
        <c:lblOffset val="100"/>
        <c:noMultiLvlLbl val="0"/>
      </c:catAx>
      <c:valAx>
        <c:axId val="450884736"/>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0841984"/>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iCityScoreCard!$AS$70</c:f>
              <c:numCache>
                <c:formatCode>General</c:formatCode>
                <c:ptCount val="1"/>
                <c:pt idx="0">
                  <c:v>55.909058022829</c:v>
                </c:pt>
              </c:numCache>
            </c:numRef>
          </c:val>
        </c:ser>
        <c:dLbls>
          <c:showLegendKey val="0"/>
          <c:showVal val="0"/>
          <c:showCatName val="0"/>
          <c:showSerName val="0"/>
          <c:showPercent val="0"/>
          <c:showBubbleSize val="0"/>
        </c:dLbls>
        <c:gapWidth val="0"/>
        <c:axId val="451486464"/>
        <c:axId val="451488000"/>
      </c:barChart>
      <c:catAx>
        <c:axId val="451486464"/>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1488000"/>
        <c:crosses val="autoZero"/>
        <c:auto val="1"/>
        <c:lblAlgn val="ctr"/>
        <c:lblOffset val="100"/>
        <c:noMultiLvlLbl val="0"/>
      </c:catAx>
      <c:valAx>
        <c:axId val="451488000"/>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1486464"/>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2"/>
          <c:order val="0"/>
          <c:spPr>
            <a:ln w="28575" cap="rnd" cmpd="sng" algn="ctr">
              <a:noFill/>
              <a:prstDash val="solid"/>
              <a:round/>
            </a:ln>
          </c:spPr>
          <c:marker>
            <c:symbol val="diamond"/>
            <c:size val="7"/>
            <c:spPr>
              <a:solidFill>
                <a:srgbClr val="C00000"/>
              </a:solidFill>
              <a:ln w="9525" cap="flat" cmpd="sng" algn="ctr">
                <a:solidFill>
                  <a:srgbClr val="C00000"/>
                </a:solidFill>
                <a:prstDash val="solid"/>
                <a:round/>
              </a:ln>
            </c:spPr>
          </c:marker>
          <c:dPt>
            <c:idx val="22"/>
            <c:marker>
              <c:symbol val="diamond"/>
              <c:size val="7"/>
              <c:spPr>
                <a:solidFill>
                  <a:srgbClr val="E3120B"/>
                </a:solidFill>
                <a:ln w="9525" cap="flat" cmpd="sng" algn="ctr">
                  <a:solidFill>
                    <a:srgbClr val="C00000"/>
                  </a:solidFill>
                  <a:prstDash val="solid"/>
                  <a:round/>
                </a:ln>
              </c:spPr>
            </c:marker>
            <c:bubble3D val="0"/>
          </c:dPt>
          <c:dLbls>
            <c:delete val="1"/>
          </c:dLbls>
          <c:yVal>
            <c:numRef>
              <c:f>{1,1,1,1,1,1,1,1,1,1,1,1,1,1,1,1,1,1,1,1,1,1,1,1,1,1,1,1}</c:f>
              <c:numCache>
                <c:formatCode>General</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Cache>
            </c:numRef>
          </c:yVal>
          <c:smooth val="0"/>
          <c:extLst>
            <c:ext xmlns:c15="http://schemas.microsoft.com/office/drawing/2012/chart" uri="{02D57815-91ED-43cb-92C2-25804820EDAC}">
              <c15:filteredCategoryTitle>
                <c15:cat>
                  <c:numRef>
                    <c:extLst>
                      <c:ext uri="{02D57815-91ED-43cb-92C2-25804820EDAC}">
                        <c15:formulaRef>
                          <c15:sqref>{#N/A,#N/A,#N/A,#N/A,#N/A,#N/A,#N/A,#N/A,#N/A,#N/A,#N/A,#N/A,#N/A,#N/A,#N/A,#N/A,#N/A,#N/A,#N/A,#N/A,#N/A,#N/A,#N/A,#N/A,#N/A,#N/A,#N/A,#N/A}</c15:sqref>
                        </c15:formulaRef>
                      </c:ext>
                    </c:extLst>
                    <c:numCache>
                      <c:ptCount val="0"/>
                    </c:numCache>
                  </c:numRef>
                </c15:cat>
              </c15:filteredCategoryTitle>
            </c:ext>
          </c:extLst>
        </c:ser>
        <c:dLbls>
          <c:showLegendKey val="0"/>
          <c:showVal val="0"/>
          <c:showCatName val="0"/>
          <c:showSerName val="0"/>
          <c:showPercent val="0"/>
          <c:showBubbleSize val="0"/>
        </c:dLbls>
        <c:axId val="451517056"/>
        <c:axId val="451531136"/>
      </c:scatterChart>
      <c:valAx>
        <c:axId val="451517056"/>
        <c:scaling>
          <c:orientation val="minMax"/>
          <c:max val="100"/>
          <c:min val="0"/>
        </c:scaling>
        <c:delete val="0"/>
        <c:axPos val="b"/>
        <c:minorGridlines>
          <c:spPr>
            <a:ln w="3175" cap="flat" cmpd="sng" algn="ctr">
              <a:solidFill>
                <a:schemeClr val="tx1"/>
              </a:solidFill>
              <a:prstDash val="solid"/>
              <a:round/>
            </a:ln>
          </c:spPr>
        </c:minorGridlines>
        <c:numFmt formatCode="#,##0" sourceLinked="0"/>
        <c:majorTickMark val="out"/>
        <c:minorTickMark val="cross"/>
        <c:tickLblPos val="nextTo"/>
        <c:spPr>
          <a:noFill/>
          <a:ln w="9525" cap="flat" cmpd="sng" algn="ctr">
            <a:solidFill>
              <a:sysClr val="windowText" lastClr="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crossAx val="451531136"/>
        <c:crosses val="autoZero"/>
        <c:crossBetween val="midCat"/>
        <c:majorUnit val="10"/>
      </c:valAx>
      <c:valAx>
        <c:axId val="451531136"/>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1517056"/>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invertIfNegative val="0"/>
          <c:dLbls>
            <c:delete val="1"/>
          </c:dLbls>
          <c:val>
            <c:numRef>
              <c:f>{29.2}</c:f>
              <c:numCache>
                <c:formatCode>General</c:formatCode>
                <c:ptCount val="1"/>
                <c:pt idx="0">
                  <c:v>29.2</c:v>
                </c:pt>
              </c:numCache>
            </c:numRef>
          </c:val>
        </c:ser>
        <c:dLbls>
          <c:showLegendKey val="0"/>
          <c:showVal val="0"/>
          <c:showCatName val="0"/>
          <c:showSerName val="0"/>
          <c:showPercent val="0"/>
          <c:showBubbleSize val="0"/>
        </c:dLbls>
        <c:gapWidth val="0"/>
        <c:axId val="452153344"/>
        <c:axId val="452154880"/>
      </c:barChart>
      <c:catAx>
        <c:axId val="452153344"/>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154880"/>
        <c:crosses val="autoZero"/>
        <c:auto val="1"/>
        <c:lblAlgn val="ctr"/>
        <c:lblOffset val="100"/>
        <c:noMultiLvlLbl val="0"/>
      </c:catAx>
      <c:valAx>
        <c:axId val="452154880"/>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153344"/>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1783264746228"/>
          <c:y val="0.2986421083235"/>
          <c:w val="0.939643347050754"/>
          <c:h val="0.537708591956233"/>
        </c:manualLayout>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iCityScoreCard!$P$6:$P$66</c:f>
              <c:numCache>
                <c:formatCode>General</c:formatCode>
                <c:ptCount val="61"/>
                <c:pt idx="0">
                  <c:v>89.7970622963426</c:v>
                </c:pt>
                <c:pt idx="1">
                  <c:v>89.6376695961923</c:v>
                </c:pt>
                <c:pt idx="2">
                  <c:v>88.8650564291072</c:v>
                </c:pt>
                <c:pt idx="3">
                  <c:v>87.3597968868532</c:v>
                </c:pt>
                <c:pt idx="4">
                  <c:v>87.3034408940153</c:v>
                </c:pt>
                <c:pt idx="5">
                  <c:v>87.26365184148</c:v>
                </c:pt>
                <c:pt idx="6">
                  <c:v>86.7359744709291</c:v>
                </c:pt>
                <c:pt idx="7">
                  <c:v>86.7165220056286</c:v>
                </c:pt>
                <c:pt idx="8">
                  <c:v>86.2151497119042</c:v>
                </c:pt>
                <c:pt idx="9">
                  <c:v>85.1985461163896</c:v>
                </c:pt>
                <c:pt idx="10">
                  <c:v>84.856365317326</c:v>
                </c:pt>
                <c:pt idx="11">
                  <c:v>83.8763007180121</c:v>
                </c:pt>
                <c:pt idx="12">
                  <c:v>83.7146072727325</c:v>
                </c:pt>
                <c:pt idx="13">
                  <c:v>83.6051084788302</c:v>
                </c:pt>
                <c:pt idx="14">
                  <c:v>83.5529579436713</c:v>
                </c:pt>
                <c:pt idx="15">
                  <c:v>83.1809690089348</c:v>
                </c:pt>
                <c:pt idx="16">
                  <c:v>83.0061449550164</c:v>
                </c:pt>
                <c:pt idx="17">
                  <c:v>82.2630741993645</c:v>
                </c:pt>
                <c:pt idx="18">
                  <c:v>82.2084414540222</c:v>
                </c:pt>
                <c:pt idx="19">
                  <c:v>82.0960116014609</c:v>
                </c:pt>
                <c:pt idx="20">
                  <c:v>81.0121651371737</c:v>
                </c:pt>
                <c:pt idx="21">
                  <c:v>80.7020484094921</c:v>
                </c:pt>
                <c:pt idx="22">
                  <c:v>80.366206891911</c:v>
                </c:pt>
                <c:pt idx="23">
                  <c:v>79.7132878977853</c:v>
                </c:pt>
                <c:pt idx="24">
                  <c:v>79.3002825401348</c:v>
                </c:pt>
                <c:pt idx="25">
                  <c:v>78.72792026883</c:v>
                </c:pt>
                <c:pt idx="26">
                  <c:v>78.6744389612512</c:v>
                </c:pt>
                <c:pt idx="27">
                  <c:v>76.9075622869516</c:v>
                </c:pt>
                <c:pt idx="28">
                  <c:v>76.3482567325707</c:v>
                </c:pt>
                <c:pt idx="29">
                  <c:v>73.5941578880355</c:v>
                </c:pt>
                <c:pt idx="30">
                  <c:v>73.1127713624099</c:v>
                </c:pt>
                <c:pt idx="31">
                  <c:v>72.0648727049485</c:v>
                </c:pt>
                <c:pt idx="32">
                  <c:v>71.8968367863189</c:v>
                </c:pt>
                <c:pt idx="33">
                  <c:v>70.9283922590062</c:v>
                </c:pt>
                <c:pt idx="34">
                  <c:v>70.0251545363467</c:v>
                </c:pt>
                <c:pt idx="35">
                  <c:v>67.6137892324585</c:v>
                </c:pt>
                <c:pt idx="36">
                  <c:v>66.5377458964152</c:v>
                </c:pt>
                <c:pt idx="37">
                  <c:v>66.3048271427125</c:v>
                </c:pt>
                <c:pt idx="38">
                  <c:v>65.5192607721301</c:v>
                </c:pt>
                <c:pt idx="39">
                  <c:v>65.2335954830484</c:v>
                </c:pt>
                <c:pt idx="40">
                  <c:v>63.9940668909029</c:v>
                </c:pt>
                <c:pt idx="41">
                  <c:v>62.8027593796319</c:v>
                </c:pt>
                <c:pt idx="42">
                  <c:v>62.3376987406359</c:v>
                </c:pt>
                <c:pt idx="43">
                  <c:v>61.8984041015981</c:v>
                </c:pt>
                <c:pt idx="44">
                  <c:v>61.8400556388434</c:v>
                </c:pt>
                <c:pt idx="45">
                  <c:v>61.3595461626815</c:v>
                </c:pt>
                <c:pt idx="46">
                  <c:v>61.2274416918829</c:v>
                </c:pt>
                <c:pt idx="47">
                  <c:v>61.1983208612297</c:v>
                </c:pt>
                <c:pt idx="48">
                  <c:v>60.0526481789</c:v>
                </c:pt>
                <c:pt idx="49">
                  <c:v>59.1742659320692</c:v>
                </c:pt>
                <c:pt idx="50">
                  <c:v>58.3318815508511</c:v>
                </c:pt>
                <c:pt idx="51">
                  <c:v>56.4934110813736</c:v>
                </c:pt>
                <c:pt idx="52">
                  <c:v>56.3875885986625</c:v>
                </c:pt>
                <c:pt idx="53">
                  <c:v>55.2206246013062</c:v>
                </c:pt>
                <c:pt idx="54">
                  <c:v>54.8612405257348</c:v>
                </c:pt>
                <c:pt idx="55">
                  <c:v>54.3323116699598</c:v>
                </c:pt>
                <c:pt idx="56">
                  <c:v>53.392628751357</c:v>
                </c:pt>
                <c:pt idx="57">
                  <c:v>47.3725540843484</c:v>
                </c:pt>
                <c:pt idx="58">
                  <c:v>46.4662143998747</c:v>
                </c:pt>
                <c:pt idx="59">
                  <c:v>38.7737795060127</c:v>
                </c:pt>
                <c:pt idx="60">
                  <c:v>#N/A</c:v>
                </c:pt>
              </c:numCache>
            </c:numRef>
          </c:xVal>
          <c:yVal>
            <c:numRef>
              <c:f>iCityScoreCard!$Q$6:$Q$66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900" b="0" i="0" u="none" strike="noStrike" kern="1200" baseline="0">
                    <a:solidFill>
                      <a:schemeClr val="bg1"/>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iCityScoreCard!$O$70</c:f>
              <c:numCache>
                <c:formatCode>General</c:formatCode>
                <c:ptCount val="1"/>
                <c:pt idx="0">
                  <c:v>76.9075622869516</c:v>
                </c:pt>
              </c:numCache>
            </c:numRef>
          </c:xVal>
          <c:yVal>
            <c:numRef>
              <c:f>iCityScoreCard!$N$70</c:f>
              <c:numCache>
                <c:formatCode>General</c:formatCode>
                <c:ptCount val="1"/>
                <c:pt idx="0">
                  <c:v>1</c:v>
                </c:pt>
              </c:numCache>
            </c:numRef>
          </c:yVal>
          <c:smooth val="0"/>
        </c:ser>
        <c:ser>
          <c:idx val="2"/>
          <c:order val="2"/>
          <c:spPr>
            <a:ln w="28575" cap="rnd" cmpd="sng" algn="ctr">
              <a:noFill/>
              <a:prstDash val="solid"/>
              <a:round/>
            </a:ln>
          </c:spPr>
          <c:marker>
            <c:symbol val="diamond"/>
            <c:size val="7"/>
            <c:spPr>
              <a:solidFill>
                <a:srgbClr val="C00000"/>
              </a:solidFill>
              <a:ln w="9525" cap="flat" cmpd="sng" algn="ctr">
                <a:solidFill>
                  <a:srgbClr val="C00000"/>
                </a:solidFill>
                <a:prstDash val="solid"/>
                <a:round/>
              </a:ln>
            </c:spPr>
          </c:marker>
          <c:dPt>
            <c:idx val="22"/>
            <c:marker>
              <c:symbol val="diamond"/>
              <c:size val="7"/>
              <c:spPr>
                <a:solidFill>
                  <a:srgbClr val="E3120B"/>
                </a:solidFill>
                <a:ln w="9525" cap="flat" cmpd="sng" algn="ctr">
                  <a:solidFill>
                    <a:srgbClr val="C00000"/>
                  </a:solidFill>
                  <a:prstDash val="solid"/>
                  <a:round/>
                </a:ln>
              </c:spPr>
            </c:marker>
            <c:bubble3D val="0"/>
          </c:dPt>
          <c:dLbls>
            <c:delete val="1"/>
          </c:dLbls>
          <c:xVal>
            <c:numRef>
              <c:f>iCityScoreCard!$R$6:$R$66</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iCityScoreCard!$Q$6:$Q$66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dLbls>
          <c:showLegendKey val="0"/>
          <c:showVal val="0"/>
          <c:showCatName val="0"/>
          <c:showSerName val="0"/>
          <c:showPercent val="0"/>
          <c:showBubbleSize val="0"/>
        </c:dLbls>
        <c:axId val="452190976"/>
        <c:axId val="452192512"/>
      </c:scatterChart>
      <c:valAx>
        <c:axId val="452190976"/>
        <c:scaling>
          <c:orientation val="minMax"/>
          <c:min val="0"/>
        </c:scaling>
        <c:delete val="1"/>
        <c:axPos val="b"/>
        <c:majorGridlines/>
        <c:numFmt formatCode="#,##0" sourceLinked="0"/>
        <c:majorTickMark val="out"/>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192512"/>
        <c:crosses val="autoZero"/>
        <c:crossBetween val="midCat"/>
      </c:valAx>
      <c:valAx>
        <c:axId val="452192512"/>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190976"/>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iCityScoreCard!$O$70</c:f>
              <c:numCache>
                <c:formatCode>General</c:formatCode>
                <c:ptCount val="1"/>
                <c:pt idx="0">
                  <c:v>76.9075622869516</c:v>
                </c:pt>
              </c:numCache>
            </c:numRef>
          </c:val>
        </c:ser>
        <c:dLbls>
          <c:showLegendKey val="0"/>
          <c:showVal val="0"/>
          <c:showCatName val="0"/>
          <c:showSerName val="0"/>
          <c:showPercent val="0"/>
          <c:showBubbleSize val="0"/>
        </c:dLbls>
        <c:gapWidth val="0"/>
        <c:axId val="452237184"/>
        <c:axId val="452238720"/>
      </c:barChart>
      <c:catAx>
        <c:axId val="452237184"/>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238720"/>
        <c:crosses val="autoZero"/>
        <c:auto val="1"/>
        <c:lblAlgn val="ctr"/>
        <c:lblOffset val="100"/>
        <c:noMultiLvlLbl val="0"/>
      </c:catAx>
      <c:valAx>
        <c:axId val="452238720"/>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237184"/>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iCityScoreCard!$BE$70</c:f>
              <c:numCache>
                <c:formatCode>General</c:formatCode>
                <c:ptCount val="1"/>
                <c:pt idx="0">
                  <c:v>91.3641602398045</c:v>
                </c:pt>
              </c:numCache>
            </c:numRef>
          </c:val>
        </c:ser>
        <c:dLbls>
          <c:showLegendKey val="0"/>
          <c:showVal val="0"/>
          <c:showCatName val="0"/>
          <c:showSerName val="0"/>
          <c:showPercent val="0"/>
          <c:showBubbleSize val="0"/>
        </c:dLbls>
        <c:gapWidth val="0"/>
        <c:axId val="452254720"/>
        <c:axId val="452014848"/>
      </c:barChart>
      <c:catAx>
        <c:axId val="452254720"/>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014848"/>
        <c:crosses val="autoZero"/>
        <c:auto val="1"/>
        <c:lblAlgn val="ctr"/>
        <c:lblOffset val="100"/>
        <c:noMultiLvlLbl val="0"/>
      </c:catAx>
      <c:valAx>
        <c:axId val="452014848"/>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254720"/>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iCityScoreCard!$AY$70</c:f>
              <c:numCache>
                <c:formatCode>General</c:formatCode>
                <c:ptCount val="1"/>
                <c:pt idx="0">
                  <c:v>81.1718065502088</c:v>
                </c:pt>
              </c:numCache>
            </c:numRef>
          </c:val>
        </c:ser>
        <c:dLbls>
          <c:showLegendKey val="0"/>
          <c:showVal val="0"/>
          <c:showCatName val="0"/>
          <c:showSerName val="0"/>
          <c:showPercent val="0"/>
          <c:showBubbleSize val="0"/>
        </c:dLbls>
        <c:gapWidth val="0"/>
        <c:axId val="452034944"/>
        <c:axId val="452036480"/>
      </c:barChart>
      <c:catAx>
        <c:axId val="452034944"/>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036480"/>
        <c:crosses val="autoZero"/>
        <c:auto val="1"/>
        <c:lblAlgn val="ctr"/>
        <c:lblOffset val="100"/>
        <c:noMultiLvlLbl val="0"/>
      </c:catAx>
      <c:valAx>
        <c:axId val="452036480"/>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034944"/>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iCityScoreCard!$V$6:$V$66</c:f>
              <c:numCache>
                <c:formatCode>General</c:formatCode>
                <c:ptCount val="61"/>
                <c:pt idx="0">
                  <c:v>88.4028362502467</c:v>
                </c:pt>
                <c:pt idx="1">
                  <c:v>86.8384182693428</c:v>
                </c:pt>
                <c:pt idx="2">
                  <c:v>82.1109532990777</c:v>
                </c:pt>
                <c:pt idx="3">
                  <c:v>85.3315893644284</c:v>
                </c:pt>
                <c:pt idx="4">
                  <c:v>83.3170628544238</c:v>
                </c:pt>
                <c:pt idx="5">
                  <c:v>85.7907100318575</c:v>
                </c:pt>
                <c:pt idx="6">
                  <c:v>82.9570299008193</c:v>
                </c:pt>
                <c:pt idx="7">
                  <c:v>82.8067745494823</c:v>
                </c:pt>
                <c:pt idx="8">
                  <c:v>85.7743520917716</c:v>
                </c:pt>
                <c:pt idx="9">
                  <c:v>77.9769813138381</c:v>
                </c:pt>
                <c:pt idx="10">
                  <c:v>80.5004352163057</c:v>
                </c:pt>
                <c:pt idx="11">
                  <c:v>74.4414672324979</c:v>
                </c:pt>
                <c:pt idx="12">
                  <c:v>74.4414672324979</c:v>
                </c:pt>
                <c:pt idx="13">
                  <c:v>78.4243335201438</c:v>
                </c:pt>
                <c:pt idx="14">
                  <c:v>85.1197099930515</c:v>
                </c:pt>
                <c:pt idx="15">
                  <c:v>74.8010213712539</c:v>
                </c:pt>
                <c:pt idx="16">
                  <c:v>79.9631601574826</c:v>
                </c:pt>
                <c:pt idx="17">
                  <c:v>85.1197099930515</c:v>
                </c:pt>
                <c:pt idx="18">
                  <c:v>86.7504474887893</c:v>
                </c:pt>
                <c:pt idx="19">
                  <c:v>73.3635081842551</c:v>
                </c:pt>
                <c:pt idx="20">
                  <c:v>84.950282720767</c:v>
                </c:pt>
                <c:pt idx="21">
                  <c:v>65.9772772917516</c:v>
                </c:pt>
                <c:pt idx="22">
                  <c:v>80.8821327183315</c:v>
                </c:pt>
                <c:pt idx="23">
                  <c:v>70.3734320124007</c:v>
                </c:pt>
                <c:pt idx="24">
                  <c:v>73.2896559159726</c:v>
                </c:pt>
                <c:pt idx="25">
                  <c:v>84.6537849942692</c:v>
                </c:pt>
                <c:pt idx="26">
                  <c:v>71.622989249306</c:v>
                </c:pt>
                <c:pt idx="27">
                  <c:v>68.7742107919604</c:v>
                </c:pt>
                <c:pt idx="28">
                  <c:v>74.1430026566381</c:v>
                </c:pt>
                <c:pt idx="29">
                  <c:v>64.0183809238191</c:v>
                </c:pt>
                <c:pt idx="30">
                  <c:v>66.1672147239068</c:v>
                </c:pt>
                <c:pt idx="31">
                  <c:v>65.3762531165856</c:v>
                </c:pt>
                <c:pt idx="32">
                  <c:v>61.9382321111273</c:v>
                </c:pt>
                <c:pt idx="33">
                  <c:v>59.4232247099855</c:v>
                </c:pt>
                <c:pt idx="34">
                  <c:v>60.5656964837487</c:v>
                </c:pt>
                <c:pt idx="35">
                  <c:v>60.1666930894403</c:v>
                </c:pt>
                <c:pt idx="36">
                  <c:v>51.9624025868378</c:v>
                </c:pt>
                <c:pt idx="37">
                  <c:v>51.9624025868378</c:v>
                </c:pt>
                <c:pt idx="38">
                  <c:v>53.6903313839784</c:v>
                </c:pt>
                <c:pt idx="39">
                  <c:v>61.7064558654502</c:v>
                </c:pt>
                <c:pt idx="40">
                  <c:v>49.027957899833</c:v>
                </c:pt>
                <c:pt idx="41">
                  <c:v>65.8605869387246</c:v>
                </c:pt>
                <c:pt idx="42">
                  <c:v>54.6055882755424</c:v>
                </c:pt>
                <c:pt idx="43">
                  <c:v>59.7789450610891</c:v>
                </c:pt>
                <c:pt idx="44">
                  <c:v>54.6055882755424</c:v>
                </c:pt>
                <c:pt idx="45">
                  <c:v>54.6226799469689</c:v>
                </c:pt>
                <c:pt idx="46">
                  <c:v>60.8605869387246</c:v>
                </c:pt>
                <c:pt idx="47">
                  <c:v>57.3722783097088</c:v>
                </c:pt>
                <c:pt idx="48">
                  <c:v>44.4431229517073</c:v>
                </c:pt>
                <c:pt idx="49">
                  <c:v>66.2779167150079</c:v>
                </c:pt>
                <c:pt idx="50">
                  <c:v>43.2931861492557</c:v>
                </c:pt>
                <c:pt idx="51">
                  <c:v>39.8848690612455</c:v>
                </c:pt>
                <c:pt idx="52">
                  <c:v>60.6484476838798</c:v>
                </c:pt>
                <c:pt idx="53">
                  <c:v>58.3865648608426</c:v>
                </c:pt>
                <c:pt idx="54">
                  <c:v>36.6091842915087</c:v>
                </c:pt>
                <c:pt idx="55">
                  <c:v>39.7822330091035</c:v>
                </c:pt>
                <c:pt idx="56">
                  <c:v>36.6044906087199</c:v>
                </c:pt>
                <c:pt idx="57">
                  <c:v>38.3333333333333</c:v>
                </c:pt>
                <c:pt idx="58">
                  <c:v>39.0672022686312</c:v>
                </c:pt>
                <c:pt idx="59">
                  <c:v>43.2175596978271</c:v>
                </c:pt>
                <c:pt idx="60">
                  <c:v>#N/A</c:v>
                </c:pt>
              </c:numCache>
            </c:numRef>
          </c:xVal>
          <c:yVal>
            <c:numRef>
              <c:f>iCityScoreCard!$W$6:$W$66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iCityScoreCard!$U$70</c:f>
              <c:numCache>
                <c:formatCode>General</c:formatCode>
                <c:ptCount val="1"/>
                <c:pt idx="0">
                  <c:v>68.7742107919604</c:v>
                </c:pt>
              </c:numCache>
            </c:numRef>
          </c:xVal>
          <c:yVal>
            <c:numRef>
              <c:f>iCityScoreCard!$T$70</c:f>
              <c:numCache>
                <c:formatCode>General</c:formatCode>
                <c:ptCount val="1"/>
                <c:pt idx="0">
                  <c:v>1</c:v>
                </c:pt>
              </c:numCache>
            </c:numRef>
          </c:yVal>
          <c:smooth val="0"/>
        </c:ser>
        <c:ser>
          <c:idx val="2"/>
          <c:order val="2"/>
          <c:spPr>
            <a:ln w="28575" cap="rnd" cmpd="sng" algn="ctr">
              <a:noFill/>
              <a:prstDash val="solid"/>
              <a:round/>
            </a:ln>
          </c:spPr>
          <c:marker>
            <c:symbol val="diamond"/>
            <c:size val="7"/>
            <c:spPr>
              <a:solidFill>
                <a:srgbClr val="C00000"/>
              </a:solidFill>
              <a:ln w="9525" cap="flat" cmpd="sng" algn="ctr">
                <a:solidFill>
                  <a:srgbClr val="C00000"/>
                </a:solidFill>
                <a:prstDash val="solid"/>
                <a:round/>
              </a:ln>
            </c:spPr>
          </c:marker>
          <c:dPt>
            <c:idx val="22"/>
            <c:marker>
              <c:symbol val="diamond"/>
              <c:size val="7"/>
              <c:spPr>
                <a:solidFill>
                  <a:srgbClr val="E3120B"/>
                </a:solidFill>
                <a:ln w="9525" cap="flat" cmpd="sng" algn="ctr">
                  <a:solidFill>
                    <a:srgbClr val="C00000"/>
                  </a:solidFill>
                  <a:prstDash val="solid"/>
                  <a:round/>
                </a:ln>
              </c:spPr>
            </c:marker>
            <c:bubble3D val="0"/>
          </c:dPt>
          <c:dLbls>
            <c:delete val="1"/>
          </c:dLbls>
          <c:xVal>
            <c:numRef>
              <c:f>iCityScoreCard!$X$6:$X$66</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iCityScoreCard!$W$6:$W$66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dLbls>
          <c:showLegendKey val="0"/>
          <c:showVal val="0"/>
          <c:showCatName val="0"/>
          <c:showSerName val="0"/>
          <c:showPercent val="0"/>
          <c:showBubbleSize val="0"/>
        </c:dLbls>
        <c:axId val="452088960"/>
        <c:axId val="452090496"/>
      </c:scatterChart>
      <c:valAx>
        <c:axId val="452088960"/>
        <c:scaling>
          <c:orientation val="minMax"/>
        </c:scaling>
        <c:delete val="1"/>
        <c:axPos val="b"/>
        <c:majorGridlines/>
        <c:numFmt formatCode="#,##0" sourceLinked="0"/>
        <c:majorTickMark val="out"/>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090496"/>
        <c:crosses val="autoZero"/>
        <c:crossBetween val="midCat"/>
      </c:valAx>
      <c:valAx>
        <c:axId val="452090496"/>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088960"/>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iCityScoreCard!$AB$6:$AB$66</c:f>
              <c:numCache>
                <c:formatCode>General</c:formatCode>
                <c:ptCount val="61"/>
                <c:pt idx="0">
                  <c:v>88.3333333333333</c:v>
                </c:pt>
                <c:pt idx="1">
                  <c:v>95</c:v>
                </c:pt>
                <c:pt idx="2">
                  <c:v>78.3333333333333</c:v>
                </c:pt>
                <c:pt idx="3">
                  <c:v>90</c:v>
                </c:pt>
                <c:pt idx="4">
                  <c:v>90</c:v>
                </c:pt>
                <c:pt idx="5">
                  <c:v>80</c:v>
                </c:pt>
                <c:pt idx="6">
                  <c:v>90</c:v>
                </c:pt>
                <c:pt idx="7">
                  <c:v>75</c:v>
                </c:pt>
                <c:pt idx="8">
                  <c:v>100</c:v>
                </c:pt>
                <c:pt idx="9">
                  <c:v>75</c:v>
                </c:pt>
                <c:pt idx="10">
                  <c:v>80</c:v>
                </c:pt>
                <c:pt idx="11">
                  <c:v>80</c:v>
                </c:pt>
                <c:pt idx="12">
                  <c:v>80</c:v>
                </c:pt>
                <c:pt idx="13">
                  <c:v>66.6666666666667</c:v>
                </c:pt>
                <c:pt idx="14">
                  <c:v>100</c:v>
                </c:pt>
                <c:pt idx="15">
                  <c:v>68.3333333333333</c:v>
                </c:pt>
                <c:pt idx="16">
                  <c:v>80</c:v>
                </c:pt>
                <c:pt idx="17">
                  <c:v>100</c:v>
                </c:pt>
                <c:pt idx="18">
                  <c:v>100</c:v>
                </c:pt>
                <c:pt idx="19">
                  <c:v>80</c:v>
                </c:pt>
                <c:pt idx="20">
                  <c:v>100</c:v>
                </c:pt>
                <c:pt idx="21">
                  <c:v>88.3333333333333</c:v>
                </c:pt>
                <c:pt idx="22">
                  <c:v>90</c:v>
                </c:pt>
                <c:pt idx="23">
                  <c:v>73.3333333333333</c:v>
                </c:pt>
                <c:pt idx="24">
                  <c:v>83.3333333333333</c:v>
                </c:pt>
                <c:pt idx="25">
                  <c:v>100</c:v>
                </c:pt>
                <c:pt idx="26">
                  <c:v>80</c:v>
                </c:pt>
                <c:pt idx="27">
                  <c:v>63.3333333333333</c:v>
                </c:pt>
                <c:pt idx="28">
                  <c:v>66.6666666666667</c:v>
                </c:pt>
                <c:pt idx="29">
                  <c:v>58.3333333333333</c:v>
                </c:pt>
                <c:pt idx="30">
                  <c:v>58.3333333333333</c:v>
                </c:pt>
                <c:pt idx="31">
                  <c:v>63.3333333333333</c:v>
                </c:pt>
                <c:pt idx="32">
                  <c:v>60</c:v>
                </c:pt>
                <c:pt idx="33">
                  <c:v>53.3333333333333</c:v>
                </c:pt>
                <c:pt idx="34">
                  <c:v>58.3333333333333</c:v>
                </c:pt>
                <c:pt idx="35">
                  <c:v>41.6666666666667</c:v>
                </c:pt>
                <c:pt idx="36">
                  <c:v>43.3333333333333</c:v>
                </c:pt>
                <c:pt idx="37">
                  <c:v>43.3333333333333</c:v>
                </c:pt>
                <c:pt idx="38">
                  <c:v>58.3333333333333</c:v>
                </c:pt>
                <c:pt idx="39">
                  <c:v>60</c:v>
                </c:pt>
                <c:pt idx="40">
                  <c:v>41.6666666666667</c:v>
                </c:pt>
                <c:pt idx="41">
                  <c:v>58.3333333333333</c:v>
                </c:pt>
                <c:pt idx="42">
                  <c:v>63.3333333333333</c:v>
                </c:pt>
                <c:pt idx="43">
                  <c:v>58.3333333333333</c:v>
                </c:pt>
                <c:pt idx="44">
                  <c:v>63.3333333333333</c:v>
                </c:pt>
                <c:pt idx="45">
                  <c:v>41.6666666666667</c:v>
                </c:pt>
                <c:pt idx="46">
                  <c:v>48.3333333333333</c:v>
                </c:pt>
                <c:pt idx="47">
                  <c:v>46.6666666666667</c:v>
                </c:pt>
                <c:pt idx="48">
                  <c:v>28.3333333333333</c:v>
                </c:pt>
                <c:pt idx="49">
                  <c:v>58.3333333333333</c:v>
                </c:pt>
                <c:pt idx="50">
                  <c:v>26.6666666666667</c:v>
                </c:pt>
                <c:pt idx="51">
                  <c:v>16.6666666666667</c:v>
                </c:pt>
                <c:pt idx="52">
                  <c:v>48.3333333333333</c:v>
                </c:pt>
                <c:pt idx="53">
                  <c:v>46.6666666666667</c:v>
                </c:pt>
                <c:pt idx="54">
                  <c:v>31.6666666666667</c:v>
                </c:pt>
                <c:pt idx="55">
                  <c:v>21.6666666666667</c:v>
                </c:pt>
                <c:pt idx="56">
                  <c:v>28.3333333333333</c:v>
                </c:pt>
                <c:pt idx="57">
                  <c:v>26.6666666666667</c:v>
                </c:pt>
                <c:pt idx="58">
                  <c:v>16.6666666666667</c:v>
                </c:pt>
                <c:pt idx="59">
                  <c:v>35</c:v>
                </c:pt>
                <c:pt idx="60">
                  <c:v>#N/A</c:v>
                </c:pt>
              </c:numCache>
            </c:numRef>
          </c:xVal>
          <c:yVal>
            <c:numRef>
              <c:f>iCityScoreCard!$AC$6:$AC$66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iCityScoreCard!$AA$70</c:f>
              <c:numCache>
                <c:formatCode>General</c:formatCode>
                <c:ptCount val="1"/>
                <c:pt idx="0">
                  <c:v>63.3333333333333</c:v>
                </c:pt>
              </c:numCache>
            </c:numRef>
          </c:xVal>
          <c:yVal>
            <c:numRef>
              <c:f>iCityScoreCard!$Z$70</c:f>
              <c:numCache>
                <c:formatCode>General</c:formatCode>
                <c:ptCount val="1"/>
                <c:pt idx="0">
                  <c:v>1</c:v>
                </c:pt>
              </c:numCache>
            </c:numRef>
          </c:yVal>
          <c:smooth val="0"/>
        </c:ser>
        <c:ser>
          <c:idx val="2"/>
          <c:order val="2"/>
          <c:spPr>
            <a:ln w="28575" cap="rnd" cmpd="sng" algn="ctr">
              <a:noFill/>
              <a:prstDash val="solid"/>
              <a:round/>
            </a:ln>
          </c:spPr>
          <c:marker>
            <c:symbol val="diamond"/>
            <c:size val="7"/>
            <c:spPr>
              <a:solidFill>
                <a:srgbClr val="C00000"/>
              </a:solidFill>
              <a:ln w="9525" cap="flat" cmpd="sng" algn="ctr">
                <a:solidFill>
                  <a:srgbClr val="C00000"/>
                </a:solidFill>
                <a:prstDash val="solid"/>
                <a:round/>
              </a:ln>
            </c:spPr>
          </c:marker>
          <c:dPt>
            <c:idx val="22"/>
            <c:marker>
              <c:symbol val="diamond"/>
              <c:size val="7"/>
              <c:spPr>
                <a:solidFill>
                  <a:srgbClr val="E3120B"/>
                </a:solidFill>
                <a:ln w="9525" cap="flat" cmpd="sng" algn="ctr">
                  <a:solidFill>
                    <a:srgbClr val="C00000"/>
                  </a:solidFill>
                  <a:prstDash val="solid"/>
                  <a:round/>
                </a:ln>
              </c:spPr>
            </c:marker>
            <c:bubble3D val="0"/>
          </c:dPt>
          <c:dLbls>
            <c:delete val="1"/>
          </c:dLbls>
          <c:xVal>
            <c:numRef>
              <c:f>iCityScoreCard!$AD$6:$AD$66</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iCityScoreCard!$AC$6:$AC$66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dLbls>
          <c:showLegendKey val="0"/>
          <c:showVal val="0"/>
          <c:showCatName val="0"/>
          <c:showSerName val="0"/>
          <c:showPercent val="0"/>
          <c:showBubbleSize val="0"/>
        </c:dLbls>
        <c:axId val="452130688"/>
        <c:axId val="452132224"/>
      </c:scatterChart>
      <c:valAx>
        <c:axId val="452130688"/>
        <c:scaling>
          <c:orientation val="minMax"/>
          <c:max val="100"/>
          <c:min val="0"/>
        </c:scaling>
        <c:delete val="1"/>
        <c:axPos val="b"/>
        <c:majorGridlines/>
        <c:numFmt formatCode="#,##0" sourceLinked="0"/>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132224"/>
        <c:crosses val="autoZero"/>
        <c:crossBetween val="midCat"/>
        <c:majorUnit val="10"/>
      </c:valAx>
      <c:valAx>
        <c:axId val="452132224"/>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130688"/>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010238442648"/>
          <c:y val="0.0395189915207081"/>
          <c:w val="0.823836914350646"/>
          <c:h val="0.833335255980148"/>
        </c:manualLayout>
      </c:layout>
      <c:scatterChart>
        <c:scatterStyle val="marker"/>
        <c:varyColors val="0"/>
        <c:ser>
          <c:idx val="0"/>
          <c:order val="0"/>
          <c:tx>
            <c:strRef>
              <c:f>"base"</c:f>
              <c:strCache>
                <c:ptCount val="1"/>
                <c:pt idx="0">
                  <c:v>base</c:v>
                </c:pt>
              </c:strCache>
            </c:strRef>
          </c:tx>
          <c:spPr>
            <a:ln w="28575" cap="rnd" cmpd="sng" algn="ctr">
              <a:noFill/>
              <a:prstDash val="solid"/>
              <a:round/>
            </a:ln>
          </c:spPr>
          <c:marker>
            <c:symbol val="diamond"/>
            <c:size val="7"/>
            <c:spPr>
              <a:solidFill>
                <a:schemeClr val="bg1">
                  <a:lumMod val="50000"/>
                </a:schemeClr>
              </a:solidFill>
              <a:ln w="9525" cap="flat" cmpd="sng" algn="ctr">
                <a:noFill/>
                <a:prstDash val="solid"/>
                <a:round/>
              </a:ln>
            </c:spPr>
          </c:marker>
          <c:dLbls>
            <c:delete val="1"/>
          </c:dLbls>
          <c:trendline>
            <c:trendlineType val="linear"/>
            <c:dispRSqr val="0"/>
            <c:dispEq val="0"/>
          </c:trendline>
          <c:xVal>
            <c:numRef>
              <c:f>iScatter!$W$19:$W$79</c:f>
              <c:numCache>
                <c:formatCode>General</c:formatCode>
                <c:ptCount val="61"/>
                <c:pt idx="0">
                  <c:v>76.9075622869516</c:v>
                </c:pt>
                <c:pt idx="1">
                  <c:v>87.26365184148</c:v>
                </c:pt>
                <c:pt idx="2">
                  <c:v>71.8968367863189</c:v>
                </c:pt>
                <c:pt idx="3">
                  <c:v>60.0526481789</c:v>
                </c:pt>
                <c:pt idx="4">
                  <c:v>83.7146072727325</c:v>
                </c:pt>
                <c:pt idx="5">
                  <c:v>72.0648727049485</c:v>
                </c:pt>
                <c:pt idx="6">
                  <c:v>61.3595461626815</c:v>
                </c:pt>
                <c:pt idx="7">
                  <c:v>83.0061449550164</c:v>
                </c:pt>
                <c:pt idx="8">
                  <c:v>76.3482567325707</c:v>
                </c:pt>
                <c:pt idx="9">
                  <c:v>58.3318815508511</c:v>
                </c:pt>
                <c:pt idx="10">
                  <c:v>55.2206246013062</c:v>
                </c:pt>
                <c:pt idx="11">
                  <c:v>61.1983208612297</c:v>
                </c:pt>
                <c:pt idx="12">
                  <c:v>82.2084414540222</c:v>
                </c:pt>
                <c:pt idx="13">
                  <c:v>78.72792026883</c:v>
                </c:pt>
                <c:pt idx="14">
                  <c:v>62.3376987406359</c:v>
                </c:pt>
                <c:pt idx="15">
                  <c:v>47.3725540843484</c:v>
                </c:pt>
                <c:pt idx="16">
                  <c:v>73.5941578880355</c:v>
                </c:pt>
                <c:pt idx="17">
                  <c:v>84.856365317326</c:v>
                </c:pt>
                <c:pt idx="18">
                  <c:v>54.3323116699598</c:v>
                </c:pt>
                <c:pt idx="19">
                  <c:v>86.2151497119042</c:v>
                </c:pt>
                <c:pt idx="20">
                  <c:v>65.2335954830484</c:v>
                </c:pt>
                <c:pt idx="21">
                  <c:v>53.392628751357</c:v>
                </c:pt>
                <c:pt idx="22">
                  <c:v>62.8027593796319</c:v>
                </c:pt>
                <c:pt idx="23">
                  <c:v>59.1742659320692</c:v>
                </c:pt>
                <c:pt idx="24">
                  <c:v>38.7737795060127</c:v>
                </c:pt>
                <c:pt idx="25">
                  <c:v>73.1127713624099</c:v>
                </c:pt>
                <c:pt idx="26">
                  <c:v>67.6137892324585</c:v>
                </c:pt>
                <c:pt idx="27">
                  <c:v>61.8984041015981</c:v>
                </c:pt>
                <c:pt idx="28">
                  <c:v>82.0960116014609</c:v>
                </c:pt>
                <c:pt idx="29">
                  <c:v>82.2630741993645</c:v>
                </c:pt>
                <c:pt idx="30">
                  <c:v>83.8763007180121</c:v>
                </c:pt>
                <c:pt idx="31">
                  <c:v>54.8612405257348</c:v>
                </c:pt>
                <c:pt idx="32">
                  <c:v>87.3034408940153</c:v>
                </c:pt>
                <c:pt idx="33">
                  <c:v>65.5192607721301</c:v>
                </c:pt>
                <c:pt idx="34">
                  <c:v>79.3002825401348</c:v>
                </c:pt>
                <c:pt idx="35">
                  <c:v>63.9940668909029</c:v>
                </c:pt>
                <c:pt idx="36">
                  <c:v>61.8400556388434</c:v>
                </c:pt>
                <c:pt idx="37">
                  <c:v>81.0121651371737</c:v>
                </c:pt>
                <c:pt idx="38">
                  <c:v>88.8650564291072</c:v>
                </c:pt>
                <c:pt idx="39">
                  <c:v>79.7132878977853</c:v>
                </c:pt>
                <c:pt idx="40">
                  <c:v>56.3875885986625</c:v>
                </c:pt>
                <c:pt idx="41">
                  <c:v>66.5377458964152</c:v>
                </c:pt>
                <c:pt idx="42">
                  <c:v>61.2274416918829</c:v>
                </c:pt>
                <c:pt idx="43">
                  <c:v>78.6744389612512</c:v>
                </c:pt>
                <c:pt idx="44">
                  <c:v>83.5529579436713</c:v>
                </c:pt>
                <c:pt idx="45">
                  <c:v>70.0251545363467</c:v>
                </c:pt>
                <c:pt idx="46">
                  <c:v>66.3048271427125</c:v>
                </c:pt>
                <c:pt idx="47">
                  <c:v>83.6051084788302</c:v>
                </c:pt>
                <c:pt idx="48">
                  <c:v>70.9283922590062</c:v>
                </c:pt>
                <c:pt idx="49">
                  <c:v>89.6376695961923</c:v>
                </c:pt>
                <c:pt idx="50">
                  <c:v>86.7165220056286</c:v>
                </c:pt>
                <c:pt idx="51">
                  <c:v>86.7359744709291</c:v>
                </c:pt>
                <c:pt idx="52">
                  <c:v>80.7020484094921</c:v>
                </c:pt>
                <c:pt idx="53">
                  <c:v>56.4934110813736</c:v>
                </c:pt>
                <c:pt idx="54">
                  <c:v>89.7970622963426</c:v>
                </c:pt>
                <c:pt idx="55">
                  <c:v>87.3597968868532</c:v>
                </c:pt>
                <c:pt idx="56">
                  <c:v>80.366206891911</c:v>
                </c:pt>
                <c:pt idx="57">
                  <c:v>83.1809690089348</c:v>
                </c:pt>
                <c:pt idx="58">
                  <c:v>46.4662143998747</c:v>
                </c:pt>
                <c:pt idx="59">
                  <c:v>85.1985461163896</c:v>
                </c:pt>
                <c:pt idx="60">
                  <c:v>#N/A</c:v>
                </c:pt>
              </c:numCache>
            </c:numRef>
          </c:xVal>
          <c:yVal>
            <c:numRef>
              <c:f>iScatter!$X$19:$X$79</c:f>
              <c:numCache>
                <c:formatCode>General</c:formatCode>
                <c:ptCount val="61"/>
                <c:pt idx="0">
                  <c:v>76.9075622869516</c:v>
                </c:pt>
                <c:pt idx="1">
                  <c:v>87.26365184148</c:v>
                </c:pt>
                <c:pt idx="2">
                  <c:v>71.8968367863189</c:v>
                </c:pt>
                <c:pt idx="3">
                  <c:v>60.0526481789</c:v>
                </c:pt>
                <c:pt idx="4">
                  <c:v>83.7146072727325</c:v>
                </c:pt>
                <c:pt idx="5">
                  <c:v>72.0648727049485</c:v>
                </c:pt>
                <c:pt idx="6">
                  <c:v>61.3595461626815</c:v>
                </c:pt>
                <c:pt idx="7">
                  <c:v>83.0061449550164</c:v>
                </c:pt>
                <c:pt idx="8">
                  <c:v>76.3482567325707</c:v>
                </c:pt>
                <c:pt idx="9">
                  <c:v>58.3318815508511</c:v>
                </c:pt>
                <c:pt idx="10">
                  <c:v>55.2206246013062</c:v>
                </c:pt>
                <c:pt idx="11">
                  <c:v>61.1983208612297</c:v>
                </c:pt>
                <c:pt idx="12">
                  <c:v>82.2084414540222</c:v>
                </c:pt>
                <c:pt idx="13">
                  <c:v>78.72792026883</c:v>
                </c:pt>
                <c:pt idx="14">
                  <c:v>62.3376987406359</c:v>
                </c:pt>
                <c:pt idx="15">
                  <c:v>47.3725540843484</c:v>
                </c:pt>
                <c:pt idx="16">
                  <c:v>73.5941578880355</c:v>
                </c:pt>
                <c:pt idx="17">
                  <c:v>84.856365317326</c:v>
                </c:pt>
                <c:pt idx="18">
                  <c:v>54.3323116699598</c:v>
                </c:pt>
                <c:pt idx="19">
                  <c:v>86.2151497119042</c:v>
                </c:pt>
                <c:pt idx="20">
                  <c:v>65.2335954830484</c:v>
                </c:pt>
                <c:pt idx="21">
                  <c:v>53.392628751357</c:v>
                </c:pt>
                <c:pt idx="22">
                  <c:v>62.8027593796319</c:v>
                </c:pt>
                <c:pt idx="23">
                  <c:v>59.1742659320692</c:v>
                </c:pt>
                <c:pt idx="24">
                  <c:v>38.7737795060127</c:v>
                </c:pt>
                <c:pt idx="25">
                  <c:v>73.1127713624099</c:v>
                </c:pt>
                <c:pt idx="26">
                  <c:v>67.6137892324585</c:v>
                </c:pt>
                <c:pt idx="27">
                  <c:v>61.8984041015981</c:v>
                </c:pt>
                <c:pt idx="28">
                  <c:v>82.0960116014609</c:v>
                </c:pt>
                <c:pt idx="29">
                  <c:v>82.2630741993645</c:v>
                </c:pt>
                <c:pt idx="30">
                  <c:v>83.8763007180121</c:v>
                </c:pt>
                <c:pt idx="31">
                  <c:v>54.8612405257348</c:v>
                </c:pt>
                <c:pt idx="32">
                  <c:v>87.3034408940153</c:v>
                </c:pt>
                <c:pt idx="33">
                  <c:v>65.5192607721301</c:v>
                </c:pt>
                <c:pt idx="34">
                  <c:v>79.3002825401348</c:v>
                </c:pt>
                <c:pt idx="35">
                  <c:v>63.9940668909029</c:v>
                </c:pt>
                <c:pt idx="36">
                  <c:v>61.8400556388434</c:v>
                </c:pt>
                <c:pt idx="37">
                  <c:v>81.0121651371737</c:v>
                </c:pt>
                <c:pt idx="38">
                  <c:v>88.8650564291072</c:v>
                </c:pt>
                <c:pt idx="39">
                  <c:v>79.7132878977853</c:v>
                </c:pt>
                <c:pt idx="40">
                  <c:v>56.3875885986625</c:v>
                </c:pt>
                <c:pt idx="41">
                  <c:v>66.5377458964152</c:v>
                </c:pt>
                <c:pt idx="42">
                  <c:v>61.2274416918829</c:v>
                </c:pt>
                <c:pt idx="43">
                  <c:v>78.6744389612512</c:v>
                </c:pt>
                <c:pt idx="44">
                  <c:v>83.5529579436713</c:v>
                </c:pt>
                <c:pt idx="45">
                  <c:v>70.0251545363467</c:v>
                </c:pt>
                <c:pt idx="46">
                  <c:v>66.3048271427125</c:v>
                </c:pt>
                <c:pt idx="47">
                  <c:v>83.6051084788302</c:v>
                </c:pt>
                <c:pt idx="48">
                  <c:v>70.9283922590062</c:v>
                </c:pt>
                <c:pt idx="49">
                  <c:v>89.6376695961923</c:v>
                </c:pt>
                <c:pt idx="50">
                  <c:v>86.7165220056286</c:v>
                </c:pt>
                <c:pt idx="51">
                  <c:v>86.7359744709291</c:v>
                </c:pt>
                <c:pt idx="52">
                  <c:v>80.7020484094921</c:v>
                </c:pt>
                <c:pt idx="53">
                  <c:v>56.4934110813736</c:v>
                </c:pt>
                <c:pt idx="54">
                  <c:v>89.7970622963426</c:v>
                </c:pt>
                <c:pt idx="55">
                  <c:v>87.3597968868532</c:v>
                </c:pt>
                <c:pt idx="56">
                  <c:v>80.366206891911</c:v>
                </c:pt>
                <c:pt idx="57">
                  <c:v>83.1809690089348</c:v>
                </c:pt>
                <c:pt idx="58">
                  <c:v>46.4662143998747</c:v>
                </c:pt>
                <c:pt idx="59">
                  <c:v>85.1985461163896</c:v>
                </c:pt>
                <c:pt idx="60">
                  <c:v>#N/A</c:v>
                </c:pt>
              </c:numCache>
            </c:numRef>
          </c:yVal>
          <c:smooth val="0"/>
        </c:ser>
        <c:ser>
          <c:idx val="1"/>
          <c:order val="1"/>
          <c:tx>
            <c:strRef>
              <c:f>"Highlighted"</c:f>
              <c:strCache>
                <c:ptCount val="1"/>
                <c:pt idx="0">
                  <c:v>Highlighted</c:v>
                </c:pt>
              </c:strCache>
            </c:strRef>
          </c:tx>
          <c:spPr>
            <a:ln w="28575" cap="rnd" cmpd="sng" algn="ctr">
              <a:noFill/>
              <a:prstDash val="solid"/>
              <a:round/>
            </a:ln>
          </c:spPr>
          <c:marker>
            <c:symbol val="diamond"/>
            <c:size val="8"/>
            <c:spPr>
              <a:solidFill>
                <a:srgbClr val="FF9900"/>
              </a:solidFill>
              <a:ln w="9525" cap="flat" cmpd="sng" algn="ctr">
                <a:solidFill>
                  <a:srgbClr val="FF9900"/>
                </a:solidFill>
                <a:prstDash val="solid"/>
                <a:round/>
              </a:ln>
            </c:spPr>
          </c:marker>
          <c:dLbls>
            <c:dLbl>
              <c:idx val="0"/>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1"/>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2"/>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3"/>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4"/>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5"/>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6"/>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7"/>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delete val="1"/>
            </c:dLbl>
            <c:dLbl>
              <c:idx val="25"/>
              <c:delete val="1"/>
            </c:dLbl>
            <c:dLbl>
              <c:idx val="26"/>
              <c:delete val="1"/>
            </c:dLbl>
            <c:dLbl>
              <c:idx val="27"/>
              <c:delete val="1"/>
            </c:dLbl>
            <c:dLbl>
              <c:idx val="28"/>
              <c:delete val="1"/>
            </c:dLbl>
            <c:dLbl>
              <c:idx val="29"/>
              <c:delete val="1"/>
            </c:dLbl>
            <c:dLbl>
              <c:idx val="30"/>
              <c:delete val="1"/>
            </c:dLbl>
            <c:dLbl>
              <c:idx val="31"/>
              <c:delete val="1"/>
            </c:dLbl>
            <c:dLbl>
              <c:idx val="32"/>
              <c:delete val="1"/>
            </c:dLbl>
            <c:dLbl>
              <c:idx val="33"/>
              <c:delete val="1"/>
            </c:dLbl>
            <c:dLbl>
              <c:idx val="34"/>
              <c:delete val="1"/>
            </c:dLbl>
            <c:dLbl>
              <c:idx val="35"/>
              <c:delete val="1"/>
            </c:dLbl>
            <c:dLbl>
              <c:idx val="36"/>
              <c:delete val="1"/>
            </c:dLbl>
            <c:dLbl>
              <c:idx val="37"/>
              <c:delete val="1"/>
            </c:dLbl>
            <c:dLbl>
              <c:idx val="38"/>
              <c:delete val="1"/>
            </c:dLbl>
            <c:dLbl>
              <c:idx val="39"/>
              <c:delete val="1"/>
            </c:dLbl>
            <c:dLbl>
              <c:idx val="40"/>
              <c:delete val="1"/>
            </c:dLbl>
            <c:dLbl>
              <c:idx val="41"/>
              <c:delete val="1"/>
            </c:dLbl>
            <c:dLbl>
              <c:idx val="42"/>
              <c:delete val="1"/>
            </c:dLbl>
            <c:dLbl>
              <c:idx val="43"/>
              <c:delete val="1"/>
            </c:dLbl>
            <c:dLbl>
              <c:idx val="44"/>
              <c:delete val="1"/>
            </c:dLbl>
            <c:dLbl>
              <c:idx val="45"/>
              <c:delete val="1"/>
            </c:dLbl>
            <c:dLbl>
              <c:idx val="46"/>
              <c:delete val="1"/>
            </c:dLbl>
            <c:dLbl>
              <c:idx val="47"/>
              <c:delete val="1"/>
            </c:dLbl>
            <c:dLbl>
              <c:idx val="48"/>
              <c:delete val="1"/>
            </c:dLbl>
            <c:dLbl>
              <c:idx val="49"/>
              <c:delete val="1"/>
            </c:dLbl>
            <c:dLbl>
              <c:idx val="50"/>
              <c:delete val="1"/>
            </c:dLbl>
            <c:dLbl>
              <c:idx val="51"/>
              <c:delete val="1"/>
            </c:dLbl>
            <c:dLbl>
              <c:idx val="52"/>
              <c:delete val="1"/>
            </c:dLbl>
            <c:dLbl>
              <c:idx val="53"/>
              <c:delete val="1"/>
            </c:dLbl>
            <c:dLbl>
              <c:idx val="54"/>
              <c:delete val="1"/>
            </c:dLbl>
            <c:dLbl>
              <c:idx val="55"/>
              <c:delete val="1"/>
            </c:dLbl>
            <c:dLbl>
              <c:idx val="56"/>
              <c:delete val="1"/>
            </c:dLbl>
            <c:dLbl>
              <c:idx val="57"/>
              <c:delete val="1"/>
            </c:dLbl>
            <c:dLbl>
              <c:idx val="58"/>
              <c:delete val="1"/>
            </c:dLbl>
            <c:dLbl>
              <c:idx val="59"/>
              <c:delete val="1"/>
            </c:dLbl>
            <c:dLbl>
              <c:idx val="60"/>
              <c:delete val="1"/>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xVal>
            <c:numRef>
              <c:f>iScatter!$Z$19:$Z$79</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iScatter!$AA$19:$AA$79</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yVal>
          <c:smooth val="0"/>
        </c:ser>
        <c:ser>
          <c:idx val="2"/>
          <c:order val="2"/>
          <c:tx>
            <c:strRef>
              <c:f>"Labels"</c:f>
              <c:strCache>
                <c:ptCount val="1"/>
                <c:pt idx="0">
                  <c:v>Labels</c:v>
                </c:pt>
              </c:strCache>
            </c:strRef>
          </c:tx>
          <c:spPr>
            <a:ln w="28575" cap="rnd" cmpd="sng" algn="ctr">
              <a:noFill/>
              <a:prstDash val="solid"/>
              <a:round/>
            </a:ln>
          </c:spPr>
          <c:marker>
            <c:symbol val="none"/>
          </c:marker>
          <c:dLbls>
            <c:dLbl>
              <c:idx val="0"/>
              <c:layout/>
              <c:tx>
                <c:strRef>
                  <c:f>iScatter!$B$19</c:f>
                  <c:strCache>
                    <c:ptCount val="1"/>
                    <c:pt idx="0">
                      <c:v>Abu Dhabi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
              <c:layout/>
              <c:tx>
                <c:strRef>
                  <c:f>iScatter!$B$20</c:f>
                  <c:strCache>
                    <c:ptCount val="1"/>
                    <c:pt idx="0">
                      <c:v>Amsterdam</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
              <c:layout/>
              <c:tx>
                <c:strRef>
                  <c:f>iScatter!$B$21</c:f>
                  <c:strCache>
                    <c:ptCount val="1"/>
                    <c:pt idx="0">
                      <c:v>Athens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
              <c:layout/>
              <c:tx>
                <c:strRef>
                  <c:f>iScatter!$B$22</c:f>
                  <c:strCache>
                    <c:ptCount val="1"/>
                    <c:pt idx="0">
                      <c:v>Bangkok</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
              <c:layout/>
              <c:tx>
                <c:strRef>
                  <c:f>iScatter!$B$23</c:f>
                  <c:strCache>
                    <c:ptCount val="1"/>
                    <c:pt idx="0">
                      <c:v>Barcelona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
              <c:layout/>
              <c:tx>
                <c:strRef>
                  <c:f>iScatter!$B$24</c:f>
                  <c:strCache>
                    <c:ptCount val="1"/>
                    <c:pt idx="0">
                      <c:v>Beijing</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6"/>
              <c:layout/>
              <c:tx>
                <c:strRef>
                  <c:f>iScatter!$B$25</c:f>
                  <c:strCache>
                    <c:ptCount val="1"/>
                    <c:pt idx="0">
                      <c:v>Bogota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7"/>
              <c:layout/>
              <c:tx>
                <c:strRef>
                  <c:f>iScatter!$B$26</c:f>
                  <c:strCache>
                    <c:ptCount val="1"/>
                    <c:pt idx="0">
                      <c:v>Brussels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8"/>
              <c:layout/>
              <c:tx>
                <c:strRef>
                  <c:f>iScatter!$B$27</c:f>
                  <c:strCache>
                    <c:ptCount val="1"/>
                    <c:pt idx="0">
                      <c:v>Buenos Aires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9"/>
              <c:layout/>
              <c:tx>
                <c:strRef>
                  <c:f>iScatter!$B$28</c:f>
                  <c:strCache>
                    <c:ptCount val="1"/>
                    <c:pt idx="0">
                      <c:v>Cairo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0"/>
              <c:layout/>
              <c:tx>
                <c:strRef>
                  <c:f>iScatter!$B$29</c:f>
                  <c:strCache>
                    <c:ptCount val="1"/>
                    <c:pt idx="0">
                      <c:v>Caracas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1"/>
              <c:layout/>
              <c:tx>
                <c:strRef>
                  <c:f>iScatter!$B$30</c:f>
                  <c:strCache>
                    <c:ptCount val="1"/>
                    <c:pt idx="0">
                      <c:v>Casablanca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2"/>
              <c:layout/>
              <c:tx>
                <c:strRef>
                  <c:f>iScatter!$B$31</c:f>
                  <c:strCache>
                    <c:ptCount val="1"/>
                    <c:pt idx="0">
                      <c:v>Chicago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3"/>
              <c:layout/>
              <c:tx>
                <c:strRef>
                  <c:f>iScatter!$B$32</c:f>
                  <c:strCache>
                    <c:ptCount val="1"/>
                    <c:pt idx="0">
                      <c:v>Dallas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4"/>
              <c:layout/>
              <c:tx>
                <c:strRef>
                  <c:f>iScatter!$B$33</c:f>
                  <c:strCache>
                    <c:ptCount val="1"/>
                    <c:pt idx="0">
                      <c:v>Delhi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5"/>
              <c:layout/>
              <c:tx>
                <c:strRef>
                  <c:f>iScatter!$B$34</c:f>
                  <c:strCache>
                    <c:ptCount val="1"/>
                    <c:pt idx="0">
                      <c:v>Dhaka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6"/>
              <c:layout/>
              <c:tx>
                <c:strRef>
                  <c:f>iScatter!$B$35</c:f>
                  <c:strCache>
                    <c:ptCount val="1"/>
                    <c:pt idx="0">
                      <c:v>Doha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7"/>
              <c:layout/>
              <c:tx>
                <c:strRef>
                  <c:f>iScatter!$B$36</c:f>
                  <c:strCache>
                    <c:ptCount val="1"/>
                    <c:pt idx="0">
                      <c:v>Frankfurt</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8"/>
              <c:layout/>
              <c:tx>
                <c:strRef>
                  <c:f>iScatter!$B$37</c:f>
                  <c:strCache>
                    <c:ptCount val="1"/>
                    <c:pt idx="0">
                      <c:v>Ho Chi Minh City</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9"/>
              <c:layout/>
              <c:tx>
                <c:strRef>
                  <c:f>iScatter!$B$38</c:f>
                  <c:strCache>
                    <c:ptCount val="1"/>
                    <c:pt idx="0">
                      <c:v>Hong Kong</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0"/>
              <c:layout/>
              <c:tx>
                <c:strRef>
                  <c:f>iScatter!$B$39</c:f>
                  <c:strCache>
                    <c:ptCount val="1"/>
                    <c:pt idx="0">
                      <c:v>Istanbul</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1"/>
              <c:layout/>
              <c:tx>
                <c:strRef>
                  <c:f>iScatter!$B$40</c:f>
                  <c:strCache>
                    <c:ptCount val="1"/>
                    <c:pt idx="0">
                      <c:v>Jakarta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2"/>
              <c:layout/>
              <c:tx>
                <c:strRef>
                  <c:f>iScatter!$B$41</c:f>
                  <c:strCache>
                    <c:ptCount val="1"/>
                    <c:pt idx="0">
                      <c:v>Jeddah</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3"/>
              <c:layout/>
              <c:tx>
                <c:strRef>
                  <c:f>iScatter!$B$42</c:f>
                  <c:strCache>
                    <c:ptCount val="1"/>
                    <c:pt idx="0">
                      <c:v>Johannesburg</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4"/>
              <c:layout/>
              <c:tx>
                <c:strRef>
                  <c:f>iScatter!$B$43</c:f>
                  <c:strCache>
                    <c:ptCount val="1"/>
                    <c:pt idx="0">
                      <c:v>Karachi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5"/>
              <c:layout/>
              <c:tx>
                <c:strRef>
                  <c:f>iScatter!$B$44</c:f>
                  <c:strCache>
                    <c:ptCount val="1"/>
                    <c:pt idx="0">
                      <c:v>Kuala Lumpur</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6"/>
              <c:layout/>
              <c:tx>
                <c:strRef>
                  <c:f>iScatter!$B$45</c:f>
                  <c:strCache>
                    <c:ptCount val="1"/>
                    <c:pt idx="0">
                      <c:v>Kuwait City</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7"/>
              <c:layout/>
              <c:tx>
                <c:strRef>
                  <c:f>iScatter!$B$46</c:f>
                  <c:strCache>
                    <c:ptCount val="1"/>
                    <c:pt idx="0">
                      <c:v>Lima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8"/>
              <c:layout/>
              <c:tx>
                <c:strRef>
                  <c:f>iScatter!$B$47</c:f>
                  <c:strCache>
                    <c:ptCount val="1"/>
                    <c:pt idx="0">
                      <c:v>London</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9"/>
              <c:layout/>
              <c:tx>
                <c:strRef>
                  <c:f>iScatter!$B$48</c:f>
                  <c:strCache>
                    <c:ptCount val="1"/>
                    <c:pt idx="0">
                      <c:v>Los Angeles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0"/>
              <c:layout/>
              <c:tx>
                <c:strRef>
                  <c:f>iScatter!$B$49</c:f>
                  <c:strCache>
                    <c:ptCount val="1"/>
                    <c:pt idx="0">
                      <c:v>Madrid</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1"/>
              <c:layout/>
              <c:tx>
                <c:strRef>
                  <c:f>iScatter!$B$50</c:f>
                  <c:strCache>
                    <c:ptCount val="1"/>
                    <c:pt idx="0">
                      <c:v>Manila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2"/>
              <c:layout/>
              <c:tx>
                <c:strRef>
                  <c:f>iScatter!$B$51</c:f>
                  <c:strCache>
                    <c:ptCount val="1"/>
                    <c:pt idx="0">
                      <c:v>Melbourne</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3"/>
              <c:layout/>
              <c:tx>
                <c:strRef>
                  <c:f>iScatter!$B$52</c:f>
                  <c:strCache>
                    <c:ptCount val="1"/>
                    <c:pt idx="0">
                      <c:v>Mexico City</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4"/>
              <c:layout/>
              <c:tx>
                <c:strRef>
                  <c:f>iScatter!$B$53</c:f>
                  <c:strCache>
                    <c:ptCount val="1"/>
                    <c:pt idx="0">
                      <c:v>Milan</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5"/>
              <c:layout/>
              <c:tx>
                <c:strRef>
                  <c:f>iScatter!$B$54</c:f>
                  <c:strCache>
                    <c:ptCount val="1"/>
                    <c:pt idx="0">
                      <c:v>Moscow</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6"/>
              <c:layout/>
              <c:tx>
                <c:strRef>
                  <c:f>iScatter!$B$55</c:f>
                  <c:strCache>
                    <c:ptCount val="1"/>
                    <c:pt idx="0">
                      <c:v>Mumbai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7"/>
              <c:layout/>
              <c:tx>
                <c:strRef>
                  <c:f>iScatter!$B$56</c:f>
                  <c:strCache>
                    <c:ptCount val="1"/>
                    <c:pt idx="0">
                      <c:v>New York</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8"/>
              <c:layout/>
              <c:tx>
                <c:strRef>
                  <c:f>iScatter!$B$57</c:f>
                  <c:strCache>
                    <c:ptCount val="1"/>
                    <c:pt idx="0">
                      <c:v>Osaka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9"/>
              <c:layout/>
              <c:tx>
                <c:strRef>
                  <c:f>iScatter!$B$58</c:f>
                  <c:strCache>
                    <c:ptCount val="1"/>
                    <c:pt idx="0">
                      <c:v>Paris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0"/>
              <c:layout/>
              <c:tx>
                <c:strRef>
                  <c:f>iScatter!$B$59</c:f>
                  <c:strCache>
                    <c:ptCount val="1"/>
                    <c:pt idx="0">
                      <c:v>Quito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1"/>
              <c:layout/>
              <c:tx>
                <c:strRef>
                  <c:f>iScatter!$B$60</c:f>
                  <c:strCache>
                    <c:ptCount val="1"/>
                    <c:pt idx="0">
                      <c:v>Rio de Janeiro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2"/>
              <c:layout/>
              <c:tx>
                <c:strRef>
                  <c:f>iScatter!$B$61</c:f>
                  <c:strCache>
                    <c:ptCount val="1"/>
                    <c:pt idx="0">
                      <c:v>Riyadh</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3"/>
              <c:layout/>
              <c:tx>
                <c:strRef>
                  <c:f>iScatter!$B$62</c:f>
                  <c:strCache>
                    <c:ptCount val="1"/>
                    <c:pt idx="0">
                      <c:v>Rome</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4"/>
              <c:layout/>
              <c:tx>
                <c:strRef>
                  <c:f>iScatter!$B$63</c:f>
                  <c:strCache>
                    <c:ptCount val="1"/>
                    <c:pt idx="0">
                      <c:v>San Francisco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5"/>
              <c:layout/>
              <c:tx>
                <c:strRef>
                  <c:f>iScatter!$B$64</c:f>
                  <c:strCache>
                    <c:ptCount val="1"/>
                    <c:pt idx="0">
                      <c:v>Santiago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6"/>
              <c:layout/>
              <c:tx>
                <c:strRef>
                  <c:f>iScatter!$B$65</c:f>
                  <c:strCache>
                    <c:ptCount val="1"/>
                    <c:pt idx="0">
                      <c:v>Sao Paulo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7"/>
              <c:layout/>
              <c:tx>
                <c:strRef>
                  <c:f>iScatter!$B$66</c:f>
                  <c:strCache>
                    <c:ptCount val="1"/>
                    <c:pt idx="0">
                      <c:v>Seoul</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8"/>
              <c:layout/>
              <c:tx>
                <c:strRef>
                  <c:f>iScatter!$B$67</c:f>
                  <c:strCache>
                    <c:ptCount val="1"/>
                    <c:pt idx="0">
                      <c:v>Shanghai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9"/>
              <c:layout/>
              <c:tx>
                <c:strRef>
                  <c:f>iScatter!$B$68</c:f>
                  <c:strCache>
                    <c:ptCount val="1"/>
                    <c:pt idx="0">
                      <c:v>Singapore</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0"/>
              <c:layout/>
              <c:tx>
                <c:strRef>
                  <c:f>iScatter!$B$69</c:f>
                  <c:strCache>
                    <c:ptCount val="1"/>
                    <c:pt idx="0">
                      <c:v>Stockholm</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1"/>
              <c:layout/>
              <c:tx>
                <c:strRef>
                  <c:f>iScatter!$B$70</c:f>
                  <c:strCache>
                    <c:ptCount val="1"/>
                    <c:pt idx="0">
                      <c:v>Sydney</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2"/>
              <c:layout/>
              <c:tx>
                <c:strRef>
                  <c:f>iScatter!$B$71</c:f>
                  <c:strCache>
                    <c:ptCount val="1"/>
                    <c:pt idx="0">
                      <c:v>Taipei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3"/>
              <c:layout/>
              <c:tx>
                <c:strRef>
                  <c:f>iScatter!$B$72</c:f>
                  <c:strCache>
                    <c:ptCount val="1"/>
                    <c:pt idx="0">
                      <c:v>Tehran</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4"/>
              <c:layout/>
              <c:tx>
                <c:strRef>
                  <c:f>iScatter!$B$73</c:f>
                  <c:strCache>
                    <c:ptCount val="1"/>
                    <c:pt idx="0">
                      <c:v>Tokyo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5"/>
              <c:layout/>
              <c:tx>
                <c:strRef>
                  <c:f>iScatter!$B$74</c:f>
                  <c:strCache>
                    <c:ptCount val="1"/>
                    <c:pt idx="0">
                      <c:v>Toronto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6"/>
              <c:layout/>
              <c:tx>
                <c:strRef>
                  <c:f>iScatter!$B$75</c:f>
                  <c:strCache>
                    <c:ptCount val="1"/>
                    <c:pt idx="0">
                      <c:v>Washington DC</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7"/>
              <c:layout/>
              <c:tx>
                <c:strRef>
                  <c:f>iScatter!$B$76</c:f>
                  <c:strCache>
                    <c:ptCount val="1"/>
                    <c:pt idx="0">
                      <c:v>Wellington</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8"/>
              <c:layout/>
              <c:tx>
                <c:strRef>
                  <c:f>iScatter!$B$77</c:f>
                  <c:strCache>
                    <c:ptCount val="1"/>
                    <c:pt idx="0">
                      <c:v>Yangon</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9"/>
              <c:layout/>
              <c:tx>
                <c:strRef>
                  <c:f>iScatter!$B$78</c:f>
                  <c:strCache>
                    <c:ptCount val="1"/>
                    <c:pt idx="0">
                      <c:v>Zurich</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60"/>
              <c:layout/>
              <c:tx>
                <c:strRef>
                  <c:f>iScatter!$B$79</c:f>
                  <c:strCache>
                    <c:ptCount val="1"/>
                    <c:pt idx="0">
                      <c:v>Kyoto</c:v>
                    </c:pt>
                  </c:strCache>
                </c:strRef>
              </c:tx>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xVal>
            <c:numRef>
              <c:f>iScatter!$T$19:$T$79</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iScatter!$U$19:$U$79</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yVal>
          <c:smooth val="0"/>
        </c:ser>
        <c:ser>
          <c:idx val="4"/>
          <c:order val="3"/>
          <c:tx>
            <c:strRef>
              <c:f>iScatter!$O$23</c:f>
              <c:strCache>
                <c:ptCount val="1"/>
                <c:pt idx="0">
                  <c:v>#N/A</c:v>
                </c:pt>
              </c:strCache>
            </c:strRef>
          </c:tx>
          <c:spPr>
            <a:ln w="28575" cap="rnd" cmpd="sng" algn="ctr">
              <a:noFill/>
              <a:prstDash val="solid"/>
              <a:round/>
            </a:ln>
          </c:spPr>
          <c:marker>
            <c:symbol val="circle"/>
            <c:size val="7"/>
            <c:spPr>
              <a:solidFill>
                <a:srgbClr val="31659C"/>
              </a:solidFill>
              <a:ln w="9525" cap="flat" cmpd="sng" algn="ctr">
                <a:noFill/>
                <a:prstDash val="solid"/>
                <a:round/>
              </a:ln>
            </c:spPr>
          </c:marker>
          <c:dLbls>
            <c:dLbl>
              <c:idx val="0"/>
              <c:layout/>
              <c:numFmt formatCode="General" sourceLinked="1"/>
              <c:spPr>
                <a:noFill/>
                <a:ln w="25400">
                  <a:noFill/>
                </a:ln>
                <a:effectLst/>
              </c:spPr>
              <c:txPr>
                <a:bodyPr rot="0" spcFirstLastPara="0" vertOverflow="ellipsis" vert="horz" wrap="square" lIns="38100" tIns="19050" rIns="38100" bIns="19050" anchor="ctr" anchorCtr="1"/>
                <a:lstStyle/>
                <a:p>
                  <a:pPr>
                    <a:defRPr lang="en-US" sz="900" b="0" i="0" u="none" strike="noStrike" kern="1200" baseline="0">
                      <a:solidFill>
                        <a:srgbClr val="31659C"/>
                      </a:solidFill>
                      <a:latin typeface="Calibri" panose="020F0502020204030204"/>
                      <a:ea typeface="Calibri" panose="020F0502020204030204"/>
                      <a:cs typeface="Calibri" panose="020F0502020204030204"/>
                    </a:defRPr>
                  </a:pPr>
                </a:p>
              </c:txPr>
              <c:dLblPos val="r"/>
              <c:showLegendKey val="0"/>
              <c:showVal val="0"/>
              <c:showCatName val="0"/>
              <c:showSerName val="1"/>
              <c:showPercent val="0"/>
              <c:showBubbleSize val="0"/>
              <c:extLs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900" b="0" i="0" u="none" strike="noStrike" kern="1200" baseline="0">
                    <a:solidFill>
                      <a:srgbClr val="31659C"/>
                    </a:solidFill>
                    <a:latin typeface="Calibri" panose="020F0502020204030204"/>
                    <a:ea typeface="Calibri" panose="020F0502020204030204"/>
                    <a:cs typeface="Calibri" panose="020F0502020204030204"/>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xVal>
            <c:numRef>
              <c:f>iScatter!$P$23</c:f>
              <c:numCache>
                <c:formatCode>General</c:formatCode>
                <c:ptCount val="1"/>
                <c:pt idx="0">
                  <c:v>#N/A</c:v>
                </c:pt>
              </c:numCache>
            </c:numRef>
          </c:xVal>
          <c:yVal>
            <c:numRef>
              <c:f>iScatter!$Q$23</c:f>
              <c:numCache>
                <c:formatCode>General</c:formatCode>
                <c:ptCount val="1"/>
                <c:pt idx="0">
                  <c:v>#N/A</c:v>
                </c:pt>
              </c:numCache>
            </c:numRef>
          </c:yVal>
          <c:smooth val="0"/>
        </c:ser>
        <c:ser>
          <c:idx val="5"/>
          <c:order val="4"/>
          <c:tx>
            <c:strRef>
              <c:f>iScatter!$O$27</c:f>
              <c:strCache>
                <c:ptCount val="1"/>
                <c:pt idx="0">
                  <c:v>#N/A</c:v>
                </c:pt>
              </c:strCache>
            </c:strRef>
          </c:tx>
          <c:spPr>
            <a:ln w="28575" cap="rnd" cmpd="sng" algn="ctr">
              <a:noFill/>
              <a:prstDash val="solid"/>
              <a:round/>
            </a:ln>
          </c:spPr>
          <c:marker>
            <c:symbol val="circle"/>
            <c:size val="7"/>
            <c:spPr>
              <a:solidFill>
                <a:srgbClr val="31659C"/>
              </a:solidFill>
              <a:ln w="9525" cap="flat" cmpd="sng" algn="ctr">
                <a:noFill/>
                <a:prstDash val="solid"/>
                <a:round/>
              </a:ln>
            </c:spPr>
          </c:marker>
          <c:dLbls>
            <c:dLbl>
              <c:idx val="0"/>
              <c:layout/>
              <c:tx>
                <c:strRef>
                  <c:f>iScatter!$B$19</c:f>
                  <c:strCache>
                    <c:ptCount val="1"/>
                    <c:pt idx="0">
                      <c:v>Abu Dhabi</c:v>
                    </c:pt>
                  </c:strCache>
                </c:strRef>
              </c:tx>
              <c:dLblPos val="r"/>
              <c:showLegendKey val="0"/>
              <c:showVal val="0"/>
              <c:showCatName val="0"/>
              <c:showSerName val="1"/>
              <c:showPercent val="0"/>
              <c:showBubbleSize val="0"/>
              <c:extLs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900" b="0" i="0" u="none" strike="noStrike" kern="1200" baseline="0">
                    <a:solidFill>
                      <a:srgbClr val="31659C"/>
                    </a:solidFill>
                    <a:latin typeface="Calibri" panose="020F0502020204030204"/>
                    <a:ea typeface="Calibri" panose="020F0502020204030204"/>
                    <a:cs typeface="Calibri" panose="020F0502020204030204"/>
                  </a:defRPr>
                </a:pPr>
              </a:p>
            </c:txPr>
            <c:dLblPos val="r"/>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iScatter!$P$27</c:f>
              <c:numCache>
                <c:formatCode>General</c:formatCode>
                <c:ptCount val="1"/>
                <c:pt idx="0">
                  <c:v>#N/A</c:v>
                </c:pt>
              </c:numCache>
            </c:numRef>
          </c:xVal>
          <c:yVal>
            <c:numRef>
              <c:f>iScatter!$Q$27</c:f>
              <c:numCache>
                <c:formatCode>General</c:formatCode>
                <c:ptCount val="1"/>
                <c:pt idx="0">
                  <c:v>#N/A</c:v>
                </c:pt>
              </c:numCache>
            </c:numRef>
          </c:yVal>
          <c:smooth val="0"/>
        </c:ser>
        <c:ser>
          <c:idx val="3"/>
          <c:order val="5"/>
          <c:tx>
            <c:strRef>
              <c:f>iScatter!$O$19</c:f>
              <c:strCache>
                <c:ptCount val="1"/>
                <c:pt idx="0">
                  <c:v>&lt;none&gt;</c:v>
                </c:pt>
              </c:strCache>
            </c:strRef>
          </c:tx>
          <c:spPr>
            <a:ln w="28575" cap="rnd" cmpd="sng" algn="ctr">
              <a:noFill/>
              <a:prstDash val="solid"/>
              <a:round/>
            </a:ln>
          </c:spPr>
          <c:marker>
            <c:symbol val="circle"/>
            <c:size val="6"/>
            <c:spPr>
              <a:solidFill>
                <a:srgbClr val="FF0000"/>
              </a:solidFill>
              <a:ln w="9525" cap="flat" cmpd="sng" algn="ctr">
                <a:noFill/>
                <a:prstDash val="solid"/>
                <a:round/>
              </a:ln>
            </c:spPr>
          </c:marker>
          <c:dLbls>
            <c:dLbl>
              <c:idx val="0"/>
              <c:layout/>
              <c:tx>
                <c:strRef>
                  <c:f>iScatter!$O$19</c:f>
                  <c:strCache>
                    <c:ptCount val="1"/>
                    <c:pt idx="0">
                      <c:v>&lt;none&gt;</c:v>
                    </c:pt>
                  </c:strCache>
                </c:strRef>
              </c:tx>
              <c:dLblPos val="r"/>
              <c:showLegendKey val="0"/>
              <c:showVal val="0"/>
              <c:showCatName val="0"/>
              <c:showSerName val="1"/>
              <c:showPercent val="0"/>
              <c:showBubbleSize val="0"/>
              <c:extLs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FF0000"/>
                    </a:solidFill>
                    <a:latin typeface="Calibri" panose="020F0502020204030204"/>
                    <a:ea typeface="Calibri" panose="020F0502020204030204"/>
                    <a:cs typeface="Calibri" panose="020F0502020204030204"/>
                  </a:defRPr>
                </a:pPr>
              </a:p>
            </c:txPr>
            <c:dLblPos val="r"/>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iScatter!$P$19</c:f>
              <c:numCache>
                <c:formatCode>General</c:formatCode>
                <c:ptCount val="1"/>
                <c:pt idx="0">
                  <c:v>#N/A</c:v>
                </c:pt>
              </c:numCache>
            </c:numRef>
          </c:xVal>
          <c:yVal>
            <c:numRef>
              <c:f>iScatter!$Q$19</c:f>
              <c:numCache>
                <c:formatCode>General</c:formatCode>
                <c:ptCount val="1"/>
                <c:pt idx="0">
                  <c:v>#N/A</c:v>
                </c:pt>
              </c:numCache>
            </c:numRef>
          </c:yVal>
          <c:smooth val="0"/>
        </c:ser>
        <c:dLbls>
          <c:showLegendKey val="0"/>
          <c:showVal val="0"/>
          <c:showCatName val="0"/>
          <c:showSerName val="0"/>
          <c:showPercent val="0"/>
          <c:showBubbleSize val="0"/>
        </c:dLbls>
        <c:axId val="439040256"/>
        <c:axId val="438935552"/>
      </c:scatterChart>
      <c:valAx>
        <c:axId val="439040256"/>
        <c:scaling>
          <c:orientation val="minMax"/>
        </c:scaling>
        <c:delete val="0"/>
        <c:axPos val="b"/>
        <c:majorGridlines>
          <c:spPr>
            <a:ln w="9525" cap="flat" cmpd="sng" algn="ctr">
              <a:solidFill>
                <a:schemeClr val="bg1">
                  <a:lumMod val="85000"/>
                </a:schemeClr>
              </a:solidFill>
              <a:prstDash val="solid"/>
              <a:round/>
            </a:ln>
          </c:spPr>
        </c:majorGridlines>
        <c:title>
          <c:tx>
            <c:strRef>
              <c:f>iScatter!$B$10</c:f>
              <c:strCache>
                <c:ptCount val="1"/>
                <c:pt idx="0">
                  <c:v>OVERALL SCORE</c:v>
                </c:pt>
              </c:strCache>
            </c:strRef>
          </c:tx>
          <c:layout/>
          <c:overlay val="0"/>
          <c:spPr>
            <a:noFill/>
            <a:ln w="25400">
              <a:noFill/>
            </a:ln>
          </c:spPr>
        </c:title>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1000" b="0" i="0" u="none" strike="noStrike" kern="1200" baseline="0">
                <a:solidFill>
                  <a:srgbClr val="969696"/>
                </a:solidFill>
                <a:latin typeface="Calibri" panose="020F0502020204030204"/>
                <a:ea typeface="Calibri" panose="020F0502020204030204"/>
                <a:cs typeface="Calibri" panose="020F0502020204030204"/>
              </a:defRPr>
            </a:pPr>
          </a:p>
        </c:txPr>
        <c:crossAx val="438935552"/>
        <c:crosses val="autoZero"/>
        <c:crossBetween val="midCat"/>
      </c:valAx>
      <c:valAx>
        <c:axId val="438935552"/>
        <c:scaling>
          <c:orientation val="minMax"/>
        </c:scaling>
        <c:delete val="0"/>
        <c:axPos val="l"/>
        <c:majorGridlines>
          <c:spPr>
            <a:ln w="9525" cap="flat" cmpd="sng" algn="ctr">
              <a:solidFill>
                <a:schemeClr val="bg1">
                  <a:lumMod val="85000"/>
                </a:schemeClr>
              </a:solidFill>
              <a:prstDash val="solid"/>
              <a:round/>
            </a:ln>
          </c:spPr>
        </c:majorGridlines>
        <c:title>
          <c:tx>
            <c:strRef>
              <c:f>iScatter!$B$10</c:f>
              <c:strCache>
                <c:ptCount val="1"/>
                <c:pt idx="0">
                  <c:v>OVERALL SCORE</c:v>
                </c:pt>
              </c:strCache>
            </c:strRef>
          </c:tx>
          <c:layout>
            <c:manualLayout>
              <c:xMode val="edge"/>
              <c:yMode val="edge"/>
              <c:x val="0.057847009031332"/>
              <c:y val="0.203260695110641"/>
            </c:manualLayout>
          </c:layout>
          <c:overlay val="0"/>
          <c:spPr>
            <a:noFill/>
            <a:ln w="25400">
              <a:noFill/>
            </a:ln>
          </c:spPr>
        </c:title>
        <c:numFmt formatCode="General"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1000" b="0" i="0" u="none" strike="noStrike" kern="1200" baseline="0">
                <a:solidFill>
                  <a:srgbClr val="969696"/>
                </a:solidFill>
                <a:latin typeface="Calibri" panose="020F0502020204030204"/>
                <a:ea typeface="Calibri" panose="020F0502020204030204"/>
                <a:cs typeface="Calibri" panose="020F0502020204030204"/>
              </a:defRPr>
            </a:pPr>
          </a:p>
        </c:txPr>
        <c:crossAx val="439040256"/>
        <c:crosses val="autoZero"/>
        <c:crossBetween val="midCat"/>
      </c:valAx>
      <c:spPr>
        <a:solidFill>
          <a:schemeClr val="accent6">
            <a:lumMod val="20000"/>
            <a:lumOff val="80000"/>
            <a:alpha val="30000"/>
          </a:schemeClr>
        </a:solidFill>
        <a:ln w="25400">
          <a:noFill/>
        </a:ln>
      </c:spPr>
    </c:plotArea>
    <c:plotVisOnly val="1"/>
    <c:dispBlanksAs val="gap"/>
    <c:showDLblsOverMax val="0"/>
  </c:chart>
  <c:spPr>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iCityScoreCard!$AH$6:$AH$66</c:f>
              <c:numCache>
                <c:formatCode>General</c:formatCode>
                <c:ptCount val="61"/>
                <c:pt idx="0">
                  <c:v>88.47233916716</c:v>
                </c:pt>
                <c:pt idx="1">
                  <c:v>78.6768365386855</c:v>
                </c:pt>
                <c:pt idx="2">
                  <c:v>85.8885732648221</c:v>
                </c:pt>
                <c:pt idx="3">
                  <c:v>80.6631787288569</c:v>
                </c:pt>
                <c:pt idx="4">
                  <c:v>76.6341257088476</c:v>
                </c:pt>
                <c:pt idx="5">
                  <c:v>91.581420063715</c:v>
                </c:pt>
                <c:pt idx="6">
                  <c:v>75.9140598016387</c:v>
                </c:pt>
                <c:pt idx="7">
                  <c:v>90.6135490989646</c:v>
                </c:pt>
                <c:pt idx="8">
                  <c:v>71.5487041835432</c:v>
                </c:pt>
                <c:pt idx="9">
                  <c:v>80.9539626276761</c:v>
                </c:pt>
                <c:pt idx="10">
                  <c:v>81.0008704326114</c:v>
                </c:pt>
                <c:pt idx="11">
                  <c:v>68.8829344649958</c:v>
                </c:pt>
                <c:pt idx="12">
                  <c:v>68.8829344649958</c:v>
                </c:pt>
                <c:pt idx="13">
                  <c:v>90.1820003736209</c:v>
                </c:pt>
                <c:pt idx="14">
                  <c:v>70.2394199861029</c:v>
                </c:pt>
                <c:pt idx="15">
                  <c:v>81.2687094091745</c:v>
                </c:pt>
                <c:pt idx="16">
                  <c:v>79.9263203149653</c:v>
                </c:pt>
                <c:pt idx="17">
                  <c:v>70.2394199861029</c:v>
                </c:pt>
                <c:pt idx="18">
                  <c:v>73.5008949775786</c:v>
                </c:pt>
                <c:pt idx="19">
                  <c:v>66.7270163685102</c:v>
                </c:pt>
                <c:pt idx="20">
                  <c:v>69.900565441534</c:v>
                </c:pt>
                <c:pt idx="21">
                  <c:v>43.6212212501698</c:v>
                </c:pt>
                <c:pt idx="22">
                  <c:v>71.764265436663</c:v>
                </c:pt>
                <c:pt idx="23">
                  <c:v>67.4135306914681</c:v>
                </c:pt>
                <c:pt idx="24">
                  <c:v>63.245978498612</c:v>
                </c:pt>
                <c:pt idx="25">
                  <c:v>69.3075699885384</c:v>
                </c:pt>
                <c:pt idx="26">
                  <c:v>63.245978498612</c:v>
                </c:pt>
                <c:pt idx="27">
                  <c:v>74.2150882505875</c:v>
                </c:pt>
                <c:pt idx="28">
                  <c:v>81.6193386466095</c:v>
                </c:pt>
                <c:pt idx="29">
                  <c:v>69.7034285143048</c:v>
                </c:pt>
                <c:pt idx="30">
                  <c:v>74.0010961144802</c:v>
                </c:pt>
                <c:pt idx="31">
                  <c:v>67.4191728998378</c:v>
                </c:pt>
                <c:pt idx="32">
                  <c:v>63.8764642222547</c:v>
                </c:pt>
                <c:pt idx="33">
                  <c:v>65.5131160866378</c:v>
                </c:pt>
                <c:pt idx="34">
                  <c:v>62.7980596341641</c:v>
                </c:pt>
                <c:pt idx="35">
                  <c:v>78.6667195122139</c:v>
                </c:pt>
                <c:pt idx="36">
                  <c:v>60.5914718403423</c:v>
                </c:pt>
                <c:pt idx="37">
                  <c:v>60.5914718403423</c:v>
                </c:pt>
                <c:pt idx="38">
                  <c:v>49.0473294346234</c:v>
                </c:pt>
                <c:pt idx="39">
                  <c:v>63.4129117309004</c:v>
                </c:pt>
                <c:pt idx="40">
                  <c:v>56.3892491329993</c:v>
                </c:pt>
                <c:pt idx="41">
                  <c:v>73.3878405441158</c:v>
                </c:pt>
                <c:pt idx="42">
                  <c:v>45.8778432177515</c:v>
                </c:pt>
                <c:pt idx="43">
                  <c:v>61.2245567888449</c:v>
                </c:pt>
                <c:pt idx="44">
                  <c:v>45.8778432177515</c:v>
                </c:pt>
                <c:pt idx="45">
                  <c:v>67.5786932272712</c:v>
                </c:pt>
                <c:pt idx="46">
                  <c:v>73.3878405441158</c:v>
                </c:pt>
                <c:pt idx="47">
                  <c:v>68.077889952751</c:v>
                </c:pt>
                <c:pt idx="48">
                  <c:v>60.5529125700813</c:v>
                </c:pt>
                <c:pt idx="49">
                  <c:v>74.2225000966826</c:v>
                </c:pt>
                <c:pt idx="50">
                  <c:v>59.9197056318446</c:v>
                </c:pt>
                <c:pt idx="51">
                  <c:v>63.1030714558244</c:v>
                </c:pt>
                <c:pt idx="52">
                  <c:v>72.9635620344263</c:v>
                </c:pt>
                <c:pt idx="53">
                  <c:v>70.1064630550185</c:v>
                </c:pt>
                <c:pt idx="54">
                  <c:v>41.5517019163507</c:v>
                </c:pt>
                <c:pt idx="55">
                  <c:v>57.8977993515404</c:v>
                </c:pt>
                <c:pt idx="56">
                  <c:v>44.8756478841065</c:v>
                </c:pt>
                <c:pt idx="57">
                  <c:v>50</c:v>
                </c:pt>
                <c:pt idx="58">
                  <c:v>61.4677378705957</c:v>
                </c:pt>
                <c:pt idx="59">
                  <c:v>51.4351193956541</c:v>
                </c:pt>
                <c:pt idx="60">
                  <c:v>#N/A</c:v>
                </c:pt>
              </c:numCache>
            </c:numRef>
          </c:xVal>
          <c:yVal>
            <c:numRef>
              <c:f>iCityScoreCard!$AI$6:$AI$66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iCityScoreCard!$AG$70</c:f>
              <c:numCache>
                <c:formatCode>General</c:formatCode>
                <c:ptCount val="1"/>
                <c:pt idx="0">
                  <c:v>74.2150882505875</c:v>
                </c:pt>
              </c:numCache>
            </c:numRef>
          </c:xVal>
          <c:yVal>
            <c:numRef>
              <c:f>iCityScoreCard!$AF$70</c:f>
              <c:numCache>
                <c:formatCode>General</c:formatCode>
                <c:ptCount val="1"/>
                <c:pt idx="0">
                  <c:v>1</c:v>
                </c:pt>
              </c:numCache>
            </c:numRef>
          </c:yVal>
          <c:smooth val="0"/>
        </c:ser>
        <c:ser>
          <c:idx val="2"/>
          <c:order val="2"/>
          <c:spPr>
            <a:ln w="28575" cap="rnd" cmpd="sng" algn="ctr">
              <a:noFill/>
              <a:prstDash val="solid"/>
              <a:round/>
            </a:ln>
          </c:spPr>
          <c:marker>
            <c:symbol val="diamond"/>
            <c:size val="7"/>
            <c:spPr>
              <a:solidFill>
                <a:srgbClr val="C00000"/>
              </a:solidFill>
              <a:ln w="9525" cap="flat" cmpd="sng" algn="ctr">
                <a:solidFill>
                  <a:srgbClr val="C00000"/>
                </a:solidFill>
                <a:prstDash val="solid"/>
                <a:round/>
              </a:ln>
            </c:spPr>
          </c:marker>
          <c:dPt>
            <c:idx val="22"/>
            <c:marker>
              <c:symbol val="diamond"/>
              <c:size val="7"/>
              <c:spPr>
                <a:solidFill>
                  <a:srgbClr val="E3120B"/>
                </a:solidFill>
                <a:ln w="9525" cap="flat" cmpd="sng" algn="ctr">
                  <a:solidFill>
                    <a:srgbClr val="C00000"/>
                  </a:solidFill>
                  <a:prstDash val="solid"/>
                  <a:round/>
                </a:ln>
              </c:spPr>
            </c:marker>
            <c:bubble3D val="0"/>
          </c:dPt>
          <c:dLbls>
            <c:delete val="1"/>
          </c:dLbls>
          <c:xVal>
            <c:numRef>
              <c:f>iCityScoreCard!$AJ$6:$AJ$66</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iCityScoreCard!$AI$6:$AI$66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dLbls>
          <c:showLegendKey val="0"/>
          <c:showVal val="0"/>
          <c:showCatName val="0"/>
          <c:showSerName val="0"/>
          <c:showPercent val="0"/>
          <c:showBubbleSize val="0"/>
        </c:dLbls>
        <c:axId val="452639744"/>
        <c:axId val="452645632"/>
      </c:scatterChart>
      <c:valAx>
        <c:axId val="452639744"/>
        <c:scaling>
          <c:orientation val="minMax"/>
          <c:max val="100"/>
          <c:min val="0"/>
        </c:scaling>
        <c:delete val="1"/>
        <c:axPos val="b"/>
        <c:majorGridlines/>
        <c:numFmt formatCode="#,##0" sourceLinked="0"/>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645632"/>
        <c:crosses val="autoZero"/>
        <c:crossBetween val="midCat"/>
        <c:majorUnit val="10"/>
      </c:valAx>
      <c:valAx>
        <c:axId val="452645632"/>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639744"/>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iCityScoreCard!$AN$6:$AN$66</c:f>
              <c:numCache>
                <c:formatCode>General</c:formatCode>
                <c:ptCount val="61"/>
                <c:pt idx="0">
                  <c:v>85.6254192700744</c:v>
                </c:pt>
                <c:pt idx="1">
                  <c:v>79.7204264778452</c:v>
                </c:pt>
                <c:pt idx="2">
                  <c:v>87.1482616413409</c:v>
                </c:pt>
                <c:pt idx="3">
                  <c:v>79.8359516843624</c:v>
                </c:pt>
                <c:pt idx="4">
                  <c:v>81.3391869794216</c:v>
                </c:pt>
                <c:pt idx="5">
                  <c:v>79.7932254038547</c:v>
                </c:pt>
                <c:pt idx="6">
                  <c:v>81.7986033130295</c:v>
                </c:pt>
                <c:pt idx="7">
                  <c:v>79.9430805624143</c:v>
                </c:pt>
                <c:pt idx="8">
                  <c:v>73.2917363465489</c:v>
                </c:pt>
                <c:pt idx="9">
                  <c:v>83.3857572780462</c:v>
                </c:pt>
                <c:pt idx="10">
                  <c:v>84.0633016902858</c:v>
                </c:pt>
                <c:pt idx="11">
                  <c:v>78.6915054456037</c:v>
                </c:pt>
                <c:pt idx="12">
                  <c:v>78.5411276097704</c:v>
                </c:pt>
                <c:pt idx="13">
                  <c:v>82.7224155922812</c:v>
                </c:pt>
                <c:pt idx="14">
                  <c:v>74.1470061961219</c:v>
                </c:pt>
                <c:pt idx="15">
                  <c:v>69.5127604898796</c:v>
                </c:pt>
                <c:pt idx="16">
                  <c:v>81.4126196569291</c:v>
                </c:pt>
                <c:pt idx="17">
                  <c:v>72.2636540212726</c:v>
                </c:pt>
                <c:pt idx="18">
                  <c:v>71.7808287167097</c:v>
                </c:pt>
                <c:pt idx="19">
                  <c:v>76.0642876445033</c:v>
                </c:pt>
                <c:pt idx="20">
                  <c:v>69.7300246464941</c:v>
                </c:pt>
                <c:pt idx="21">
                  <c:v>79.2262317869643</c:v>
                </c:pt>
                <c:pt idx="22">
                  <c:v>73.3784180107914</c:v>
                </c:pt>
                <c:pt idx="23">
                  <c:v>81.3513942026754</c:v>
                </c:pt>
                <c:pt idx="24">
                  <c:v>76.7221090946216</c:v>
                </c:pt>
                <c:pt idx="25">
                  <c:v>70.2733087872303</c:v>
                </c:pt>
                <c:pt idx="26">
                  <c:v>76.3781291129955</c:v>
                </c:pt>
                <c:pt idx="27">
                  <c:v>68.5404322865189</c:v>
                </c:pt>
                <c:pt idx="28">
                  <c:v>74.8441020956128</c:v>
                </c:pt>
                <c:pt idx="29">
                  <c:v>62.6022311014463</c:v>
                </c:pt>
                <c:pt idx="30">
                  <c:v>67.1493273990489</c:v>
                </c:pt>
                <c:pt idx="31">
                  <c:v>67.6294169135286</c:v>
                </c:pt>
                <c:pt idx="32">
                  <c:v>74.5716076702999</c:v>
                </c:pt>
                <c:pt idx="33">
                  <c:v>69.9217059101635</c:v>
                </c:pt>
                <c:pt idx="34">
                  <c:v>67.1662319709746</c:v>
                </c:pt>
                <c:pt idx="35">
                  <c:v>63.8103578590452</c:v>
                </c:pt>
                <c:pt idx="36">
                  <c:v>64.8041839567064</c:v>
                </c:pt>
                <c:pt idx="37">
                  <c:v>63.7395189240267</c:v>
                </c:pt>
                <c:pt idx="38">
                  <c:v>70.7886932164127</c:v>
                </c:pt>
                <c:pt idx="39">
                  <c:v>62.5983055141362</c:v>
                </c:pt>
                <c:pt idx="40">
                  <c:v>72.5922613624171</c:v>
                </c:pt>
                <c:pt idx="41">
                  <c:v>63.5595116955628</c:v>
                </c:pt>
                <c:pt idx="42">
                  <c:v>59.6494460841144</c:v>
                </c:pt>
                <c:pt idx="43">
                  <c:v>62.4800665576582</c:v>
                </c:pt>
                <c:pt idx="44">
                  <c:v>55.7426683048991</c:v>
                </c:pt>
                <c:pt idx="45">
                  <c:v>65.3739668546807</c:v>
                </c:pt>
                <c:pt idx="46">
                  <c:v>66.1348096614954</c:v>
                </c:pt>
                <c:pt idx="47">
                  <c:v>58.5216055295972</c:v>
                </c:pt>
                <c:pt idx="48">
                  <c:v>66.6373895667999</c:v>
                </c:pt>
                <c:pt idx="49">
                  <c:v>57.7085752751893</c:v>
                </c:pt>
                <c:pt idx="50">
                  <c:v>52.2806390395639</c:v>
                </c:pt>
                <c:pt idx="51">
                  <c:v>62.962229439847</c:v>
                </c:pt>
                <c:pt idx="52">
                  <c:v>57.464131117582</c:v>
                </c:pt>
                <c:pt idx="53">
                  <c:v>56.7224351756007</c:v>
                </c:pt>
                <c:pt idx="54">
                  <c:v>60.1191675579554</c:v>
                </c:pt>
                <c:pt idx="55">
                  <c:v>61.287417956729</c:v>
                </c:pt>
                <c:pt idx="56">
                  <c:v>54.4048711125749</c:v>
                </c:pt>
                <c:pt idx="57">
                  <c:v>45.5859282500325</c:v>
                </c:pt>
                <c:pt idx="58">
                  <c:v>45.7892310322449</c:v>
                </c:pt>
                <c:pt idx="59">
                  <c:v>39.9212106600053</c:v>
                </c:pt>
                <c:pt idx="60">
                  <c:v>#N/A</c:v>
                </c:pt>
              </c:numCache>
            </c:numRef>
          </c:xVal>
          <c:yVal>
            <c:numRef>
              <c:f>iCityScoreCard!$AO$6:$AO$66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iCityScoreCard!$AM$70</c:f>
              <c:numCache>
                <c:formatCode>General</c:formatCode>
                <c:ptCount val="1"/>
                <c:pt idx="0">
                  <c:v>68.5404322865189</c:v>
                </c:pt>
              </c:numCache>
            </c:numRef>
          </c:xVal>
          <c:yVal>
            <c:numRef>
              <c:f>iCityScoreCard!$AL$70</c:f>
              <c:numCache>
                <c:formatCode>General</c:formatCode>
                <c:ptCount val="1"/>
                <c:pt idx="0">
                  <c:v>1</c:v>
                </c:pt>
              </c:numCache>
            </c:numRef>
          </c:yVal>
          <c:smooth val="0"/>
        </c:ser>
        <c:ser>
          <c:idx val="2"/>
          <c:order val="2"/>
          <c:spPr>
            <a:ln w="28575" cap="rnd" cmpd="sng" algn="ctr">
              <a:noFill/>
              <a:prstDash val="solid"/>
              <a:round/>
            </a:ln>
          </c:spPr>
          <c:marker>
            <c:symbol val="diamond"/>
            <c:size val="7"/>
            <c:spPr>
              <a:solidFill>
                <a:srgbClr val="C00000"/>
              </a:solidFill>
              <a:ln w="9525" cap="flat" cmpd="sng" algn="ctr">
                <a:solidFill>
                  <a:srgbClr val="C00000"/>
                </a:solidFill>
                <a:prstDash val="solid"/>
                <a:round/>
              </a:ln>
            </c:spPr>
          </c:marker>
          <c:dPt>
            <c:idx val="22"/>
            <c:marker>
              <c:symbol val="diamond"/>
              <c:size val="7"/>
              <c:spPr>
                <a:solidFill>
                  <a:srgbClr val="E3120B"/>
                </a:solidFill>
                <a:ln w="9525" cap="flat" cmpd="sng" algn="ctr">
                  <a:solidFill>
                    <a:srgbClr val="C00000"/>
                  </a:solidFill>
                  <a:prstDash val="solid"/>
                  <a:round/>
                </a:ln>
              </c:spPr>
            </c:marker>
            <c:bubble3D val="0"/>
          </c:dPt>
          <c:dLbls>
            <c:delete val="1"/>
          </c:dLbls>
          <c:xVal>
            <c:numRef>
              <c:f>iCityScoreCard!$AP$6:$AP$66</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iCityScoreCard!$AO$6:$AO$66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dLbls>
          <c:showLegendKey val="0"/>
          <c:showVal val="0"/>
          <c:showCatName val="0"/>
          <c:showSerName val="0"/>
          <c:showPercent val="0"/>
          <c:showBubbleSize val="0"/>
        </c:dLbls>
        <c:axId val="452672896"/>
        <c:axId val="452686976"/>
      </c:scatterChart>
      <c:valAx>
        <c:axId val="452672896"/>
        <c:scaling>
          <c:orientation val="minMax"/>
        </c:scaling>
        <c:delete val="1"/>
        <c:axPos val="b"/>
        <c:majorGridlines/>
        <c:numFmt formatCode="#,##0" sourceLinked="0"/>
        <c:majorTickMark val="out"/>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686976"/>
        <c:crosses val="autoZero"/>
        <c:crossBetween val="midCat"/>
      </c:valAx>
      <c:valAx>
        <c:axId val="452686976"/>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672896"/>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iCityScoreCard!$AT$6:$AT$66</c:f>
              <c:numCache>
                <c:formatCode>General</c:formatCode>
                <c:ptCount val="61"/>
                <c:pt idx="0">
                  <c:v>83.362633240243</c:v>
                </c:pt>
                <c:pt idx="1">
                  <c:v>71.2263225473796</c:v>
                </c:pt>
                <c:pt idx="2">
                  <c:v>86.898317982776</c:v>
                </c:pt>
                <c:pt idx="3">
                  <c:v>74.0143932141794</c:v>
                </c:pt>
                <c:pt idx="4">
                  <c:v>75.1781169234014</c:v>
                </c:pt>
                <c:pt idx="5">
                  <c:v>78.9490953407521</c:v>
                </c:pt>
                <c:pt idx="6">
                  <c:v>75.953310721851</c:v>
                </c:pt>
                <c:pt idx="7">
                  <c:v>71.4680335960549</c:v>
                </c:pt>
                <c:pt idx="8">
                  <c:v>72.8916040804561</c:v>
                </c:pt>
                <c:pt idx="9">
                  <c:v>78.9559648583492</c:v>
                </c:pt>
                <c:pt idx="10">
                  <c:v>84.1613461233051</c:v>
                </c:pt>
                <c:pt idx="11">
                  <c:v>71.7760894328803</c:v>
                </c:pt>
                <c:pt idx="12">
                  <c:v>73.8594227662136</c:v>
                </c:pt>
                <c:pt idx="13">
                  <c:v>80.3904175006326</c:v>
                </c:pt>
                <c:pt idx="14">
                  <c:v>69.019125234351</c:v>
                </c:pt>
                <c:pt idx="15">
                  <c:v>69.5056233240216</c:v>
                </c:pt>
                <c:pt idx="16">
                  <c:v>80.6628407448346</c:v>
                </c:pt>
                <c:pt idx="17">
                  <c:v>69.7943190328006</c:v>
                </c:pt>
                <c:pt idx="18">
                  <c:v>70.1642895040257</c:v>
                </c:pt>
                <c:pt idx="19">
                  <c:v>68.7409713070388</c:v>
                </c:pt>
                <c:pt idx="20">
                  <c:v>72.8691930212223</c:v>
                </c:pt>
                <c:pt idx="21">
                  <c:v>76.2388327805633</c:v>
                </c:pt>
                <c:pt idx="22">
                  <c:v>82.2262611235088</c:v>
                </c:pt>
                <c:pt idx="23">
                  <c:v>81.0396404923111</c:v>
                </c:pt>
                <c:pt idx="24">
                  <c:v>70.7468664432695</c:v>
                </c:pt>
                <c:pt idx="25">
                  <c:v>64.8946930166738</c:v>
                </c:pt>
                <c:pt idx="26">
                  <c:v>68.4212850479207</c:v>
                </c:pt>
                <c:pt idx="27">
                  <c:v>55.909058022829</c:v>
                </c:pt>
                <c:pt idx="28">
                  <c:v>73.199281005837</c:v>
                </c:pt>
                <c:pt idx="29">
                  <c:v>50.1266823396416</c:v>
                </c:pt>
                <c:pt idx="30">
                  <c:v>54.1709826029143</c:v>
                </c:pt>
                <c:pt idx="31">
                  <c:v>69.4909260892918</c:v>
                </c:pt>
                <c:pt idx="32">
                  <c:v>64.9250190551349</c:v>
                </c:pt>
                <c:pt idx="33">
                  <c:v>66.3188159299108</c:v>
                </c:pt>
                <c:pt idx="34">
                  <c:v>52.8502114247849</c:v>
                </c:pt>
                <c:pt idx="35">
                  <c:v>50.8562276538544</c:v>
                </c:pt>
                <c:pt idx="36">
                  <c:v>55.4654213174176</c:v>
                </c:pt>
                <c:pt idx="37">
                  <c:v>56.5765324285288</c:v>
                </c:pt>
                <c:pt idx="38">
                  <c:v>58.9227066230165</c:v>
                </c:pt>
                <c:pt idx="39">
                  <c:v>53.4329949341218</c:v>
                </c:pt>
                <c:pt idx="40">
                  <c:v>74.0238227958988</c:v>
                </c:pt>
                <c:pt idx="41">
                  <c:v>50.2155614882312</c:v>
                </c:pt>
                <c:pt idx="42">
                  <c:v>57.2648415184866</c:v>
                </c:pt>
                <c:pt idx="43">
                  <c:v>55.056674171826</c:v>
                </c:pt>
                <c:pt idx="44">
                  <c:v>45.3321028271603</c:v>
                </c:pt>
                <c:pt idx="45">
                  <c:v>53.2468341093019</c:v>
                </c:pt>
                <c:pt idx="46">
                  <c:v>51.4107841184679</c:v>
                </c:pt>
                <c:pt idx="47">
                  <c:v>43.2719596563894</c:v>
                </c:pt>
                <c:pt idx="48">
                  <c:v>55.2751432727975</c:v>
                </c:pt>
                <c:pt idx="49">
                  <c:v>56.1681196644119</c:v>
                </c:pt>
                <c:pt idx="50">
                  <c:v>42.3683923150598</c:v>
                </c:pt>
                <c:pt idx="51">
                  <c:v>48.7357546453666</c:v>
                </c:pt>
                <c:pt idx="52">
                  <c:v>39.9681840680895</c:v>
                </c:pt>
                <c:pt idx="53">
                  <c:v>39.2820646609329</c:v>
                </c:pt>
                <c:pt idx="54">
                  <c:v>45.8735524568811</c:v>
                </c:pt>
                <c:pt idx="55">
                  <c:v>47.7723947866165</c:v>
                </c:pt>
                <c:pt idx="56">
                  <c:v>39.7552494248035</c:v>
                </c:pt>
                <c:pt idx="57">
                  <c:v>28.6196079891908</c:v>
                </c:pt>
                <c:pt idx="58">
                  <c:v>35.8823904298325</c:v>
                </c:pt>
                <c:pt idx="59">
                  <c:v>31.691486179433</c:v>
                </c:pt>
                <c:pt idx="60">
                  <c:v>#N/A</c:v>
                </c:pt>
              </c:numCache>
            </c:numRef>
          </c:xVal>
          <c:yVal>
            <c:numRef>
              <c:f>iCityScoreCard!$AU$6:$AU$66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iCityScoreCard!$AS$70</c:f>
              <c:numCache>
                <c:formatCode>General</c:formatCode>
                <c:ptCount val="1"/>
                <c:pt idx="0">
                  <c:v>55.909058022829</c:v>
                </c:pt>
              </c:numCache>
            </c:numRef>
          </c:xVal>
          <c:yVal>
            <c:numRef>
              <c:f>iCityScoreCard!$AR$70</c:f>
              <c:numCache>
                <c:formatCode>General</c:formatCode>
                <c:ptCount val="1"/>
                <c:pt idx="0">
                  <c:v>1</c:v>
                </c:pt>
              </c:numCache>
            </c:numRef>
          </c:yVal>
          <c:smooth val="0"/>
        </c:ser>
        <c:ser>
          <c:idx val="2"/>
          <c:order val="2"/>
          <c:spPr>
            <a:ln w="28575" cap="rnd" cmpd="sng" algn="ctr">
              <a:noFill/>
              <a:prstDash val="solid"/>
              <a:round/>
            </a:ln>
          </c:spPr>
          <c:marker>
            <c:symbol val="diamond"/>
            <c:size val="7"/>
            <c:spPr>
              <a:solidFill>
                <a:srgbClr val="C00000"/>
              </a:solidFill>
              <a:ln w="9525" cap="flat" cmpd="sng" algn="ctr">
                <a:solidFill>
                  <a:srgbClr val="C00000"/>
                </a:solidFill>
                <a:prstDash val="solid"/>
                <a:round/>
              </a:ln>
            </c:spPr>
          </c:marker>
          <c:dPt>
            <c:idx val="22"/>
            <c:marker>
              <c:symbol val="diamond"/>
              <c:size val="7"/>
              <c:spPr>
                <a:solidFill>
                  <a:srgbClr val="E3120B"/>
                </a:solidFill>
                <a:ln w="9525" cap="flat" cmpd="sng" algn="ctr">
                  <a:solidFill>
                    <a:srgbClr val="C00000"/>
                  </a:solidFill>
                  <a:prstDash val="solid"/>
                  <a:round/>
                </a:ln>
              </c:spPr>
            </c:marker>
            <c:bubble3D val="0"/>
          </c:dPt>
          <c:dLbls>
            <c:delete val="1"/>
          </c:dLbls>
          <c:xVal>
            <c:numRef>
              <c:f>iCityScoreCard!$AV$6:$AV$66</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iCityScoreCard!$AU$6:$AU$66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dLbls>
          <c:showLegendKey val="0"/>
          <c:showVal val="0"/>
          <c:showCatName val="0"/>
          <c:showSerName val="0"/>
          <c:showPercent val="0"/>
          <c:showBubbleSize val="0"/>
        </c:dLbls>
        <c:axId val="452804992"/>
        <c:axId val="452806528"/>
      </c:scatterChart>
      <c:valAx>
        <c:axId val="452804992"/>
        <c:scaling>
          <c:orientation val="minMax"/>
          <c:max val="100"/>
          <c:min val="0"/>
        </c:scaling>
        <c:delete val="1"/>
        <c:axPos val="b"/>
        <c:majorGridlines/>
        <c:numFmt formatCode="#,##0" sourceLinked="0"/>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806528"/>
        <c:crosses val="autoZero"/>
        <c:crossBetween val="midCat"/>
        <c:majorUnit val="10"/>
      </c:valAx>
      <c:valAx>
        <c:axId val="452806528"/>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804992"/>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iCityScoreCard!$AZ$6:$AZ$66</c:f>
              <c:numCache>
                <c:formatCode>General</c:formatCode>
                <c:ptCount val="61"/>
                <c:pt idx="0">
                  <c:v>87.8882052999057</c:v>
                </c:pt>
                <c:pt idx="1">
                  <c:v>88.2145304083107</c:v>
                </c:pt>
                <c:pt idx="2">
                  <c:v>87.3982052999057</c:v>
                </c:pt>
                <c:pt idx="3">
                  <c:v>85.6575101545455</c:v>
                </c:pt>
                <c:pt idx="4">
                  <c:v>87.5002570354419</c:v>
                </c:pt>
                <c:pt idx="5">
                  <c:v>80.6373554669572</c:v>
                </c:pt>
                <c:pt idx="6">
                  <c:v>87.643895904208</c:v>
                </c:pt>
                <c:pt idx="7">
                  <c:v>88.4181275287736</c:v>
                </c:pt>
                <c:pt idx="8">
                  <c:v>73.6918686126416</c:v>
                </c:pt>
                <c:pt idx="9">
                  <c:v>87.8155496977432</c:v>
                </c:pt>
                <c:pt idx="10">
                  <c:v>83.9652572572665</c:v>
                </c:pt>
                <c:pt idx="11">
                  <c:v>85.6069214583271</c:v>
                </c:pt>
                <c:pt idx="12">
                  <c:v>83.2228324533271</c:v>
                </c:pt>
                <c:pt idx="13">
                  <c:v>85.0544136839298</c:v>
                </c:pt>
                <c:pt idx="14">
                  <c:v>79.2748871578928</c:v>
                </c:pt>
                <c:pt idx="15">
                  <c:v>69.5198976557376</c:v>
                </c:pt>
                <c:pt idx="16">
                  <c:v>82.1623985690235</c:v>
                </c:pt>
                <c:pt idx="17">
                  <c:v>74.7329890097446</c:v>
                </c:pt>
                <c:pt idx="18">
                  <c:v>73.3973679293937</c:v>
                </c:pt>
                <c:pt idx="19">
                  <c:v>83.3876039819678</c:v>
                </c:pt>
                <c:pt idx="20">
                  <c:v>66.5908562717659</c:v>
                </c:pt>
                <c:pt idx="21">
                  <c:v>82.2136307933653</c:v>
                </c:pt>
                <c:pt idx="22">
                  <c:v>64.5305748980739</c:v>
                </c:pt>
                <c:pt idx="23">
                  <c:v>81.6631479130396</c:v>
                </c:pt>
                <c:pt idx="24">
                  <c:v>82.6973517459736</c:v>
                </c:pt>
                <c:pt idx="25">
                  <c:v>75.6519245577867</c:v>
                </c:pt>
                <c:pt idx="26">
                  <c:v>84.3349731780704</c:v>
                </c:pt>
                <c:pt idx="27">
                  <c:v>81.1718065502088</c:v>
                </c:pt>
                <c:pt idx="28">
                  <c:v>76.4889231853885</c:v>
                </c:pt>
                <c:pt idx="29">
                  <c:v>75.077779863251</c:v>
                </c:pt>
                <c:pt idx="30">
                  <c:v>80.1276721951836</c:v>
                </c:pt>
                <c:pt idx="31">
                  <c:v>65.7679077377655</c:v>
                </c:pt>
                <c:pt idx="32">
                  <c:v>84.2181962854649</c:v>
                </c:pt>
                <c:pt idx="33">
                  <c:v>73.5245958904163</c:v>
                </c:pt>
                <c:pt idx="34">
                  <c:v>81.4822525171642</c:v>
                </c:pt>
                <c:pt idx="35">
                  <c:v>76.7644880642359</c:v>
                </c:pt>
                <c:pt idx="36">
                  <c:v>74.1429465959952</c:v>
                </c:pt>
                <c:pt idx="37">
                  <c:v>70.9025054195246</c:v>
                </c:pt>
                <c:pt idx="38">
                  <c:v>82.6546798098089</c:v>
                </c:pt>
                <c:pt idx="39">
                  <c:v>71.7636160941507</c:v>
                </c:pt>
                <c:pt idx="40">
                  <c:v>71.1606999289354</c:v>
                </c:pt>
                <c:pt idx="41">
                  <c:v>76.9034619028943</c:v>
                </c:pt>
                <c:pt idx="42">
                  <c:v>62.0340506497421</c:v>
                </c:pt>
                <c:pt idx="43">
                  <c:v>69.9034589434905</c:v>
                </c:pt>
                <c:pt idx="44">
                  <c:v>66.153233782638</c:v>
                </c:pt>
                <c:pt idx="45">
                  <c:v>77.5010996000594</c:v>
                </c:pt>
                <c:pt idx="46">
                  <c:v>80.8588352045229</c:v>
                </c:pt>
                <c:pt idx="47">
                  <c:v>73.7712514028051</c:v>
                </c:pt>
                <c:pt idx="48">
                  <c:v>77.9996358608022</c:v>
                </c:pt>
                <c:pt idx="49">
                  <c:v>59.2490308859667</c:v>
                </c:pt>
                <c:pt idx="50">
                  <c:v>62.192885764068</c:v>
                </c:pt>
                <c:pt idx="51">
                  <c:v>77.1887042343273</c:v>
                </c:pt>
                <c:pt idx="52">
                  <c:v>74.9600781670746</c:v>
                </c:pt>
                <c:pt idx="53">
                  <c:v>74.1628056902685</c:v>
                </c:pt>
                <c:pt idx="54">
                  <c:v>74.3647826590297</c:v>
                </c:pt>
                <c:pt idx="55">
                  <c:v>74.8024411268416</c:v>
                </c:pt>
                <c:pt idx="56">
                  <c:v>69.0544928003463</c:v>
                </c:pt>
                <c:pt idx="57">
                  <c:v>62.5522485108742</c:v>
                </c:pt>
                <c:pt idx="58">
                  <c:v>55.6960716346574</c:v>
                </c:pt>
                <c:pt idx="59">
                  <c:v>48.1509351405775</c:v>
                </c:pt>
                <c:pt idx="60">
                  <c:v>#N/A</c:v>
                </c:pt>
              </c:numCache>
            </c:numRef>
          </c:xVal>
          <c:yVal>
            <c:numRef>
              <c:f>iCityScoreCard!$BA$6:$BA$66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iCityScoreCard!$AY$70</c:f>
              <c:numCache>
                <c:formatCode>General</c:formatCode>
                <c:ptCount val="1"/>
                <c:pt idx="0">
                  <c:v>81.1718065502088</c:v>
                </c:pt>
              </c:numCache>
            </c:numRef>
          </c:xVal>
          <c:yVal>
            <c:numRef>
              <c:f>iCityScoreCard!$AX$70</c:f>
              <c:numCache>
                <c:formatCode>General</c:formatCode>
                <c:ptCount val="1"/>
                <c:pt idx="0">
                  <c:v>1</c:v>
                </c:pt>
              </c:numCache>
            </c:numRef>
          </c:yVal>
          <c:smooth val="0"/>
        </c:ser>
        <c:ser>
          <c:idx val="2"/>
          <c:order val="2"/>
          <c:spPr>
            <a:ln w="28575" cap="rnd" cmpd="sng" algn="ctr">
              <a:noFill/>
              <a:prstDash val="solid"/>
              <a:round/>
            </a:ln>
          </c:spPr>
          <c:marker>
            <c:symbol val="diamond"/>
            <c:size val="7"/>
            <c:spPr>
              <a:solidFill>
                <a:srgbClr val="C00000"/>
              </a:solidFill>
              <a:ln w="9525" cap="flat" cmpd="sng" algn="ctr">
                <a:solidFill>
                  <a:srgbClr val="C00000"/>
                </a:solidFill>
                <a:prstDash val="solid"/>
                <a:round/>
              </a:ln>
            </c:spPr>
          </c:marker>
          <c:dPt>
            <c:idx val="22"/>
            <c:marker>
              <c:symbol val="diamond"/>
              <c:size val="7"/>
              <c:spPr>
                <a:solidFill>
                  <a:srgbClr val="E3120B"/>
                </a:solidFill>
                <a:ln w="9525" cap="flat" cmpd="sng" algn="ctr">
                  <a:solidFill>
                    <a:srgbClr val="C00000"/>
                  </a:solidFill>
                  <a:prstDash val="solid"/>
                  <a:round/>
                </a:ln>
              </c:spPr>
            </c:marker>
            <c:bubble3D val="0"/>
          </c:dPt>
          <c:dLbls>
            <c:delete val="1"/>
          </c:dLbls>
          <c:xVal>
            <c:numRef>
              <c:f>iCityScoreCard!$BB$6:$BB$66</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iCityScoreCard!$BA$6:$BA$66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dLbls>
          <c:showLegendKey val="0"/>
          <c:showVal val="0"/>
          <c:showCatName val="0"/>
          <c:showSerName val="0"/>
          <c:showPercent val="0"/>
          <c:showBubbleSize val="0"/>
        </c:dLbls>
        <c:axId val="452846720"/>
        <c:axId val="452848256"/>
      </c:scatterChart>
      <c:valAx>
        <c:axId val="452846720"/>
        <c:scaling>
          <c:orientation val="minMax"/>
          <c:max val="100"/>
          <c:min val="0"/>
        </c:scaling>
        <c:delete val="1"/>
        <c:axPos val="b"/>
        <c:majorGridlines/>
        <c:numFmt formatCode="#,##0" sourceLinked="0"/>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848256"/>
        <c:crosses val="autoZero"/>
        <c:crossBetween val="midCat"/>
        <c:majorUnit val="10"/>
      </c:valAx>
      <c:valAx>
        <c:axId val="452848256"/>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846720"/>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iCityScoreCard!$BF$6:$BF$66</c:f>
              <c:numCache>
                <c:formatCode>General</c:formatCode>
                <c:ptCount val="61"/>
                <c:pt idx="0">
                  <c:v>93.5920142551198</c:v>
                </c:pt>
                <c:pt idx="1">
                  <c:v>97.0468547330032</c:v>
                </c:pt>
                <c:pt idx="2">
                  <c:v>94.6122129030779</c:v>
                </c:pt>
                <c:pt idx="3">
                  <c:v>92.7542869033763</c:v>
                </c:pt>
                <c:pt idx="4">
                  <c:v>96.0350335712365</c:v>
                </c:pt>
                <c:pt idx="5">
                  <c:v>96.0487020964921</c:v>
                </c:pt>
                <c:pt idx="6">
                  <c:v>95.7258767842671</c:v>
                </c:pt>
                <c:pt idx="7">
                  <c:v>96.1824658208614</c:v>
                </c:pt>
                <c:pt idx="8">
                  <c:v>96.0401670743199</c:v>
                </c:pt>
                <c:pt idx="9">
                  <c:v>95.7118450134872</c:v>
                </c:pt>
                <c:pt idx="10">
                  <c:v>88.1584769903501</c:v>
                </c:pt>
                <c:pt idx="11">
                  <c:v>96.7641371581147</c:v>
                </c:pt>
                <c:pt idx="12">
                  <c:v>96.5932931771737</c:v>
                </c:pt>
                <c:pt idx="13">
                  <c:v>87.933656523691</c:v>
                </c:pt>
                <c:pt idx="14">
                  <c:v>91.2085493589534</c:v>
                </c:pt>
                <c:pt idx="15">
                  <c:v>96.132600317862</c:v>
                </c:pt>
                <c:pt idx="16">
                  <c:v>88.5618810078511</c:v>
                </c:pt>
                <c:pt idx="17">
                  <c:v>88.2653941225815</c:v>
                </c:pt>
                <c:pt idx="18">
                  <c:v>87.4662031145375</c:v>
                </c:pt>
                <c:pt idx="19">
                  <c:v>93.4394058871563</c:v>
                </c:pt>
                <c:pt idx="20">
                  <c:v>88.3905540917254</c:v>
                </c:pt>
                <c:pt idx="21">
                  <c:v>87.586180456734</c:v>
                </c:pt>
                <c:pt idx="22">
                  <c:v>82.3799009185844</c:v>
                </c:pt>
                <c:pt idx="23">
                  <c:v>89.9016034450361</c:v>
                </c:pt>
                <c:pt idx="24">
                  <c:v>90.3577176509129</c:v>
                </c:pt>
                <c:pt idx="25">
                  <c:v>79.2281408050174</c:v>
                </c:pt>
                <c:pt idx="26">
                  <c:v>92.3052195815775</c:v>
                </c:pt>
                <c:pt idx="27">
                  <c:v>91.3641602398045</c:v>
                </c:pt>
                <c:pt idx="28">
                  <c:v>87.992217350021</c:v>
                </c:pt>
                <c:pt idx="29">
                  <c:v>81.7204033378227</c:v>
                </c:pt>
                <c:pt idx="30">
                  <c:v>78.1190759836028</c:v>
                </c:pt>
                <c:pt idx="31">
                  <c:v>74.4895357167155</c:v>
                </c:pt>
                <c:pt idx="32">
                  <c:v>82.0450727670822</c:v>
                </c:pt>
                <c:pt idx="33">
                  <c:v>74.3020368488188</c:v>
                </c:pt>
                <c:pt idx="34">
                  <c:v>81.3495769804108</c:v>
                </c:pt>
                <c:pt idx="35">
                  <c:v>71.6585348410983</c:v>
                </c:pt>
                <c:pt idx="36">
                  <c:v>79.5340170368527</c:v>
                </c:pt>
                <c:pt idx="37">
                  <c:v>79.4362885203413</c:v>
                </c:pt>
                <c:pt idx="38">
                  <c:v>72.9768510140906</c:v>
                </c:pt>
                <c:pt idx="39">
                  <c:v>70.7912962945649</c:v>
                </c:pt>
                <c:pt idx="40">
                  <c:v>76.3566505829332</c:v>
                </c:pt>
                <c:pt idx="41">
                  <c:v>61.7422079955886</c:v>
                </c:pt>
                <c:pt idx="42">
                  <c:v>58.4862536094941</c:v>
                </c:pt>
                <c:pt idx="43">
                  <c:v>64.468667825633</c:v>
                </c:pt>
                <c:pt idx="44">
                  <c:v>59.1170075735975</c:v>
                </c:pt>
                <c:pt idx="45">
                  <c:v>69.7850257376166</c:v>
                </c:pt>
                <c:pt idx="46">
                  <c:v>56.8775341607706</c:v>
                </c:pt>
                <c:pt idx="47">
                  <c:v>66.2715702654957</c:v>
                </c:pt>
                <c:pt idx="48">
                  <c:v>68.3322310976069</c:v>
                </c:pt>
                <c:pt idx="49">
                  <c:v>55.058886033288</c:v>
                </c:pt>
                <c:pt idx="50">
                  <c:v>68.0018524380856</c:v>
                </c:pt>
                <c:pt idx="51">
                  <c:v>63.9497260688569</c:v>
                </c:pt>
                <c:pt idx="52">
                  <c:v>52.027548819922</c:v>
                </c:pt>
                <c:pt idx="53">
                  <c:v>58.417287888492</c:v>
                </c:pt>
                <c:pt idx="54">
                  <c:v>52.8899109711199</c:v>
                </c:pt>
                <c:pt idx="55">
                  <c:v>65.7276199587451</c:v>
                </c:pt>
                <c:pt idx="56">
                  <c:v>63.3189954694381</c:v>
                </c:pt>
                <c:pt idx="57">
                  <c:v>38.4188834103654</c:v>
                </c:pt>
                <c:pt idx="58">
                  <c:v>48.5783090960745</c:v>
                </c:pt>
                <c:pt idx="59">
                  <c:v>40.1112106909003</c:v>
                </c:pt>
                <c:pt idx="60">
                  <c:v>#N/A</c:v>
                </c:pt>
              </c:numCache>
            </c:numRef>
          </c:xVal>
          <c:yVal>
            <c:numRef>
              <c:f>iCityScoreCard!$BG$6:$BG$66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iCityScoreCard!$BE$70</c:f>
              <c:numCache>
                <c:formatCode>General</c:formatCode>
                <c:ptCount val="1"/>
                <c:pt idx="0">
                  <c:v>91.3641602398045</c:v>
                </c:pt>
              </c:numCache>
            </c:numRef>
          </c:xVal>
          <c:yVal>
            <c:numRef>
              <c:f>iCityScoreCard!$BD$70</c:f>
              <c:numCache>
                <c:formatCode>General</c:formatCode>
                <c:ptCount val="1"/>
                <c:pt idx="0">
                  <c:v>1</c:v>
                </c:pt>
              </c:numCache>
            </c:numRef>
          </c:yVal>
          <c:smooth val="0"/>
        </c:ser>
        <c:ser>
          <c:idx val="2"/>
          <c:order val="2"/>
          <c:spPr>
            <a:ln w="28575" cap="rnd" cmpd="sng" algn="ctr">
              <a:noFill/>
              <a:prstDash val="solid"/>
              <a:round/>
            </a:ln>
          </c:spPr>
          <c:marker>
            <c:symbol val="diamond"/>
            <c:size val="7"/>
            <c:spPr>
              <a:solidFill>
                <a:srgbClr val="C00000"/>
              </a:solidFill>
              <a:ln w="9525" cap="flat" cmpd="sng" algn="ctr">
                <a:solidFill>
                  <a:srgbClr val="C00000"/>
                </a:solidFill>
                <a:prstDash val="solid"/>
                <a:round/>
              </a:ln>
            </c:spPr>
          </c:marker>
          <c:dPt>
            <c:idx val="22"/>
            <c:marker>
              <c:symbol val="diamond"/>
              <c:size val="7"/>
              <c:spPr>
                <a:solidFill>
                  <a:srgbClr val="E3120B"/>
                </a:solidFill>
                <a:ln w="9525" cap="flat" cmpd="sng" algn="ctr">
                  <a:solidFill>
                    <a:srgbClr val="C00000"/>
                  </a:solidFill>
                  <a:prstDash val="solid"/>
                  <a:round/>
                </a:ln>
              </c:spPr>
            </c:marker>
            <c:bubble3D val="0"/>
          </c:dPt>
          <c:dLbls>
            <c:delete val="1"/>
          </c:dLbls>
          <c:xVal>
            <c:numRef>
              <c:f>iCityScoreCard!$BH$6:$BH$66</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iCityScoreCard!$BG$6:$BG$66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dLbls>
          <c:showLegendKey val="0"/>
          <c:showVal val="0"/>
          <c:showCatName val="0"/>
          <c:showSerName val="0"/>
          <c:showPercent val="0"/>
          <c:showBubbleSize val="0"/>
        </c:dLbls>
        <c:axId val="452896640"/>
        <c:axId val="452898176"/>
      </c:scatterChart>
      <c:valAx>
        <c:axId val="452896640"/>
        <c:scaling>
          <c:orientation val="minMax"/>
        </c:scaling>
        <c:delete val="1"/>
        <c:axPos val="b"/>
        <c:majorGridlines/>
        <c:numFmt formatCode="#,##0" sourceLinked="0"/>
        <c:majorTickMark val="out"/>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898176"/>
        <c:crosses val="autoZero"/>
        <c:crossBetween val="midCat"/>
      </c:valAx>
      <c:valAx>
        <c:axId val="452898176"/>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896640"/>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iCityScoreCard!$BL$6:$BL$66</c:f>
              <c:numCache>
                <c:formatCode>General</c:formatCode>
                <c:ptCount val="61"/>
                <c:pt idx="0">
                  <c:v>96.5</c:v>
                </c:pt>
                <c:pt idx="1">
                  <c:v>96.5</c:v>
                </c:pt>
                <c:pt idx="2">
                  <c:v>96.5</c:v>
                </c:pt>
                <c:pt idx="3">
                  <c:v>90.5</c:v>
                </c:pt>
                <c:pt idx="4">
                  <c:v>95.5</c:v>
                </c:pt>
                <c:pt idx="5">
                  <c:v>94</c:v>
                </c:pt>
                <c:pt idx="6">
                  <c:v>95.5</c:v>
                </c:pt>
                <c:pt idx="7">
                  <c:v>95</c:v>
                </c:pt>
                <c:pt idx="8">
                  <c:v>95.5</c:v>
                </c:pt>
                <c:pt idx="9">
                  <c:v>95</c:v>
                </c:pt>
                <c:pt idx="10">
                  <c:v>95</c:v>
                </c:pt>
                <c:pt idx="11">
                  <c:v>96.5</c:v>
                </c:pt>
                <c:pt idx="12">
                  <c:v>96.5</c:v>
                </c:pt>
                <c:pt idx="13">
                  <c:v>89.5</c:v>
                </c:pt>
                <c:pt idx="14">
                  <c:v>90.5</c:v>
                </c:pt>
                <c:pt idx="15">
                  <c:v>97.5</c:v>
                </c:pt>
                <c:pt idx="16">
                  <c:v>88.5</c:v>
                </c:pt>
                <c:pt idx="17">
                  <c:v>90.5</c:v>
                </c:pt>
                <c:pt idx="18">
                  <c:v>90.5</c:v>
                </c:pt>
                <c:pt idx="19">
                  <c:v>92.5</c:v>
                </c:pt>
                <c:pt idx="20">
                  <c:v>90.5</c:v>
                </c:pt>
                <c:pt idx="21">
                  <c:v>80.5</c:v>
                </c:pt>
                <c:pt idx="22">
                  <c:v>90.5</c:v>
                </c:pt>
                <c:pt idx="23">
                  <c:v>92.5</c:v>
                </c:pt>
                <c:pt idx="24">
                  <c:v>89.5</c:v>
                </c:pt>
                <c:pt idx="25">
                  <c:v>80.5</c:v>
                </c:pt>
                <c:pt idx="26">
                  <c:v>94.5</c:v>
                </c:pt>
                <c:pt idx="27">
                  <c:v>90</c:v>
                </c:pt>
                <c:pt idx="28">
                  <c:v>87.5</c:v>
                </c:pt>
                <c:pt idx="29">
                  <c:v>75.5</c:v>
                </c:pt>
                <c:pt idx="30">
                  <c:v>70</c:v>
                </c:pt>
                <c:pt idx="31">
                  <c:v>70.5</c:v>
                </c:pt>
                <c:pt idx="32">
                  <c:v>72</c:v>
                </c:pt>
                <c:pt idx="33">
                  <c:v>70.5</c:v>
                </c:pt>
                <c:pt idx="34">
                  <c:v>84</c:v>
                </c:pt>
                <c:pt idx="35">
                  <c:v>72.5</c:v>
                </c:pt>
                <c:pt idx="36">
                  <c:v>79</c:v>
                </c:pt>
                <c:pt idx="37">
                  <c:v>79</c:v>
                </c:pt>
                <c:pt idx="38">
                  <c:v>63.5</c:v>
                </c:pt>
                <c:pt idx="39">
                  <c:v>66</c:v>
                </c:pt>
                <c:pt idx="40">
                  <c:v>83.5</c:v>
                </c:pt>
                <c:pt idx="41">
                  <c:v>47</c:v>
                </c:pt>
                <c:pt idx="42">
                  <c:v>37.5</c:v>
                </c:pt>
                <c:pt idx="43">
                  <c:v>57.5</c:v>
                </c:pt>
                <c:pt idx="44">
                  <c:v>32.5</c:v>
                </c:pt>
                <c:pt idx="45">
                  <c:v>63</c:v>
                </c:pt>
                <c:pt idx="46">
                  <c:v>37</c:v>
                </c:pt>
                <c:pt idx="47">
                  <c:v>51.5</c:v>
                </c:pt>
                <c:pt idx="48">
                  <c:v>60.5</c:v>
                </c:pt>
                <c:pt idx="49">
                  <c:v>52</c:v>
                </c:pt>
                <c:pt idx="50">
                  <c:v>57</c:v>
                </c:pt>
                <c:pt idx="51">
                  <c:v>68.5</c:v>
                </c:pt>
                <c:pt idx="52">
                  <c:v>41</c:v>
                </c:pt>
                <c:pt idx="53">
                  <c:v>38</c:v>
                </c:pt>
                <c:pt idx="54">
                  <c:v>48.5</c:v>
                </c:pt>
                <c:pt idx="55">
                  <c:v>43</c:v>
                </c:pt>
                <c:pt idx="56">
                  <c:v>43</c:v>
                </c:pt>
                <c:pt idx="57">
                  <c:v>21</c:v>
                </c:pt>
                <c:pt idx="58">
                  <c:v>30</c:v>
                </c:pt>
                <c:pt idx="59">
                  <c:v>26</c:v>
                </c:pt>
                <c:pt idx="60">
                  <c:v>#N/A</c:v>
                </c:pt>
              </c:numCache>
            </c:numRef>
          </c:xVal>
          <c:yVal>
            <c:numRef>
              <c:f>iCityScoreCard!$BM$6:$BM$66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iCityScoreCard!$BK$70</c:f>
              <c:numCache>
                <c:formatCode>General</c:formatCode>
                <c:ptCount val="1"/>
                <c:pt idx="0">
                  <c:v>90</c:v>
                </c:pt>
              </c:numCache>
            </c:numRef>
          </c:xVal>
          <c:yVal>
            <c:numRef>
              <c:f>iCityScoreCard!$BJ$70</c:f>
              <c:numCache>
                <c:formatCode>General</c:formatCode>
                <c:ptCount val="1"/>
                <c:pt idx="0">
                  <c:v>1</c:v>
                </c:pt>
              </c:numCache>
            </c:numRef>
          </c:yVal>
          <c:smooth val="0"/>
        </c:ser>
        <c:dLbls>
          <c:showLegendKey val="0"/>
          <c:showVal val="0"/>
          <c:showCatName val="0"/>
          <c:showSerName val="0"/>
          <c:showPercent val="0"/>
          <c:showBubbleSize val="0"/>
        </c:dLbls>
        <c:axId val="452956928"/>
        <c:axId val="452958464"/>
      </c:scatterChart>
      <c:valAx>
        <c:axId val="452956928"/>
        <c:scaling>
          <c:orientation val="minMax"/>
          <c:max val="100"/>
          <c:min val="0"/>
        </c:scaling>
        <c:delete val="1"/>
        <c:axPos val="b"/>
        <c:majorGridlines/>
        <c:numFmt formatCode="#,##0" sourceLinked="0"/>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958464"/>
        <c:crosses val="autoZero"/>
        <c:crossBetween val="midCat"/>
        <c:majorUnit val="10"/>
      </c:valAx>
      <c:valAx>
        <c:axId val="452958464"/>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956928"/>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iCityScoreCard!$BR$6:$BR$66</c:f>
              <c:numCache>
                <c:formatCode>General</c:formatCode>
                <c:ptCount val="61"/>
                <c:pt idx="0">
                  <c:v>90.6840285102396</c:v>
                </c:pt>
                <c:pt idx="1">
                  <c:v>97.5937094660064</c:v>
                </c:pt>
                <c:pt idx="2">
                  <c:v>92.7244258061557</c:v>
                </c:pt>
                <c:pt idx="3">
                  <c:v>95.0085738067526</c:v>
                </c:pt>
                <c:pt idx="4">
                  <c:v>96.570067142473</c:v>
                </c:pt>
                <c:pt idx="5">
                  <c:v>98.0974041929841</c:v>
                </c:pt>
                <c:pt idx="6">
                  <c:v>95.9517535685341</c:v>
                </c:pt>
                <c:pt idx="7">
                  <c:v>97.3649316417229</c:v>
                </c:pt>
                <c:pt idx="8">
                  <c:v>96.5803341486398</c:v>
                </c:pt>
                <c:pt idx="9">
                  <c:v>96.4236900269744</c:v>
                </c:pt>
                <c:pt idx="10">
                  <c:v>81.3169539807002</c:v>
                </c:pt>
                <c:pt idx="11">
                  <c:v>97.0282743162295</c:v>
                </c:pt>
                <c:pt idx="12">
                  <c:v>96.6865863543474</c:v>
                </c:pt>
                <c:pt idx="13">
                  <c:v>86.3673130473819</c:v>
                </c:pt>
                <c:pt idx="14">
                  <c:v>91.9170987179069</c:v>
                </c:pt>
                <c:pt idx="15">
                  <c:v>94.7652006357239</c:v>
                </c:pt>
                <c:pt idx="16">
                  <c:v>88.6237620157022</c:v>
                </c:pt>
                <c:pt idx="17">
                  <c:v>86.0307882451631</c:v>
                </c:pt>
                <c:pt idx="18">
                  <c:v>84.4324062290751</c:v>
                </c:pt>
                <c:pt idx="19">
                  <c:v>94.3788117743126</c:v>
                </c:pt>
                <c:pt idx="20">
                  <c:v>86.2811081834508</c:v>
                </c:pt>
                <c:pt idx="21">
                  <c:v>94.6723609134681</c:v>
                </c:pt>
                <c:pt idx="22">
                  <c:v>74.2598018371689</c:v>
                </c:pt>
                <c:pt idx="23">
                  <c:v>87.3032068900721</c:v>
                </c:pt>
                <c:pt idx="24">
                  <c:v>91.2154353018258</c:v>
                </c:pt>
                <c:pt idx="25">
                  <c:v>77.9562816100348</c:v>
                </c:pt>
                <c:pt idx="26">
                  <c:v>90.110439163155</c:v>
                </c:pt>
                <c:pt idx="27">
                  <c:v>92.728320479609</c:v>
                </c:pt>
                <c:pt idx="28">
                  <c:v>88.4844347000419</c:v>
                </c:pt>
                <c:pt idx="29">
                  <c:v>87.9408066756454</c:v>
                </c:pt>
                <c:pt idx="30">
                  <c:v>86.2381519672056</c:v>
                </c:pt>
                <c:pt idx="31">
                  <c:v>78.479071433431</c:v>
                </c:pt>
                <c:pt idx="32">
                  <c:v>92.0901455341645</c:v>
                </c:pt>
                <c:pt idx="33">
                  <c:v>78.1040736976377</c:v>
                </c:pt>
                <c:pt idx="34">
                  <c:v>78.6991539608217</c:v>
                </c:pt>
                <c:pt idx="35">
                  <c:v>70.8170696821966</c:v>
                </c:pt>
                <c:pt idx="36">
                  <c:v>80.0680340737054</c:v>
                </c:pt>
                <c:pt idx="37">
                  <c:v>79.8725770406825</c:v>
                </c:pt>
                <c:pt idx="38">
                  <c:v>82.4537020281811</c:v>
                </c:pt>
                <c:pt idx="39">
                  <c:v>75.5825925891299</c:v>
                </c:pt>
                <c:pt idx="40">
                  <c:v>69.2133011658664</c:v>
                </c:pt>
                <c:pt idx="41">
                  <c:v>76.4844159911773</c:v>
                </c:pt>
                <c:pt idx="42">
                  <c:v>79.4725072189882</c:v>
                </c:pt>
                <c:pt idx="43">
                  <c:v>71.4373356512661</c:v>
                </c:pt>
                <c:pt idx="44">
                  <c:v>85.7340151471951</c:v>
                </c:pt>
                <c:pt idx="45">
                  <c:v>76.5700514752331</c:v>
                </c:pt>
                <c:pt idx="46">
                  <c:v>76.7550683215412</c:v>
                </c:pt>
                <c:pt idx="47">
                  <c:v>81.0431405309914</c:v>
                </c:pt>
                <c:pt idx="48">
                  <c:v>76.1644621952138</c:v>
                </c:pt>
                <c:pt idx="49">
                  <c:v>58.117772066576</c:v>
                </c:pt>
                <c:pt idx="50">
                  <c:v>79.0037048761712</c:v>
                </c:pt>
                <c:pt idx="51">
                  <c:v>59.3994521377138</c:v>
                </c:pt>
                <c:pt idx="52">
                  <c:v>63.0550976398439</c:v>
                </c:pt>
                <c:pt idx="53">
                  <c:v>78.8345757769841</c:v>
                </c:pt>
                <c:pt idx="54">
                  <c:v>57.2798219422398</c:v>
                </c:pt>
                <c:pt idx="55">
                  <c:v>88.4552399174901</c:v>
                </c:pt>
                <c:pt idx="56">
                  <c:v>83.6379909388761</c:v>
                </c:pt>
                <c:pt idx="57">
                  <c:v>55.8377668207307</c:v>
                </c:pt>
                <c:pt idx="58">
                  <c:v>67.156618192149</c:v>
                </c:pt>
                <c:pt idx="59">
                  <c:v>54.2224213818006</c:v>
                </c:pt>
                <c:pt idx="60">
                  <c:v>#N/A</c:v>
                </c:pt>
              </c:numCache>
            </c:numRef>
          </c:xVal>
          <c:yVal>
            <c:numRef>
              <c:f>iCityScoreCard!$BS$6:$BS$66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iCityScoreCard!$BQ$70</c:f>
              <c:numCache>
                <c:formatCode>General</c:formatCode>
                <c:ptCount val="1"/>
                <c:pt idx="0">
                  <c:v>92.728320479609</c:v>
                </c:pt>
              </c:numCache>
            </c:numRef>
          </c:xVal>
          <c:yVal>
            <c:numRef>
              <c:f>iCityScoreCard!$BP$70</c:f>
              <c:numCache>
                <c:formatCode>General</c:formatCode>
                <c:ptCount val="1"/>
                <c:pt idx="0">
                  <c:v>1</c:v>
                </c:pt>
              </c:numCache>
            </c:numRef>
          </c:yVal>
          <c:smooth val="0"/>
        </c:ser>
        <c:dLbls>
          <c:showLegendKey val="0"/>
          <c:showVal val="0"/>
          <c:showCatName val="0"/>
          <c:showSerName val="0"/>
          <c:showPercent val="0"/>
          <c:showBubbleSize val="0"/>
        </c:dLbls>
        <c:axId val="452988928"/>
        <c:axId val="452990464"/>
      </c:scatterChart>
      <c:valAx>
        <c:axId val="452988928"/>
        <c:scaling>
          <c:orientation val="minMax"/>
          <c:max val="100"/>
          <c:min val="0"/>
        </c:scaling>
        <c:delete val="1"/>
        <c:axPos val="b"/>
        <c:majorGridlines/>
        <c:numFmt formatCode="#,##0" sourceLinked="0"/>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990464"/>
        <c:crosses val="autoZero"/>
        <c:crossBetween val="midCat"/>
        <c:majorUnit val="10"/>
      </c:valAx>
      <c:valAx>
        <c:axId val="452990464"/>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988928"/>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iCityScoreCard!$BX$6:$BX$66</c:f>
              <c:numCache>
                <c:formatCode>General</c:formatCode>
                <c:ptCount val="61"/>
                <c:pt idx="0">
                  <c:v>91.5679794099298</c:v>
                </c:pt>
                <c:pt idx="1">
                  <c:v>94.9449789045779</c:v>
                </c:pt>
                <c:pt idx="2">
                  <c:v>91.5887978729324</c:v>
                </c:pt>
                <c:pt idx="3">
                  <c:v>91.5173595952457</c:v>
                </c:pt>
                <c:pt idx="4">
                  <c:v>88.5224801709794</c:v>
                </c:pt>
                <c:pt idx="5">
                  <c:v>87.4219698337159</c:v>
                </c:pt>
                <c:pt idx="6">
                  <c:v>86.4623878856006</c:v>
                </c:pt>
                <c:pt idx="7">
                  <c:v>87.9337670897564</c:v>
                </c:pt>
                <c:pt idx="8">
                  <c:v>89.7543433349765</c:v>
                </c:pt>
                <c:pt idx="9">
                  <c:v>83.7196008601868</c:v>
                </c:pt>
                <c:pt idx="10">
                  <c:v>86.7032473723624</c:v>
                </c:pt>
                <c:pt idx="11">
                  <c:v>85.608093035832</c:v>
                </c:pt>
                <c:pt idx="12">
                  <c:v>85.2825410714879</c:v>
                </c:pt>
                <c:pt idx="13">
                  <c:v>85.3400282792049</c:v>
                </c:pt>
                <c:pt idx="14">
                  <c:v>83.7365662265586</c:v>
                </c:pt>
                <c:pt idx="15">
                  <c:v>92.2774938567438</c:v>
                </c:pt>
                <c:pt idx="16">
                  <c:v>82.0869189978028</c:v>
                </c:pt>
                <c:pt idx="17">
                  <c:v>83.4035386605523</c:v>
                </c:pt>
                <c:pt idx="18">
                  <c:v>82.8362864960522</c:v>
                </c:pt>
                <c:pt idx="19">
                  <c:v>85.5168446899291</c:v>
                </c:pt>
                <c:pt idx="20">
                  <c:v>80.9777990897082</c:v>
                </c:pt>
                <c:pt idx="21">
                  <c:v>90.0185041025186</c:v>
                </c:pt>
                <c:pt idx="22">
                  <c:v>84.8243759199369</c:v>
                </c:pt>
                <c:pt idx="23">
                  <c:v>77.226721931029</c:v>
                </c:pt>
                <c:pt idx="24">
                  <c:v>76.8316474990319</c:v>
                </c:pt>
                <c:pt idx="25">
                  <c:v>80.7564464888033</c:v>
                </c:pt>
                <c:pt idx="26">
                  <c:v>74.3914179011257</c:v>
                </c:pt>
                <c:pt idx="27">
                  <c:v>78.9514458295227</c:v>
                </c:pt>
                <c:pt idx="28">
                  <c:v>68.413704828011</c:v>
                </c:pt>
                <c:pt idx="29">
                  <c:v>86.0356161890541</c:v>
                </c:pt>
                <c:pt idx="30">
                  <c:v>81.0154673430812</c:v>
                </c:pt>
                <c:pt idx="31">
                  <c:v>80.7642850729642</c:v>
                </c:pt>
                <c:pt idx="32">
                  <c:v>69.0324345967662</c:v>
                </c:pt>
                <c:pt idx="33">
                  <c:v>80.0666015670571</c:v>
                </c:pt>
                <c:pt idx="34">
                  <c:v>71.0191127102526</c:v>
                </c:pt>
                <c:pt idx="35">
                  <c:v>74.8195711402502</c:v>
                </c:pt>
                <c:pt idx="36">
                  <c:v>69.8503800052639</c:v>
                </c:pt>
                <c:pt idx="37">
                  <c:v>70.0810985396441</c:v>
                </c:pt>
                <c:pt idx="38">
                  <c:v>64.6211674740388</c:v>
                </c:pt>
                <c:pt idx="39">
                  <c:v>65.8383242580421</c:v>
                </c:pt>
                <c:pt idx="40">
                  <c:v>57.9993977184282</c:v>
                </c:pt>
                <c:pt idx="41">
                  <c:v>60.0487308886517</c:v>
                </c:pt>
                <c:pt idx="42">
                  <c:v>76.6095069933926</c:v>
                </c:pt>
                <c:pt idx="43">
                  <c:v>60.8659369620119</c:v>
                </c:pt>
                <c:pt idx="44">
                  <c:v>77.8949584013347</c:v>
                </c:pt>
                <c:pt idx="45">
                  <c:v>55.6565121114598</c:v>
                </c:pt>
                <c:pt idx="46">
                  <c:v>61.0368360065409</c:v>
                </c:pt>
                <c:pt idx="47">
                  <c:v>62.6278293401172</c:v>
                </c:pt>
                <c:pt idx="48">
                  <c:v>60.7978490994858</c:v>
                </c:pt>
                <c:pt idx="49">
                  <c:v>57.6516857047917</c:v>
                </c:pt>
                <c:pt idx="50">
                  <c:v>69.7518485764992</c:v>
                </c:pt>
                <c:pt idx="51">
                  <c:v>59.1768197555451</c:v>
                </c:pt>
                <c:pt idx="52">
                  <c:v>55.4102267732664</c:v>
                </c:pt>
                <c:pt idx="53">
                  <c:v>47.3562104802896</c:v>
                </c:pt>
                <c:pt idx="54">
                  <c:v>69.8266992823552</c:v>
                </c:pt>
                <c:pt idx="55">
                  <c:v>50.5319757552615</c:v>
                </c:pt>
                <c:pt idx="56">
                  <c:v>59.2421578146951</c:v>
                </c:pt>
                <c:pt idx="57">
                  <c:v>67.1520713436624</c:v>
                </c:pt>
                <c:pt idx="58">
                  <c:v>52.4301152025482</c:v>
                </c:pt>
                <c:pt idx="59">
                  <c:v>31.8451369753181</c:v>
                </c:pt>
                <c:pt idx="60">
                  <c:v>#N/A</c:v>
                </c:pt>
              </c:numCache>
            </c:numRef>
          </c:xVal>
          <c:yVal>
            <c:numRef>
              <c:f>iCityScoreCard!$BY$6:$BY$66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iCityScoreCard!$BW$70</c:f>
              <c:numCache>
                <c:formatCode>General</c:formatCode>
                <c:ptCount val="1"/>
                <c:pt idx="0">
                  <c:v>78.9514458295227</c:v>
                </c:pt>
              </c:numCache>
            </c:numRef>
          </c:xVal>
          <c:yVal>
            <c:numRef>
              <c:f>iCityScoreCard!$BV$70</c:f>
              <c:numCache>
                <c:formatCode>General</c:formatCode>
                <c:ptCount val="1"/>
                <c:pt idx="0">
                  <c:v>1</c:v>
                </c:pt>
              </c:numCache>
            </c:numRef>
          </c:yVal>
          <c:smooth val="0"/>
        </c:ser>
        <c:dLbls>
          <c:showLegendKey val="0"/>
          <c:showVal val="0"/>
          <c:showCatName val="0"/>
          <c:showSerName val="0"/>
          <c:showPercent val="0"/>
          <c:showBubbleSize val="0"/>
        </c:dLbls>
        <c:axId val="453016576"/>
        <c:axId val="453042944"/>
      </c:scatterChart>
      <c:valAx>
        <c:axId val="453016576"/>
        <c:scaling>
          <c:orientation val="minMax"/>
        </c:scaling>
        <c:delete val="1"/>
        <c:axPos val="b"/>
        <c:majorGridlines/>
        <c:numFmt formatCode="#,##0" sourceLinked="0"/>
        <c:majorTickMark val="out"/>
        <c:minorTickMark val="none"/>
        <c:tickLblPos val="nextTo"/>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3042944"/>
        <c:crosses val="autoZero"/>
        <c:crossBetween val="midCat"/>
      </c:valAx>
      <c:valAx>
        <c:axId val="453042944"/>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3016576"/>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4"/>
          <c:order val="0"/>
          <c:spPr>
            <a:ln w="28575" cap="rnd" cmpd="sng" algn="ctr">
              <a:noFill/>
              <a:prstDash val="solid"/>
              <a:round/>
            </a:ln>
          </c:spPr>
          <c:dLbls>
            <c:delete val="1"/>
          </c:dLbls>
          <c:xVal>
            <c:numRef>
              <c:f>iCityScoreCard!$CD$6:$CD$66</c:f>
              <c:numCache>
                <c:formatCode>General</c:formatCode>
                <c:ptCount val="61"/>
                <c:pt idx="0">
                  <c:v>95.5895691609977</c:v>
                </c:pt>
                <c:pt idx="1">
                  <c:v>94.875283446712</c:v>
                </c:pt>
                <c:pt idx="2">
                  <c:v>95.5895691609977</c:v>
                </c:pt>
                <c:pt idx="3">
                  <c:v>93.6167800453515</c:v>
                </c:pt>
                <c:pt idx="4">
                  <c:v>95.1700680272109</c:v>
                </c:pt>
                <c:pt idx="5">
                  <c:v>92.6077097505669</c:v>
                </c:pt>
                <c:pt idx="6">
                  <c:v>95.1700680272109</c:v>
                </c:pt>
                <c:pt idx="7">
                  <c:v>84.5918367346939</c:v>
                </c:pt>
                <c:pt idx="8">
                  <c:v>92.0181405895692</c:v>
                </c:pt>
                <c:pt idx="9">
                  <c:v>78.3560090702948</c:v>
                </c:pt>
                <c:pt idx="10">
                  <c:v>91.734693877551</c:v>
                </c:pt>
                <c:pt idx="11">
                  <c:v>90.952380952381</c:v>
                </c:pt>
                <c:pt idx="12">
                  <c:v>90.952380952381</c:v>
                </c:pt>
                <c:pt idx="13">
                  <c:v>90.1700680272109</c:v>
                </c:pt>
                <c:pt idx="14">
                  <c:v>89.546485260771</c:v>
                </c:pt>
                <c:pt idx="15">
                  <c:v>94.4557823129252</c:v>
                </c:pt>
                <c:pt idx="16">
                  <c:v>83.390022675737</c:v>
                </c:pt>
                <c:pt idx="17">
                  <c:v>89.546485260771</c:v>
                </c:pt>
                <c:pt idx="18">
                  <c:v>88.7528344671202</c:v>
                </c:pt>
                <c:pt idx="19">
                  <c:v>94.1609977324263</c:v>
                </c:pt>
                <c:pt idx="20">
                  <c:v>87.8458049886622</c:v>
                </c:pt>
                <c:pt idx="21">
                  <c:v>93.8662131519275</c:v>
                </c:pt>
                <c:pt idx="22">
                  <c:v>93.7414965986395</c:v>
                </c:pt>
                <c:pt idx="23">
                  <c:v>79.920634920635</c:v>
                </c:pt>
                <c:pt idx="24">
                  <c:v>80.1133786848073</c:v>
                </c:pt>
                <c:pt idx="25">
                  <c:v>82.8571428571429</c:v>
                </c:pt>
                <c:pt idx="26">
                  <c:v>80.1133786848073</c:v>
                </c:pt>
                <c:pt idx="27">
                  <c:v>71.8027210884354</c:v>
                </c:pt>
                <c:pt idx="28">
                  <c:v>68.3219954648526</c:v>
                </c:pt>
                <c:pt idx="29">
                  <c:v>88.6167800453515</c:v>
                </c:pt>
                <c:pt idx="30">
                  <c:v>84.4557823129252</c:v>
                </c:pt>
                <c:pt idx="31">
                  <c:v>85</c:v>
                </c:pt>
                <c:pt idx="32">
                  <c:v>64.5351473922903</c:v>
                </c:pt>
                <c:pt idx="33">
                  <c:v>85</c:v>
                </c:pt>
                <c:pt idx="34">
                  <c:v>66.1904761904762</c:v>
                </c:pt>
                <c:pt idx="35">
                  <c:v>69.4331065759637</c:v>
                </c:pt>
                <c:pt idx="36">
                  <c:v>80.3401360544218</c:v>
                </c:pt>
                <c:pt idx="37">
                  <c:v>80.3401360544218</c:v>
                </c:pt>
                <c:pt idx="38">
                  <c:v>78.0045351473923</c:v>
                </c:pt>
                <c:pt idx="39">
                  <c:v>71.7800453514739</c:v>
                </c:pt>
                <c:pt idx="40">
                  <c:v>56.9614512471655</c:v>
                </c:pt>
                <c:pt idx="41">
                  <c:v>42.8231292517007</c:v>
                </c:pt>
                <c:pt idx="42">
                  <c:v>89.172335600907</c:v>
                </c:pt>
                <c:pt idx="43">
                  <c:v>61.0997732426304</c:v>
                </c:pt>
                <c:pt idx="44">
                  <c:v>89.172335600907</c:v>
                </c:pt>
                <c:pt idx="45">
                  <c:v>65.1814058956916</c:v>
                </c:pt>
                <c:pt idx="46">
                  <c:v>42.8231292517007</c:v>
                </c:pt>
                <c:pt idx="47">
                  <c:v>57.1882086167801</c:v>
                </c:pt>
                <c:pt idx="48">
                  <c:v>61.6099773242631</c:v>
                </c:pt>
                <c:pt idx="49">
                  <c:v>61.0997732426304</c:v>
                </c:pt>
                <c:pt idx="50">
                  <c:v>77.3242630385488</c:v>
                </c:pt>
                <c:pt idx="51">
                  <c:v>47.2562358276644</c:v>
                </c:pt>
                <c:pt idx="52">
                  <c:v>48.7528344671202</c:v>
                </c:pt>
                <c:pt idx="53">
                  <c:v>52.2108843537415</c:v>
                </c:pt>
                <c:pt idx="54">
                  <c:v>75.9637188208617</c:v>
                </c:pt>
                <c:pt idx="55">
                  <c:v>35</c:v>
                </c:pt>
                <c:pt idx="56">
                  <c:v>54.9433106575964</c:v>
                </c:pt>
                <c:pt idx="57">
                  <c:v>74.4557823129252</c:v>
                </c:pt>
                <c:pt idx="58">
                  <c:v>38.3219954648526</c:v>
                </c:pt>
                <c:pt idx="59">
                  <c:v>37.0068027210884</c:v>
                </c:pt>
                <c:pt idx="60">
                  <c:v>#N/A</c:v>
                </c:pt>
              </c:numCache>
            </c:numRef>
          </c:xVal>
          <c:yVal>
            <c:numRef>
              <c:f>iCityScoreCard!$CE$6:$CE$66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5"/>
          <c:order val="1"/>
          <c:tx>
            <c:strRef>
              <c:f>uxb_works!$C$24</c:f>
              <c:strCache>
                <c:ptCount val="1"/>
                <c:pt idx="0">
                  <c:v>Abu Dhabi</c:v>
                </c:pt>
              </c:strCache>
            </c:strRef>
          </c:tx>
          <c:spPr>
            <a:ln w="28575" cap="rnd" cmpd="sng" algn="ctr">
              <a:noFill/>
              <a:prstDash val="solid"/>
              <a:round/>
            </a:ln>
          </c:spPr>
          <c:dLbls>
            <c:delete val="1"/>
          </c:dLbls>
          <c:xVal>
            <c:numRef>
              <c:f>iCityScoreCard!$CC$70</c:f>
              <c:numCache>
                <c:formatCode>General</c:formatCode>
                <c:ptCount val="1"/>
                <c:pt idx="0">
                  <c:v>71.8027210884354</c:v>
                </c:pt>
              </c:numCache>
            </c:numRef>
          </c:xVal>
          <c:yVal>
            <c:numRef>
              <c:f>iCityScoreCard!$CB$70</c:f>
              <c:numCache>
                <c:formatCode>General</c:formatCode>
                <c:ptCount val="1"/>
                <c:pt idx="0">
                  <c:v>1</c:v>
                </c:pt>
              </c:numCache>
            </c:numRef>
          </c:yVal>
          <c:smooth val="0"/>
        </c:ser>
        <c:ser>
          <c:idx val="6"/>
          <c:order val="2"/>
          <c:spPr>
            <a:ln w="28575" cap="rnd" cmpd="sng" algn="ctr">
              <a:noFill/>
              <a:prstDash val="solid"/>
              <a:round/>
            </a:ln>
          </c:spPr>
          <c:dLbls>
            <c:delete val="1"/>
          </c:dLbls>
          <c:xVal>
            <c:numRef>
              <c:f>iCityScoreCard!$CD$6:$CD$66</c:f>
              <c:numCache>
                <c:formatCode>General</c:formatCode>
                <c:ptCount val="61"/>
                <c:pt idx="0">
                  <c:v>95.5895691609977</c:v>
                </c:pt>
                <c:pt idx="1">
                  <c:v>94.875283446712</c:v>
                </c:pt>
                <c:pt idx="2">
                  <c:v>95.5895691609977</c:v>
                </c:pt>
                <c:pt idx="3">
                  <c:v>93.6167800453515</c:v>
                </c:pt>
                <c:pt idx="4">
                  <c:v>95.1700680272109</c:v>
                </c:pt>
                <c:pt idx="5">
                  <c:v>92.6077097505669</c:v>
                </c:pt>
                <c:pt idx="6">
                  <c:v>95.1700680272109</c:v>
                </c:pt>
                <c:pt idx="7">
                  <c:v>84.5918367346939</c:v>
                </c:pt>
                <c:pt idx="8">
                  <c:v>92.0181405895692</c:v>
                </c:pt>
                <c:pt idx="9">
                  <c:v>78.3560090702948</c:v>
                </c:pt>
                <c:pt idx="10">
                  <c:v>91.734693877551</c:v>
                </c:pt>
                <c:pt idx="11">
                  <c:v>90.952380952381</c:v>
                </c:pt>
                <c:pt idx="12">
                  <c:v>90.952380952381</c:v>
                </c:pt>
                <c:pt idx="13">
                  <c:v>90.1700680272109</c:v>
                </c:pt>
                <c:pt idx="14">
                  <c:v>89.546485260771</c:v>
                </c:pt>
                <c:pt idx="15">
                  <c:v>94.4557823129252</c:v>
                </c:pt>
                <c:pt idx="16">
                  <c:v>83.390022675737</c:v>
                </c:pt>
                <c:pt idx="17">
                  <c:v>89.546485260771</c:v>
                </c:pt>
                <c:pt idx="18">
                  <c:v>88.7528344671202</c:v>
                </c:pt>
                <c:pt idx="19">
                  <c:v>94.1609977324263</c:v>
                </c:pt>
                <c:pt idx="20">
                  <c:v>87.8458049886622</c:v>
                </c:pt>
                <c:pt idx="21">
                  <c:v>93.8662131519275</c:v>
                </c:pt>
                <c:pt idx="22">
                  <c:v>93.7414965986395</c:v>
                </c:pt>
                <c:pt idx="23">
                  <c:v>79.920634920635</c:v>
                </c:pt>
                <c:pt idx="24">
                  <c:v>80.1133786848073</c:v>
                </c:pt>
                <c:pt idx="25">
                  <c:v>82.8571428571429</c:v>
                </c:pt>
                <c:pt idx="26">
                  <c:v>80.1133786848073</c:v>
                </c:pt>
                <c:pt idx="27">
                  <c:v>71.8027210884354</c:v>
                </c:pt>
                <c:pt idx="28">
                  <c:v>68.3219954648526</c:v>
                </c:pt>
                <c:pt idx="29">
                  <c:v>88.6167800453515</c:v>
                </c:pt>
                <c:pt idx="30">
                  <c:v>84.4557823129252</c:v>
                </c:pt>
                <c:pt idx="31">
                  <c:v>85</c:v>
                </c:pt>
                <c:pt idx="32">
                  <c:v>64.5351473922903</c:v>
                </c:pt>
                <c:pt idx="33">
                  <c:v>85</c:v>
                </c:pt>
                <c:pt idx="34">
                  <c:v>66.1904761904762</c:v>
                </c:pt>
                <c:pt idx="35">
                  <c:v>69.4331065759637</c:v>
                </c:pt>
                <c:pt idx="36">
                  <c:v>80.3401360544218</c:v>
                </c:pt>
                <c:pt idx="37">
                  <c:v>80.3401360544218</c:v>
                </c:pt>
                <c:pt idx="38">
                  <c:v>78.0045351473923</c:v>
                </c:pt>
                <c:pt idx="39">
                  <c:v>71.7800453514739</c:v>
                </c:pt>
                <c:pt idx="40">
                  <c:v>56.9614512471655</c:v>
                </c:pt>
                <c:pt idx="41">
                  <c:v>42.8231292517007</c:v>
                </c:pt>
                <c:pt idx="42">
                  <c:v>89.172335600907</c:v>
                </c:pt>
                <c:pt idx="43">
                  <c:v>61.0997732426304</c:v>
                </c:pt>
                <c:pt idx="44">
                  <c:v>89.172335600907</c:v>
                </c:pt>
                <c:pt idx="45">
                  <c:v>65.1814058956916</c:v>
                </c:pt>
                <c:pt idx="46">
                  <c:v>42.8231292517007</c:v>
                </c:pt>
                <c:pt idx="47">
                  <c:v>57.1882086167801</c:v>
                </c:pt>
                <c:pt idx="48">
                  <c:v>61.6099773242631</c:v>
                </c:pt>
                <c:pt idx="49">
                  <c:v>61.0997732426304</c:v>
                </c:pt>
                <c:pt idx="50">
                  <c:v>77.3242630385488</c:v>
                </c:pt>
                <c:pt idx="51">
                  <c:v>47.2562358276644</c:v>
                </c:pt>
                <c:pt idx="52">
                  <c:v>48.7528344671202</c:v>
                </c:pt>
                <c:pt idx="53">
                  <c:v>52.2108843537415</c:v>
                </c:pt>
                <c:pt idx="54">
                  <c:v>75.9637188208617</c:v>
                </c:pt>
                <c:pt idx="55">
                  <c:v>35</c:v>
                </c:pt>
                <c:pt idx="56">
                  <c:v>54.9433106575964</c:v>
                </c:pt>
                <c:pt idx="57">
                  <c:v>74.4557823129252</c:v>
                </c:pt>
                <c:pt idx="58">
                  <c:v>38.3219954648526</c:v>
                </c:pt>
                <c:pt idx="59">
                  <c:v>37.0068027210884</c:v>
                </c:pt>
                <c:pt idx="60">
                  <c:v>#N/A</c:v>
                </c:pt>
              </c:numCache>
            </c:numRef>
          </c:xVal>
          <c:yVal>
            <c:numRef>
              <c:f>iCityScoreCard!$CE$6:$CE$66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7"/>
          <c:order val="3"/>
          <c:tx>
            <c:strRef>
              <c:f>uxb_works!$C$24</c:f>
              <c:strCache>
                <c:ptCount val="1"/>
                <c:pt idx="0">
                  <c:v>Abu Dhabi</c:v>
                </c:pt>
              </c:strCache>
            </c:strRef>
          </c:tx>
          <c:spPr>
            <a:ln w="28575" cap="rnd" cmpd="sng" algn="ctr">
              <a:noFill/>
              <a:prstDash val="solid"/>
              <a:round/>
            </a:ln>
          </c:spPr>
          <c:dLbls>
            <c:delete val="1"/>
          </c:dLbls>
          <c:xVal>
            <c:numRef>
              <c:f>iCityScoreCard!$CC$70</c:f>
              <c:numCache>
                <c:formatCode>General</c:formatCode>
                <c:ptCount val="1"/>
                <c:pt idx="0">
                  <c:v>71.8027210884354</c:v>
                </c:pt>
              </c:numCache>
            </c:numRef>
          </c:xVal>
          <c:yVal>
            <c:numRef>
              <c:f>iCityScoreCard!$CB$70</c:f>
              <c:numCache>
                <c:formatCode>General</c:formatCode>
                <c:ptCount val="1"/>
                <c:pt idx="0">
                  <c:v>1</c:v>
                </c:pt>
              </c:numCache>
            </c:numRef>
          </c:yVal>
          <c:smooth val="0"/>
        </c:ser>
        <c:ser>
          <c:idx val="2"/>
          <c:order val="4"/>
          <c:spPr>
            <a:ln w="28575" cap="rnd" cmpd="sng" algn="ctr">
              <a:noFill/>
              <a:prstDash val="solid"/>
              <a:round/>
            </a:ln>
          </c:spPr>
          <c:dLbls>
            <c:delete val="1"/>
          </c:dLbls>
          <c:xVal>
            <c:numRef>
              <c:f>iCityScoreCard!$CD$6:$CD$66</c:f>
              <c:numCache>
                <c:formatCode>General</c:formatCode>
                <c:ptCount val="61"/>
                <c:pt idx="0">
                  <c:v>95.5895691609977</c:v>
                </c:pt>
                <c:pt idx="1">
                  <c:v>94.875283446712</c:v>
                </c:pt>
                <c:pt idx="2">
                  <c:v>95.5895691609977</c:v>
                </c:pt>
                <c:pt idx="3">
                  <c:v>93.6167800453515</c:v>
                </c:pt>
                <c:pt idx="4">
                  <c:v>95.1700680272109</c:v>
                </c:pt>
                <c:pt idx="5">
                  <c:v>92.6077097505669</c:v>
                </c:pt>
                <c:pt idx="6">
                  <c:v>95.1700680272109</c:v>
                </c:pt>
                <c:pt idx="7">
                  <c:v>84.5918367346939</c:v>
                </c:pt>
                <c:pt idx="8">
                  <c:v>92.0181405895692</c:v>
                </c:pt>
                <c:pt idx="9">
                  <c:v>78.3560090702948</c:v>
                </c:pt>
                <c:pt idx="10">
                  <c:v>91.734693877551</c:v>
                </c:pt>
                <c:pt idx="11">
                  <c:v>90.952380952381</c:v>
                </c:pt>
                <c:pt idx="12">
                  <c:v>90.952380952381</c:v>
                </c:pt>
                <c:pt idx="13">
                  <c:v>90.1700680272109</c:v>
                </c:pt>
                <c:pt idx="14">
                  <c:v>89.546485260771</c:v>
                </c:pt>
                <c:pt idx="15">
                  <c:v>94.4557823129252</c:v>
                </c:pt>
                <c:pt idx="16">
                  <c:v>83.390022675737</c:v>
                </c:pt>
                <c:pt idx="17">
                  <c:v>89.546485260771</c:v>
                </c:pt>
                <c:pt idx="18">
                  <c:v>88.7528344671202</c:v>
                </c:pt>
                <c:pt idx="19">
                  <c:v>94.1609977324263</c:v>
                </c:pt>
                <c:pt idx="20">
                  <c:v>87.8458049886622</c:v>
                </c:pt>
                <c:pt idx="21">
                  <c:v>93.8662131519275</c:v>
                </c:pt>
                <c:pt idx="22">
                  <c:v>93.7414965986395</c:v>
                </c:pt>
                <c:pt idx="23">
                  <c:v>79.920634920635</c:v>
                </c:pt>
                <c:pt idx="24">
                  <c:v>80.1133786848073</c:v>
                </c:pt>
                <c:pt idx="25">
                  <c:v>82.8571428571429</c:v>
                </c:pt>
                <c:pt idx="26">
                  <c:v>80.1133786848073</c:v>
                </c:pt>
                <c:pt idx="27">
                  <c:v>71.8027210884354</c:v>
                </c:pt>
                <c:pt idx="28">
                  <c:v>68.3219954648526</c:v>
                </c:pt>
                <c:pt idx="29">
                  <c:v>88.6167800453515</c:v>
                </c:pt>
                <c:pt idx="30">
                  <c:v>84.4557823129252</c:v>
                </c:pt>
                <c:pt idx="31">
                  <c:v>85</c:v>
                </c:pt>
                <c:pt idx="32">
                  <c:v>64.5351473922903</c:v>
                </c:pt>
                <c:pt idx="33">
                  <c:v>85</c:v>
                </c:pt>
                <c:pt idx="34">
                  <c:v>66.1904761904762</c:v>
                </c:pt>
                <c:pt idx="35">
                  <c:v>69.4331065759637</c:v>
                </c:pt>
                <c:pt idx="36">
                  <c:v>80.3401360544218</c:v>
                </c:pt>
                <c:pt idx="37">
                  <c:v>80.3401360544218</c:v>
                </c:pt>
                <c:pt idx="38">
                  <c:v>78.0045351473923</c:v>
                </c:pt>
                <c:pt idx="39">
                  <c:v>71.7800453514739</c:v>
                </c:pt>
                <c:pt idx="40">
                  <c:v>56.9614512471655</c:v>
                </c:pt>
                <c:pt idx="41">
                  <c:v>42.8231292517007</c:v>
                </c:pt>
                <c:pt idx="42">
                  <c:v>89.172335600907</c:v>
                </c:pt>
                <c:pt idx="43">
                  <c:v>61.0997732426304</c:v>
                </c:pt>
                <c:pt idx="44">
                  <c:v>89.172335600907</c:v>
                </c:pt>
                <c:pt idx="45">
                  <c:v>65.1814058956916</c:v>
                </c:pt>
                <c:pt idx="46">
                  <c:v>42.8231292517007</c:v>
                </c:pt>
                <c:pt idx="47">
                  <c:v>57.1882086167801</c:v>
                </c:pt>
                <c:pt idx="48">
                  <c:v>61.6099773242631</c:v>
                </c:pt>
                <c:pt idx="49">
                  <c:v>61.0997732426304</c:v>
                </c:pt>
                <c:pt idx="50">
                  <c:v>77.3242630385488</c:v>
                </c:pt>
                <c:pt idx="51">
                  <c:v>47.2562358276644</c:v>
                </c:pt>
                <c:pt idx="52">
                  <c:v>48.7528344671202</c:v>
                </c:pt>
                <c:pt idx="53">
                  <c:v>52.2108843537415</c:v>
                </c:pt>
                <c:pt idx="54">
                  <c:v>75.9637188208617</c:v>
                </c:pt>
                <c:pt idx="55">
                  <c:v>35</c:v>
                </c:pt>
                <c:pt idx="56">
                  <c:v>54.9433106575964</c:v>
                </c:pt>
                <c:pt idx="57">
                  <c:v>74.4557823129252</c:v>
                </c:pt>
                <c:pt idx="58">
                  <c:v>38.3219954648526</c:v>
                </c:pt>
                <c:pt idx="59">
                  <c:v>37.0068027210884</c:v>
                </c:pt>
                <c:pt idx="60">
                  <c:v>#N/A</c:v>
                </c:pt>
              </c:numCache>
            </c:numRef>
          </c:xVal>
          <c:yVal>
            <c:numRef>
              <c:f>iCityScoreCard!$CE$6:$CE$66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3"/>
          <c:order val="5"/>
          <c:tx>
            <c:strRef>
              <c:f>uxb_works!$C$24</c:f>
              <c:strCache>
                <c:ptCount val="1"/>
                <c:pt idx="0">
                  <c:v>Abu Dhabi</c:v>
                </c:pt>
              </c:strCache>
            </c:strRef>
          </c:tx>
          <c:spPr>
            <a:ln w="28575" cap="rnd" cmpd="sng" algn="ctr">
              <a:noFill/>
              <a:prstDash val="solid"/>
              <a:round/>
            </a:ln>
          </c:spPr>
          <c:dLbls>
            <c:delete val="1"/>
          </c:dLbls>
          <c:xVal>
            <c:numRef>
              <c:f>iCityScoreCard!$CC$70</c:f>
              <c:numCache>
                <c:formatCode>General</c:formatCode>
                <c:ptCount val="1"/>
                <c:pt idx="0">
                  <c:v>71.8027210884354</c:v>
                </c:pt>
              </c:numCache>
            </c:numRef>
          </c:xVal>
          <c:yVal>
            <c:numRef>
              <c:f>iCityScoreCard!$CB$70</c:f>
              <c:numCache>
                <c:formatCode>General</c:formatCode>
                <c:ptCount val="1"/>
                <c:pt idx="0">
                  <c:v>1</c:v>
                </c:pt>
              </c:numCache>
            </c:numRef>
          </c:yVal>
          <c:smooth val="0"/>
        </c:ser>
        <c:ser>
          <c:idx val="0"/>
          <c:order val="6"/>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iCityScoreCard!$CD$6:$CD$66</c:f>
              <c:numCache>
                <c:formatCode>General</c:formatCode>
                <c:ptCount val="61"/>
                <c:pt idx="0">
                  <c:v>95.5895691609977</c:v>
                </c:pt>
                <c:pt idx="1">
                  <c:v>94.875283446712</c:v>
                </c:pt>
                <c:pt idx="2">
                  <c:v>95.5895691609977</c:v>
                </c:pt>
                <c:pt idx="3">
                  <c:v>93.6167800453515</c:v>
                </c:pt>
                <c:pt idx="4">
                  <c:v>95.1700680272109</c:v>
                </c:pt>
                <c:pt idx="5">
                  <c:v>92.6077097505669</c:v>
                </c:pt>
                <c:pt idx="6">
                  <c:v>95.1700680272109</c:v>
                </c:pt>
                <c:pt idx="7">
                  <c:v>84.5918367346939</c:v>
                </c:pt>
                <c:pt idx="8">
                  <c:v>92.0181405895692</c:v>
                </c:pt>
                <c:pt idx="9">
                  <c:v>78.3560090702948</c:v>
                </c:pt>
                <c:pt idx="10">
                  <c:v>91.734693877551</c:v>
                </c:pt>
                <c:pt idx="11">
                  <c:v>90.952380952381</c:v>
                </c:pt>
                <c:pt idx="12">
                  <c:v>90.952380952381</c:v>
                </c:pt>
                <c:pt idx="13">
                  <c:v>90.1700680272109</c:v>
                </c:pt>
                <c:pt idx="14">
                  <c:v>89.546485260771</c:v>
                </c:pt>
                <c:pt idx="15">
                  <c:v>94.4557823129252</c:v>
                </c:pt>
                <c:pt idx="16">
                  <c:v>83.390022675737</c:v>
                </c:pt>
                <c:pt idx="17">
                  <c:v>89.546485260771</c:v>
                </c:pt>
                <c:pt idx="18">
                  <c:v>88.7528344671202</c:v>
                </c:pt>
                <c:pt idx="19">
                  <c:v>94.1609977324263</c:v>
                </c:pt>
                <c:pt idx="20">
                  <c:v>87.8458049886622</c:v>
                </c:pt>
                <c:pt idx="21">
                  <c:v>93.8662131519275</c:v>
                </c:pt>
                <c:pt idx="22">
                  <c:v>93.7414965986395</c:v>
                </c:pt>
                <c:pt idx="23">
                  <c:v>79.920634920635</c:v>
                </c:pt>
                <c:pt idx="24">
                  <c:v>80.1133786848073</c:v>
                </c:pt>
                <c:pt idx="25">
                  <c:v>82.8571428571429</c:v>
                </c:pt>
                <c:pt idx="26">
                  <c:v>80.1133786848073</c:v>
                </c:pt>
                <c:pt idx="27">
                  <c:v>71.8027210884354</c:v>
                </c:pt>
                <c:pt idx="28">
                  <c:v>68.3219954648526</c:v>
                </c:pt>
                <c:pt idx="29">
                  <c:v>88.6167800453515</c:v>
                </c:pt>
                <c:pt idx="30">
                  <c:v>84.4557823129252</c:v>
                </c:pt>
                <c:pt idx="31">
                  <c:v>85</c:v>
                </c:pt>
                <c:pt idx="32">
                  <c:v>64.5351473922903</c:v>
                </c:pt>
                <c:pt idx="33">
                  <c:v>85</c:v>
                </c:pt>
                <c:pt idx="34">
                  <c:v>66.1904761904762</c:v>
                </c:pt>
                <c:pt idx="35">
                  <c:v>69.4331065759637</c:v>
                </c:pt>
                <c:pt idx="36">
                  <c:v>80.3401360544218</c:v>
                </c:pt>
                <c:pt idx="37">
                  <c:v>80.3401360544218</c:v>
                </c:pt>
                <c:pt idx="38">
                  <c:v>78.0045351473923</c:v>
                </c:pt>
                <c:pt idx="39">
                  <c:v>71.7800453514739</c:v>
                </c:pt>
                <c:pt idx="40">
                  <c:v>56.9614512471655</c:v>
                </c:pt>
                <c:pt idx="41">
                  <c:v>42.8231292517007</c:v>
                </c:pt>
                <c:pt idx="42">
                  <c:v>89.172335600907</c:v>
                </c:pt>
                <c:pt idx="43">
                  <c:v>61.0997732426304</c:v>
                </c:pt>
                <c:pt idx="44">
                  <c:v>89.172335600907</c:v>
                </c:pt>
                <c:pt idx="45">
                  <c:v>65.1814058956916</c:v>
                </c:pt>
                <c:pt idx="46">
                  <c:v>42.8231292517007</c:v>
                </c:pt>
                <c:pt idx="47">
                  <c:v>57.1882086167801</c:v>
                </c:pt>
                <c:pt idx="48">
                  <c:v>61.6099773242631</c:v>
                </c:pt>
                <c:pt idx="49">
                  <c:v>61.0997732426304</c:v>
                </c:pt>
                <c:pt idx="50">
                  <c:v>77.3242630385488</c:v>
                </c:pt>
                <c:pt idx="51">
                  <c:v>47.2562358276644</c:v>
                </c:pt>
                <c:pt idx="52">
                  <c:v>48.7528344671202</c:v>
                </c:pt>
                <c:pt idx="53">
                  <c:v>52.2108843537415</c:v>
                </c:pt>
                <c:pt idx="54">
                  <c:v>75.9637188208617</c:v>
                </c:pt>
                <c:pt idx="55">
                  <c:v>35</c:v>
                </c:pt>
                <c:pt idx="56">
                  <c:v>54.9433106575964</c:v>
                </c:pt>
                <c:pt idx="57">
                  <c:v>74.4557823129252</c:v>
                </c:pt>
                <c:pt idx="58">
                  <c:v>38.3219954648526</c:v>
                </c:pt>
                <c:pt idx="59">
                  <c:v>37.0068027210884</c:v>
                </c:pt>
                <c:pt idx="60">
                  <c:v>#N/A</c:v>
                </c:pt>
              </c:numCache>
            </c:numRef>
          </c:xVal>
          <c:yVal>
            <c:numRef>
              <c:f>iCityScoreCard!$CE$6:$CE$66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7"/>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iCityScoreCard!$CC$70</c:f>
              <c:numCache>
                <c:formatCode>General</c:formatCode>
                <c:ptCount val="1"/>
                <c:pt idx="0">
                  <c:v>71.8027210884354</c:v>
                </c:pt>
              </c:numCache>
            </c:numRef>
          </c:xVal>
          <c:yVal>
            <c:numRef>
              <c:f>iCityScoreCard!$CB$70</c:f>
              <c:numCache>
                <c:formatCode>General</c:formatCode>
                <c:ptCount val="1"/>
                <c:pt idx="0">
                  <c:v>1</c:v>
                </c:pt>
              </c:numCache>
            </c:numRef>
          </c:yVal>
          <c:smooth val="0"/>
        </c:ser>
        <c:dLbls>
          <c:showLegendKey val="0"/>
          <c:showVal val="0"/>
          <c:showCatName val="0"/>
          <c:showSerName val="0"/>
          <c:showPercent val="0"/>
          <c:showBubbleSize val="0"/>
        </c:dLbls>
        <c:axId val="452335104"/>
        <c:axId val="452336256"/>
      </c:scatterChart>
      <c:valAx>
        <c:axId val="452335104"/>
        <c:scaling>
          <c:orientation val="minMax"/>
          <c:max val="100"/>
          <c:min val="0"/>
        </c:scaling>
        <c:delete val="1"/>
        <c:axPos val="b"/>
        <c:majorGridlines/>
        <c:numFmt formatCode="#,##0" sourceLinked="0"/>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336256"/>
        <c:crosses val="autoZero"/>
        <c:crossBetween val="midCat"/>
        <c:majorUnit val="10"/>
      </c:valAx>
      <c:valAx>
        <c:axId val="452336256"/>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335104"/>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ln w="28575" cap="rnd" cmpd="sng" algn="ctr">
              <a:noFill/>
              <a:prstDash val="solid"/>
              <a:round/>
            </a:ln>
          </c:spPr>
          <c:marker>
            <c:symbol val="diamond"/>
            <c:size val="6"/>
            <c:spPr>
              <a:solidFill>
                <a:schemeClr val="bg1">
                  <a:lumMod val="65000"/>
                </a:schemeClr>
              </a:solidFill>
              <a:ln w="9525" cap="flat" cmpd="sng" algn="ctr">
                <a:solidFill>
                  <a:srgbClr val="31659C"/>
                </a:solidFill>
                <a:prstDash val="solid"/>
                <a:round/>
              </a:ln>
            </c:spPr>
          </c:marker>
          <c:dLbls>
            <c:delete val="1"/>
          </c:dLbls>
          <c:xVal>
            <c:numRef>
              <c:f>iCityScoreCard!$CJ$6:$CJ$66</c:f>
              <c:numCache>
                <c:formatCode>General</c:formatCode>
                <c:ptCount val="61"/>
                <c:pt idx="0">
                  <c:v>87.5463896588618</c:v>
                </c:pt>
                <c:pt idx="1">
                  <c:v>95.0146743624438</c:v>
                </c:pt>
                <c:pt idx="2">
                  <c:v>87.5880265848671</c:v>
                </c:pt>
                <c:pt idx="3">
                  <c:v>89.4179391451398</c:v>
                </c:pt>
                <c:pt idx="4">
                  <c:v>81.8748923147478</c:v>
                </c:pt>
                <c:pt idx="5">
                  <c:v>82.2362299168649</c:v>
                </c:pt>
                <c:pt idx="6">
                  <c:v>77.7547077439903</c:v>
                </c:pt>
                <c:pt idx="7">
                  <c:v>91.2756974448189</c:v>
                </c:pt>
                <c:pt idx="8">
                  <c:v>87.4905460803838</c:v>
                </c:pt>
                <c:pt idx="9">
                  <c:v>89.0831926500788</c:v>
                </c:pt>
                <c:pt idx="10">
                  <c:v>81.6718008671738</c:v>
                </c:pt>
                <c:pt idx="11">
                  <c:v>80.2638051192829</c:v>
                </c:pt>
                <c:pt idx="12">
                  <c:v>79.6127011905947</c:v>
                </c:pt>
                <c:pt idx="13">
                  <c:v>80.5099885311989</c:v>
                </c:pt>
                <c:pt idx="14">
                  <c:v>77.9266471923461</c:v>
                </c:pt>
                <c:pt idx="15">
                  <c:v>90.0992054005624</c:v>
                </c:pt>
                <c:pt idx="16">
                  <c:v>80.7838153198686</c:v>
                </c:pt>
                <c:pt idx="17">
                  <c:v>77.2605920603337</c:v>
                </c:pt>
                <c:pt idx="18">
                  <c:v>76.9197385249842</c:v>
                </c:pt>
                <c:pt idx="19">
                  <c:v>76.872691647432</c:v>
                </c:pt>
                <c:pt idx="20">
                  <c:v>74.1097931907543</c:v>
                </c:pt>
                <c:pt idx="21">
                  <c:v>86.1707950531097</c:v>
                </c:pt>
                <c:pt idx="22">
                  <c:v>75.9072552412343</c:v>
                </c:pt>
                <c:pt idx="23">
                  <c:v>74.5328089414231</c:v>
                </c:pt>
                <c:pt idx="24">
                  <c:v>73.5499163132566</c:v>
                </c:pt>
                <c:pt idx="25">
                  <c:v>78.6557501204637</c:v>
                </c:pt>
                <c:pt idx="26">
                  <c:v>68.6694571174441</c:v>
                </c:pt>
                <c:pt idx="27">
                  <c:v>86.10017057061</c:v>
                </c:pt>
                <c:pt idx="28">
                  <c:v>68.5054141911695</c:v>
                </c:pt>
                <c:pt idx="29">
                  <c:v>83.4544523327568</c:v>
                </c:pt>
                <c:pt idx="30">
                  <c:v>77.5751523732371</c:v>
                </c:pt>
                <c:pt idx="31">
                  <c:v>76.5285701459284</c:v>
                </c:pt>
                <c:pt idx="32">
                  <c:v>73.5297218012422</c:v>
                </c:pt>
                <c:pt idx="33">
                  <c:v>75.1332031341141</c:v>
                </c:pt>
                <c:pt idx="34">
                  <c:v>75.847749230029</c:v>
                </c:pt>
                <c:pt idx="35">
                  <c:v>80.2060357045367</c:v>
                </c:pt>
                <c:pt idx="36">
                  <c:v>59.360623956106</c:v>
                </c:pt>
                <c:pt idx="37">
                  <c:v>59.8220610248664</c:v>
                </c:pt>
                <c:pt idx="38">
                  <c:v>51.2377998006852</c:v>
                </c:pt>
                <c:pt idx="39">
                  <c:v>59.8966031646102</c:v>
                </c:pt>
                <c:pt idx="40">
                  <c:v>59.0373441896908</c:v>
                </c:pt>
                <c:pt idx="41">
                  <c:v>77.2743325256026</c:v>
                </c:pt>
                <c:pt idx="42">
                  <c:v>64.0466783858782</c:v>
                </c:pt>
                <c:pt idx="43">
                  <c:v>60.6321006813934</c:v>
                </c:pt>
                <c:pt idx="44">
                  <c:v>66.6175812017623</c:v>
                </c:pt>
                <c:pt idx="45">
                  <c:v>46.1316183272281</c:v>
                </c:pt>
                <c:pt idx="46">
                  <c:v>79.2505427613812</c:v>
                </c:pt>
                <c:pt idx="47">
                  <c:v>68.0674500634544</c:v>
                </c:pt>
                <c:pt idx="48">
                  <c:v>59.9857208747085</c:v>
                </c:pt>
                <c:pt idx="49">
                  <c:v>54.203598166953</c:v>
                </c:pt>
                <c:pt idx="50">
                  <c:v>62.1794341144497</c:v>
                </c:pt>
                <c:pt idx="51">
                  <c:v>71.0974036834257</c:v>
                </c:pt>
                <c:pt idx="52">
                  <c:v>62.0676190794125</c:v>
                </c:pt>
                <c:pt idx="53">
                  <c:v>42.5015366068378</c:v>
                </c:pt>
                <c:pt idx="54">
                  <c:v>63.6896797438487</c:v>
                </c:pt>
                <c:pt idx="55">
                  <c:v>66.063951510523</c:v>
                </c:pt>
                <c:pt idx="56">
                  <c:v>63.5410049717938</c:v>
                </c:pt>
                <c:pt idx="57">
                  <c:v>59.8483603743997</c:v>
                </c:pt>
                <c:pt idx="58">
                  <c:v>66.5382349402438</c:v>
                </c:pt>
                <c:pt idx="59">
                  <c:v>26.6834712295477</c:v>
                </c:pt>
                <c:pt idx="60">
                  <c:v>#N/A</c:v>
                </c:pt>
              </c:numCache>
            </c:numRef>
          </c:xVal>
          <c:yVal>
            <c:numRef>
              <c:f>iCityScoreCard!$CK$6:$CK$66</c:f>
              <c:numCache>
                <c:formatCode>General</c:formatCode>
                <c:ptCount val="6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numCache>
            </c:numRef>
          </c:yVal>
          <c:smooth val="0"/>
        </c:ser>
        <c:ser>
          <c:idx val="1"/>
          <c:order val="1"/>
          <c:tx>
            <c:strRef>
              <c:f>uxb_works!$C$24</c:f>
              <c:strCache>
                <c:ptCount val="1"/>
                <c:pt idx="0">
                  <c:v>Abu Dhabi</c:v>
                </c:pt>
              </c:strCache>
            </c:strRef>
          </c:tx>
          <c:spPr>
            <a:ln w="28575" cap="rnd" cmpd="sng" algn="ctr">
              <a:noFill/>
              <a:prstDash val="solid"/>
              <a:round/>
            </a:ln>
          </c:spPr>
          <c:marker>
            <c:symbol val="circle"/>
            <c:size val="9"/>
            <c:spPr>
              <a:solidFill>
                <a:srgbClr val="C0504D"/>
              </a:solidFill>
              <a:ln w="9525" cap="flat" cmpd="sng" algn="ctr">
                <a:solidFill>
                  <a:srgbClr val="993366"/>
                </a:solidFill>
                <a:prstDash val="solid"/>
                <a:round/>
              </a:ln>
            </c:spPr>
          </c:marker>
          <c:dLbls>
            <c:spPr>
              <a:noFill/>
              <a:ln w="25400">
                <a:noFill/>
              </a:ln>
              <a:effectLst/>
            </c:spPr>
            <c:txPr>
              <a:bodyPr rot="0" spcFirstLastPara="0" vertOverflow="ellipsis" vert="horz" wrap="square" lIns="38100" tIns="19050" rIns="38100" bIns="19050" anchor="ctr" anchorCtr="1"/>
              <a:lstStyle/>
              <a:p>
                <a:pPr algn="ct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t"/>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iCityScoreCard!$CI$70</c:f>
              <c:numCache>
                <c:formatCode>General</c:formatCode>
                <c:ptCount val="1"/>
                <c:pt idx="0">
                  <c:v>86.10017057061</c:v>
                </c:pt>
              </c:numCache>
            </c:numRef>
          </c:xVal>
          <c:yVal>
            <c:numRef>
              <c:f>iCityScoreCard!$CH$70</c:f>
              <c:numCache>
                <c:formatCode>General</c:formatCode>
                <c:ptCount val="1"/>
                <c:pt idx="0">
                  <c:v>1</c:v>
                </c:pt>
              </c:numCache>
            </c:numRef>
          </c:yVal>
          <c:smooth val="0"/>
        </c:ser>
        <c:dLbls>
          <c:showLegendKey val="0"/>
          <c:showVal val="0"/>
          <c:showCatName val="0"/>
          <c:showSerName val="0"/>
          <c:showPercent val="0"/>
          <c:showBubbleSize val="0"/>
        </c:dLbls>
        <c:axId val="452371200"/>
        <c:axId val="452372736"/>
      </c:scatterChart>
      <c:valAx>
        <c:axId val="452371200"/>
        <c:scaling>
          <c:orientation val="minMax"/>
          <c:max val="100"/>
          <c:min val="0"/>
        </c:scaling>
        <c:delete val="1"/>
        <c:axPos val="b"/>
        <c:majorGridlines/>
        <c:numFmt formatCode="#,##0" sourceLinked="0"/>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372736"/>
        <c:crosses val="autoZero"/>
        <c:crossBetween val="midCat"/>
        <c:majorUnit val="10"/>
      </c:valAx>
      <c:valAx>
        <c:axId val="452372736"/>
        <c:scaling>
          <c:orientation val="minMax"/>
          <c:max val="2"/>
          <c:min val="0"/>
        </c:scaling>
        <c:delete val="1"/>
        <c:axPos val="l"/>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crossAx val="452371200"/>
        <c:crosses val="autoZero"/>
        <c:crossBetween val="midCat"/>
      </c:valAx>
      <c:spPr>
        <a:noFill/>
        <a:ln w="25400">
          <a:noFill/>
        </a:ln>
      </c:spPr>
    </c:plotArea>
    <c:plotVisOnly val="1"/>
    <c:dispBlanksAs val="gap"/>
    <c:showDLblsOverMax val="0"/>
  </c:chart>
  <c:spPr>
    <a:noFill/>
    <a:ln w="317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010238442648"/>
          <c:y val="0.0395189915207081"/>
          <c:w val="0.823836914350646"/>
          <c:h val="0.833335255980148"/>
        </c:manualLayout>
      </c:layout>
      <c:scatterChart>
        <c:scatterStyle val="marker"/>
        <c:varyColors val="0"/>
        <c:ser>
          <c:idx val="0"/>
          <c:order val="0"/>
          <c:tx>
            <c:strRef>
              <c:f>"base"</c:f>
              <c:strCache>
                <c:ptCount val="1"/>
                <c:pt idx="0">
                  <c:v>base</c:v>
                </c:pt>
              </c:strCache>
            </c:strRef>
          </c:tx>
          <c:spPr>
            <a:ln w="28575" cap="rnd" cmpd="sng" algn="ctr">
              <a:noFill/>
              <a:prstDash val="solid"/>
              <a:round/>
            </a:ln>
          </c:spPr>
          <c:marker>
            <c:symbol val="diamond"/>
            <c:size val="7"/>
            <c:spPr>
              <a:solidFill>
                <a:schemeClr val="bg1">
                  <a:lumMod val="50000"/>
                </a:schemeClr>
              </a:solidFill>
              <a:ln w="9525" cap="flat" cmpd="sng" algn="ctr">
                <a:noFill/>
                <a:prstDash val="solid"/>
                <a:round/>
              </a:ln>
            </c:spPr>
          </c:marker>
          <c:dLbls>
            <c:delete val="1"/>
          </c:dLbls>
          <c:xVal>
            <c:numRef>
              <c:f>iScatter_InOut!$W$19:$W$79</c:f>
              <c:numCache>
                <c:formatCode>General</c:formatCode>
                <c:ptCount val="61"/>
                <c:pt idx="0">
                  <c:v>63.3333333333333</c:v>
                </c:pt>
                <c:pt idx="1">
                  <c:v>80</c:v>
                </c:pt>
                <c:pt idx="2">
                  <c:v>60</c:v>
                </c:pt>
                <c:pt idx="3">
                  <c:v>28.3333333333333</c:v>
                </c:pt>
                <c:pt idx="4">
                  <c:v>80</c:v>
                </c:pt>
                <c:pt idx="5">
                  <c:v>63.3333333333333</c:v>
                </c:pt>
                <c:pt idx="6">
                  <c:v>41.6666666666667</c:v>
                </c:pt>
                <c:pt idx="7">
                  <c:v>80</c:v>
                </c:pt>
                <c:pt idx="8">
                  <c:v>66.6666666666667</c:v>
                </c:pt>
                <c:pt idx="9">
                  <c:v>26.6666666666667</c:v>
                </c:pt>
                <c:pt idx="10">
                  <c:v>46.6666666666667</c:v>
                </c:pt>
                <c:pt idx="11">
                  <c:v>46.6666666666667</c:v>
                </c:pt>
                <c:pt idx="12">
                  <c:v>100</c:v>
                </c:pt>
                <c:pt idx="13">
                  <c:v>100</c:v>
                </c:pt>
                <c:pt idx="14">
                  <c:v>63.3333333333333</c:v>
                </c:pt>
                <c:pt idx="15">
                  <c:v>26.6666666666667</c:v>
                </c:pt>
                <c:pt idx="16">
                  <c:v>58.3333333333333</c:v>
                </c:pt>
                <c:pt idx="17">
                  <c:v>80</c:v>
                </c:pt>
                <c:pt idx="18">
                  <c:v>21.6666666666667</c:v>
                </c:pt>
                <c:pt idx="19">
                  <c:v>100</c:v>
                </c:pt>
                <c:pt idx="20">
                  <c:v>60</c:v>
                </c:pt>
                <c:pt idx="21">
                  <c:v>28.3333333333333</c:v>
                </c:pt>
                <c:pt idx="22">
                  <c:v>58.3333333333333</c:v>
                </c:pt>
                <c:pt idx="23">
                  <c:v>58.3333333333333</c:v>
                </c:pt>
                <c:pt idx="24">
                  <c:v>35</c:v>
                </c:pt>
                <c:pt idx="25">
                  <c:v>58.3333333333333</c:v>
                </c:pt>
                <c:pt idx="26">
                  <c:v>41.6666666666667</c:v>
                </c:pt>
                <c:pt idx="27">
                  <c:v>58.3333333333333</c:v>
                </c:pt>
                <c:pt idx="28">
                  <c:v>80</c:v>
                </c:pt>
                <c:pt idx="29">
                  <c:v>100</c:v>
                </c:pt>
                <c:pt idx="30">
                  <c:v>80</c:v>
                </c:pt>
                <c:pt idx="31">
                  <c:v>31.6666666666667</c:v>
                </c:pt>
                <c:pt idx="32">
                  <c:v>90</c:v>
                </c:pt>
                <c:pt idx="33">
                  <c:v>58.3333333333333</c:v>
                </c:pt>
                <c:pt idx="34">
                  <c:v>83.3333333333333</c:v>
                </c:pt>
                <c:pt idx="35">
                  <c:v>41.6666666666667</c:v>
                </c:pt>
                <c:pt idx="36">
                  <c:v>63.3333333333333</c:v>
                </c:pt>
                <c:pt idx="37">
                  <c:v>100</c:v>
                </c:pt>
                <c:pt idx="38">
                  <c:v>78.3333333333333</c:v>
                </c:pt>
                <c:pt idx="39">
                  <c:v>73.3333333333333</c:v>
                </c:pt>
                <c:pt idx="40">
                  <c:v>48.3333333333333</c:v>
                </c:pt>
                <c:pt idx="41">
                  <c:v>43.3333333333333</c:v>
                </c:pt>
                <c:pt idx="42">
                  <c:v>48.3333333333333</c:v>
                </c:pt>
                <c:pt idx="43">
                  <c:v>80</c:v>
                </c:pt>
                <c:pt idx="44">
                  <c:v>100</c:v>
                </c:pt>
                <c:pt idx="45">
                  <c:v>58.3333333333333</c:v>
                </c:pt>
                <c:pt idx="46">
                  <c:v>43.3333333333333</c:v>
                </c:pt>
                <c:pt idx="47">
                  <c:v>66.6666666666667</c:v>
                </c:pt>
                <c:pt idx="48">
                  <c:v>53.3333333333333</c:v>
                </c:pt>
                <c:pt idx="49">
                  <c:v>95</c:v>
                </c:pt>
                <c:pt idx="50">
                  <c:v>75</c:v>
                </c:pt>
                <c:pt idx="51">
                  <c:v>90</c:v>
                </c:pt>
                <c:pt idx="52">
                  <c:v>88.3333333333333</c:v>
                </c:pt>
                <c:pt idx="53">
                  <c:v>16.6666666666667</c:v>
                </c:pt>
                <c:pt idx="54">
                  <c:v>88.3333333333333</c:v>
                </c:pt>
                <c:pt idx="55">
                  <c:v>90</c:v>
                </c:pt>
                <c:pt idx="56">
                  <c:v>90</c:v>
                </c:pt>
                <c:pt idx="57">
                  <c:v>68.3333333333333</c:v>
                </c:pt>
                <c:pt idx="58">
                  <c:v>16.6666666666667</c:v>
                </c:pt>
                <c:pt idx="59">
                  <c:v>75</c:v>
                </c:pt>
                <c:pt idx="60">
                  <c:v>#N/A</c:v>
                </c:pt>
              </c:numCache>
            </c:numRef>
          </c:xVal>
          <c:yVal>
            <c:numRef>
              <c:f>iScatter_InOut!$X$19:$X$79</c:f>
              <c:numCache>
                <c:formatCode>General</c:formatCode>
                <c:ptCount val="61"/>
                <c:pt idx="0">
                  <c:v>74.2150882505875</c:v>
                </c:pt>
                <c:pt idx="1">
                  <c:v>91.581420063715</c:v>
                </c:pt>
                <c:pt idx="2">
                  <c:v>63.8764642222547</c:v>
                </c:pt>
                <c:pt idx="3">
                  <c:v>60.5529125700813</c:v>
                </c:pt>
                <c:pt idx="4">
                  <c:v>68.8829344649958</c:v>
                </c:pt>
                <c:pt idx="5">
                  <c:v>67.4191728998378</c:v>
                </c:pt>
                <c:pt idx="6">
                  <c:v>67.5786932272712</c:v>
                </c:pt>
                <c:pt idx="7">
                  <c:v>79.9263203149653</c:v>
                </c:pt>
                <c:pt idx="8">
                  <c:v>81.6193386466095</c:v>
                </c:pt>
                <c:pt idx="9">
                  <c:v>59.9197056318446</c:v>
                </c:pt>
                <c:pt idx="10">
                  <c:v>70.1064630550185</c:v>
                </c:pt>
                <c:pt idx="11">
                  <c:v>68.077889952751</c:v>
                </c:pt>
                <c:pt idx="12">
                  <c:v>73.5008949775786</c:v>
                </c:pt>
                <c:pt idx="13">
                  <c:v>69.3075699885384</c:v>
                </c:pt>
                <c:pt idx="14">
                  <c:v>45.8778432177515</c:v>
                </c:pt>
                <c:pt idx="15">
                  <c:v>50</c:v>
                </c:pt>
                <c:pt idx="16">
                  <c:v>69.7034285143048</c:v>
                </c:pt>
                <c:pt idx="17">
                  <c:v>81.0008704326114</c:v>
                </c:pt>
                <c:pt idx="18">
                  <c:v>57.8977993515404</c:v>
                </c:pt>
                <c:pt idx="19">
                  <c:v>71.5487041835432</c:v>
                </c:pt>
                <c:pt idx="20">
                  <c:v>63.4129117309004</c:v>
                </c:pt>
                <c:pt idx="21">
                  <c:v>44.8756478841065</c:v>
                </c:pt>
                <c:pt idx="22">
                  <c:v>73.3878405441158</c:v>
                </c:pt>
                <c:pt idx="23">
                  <c:v>74.2225000966826</c:v>
                </c:pt>
                <c:pt idx="24">
                  <c:v>51.4351193956541</c:v>
                </c:pt>
                <c:pt idx="25">
                  <c:v>74.0010961144802</c:v>
                </c:pt>
                <c:pt idx="26">
                  <c:v>78.6667195122139</c:v>
                </c:pt>
                <c:pt idx="27">
                  <c:v>61.2245567888449</c:v>
                </c:pt>
                <c:pt idx="28">
                  <c:v>66.7270163685102</c:v>
                </c:pt>
                <c:pt idx="29">
                  <c:v>70.2394199861029</c:v>
                </c:pt>
                <c:pt idx="30">
                  <c:v>68.8829344649958</c:v>
                </c:pt>
                <c:pt idx="31">
                  <c:v>41.5517019163507</c:v>
                </c:pt>
                <c:pt idx="32">
                  <c:v>76.6341257088476</c:v>
                </c:pt>
                <c:pt idx="33">
                  <c:v>49.0473294346234</c:v>
                </c:pt>
                <c:pt idx="34">
                  <c:v>63.245978498612</c:v>
                </c:pt>
                <c:pt idx="35">
                  <c:v>56.3892491329993</c:v>
                </c:pt>
                <c:pt idx="36">
                  <c:v>45.8778432177515</c:v>
                </c:pt>
                <c:pt idx="37">
                  <c:v>69.900565441534</c:v>
                </c:pt>
                <c:pt idx="38">
                  <c:v>85.8885732648221</c:v>
                </c:pt>
                <c:pt idx="39">
                  <c:v>67.4135306914681</c:v>
                </c:pt>
                <c:pt idx="40">
                  <c:v>72.9635620344263</c:v>
                </c:pt>
                <c:pt idx="41">
                  <c:v>60.5914718403423</c:v>
                </c:pt>
                <c:pt idx="42">
                  <c:v>73.3878405441158</c:v>
                </c:pt>
                <c:pt idx="43">
                  <c:v>63.245978498612</c:v>
                </c:pt>
                <c:pt idx="44">
                  <c:v>70.2394199861029</c:v>
                </c:pt>
                <c:pt idx="45">
                  <c:v>62.7980596341641</c:v>
                </c:pt>
                <c:pt idx="46">
                  <c:v>60.5914718403423</c:v>
                </c:pt>
                <c:pt idx="47">
                  <c:v>90.1820003736209</c:v>
                </c:pt>
                <c:pt idx="48">
                  <c:v>65.5131160866378</c:v>
                </c:pt>
                <c:pt idx="49">
                  <c:v>78.6768365386855</c:v>
                </c:pt>
                <c:pt idx="50">
                  <c:v>90.6135490989646</c:v>
                </c:pt>
                <c:pt idx="51">
                  <c:v>75.9140598016387</c:v>
                </c:pt>
                <c:pt idx="52">
                  <c:v>43.6212212501698</c:v>
                </c:pt>
                <c:pt idx="53">
                  <c:v>63.1030714558244</c:v>
                </c:pt>
                <c:pt idx="54">
                  <c:v>88.47233916716</c:v>
                </c:pt>
                <c:pt idx="55">
                  <c:v>80.6631787288569</c:v>
                </c:pt>
                <c:pt idx="56">
                  <c:v>71.764265436663</c:v>
                </c:pt>
                <c:pt idx="57">
                  <c:v>81.2687094091745</c:v>
                </c:pt>
                <c:pt idx="58">
                  <c:v>61.4677378705957</c:v>
                </c:pt>
                <c:pt idx="59">
                  <c:v>80.9539626276761</c:v>
                </c:pt>
                <c:pt idx="60">
                  <c:v>#N/A</c:v>
                </c:pt>
              </c:numCache>
            </c:numRef>
          </c:yVal>
          <c:smooth val="0"/>
        </c:ser>
        <c:ser>
          <c:idx val="1"/>
          <c:order val="1"/>
          <c:tx>
            <c:strRef>
              <c:f>"Highlighted"</c:f>
              <c:strCache>
                <c:ptCount val="1"/>
                <c:pt idx="0">
                  <c:v>Highlighted</c:v>
                </c:pt>
              </c:strCache>
            </c:strRef>
          </c:tx>
          <c:spPr>
            <a:ln w="28575" cap="rnd" cmpd="sng" algn="ctr">
              <a:noFill/>
              <a:prstDash val="solid"/>
              <a:round/>
            </a:ln>
          </c:spPr>
          <c:marker>
            <c:symbol val="diamond"/>
            <c:size val="8"/>
            <c:spPr>
              <a:solidFill>
                <a:srgbClr val="FF9900"/>
              </a:solidFill>
              <a:ln w="9525" cap="flat" cmpd="sng" algn="ctr">
                <a:solidFill>
                  <a:srgbClr val="FF9900"/>
                </a:solidFill>
                <a:prstDash val="solid"/>
                <a:round/>
              </a:ln>
            </c:spPr>
          </c:marker>
          <c:dLbls>
            <c:dLbl>
              <c:idx val="0"/>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1"/>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2"/>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3"/>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4"/>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5"/>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6"/>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7"/>
              <c:layout/>
              <c:numFmt formatCode="General" sourceLinked="1"/>
              <c:spPr>
                <a:noFill/>
                <a:ln w="25400">
                  <a:noFill/>
                </a:ln>
                <a:effectLst/>
              </c:spPr>
              <c:txPr>
                <a:bodyPr rot="0" spcFirstLastPara="0" vertOverflow="ellipsis" vert="horz" wrap="square" lIns="38100" tIns="19050" rIns="38100" bIns="19050"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extLst>
                <c:ext xmlns:c15="http://schemas.microsoft.com/office/drawing/2012/chart" uri="{CE6537A1-D6FC-4f65-9D91-7224C49458BB}"/>
              </c:extLst>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delete val="1"/>
            </c:dLbl>
            <c:dLbl>
              <c:idx val="25"/>
              <c:delete val="1"/>
            </c:dLbl>
            <c:dLbl>
              <c:idx val="26"/>
              <c:delete val="1"/>
            </c:dLbl>
            <c:dLbl>
              <c:idx val="27"/>
              <c:delete val="1"/>
            </c:dLbl>
            <c:dLbl>
              <c:idx val="28"/>
              <c:delete val="1"/>
            </c:dLbl>
            <c:dLbl>
              <c:idx val="29"/>
              <c:delete val="1"/>
            </c:dLbl>
            <c:dLbl>
              <c:idx val="30"/>
              <c:delete val="1"/>
            </c:dLbl>
            <c:dLbl>
              <c:idx val="31"/>
              <c:delete val="1"/>
            </c:dLbl>
            <c:dLbl>
              <c:idx val="32"/>
              <c:delete val="1"/>
            </c:dLbl>
            <c:dLbl>
              <c:idx val="33"/>
              <c:delete val="1"/>
            </c:dLbl>
            <c:dLbl>
              <c:idx val="34"/>
              <c:delete val="1"/>
            </c:dLbl>
            <c:dLbl>
              <c:idx val="35"/>
              <c:delete val="1"/>
            </c:dLbl>
            <c:dLbl>
              <c:idx val="36"/>
              <c:delete val="1"/>
            </c:dLbl>
            <c:dLbl>
              <c:idx val="37"/>
              <c:delete val="1"/>
            </c:dLbl>
            <c:dLbl>
              <c:idx val="38"/>
              <c:delete val="1"/>
            </c:dLbl>
            <c:dLbl>
              <c:idx val="39"/>
              <c:delete val="1"/>
            </c:dLbl>
            <c:dLbl>
              <c:idx val="40"/>
              <c:delete val="1"/>
            </c:dLbl>
            <c:dLbl>
              <c:idx val="41"/>
              <c:delete val="1"/>
            </c:dLbl>
            <c:dLbl>
              <c:idx val="42"/>
              <c:delete val="1"/>
            </c:dLbl>
            <c:dLbl>
              <c:idx val="43"/>
              <c:delete val="1"/>
            </c:dLbl>
            <c:dLbl>
              <c:idx val="44"/>
              <c:delete val="1"/>
            </c:dLbl>
            <c:dLbl>
              <c:idx val="45"/>
              <c:delete val="1"/>
            </c:dLbl>
            <c:dLbl>
              <c:idx val="46"/>
              <c:delete val="1"/>
            </c:dLbl>
            <c:dLbl>
              <c:idx val="47"/>
              <c:delete val="1"/>
            </c:dLbl>
            <c:dLbl>
              <c:idx val="48"/>
              <c:delete val="1"/>
            </c:dLbl>
            <c:dLbl>
              <c:idx val="49"/>
              <c:delete val="1"/>
            </c:dLbl>
            <c:dLbl>
              <c:idx val="50"/>
              <c:delete val="1"/>
            </c:dLbl>
            <c:dLbl>
              <c:idx val="51"/>
              <c:delete val="1"/>
            </c:dLbl>
            <c:dLbl>
              <c:idx val="52"/>
              <c:delete val="1"/>
            </c:dLbl>
            <c:dLbl>
              <c:idx val="53"/>
              <c:delete val="1"/>
            </c:dLbl>
            <c:dLbl>
              <c:idx val="54"/>
              <c:delete val="1"/>
            </c:dLbl>
            <c:dLbl>
              <c:idx val="55"/>
              <c:delete val="1"/>
            </c:dLbl>
            <c:dLbl>
              <c:idx val="56"/>
              <c:delete val="1"/>
            </c:dLbl>
            <c:dLbl>
              <c:idx val="57"/>
              <c:delete val="1"/>
            </c:dLbl>
            <c:dLbl>
              <c:idx val="58"/>
              <c:delete val="1"/>
            </c:dLbl>
            <c:dLbl>
              <c:idx val="59"/>
              <c:delete val="1"/>
            </c:dLbl>
            <c:dLbl>
              <c:idx val="60"/>
              <c:delete val="1"/>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xVal>
            <c:numRef>
              <c:f>iScatter_InOut!$Z$19:$Z$79</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iScatter_InOut!$AA$19:$AA$79</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yVal>
          <c:smooth val="0"/>
        </c:ser>
        <c:ser>
          <c:idx val="2"/>
          <c:order val="2"/>
          <c:tx>
            <c:strRef>
              <c:f>"Labels"</c:f>
              <c:strCache>
                <c:ptCount val="1"/>
                <c:pt idx="0">
                  <c:v>Labels</c:v>
                </c:pt>
              </c:strCache>
            </c:strRef>
          </c:tx>
          <c:spPr>
            <a:ln w="28575" cap="rnd" cmpd="sng" algn="ctr">
              <a:noFill/>
              <a:prstDash val="solid"/>
              <a:round/>
            </a:ln>
          </c:spPr>
          <c:marker>
            <c:symbol val="none"/>
          </c:marker>
          <c:dLbls>
            <c:dLbl>
              <c:idx val="0"/>
              <c:layout/>
              <c:tx>
                <c:strRef>
                  <c:f>iScatter!$B$19</c:f>
                  <c:strCache>
                    <c:ptCount val="1"/>
                    <c:pt idx="0">
                      <c:v>Abu Dhabi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
              <c:layout/>
              <c:tx>
                <c:strRef>
                  <c:f>iScatter!$B$20</c:f>
                  <c:strCache>
                    <c:ptCount val="1"/>
                    <c:pt idx="0">
                      <c:v>Amsterdam</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
              <c:layout/>
              <c:tx>
                <c:strRef>
                  <c:f>iScatter!$B$21</c:f>
                  <c:strCache>
                    <c:ptCount val="1"/>
                    <c:pt idx="0">
                      <c:v>Athens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
              <c:layout/>
              <c:tx>
                <c:strRef>
                  <c:f>iScatter!$B$22</c:f>
                  <c:strCache>
                    <c:ptCount val="1"/>
                    <c:pt idx="0">
                      <c:v>Bangkok</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
              <c:layout/>
              <c:tx>
                <c:strRef>
                  <c:f>iScatter!$B$23</c:f>
                  <c:strCache>
                    <c:ptCount val="1"/>
                    <c:pt idx="0">
                      <c:v>Barcelona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
              <c:layout/>
              <c:tx>
                <c:strRef>
                  <c:f>iScatter!$B$24</c:f>
                  <c:strCache>
                    <c:ptCount val="1"/>
                    <c:pt idx="0">
                      <c:v>Beijing</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6"/>
              <c:layout/>
              <c:tx>
                <c:strRef>
                  <c:f>iScatter!$B$25</c:f>
                  <c:strCache>
                    <c:ptCount val="1"/>
                    <c:pt idx="0">
                      <c:v>Bogota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7"/>
              <c:layout/>
              <c:tx>
                <c:strRef>
                  <c:f>iScatter!$B$26</c:f>
                  <c:strCache>
                    <c:ptCount val="1"/>
                    <c:pt idx="0">
                      <c:v>Brussels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8"/>
              <c:layout/>
              <c:tx>
                <c:strRef>
                  <c:f>iScatter!$B$27</c:f>
                  <c:strCache>
                    <c:ptCount val="1"/>
                    <c:pt idx="0">
                      <c:v>Buenos Aires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9"/>
              <c:layout/>
              <c:tx>
                <c:strRef>
                  <c:f>iScatter!$B$28</c:f>
                  <c:strCache>
                    <c:ptCount val="1"/>
                    <c:pt idx="0">
                      <c:v>Cairo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0"/>
              <c:layout/>
              <c:tx>
                <c:strRef>
                  <c:f>iScatter!$B$29</c:f>
                  <c:strCache>
                    <c:ptCount val="1"/>
                    <c:pt idx="0">
                      <c:v>Caracas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1"/>
              <c:layout/>
              <c:tx>
                <c:strRef>
                  <c:f>iScatter!$B$30</c:f>
                  <c:strCache>
                    <c:ptCount val="1"/>
                    <c:pt idx="0">
                      <c:v>Casablanca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2"/>
              <c:layout/>
              <c:tx>
                <c:strRef>
                  <c:f>iScatter!$B$31</c:f>
                  <c:strCache>
                    <c:ptCount val="1"/>
                    <c:pt idx="0">
                      <c:v>Chicago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3"/>
              <c:layout/>
              <c:tx>
                <c:strRef>
                  <c:f>iScatter!$B$32</c:f>
                  <c:strCache>
                    <c:ptCount val="1"/>
                    <c:pt idx="0">
                      <c:v>Dallas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4"/>
              <c:layout/>
              <c:tx>
                <c:strRef>
                  <c:f>iScatter!$B$33</c:f>
                  <c:strCache>
                    <c:ptCount val="1"/>
                    <c:pt idx="0">
                      <c:v>Delhi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5"/>
              <c:layout/>
              <c:tx>
                <c:strRef>
                  <c:f>iScatter!$B$34</c:f>
                  <c:strCache>
                    <c:ptCount val="1"/>
                    <c:pt idx="0">
                      <c:v>Dhaka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6"/>
              <c:layout/>
              <c:tx>
                <c:strRef>
                  <c:f>iScatter!$B$35</c:f>
                  <c:strCache>
                    <c:ptCount val="1"/>
                    <c:pt idx="0">
                      <c:v>Doha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7"/>
              <c:layout/>
              <c:tx>
                <c:strRef>
                  <c:f>iScatter!$B$36</c:f>
                  <c:strCache>
                    <c:ptCount val="1"/>
                    <c:pt idx="0">
                      <c:v>Frankfurt</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8"/>
              <c:layout/>
              <c:tx>
                <c:strRef>
                  <c:f>iScatter!$B$37</c:f>
                  <c:strCache>
                    <c:ptCount val="1"/>
                    <c:pt idx="0">
                      <c:v>Ho Chi Minh City</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19"/>
              <c:layout/>
              <c:tx>
                <c:strRef>
                  <c:f>iScatter!$B$38</c:f>
                  <c:strCache>
                    <c:ptCount val="1"/>
                    <c:pt idx="0">
                      <c:v>Hong Kong</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0"/>
              <c:layout/>
              <c:tx>
                <c:strRef>
                  <c:f>iScatter!$B$39</c:f>
                  <c:strCache>
                    <c:ptCount val="1"/>
                    <c:pt idx="0">
                      <c:v>Istanbul</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1"/>
              <c:layout/>
              <c:tx>
                <c:strRef>
                  <c:f>iScatter!$B$40</c:f>
                  <c:strCache>
                    <c:ptCount val="1"/>
                    <c:pt idx="0">
                      <c:v>Jakarta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2"/>
              <c:layout/>
              <c:tx>
                <c:strRef>
                  <c:f>iScatter!$B$41</c:f>
                  <c:strCache>
                    <c:ptCount val="1"/>
                    <c:pt idx="0">
                      <c:v>Jeddah</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3"/>
              <c:layout/>
              <c:tx>
                <c:strRef>
                  <c:f>iScatter!$B$42</c:f>
                  <c:strCache>
                    <c:ptCount val="1"/>
                    <c:pt idx="0">
                      <c:v>Johannesburg</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4"/>
              <c:layout/>
              <c:tx>
                <c:strRef>
                  <c:f>iScatter!$B$43</c:f>
                  <c:strCache>
                    <c:ptCount val="1"/>
                    <c:pt idx="0">
                      <c:v>Karachi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5"/>
              <c:layout/>
              <c:tx>
                <c:strRef>
                  <c:f>iScatter!$B$44</c:f>
                  <c:strCache>
                    <c:ptCount val="1"/>
                    <c:pt idx="0">
                      <c:v>Kuala Lumpur</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6"/>
              <c:layout/>
              <c:tx>
                <c:strRef>
                  <c:f>iScatter!$B$45</c:f>
                  <c:strCache>
                    <c:ptCount val="1"/>
                    <c:pt idx="0">
                      <c:v>Kuwait City</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7"/>
              <c:layout/>
              <c:tx>
                <c:strRef>
                  <c:f>iScatter!$B$46</c:f>
                  <c:strCache>
                    <c:ptCount val="1"/>
                    <c:pt idx="0">
                      <c:v>Lima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8"/>
              <c:layout/>
              <c:tx>
                <c:strRef>
                  <c:f>iScatter!$B$47</c:f>
                  <c:strCache>
                    <c:ptCount val="1"/>
                    <c:pt idx="0">
                      <c:v>London</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29"/>
              <c:layout/>
              <c:tx>
                <c:strRef>
                  <c:f>iScatter!$B$48</c:f>
                  <c:strCache>
                    <c:ptCount val="1"/>
                    <c:pt idx="0">
                      <c:v>Los Angeles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0"/>
              <c:layout/>
              <c:tx>
                <c:strRef>
                  <c:f>iScatter!$B$49</c:f>
                  <c:strCache>
                    <c:ptCount val="1"/>
                    <c:pt idx="0">
                      <c:v>Madrid</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1"/>
              <c:layout/>
              <c:tx>
                <c:strRef>
                  <c:f>iScatter!$B$50</c:f>
                  <c:strCache>
                    <c:ptCount val="1"/>
                    <c:pt idx="0">
                      <c:v>Manila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2"/>
              <c:layout/>
              <c:tx>
                <c:strRef>
                  <c:f>iScatter!$B$51</c:f>
                  <c:strCache>
                    <c:ptCount val="1"/>
                    <c:pt idx="0">
                      <c:v>Melbourne</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3"/>
              <c:layout/>
              <c:tx>
                <c:strRef>
                  <c:f>iScatter!$B$52</c:f>
                  <c:strCache>
                    <c:ptCount val="1"/>
                    <c:pt idx="0">
                      <c:v>Mexico City</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4"/>
              <c:layout/>
              <c:tx>
                <c:strRef>
                  <c:f>iScatter!$B$53</c:f>
                  <c:strCache>
                    <c:ptCount val="1"/>
                    <c:pt idx="0">
                      <c:v>Milan</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5"/>
              <c:layout/>
              <c:tx>
                <c:strRef>
                  <c:f>iScatter!$B$54</c:f>
                  <c:strCache>
                    <c:ptCount val="1"/>
                    <c:pt idx="0">
                      <c:v>Moscow</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6"/>
              <c:layout/>
              <c:tx>
                <c:strRef>
                  <c:f>iScatter!$B$55</c:f>
                  <c:strCache>
                    <c:ptCount val="1"/>
                    <c:pt idx="0">
                      <c:v>Mumbai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7"/>
              <c:layout/>
              <c:tx>
                <c:strRef>
                  <c:f>iScatter!$B$56</c:f>
                  <c:strCache>
                    <c:ptCount val="1"/>
                    <c:pt idx="0">
                      <c:v>New York</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8"/>
              <c:layout/>
              <c:tx>
                <c:strRef>
                  <c:f>iScatter!$B$57</c:f>
                  <c:strCache>
                    <c:ptCount val="1"/>
                    <c:pt idx="0">
                      <c:v>Osaka</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39"/>
              <c:layout/>
              <c:tx>
                <c:strRef>
                  <c:f>iScatter!$B$58</c:f>
                  <c:strCache>
                    <c:ptCount val="1"/>
                    <c:pt idx="0">
                      <c:v>Paris</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0"/>
              <c:layout/>
              <c:tx>
                <c:strRef>
                  <c:f>iScatter!$B$59</c:f>
                  <c:strCache>
                    <c:ptCount val="1"/>
                    <c:pt idx="0">
                      <c:v>Quito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1"/>
              <c:layout/>
              <c:tx>
                <c:strRef>
                  <c:f>iScatter!$B$60</c:f>
                  <c:strCache>
                    <c:ptCount val="1"/>
                    <c:pt idx="0">
                      <c:v>Rio de Janeiro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2"/>
              <c:layout/>
              <c:tx>
                <c:strRef>
                  <c:f>iScatter!$B$61</c:f>
                  <c:strCache>
                    <c:ptCount val="1"/>
                    <c:pt idx="0">
                      <c:v>Riyadh</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3"/>
              <c:layout/>
              <c:tx>
                <c:strRef>
                  <c:f>iScatter!$B$62</c:f>
                  <c:strCache>
                    <c:ptCount val="1"/>
                    <c:pt idx="0">
                      <c:v>Rome</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4"/>
              <c:layout/>
              <c:tx>
                <c:strRef>
                  <c:f>iScatter!$B$63</c:f>
                  <c:strCache>
                    <c:ptCount val="1"/>
                    <c:pt idx="0">
                      <c:v>San Francisco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5"/>
              <c:layout/>
              <c:tx>
                <c:strRef>
                  <c:f>iScatter!$B$64</c:f>
                  <c:strCache>
                    <c:ptCount val="1"/>
                    <c:pt idx="0">
                      <c:v>Santiago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6"/>
              <c:layout/>
              <c:tx>
                <c:strRef>
                  <c:f>iScatter!$B$65</c:f>
                  <c:strCache>
                    <c:ptCount val="1"/>
                    <c:pt idx="0">
                      <c:v>Sao Paulo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7"/>
              <c:layout/>
              <c:tx>
                <c:strRef>
                  <c:f>iScatter!$B$66</c:f>
                  <c:strCache>
                    <c:ptCount val="1"/>
                    <c:pt idx="0">
                      <c:v>Seoul</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8"/>
              <c:layout/>
              <c:tx>
                <c:strRef>
                  <c:f>iScatter!$B$67</c:f>
                  <c:strCache>
                    <c:ptCount val="1"/>
                    <c:pt idx="0">
                      <c:v>Shanghai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49"/>
              <c:layout/>
              <c:tx>
                <c:strRef>
                  <c:f>iScatter!$B$68</c:f>
                  <c:strCache>
                    <c:ptCount val="1"/>
                    <c:pt idx="0">
                      <c:v>Singapore</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0"/>
              <c:layout/>
              <c:tx>
                <c:strRef>
                  <c:f>iScatter!$B$69</c:f>
                  <c:strCache>
                    <c:ptCount val="1"/>
                    <c:pt idx="0">
                      <c:v>Stockholm</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1"/>
              <c:layout/>
              <c:tx>
                <c:strRef>
                  <c:f>iScatter!$B$70</c:f>
                  <c:strCache>
                    <c:ptCount val="1"/>
                    <c:pt idx="0">
                      <c:v>Sydney</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2"/>
              <c:layout/>
              <c:tx>
                <c:strRef>
                  <c:f>iScatter!$B$71</c:f>
                  <c:strCache>
                    <c:ptCount val="1"/>
                    <c:pt idx="0">
                      <c:v>Taipei</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3"/>
              <c:layout/>
              <c:tx>
                <c:strRef>
                  <c:f>iScatter!$B$72</c:f>
                  <c:strCache>
                    <c:ptCount val="1"/>
                    <c:pt idx="0">
                      <c:v>Tehran</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4"/>
              <c:layout/>
              <c:tx>
                <c:strRef>
                  <c:f>iScatter!$B$73</c:f>
                  <c:strCache>
                    <c:ptCount val="1"/>
                    <c:pt idx="0">
                      <c:v>Tokyo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5"/>
              <c:layout/>
              <c:tx>
                <c:strRef>
                  <c:f>iScatter!$B$74</c:f>
                  <c:strCache>
                    <c:ptCount val="1"/>
                    <c:pt idx="0">
                      <c:v>Toronto</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6"/>
              <c:layout/>
              <c:tx>
                <c:strRef>
                  <c:f>iScatter!$B$75</c:f>
                  <c:strCache>
                    <c:ptCount val="1"/>
                    <c:pt idx="0">
                      <c:v>Washington DC</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7"/>
              <c:layout/>
              <c:tx>
                <c:strRef>
                  <c:f>iScatter!$B$76</c:f>
                  <c:strCache>
                    <c:ptCount val="1"/>
                    <c:pt idx="0">
                      <c:v>Wellington</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8"/>
              <c:layout/>
              <c:tx>
                <c:strRef>
                  <c:f>iScatter!$B$77</c:f>
                  <c:strCache>
                    <c:ptCount val="1"/>
                    <c:pt idx="0">
                      <c:v>Yangon</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59"/>
              <c:layout/>
              <c:tx>
                <c:strRef>
                  <c:f>iScatter!$B$78</c:f>
                  <c:strCache>
                    <c:ptCount val="1"/>
                    <c:pt idx="0">
                      <c:v>Zurich</c:v>
                    </c:pt>
                  </c:strCache>
                </c:strRef>
              </c:tx>
              <c:dLblPos val="r"/>
              <c:showLegendKey val="0"/>
              <c:showVal val="1"/>
              <c:showCatName val="0"/>
              <c:showSerName val="0"/>
              <c:showPercent val="0"/>
              <c:showBubbleSize val="0"/>
              <c:extLst>
                <c:ext xmlns:c15="http://schemas.microsoft.com/office/drawing/2012/chart" uri="{CE6537A1-D6FC-4f65-9D91-7224C49458BB}"/>
              </c:extLst>
            </c:dLbl>
            <c:dLbl>
              <c:idx val="60"/>
              <c:layout/>
              <c:tx>
                <c:strRef>
                  <c:f>iScatter!$B$79</c:f>
                  <c:strCache>
                    <c:ptCount val="1"/>
                    <c:pt idx="0">
                      <c:v>Kyoto</c:v>
                    </c:pt>
                  </c:strCache>
                </c:strRef>
              </c:tx>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xVal>
            <c:numRef>
              <c:f>iScatter_InOut!$T$19:$T$79</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xVal>
          <c:yVal>
            <c:numRef>
              <c:f>iScatter_InOut!$U$19:$U$79</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yVal>
          <c:smooth val="0"/>
        </c:ser>
        <c:ser>
          <c:idx val="4"/>
          <c:order val="3"/>
          <c:tx>
            <c:strRef>
              <c:f>iScatter_InOut!$O$23</c:f>
              <c:strCache>
                <c:ptCount val="1"/>
                <c:pt idx="0">
                  <c:v>#N/A</c:v>
                </c:pt>
              </c:strCache>
            </c:strRef>
          </c:tx>
          <c:spPr>
            <a:ln w="28575" cap="rnd" cmpd="sng" algn="ctr">
              <a:noFill/>
              <a:prstDash val="solid"/>
              <a:round/>
            </a:ln>
          </c:spPr>
          <c:marker>
            <c:symbol val="circle"/>
            <c:size val="7"/>
            <c:spPr>
              <a:solidFill>
                <a:srgbClr val="31659C"/>
              </a:solidFill>
              <a:ln w="9525" cap="flat" cmpd="sng" algn="ctr">
                <a:noFill/>
                <a:prstDash val="solid"/>
                <a:round/>
              </a:ln>
            </c:spPr>
          </c:marker>
          <c:dLbls>
            <c:dLbl>
              <c:idx val="0"/>
              <c:layout/>
              <c:numFmt formatCode="General" sourceLinked="1"/>
              <c:spPr>
                <a:noFill/>
                <a:ln w="25400">
                  <a:noFill/>
                </a:ln>
                <a:effectLst/>
              </c:spPr>
              <c:txPr>
                <a:bodyPr rot="0" spcFirstLastPara="0" vertOverflow="ellipsis" vert="horz" wrap="square" lIns="38100" tIns="19050" rIns="38100" bIns="19050" anchor="ctr" anchorCtr="1"/>
                <a:lstStyle/>
                <a:p>
                  <a:pPr>
                    <a:defRPr lang="en-US" sz="900" b="0" i="0" u="none" strike="noStrike" kern="1200" baseline="0">
                      <a:solidFill>
                        <a:srgbClr val="31659C"/>
                      </a:solidFill>
                      <a:latin typeface="Calibri" panose="020F0502020204030204"/>
                      <a:ea typeface="Calibri" panose="020F0502020204030204"/>
                      <a:cs typeface="Calibri" panose="020F0502020204030204"/>
                    </a:defRPr>
                  </a:pPr>
                </a:p>
              </c:txPr>
              <c:dLblPos val="r"/>
              <c:showLegendKey val="0"/>
              <c:showVal val="0"/>
              <c:showCatName val="0"/>
              <c:showSerName val="1"/>
              <c:showPercent val="0"/>
              <c:showBubbleSize val="0"/>
              <c:extLs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900" b="0" i="0" u="none" strike="noStrike" kern="1200" baseline="0">
                    <a:solidFill>
                      <a:srgbClr val="31659C"/>
                    </a:solidFill>
                    <a:latin typeface="Calibri" panose="020F0502020204030204"/>
                    <a:ea typeface="Calibri" panose="020F0502020204030204"/>
                    <a:cs typeface="Calibri" panose="020F0502020204030204"/>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xVal>
            <c:numRef>
              <c:f>iScatter_InOut!$P$23</c:f>
              <c:numCache>
                <c:formatCode>General</c:formatCode>
                <c:ptCount val="1"/>
                <c:pt idx="0">
                  <c:v>#N/A</c:v>
                </c:pt>
              </c:numCache>
            </c:numRef>
          </c:xVal>
          <c:yVal>
            <c:numRef>
              <c:f>iScatter_InOut!$Q$23</c:f>
              <c:numCache>
                <c:formatCode>General</c:formatCode>
                <c:ptCount val="1"/>
                <c:pt idx="0">
                  <c:v>#N/A</c:v>
                </c:pt>
              </c:numCache>
            </c:numRef>
          </c:yVal>
          <c:smooth val="0"/>
        </c:ser>
        <c:ser>
          <c:idx val="5"/>
          <c:order val="4"/>
          <c:tx>
            <c:strRef>
              <c:f>iScatter_InOut!$O$27</c:f>
              <c:strCache>
                <c:ptCount val="1"/>
                <c:pt idx="0">
                  <c:v>#N/A</c:v>
                </c:pt>
              </c:strCache>
            </c:strRef>
          </c:tx>
          <c:spPr>
            <a:ln w="28575" cap="rnd" cmpd="sng" algn="ctr">
              <a:noFill/>
              <a:prstDash val="solid"/>
              <a:round/>
            </a:ln>
          </c:spPr>
          <c:marker>
            <c:symbol val="circle"/>
            <c:size val="7"/>
            <c:spPr>
              <a:solidFill>
                <a:srgbClr val="31659C"/>
              </a:solidFill>
              <a:ln w="9525" cap="flat" cmpd="sng" algn="ctr">
                <a:noFill/>
                <a:prstDash val="solid"/>
                <a:round/>
              </a:ln>
            </c:spPr>
          </c:marker>
          <c:dLbls>
            <c:dLbl>
              <c:idx val="0"/>
              <c:layout/>
              <c:tx>
                <c:strRef>
                  <c:f>iScatter!$B$19</c:f>
                  <c:strCache>
                    <c:ptCount val="1"/>
                    <c:pt idx="0">
                      <c:v>Abu Dhabi</c:v>
                    </c:pt>
                  </c:strCache>
                </c:strRef>
              </c:tx>
              <c:dLblPos val="r"/>
              <c:showLegendKey val="0"/>
              <c:showVal val="0"/>
              <c:showCatName val="0"/>
              <c:showSerName val="1"/>
              <c:showPercent val="0"/>
              <c:showBubbleSize val="0"/>
              <c:extLs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900" b="0" i="0" u="none" strike="noStrike" kern="1200" baseline="0">
                    <a:solidFill>
                      <a:srgbClr val="31659C"/>
                    </a:solidFill>
                    <a:latin typeface="Calibri" panose="020F0502020204030204"/>
                    <a:ea typeface="Calibri" panose="020F0502020204030204"/>
                    <a:cs typeface="Calibri" panose="020F0502020204030204"/>
                  </a:defRPr>
                </a:pPr>
              </a:p>
            </c:txPr>
            <c:dLblPos val="r"/>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iScatter_InOut!$P$27</c:f>
              <c:numCache>
                <c:formatCode>General</c:formatCode>
                <c:ptCount val="1"/>
                <c:pt idx="0">
                  <c:v>#N/A</c:v>
                </c:pt>
              </c:numCache>
            </c:numRef>
          </c:xVal>
          <c:yVal>
            <c:numRef>
              <c:f>iScatter_InOut!$Q$27</c:f>
              <c:numCache>
                <c:formatCode>General</c:formatCode>
                <c:ptCount val="1"/>
                <c:pt idx="0">
                  <c:v>#N/A</c:v>
                </c:pt>
              </c:numCache>
            </c:numRef>
          </c:yVal>
          <c:smooth val="0"/>
        </c:ser>
        <c:ser>
          <c:idx val="3"/>
          <c:order val="5"/>
          <c:tx>
            <c:strRef>
              <c:f>iScatter_InOut!$O$19</c:f>
              <c:strCache>
                <c:ptCount val="1"/>
                <c:pt idx="0">
                  <c:v>&lt;none&gt;</c:v>
                </c:pt>
              </c:strCache>
            </c:strRef>
          </c:tx>
          <c:spPr>
            <a:ln w="28575" cap="rnd" cmpd="sng" algn="ctr">
              <a:noFill/>
              <a:prstDash val="solid"/>
              <a:round/>
            </a:ln>
          </c:spPr>
          <c:marker>
            <c:symbol val="circle"/>
            <c:size val="6"/>
            <c:spPr>
              <a:solidFill>
                <a:srgbClr val="FF0000"/>
              </a:solidFill>
              <a:ln w="9525" cap="flat" cmpd="sng" algn="ctr">
                <a:noFill/>
                <a:prstDash val="solid"/>
                <a:round/>
              </a:ln>
            </c:spPr>
          </c:marker>
          <c:dLbls>
            <c:dLbl>
              <c:idx val="0"/>
              <c:layout/>
              <c:tx>
                <c:strRef>
                  <c:f>iScatter!$O$19</c:f>
                  <c:strCache>
                    <c:ptCount val="1"/>
                    <c:pt idx="0">
                      <c:v>&lt;none&gt;</c:v>
                    </c:pt>
                  </c:strCache>
                </c:strRef>
              </c:tx>
              <c:dLblPos val="r"/>
              <c:showLegendKey val="0"/>
              <c:showVal val="0"/>
              <c:showCatName val="0"/>
              <c:showSerName val="1"/>
              <c:showPercent val="0"/>
              <c:showBubbleSize val="0"/>
              <c:extLst>
                <c:ext xmlns:c15="http://schemas.microsoft.com/office/drawing/2012/chart" uri="{CE6537A1-D6FC-4f65-9D91-7224C49458BB}"/>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FF0000"/>
                    </a:solidFill>
                    <a:latin typeface="Calibri" panose="020F0502020204030204"/>
                    <a:ea typeface="Calibri" panose="020F0502020204030204"/>
                    <a:cs typeface="Calibri" panose="020F0502020204030204"/>
                  </a:defRPr>
                </a:pPr>
              </a:p>
            </c:txPr>
            <c:dLblPos val="r"/>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xVal>
            <c:numRef>
              <c:f>iScatter_InOut!$P$19</c:f>
              <c:numCache>
                <c:formatCode>General</c:formatCode>
                <c:ptCount val="1"/>
                <c:pt idx="0">
                  <c:v>#N/A</c:v>
                </c:pt>
              </c:numCache>
            </c:numRef>
          </c:xVal>
          <c:yVal>
            <c:numRef>
              <c:f>iScatter_InOut!$Q$19</c:f>
              <c:numCache>
                <c:formatCode>General</c:formatCode>
                <c:ptCount val="1"/>
                <c:pt idx="0">
                  <c:v>#N/A</c:v>
                </c:pt>
              </c:numCache>
            </c:numRef>
          </c:yVal>
          <c:smooth val="0"/>
        </c:ser>
        <c:dLbls>
          <c:showLegendKey val="0"/>
          <c:showVal val="0"/>
          <c:showCatName val="0"/>
          <c:showSerName val="0"/>
          <c:showPercent val="0"/>
          <c:showBubbleSize val="0"/>
        </c:dLbls>
        <c:axId val="448801024"/>
        <c:axId val="448708608"/>
      </c:scatterChart>
      <c:valAx>
        <c:axId val="448801024"/>
        <c:scaling>
          <c:orientation val="minMax"/>
          <c:max val="100"/>
          <c:min val="0"/>
        </c:scaling>
        <c:delete val="0"/>
        <c:axPos val="b"/>
        <c:majorGridlines>
          <c:spPr>
            <a:ln w="9525" cap="flat" cmpd="sng" algn="ctr">
              <a:solidFill>
                <a:schemeClr val="bg1">
                  <a:lumMod val="85000"/>
                </a:schemeClr>
              </a:solidFill>
              <a:prstDash val="solid"/>
              <a:round/>
            </a:ln>
          </c:spPr>
        </c:majorGridlines>
        <c:title>
          <c:tx>
            <c:strRef>
              <c:f>iScatter_InOut!$B$10</c:f>
              <c:strCache>
                <c:ptCount val="1"/>
                <c:pt idx="0">
                  <c:v>OUTPUT SCORES</c:v>
                </c:pt>
              </c:strCache>
            </c:strRef>
          </c:tx>
          <c:layout/>
          <c:overlay val="0"/>
          <c:spPr>
            <a:noFill/>
            <a:ln w="25400">
              <a:noFill/>
            </a:ln>
          </c:spPr>
        </c:title>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1000" b="0" i="0" u="none" strike="noStrike" kern="1200" baseline="0">
                <a:solidFill>
                  <a:srgbClr val="969696"/>
                </a:solidFill>
                <a:latin typeface="Calibri" panose="020F0502020204030204"/>
                <a:ea typeface="Calibri" panose="020F0502020204030204"/>
                <a:cs typeface="Calibri" panose="020F0502020204030204"/>
              </a:defRPr>
            </a:pPr>
          </a:p>
        </c:txPr>
        <c:crossAx val="448708608"/>
        <c:crosses val="autoZero"/>
        <c:crossBetween val="midCat"/>
      </c:valAx>
      <c:valAx>
        <c:axId val="448708608"/>
        <c:scaling>
          <c:orientation val="minMax"/>
          <c:max val="100"/>
          <c:min val="0"/>
        </c:scaling>
        <c:delete val="0"/>
        <c:axPos val="l"/>
        <c:majorGridlines>
          <c:spPr>
            <a:ln w="9525" cap="flat" cmpd="sng" algn="ctr">
              <a:solidFill>
                <a:schemeClr val="bg1">
                  <a:lumMod val="85000"/>
                </a:schemeClr>
              </a:solidFill>
              <a:prstDash val="solid"/>
              <a:round/>
            </a:ln>
          </c:spPr>
        </c:majorGridlines>
        <c:title>
          <c:tx>
            <c:strRef>
              <c:f>iScatter_InOut!$B$10</c:f>
              <c:strCache>
                <c:ptCount val="1"/>
                <c:pt idx="0">
                  <c:v>OUTPUT SCORES</c:v>
                </c:pt>
              </c:strCache>
            </c:strRef>
          </c:tx>
          <c:layout>
            <c:manualLayout>
              <c:xMode val="edge"/>
              <c:yMode val="edge"/>
              <c:x val="0.0397913771832603"/>
              <c:y val="0.3549953125"/>
            </c:manualLayout>
          </c:layout>
          <c:overlay val="0"/>
          <c:spPr>
            <a:noFill/>
            <a:ln w="25400">
              <a:noFill/>
            </a:ln>
          </c:spPr>
        </c:title>
        <c:numFmt formatCode="General"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1000" b="0" i="0" u="none" strike="noStrike" kern="1200" baseline="0">
                <a:solidFill>
                  <a:srgbClr val="969696"/>
                </a:solidFill>
                <a:latin typeface="Calibri" panose="020F0502020204030204"/>
                <a:ea typeface="Calibri" panose="020F0502020204030204"/>
                <a:cs typeface="Calibri" panose="020F0502020204030204"/>
              </a:defRPr>
            </a:pPr>
          </a:p>
        </c:txPr>
        <c:crossAx val="448801024"/>
        <c:crosses val="autoZero"/>
        <c:crossBetween val="midCat"/>
      </c:valAx>
      <c:spPr>
        <a:solidFill>
          <a:schemeClr val="accent6">
            <a:lumMod val="20000"/>
            <a:lumOff val="80000"/>
            <a:alpha val="30000"/>
          </a:schemeClr>
        </a:solidFill>
        <a:ln w="25400">
          <a:noFill/>
        </a:ln>
      </c:spPr>
    </c:plotArea>
    <c:plotVisOnly val="1"/>
    <c:dispBlanksAs val="gap"/>
    <c:showDLblsOverMax val="0"/>
  </c:chart>
  <c:spPr>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iCityScoreCard!$BK$70</c:f>
              <c:numCache>
                <c:formatCode>General</c:formatCode>
                <c:ptCount val="1"/>
                <c:pt idx="0">
                  <c:v>90</c:v>
                </c:pt>
              </c:numCache>
            </c:numRef>
          </c:val>
        </c:ser>
        <c:dLbls>
          <c:showLegendKey val="0"/>
          <c:showVal val="0"/>
          <c:showCatName val="0"/>
          <c:showSerName val="0"/>
          <c:showPercent val="0"/>
          <c:showBubbleSize val="0"/>
        </c:dLbls>
        <c:gapWidth val="0"/>
        <c:axId val="452470272"/>
        <c:axId val="452471808"/>
      </c:barChart>
      <c:catAx>
        <c:axId val="452470272"/>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471808"/>
        <c:crosses val="autoZero"/>
        <c:auto val="1"/>
        <c:lblAlgn val="ctr"/>
        <c:lblOffset val="100"/>
        <c:noMultiLvlLbl val="0"/>
      </c:catAx>
      <c:valAx>
        <c:axId val="452471808"/>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470272"/>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iCityScoreCard!$BQ$70</c:f>
              <c:numCache>
                <c:formatCode>General</c:formatCode>
                <c:ptCount val="1"/>
                <c:pt idx="0">
                  <c:v>92.728320479609</c:v>
                </c:pt>
              </c:numCache>
            </c:numRef>
          </c:val>
        </c:ser>
        <c:dLbls>
          <c:showLegendKey val="0"/>
          <c:showVal val="0"/>
          <c:showCatName val="0"/>
          <c:showSerName val="0"/>
          <c:showPercent val="0"/>
          <c:showBubbleSize val="0"/>
        </c:dLbls>
        <c:gapWidth val="0"/>
        <c:axId val="452483712"/>
        <c:axId val="452510080"/>
      </c:barChart>
      <c:catAx>
        <c:axId val="452483712"/>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510080"/>
        <c:crosses val="autoZero"/>
        <c:auto val="1"/>
        <c:lblAlgn val="ctr"/>
        <c:lblOffset val="100"/>
        <c:noMultiLvlLbl val="0"/>
      </c:catAx>
      <c:valAx>
        <c:axId val="452510080"/>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483712"/>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iCityScoreCard!$BW$70</c:f>
              <c:numCache>
                <c:formatCode>General</c:formatCode>
                <c:ptCount val="1"/>
                <c:pt idx="0">
                  <c:v>78.9514458295227</c:v>
                </c:pt>
              </c:numCache>
            </c:numRef>
          </c:val>
        </c:ser>
        <c:dLbls>
          <c:showLegendKey val="0"/>
          <c:showVal val="0"/>
          <c:showCatName val="0"/>
          <c:showSerName val="0"/>
          <c:showPercent val="0"/>
          <c:showBubbleSize val="0"/>
        </c:dLbls>
        <c:gapWidth val="0"/>
        <c:axId val="452407296"/>
        <c:axId val="452408832"/>
      </c:barChart>
      <c:catAx>
        <c:axId val="452407296"/>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408832"/>
        <c:crosses val="autoZero"/>
        <c:auto val="1"/>
        <c:lblAlgn val="ctr"/>
        <c:lblOffset val="100"/>
        <c:noMultiLvlLbl val="0"/>
      </c:catAx>
      <c:valAx>
        <c:axId val="452408832"/>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407296"/>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iCityScoreCard!$CC$70</c:f>
              <c:numCache>
                <c:formatCode>General</c:formatCode>
                <c:ptCount val="1"/>
                <c:pt idx="0">
                  <c:v>71.8027210884354</c:v>
                </c:pt>
              </c:numCache>
            </c:numRef>
          </c:val>
        </c:ser>
        <c:dLbls>
          <c:showLegendKey val="0"/>
          <c:showVal val="0"/>
          <c:showCatName val="0"/>
          <c:showSerName val="0"/>
          <c:showPercent val="0"/>
          <c:showBubbleSize val="0"/>
        </c:dLbls>
        <c:gapWidth val="0"/>
        <c:axId val="452432640"/>
        <c:axId val="452434176"/>
      </c:barChart>
      <c:catAx>
        <c:axId val="452432640"/>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434176"/>
        <c:crosses val="autoZero"/>
        <c:auto val="1"/>
        <c:lblAlgn val="ctr"/>
        <c:lblOffset val="100"/>
        <c:noMultiLvlLbl val="0"/>
      </c:catAx>
      <c:valAx>
        <c:axId val="452434176"/>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432640"/>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iCityScoreCard!$CI$70</c:f>
              <c:numCache>
                <c:formatCode>General</c:formatCode>
                <c:ptCount val="1"/>
                <c:pt idx="0">
                  <c:v>86.10017057061</c:v>
                </c:pt>
              </c:numCache>
            </c:numRef>
          </c:val>
        </c:ser>
        <c:dLbls>
          <c:showLegendKey val="0"/>
          <c:showVal val="0"/>
          <c:showCatName val="0"/>
          <c:showSerName val="0"/>
          <c:showPercent val="0"/>
          <c:showBubbleSize val="0"/>
        </c:dLbls>
        <c:gapWidth val="0"/>
        <c:axId val="452458368"/>
        <c:axId val="452459904"/>
      </c:barChart>
      <c:catAx>
        <c:axId val="452458368"/>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459904"/>
        <c:crosses val="autoZero"/>
        <c:auto val="1"/>
        <c:lblAlgn val="ctr"/>
        <c:lblOffset val="100"/>
        <c:noMultiLvlLbl val="0"/>
      </c:catAx>
      <c:valAx>
        <c:axId val="452459904"/>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2458368"/>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804939498654"/>
          <c:y val="0.162234420697413"/>
          <c:w val="0.498664231973835"/>
          <c:h val="0.644885860909574"/>
        </c:manualLayout>
      </c:layout>
      <c:radarChart>
        <c:radarStyle val="marker"/>
        <c:varyColors val="0"/>
        <c:ser>
          <c:idx val="0"/>
          <c:order val="0"/>
          <c:tx>
            <c:strRef>
              <c:f>iCityP!$AC$7</c:f>
              <c:strCache>
                <c:ptCount val="1"/>
                <c:pt idx="0">
                  <c:v>Abu Dhabi</c:v>
                </c:pt>
              </c:strCache>
            </c:strRef>
          </c:tx>
          <c:marker>
            <c:symbol val="none"/>
          </c:marker>
          <c:dLbls>
            <c:delete val="1"/>
          </c:dLbls>
          <c:cat>
            <c:strRef>
              <c:f>iCityP!$E$8:$E$12</c:f>
              <c:strCache>
                <c:ptCount val="5"/>
                <c:pt idx="0">
                  <c:v>OVERALL SCORE</c:v>
                </c:pt>
                <c:pt idx="1">
                  <c:v>1) DIGITAL SECURITY</c:v>
                </c:pt>
                <c:pt idx="2">
                  <c:v>2) HEALTH SECURITY</c:v>
                </c:pt>
                <c:pt idx="3">
                  <c:v>3) INFRASTRUCTURE SECURITY</c:v>
                </c:pt>
                <c:pt idx="4">
                  <c:v>4) PERSONAL SECURITY</c:v>
                </c:pt>
              </c:strCache>
            </c:strRef>
          </c:cat>
          <c:val>
            <c:numRef>
              <c:f>iCityP!$AC$8:$AC$12</c:f>
              <c:numCache>
                <c:formatCode>General</c:formatCode>
                <c:ptCount val="5"/>
                <c:pt idx="0">
                  <c:v>76.9075622869516</c:v>
                </c:pt>
                <c:pt idx="1">
                  <c:v>68.7742107919604</c:v>
                </c:pt>
                <c:pt idx="2">
                  <c:v>68.5404322865189</c:v>
                </c:pt>
                <c:pt idx="3">
                  <c:v>91.3641602398045</c:v>
                </c:pt>
                <c:pt idx="4">
                  <c:v>78.9514458295227</c:v>
                </c:pt>
              </c:numCache>
            </c:numRef>
          </c:val>
        </c:ser>
        <c:ser>
          <c:idx val="1"/>
          <c:order val="1"/>
          <c:tx>
            <c:strRef>
              <c:f>iCityP!$AD$7</c:f>
              <c:strCache>
                <c:ptCount val="1"/>
                <c:pt idx="0">
                  <c:v>Average</c:v>
                </c:pt>
              </c:strCache>
            </c:strRef>
          </c:tx>
          <c:spPr>
            <a:ln w="22225" cap="rnd" cmpd="sng" algn="ctr">
              <a:solidFill>
                <a:schemeClr val="accent2">
                  <a:shade val="95000"/>
                  <a:satMod val="105000"/>
                </a:schemeClr>
              </a:solidFill>
              <a:prstDash val="solid"/>
              <a:round/>
            </a:ln>
          </c:spPr>
          <c:marker>
            <c:symbol val="none"/>
          </c:marker>
          <c:dLbls>
            <c:delete val="1"/>
          </c:dLbls>
          <c:cat>
            <c:strRef>
              <c:f>iCityP!$E$8:$E$12</c:f>
              <c:strCache>
                <c:ptCount val="5"/>
                <c:pt idx="0">
                  <c:v>OVERALL SCORE</c:v>
                </c:pt>
                <c:pt idx="1">
                  <c:v>1) DIGITAL SECURITY</c:v>
                </c:pt>
                <c:pt idx="2">
                  <c:v>2) HEALTH SECURITY</c:v>
                </c:pt>
                <c:pt idx="3">
                  <c:v>3) INFRASTRUCTURE SECURITY</c:v>
                </c:pt>
                <c:pt idx="4">
                  <c:v>4) PERSONAL SECURITY</c:v>
                </c:pt>
              </c:strCache>
            </c:strRef>
          </c:cat>
          <c:val>
            <c:numRef>
              <c:f>iCityP!$AD$8:$AD$12</c:f>
              <c:numCache>
                <c:formatCode>General</c:formatCode>
                <c:ptCount val="5"/>
                <c:pt idx="0">
                  <c:v>71.9925644456</c:v>
                </c:pt>
                <c:pt idx="1">
                  <c:v>66.1526391087488</c:v>
                </c:pt>
                <c:pt idx="2">
                  <c:v>69.1874074785756</c:v>
                </c:pt>
                <c:pt idx="3">
                  <c:v>78.2023136731392</c:v>
                </c:pt>
                <c:pt idx="4">
                  <c:v>74.4278975219364</c:v>
                </c:pt>
              </c:numCache>
            </c:numRef>
          </c:val>
        </c:ser>
        <c:ser>
          <c:idx val="2"/>
          <c:order val="2"/>
          <c:tx>
            <c:strRef>
              <c:f>iCityP!$AE$7</c:f>
              <c:strCache>
                <c:ptCount val="1"/>
                <c:pt idx="0">
                  <c:v>Highest</c:v>
                </c:pt>
              </c:strCache>
            </c:strRef>
          </c:tx>
          <c:spPr>
            <a:ln w="12700" cap="rnd" cmpd="sng" algn="ctr">
              <a:solidFill>
                <a:schemeClr val="accent3">
                  <a:shade val="95000"/>
                  <a:satMod val="105000"/>
                </a:schemeClr>
              </a:solidFill>
              <a:prstDash val="sysDash"/>
              <a:round/>
            </a:ln>
          </c:spPr>
          <c:marker>
            <c:symbol val="none"/>
          </c:marker>
          <c:dLbls>
            <c:delete val="1"/>
          </c:dLbls>
          <c:cat>
            <c:strRef>
              <c:f>iCityP!$E$8:$E$12</c:f>
              <c:strCache>
                <c:ptCount val="5"/>
                <c:pt idx="0">
                  <c:v>OVERALL SCORE</c:v>
                </c:pt>
                <c:pt idx="1">
                  <c:v>1) DIGITAL SECURITY</c:v>
                </c:pt>
                <c:pt idx="2">
                  <c:v>2) HEALTH SECURITY</c:v>
                </c:pt>
                <c:pt idx="3">
                  <c:v>3) INFRASTRUCTURE SECURITY</c:v>
                </c:pt>
                <c:pt idx="4">
                  <c:v>4) PERSONAL SECURITY</c:v>
                </c:pt>
              </c:strCache>
            </c:strRef>
          </c:cat>
          <c:val>
            <c:numRef>
              <c:f>iCityP!$AE$8:$AE$12</c:f>
              <c:numCache>
                <c:formatCode>General</c:formatCode>
                <c:ptCount val="5"/>
                <c:pt idx="0">
                  <c:v>89.7970622963426</c:v>
                </c:pt>
                <c:pt idx="1">
                  <c:v>88.4028362502467</c:v>
                </c:pt>
                <c:pt idx="2">
                  <c:v>87.1482616413409</c:v>
                </c:pt>
                <c:pt idx="3">
                  <c:v>97.0468547330032</c:v>
                </c:pt>
                <c:pt idx="4">
                  <c:v>94.9449789045779</c:v>
                </c:pt>
              </c:numCache>
            </c:numRef>
          </c:val>
        </c:ser>
        <c:ser>
          <c:idx val="3"/>
          <c:order val="3"/>
          <c:tx>
            <c:strRef>
              <c:f>iCityP!$AF$7</c:f>
              <c:strCache>
                <c:ptCount val="1"/>
                <c:pt idx="0">
                  <c:v>Lowest</c:v>
                </c:pt>
              </c:strCache>
            </c:strRef>
          </c:tx>
          <c:spPr>
            <a:ln w="12700" cap="rnd" cmpd="sng" algn="ctr">
              <a:solidFill>
                <a:schemeClr val="accent4">
                  <a:shade val="95000"/>
                  <a:satMod val="105000"/>
                </a:schemeClr>
              </a:solidFill>
              <a:prstDash val="sysDash"/>
              <a:round/>
            </a:ln>
          </c:spPr>
          <c:marker>
            <c:symbol val="none"/>
          </c:marker>
          <c:dLbls>
            <c:delete val="1"/>
          </c:dLbls>
          <c:cat>
            <c:strRef>
              <c:f>iCityP!$E$8:$E$12</c:f>
              <c:strCache>
                <c:ptCount val="5"/>
                <c:pt idx="0">
                  <c:v>OVERALL SCORE</c:v>
                </c:pt>
                <c:pt idx="1">
                  <c:v>1) DIGITAL SECURITY</c:v>
                </c:pt>
                <c:pt idx="2">
                  <c:v>2) HEALTH SECURITY</c:v>
                </c:pt>
                <c:pt idx="3">
                  <c:v>3) INFRASTRUCTURE SECURITY</c:v>
                </c:pt>
                <c:pt idx="4">
                  <c:v>4) PERSONAL SECURITY</c:v>
                </c:pt>
              </c:strCache>
            </c:strRef>
          </c:cat>
          <c:val>
            <c:numRef>
              <c:f>iCityP!$AF$8:$AF$12</c:f>
              <c:numCache>
                <c:formatCode>General</c:formatCode>
                <c:ptCount val="5"/>
                <c:pt idx="0">
                  <c:v>38.7737795060127</c:v>
                </c:pt>
                <c:pt idx="1">
                  <c:v>36.6044906087199</c:v>
                </c:pt>
                <c:pt idx="2">
                  <c:v>39.9212106600053</c:v>
                </c:pt>
                <c:pt idx="3">
                  <c:v>38.4188834103654</c:v>
                </c:pt>
                <c:pt idx="4">
                  <c:v>31.8451369753181</c:v>
                </c:pt>
              </c:numCache>
            </c:numRef>
          </c:val>
        </c:ser>
        <c:dLbls>
          <c:showLegendKey val="0"/>
          <c:showVal val="0"/>
          <c:showCatName val="0"/>
          <c:showSerName val="0"/>
          <c:showPercent val="0"/>
          <c:showBubbleSize val="0"/>
        </c:dLbls>
        <c:axId val="449976192"/>
        <c:axId val="449977728"/>
      </c:radarChart>
      <c:catAx>
        <c:axId val="449976192"/>
        <c:scaling>
          <c:orientation val="minMax"/>
        </c:scaling>
        <c:delete val="0"/>
        <c:axPos val="b"/>
        <c:majorGridlines>
          <c:spPr>
            <a:ln w="9525" cap="flat" cmpd="sng" algn="ctr">
              <a:solidFill>
                <a:schemeClr val="bg1">
                  <a:lumMod val="65000"/>
                </a:schemeClr>
              </a:solidFill>
              <a:prstDash val="solid"/>
              <a:round/>
            </a:ln>
          </c:spPr>
        </c:majorGridlines>
        <c:numFmt formatCode="General" sourceLinked="1"/>
        <c:majorTickMark val="out"/>
        <c:minorTickMark val="none"/>
        <c:tickLblPos val="nextTo"/>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p>
        </c:txPr>
        <c:crossAx val="449977728"/>
        <c:crosses val="autoZero"/>
        <c:auto val="0"/>
        <c:lblAlgn val="ctr"/>
        <c:lblOffset val="100"/>
        <c:noMultiLvlLbl val="0"/>
      </c:catAx>
      <c:valAx>
        <c:axId val="449977728"/>
        <c:scaling>
          <c:orientation val="minMax"/>
          <c:min val="0"/>
        </c:scaling>
        <c:delete val="0"/>
        <c:axPos val="l"/>
        <c:majorGridlines>
          <c:spPr>
            <a:ln w="9525" cap="flat" cmpd="sng" algn="ctr">
              <a:solidFill>
                <a:sysClr val="window" lastClr="FFFFFF">
                  <a:lumMod val="65000"/>
                  <a:alpha val="50000"/>
                </a:sysClr>
              </a:solidFill>
              <a:prstDash val="solid"/>
              <a:round/>
            </a:ln>
          </c:spPr>
        </c:majorGridlines>
        <c:numFmt formatCode="0" sourceLinked="0"/>
        <c:majorTickMark val="cross"/>
        <c:minorTickMark val="none"/>
        <c:tickLblPos val="nextTo"/>
        <c:spPr>
          <a:ln w="3175" cap="flat" cmpd="sng" algn="ctr">
            <a:solidFill>
              <a:sysClr val="window" lastClr="FFFFFF">
                <a:lumMod val="65000"/>
                <a:alpha val="50000"/>
              </a:sysClr>
            </a:solidFill>
            <a:prstDash val="solid"/>
            <a:round/>
          </a:ln>
        </c:spPr>
        <c:txPr>
          <a:bodyPr rot="0" spcFirstLastPara="0" vertOverflow="ellipsis" vert="horz" wrap="square"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p>
        </c:txPr>
        <c:crossAx val="449976192"/>
        <c:crosses val="autoZero"/>
        <c:crossBetween val="between"/>
      </c:valAx>
    </c:plotArea>
    <c:legend>
      <c:legendPos val="b"/>
      <c:layout/>
      <c:overlay val="0"/>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legend>
    <c:plotVisOnly val="1"/>
    <c:dispBlanksAs val="gap"/>
    <c:showDLblsOverMax val="0"/>
  </c:chart>
  <c:spPr>
    <a:ln w="9525" cap="flat" cmpd="sng" algn="ctr">
      <a:solidFill>
        <a:schemeClr val="bg1">
          <a:lumMod val="75000"/>
        </a:schemeClr>
      </a:solidFill>
      <a:prstDash val="solid"/>
      <a:round/>
    </a:ln>
  </c:spPr>
  <c:txPr>
    <a:bodyPr/>
    <a:lstStyle/>
    <a:p>
      <a:pPr>
        <a:defRPr lang="en-US" sz="11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675949627184"/>
          <c:y val="0.162234420697413"/>
          <c:w val="0.47224471423248"/>
          <c:h val="0.677131458567679"/>
        </c:manualLayout>
      </c:layout>
      <c:radarChart>
        <c:radarStyle val="marker"/>
        <c:varyColors val="0"/>
        <c:ser>
          <c:idx val="0"/>
          <c:order val="0"/>
          <c:tx>
            <c:strRef>
              <c:f>iCityP!$AH$7</c:f>
              <c:strCache>
                <c:ptCount val="1"/>
                <c:pt idx="0">
                  <c:v>2014</c:v>
                </c:pt>
              </c:strCache>
            </c:strRef>
          </c:tx>
          <c:marker>
            <c:symbol val="none"/>
          </c:marker>
          <c:dLbls>
            <c:delete val="1"/>
          </c:dLbls>
          <c:cat>
            <c:strRef>
              <c:f>iCityP!$E$8:$E$12</c:f>
              <c:strCache>
                <c:ptCount val="5"/>
                <c:pt idx="0">
                  <c:v>OVERALL SCORE</c:v>
                </c:pt>
                <c:pt idx="1">
                  <c:v>1) DIGITAL SECURITY</c:v>
                </c:pt>
                <c:pt idx="2">
                  <c:v>2) HEALTH SECURITY</c:v>
                </c:pt>
                <c:pt idx="3">
                  <c:v>3) INFRASTRUCTURE SECURITY</c:v>
                </c:pt>
                <c:pt idx="4">
                  <c:v>4) PERSONAL SECURITY</c:v>
                </c:pt>
              </c:strCache>
            </c:strRef>
          </c:cat>
          <c:val>
            <c:numRef>
              <c:f>iCityP!$AH$8:$AH$12</c:f>
              <c:numCache>
                <c:formatCode>General</c:formatCode>
                <c:ptCount val="5"/>
                <c:pt idx="0">
                  <c:v>72.7346357937991</c:v>
                </c:pt>
                <c:pt idx="1">
                  <c:v>79.2062404870624</c:v>
                </c:pt>
                <c:pt idx="2">
                  <c:v>55.5546628583946</c:v>
                </c:pt>
                <c:pt idx="3">
                  <c:v>87.5935350381347</c:v>
                </c:pt>
                <c:pt idx="4">
                  <c:v>68.5841047916048</c:v>
                </c:pt>
              </c:numCache>
            </c:numRef>
          </c:val>
        </c:ser>
        <c:ser>
          <c:idx val="1"/>
          <c:order val="1"/>
          <c:tx>
            <c:strRef>
              <c:f>iCityP!$AI$7</c:f>
              <c:strCache>
                <c:ptCount val="1"/>
                <c:pt idx="0">
                  <c:v>2017</c:v>
                </c:pt>
              </c:strCache>
            </c:strRef>
          </c:tx>
          <c:spPr>
            <a:ln w="22225" cap="rnd" cmpd="sng" algn="ctr">
              <a:solidFill>
                <a:schemeClr val="accent2">
                  <a:shade val="95000"/>
                  <a:satMod val="105000"/>
                </a:schemeClr>
              </a:solidFill>
              <a:prstDash val="solid"/>
              <a:round/>
            </a:ln>
          </c:spPr>
          <c:marker>
            <c:symbol val="none"/>
          </c:marker>
          <c:dLbls>
            <c:delete val="1"/>
          </c:dLbls>
          <c:cat>
            <c:strRef>
              <c:f>iCityP!$E$8:$E$12</c:f>
              <c:strCache>
                <c:ptCount val="5"/>
                <c:pt idx="0">
                  <c:v>OVERALL SCORE</c:v>
                </c:pt>
                <c:pt idx="1">
                  <c:v>1) DIGITAL SECURITY</c:v>
                </c:pt>
                <c:pt idx="2">
                  <c:v>2) HEALTH SECURITY</c:v>
                </c:pt>
                <c:pt idx="3">
                  <c:v>3) INFRASTRUCTURE SECURITY</c:v>
                </c:pt>
                <c:pt idx="4">
                  <c:v>4) PERSONAL SECURITY</c:v>
                </c:pt>
              </c:strCache>
            </c:strRef>
          </c:cat>
          <c:val>
            <c:numRef>
              <c:f>iCityP!$AI$8:$AI$12</c:f>
              <c:numCache>
                <c:formatCode>General</c:formatCode>
                <c:ptCount val="5"/>
                <c:pt idx="0">
                  <c:v>76.9075622869516</c:v>
                </c:pt>
                <c:pt idx="1">
                  <c:v>68.7742107919604</c:v>
                </c:pt>
                <c:pt idx="2">
                  <c:v>68.5404322865189</c:v>
                </c:pt>
                <c:pt idx="3">
                  <c:v>91.3641602398045</c:v>
                </c:pt>
                <c:pt idx="4">
                  <c:v>78.9514458295227</c:v>
                </c:pt>
              </c:numCache>
            </c:numRef>
          </c:val>
        </c:ser>
        <c:dLbls>
          <c:showLegendKey val="0"/>
          <c:showVal val="0"/>
          <c:showCatName val="0"/>
          <c:showSerName val="0"/>
          <c:showPercent val="0"/>
          <c:showBubbleSize val="0"/>
        </c:dLbls>
        <c:axId val="450033152"/>
        <c:axId val="450034688"/>
      </c:radarChart>
      <c:catAx>
        <c:axId val="450033152"/>
        <c:scaling>
          <c:orientation val="minMax"/>
        </c:scaling>
        <c:delete val="0"/>
        <c:axPos val="b"/>
        <c:majorGridlines>
          <c:spPr>
            <a:ln w="9525" cap="flat" cmpd="sng" algn="ctr">
              <a:solidFill>
                <a:schemeClr val="bg1">
                  <a:lumMod val="65000"/>
                </a:schemeClr>
              </a:solidFill>
              <a:prstDash val="solid"/>
              <a:round/>
            </a:ln>
          </c:spPr>
        </c:majorGridlines>
        <c:numFmt formatCode="General" sourceLinked="1"/>
        <c:majorTickMark val="out"/>
        <c:minorTickMark val="none"/>
        <c:tickLblPos val="nextTo"/>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p>
        </c:txPr>
        <c:crossAx val="450034688"/>
        <c:crosses val="autoZero"/>
        <c:auto val="0"/>
        <c:lblAlgn val="ctr"/>
        <c:lblOffset val="100"/>
        <c:noMultiLvlLbl val="0"/>
      </c:catAx>
      <c:valAx>
        <c:axId val="450034688"/>
        <c:scaling>
          <c:orientation val="minMax"/>
          <c:min val="0"/>
        </c:scaling>
        <c:delete val="0"/>
        <c:axPos val="l"/>
        <c:majorGridlines>
          <c:spPr>
            <a:ln w="9525" cap="flat" cmpd="sng" algn="ctr">
              <a:solidFill>
                <a:sysClr val="window" lastClr="FFFFFF">
                  <a:lumMod val="65000"/>
                  <a:alpha val="50000"/>
                </a:sysClr>
              </a:solidFill>
              <a:prstDash val="solid"/>
              <a:round/>
            </a:ln>
          </c:spPr>
        </c:majorGridlines>
        <c:numFmt formatCode="0" sourceLinked="0"/>
        <c:majorTickMark val="cross"/>
        <c:minorTickMark val="none"/>
        <c:tickLblPos val="nextTo"/>
        <c:spPr>
          <a:ln w="3175" cap="flat" cmpd="sng" algn="ctr">
            <a:solidFill>
              <a:sysClr val="window" lastClr="FFFFFF">
                <a:lumMod val="65000"/>
                <a:alpha val="50000"/>
              </a:sysClr>
            </a:solidFill>
            <a:prstDash val="solid"/>
            <a:round/>
          </a:ln>
        </c:spPr>
        <c:txPr>
          <a:bodyPr rot="0" spcFirstLastPara="0" vertOverflow="ellipsis" vert="horz" wrap="square"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p>
        </c:txPr>
        <c:crossAx val="450033152"/>
        <c:crosses val="autoZero"/>
        <c:crossBetween val="between"/>
      </c:valAx>
    </c:plotArea>
    <c:legend>
      <c:legendPos val="b"/>
      <c:layout/>
      <c:overlay val="0"/>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p>
      </c:txPr>
    </c:legend>
    <c:plotVisOnly val="1"/>
    <c:dispBlanksAs val="gap"/>
    <c:showDLblsOverMax val="0"/>
  </c:chart>
  <c:spPr>
    <a:ln w="9525" cap="flat" cmpd="sng" algn="ctr">
      <a:solidFill>
        <a:schemeClr val="bg1">
          <a:lumMod val="75000"/>
        </a:schemeClr>
      </a:solidFill>
      <a:prstDash val="solid"/>
      <a:round/>
    </a:ln>
  </c:spPr>
  <c:txPr>
    <a:bodyPr/>
    <a:lstStyle/>
    <a:p>
      <a:pPr>
        <a:defRPr lang="en-US" sz="1100" b="0" i="0" u="none" strike="noStrike" baseline="0">
          <a:solidFill>
            <a:srgbClr val="000000"/>
          </a:solidFill>
          <a:latin typeface="Calibri" panose="020F0502020204030204"/>
          <a:ea typeface="Calibri" panose="020F0502020204030204"/>
          <a:cs typeface="Calibri" panose="020F0502020204030204"/>
        </a:defRPr>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426606517935261"/>
          <c:y val="0.226536307961505"/>
          <c:w val="0.52268394575678"/>
          <c:h val="0.712206189537292"/>
        </c:manualLayout>
      </c:layout>
      <c:barChart>
        <c:barDir val="bar"/>
        <c:grouping val="clustered"/>
        <c:varyColors val="0"/>
        <c:ser>
          <c:idx val="0"/>
          <c:order val="0"/>
          <c:tx>
            <c:strRef>
              <c:f>iCCompSpider!$BD$77</c:f>
              <c:strCache>
                <c:ptCount val="1"/>
                <c:pt idx="0">
                  <c:v>Abu Dhabi</c:v>
                </c:pt>
              </c:strCache>
            </c:strRef>
          </c:tx>
          <c:spPr>
            <a:solidFill>
              <a:schemeClr val="accent6">
                <a:shade val="53000"/>
              </a:schemeClr>
            </a:solidFill>
            <a:ln>
              <a:noFill/>
            </a:ln>
            <a:effectLst/>
          </c:spPr>
          <c:invertIfNegative val="0"/>
          <c:dLbls>
            <c:delete val="1"/>
          </c:dLbls>
          <c:cat>
            <c:strRef>
              <c:f>iCCompSpider!$BC$78:$BC$88</c:f>
              <c:strCache>
                <c:ptCount val="4"/>
                <c:pt idx="0">
                  <c:v>1) DIGITAL SECURITY</c:v>
                </c:pt>
                <c:pt idx="1">
                  <c:v>2) HEALTH SECURITY</c:v>
                </c:pt>
                <c:pt idx="2">
                  <c:v>3) INFRASTRUCTURE SECURITY</c:v>
                </c:pt>
                <c:pt idx="3">
                  <c:v>4) PERSONAL SECURITY</c:v>
                </c:pt>
              </c:strCache>
            </c:strRef>
          </c:cat>
          <c:val>
            <c:numRef>
              <c:f>iCCompSpider!$BD$78:$BD$88</c:f>
              <c:numCache>
                <c:formatCode>General</c:formatCode>
                <c:ptCount val="4"/>
                <c:pt idx="0">
                  <c:v>68.7742107919604</c:v>
                </c:pt>
                <c:pt idx="1">
                  <c:v>68.5404322865189</c:v>
                </c:pt>
                <c:pt idx="2">
                  <c:v>91.3641602398045</c:v>
                </c:pt>
                <c:pt idx="3">
                  <c:v>78.9514458295227</c:v>
                </c:pt>
              </c:numCache>
            </c:numRef>
          </c:val>
        </c:ser>
        <c:ser>
          <c:idx val="1"/>
          <c:order val="1"/>
          <c:tx>
            <c:strRef>
              <c:f>iCCompSpider!$BE$77</c:f>
              <c:strCache>
                <c:ptCount val="1"/>
                <c:pt idx="0">
                  <c:v>Abu Dhabi</c:v>
                </c:pt>
              </c:strCache>
            </c:strRef>
          </c:tx>
          <c:spPr>
            <a:solidFill>
              <a:schemeClr val="accent6">
                <a:shade val="76000"/>
              </a:schemeClr>
            </a:solidFill>
            <a:ln>
              <a:noFill/>
            </a:ln>
            <a:effectLst/>
          </c:spPr>
          <c:invertIfNegative val="0"/>
          <c:dLbls>
            <c:delete val="1"/>
          </c:dLbls>
          <c:cat>
            <c:strRef>
              <c:f>iCCompSpider!$BC$78:$BC$88</c:f>
              <c:strCache>
                <c:ptCount val="4"/>
                <c:pt idx="0">
                  <c:v>1) DIGITAL SECURITY</c:v>
                </c:pt>
                <c:pt idx="1">
                  <c:v>2) HEALTH SECURITY</c:v>
                </c:pt>
                <c:pt idx="2">
                  <c:v>3) INFRASTRUCTURE SECURITY</c:v>
                </c:pt>
                <c:pt idx="3">
                  <c:v>4) PERSONAL SECURITY</c:v>
                </c:pt>
              </c:strCache>
            </c:strRef>
          </c:cat>
          <c:val>
            <c:numRef>
              <c:f>iCCompSpider!$BE$78:$BE$88</c:f>
              <c:numCache>
                <c:formatCode>General</c:formatCode>
                <c:ptCount val="4"/>
                <c:pt idx="0">
                  <c:v>68.7742107919604</c:v>
                </c:pt>
                <c:pt idx="1">
                  <c:v>68.5404322865189</c:v>
                </c:pt>
                <c:pt idx="2">
                  <c:v>91.3641602398045</c:v>
                </c:pt>
                <c:pt idx="3">
                  <c:v>78.9514458295227</c:v>
                </c:pt>
              </c:numCache>
            </c:numRef>
          </c:val>
        </c:ser>
        <c:ser>
          <c:idx val="2"/>
          <c:order val="2"/>
          <c:tx>
            <c:strRef>
              <c:f>iCCompSpider!$BF$77</c:f>
              <c:strCache>
                <c:ptCount val="1"/>
                <c:pt idx="0">
                  <c:v>&lt;none&gt;</c:v>
                </c:pt>
              </c:strCache>
            </c:strRef>
          </c:tx>
          <c:spPr>
            <a:solidFill>
              <a:schemeClr val="accent6"/>
            </a:solidFill>
            <a:ln>
              <a:noFill/>
            </a:ln>
            <a:effectLst/>
          </c:spPr>
          <c:invertIfNegative val="0"/>
          <c:dLbls>
            <c:delete val="1"/>
          </c:dLbls>
          <c:cat>
            <c:strRef>
              <c:f>iCCompSpider!$BC$78:$BC$88</c:f>
              <c:strCache>
                <c:ptCount val="4"/>
                <c:pt idx="0">
                  <c:v>1) DIGITAL SECURITY</c:v>
                </c:pt>
                <c:pt idx="1">
                  <c:v>2) HEALTH SECURITY</c:v>
                </c:pt>
                <c:pt idx="2">
                  <c:v>3) INFRASTRUCTURE SECURITY</c:v>
                </c:pt>
                <c:pt idx="3">
                  <c:v>4) PERSONAL SECURITY</c:v>
                </c:pt>
              </c:strCache>
            </c:strRef>
          </c:cat>
          <c:val>
            <c:numRef>
              <c:f>iCCompSpider!$BF$78:$BF$88</c:f>
            </c:numRef>
          </c:val>
        </c:ser>
        <c:ser>
          <c:idx val="3"/>
          <c:order val="3"/>
          <c:tx>
            <c:strRef>
              <c:f>iCCompSpider!$BG$77</c:f>
              <c:strCache>
                <c:ptCount val="1"/>
                <c:pt idx="0">
                  <c:v>&lt;none&gt;</c:v>
                </c:pt>
              </c:strCache>
            </c:strRef>
          </c:tx>
          <c:spPr>
            <a:solidFill>
              <a:schemeClr val="accent6">
                <a:tint val="77000"/>
              </a:schemeClr>
            </a:solidFill>
            <a:ln>
              <a:noFill/>
            </a:ln>
            <a:effectLst/>
          </c:spPr>
          <c:invertIfNegative val="0"/>
          <c:dLbls>
            <c:delete val="1"/>
          </c:dLbls>
          <c:cat>
            <c:strRef>
              <c:f>iCCompSpider!$BC$78:$BC$88</c:f>
              <c:strCache>
                <c:ptCount val="4"/>
                <c:pt idx="0">
                  <c:v>1) DIGITAL SECURITY</c:v>
                </c:pt>
                <c:pt idx="1">
                  <c:v>2) HEALTH SECURITY</c:v>
                </c:pt>
                <c:pt idx="2">
                  <c:v>3) INFRASTRUCTURE SECURITY</c:v>
                </c:pt>
                <c:pt idx="3">
                  <c:v>4) PERSONAL SECURITY</c:v>
                </c:pt>
              </c:strCache>
            </c:strRef>
          </c:cat>
          <c:val>
            <c:numRef>
              <c:f>iCCompSpider!$BG$78:$BG$88</c:f>
            </c:numRef>
          </c:val>
        </c:ser>
        <c:ser>
          <c:idx val="4"/>
          <c:order val="4"/>
          <c:tx>
            <c:strRef>
              <c:f>iCCompSpider!$BH$77</c:f>
              <c:strCache>
                <c:ptCount val="1"/>
                <c:pt idx="0">
                  <c:v>Average for All Regions/Groups</c:v>
                </c:pt>
              </c:strCache>
            </c:strRef>
          </c:tx>
          <c:spPr>
            <a:solidFill>
              <a:schemeClr val="accent6">
                <a:lumMod val="50000"/>
              </a:schemeClr>
            </a:solidFill>
            <a:ln>
              <a:noFill/>
            </a:ln>
            <a:effectLst/>
          </c:spPr>
          <c:invertIfNegative val="0"/>
          <c:dLbls>
            <c:delete val="1"/>
          </c:dLbls>
          <c:cat>
            <c:strRef>
              <c:f>iCCompSpider!$BC$78:$BC$88</c:f>
              <c:strCache>
                <c:ptCount val="4"/>
                <c:pt idx="0">
                  <c:v>1) DIGITAL SECURITY</c:v>
                </c:pt>
                <c:pt idx="1">
                  <c:v>2) HEALTH SECURITY</c:v>
                </c:pt>
                <c:pt idx="2">
                  <c:v>3) INFRASTRUCTURE SECURITY</c:v>
                </c:pt>
                <c:pt idx="3">
                  <c:v>4) PERSONAL SECURITY</c:v>
                </c:pt>
              </c:strCache>
            </c:strRef>
          </c:cat>
          <c:val>
            <c:numRef>
              <c:f>iCCompSpider!$BH$78:$BH$88</c:f>
              <c:numCache>
                <c:formatCode>General</c:formatCode>
                <c:ptCount val="4"/>
                <c:pt idx="0">
                  <c:v>66.1523333333333</c:v>
                </c:pt>
                <c:pt idx="1">
                  <c:v>69.1868333333333</c:v>
                </c:pt>
                <c:pt idx="2">
                  <c:v>78.2028333333333</c:v>
                </c:pt>
                <c:pt idx="3">
                  <c:v>74.4281666666667</c:v>
                </c:pt>
              </c:numCache>
            </c:numRef>
          </c:val>
        </c:ser>
        <c:dLbls>
          <c:showLegendKey val="0"/>
          <c:showVal val="0"/>
          <c:showCatName val="0"/>
          <c:showSerName val="0"/>
          <c:showPercent val="0"/>
          <c:showBubbleSize val="0"/>
        </c:dLbls>
        <c:gapWidth val="150"/>
        <c:axId val="451121536"/>
        <c:axId val="451123072"/>
      </c:barChart>
      <c:catAx>
        <c:axId val="451121536"/>
        <c:scaling>
          <c:orientation val="maxMin"/>
        </c:scaling>
        <c:delete val="0"/>
        <c:axPos val="l"/>
        <c:majorGridlines>
          <c:spPr>
            <a:ln w="9525" cap="flat" cmpd="sng" algn="ctr">
              <a:solidFill>
                <a:schemeClr val="tx1">
                  <a:tint val="75000"/>
                  <a:shade val="95000"/>
                  <a:satMod val="105000"/>
                </a:schemeClr>
              </a:solidFill>
              <a:prstDash val="solid"/>
              <a:round/>
            </a:ln>
            <a:effectLst/>
          </c:spPr>
        </c:majorGridlines>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1123072"/>
        <c:crosses val="autoZero"/>
        <c:auto val="1"/>
        <c:lblAlgn val="ctr"/>
        <c:lblOffset val="100"/>
        <c:noMultiLvlLbl val="0"/>
      </c:catAx>
      <c:valAx>
        <c:axId val="451123072"/>
        <c:scaling>
          <c:orientation val="minMax"/>
          <c:min val="0"/>
        </c:scaling>
        <c:delete val="0"/>
        <c:axPos val="t"/>
        <c:majorGridlines>
          <c:spPr>
            <a:ln w="9525" cap="flat" cmpd="sng" algn="ctr">
              <a:solidFill>
                <a:schemeClr val="lt1">
                  <a:shade val="50000"/>
                  <a:alpha val="50000"/>
                </a:schemeClr>
              </a:solidFill>
              <a:prstDash val="solid"/>
              <a:round/>
            </a:ln>
            <a:effectLst/>
          </c:spPr>
        </c:majorGridlines>
        <c:numFmt formatCode="General" sourceLinked="1"/>
        <c:majorTickMark val="cross"/>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1121536"/>
        <c:crosses val="autoZero"/>
        <c:crossBetween val="between"/>
      </c:valAx>
      <c:spPr>
        <a:solidFill>
          <a:schemeClr val="bg1"/>
        </a:solidFill>
        <a:ln>
          <a:noFill/>
        </a:ln>
        <a:effectLst/>
      </c:spPr>
    </c:plotArea>
    <c:legend>
      <c:legendPos val="t"/>
      <c:layout>
        <c:manualLayout>
          <c:xMode val="edge"/>
          <c:yMode val="edge"/>
          <c:x val="0.0415677608987143"/>
          <c:y val="0.0132013201320133"/>
          <c:w val="0.770012426138376"/>
          <c:h val="0.143196729121731"/>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lang="en-US"/>
      </a:pP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invertIfNegative val="0"/>
          <c:dPt>
            <c:idx val="0"/>
            <c:invertIfNegative val="0"/>
            <c:bubble3D val="0"/>
            <c:spPr>
              <a:solidFill>
                <a:schemeClr val="accent6">
                  <a:lumMod val="50000"/>
                </a:schemeClr>
              </a:solidFill>
            </c:spPr>
          </c:dPt>
          <c:dLbls>
            <c:delete val="1"/>
          </c:dLbls>
          <c:val>
            <c:numRef>
              <c:f>iCityScoreCard!$U$70</c:f>
              <c:numCache>
                <c:formatCode>General</c:formatCode>
                <c:ptCount val="1"/>
                <c:pt idx="0">
                  <c:v>68.7742107919604</c:v>
                </c:pt>
              </c:numCache>
            </c:numRef>
          </c:val>
        </c:ser>
        <c:dLbls>
          <c:showLegendKey val="0"/>
          <c:showVal val="0"/>
          <c:showCatName val="0"/>
          <c:showSerName val="0"/>
          <c:showPercent val="0"/>
          <c:showBubbleSize val="0"/>
        </c:dLbls>
        <c:gapWidth val="0"/>
        <c:axId val="450969600"/>
        <c:axId val="450971136"/>
      </c:barChart>
      <c:catAx>
        <c:axId val="450969600"/>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0971136"/>
        <c:crosses val="autoZero"/>
        <c:auto val="1"/>
        <c:lblAlgn val="ctr"/>
        <c:lblOffset val="100"/>
        <c:noMultiLvlLbl val="0"/>
      </c:catAx>
      <c:valAx>
        <c:axId val="450971136"/>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0969600"/>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iCityScoreCard!$AA$70</c:f>
              <c:numCache>
                <c:formatCode>General</c:formatCode>
                <c:ptCount val="1"/>
                <c:pt idx="0">
                  <c:v>63.3333333333333</c:v>
                </c:pt>
              </c:numCache>
            </c:numRef>
          </c:val>
        </c:ser>
        <c:dLbls>
          <c:showLegendKey val="0"/>
          <c:showVal val="0"/>
          <c:showCatName val="0"/>
          <c:showSerName val="0"/>
          <c:showPercent val="0"/>
          <c:showBubbleSize val="0"/>
        </c:dLbls>
        <c:gapWidth val="0"/>
        <c:axId val="451003520"/>
        <c:axId val="451005056"/>
      </c:barChart>
      <c:catAx>
        <c:axId val="451003520"/>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1005056"/>
        <c:crosses val="autoZero"/>
        <c:auto val="1"/>
        <c:lblAlgn val="ctr"/>
        <c:lblOffset val="100"/>
        <c:noMultiLvlLbl val="0"/>
      </c:catAx>
      <c:valAx>
        <c:axId val="451005056"/>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1003520"/>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50000"/>
              </a:schemeClr>
            </a:solidFill>
          </c:spPr>
          <c:invertIfNegative val="0"/>
          <c:dLbls>
            <c:delete val="1"/>
          </c:dLbls>
          <c:val>
            <c:numRef>
              <c:f>iCityScoreCard!$AG$70</c:f>
              <c:numCache>
                <c:formatCode>General</c:formatCode>
                <c:ptCount val="1"/>
                <c:pt idx="0">
                  <c:v>74.2150882505875</c:v>
                </c:pt>
              </c:numCache>
            </c:numRef>
          </c:val>
        </c:ser>
        <c:dLbls>
          <c:showLegendKey val="0"/>
          <c:showVal val="0"/>
          <c:showCatName val="0"/>
          <c:showSerName val="0"/>
          <c:showPercent val="0"/>
          <c:showBubbleSize val="0"/>
        </c:dLbls>
        <c:gapWidth val="0"/>
        <c:axId val="450832640"/>
        <c:axId val="450834432"/>
      </c:barChart>
      <c:catAx>
        <c:axId val="450832640"/>
        <c:scaling>
          <c:orientation val="minMax"/>
        </c:scaling>
        <c:delete val="1"/>
        <c:axPos val="l"/>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0834432"/>
        <c:crosses val="autoZero"/>
        <c:auto val="1"/>
        <c:lblAlgn val="ctr"/>
        <c:lblOffset val="100"/>
        <c:noMultiLvlLbl val="0"/>
      </c:catAx>
      <c:valAx>
        <c:axId val="450834432"/>
        <c:scaling>
          <c:orientation val="minMax"/>
          <c:max val="100"/>
          <c:min val="0"/>
        </c:scaling>
        <c:delete val="1"/>
        <c:axPos val="b"/>
        <c:majorGridlines>
          <c:spPr>
            <a:ln w="9525" cap="flat" cmpd="sng" algn="ctr">
              <a:solidFill>
                <a:srgbClr val="808080">
                  <a:alpha val="30000"/>
                </a:srgbClr>
              </a:solidFill>
              <a:prstDash val="solid"/>
              <a:round/>
            </a:ln>
          </c:spPr>
        </c:majorGridlines>
        <c:numFmt formatCode="General" sourceLinked="1"/>
        <c:majorTickMark val="out"/>
        <c:minorTickMark val="none"/>
        <c:tickLblPos val="none"/>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p>
        </c:txPr>
        <c:crossAx val="450832640"/>
        <c:crosses val="autoZero"/>
        <c:crossBetween val="between"/>
        <c:majorUnit val="10"/>
      </c:valAx>
      <c:spPr>
        <a:noFill/>
      </c:spPr>
    </c:plotArea>
    <c:plotVisOnly val="1"/>
    <c:dispBlanksAs val="gap"/>
    <c:showDLblsOverMax val="0"/>
  </c:chart>
  <c:spPr>
    <a:noFill/>
    <a:ln w="9525" cap="flat" cmpd="sng" algn="ctr">
      <a:noFill/>
      <a:prstDash val="solid"/>
      <a:round/>
    </a:ln>
  </c:spPr>
  <c:txPr>
    <a:bodyPr/>
    <a:lstStyle/>
    <a:p>
      <a:pPr>
        <a:defRPr lang="en-US"/>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Drop" dropLines="27" dx="16" fmlaLink="uxb_works!$B$57" fmlaRange="uxb_works!$B$51:$B$55" noThreeD="1" page="1" sel="3" val="0"/>
</file>

<file path=xl/ctrlProps/ctrlProp10.xml><?xml version="1.0" encoding="utf-8"?>
<formControlPr xmlns="http://schemas.microsoft.com/office/spreadsheetml/2009/9/main" objectType="Drop" dropLines="25" dx="16" fmlaLink="uxb_works!$B$47" fmlaRange="tblIndiSets!$C$167:$C$168" noThreeD="1" page="1" sel="2" val="0"/>
</file>

<file path=xl/ctrlProps/ctrlProp11.xml><?xml version="1.0" encoding="utf-8"?>
<formControlPr xmlns="http://schemas.microsoft.com/office/spreadsheetml/2009/9/main" objectType="Drop" dropLines="10" dx="16" fmlaLink="uxb_works!$B$4" fmlaRange="iWeights!$A$3:$A$11" noThreeD="1" page="1" sel="1" val="0"/>
</file>

<file path=xl/ctrlProps/ctrlProp12.xml><?xml version="1.0" encoding="utf-8"?>
<formControlPr xmlns="http://schemas.microsoft.com/office/spreadsheetml/2009/9/main" objectType="Drop" dropLines="25" dx="16" fmlaLink="uxb_works!$B$46" fmlaRange="tblIndiSets!$B$167:$B$169" noThreeD="1" page="1" sel="3" val="0"/>
</file>

<file path=xl/ctrlProps/ctrlProp13.xml><?xml version="1.0" encoding="utf-8"?>
<formControlPr xmlns="http://schemas.microsoft.com/office/spreadsheetml/2009/9/main" objectType="Drop" dropLines="27" dx="16" fmlaLink="uxb_works!$B$21" fmlaRange="luIndicators" max="35" noThreeD="1" page="27" sel="1" val="0"/>
</file>

<file path=xl/ctrlProps/ctrlProp14.xml><?xml version="1.0" encoding="utf-8"?>
<formControlPr xmlns="http://schemas.microsoft.com/office/spreadsheetml/2009/9/main" objectType="Button" val="0"/>
</file>

<file path=xl/ctrlProps/ctrlProp15.xml><?xml version="1.0" encoding="utf-8"?>
<formControlPr xmlns="http://schemas.microsoft.com/office/spreadsheetml/2009/9/main" objectType="Drop" dropLines="25" dx="16" fmlaLink="uxb_works!$B$6" fmlaRange="LuCitiesPlusNone" max="36" noThreeD="1" page="1" sel="1" val="0"/>
</file>

<file path=xl/ctrlProps/ctrlProp16.xml><?xml version="1.0" encoding="utf-8"?>
<formControlPr xmlns="http://schemas.microsoft.com/office/spreadsheetml/2009/9/main" objectType="Drop" dropLines="25" dx="16" fmlaLink="uxb_works!$B$8" fmlaRange="tblTerritories!$AN$3:$AN$16" noThreeD="1" page="1" sel="1" val="0"/>
</file>

<file path=xl/ctrlProps/ctrlProp17.xml><?xml version="1.0" encoding="utf-8"?>
<formControlPr xmlns="http://schemas.microsoft.com/office/spreadsheetml/2009/9/main" objectType="Drop" dropLines="25" dx="16" fmlaLink="uxb_works!$B$12" fmlaRange="tblTerritories!$AL$3:$AL$8" noThreeD="1" page="1" sel="1" val="0"/>
</file>

<file path=xl/ctrlProps/ctrlProp18.xml><?xml version="1.0" encoding="utf-8"?>
<formControlPr xmlns="http://schemas.microsoft.com/office/spreadsheetml/2009/9/main" objectType="Drop" dropLines="25" dx="16" fmlaLink="uxb_works!$B$10" fmlaRange="tblTerritories!$AM$3:$AM$7" noThreeD="1" page="1" sel="1" val="0"/>
</file>

<file path=xl/ctrlProps/ctrlProp19.xml><?xml version="1.0" encoding="utf-8"?>
<formControlPr xmlns="http://schemas.microsoft.com/office/spreadsheetml/2009/9/main" objectType="CheckBox" fmlaLink="uxb_works!$B$44" noThreeD="1" val="0"/>
</file>

<file path=xl/ctrlProps/ctrlProp2.xml><?xml version="1.0" encoding="utf-8"?>
<formControlPr xmlns="http://schemas.microsoft.com/office/spreadsheetml/2009/9/main" objectType="Button" val="0"/>
</file>

<file path=xl/ctrlProps/ctrlProp20.xml><?xml version="1.0" encoding="utf-8"?>
<formControlPr xmlns="http://schemas.microsoft.com/office/spreadsheetml/2009/9/main" objectType="Drop" dropLines="25" dx="16" fmlaLink="uxb_works!$B$15" fmlaRange="luPopFilter" noThreeD="1" page="1" sel="1" val="0"/>
</file>

<file path=xl/ctrlProps/ctrlProp21.xml><?xml version="1.0" encoding="utf-8"?>
<formControlPr xmlns="http://schemas.microsoft.com/office/spreadsheetml/2009/9/main" objectType="Drop" dropLines="10" dx="16" fmlaLink="uxb_works!$B$4" fmlaRange="iWeights!$A$3:$A$11" noThreeD="1" page="9" sel="1" val="0"/>
</file>

<file path=xl/ctrlProps/ctrlProp22.xml><?xml version="1.0" encoding="utf-8"?>
<formControlPr xmlns="http://schemas.microsoft.com/office/spreadsheetml/2009/9/main" objectType="Drop" dropLines="25" dx="16" fmlaLink="uxb_works!$B$47" fmlaRange="tblIndiSets!$C$167:$C$168" noThreeD="1" page="1" sel="2" val="0"/>
</file>

<file path=xl/ctrlProps/ctrlProp23.xml><?xml version="1.0" encoding="utf-8"?>
<formControlPr xmlns="http://schemas.microsoft.com/office/spreadsheetml/2009/9/main" objectType="Drop" dropLines="25" dx="16" fmlaLink="uxb_works!$B$6" fmlaRange="LuCitiesPlusNone" max="36" noThreeD="1" page="1" sel="1" val="0"/>
</file>

<file path=xl/ctrlProps/ctrlProp24.xml><?xml version="1.0" encoding="utf-8"?>
<formControlPr xmlns="http://schemas.microsoft.com/office/spreadsheetml/2009/9/main" objectType="Drop" dropLines="25" dx="16" fmlaLink="uxb_works!$B$8" fmlaRange="tblTerritories!$AN$3:$AN$16" noThreeD="1" page="1" sel="1" val="0"/>
</file>

<file path=xl/ctrlProps/ctrlProp25.xml><?xml version="1.0" encoding="utf-8"?>
<formControlPr xmlns="http://schemas.microsoft.com/office/spreadsheetml/2009/9/main" objectType="CheckBox" fmlaLink="uxb_works!$B$35" noThreeD="1" val="0"/>
</file>

<file path=xl/ctrlProps/ctrlProp26.xml><?xml version="1.0" encoding="utf-8"?>
<formControlPr xmlns="http://schemas.microsoft.com/office/spreadsheetml/2009/9/main" objectType="CheckBox" fmlaLink="uxb_works!$B$36" noThreeD="1" val="0"/>
</file>

<file path=xl/ctrlProps/ctrlProp27.xml><?xml version="1.0" encoding="utf-8"?>
<formControlPr xmlns="http://schemas.microsoft.com/office/spreadsheetml/2009/9/main" objectType="Drop" dropLines="25" dx="16" fmlaLink="uxb_works!$B$12" fmlaRange="tblTerritories!$AL$3:$AL$8" noThreeD="1" page="1" sel="1" val="0"/>
</file>

<file path=xl/ctrlProps/ctrlProp28.xml><?xml version="1.0" encoding="utf-8"?>
<formControlPr xmlns="http://schemas.microsoft.com/office/spreadsheetml/2009/9/main" objectType="Drop" dropLines="25" dx="16" fmlaLink="uxb_works!$B$46" fmlaRange="tblIndiSets!$B$167:$B$169" noThreeD="1" page="1" sel="3" val="0"/>
</file>

<file path=xl/ctrlProps/ctrlProp29.xml><?xml version="1.0" encoding="utf-8"?>
<formControlPr xmlns="http://schemas.microsoft.com/office/spreadsheetml/2009/9/main" objectType="Drop" dropLines="25" dx="16" fmlaLink="uxb_works!$B$10" fmlaRange="tblTerritories!$AM$3:$AM$7" noThreeD="1" page="1" sel="1" val="0"/>
</file>

<file path=xl/ctrlProps/ctrlProp3.xml><?xml version="1.0" encoding="utf-8"?>
<formControlPr xmlns="http://schemas.microsoft.com/office/spreadsheetml/2009/9/main" objectType="Drop" dropLines="25" dx="16" fmlaLink="uxb_works!$B$6" fmlaRange="LuCitiesPlusNone" max="36" noThreeD="1" page="1" sel="1" val="0"/>
</file>

<file path=xl/ctrlProps/ctrlProp30.xml><?xml version="1.0" encoding="utf-8"?>
<formControlPr xmlns="http://schemas.microsoft.com/office/spreadsheetml/2009/9/main" objectType="Drop" dropLines="10" dx="16" fmlaLink="uxb_works!$B$4" fmlaRange="iWeights!$A$3:$A$11" noThreeD="1" page="9" sel="1" val="0"/>
</file>

<file path=xl/ctrlProps/ctrlProp31.xml><?xml version="1.0" encoding="utf-8"?>
<formControlPr xmlns="http://schemas.microsoft.com/office/spreadsheetml/2009/9/main" objectType="Button" val="0"/>
</file>

<file path=xl/ctrlProps/ctrlProp32.xml><?xml version="1.0" encoding="utf-8"?>
<formControlPr xmlns="http://schemas.microsoft.com/office/spreadsheetml/2009/9/main" objectType="Drop" dropLines="27" dx="16" fmlaLink="uxb_works!$B$32" fmlaRange="luIndicators" max="35" noThreeD="1" page="1" sel="1" val="0"/>
</file>

<file path=xl/ctrlProps/ctrlProp33.xml><?xml version="1.0" encoding="utf-8"?>
<formControlPr xmlns="http://schemas.microsoft.com/office/spreadsheetml/2009/9/main" objectType="Drop" dropLines="27" dx="16" fmlaLink="uxb_works!$B$33" fmlaRange="luIndicators" max="35" noThreeD="1" page="1" sel="1" val="0"/>
</file>

<file path=xl/ctrlProps/ctrlProp34.xml><?xml version="1.0" encoding="utf-8"?>
<formControlPr xmlns="http://schemas.microsoft.com/office/spreadsheetml/2009/9/main" objectType="Drop" dropLines="25" dx="16" fmlaLink="uxb_works!$B$15" fmlaRange="luPopFilter" noThreeD="1" page="1" sel="1" val="0"/>
</file>

<file path=xl/ctrlProps/ctrlProp35.xml><?xml version="1.0" encoding="utf-8"?>
<formControlPr xmlns="http://schemas.microsoft.com/office/spreadsheetml/2009/9/main" objectType="Drop" dropLines="10" dx="16" fmlaLink="uxb_works!$B$4" fmlaRange="iWeights!$A$3:$A$11" noThreeD="1" page="9" sel="1" val="0"/>
</file>

<file path=xl/ctrlProps/ctrlProp36.xml><?xml version="1.0" encoding="utf-8"?>
<formControlPr xmlns="http://schemas.microsoft.com/office/spreadsheetml/2009/9/main" objectType="Button" val="0"/>
</file>

<file path=xl/ctrlProps/ctrlProp37.xml><?xml version="1.0" encoding="utf-8"?>
<formControlPr xmlns="http://schemas.microsoft.com/office/spreadsheetml/2009/9/main" objectType="Drop" dropLines="27" dx="16" fmlaLink="uxb_works!$B$120" fmlaRange="tblIndiSets!$C$6:$C$9" noThreeD="1" page="1" sel="1" val="0"/>
</file>

<file path=xl/ctrlProps/ctrlProp38.xml><?xml version="1.0" encoding="utf-8"?>
<formControlPr xmlns="http://schemas.microsoft.com/office/spreadsheetml/2009/9/main" objectType="Drop" dropLines="25" dx="16" fmlaLink="uxb_works!$B$6" fmlaRange="LuCitiesPlusNone" max="36" noThreeD="1" page="1" sel="1" val="0"/>
</file>

<file path=xl/ctrlProps/ctrlProp39.xml><?xml version="1.0" encoding="utf-8"?>
<formControlPr xmlns="http://schemas.microsoft.com/office/spreadsheetml/2009/9/main" objectType="Drop" dropLines="25" dx="16" fmlaLink="uxb_works!$B$8" fmlaRange="tblTerritories!$AN$3:$AN$16" noThreeD="1" page="1" sel="1" val="0"/>
</file>

<file path=xl/ctrlProps/ctrlProp4.xml><?xml version="1.0" encoding="utf-8"?>
<formControlPr xmlns="http://schemas.microsoft.com/office/spreadsheetml/2009/9/main" objectType="Drop" dropLines="25" dx="16" fmlaLink="uxb_works!$B$8" fmlaRange="tblTerritories!$AN$3:$AN$16" noThreeD="1" page="1" sel="1" val="0"/>
</file>

<file path=xl/ctrlProps/ctrlProp40.xml><?xml version="1.0" encoding="utf-8"?>
<formControlPr xmlns="http://schemas.microsoft.com/office/spreadsheetml/2009/9/main" objectType="CheckBox" fmlaLink="uxb_works!$B$35" noThreeD="1" val="0"/>
</file>

<file path=xl/ctrlProps/ctrlProp41.xml><?xml version="1.0" encoding="utf-8"?>
<formControlPr xmlns="http://schemas.microsoft.com/office/spreadsheetml/2009/9/main" objectType="CheckBox" fmlaLink="uxb_works!$B$36" noThreeD="1" val="0"/>
</file>

<file path=xl/ctrlProps/ctrlProp42.xml><?xml version="1.0" encoding="utf-8"?>
<formControlPr xmlns="http://schemas.microsoft.com/office/spreadsheetml/2009/9/main" objectType="Drop" dropLines="25" dx="16" fmlaLink="uxb_works!$B$12" fmlaRange="tblTerritories!$AL$3:$AL$8" noThreeD="1" page="1" sel="1" val="0"/>
</file>

<file path=xl/ctrlProps/ctrlProp43.xml><?xml version="1.0" encoding="utf-8"?>
<formControlPr xmlns="http://schemas.microsoft.com/office/spreadsheetml/2009/9/main" objectType="Drop" dropLines="25" dx="16" fmlaLink="uxb_works!$B$46" fmlaRange="tblIndiSets!$B$167:$B$169" noThreeD="1" page="1" sel="3" val="0"/>
</file>

<file path=xl/ctrlProps/ctrlProp44.xml><?xml version="1.0" encoding="utf-8"?>
<formControlPr xmlns="http://schemas.microsoft.com/office/spreadsheetml/2009/9/main" objectType="Drop" dropLines="25" dx="16" fmlaLink="uxb_works!$B$10" fmlaRange="tblTerritories!$AM$3:$AM$7" noThreeD="1" page="1" sel="1" val="0"/>
</file>

<file path=xl/ctrlProps/ctrlProp45.xml><?xml version="1.0" encoding="utf-8"?>
<formControlPr xmlns="http://schemas.microsoft.com/office/spreadsheetml/2009/9/main" objectType="Drop" dropLines="25" dx="16" fmlaLink="uxb_works!$B$15" fmlaRange="luPopFilter" noThreeD="1" page="1" sel="1" val="0"/>
</file>

<file path=xl/ctrlProps/ctrlProp46.xml><?xml version="1.0" encoding="utf-8"?>
<formControlPr xmlns="http://schemas.microsoft.com/office/spreadsheetml/2009/9/main" objectType="Drop" dropLines="25" dx="16" fmlaLink="uxb_works!$B$46" fmlaRange="tblIndiSets!$B$167:$B$169" noThreeD="1" page="3" sel="3" val="0"/>
</file>

<file path=xl/ctrlProps/ctrlProp47.xml><?xml version="1.0" encoding="utf-8"?>
<formControlPr xmlns="http://schemas.microsoft.com/office/spreadsheetml/2009/9/main" objectType="Drop" dropLines="10" dx="16" fmlaLink="uxb_works!$B$4" fmlaRange="iWeights!$A$3:$A$11" noThreeD="1" page="1" sel="1" val="0"/>
</file>

<file path=xl/ctrlProps/ctrlProp48.xml><?xml version="1.0" encoding="utf-8"?>
<formControlPr xmlns="http://schemas.microsoft.com/office/spreadsheetml/2009/9/main" objectType="Drop" dropLines="25" dx="16" fmlaLink="uxb_works!$B$24" fmlaRange="LuCities" max="35" noThreeD="1" page="1" sel="1" val="0"/>
</file>

<file path=xl/ctrlProps/ctrlProp49.xml><?xml version="1.0" encoding="utf-8"?>
<formControlPr xmlns="http://schemas.microsoft.com/office/spreadsheetml/2009/9/main" objectType="Drop" dropLines="25" dx="16" fmlaLink="uxb_works!$B$46" fmlaRange="tblIndiSets!$B$167:$B$169" noThreeD="1" page="1" sel="3" val="0"/>
</file>

<file path=xl/ctrlProps/ctrlProp5.xml><?xml version="1.0" encoding="utf-8"?>
<formControlPr xmlns="http://schemas.microsoft.com/office/spreadsheetml/2009/9/main" objectType="Drop" dropLines="25" dx="16" fmlaLink="uxb_works!$B$12" fmlaRange="tblTerritories!$AL$3:$AL$8" noThreeD="1" page="1" sel="1" val="0"/>
</file>

<file path=xl/ctrlProps/ctrlProp50.xml><?xml version="1.0" encoding="utf-8"?>
<formControlPr xmlns="http://schemas.microsoft.com/office/spreadsheetml/2009/9/main" objectType="Drop" dropLines="14" dx="16" fmlaLink="uxb_works!$B$29" fmlaRange="tblIndiSets!$A$242:$A$244" noThreeD="1" page="3" sel="3" val="0"/>
</file>

<file path=xl/ctrlProps/ctrlProp51.xml><?xml version="1.0" encoding="utf-8"?>
<formControlPr xmlns="http://schemas.microsoft.com/office/spreadsheetml/2009/9/main" objectType="Drop" dropLines="14" dx="16" fmlaLink="uxb_works!$B$4" fmlaRange="iWeights!$A$3:$A$11" noThreeD="1" page="9" sel="1" val="0"/>
</file>

<file path=xl/ctrlProps/ctrlProp52.xml><?xml version="1.0" encoding="utf-8"?>
<formControlPr xmlns="http://schemas.microsoft.com/office/spreadsheetml/2009/9/main" objectType="Drop" dropLines="15" dx="26" fmlaLink="uxb_works!$B$39" fmlaRange="tblIndiSets!$C$151:$C$163" noThreeD="1" page="2" sel="1" val="0"/>
</file>

<file path=xl/ctrlProps/ctrlProp53.xml><?xml version="1.0" encoding="utf-8"?>
<formControlPr xmlns="http://schemas.microsoft.com/office/spreadsheetml/2009/9/main" objectType="Drop" dropLines="30" dx="16" fmlaLink="uxb_works!$B$25" fmlaRange="LuCities" max="30" noThreeD="1" page="1" sel="1" val="0"/>
</file>

<file path=xl/ctrlProps/ctrlProp54.xml><?xml version="1.0" encoding="utf-8"?>
<formControlPr xmlns="http://schemas.microsoft.com/office/spreadsheetml/2009/9/main" objectType="Drop" dropLines="25" dx="16" fmlaLink="uxb_works!$B$9" fmlaRange="tblTerritories!$S$4:$S$17" noThreeD="1" page="1" sel="1" val="0"/>
</file>

<file path=xl/ctrlProps/ctrlProp55.xml><?xml version="1.0" encoding="utf-8"?>
<formControlPr xmlns="http://schemas.microsoft.com/office/spreadsheetml/2009/9/main" objectType="Drop" dropLines="25" dx="16" fmlaLink="uxb_works!$B$24" fmlaRange="LuCities" max="35" noThreeD="1" page="1" sel="1" val="0"/>
</file>

<file path=xl/ctrlProps/ctrlProp56.xml><?xml version="1.0" encoding="utf-8"?>
<formControlPr xmlns="http://schemas.microsoft.com/office/spreadsheetml/2009/9/main" objectType="Drop" dropLines="30" dx="16" fmlaLink="uxb_works!$B$27" fmlaRange="LuCitiesPlusNone" max="31" noThreeD="1" page="1" sel="1" val="0"/>
</file>

<file path=xl/ctrlProps/ctrlProp57.xml><?xml version="1.0" encoding="utf-8"?>
<formControlPr xmlns="http://schemas.microsoft.com/office/spreadsheetml/2009/9/main" objectType="Drop" dropLines="25" dx="16" fmlaLink="uxb_works!$B$26" fmlaRange="LuCitiesPlusNone" max="36" noThreeD="1" page="1" sel="1" val="0"/>
</file>

<file path=xl/ctrlProps/ctrlProp58.xml><?xml version="1.0" encoding="utf-8"?>
<formControlPr xmlns="http://schemas.microsoft.com/office/spreadsheetml/2009/9/main" objectType="Drop" dropLines="25" dx="16" fmlaLink="uxb_works!$B$46" fmlaRange="tblIndiSets!$B$167:$B$169" noThreeD="1" page="1" sel="3" val="0"/>
</file>

<file path=xl/ctrlProps/ctrlProp59.xml><?xml version="1.0" encoding="utf-8"?>
<formControlPr xmlns="http://schemas.microsoft.com/office/spreadsheetml/2009/9/main" objectType="Drop" dropLines="10" dx="16" fmlaLink="uxb_works!$B$4" fmlaRange="iWeights!$A$3:$A$11" noThreeD="1" page="1" sel="1" val="0"/>
</file>

<file path=xl/ctrlProps/ctrlProp6.xml><?xml version="1.0" encoding="utf-8"?>
<formControlPr xmlns="http://schemas.microsoft.com/office/spreadsheetml/2009/9/main" objectType="Drop" dropLines="25" dx="16" fmlaLink="uxb_works!$B$10" fmlaRange="tblTerritories!$AM$3:$AM$7" noThreeD="1" page="1" sel="1" val="0"/>
</file>

<file path=xl/ctrlProps/ctrlProp60.xml><?xml version="1.0" encoding="utf-8"?>
<formControlPr xmlns="http://schemas.microsoft.com/office/spreadsheetml/2009/9/main" objectType="Button" val="0"/>
</file>

<file path=xl/ctrlProps/ctrlProp61.xml><?xml version="1.0" encoding="utf-8"?>
<formControlPr xmlns="http://schemas.microsoft.com/office/spreadsheetml/2009/9/main" objectType="Drop" dropLines="25" dx="16" fmlaLink="uxb_works!$B$24" fmlaRange="LuCities" max="35" noThreeD="1" page="1" sel="1" val="0"/>
</file>

<file path=xl/ctrlProps/ctrlProp62.xml><?xml version="1.0" encoding="utf-8"?>
<formControlPr xmlns="http://schemas.microsoft.com/office/spreadsheetml/2009/9/main" objectType="CheckBox" checked="Checked" fmlaLink="uxb_works!$B$45" noThreeD="1" val="0"/>
</file>

<file path=xl/ctrlProps/ctrlProp63.xml><?xml version="1.0" encoding="utf-8"?>
<formControlPr xmlns="http://schemas.microsoft.com/office/spreadsheetml/2009/9/main" objectType="Drop" dropLines="25" dx="16" fmlaLink="uxb_works!$B$46" fmlaRange="tblIndiSets!$B$167:$B$169" noThreeD="1" page="3" sel="3" val="0"/>
</file>

<file path=xl/ctrlProps/ctrlProp64.xml><?xml version="1.0" encoding="utf-8"?>
<formControlPr xmlns="http://schemas.microsoft.com/office/spreadsheetml/2009/9/main" objectType="Drop" dropLines="10" dx="16" fmlaLink="uxb_works!$B$4" fmlaRange="iWeights!$A$3:$A$11" noThreeD="1" page="1" sel="1" val="0"/>
</file>

<file path=xl/ctrlProps/ctrlProp65.xml><?xml version="1.0" encoding="utf-8"?>
<formControlPr xmlns="http://schemas.microsoft.com/office/spreadsheetml/2009/9/main" objectType="Button" val="0"/>
</file>

<file path=xl/ctrlProps/ctrlProp66.xml><?xml version="1.0" encoding="utf-8"?>
<formControlPr xmlns="http://schemas.microsoft.com/office/spreadsheetml/2009/9/main" objectType="Drop" dropLines="14" dx="16" fmlaLink="uxb_works!$B$4" fmlaRange="iWeights!$A$3:$A$11" noThreeD="1" page="1" sel="1" val="0"/>
</file>

<file path=xl/ctrlProps/ctrlProp7.xml><?xml version="1.0" encoding="utf-8"?>
<formControlPr xmlns="http://schemas.microsoft.com/office/spreadsheetml/2009/9/main" objectType="Drop" dropLines="25" dx="16" fmlaLink="uxb_works!$B$46" fmlaRange="tblIndiSets!$B$167:$B$169" noThreeD="1" page="1" sel="3" val="0"/>
</file>

<file path=xl/ctrlProps/ctrlProp8.xml><?xml version="1.0" encoding="utf-8"?>
<formControlPr xmlns="http://schemas.microsoft.com/office/spreadsheetml/2009/9/main" objectType="CheckBox" fmlaLink="uxb_works!$B$44" noThreeD="1" val="0"/>
</file>

<file path=xl/ctrlProps/ctrlProp9.xml><?xml version="1.0" encoding="utf-8"?>
<formControlPr xmlns="http://schemas.microsoft.com/office/spreadsheetml/2009/9/main" objectType="Drop" dropLines="25" dx="16" fmlaLink="uxb_works!$B$15" fmlaRange="luPopFilter" noThreeD="1" page="1" sel="1" val="0"/>
</file>

<file path=xl/drawings/_rels/drawing1.xml.rels><?xml version="1.0" encoding="UTF-8" standalone="yes"?>
<Relationships xmlns="http://schemas.openxmlformats.org/package/2006/relationships"><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office.microsoft.com/en-us/excel-help/enable-or-disable-macros-in-office-documents-HA010031071.aspx" TargetMode="External"/></Relationships>
</file>

<file path=xl/drawings/_rels/drawing10.xml.rels><?xml version="1.0" encoding="UTF-8" standalone="yes"?>
<Relationships xmlns="http://schemas.openxmlformats.org/package/2006/relationships"><Relationship Id="rId4" Type="http://schemas.openxmlformats.org/officeDocument/2006/relationships/image" Target="../media/image7.wdp"/><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wdp"/><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wdp"/><Relationship Id="rId4" Type="http://schemas.openxmlformats.org/officeDocument/2006/relationships/image" Target="../media/image6.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7.wdp"/><Relationship Id="rId7" Type="http://schemas.openxmlformats.org/officeDocument/2006/relationships/image" Target="../media/image6.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10.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wdp"/><Relationship Id="rId4" Type="http://schemas.openxmlformats.org/officeDocument/2006/relationships/image" Target="../media/image6.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wdp"/><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7" Type="http://schemas.openxmlformats.org/officeDocument/2006/relationships/image" Target="../media/image8.png"/><Relationship Id="rId6" Type="http://schemas.openxmlformats.org/officeDocument/2006/relationships/image" Target="../media/image7.wdp"/><Relationship Id="rId5" Type="http://schemas.openxmlformats.org/officeDocument/2006/relationships/image" Target="../media/image6.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wdp"/><Relationship Id="rId4" Type="http://schemas.openxmlformats.org/officeDocument/2006/relationships/image" Target="../media/image6.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9" Type="http://schemas.openxmlformats.org/officeDocument/2006/relationships/chart" Target="../charts/chart15.xml"/><Relationship Id="rId8" Type="http://schemas.openxmlformats.org/officeDocument/2006/relationships/chart" Target="../charts/chart14.xml"/><Relationship Id="rId7" Type="http://schemas.openxmlformats.org/officeDocument/2006/relationships/chart" Target="../charts/chart13.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 Id="rId34" Type="http://schemas.openxmlformats.org/officeDocument/2006/relationships/image" Target="../media/image9.png"/><Relationship Id="rId33" Type="http://schemas.openxmlformats.org/officeDocument/2006/relationships/image" Target="../media/image8.png"/><Relationship Id="rId32" Type="http://schemas.openxmlformats.org/officeDocument/2006/relationships/image" Target="../media/image7.wdp"/><Relationship Id="rId31" Type="http://schemas.openxmlformats.org/officeDocument/2006/relationships/image" Target="../media/image6.png"/><Relationship Id="rId30" Type="http://schemas.openxmlformats.org/officeDocument/2006/relationships/image" Target="../media/image4.png"/><Relationship Id="rId3" Type="http://schemas.openxmlformats.org/officeDocument/2006/relationships/chart" Target="../charts/chart9.xml"/><Relationship Id="rId29" Type="http://schemas.openxmlformats.org/officeDocument/2006/relationships/image" Target="../media/image3.png"/><Relationship Id="rId28" Type="http://schemas.openxmlformats.org/officeDocument/2006/relationships/chart" Target="../charts/chart34.xml"/><Relationship Id="rId27" Type="http://schemas.openxmlformats.org/officeDocument/2006/relationships/chart" Target="../charts/chart33.xml"/><Relationship Id="rId26" Type="http://schemas.openxmlformats.org/officeDocument/2006/relationships/chart" Target="../charts/chart32.xml"/><Relationship Id="rId25" Type="http://schemas.openxmlformats.org/officeDocument/2006/relationships/chart" Target="../charts/chart31.xml"/><Relationship Id="rId24" Type="http://schemas.openxmlformats.org/officeDocument/2006/relationships/chart" Target="../charts/chart30.xml"/><Relationship Id="rId23" Type="http://schemas.openxmlformats.org/officeDocument/2006/relationships/chart" Target="../charts/chart29.xml"/><Relationship Id="rId22" Type="http://schemas.openxmlformats.org/officeDocument/2006/relationships/chart" Target="../charts/chart28.xml"/><Relationship Id="rId21" Type="http://schemas.openxmlformats.org/officeDocument/2006/relationships/chart" Target="../charts/chart27.xml"/><Relationship Id="rId20" Type="http://schemas.openxmlformats.org/officeDocument/2006/relationships/chart" Target="../charts/chart26.xml"/><Relationship Id="rId2" Type="http://schemas.openxmlformats.org/officeDocument/2006/relationships/chart" Target="../charts/chart8.xml"/><Relationship Id="rId19" Type="http://schemas.openxmlformats.org/officeDocument/2006/relationships/chart" Target="../charts/chart25.xml"/><Relationship Id="rId18" Type="http://schemas.openxmlformats.org/officeDocument/2006/relationships/chart" Target="../charts/chart24.xml"/><Relationship Id="rId17" Type="http://schemas.openxmlformats.org/officeDocument/2006/relationships/chart" Target="../charts/chart23.xml"/><Relationship Id="rId16" Type="http://schemas.openxmlformats.org/officeDocument/2006/relationships/chart" Target="../charts/chart22.xml"/><Relationship Id="rId15" Type="http://schemas.openxmlformats.org/officeDocument/2006/relationships/chart" Target="../charts/chart21.xml"/><Relationship Id="rId14" Type="http://schemas.openxmlformats.org/officeDocument/2006/relationships/chart" Target="../charts/chart20.xml"/><Relationship Id="rId13" Type="http://schemas.openxmlformats.org/officeDocument/2006/relationships/chart" Target="../charts/chart19.xml"/><Relationship Id="rId12" Type="http://schemas.openxmlformats.org/officeDocument/2006/relationships/chart" Target="../charts/chart18.xml"/><Relationship Id="rId11" Type="http://schemas.openxmlformats.org/officeDocument/2006/relationships/chart" Target="../charts/chart17.xml"/><Relationship Id="rId10" Type="http://schemas.openxmlformats.org/officeDocument/2006/relationships/chart" Target="../charts/chart16.xml"/><Relationship Id="rId1" Type="http://schemas.openxmlformats.org/officeDocument/2006/relationships/chart" Target="../charts/chart7.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23</xdr:col>
      <xdr:colOff>21500</xdr:colOff>
      <xdr:row>34</xdr:row>
      <xdr:rowOff>116660</xdr:rowOff>
    </xdr:to>
    <xdr:grpSp>
      <xdr:nvGrpSpPr>
        <xdr:cNvPr id="11" name="MENU"/>
        <xdr:cNvGrpSpPr/>
      </xdr:nvGrpSpPr>
      <xdr:grpSpPr>
        <a:xfrm>
          <a:off x="0" y="0"/>
          <a:ext cx="14413230" cy="7701915"/>
          <a:chOff x="0" y="0"/>
          <a:chExt cx="14478333" cy="7644055"/>
        </a:xfrm>
      </xdr:grpSpPr>
      <xdr:sp>
        <xdr:nvSpPr>
          <xdr:cNvPr id="2" name="Rectangle 1"/>
          <xdr:cNvSpPr/>
        </xdr:nvSpPr>
        <xdr:spPr>
          <a:xfrm>
            <a:off x="944014" y="5006449"/>
            <a:ext cx="6158572" cy="1235632"/>
          </a:xfrm>
          <a:prstGeom prst="rect">
            <a:avLst/>
          </a:prstGeom>
          <a:solidFill>
            <a:schemeClr val="accent6">
              <a:lumMod val="20000"/>
              <a:lumOff val="80000"/>
              <a:alpha val="10196"/>
            </a:schemeClr>
          </a:solidFill>
          <a:ln>
            <a:solidFill>
              <a:schemeClr val="accent6">
                <a:lumMod val="60000"/>
                <a:lumOff val="40000"/>
              </a:schemeClr>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n-GB" sz="1100">
              <a:latin typeface="+mn-lt"/>
              <a:ea typeface="Karla" pitchFamily="2" charset="0"/>
            </a:endParaRPr>
          </a:p>
        </xdr:txBody>
      </xdr:sp>
      <xdr:sp>
        <xdr:nvSpPr>
          <xdr:cNvPr id="3" name="TextBox 6"/>
          <xdr:cNvSpPr txBox="1">
            <a:spLocks noChangeArrowheads="1"/>
          </xdr:cNvSpPr>
        </xdr:nvSpPr>
        <xdr:spPr>
          <a:xfrm>
            <a:off x="1093997" y="6959466"/>
            <a:ext cx="12382254" cy="684589"/>
          </a:xfrm>
          <a:prstGeom prst="rect">
            <a:avLst/>
          </a:prstGeom>
          <a:solidFill>
            <a:srgbClr val="FFFFFF"/>
          </a:solidFill>
          <a:ln w="9525">
            <a:noFill/>
            <a:miter lim="800000"/>
          </a:ln>
        </xdr:spPr>
        <xdr:txBody>
          <a:bodyPr vertOverflow="clip" wrap="square" lIns="27432" tIns="27432" rIns="0" bIns="0" anchor="t" upright="1"/>
          <a:lstStyle/>
          <a:p>
            <a:pPr algn="l" rtl="0">
              <a:defRPr sz="1000"/>
            </a:pPr>
            <a:r>
              <a:rPr lang="en-GB" sz="1100" b="0" i="0" u="none" strike="noStrike" baseline="0">
                <a:solidFill>
                  <a:srgbClr val="808080"/>
                </a:solidFill>
                <a:latin typeface="+mn-lt"/>
                <a:ea typeface="Karla" pitchFamily="2" charset="0"/>
              </a:rPr>
              <a:t>Publication date:  </a:t>
            </a:r>
            <a:r>
              <a:rPr lang="en-GB" sz="1100" b="0" i="0" u="none" strike="noStrike" baseline="0">
                <a:solidFill>
                  <a:sysClr val="windowText" lastClr="000000"/>
                </a:solidFill>
                <a:latin typeface="+mn-lt"/>
                <a:ea typeface="Karla" pitchFamily="2" charset="0"/>
              </a:rPr>
              <a:t>July 2017</a:t>
            </a:r>
            <a:endParaRPr lang="en-GB" sz="1100" b="0" i="0" u="none" strike="noStrike" baseline="0">
              <a:solidFill>
                <a:sysClr val="windowText" lastClr="000000"/>
              </a:solidFill>
              <a:latin typeface="+mn-lt"/>
              <a:ea typeface="Karla" pitchFamily="2" charset="0"/>
            </a:endParaRPr>
          </a:p>
        </xdr:txBody>
      </xdr:sp>
      <xdr:sp>
        <xdr:nvSpPr>
          <xdr:cNvPr id="5" name="TextBox 4"/>
          <xdr:cNvSpPr txBox="1"/>
        </xdr:nvSpPr>
        <xdr:spPr>
          <a:xfrm>
            <a:off x="956913" y="2325686"/>
            <a:ext cx="6428530" cy="1678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marR="0" lvl="0" indent="0" algn="l" defTabSz="914400" eaLnBrk="1" fontAlgn="auto" latinLnBrk="0" hangingPunct="1">
              <a:lnSpc>
                <a:spcPct val="100000"/>
              </a:lnSpc>
              <a:spcBef>
                <a:spcPts val="0"/>
              </a:spcBef>
              <a:spcAft>
                <a:spcPts val="0"/>
              </a:spcAft>
              <a:buClrTx/>
              <a:buSzTx/>
              <a:buFontTx/>
              <a:buNone/>
              <a:defRPr/>
            </a:pPr>
            <a:endParaRPr lang="en-US" sz="3600" b="1" i="0" baseline="0">
              <a:solidFill>
                <a:schemeClr val="tx2">
                  <a:lumMod val="50000"/>
                </a:schemeClr>
              </a:solidFill>
              <a:latin typeface="+mn-lt"/>
              <a:ea typeface="Karla" pitchFamily="2" charset="0"/>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defRPr/>
            </a:pPr>
            <a:r>
              <a:rPr lang="en-US" sz="4000" b="1" i="0" baseline="0">
                <a:solidFill>
                  <a:schemeClr val="tx2">
                    <a:lumMod val="50000"/>
                  </a:schemeClr>
                </a:solidFill>
                <a:latin typeface="+mn-lt"/>
                <a:ea typeface="Karla" pitchFamily="2" charset="0"/>
                <a:cs typeface="Times New Roman" panose="02020603050405020304" pitchFamily="18" charset="0"/>
              </a:rPr>
              <a:t>Safe Cities Index</a:t>
            </a:r>
            <a:endParaRPr lang="en-US" sz="4000" b="1" i="0" baseline="0">
              <a:solidFill>
                <a:schemeClr val="tx2">
                  <a:lumMod val="50000"/>
                </a:schemeClr>
              </a:solidFill>
              <a:latin typeface="+mn-lt"/>
              <a:ea typeface="Karla" pitchFamily="2" charset="0"/>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defRPr/>
            </a:pPr>
            <a:r>
              <a:rPr lang="en-US" sz="2400" b="0" i="0" baseline="0">
                <a:solidFill>
                  <a:schemeClr val="tx1"/>
                </a:solidFill>
                <a:latin typeface="+mn-lt"/>
                <a:ea typeface="Karla" pitchFamily="2" charset="0"/>
                <a:cs typeface="+mn-cs"/>
              </a:rPr>
              <a:t> 2017</a:t>
            </a:r>
            <a:endParaRPr lang="en-US" sz="2400" b="0" i="0">
              <a:solidFill>
                <a:schemeClr val="tx1"/>
              </a:solidFill>
              <a:latin typeface="+mn-lt"/>
              <a:ea typeface="Karla" pitchFamily="2" charset="0"/>
              <a:cs typeface="+mn-cs"/>
            </a:endParaRPr>
          </a:p>
        </xdr:txBody>
      </xdr:sp>
      <xdr:sp>
        <xdr:nvSpPr>
          <xdr:cNvPr id="6" name="TextBox 5">
            <a:hlinkClick xmlns:r="http://schemas.openxmlformats.org/officeDocument/2006/relationships" r:id="rId1"/>
          </xdr:cNvPr>
          <xdr:cNvSpPr txBox="1"/>
        </xdr:nvSpPr>
        <xdr:spPr>
          <a:xfrm>
            <a:off x="1072688" y="6364470"/>
            <a:ext cx="12612683" cy="536815"/>
          </a:xfrm>
          <a:prstGeom prst="rect">
            <a:avLst/>
          </a:prstGeom>
          <a:solidFill>
            <a:schemeClr val="lt1"/>
          </a:solidFill>
          <a:ln w="158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defRPr sz="1000"/>
            </a:pPr>
            <a:r>
              <a:rPr lang="en-GB" sz="1100" b="0" i="0" u="none" strike="noStrike" baseline="0">
                <a:solidFill>
                  <a:srgbClr val="000000"/>
                </a:solidFill>
                <a:latin typeface="+mn-lt"/>
                <a:ea typeface="Karla" pitchFamily="2" charset="0"/>
              </a:rPr>
              <a:t>Macros must be enabled for full functionality</a:t>
            </a:r>
            <a:endParaRPr lang="en-GB" sz="1100" b="0" i="0" u="none" strike="noStrike" baseline="0">
              <a:solidFill>
                <a:srgbClr val="000000"/>
              </a:solidFill>
              <a:latin typeface="+mn-lt"/>
              <a:ea typeface="Karla" pitchFamily="2" charset="0"/>
            </a:endParaRPr>
          </a:p>
          <a:p>
            <a:pPr algn="ctr" rtl="0">
              <a:defRPr sz="1000"/>
            </a:pPr>
            <a:r>
              <a:rPr lang="en-GB" sz="1000" b="0" i="0" u="sng" strike="noStrike" baseline="0">
                <a:solidFill>
                  <a:srgbClr val="0070C0"/>
                </a:solidFill>
                <a:latin typeface="+mn-lt"/>
                <a:ea typeface="Karla" pitchFamily="2" charset="0"/>
              </a:rPr>
              <a:t>http://office.microsoft.com/en-us/excel-help/enable-or-disable-macros-in-office-documents-HA010031071.aspx</a:t>
            </a:r>
            <a:endParaRPr lang="en-GB" sz="1000" b="0" i="0" u="sng" strike="noStrike" baseline="0">
              <a:solidFill>
                <a:srgbClr val="0070C0"/>
              </a:solidFill>
              <a:latin typeface="+mn-lt"/>
              <a:ea typeface="Karla" pitchFamily="2" charset="0"/>
            </a:endParaRPr>
          </a:p>
        </xdr:txBody>
      </xdr:sp>
      <xdr:sp>
        <xdr:nvSpPr>
          <xdr:cNvPr id="8" name="Rectangle 7"/>
          <xdr:cNvSpPr/>
        </xdr:nvSpPr>
        <xdr:spPr>
          <a:xfrm>
            <a:off x="7388198" y="5006449"/>
            <a:ext cx="6170444" cy="1235632"/>
          </a:xfrm>
          <a:prstGeom prst="rect">
            <a:avLst/>
          </a:prstGeom>
          <a:solidFill>
            <a:schemeClr val="accent6">
              <a:lumMod val="20000"/>
              <a:lumOff val="80000"/>
              <a:alpha val="10196"/>
            </a:schemeClr>
          </a:solidFill>
          <a:ln>
            <a:solidFill>
              <a:schemeClr val="accent6">
                <a:lumMod val="60000"/>
                <a:lumOff val="40000"/>
              </a:schemeClr>
            </a:solid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n-GB" sz="1100">
              <a:latin typeface="+mn-lt"/>
              <a:ea typeface="Karla" pitchFamily="2" charset="0"/>
            </a:endParaRPr>
          </a:p>
        </xdr:txBody>
      </xdr:sp>
      <xdr:pic macro="[0]!Fullscreen">
        <xdr:nvPicPr>
          <xdr:cNvPr id="9" name="fullscreen" descr="xl_fullscreen.png"/>
          <xdr:cNvPicPr>
            <a:picLocks noChangeAspect="1"/>
          </xdr:cNvPicPr>
        </xdr:nvPicPr>
        <xdr:blipFill>
          <a:blip r:embed="rId2" cstate="print"/>
          <a:stretch>
            <a:fillRect/>
          </a:stretch>
        </xdr:blipFill>
        <xdr:spPr>
          <a:xfrm>
            <a:off x="7772899" y="5152596"/>
            <a:ext cx="545469" cy="826273"/>
          </a:xfrm>
          <a:prstGeom prst="rect">
            <a:avLst/>
          </a:prstGeom>
        </xdr:spPr>
      </xdr:pic>
      <xdr:pic>
        <xdr:nvPicPr>
          <xdr:cNvPr id="25" name="Picture 1"/>
          <xdr:cNvPicPr>
            <a:picLocks noChangeAspect="1"/>
          </xdr:cNvPicPr>
        </xdr:nvPicPr>
        <xdr:blipFill>
          <a:blip r:embed="rId3" cstate="print"/>
          <a:srcRect/>
          <a:stretch>
            <a:fillRect/>
          </a:stretch>
        </xdr:blipFill>
        <xdr:spPr>
          <a:xfrm>
            <a:off x="943593" y="1952815"/>
            <a:ext cx="2034739" cy="472180"/>
          </a:xfrm>
          <a:prstGeom prst="rect">
            <a:avLst/>
          </a:prstGeom>
          <a:noFill/>
          <a:ln w="9525">
            <a:noFill/>
            <a:miter lim="800000"/>
            <a:headEnd/>
            <a:tailEnd/>
          </a:ln>
        </xdr:spPr>
      </xdr:pic>
      <mc:AlternateContent xmlns:mc="http://schemas.openxmlformats.org/markup-compatibility/2006">
        <mc:Choice xmlns:a14="http://schemas.microsoft.com/office/drawing/2010/main" Requires="a14">
          <xdr:sp macro="[0]!AdjustZoom">
            <xdr:nvSpPr>
              <xdr:cNvPr id="13088769" name="cnt_zoom" hidden="1">
                <a:extLst>
                  <a:ext uri="{63B3BB69-23CF-44E3-9099-C40C66FF867C}">
                    <a14:compatExt spid="_x0000_s13088769"/>
                  </a:ext>
                </a:extLst>
              </xdr:cNvPr>
              <xdr:cNvSpPr/>
            </xdr:nvSpPr>
            <xdr:spPr>
              <a:xfrm>
                <a:off x="1458383" y="5597525"/>
                <a:ext cx="2574925" cy="211667"/>
              </a:xfrm>
              <a:prstGeom prst="rect">
                <a:avLst/>
              </a:prstGeom>
            </xdr:spPr>
          </xdr:sp>
        </mc:Choice>
        <mc:Fallback/>
      </mc:AlternateContent>
      <xdr:grpSp>
        <xdr:nvGrpSpPr>
          <xdr:cNvPr id="10" name="MENU_BASE"/>
          <xdr:cNvGrpSpPr/>
        </xdr:nvGrpSpPr>
        <xdr:grpSpPr>
          <a:xfrm>
            <a:off x="0" y="0"/>
            <a:ext cx="14478333" cy="1610715"/>
            <a:chOff x="0" y="0"/>
            <a:chExt cx="14413782" cy="1614948"/>
          </a:xfrm>
        </xdr:grpSpPr>
        <xdr:sp>
          <xdr:nvSpPr>
            <xdr:cNvPr id="14" name="nav_controls"/>
            <xdr:cNvSpPr/>
          </xdr:nvSpPr>
          <xdr:spPr>
            <a:xfrm>
              <a:off x="0" y="369733"/>
              <a:ext cx="14413782" cy="1245215"/>
            </a:xfrm>
            <a:prstGeom prst="rect">
              <a:avLst/>
            </a:prstGeom>
            <a:solidFill>
              <a:schemeClr val="bg1">
                <a:lumMod val="95000"/>
              </a:schemeClr>
            </a:solidFill>
            <a:ln w="127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chemeClr val="tx2">
                    <a:lumMod val="75000"/>
                  </a:schemeClr>
                </a:solidFill>
                <a:latin typeface="+mn-lt"/>
                <a:ea typeface="Karla" pitchFamily="2" charset="0"/>
              </a:endParaRPr>
            </a:p>
          </xdr:txBody>
        </xdr:sp>
        <xdr:sp macro="[0]!LBChanger" textlink="uxb_works!B92">
          <xdr:nvSpPr>
            <xdr:cNvPr id="15" name="Summary"/>
            <xdr:cNvSpPr/>
          </xdr:nvSpPr>
          <xdr:spPr>
            <a:xfrm>
              <a:off x="1146" y="370825"/>
              <a:ext cx="3608347" cy="359503"/>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105C044-9834-4268-A7A6-5159ABE53AAC}"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xdr:nvSpPr>
            <xdr:cNvPr id="16" name="Home1"/>
            <xdr:cNvSpPr/>
          </xdr:nvSpPr>
          <xdr:spPr>
            <a:xfrm>
              <a:off x="1151" y="0"/>
              <a:ext cx="867228" cy="369654"/>
            </a:xfrm>
            <a:prstGeom prst="rect">
              <a:avLst/>
            </a:prstGeom>
            <a:solidFill>
              <a:schemeClr val="tx2">
                <a:lumMod val="60000"/>
                <a:lumOff val="40000"/>
              </a:schemeClr>
            </a:solidFill>
            <a:ln w="63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chemeClr val="accent1">
                    <a:lumMod val="75000"/>
                  </a:schemeClr>
                </a:solidFill>
                <a:latin typeface="+mn-lt"/>
                <a:ea typeface="Karla" pitchFamily="2" charset="0"/>
                <a:cs typeface="DilleniaUPC" pitchFamily="18" charset="-34"/>
              </a:endParaRPr>
            </a:p>
          </xdr:txBody>
        </xdr:sp>
        <xdr:pic macro="[0]!LBChanger">
          <xdr:nvPicPr>
            <xdr:cNvPr id="23" name="Home" descr="Home.png"/>
            <xdr:cNvPicPr>
              <a:picLocks noChangeAspect="1"/>
            </xdr:cNvPicPr>
          </xdr:nvPicPr>
          <xdr:blipFill>
            <a:blip r:embed="rId4" cstate="print"/>
            <a:stretch>
              <a:fillRect/>
            </a:stretch>
          </xdr:blipFill>
          <xdr:spPr>
            <a:xfrm>
              <a:off x="76311" y="16517"/>
              <a:ext cx="353192" cy="354584"/>
            </a:xfrm>
            <a:prstGeom prst="rect">
              <a:avLst/>
            </a:prstGeom>
            <a:solidFill>
              <a:schemeClr val="tx2">
                <a:lumMod val="60000"/>
                <a:lumOff val="40000"/>
              </a:schemeClr>
            </a:solidFill>
          </xdr:spPr>
        </xdr:pic>
        <xdr:pic macro="[0]!Navigate_GoBack">
          <xdr:nvPicPr>
            <xdr:cNvPr id="24" name="Picture 23" descr="Silver-Back-Button.png"/>
            <xdr:cNvPicPr>
              <a:picLocks noChangeAspect="1"/>
            </xdr:cNvPicPr>
          </xdr:nvPicPr>
          <xdr:blipFill>
            <a:blip r:embed="rId5" cstate="print"/>
            <a:stretch>
              <a:fillRect/>
            </a:stretch>
          </xdr:blipFill>
          <xdr:spPr>
            <a:xfrm>
              <a:off x="482924" y="16516"/>
              <a:ext cx="346258" cy="353818"/>
            </a:xfrm>
            <a:prstGeom prst="rect">
              <a:avLst/>
            </a:prstGeom>
            <a:solidFill>
              <a:schemeClr val="tx2">
                <a:lumMod val="60000"/>
                <a:lumOff val="40000"/>
              </a:schemeClr>
            </a:solidFill>
          </xdr:spPr>
        </xdr:pic>
        <xdr:sp macro="[0]!LBChanger" textlink="uxb_works!B93">
          <xdr:nvSpPr>
            <xdr:cNvPr id="22" name="Indicator_Ranking"/>
            <xdr:cNvSpPr/>
          </xdr:nvSpPr>
          <xdr:spPr>
            <a:xfrm>
              <a:off x="3601171" y="370825"/>
              <a:ext cx="3608347" cy="359503"/>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ABB0398-29D1-49BB-889F-7885C1ADD678}"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4">
          <xdr:nvSpPr>
            <xdr:cNvPr id="26" name="CityProfile"/>
            <xdr:cNvSpPr/>
          </xdr:nvSpPr>
          <xdr:spPr>
            <a:xfrm>
              <a:off x="7198019" y="370825"/>
              <a:ext cx="3608347" cy="359503"/>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DCC65E-F82F-4EA9-A004-8FD74DA0D109}"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5">
          <xdr:nvSpPr>
            <xdr:cNvPr id="28" name="Weights"/>
            <xdr:cNvSpPr/>
          </xdr:nvSpPr>
          <xdr:spPr>
            <a:xfrm>
              <a:off x="10800595" y="370825"/>
              <a:ext cx="3608347" cy="359503"/>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EC9DCF-1775-4B22-9966-148AF6400B32}"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textlink="uxb_works!B90">
          <xdr:nvSpPr>
            <xdr:cNvPr id="32" name="Home1"/>
            <xdr:cNvSpPr/>
          </xdr:nvSpPr>
          <xdr:spPr>
            <a:xfrm>
              <a:off x="868627" y="3"/>
              <a:ext cx="13536000" cy="369654"/>
            </a:xfrm>
            <a:prstGeom prst="rect">
              <a:avLst/>
            </a:prstGeom>
            <a:solidFill>
              <a:srgbClr val="FFFFFF"/>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B609E4-A4C5-4832-9622-4C6482086EB7}" type="TxLink">
                <a:rPr lang="en-US" sz="1600" b="1" i="0" u="none" strike="noStrike">
                  <a:solidFill>
                    <a:schemeClr val="accent1">
                      <a:lumMod val="75000"/>
                    </a:schemeClr>
                  </a:solidFill>
                  <a:latin typeface="Calibri" panose="020F0502020204030204"/>
                  <a:ea typeface="Karla" pitchFamily="2" charset="0"/>
                  <a:cs typeface="Calibri" panose="020F0502020204030204"/>
                </a:rPr>
              </a:fld>
              <a:endParaRPr lang="en-GB" sz="1400" b="1">
                <a:solidFill>
                  <a:schemeClr val="accent1">
                    <a:lumMod val="75000"/>
                  </a:schemeClr>
                </a:solidFill>
                <a:latin typeface="+mn-lt"/>
                <a:ea typeface="Karla" pitchFamily="2" charset="0"/>
                <a:cs typeface="DilleniaUPC" pitchFamily="18" charset="-34"/>
              </a:endParaRPr>
            </a:p>
          </xdr:txBody>
        </xdr:sp>
      </xdr:grpSp>
    </xdr:grpSp>
    <xdr:clientData fPrintsWithSheet="0"/>
  </xdr:twoCellAnchor>
  <xdr:twoCellAnchor editAs="oneCell">
    <xdr:from>
      <xdr:col>2</xdr:col>
      <xdr:colOff>21167</xdr:colOff>
      <xdr:row>37</xdr:row>
      <xdr:rowOff>63501</xdr:rowOff>
    </xdr:from>
    <xdr:to>
      <xdr:col>5</xdr:col>
      <xdr:colOff>276225</xdr:colOff>
      <xdr:row>42</xdr:row>
      <xdr:rowOff>154128</xdr:rowOff>
    </xdr:to>
    <xdr:pic>
      <xdr:nvPicPr>
        <xdr:cNvPr id="12" name="Picture 11"/>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840105" y="8211185"/>
          <a:ext cx="2084070" cy="104267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21168</xdr:colOff>
      <xdr:row>4</xdr:row>
      <xdr:rowOff>58209</xdr:rowOff>
    </xdr:from>
    <xdr:to>
      <xdr:col>20</xdr:col>
      <xdr:colOff>299357</xdr:colOff>
      <xdr:row>15</xdr:row>
      <xdr:rowOff>176893</xdr:rowOff>
    </xdr:to>
    <xdr:sp>
      <xdr:nvSpPr>
        <xdr:cNvPr id="4" name="TextBox 3"/>
        <xdr:cNvSpPr txBox="1">
          <a:spLocks noChangeArrowheads="1"/>
        </xdr:cNvSpPr>
      </xdr:nvSpPr>
      <xdr:spPr>
        <a:xfrm>
          <a:off x="9136380" y="1941830"/>
          <a:ext cx="5307330" cy="2985770"/>
        </a:xfrm>
        <a:prstGeom prst="rect">
          <a:avLst/>
        </a:prstGeom>
        <a:solidFill>
          <a:srgbClr val="FFFFFF"/>
        </a:solidFill>
        <a:ln w="9525">
          <a:solidFill>
            <a:srgbClr val="BCBCBC"/>
          </a:solidFill>
          <a:miter lim="800000"/>
        </a:ln>
      </xdr:spPr>
      <xdr:txBody>
        <a:bodyPr vertOverflow="clip" wrap="square" lIns="144000" tIns="144000" rIns="144000" bIns="180000" anchor="t" upright="1"/>
        <a:lstStyle/>
        <a:p>
          <a:r>
            <a:rPr lang="en-US" sz="1100" baseline="0">
              <a:solidFill>
                <a:srgbClr val="382E2C"/>
              </a:solidFill>
              <a:latin typeface="+mn-lt"/>
              <a:ea typeface="+mn-ea"/>
              <a:cs typeface="+mn-cs"/>
            </a:rPr>
            <a:t>You</a:t>
          </a:r>
          <a:r>
            <a:rPr lang="en-US" sz="1100">
              <a:solidFill>
                <a:srgbClr val="382E2C"/>
              </a:solidFill>
              <a:latin typeface="+mn-lt"/>
              <a:ea typeface="+mn-ea"/>
              <a:cs typeface="+mn-cs"/>
            </a:rPr>
            <a:t> can adjust the index weights according to what you think is most important when comparing cities. Adjusting the category or indicator weights will alter the scores and final rankings for all the cities</a:t>
          </a:r>
          <a:r>
            <a:rPr lang="en-US" sz="1100" baseline="0">
              <a:solidFill>
                <a:srgbClr val="382E2C"/>
              </a:solidFill>
              <a:latin typeface="+mn-lt"/>
              <a:ea typeface="+mn-ea"/>
              <a:cs typeface="+mn-cs"/>
            </a:rPr>
            <a:t> </a:t>
          </a:r>
          <a:r>
            <a:rPr lang="en-US" sz="1100">
              <a:solidFill>
                <a:srgbClr val="382E2C"/>
              </a:solidFill>
              <a:latin typeface="+mn-lt"/>
              <a:ea typeface="+mn-ea"/>
              <a:cs typeface="+mn-cs"/>
            </a:rPr>
            <a:t>in the 2014 (46)</a:t>
          </a:r>
          <a:r>
            <a:rPr lang="en-US" sz="1100" baseline="0">
              <a:solidFill>
                <a:srgbClr val="382E2C"/>
              </a:solidFill>
              <a:latin typeface="+mn-lt"/>
              <a:ea typeface="+mn-ea"/>
              <a:cs typeface="+mn-cs"/>
            </a:rPr>
            <a:t> and 2017</a:t>
          </a:r>
          <a:r>
            <a:rPr lang="en-US" sz="1100">
              <a:solidFill>
                <a:srgbClr val="382E2C"/>
              </a:solidFill>
              <a:latin typeface="+mn-lt"/>
              <a:ea typeface="+mn-ea"/>
              <a:cs typeface="+mn-cs"/>
            </a:rPr>
            <a:t> </a:t>
          </a:r>
          <a:r>
            <a:rPr lang="en-GB" sz="1100">
              <a:effectLst/>
              <a:latin typeface="+mn-lt"/>
              <a:ea typeface="+mn-ea"/>
              <a:cs typeface="+mn-cs"/>
            </a:rPr>
            <a:t>indices</a:t>
          </a:r>
          <a:r>
            <a:rPr lang="en-US" sz="1100">
              <a:solidFill>
                <a:srgbClr val="382E2C"/>
              </a:solidFill>
              <a:latin typeface="+mn-lt"/>
              <a:ea typeface="+mn-ea"/>
              <a:cs typeface="+mn-cs"/>
            </a:rPr>
            <a:t>.  </a:t>
          </a:r>
          <a:endParaRPr lang="en-GB" sz="1100">
            <a:solidFill>
              <a:srgbClr val="382E2C"/>
            </a:solidFill>
            <a:latin typeface="+mn-lt"/>
            <a:ea typeface="+mn-ea"/>
            <a:cs typeface="+mn-cs"/>
          </a:endParaRPr>
        </a:p>
        <a:p>
          <a:r>
            <a:rPr lang="en-US" sz="1100">
              <a:solidFill>
                <a:srgbClr val="382E2C"/>
              </a:solidFill>
              <a:latin typeface="+mn-lt"/>
              <a:ea typeface="+mn-ea"/>
              <a:cs typeface="+mn-cs"/>
            </a:rPr>
            <a:t> </a:t>
          </a:r>
          <a:endParaRPr lang="en-GB" sz="1100">
            <a:solidFill>
              <a:srgbClr val="382E2C"/>
            </a:solidFill>
            <a:latin typeface="+mn-lt"/>
            <a:ea typeface="+mn-ea"/>
            <a:cs typeface="+mn-cs"/>
          </a:endParaRPr>
        </a:p>
        <a:p>
          <a:r>
            <a:rPr lang="en-US" sz="1100">
              <a:solidFill>
                <a:srgbClr val="382E2C"/>
              </a:solidFill>
              <a:latin typeface="+mn-lt"/>
              <a:ea typeface="+mn-ea"/>
              <a:cs typeface="+mn-cs"/>
            </a:rPr>
            <a:t>If you value one of the four categories more strongly than the others, adjust the weight higher. If you value a certain indicator more strongly within a category, you can adjust its weight higher. For example,</a:t>
          </a:r>
          <a:r>
            <a:rPr lang="en-US" sz="1100" baseline="0">
              <a:solidFill>
                <a:srgbClr val="382E2C"/>
              </a:solidFill>
              <a:latin typeface="+mn-lt"/>
              <a:ea typeface="+mn-ea"/>
              <a:cs typeface="+mn-cs"/>
            </a:rPr>
            <a:t> c</a:t>
          </a:r>
          <a:r>
            <a:rPr lang="en-US" sz="1100">
              <a:solidFill>
                <a:srgbClr val="382E2C"/>
              </a:solidFill>
              <a:latin typeface="+mn-lt"/>
              <a:ea typeface="+mn-ea"/>
              <a:cs typeface="+mn-cs"/>
            </a:rPr>
            <a:t>hanging an indicator or category weight from a “1” to a “2” means that it will be weighted twice as much as the other </a:t>
          </a:r>
          <a:r>
            <a:rPr lang="en-US" sz="1100">
              <a:latin typeface="+mn-lt"/>
              <a:ea typeface="+mn-ea"/>
              <a:cs typeface="+mn-cs"/>
            </a:rPr>
            <a:t>indicators or </a:t>
          </a:r>
          <a:r>
            <a:rPr lang="en-US" sz="1100">
              <a:solidFill>
                <a:srgbClr val="382E2C"/>
              </a:solidFill>
              <a:latin typeface="+mn-lt"/>
              <a:ea typeface="+mn-ea"/>
              <a:cs typeface="+mn-cs"/>
            </a:rPr>
            <a:t>categories if respectively the other weights remain a "1". You can enter any positive number. Entering zero will remove the category or indicator from the index. </a:t>
          </a:r>
          <a:endParaRPr lang="en-US" sz="1100">
            <a:solidFill>
              <a:srgbClr val="382E2C"/>
            </a:solidFill>
            <a:latin typeface="+mn-lt"/>
            <a:ea typeface="+mn-ea"/>
            <a:cs typeface="+mn-cs"/>
          </a:endParaRPr>
        </a:p>
        <a:p>
          <a:endParaRPr lang="en-GB" sz="1100">
            <a:solidFill>
              <a:srgbClr val="382E2C"/>
            </a:solidFill>
            <a:latin typeface="+mn-lt"/>
            <a:ea typeface="+mn-ea"/>
            <a:cs typeface="+mn-cs"/>
          </a:endParaRPr>
        </a:p>
        <a:p>
          <a:r>
            <a:rPr lang="en-US" sz="1100">
              <a:solidFill>
                <a:srgbClr val="382E2C"/>
              </a:solidFill>
              <a:latin typeface="+mn-lt"/>
              <a:ea typeface="+mn-ea"/>
              <a:cs typeface="+mn-cs"/>
            </a:rPr>
            <a:t>Save your weight profile here and these changes will be automatically reflected in the rest of the model. You can use the drop-down menu on any tab to move between weight profiles.</a:t>
          </a:r>
          <a:endParaRPr lang="en-GB" sz="1100" b="0" i="0" u="none" strike="noStrike" baseline="0">
            <a:solidFill>
              <a:srgbClr val="382E2C"/>
            </a:solidFill>
            <a:latin typeface="Calibri" panose="020F0502020204030204"/>
          </a:endParaRPr>
        </a:p>
      </xdr:txBody>
    </xdr:sp>
    <xdr:clientData fPrintsWithSheet="0"/>
  </xdr:twoCellAnchor>
  <xdr:twoCellAnchor editAs="oneCell">
    <xdr:from>
      <xdr:col>1</xdr:col>
      <xdr:colOff>0</xdr:colOff>
      <xdr:row>86</xdr:row>
      <xdr:rowOff>0</xdr:rowOff>
    </xdr:from>
    <xdr:to>
      <xdr:col>5</xdr:col>
      <xdr:colOff>812800</xdr:colOff>
      <xdr:row>87</xdr:row>
      <xdr:rowOff>3175</xdr:rowOff>
    </xdr:to>
    <xdr:sp macro="[0]!returntop">
      <xdr:nvSpPr>
        <xdr:cNvPr id="17" name="go_top"/>
        <xdr:cNvSpPr txBox="1"/>
      </xdr:nvSpPr>
      <xdr:spPr>
        <a:xfrm>
          <a:off x="114300" y="18124170"/>
          <a:ext cx="812800" cy="165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Karla" pitchFamily="2" charset="0"/>
              <a:ea typeface="Karla" pitchFamily="2" charset="0"/>
            </a:rPr>
            <a:t>Back to top</a:t>
          </a:r>
          <a:endParaRPr lang="en-GB" sz="1100" b="1" i="0" u="sng" strike="noStrike" baseline="0">
            <a:solidFill>
              <a:srgbClr val="0070C0"/>
            </a:solidFill>
            <a:latin typeface="Karla" pitchFamily="2" charset="0"/>
            <a:ea typeface="Karla" pitchFamily="2" charset="0"/>
          </a:endParaRPr>
        </a:p>
      </xdr:txBody>
    </xdr:sp>
    <xdr:clientData fPrintsWithSheet="0"/>
  </xdr:twoCellAnchor>
  <xdr:twoCellAnchor editAs="absolute">
    <xdr:from>
      <xdr:col>0</xdr:col>
      <xdr:colOff>0</xdr:colOff>
      <xdr:row>0</xdr:row>
      <xdr:rowOff>0</xdr:rowOff>
    </xdr:from>
    <xdr:to>
      <xdr:col>20</xdr:col>
      <xdr:colOff>290738</xdr:colOff>
      <xdr:row>5</xdr:row>
      <xdr:rowOff>497417</xdr:rowOff>
    </xdr:to>
    <xdr:grpSp>
      <xdr:nvGrpSpPr>
        <xdr:cNvPr id="3" name="MENU"/>
        <xdr:cNvGrpSpPr/>
      </xdr:nvGrpSpPr>
      <xdr:grpSpPr>
        <a:xfrm>
          <a:off x="0" y="0"/>
          <a:ext cx="14434820" cy="2543175"/>
          <a:chOff x="3748" y="0"/>
          <a:chExt cx="14477566" cy="2529426"/>
        </a:xfrm>
      </xdr:grpSpPr>
      <xdr:grpSp>
        <xdr:nvGrpSpPr>
          <xdr:cNvPr id="10" name="MENU_B"/>
          <xdr:cNvGrpSpPr/>
        </xdr:nvGrpSpPr>
        <xdr:grpSpPr>
          <a:xfrm>
            <a:off x="3748" y="0"/>
            <a:ext cx="14477566" cy="1607880"/>
            <a:chOff x="1" y="1"/>
            <a:chExt cx="14438091" cy="1612107"/>
          </a:xfrm>
        </xdr:grpSpPr>
        <xdr:grpSp>
          <xdr:nvGrpSpPr>
            <xdr:cNvPr id="13" name="MENU_BASE"/>
            <xdr:cNvGrpSpPr/>
          </xdr:nvGrpSpPr>
          <xdr:grpSpPr>
            <a:xfrm>
              <a:off x="1" y="1"/>
              <a:ext cx="14430257" cy="1610336"/>
              <a:chOff x="0" y="1"/>
              <a:chExt cx="14405923" cy="1606128"/>
            </a:xfrm>
          </xdr:grpSpPr>
          <xdr:sp>
            <xdr:nvSpPr>
              <xdr:cNvPr id="15" name="nav_controls"/>
              <xdr:cNvSpPr/>
            </xdr:nvSpPr>
            <xdr:spPr>
              <a:xfrm>
                <a:off x="0" y="374557"/>
                <a:ext cx="14405866" cy="1231572"/>
              </a:xfrm>
              <a:prstGeom prst="rect">
                <a:avLst/>
              </a:prstGeom>
              <a:solidFill>
                <a:schemeClr val="bg1">
                  <a:lumMod val="95000"/>
                </a:schemeClr>
              </a:solidFill>
              <a:ln w="127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chemeClr val="tx2">
                      <a:lumMod val="75000"/>
                    </a:schemeClr>
                  </a:solidFill>
                  <a:latin typeface="+mn-lt"/>
                  <a:ea typeface="Karla" pitchFamily="2" charset="0"/>
                </a:endParaRPr>
              </a:p>
            </xdr:txBody>
          </xdr:sp>
          <xdr:sp macro="[0]!LBChanger" textlink="uxb_works!B92">
            <xdr:nvSpPr>
              <xdr:cNvPr id="16" name="Summary"/>
              <xdr:cNvSpPr/>
            </xdr:nvSpPr>
            <xdr:spPr>
              <a:xfrm>
                <a:off x="1145" y="370237"/>
                <a:ext cx="3606759"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105C044-9834-4268-A7A6-5159ABE53AAC}"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xdr:nvSpPr>
              <xdr:cNvPr id="18" name="Home1"/>
              <xdr:cNvSpPr/>
            </xdr:nvSpPr>
            <xdr:spPr>
              <a:xfrm>
                <a:off x="1150" y="1"/>
                <a:ext cx="867227" cy="364908"/>
              </a:xfrm>
              <a:prstGeom prst="rect">
                <a:avLst/>
              </a:prstGeom>
              <a:solidFill>
                <a:schemeClr val="bg1"/>
              </a:solidFill>
              <a:ln w="6350">
                <a:solidFill>
                  <a:schemeClr val="accent6">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chemeClr val="accent1">
                      <a:lumMod val="75000"/>
                    </a:schemeClr>
                  </a:solidFill>
                  <a:latin typeface="+mn-lt"/>
                  <a:ea typeface="Karla" pitchFamily="2" charset="0"/>
                  <a:cs typeface="DilleniaUPC" pitchFamily="18" charset="-34"/>
                </a:endParaRPr>
              </a:p>
            </xdr:txBody>
          </xdr:sp>
          <xdr:pic macro="[0]!LBChanger">
            <xdr:nvPicPr>
              <xdr:cNvPr id="20" name="Home" descr="Home.png"/>
              <xdr:cNvPicPr>
                <a:picLocks noChangeAspect="1"/>
              </xdr:cNvPicPr>
            </xdr:nvPicPr>
            <xdr:blipFill>
              <a:blip r:embed="rId1" cstate="print"/>
              <a:stretch>
                <a:fillRect/>
              </a:stretch>
            </xdr:blipFill>
            <xdr:spPr>
              <a:xfrm>
                <a:off x="76310" y="16517"/>
                <a:ext cx="353192" cy="335848"/>
              </a:xfrm>
              <a:prstGeom prst="rect">
                <a:avLst/>
              </a:prstGeom>
              <a:solidFill>
                <a:schemeClr val="bg1"/>
              </a:solidFill>
            </xdr:spPr>
          </xdr:pic>
          <xdr:pic macro="[0]!Navigate_GoBack">
            <xdr:nvPicPr>
              <xdr:cNvPr id="21" name="Picture 20" descr="Silver-Back-Button.png"/>
              <xdr:cNvPicPr>
                <a:picLocks noChangeAspect="1"/>
              </xdr:cNvPicPr>
            </xdr:nvPicPr>
            <xdr:blipFill>
              <a:blip r:embed="rId2" cstate="print"/>
              <a:stretch>
                <a:fillRect/>
              </a:stretch>
            </xdr:blipFill>
            <xdr:spPr>
              <a:xfrm>
                <a:off x="482923" y="16516"/>
                <a:ext cx="346258" cy="335122"/>
              </a:xfrm>
              <a:prstGeom prst="rect">
                <a:avLst/>
              </a:prstGeom>
              <a:solidFill>
                <a:schemeClr val="bg1"/>
              </a:solidFill>
            </xdr:spPr>
          </xdr:pic>
          <xdr:sp macro="[0]!LBChanger" textlink="uxb_works!B93">
            <xdr:nvSpPr>
              <xdr:cNvPr id="22" name="Indicator_Ranking"/>
              <xdr:cNvSpPr/>
            </xdr:nvSpPr>
            <xdr:spPr>
              <a:xfrm>
                <a:off x="3599181" y="370237"/>
                <a:ext cx="3601229"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ABB0398-29D1-49BB-889F-7885C1ADD678}"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4">
            <xdr:nvSpPr>
              <xdr:cNvPr id="23" name="CityProfile"/>
              <xdr:cNvSpPr/>
            </xdr:nvSpPr>
            <xdr:spPr>
              <a:xfrm>
                <a:off x="7199044" y="370237"/>
                <a:ext cx="3603380"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DCC65E-F82F-4EA9-A004-8FD74DA0D109}"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textlink="uxb_works!B90">
            <xdr:nvSpPr>
              <xdr:cNvPr id="24" name="Home1"/>
              <xdr:cNvSpPr/>
            </xdr:nvSpPr>
            <xdr:spPr>
              <a:xfrm>
                <a:off x="868627" y="3"/>
                <a:ext cx="13537237" cy="369654"/>
              </a:xfrm>
              <a:prstGeom prst="rect">
                <a:avLst/>
              </a:prstGeom>
              <a:solidFill>
                <a:srgbClr val="FFFFFF"/>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B609E4-A4C5-4832-9622-4C6482086EB7}" type="TxLink">
                  <a:rPr lang="en-US" sz="1600" b="1" i="0" u="none" strike="noStrike">
                    <a:solidFill>
                      <a:schemeClr val="accent1">
                        <a:lumMod val="75000"/>
                      </a:schemeClr>
                    </a:solidFill>
                    <a:latin typeface="Calibri" panose="020F0502020204030204"/>
                    <a:ea typeface="Karla" pitchFamily="2" charset="0"/>
                    <a:cs typeface="Calibri" panose="020F0502020204030204"/>
                  </a:rPr>
                </a:fld>
                <a:endParaRPr lang="en-GB" sz="1400" b="1">
                  <a:solidFill>
                    <a:schemeClr val="accent1">
                      <a:lumMod val="75000"/>
                    </a:schemeClr>
                  </a:solidFill>
                  <a:latin typeface="+mn-lt"/>
                  <a:ea typeface="Karla" pitchFamily="2" charset="0"/>
                  <a:cs typeface="DilleniaUPC" pitchFamily="18" charset="-34"/>
                </a:endParaRPr>
              </a:p>
            </xdr:txBody>
          </xdr:sp>
          <xdr:sp macro="[0]!LBChanger" textlink="uxb_works!B95">
            <xdr:nvSpPr>
              <xdr:cNvPr id="26" name="Weights"/>
              <xdr:cNvSpPr/>
            </xdr:nvSpPr>
            <xdr:spPr>
              <a:xfrm>
                <a:off x="10801622" y="370237"/>
                <a:ext cx="3604301" cy="359386"/>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EC9DCF-1775-4B22-9966-148AF6400B32}" type="TxLink">
                  <a:rPr lang="en-US" sz="14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grpSp>
        <xdr:pic macro="[0]!Generate_XL">
          <xdr:nvPicPr>
            <xdr:cNvPr id="14" name="exp_xl" descr="excel-wbg.jpg"/>
            <xdr:cNvPicPr>
              <a:picLocks noChangeAspect="1"/>
            </xdr:cNvPicPr>
          </xdr:nvPicPr>
          <xdr:blipFill>
            <a:blip r:embed="rId3" cstate="print">
              <a:extLst>
                <a:ext uri="{BEBA8EAE-BF5A-486C-A8C5-ECC9F3942E4B}">
                  <a14:imgProps xmlns:a14="http://schemas.microsoft.com/office/drawing/2010/main">
                    <a14:imgLayer r:embed="rId4">
                      <a14:imgEffect>
                        <a14:backgroundRemoval t="10000" b="90000" l="10000" r="90000"/>
                      </a14:imgEffect>
                    </a14:imgLayer>
                  </a14:imgProps>
                </a:ext>
              </a:extLst>
            </a:blip>
            <a:stretch>
              <a:fillRect/>
            </a:stretch>
          </xdr:blipFill>
          <xdr:spPr>
            <a:xfrm>
              <a:off x="14106525" y="1200150"/>
              <a:ext cx="331567" cy="411958"/>
            </a:xfrm>
            <a:prstGeom prst="rect">
              <a:avLst/>
            </a:prstGeom>
          </xdr:spPr>
        </xdr:pic>
      </xdr:grpSp>
      <xdr:sp>
        <xdr:nvSpPr>
          <xdr:cNvPr id="2" name="TextBox 1"/>
          <xdr:cNvSpPr txBox="1">
            <a:spLocks noChangeArrowheads="1"/>
          </xdr:cNvSpPr>
        </xdr:nvSpPr>
        <xdr:spPr>
          <a:xfrm>
            <a:off x="116418" y="1936757"/>
            <a:ext cx="7852832" cy="592669"/>
          </a:xfrm>
          <a:prstGeom prst="rect">
            <a:avLst/>
          </a:prstGeom>
          <a:solidFill>
            <a:schemeClr val="bg1"/>
          </a:solidFill>
          <a:ln w="9525">
            <a:solidFill>
              <a:srgbClr val="BCBCBC"/>
            </a:solidFill>
            <a:miter lim="800000"/>
          </a:ln>
        </xdr:spPr>
        <xdr:txBody>
          <a:bodyPr vertOverflow="clip" wrap="square" lIns="36000" tIns="27432" rIns="0" bIns="0" anchor="t" upright="1"/>
          <a:lstStyle/>
          <a:p>
            <a:pPr algn="l" rtl="0">
              <a:defRPr sz="1000"/>
            </a:pPr>
            <a:endParaRPr lang="en-GB" sz="1100" b="0" i="0" u="none" strike="noStrike" baseline="0">
              <a:solidFill>
                <a:srgbClr val="808080"/>
              </a:solidFill>
              <a:latin typeface="Calibri" panose="020F0502020204030204"/>
            </a:endParaRPr>
          </a:p>
          <a:p>
            <a:pPr algn="l" rtl="0">
              <a:defRPr sz="1000"/>
            </a:pPr>
            <a:r>
              <a:rPr lang="en-GB" sz="1100" b="0" i="0" u="none" strike="noStrike" baseline="0">
                <a:solidFill>
                  <a:srgbClr val="808080"/>
                </a:solidFill>
                <a:latin typeface="Calibri" panose="020F0502020204030204"/>
              </a:rPr>
              <a:t>Change weights by editing numbers in the yellow column	                 Save Weight Profile:</a:t>
            </a:r>
            <a:endParaRPr lang="en-GB" sz="1100" b="0" i="0" u="none" strike="noStrike" baseline="0">
              <a:solidFill>
                <a:srgbClr val="808080"/>
              </a:solidFill>
              <a:latin typeface="Calibri" panose="020F0502020204030204"/>
            </a:endParaRPr>
          </a:p>
        </xdr:txBody>
      </xdr:sp>
      <mc:AlternateContent xmlns:mc="http://schemas.openxmlformats.org/markup-compatibility/2006">
        <mc:Choice xmlns:a14="http://schemas.microsoft.com/office/drawing/2010/main" Requires="a14">
          <xdr:sp macro="[0]!SaveWeightForm">
            <xdr:nvSpPr>
              <xdr:cNvPr id="12984323" name="Button 3" hidden="1">
                <a:extLst>
                  <a:ext uri="{63B3BB69-23CF-44E3-9099-C40C66FF867C}">
                    <a14:compatExt spid="_x0000_s12984323"/>
                  </a:ext>
                </a:extLst>
              </xdr:cNvPr>
              <xdr:cNvSpPr/>
            </xdr:nvSpPr>
            <xdr:spPr>
              <a:xfrm>
                <a:off x="5625043" y="2079631"/>
                <a:ext cx="1479550" cy="333376"/>
              </a:xfrm>
              <a:prstGeom prst="rect">
                <a:avLst/>
              </a:prstGeom>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panose="020F0502020204030204"/>
                  </a:rPr>
                  <a:t>SAVE WEIGHTS</a:t>
                </a:r>
                <a:endParaRPr lang="en-GB" sz="1100" b="0" i="0" u="none" strike="noStrike" baseline="0">
                  <a:solidFill>
                    <a:srgbClr val="000000"/>
                  </a:solidFill>
                  <a:latin typeface="Calibri" panose="020F0502020204030204"/>
                </a:endParaRPr>
              </a:p>
            </xdr:txBody>
          </xdr:sp>
        </mc:Choice>
        <mc:Fallback/>
      </mc:AlternateContent>
      <xdr:sp>
        <xdr:nvSpPr>
          <xdr:cNvPr id="19" name="lbl_cnt_City_1"/>
          <xdr:cNvSpPr txBox="1"/>
        </xdr:nvSpPr>
        <xdr:spPr>
          <a:xfrm>
            <a:off x="13186775" y="1131538"/>
            <a:ext cx="689550" cy="224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000" b="1">
                <a:solidFill>
                  <a:sysClr val="windowText" lastClr="000000"/>
                </a:solidFill>
              </a:rPr>
              <a:t>WEIGHTS</a:t>
            </a:r>
            <a:endParaRPr lang="en-GB" sz="1000" b="1">
              <a:solidFill>
                <a:sysClr val="windowText" lastClr="000000"/>
              </a:solidFill>
            </a:endParaRPr>
          </a:p>
        </xdr:txBody>
      </xdr:sp>
      <xdr:sp textlink="_WeightProfile">
        <xdr:nvSpPr>
          <xdr:cNvPr id="25" name="Text Box 6"/>
          <xdr:cNvSpPr txBox="1">
            <a:spLocks noChangeArrowheads="1"/>
          </xdr:cNvSpPr>
        </xdr:nvSpPr>
        <xdr:spPr>
          <a:xfrm>
            <a:off x="7143945" y="1283544"/>
            <a:ext cx="4526381" cy="306060"/>
          </a:xfrm>
          <a:prstGeom prst="rect">
            <a:avLst/>
          </a:prstGeom>
          <a:noFill/>
          <a:ln w="9525">
            <a:noFill/>
            <a:miter lim="800000"/>
          </a:ln>
        </xdr:spPr>
        <xdr:txBody>
          <a:bodyPr vertOverflow="clip" wrap="square" lIns="108000" tIns="27432" rIns="0" bIns="0" anchor="ctr" upright="1"/>
          <a:lstStyle/>
          <a:p>
            <a:pPr algn="r" rtl="0">
              <a:defRPr sz="1000"/>
            </a:pPr>
            <a:fld id="{6B3CEEA7-E132-459A-8C8C-F76B64C58034}" type="TxLink">
              <a:rPr lang="en-US" sz="1000" b="0" i="1" u="none" strike="noStrike" baseline="0">
                <a:solidFill>
                  <a:schemeClr val="tx1">
                    <a:lumMod val="65000"/>
                    <a:lumOff val="35000"/>
                  </a:schemeClr>
                </a:solidFill>
                <a:latin typeface="Calibri" panose="020F0502020204030204"/>
                <a:cs typeface="Calibri" panose="020F0502020204030204"/>
              </a:rPr>
            </a:fld>
            <a:endParaRPr lang="en-GB" sz="1000" b="0" i="1" u="none" strike="noStrike" baseline="0">
              <a:solidFill>
                <a:schemeClr val="tx1">
                  <a:lumMod val="65000"/>
                  <a:lumOff val="35000"/>
                </a:schemeClr>
              </a:solidFill>
              <a:latin typeface="Calibri" panose="020F0502020204030204"/>
            </a:endParaRPr>
          </a:p>
        </xdr:txBody>
      </xdr:sp>
      <mc:AlternateContent xmlns:mc="http://schemas.openxmlformats.org/markup-compatibility/2006">
        <mc:Choice xmlns:a14="http://schemas.microsoft.com/office/drawing/2010/main" Requires="a14">
          <xdr:sp macro="[0]!LoadWeights">
            <xdr:nvSpPr>
              <xdr:cNvPr id="12984324" name="SELECTION" hidden="1">
                <a:extLst>
                  <a:ext uri="{63B3BB69-23CF-44E3-9099-C40C66FF867C}">
                    <a14:compatExt spid="_x0000_s12984324"/>
                  </a:ext>
                </a:extLst>
              </xdr:cNvPr>
              <xdr:cNvSpPr/>
            </xdr:nvSpPr>
            <xdr:spPr>
              <a:xfrm>
                <a:off x="11764433" y="1328209"/>
                <a:ext cx="2114550" cy="228600"/>
              </a:xfrm>
              <a:prstGeom prst="rect">
                <a:avLst/>
              </a:prstGeom>
            </xdr:spPr>
          </xdr:sp>
        </mc:Choice>
        <mc:Fallback/>
      </mc:AlternateContent>
    </xdr:grpSp>
    <xdr:clientData fPrintsWithSheet="0"/>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69</xdr:col>
      <xdr:colOff>309562</xdr:colOff>
      <xdr:row>67</xdr:row>
      <xdr:rowOff>158752</xdr:rowOff>
    </xdr:from>
    <xdr:to>
      <xdr:col>70</xdr:col>
      <xdr:colOff>169893</xdr:colOff>
      <xdr:row>68</xdr:row>
      <xdr:rowOff>130970</xdr:rowOff>
    </xdr:to>
    <xdr:sp macro="[0]!returntop">
      <xdr:nvSpPr>
        <xdr:cNvPr id="2" name="go_top"/>
        <xdr:cNvSpPr txBox="1"/>
      </xdr:nvSpPr>
      <xdr:spPr>
        <a:xfrm>
          <a:off x="67631945" y="20248880"/>
          <a:ext cx="841375"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Karla" pitchFamily="2" charset="0"/>
              <a:ea typeface="Karla" pitchFamily="2" charset="0"/>
            </a:rPr>
            <a:t>Back to top</a:t>
          </a:r>
          <a:endParaRPr lang="en-GB" sz="1100" b="1" i="0" u="sng" strike="noStrike" baseline="0">
            <a:solidFill>
              <a:srgbClr val="0070C0"/>
            </a:solidFill>
            <a:latin typeface="Karla" pitchFamily="2" charset="0"/>
            <a:ea typeface="Karla" pitchFamily="2" charset="0"/>
          </a:endParaRPr>
        </a:p>
      </xdr:txBody>
    </xdr:sp>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54</xdr:col>
      <xdr:colOff>309562</xdr:colOff>
      <xdr:row>67</xdr:row>
      <xdr:rowOff>158752</xdr:rowOff>
    </xdr:from>
    <xdr:to>
      <xdr:col>55</xdr:col>
      <xdr:colOff>169893</xdr:colOff>
      <xdr:row>68</xdr:row>
      <xdr:rowOff>130970</xdr:rowOff>
    </xdr:to>
    <xdr:sp macro="[0]!returntop">
      <xdr:nvSpPr>
        <xdr:cNvPr id="18" name="go_top"/>
        <xdr:cNvSpPr txBox="1"/>
      </xdr:nvSpPr>
      <xdr:spPr>
        <a:xfrm>
          <a:off x="55601870" y="20528915"/>
          <a:ext cx="841375"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Karla" pitchFamily="2" charset="0"/>
              <a:ea typeface="Karla" pitchFamily="2" charset="0"/>
            </a:rPr>
            <a:t>Back to top</a:t>
          </a:r>
          <a:endParaRPr lang="en-GB" sz="1100" b="1" i="0" u="sng" strike="noStrike" baseline="0">
            <a:solidFill>
              <a:srgbClr val="0070C0"/>
            </a:solidFill>
            <a:latin typeface="Karla" pitchFamily="2" charset="0"/>
            <a:ea typeface="Karla" pitchFamily="2" charset="0"/>
          </a:endParaRPr>
        </a:p>
      </xdr:txBody>
    </xdr:sp>
    <xdr:clientData/>
  </xdr:twoCellAnchor>
  <xdr:twoCellAnchor>
    <xdr:from>
      <xdr:col>5</xdr:col>
      <xdr:colOff>982383</xdr:colOff>
      <xdr:row>2</xdr:row>
      <xdr:rowOff>632128</xdr:rowOff>
    </xdr:from>
    <xdr:to>
      <xdr:col>5</xdr:col>
      <xdr:colOff>1287306</xdr:colOff>
      <xdr:row>2</xdr:row>
      <xdr:rowOff>753676</xdr:rowOff>
    </xdr:to>
    <xdr:pic macro="[0]!CntCHLUp">
      <xdr:nvPicPr>
        <xdr:cNvPr id="23" name="cnt_series_up2" descr="scroll_up_small.png"/>
        <xdr:cNvPicPr>
          <a:picLocks noChangeAspect="1"/>
        </xdr:cNvPicPr>
      </xdr:nvPicPr>
      <xdr:blipFill>
        <a:blip r:embed="rId1" cstate="print"/>
        <a:stretch>
          <a:fillRect/>
        </a:stretch>
      </xdr:blipFill>
      <xdr:spPr>
        <a:xfrm>
          <a:off x="4343400" y="1355725"/>
          <a:ext cx="0" cy="121285"/>
        </a:xfrm>
        <a:prstGeom prst="rect">
          <a:avLst/>
        </a:prstGeom>
      </xdr:spPr>
    </xdr:pic>
    <xdr:clientData/>
  </xdr:twoCellAnchor>
  <xdr:twoCellAnchor>
    <xdr:from>
      <xdr:col>5</xdr:col>
      <xdr:colOff>982383</xdr:colOff>
      <xdr:row>2</xdr:row>
      <xdr:rowOff>751734</xdr:rowOff>
    </xdr:from>
    <xdr:to>
      <xdr:col>5</xdr:col>
      <xdr:colOff>1287225</xdr:colOff>
      <xdr:row>2</xdr:row>
      <xdr:rowOff>846999</xdr:rowOff>
    </xdr:to>
    <xdr:pic macro="[0]!CntCHLDown">
      <xdr:nvPicPr>
        <xdr:cNvPr id="24" name="cnt_series_down2" descr="scroll_down_small.png"/>
        <xdr:cNvPicPr>
          <a:picLocks noChangeAspect="1"/>
        </xdr:cNvPicPr>
      </xdr:nvPicPr>
      <xdr:blipFill>
        <a:blip r:embed="rId2" cstate="print"/>
        <a:stretch>
          <a:fillRect/>
        </a:stretch>
      </xdr:blipFill>
      <xdr:spPr>
        <a:xfrm>
          <a:off x="4343400" y="1475105"/>
          <a:ext cx="0" cy="95250"/>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absolute">
    <xdr:from>
      <xdr:col>13</xdr:col>
      <xdr:colOff>3515233</xdr:colOff>
      <xdr:row>2</xdr:row>
      <xdr:rowOff>600185</xdr:rowOff>
    </xdr:from>
    <xdr:to>
      <xdr:col>16</xdr:col>
      <xdr:colOff>519598</xdr:colOff>
      <xdr:row>3</xdr:row>
      <xdr:rowOff>170152</xdr:rowOff>
    </xdr:to>
    <xdr:sp textlink="_WeightProfile">
      <xdr:nvSpPr>
        <xdr:cNvPr id="2" name="Text Box 6"/>
        <xdr:cNvSpPr txBox="1">
          <a:spLocks noChangeArrowheads="1"/>
        </xdr:cNvSpPr>
      </xdr:nvSpPr>
      <xdr:spPr>
        <a:xfrm>
          <a:off x="7943850" y="1323975"/>
          <a:ext cx="4062730" cy="472440"/>
        </a:xfrm>
        <a:prstGeom prst="rect">
          <a:avLst/>
        </a:prstGeom>
        <a:noFill/>
        <a:ln w="9525">
          <a:noFill/>
          <a:miter lim="800000"/>
        </a:ln>
      </xdr:spPr>
      <xdr:txBody>
        <a:bodyPr vertOverflow="clip" wrap="square" lIns="108000" tIns="27432" rIns="0" bIns="0" anchor="t" upright="1"/>
        <a:lstStyle/>
        <a:p>
          <a:pPr algn="l" rtl="0">
            <a:defRPr sz="1000"/>
          </a:pPr>
          <a:fld id="{6B3CEEA7-E132-459A-8C8C-F76B64C58034}" type="TxLink">
            <a:rPr lang="en-US" sz="1000" b="0" i="1" u="none" strike="noStrike" baseline="0">
              <a:solidFill>
                <a:schemeClr val="tx1">
                  <a:lumMod val="65000"/>
                  <a:lumOff val="35000"/>
                </a:schemeClr>
              </a:solidFill>
              <a:latin typeface="Karla" pitchFamily="2" charset="0"/>
              <a:ea typeface="Karla" pitchFamily="2" charset="0"/>
              <a:cs typeface="Calibri" panose="020F0502020204030204"/>
            </a:rPr>
          </a:fld>
          <a:endParaRPr lang="en-GB" sz="1000" b="0" i="1" u="none" strike="noStrike" baseline="0">
            <a:solidFill>
              <a:schemeClr val="tx1">
                <a:lumMod val="65000"/>
                <a:lumOff val="35000"/>
              </a:schemeClr>
            </a:solidFill>
            <a:latin typeface="Karla" pitchFamily="2" charset="0"/>
            <a:ea typeface="Karla" pitchFamily="2" charset="0"/>
          </a:endParaRPr>
        </a:p>
      </xdr:txBody>
    </xdr:sp>
    <xdr:clientData fPrintsWithSheet="0"/>
  </xdr:twoCellAnchor>
  <xdr:twoCellAnchor>
    <xdr:from>
      <xdr:col>5</xdr:col>
      <xdr:colOff>982383</xdr:colOff>
      <xdr:row>2</xdr:row>
      <xdr:rowOff>632128</xdr:rowOff>
    </xdr:from>
    <xdr:to>
      <xdr:col>5</xdr:col>
      <xdr:colOff>1287306</xdr:colOff>
      <xdr:row>2</xdr:row>
      <xdr:rowOff>753676</xdr:rowOff>
    </xdr:to>
    <xdr:pic macro="[0]!CntCHLUp">
      <xdr:nvPicPr>
        <xdr:cNvPr id="24" name="cnt_series_up2" descr="scroll_up_small.png"/>
        <xdr:cNvPicPr>
          <a:picLocks noChangeAspect="1"/>
        </xdr:cNvPicPr>
      </xdr:nvPicPr>
      <xdr:blipFill>
        <a:blip r:embed="rId1" cstate="print"/>
        <a:stretch>
          <a:fillRect/>
        </a:stretch>
      </xdr:blipFill>
      <xdr:spPr>
        <a:xfrm>
          <a:off x="2228850" y="1355725"/>
          <a:ext cx="0" cy="121285"/>
        </a:xfrm>
        <a:prstGeom prst="rect">
          <a:avLst/>
        </a:prstGeom>
      </xdr:spPr>
    </xdr:pic>
    <xdr:clientData/>
  </xdr:twoCellAnchor>
  <xdr:twoCellAnchor>
    <xdr:from>
      <xdr:col>5</xdr:col>
      <xdr:colOff>982383</xdr:colOff>
      <xdr:row>2</xdr:row>
      <xdr:rowOff>751734</xdr:rowOff>
    </xdr:from>
    <xdr:to>
      <xdr:col>5</xdr:col>
      <xdr:colOff>1287225</xdr:colOff>
      <xdr:row>2</xdr:row>
      <xdr:rowOff>846999</xdr:rowOff>
    </xdr:to>
    <xdr:pic macro="[0]!CntCHLDown">
      <xdr:nvPicPr>
        <xdr:cNvPr id="25" name="cnt_series_down2" descr="scroll_down_small.png"/>
        <xdr:cNvPicPr>
          <a:picLocks noChangeAspect="1"/>
        </xdr:cNvPicPr>
      </xdr:nvPicPr>
      <xdr:blipFill>
        <a:blip r:embed="rId2" cstate="print"/>
        <a:stretch>
          <a:fillRect/>
        </a:stretch>
      </xdr:blipFill>
      <xdr:spPr>
        <a:xfrm>
          <a:off x="2228850" y="1475105"/>
          <a:ext cx="0" cy="95250"/>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69</xdr:col>
      <xdr:colOff>309562</xdr:colOff>
      <xdr:row>67</xdr:row>
      <xdr:rowOff>158752</xdr:rowOff>
    </xdr:from>
    <xdr:to>
      <xdr:col>70</xdr:col>
      <xdr:colOff>169893</xdr:colOff>
      <xdr:row>68</xdr:row>
      <xdr:rowOff>130970</xdr:rowOff>
    </xdr:to>
    <xdr:sp macro="[0]!returntop">
      <xdr:nvSpPr>
        <xdr:cNvPr id="2" name="go_top"/>
        <xdr:cNvSpPr txBox="1"/>
      </xdr:nvSpPr>
      <xdr:spPr>
        <a:xfrm>
          <a:off x="72394445" y="20528915"/>
          <a:ext cx="841375"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Karla" pitchFamily="2" charset="0"/>
              <a:ea typeface="Karla" pitchFamily="2" charset="0"/>
            </a:rPr>
            <a:t>Back to top</a:t>
          </a:r>
          <a:endParaRPr lang="en-GB" sz="1100" b="1" i="0" u="sng" strike="noStrike" baseline="0">
            <a:solidFill>
              <a:srgbClr val="0070C0"/>
            </a:solidFill>
            <a:latin typeface="Karla" pitchFamily="2" charset="0"/>
            <a:ea typeface="Karla" pitchFamily="2" charset="0"/>
          </a:endParaRPr>
        </a:p>
      </xdr:txBody>
    </xdr:sp>
    <xdr:clientData/>
  </xdr:twoCellAnchor>
  <xdr:twoCellAnchor>
    <xdr:from>
      <xdr:col>68</xdr:col>
      <xdr:colOff>309562</xdr:colOff>
      <xdr:row>67</xdr:row>
      <xdr:rowOff>158752</xdr:rowOff>
    </xdr:from>
    <xdr:to>
      <xdr:col>69</xdr:col>
      <xdr:colOff>169893</xdr:colOff>
      <xdr:row>68</xdr:row>
      <xdr:rowOff>130970</xdr:rowOff>
    </xdr:to>
    <xdr:sp macro="[0]!returntop">
      <xdr:nvSpPr>
        <xdr:cNvPr id="4" name="go_top"/>
        <xdr:cNvSpPr txBox="1"/>
      </xdr:nvSpPr>
      <xdr:spPr>
        <a:xfrm>
          <a:off x="71413370" y="20528915"/>
          <a:ext cx="841375"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Karla" pitchFamily="2" charset="0"/>
              <a:ea typeface="Karla" pitchFamily="2" charset="0"/>
            </a:rPr>
            <a:t>Back to top</a:t>
          </a:r>
          <a:endParaRPr lang="en-GB" sz="1100" b="1" i="0" u="sng" strike="noStrike" baseline="0">
            <a:solidFill>
              <a:srgbClr val="0070C0"/>
            </a:solidFill>
            <a:latin typeface="Karla" pitchFamily="2" charset="0"/>
            <a:ea typeface="Karla" pitchFamily="2" charset="0"/>
          </a:endParaRPr>
        </a:p>
      </xdr:txBody>
    </xdr:sp>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absolute">
    <xdr:from>
      <xdr:col>14</xdr:col>
      <xdr:colOff>817805</xdr:colOff>
      <xdr:row>2</xdr:row>
      <xdr:rowOff>600185</xdr:rowOff>
    </xdr:from>
    <xdr:to>
      <xdr:col>19</xdr:col>
      <xdr:colOff>73776</xdr:colOff>
      <xdr:row>3</xdr:row>
      <xdr:rowOff>170152</xdr:rowOff>
    </xdr:to>
    <xdr:sp textlink="_WeightProfile">
      <xdr:nvSpPr>
        <xdr:cNvPr id="2" name="Text Box 6"/>
        <xdr:cNvSpPr txBox="1">
          <a:spLocks noChangeArrowheads="1"/>
        </xdr:cNvSpPr>
      </xdr:nvSpPr>
      <xdr:spPr>
        <a:xfrm>
          <a:off x="7827645" y="1323975"/>
          <a:ext cx="4028440" cy="472440"/>
        </a:xfrm>
        <a:prstGeom prst="rect">
          <a:avLst/>
        </a:prstGeom>
        <a:noFill/>
        <a:ln w="9525">
          <a:noFill/>
          <a:miter lim="800000"/>
        </a:ln>
      </xdr:spPr>
      <xdr:txBody>
        <a:bodyPr vertOverflow="clip" wrap="square" lIns="108000" tIns="27432" rIns="0" bIns="0" anchor="t" upright="1"/>
        <a:lstStyle/>
        <a:p>
          <a:pPr algn="l" rtl="0">
            <a:defRPr sz="1000"/>
          </a:pPr>
          <a:fld id="{6B3CEEA7-E132-459A-8C8C-F76B64C58034}" type="TxLink">
            <a:rPr lang="en-US" sz="1000" b="0" i="1" u="none" strike="noStrike" baseline="0">
              <a:solidFill>
                <a:schemeClr val="tx1">
                  <a:lumMod val="65000"/>
                  <a:lumOff val="35000"/>
                </a:schemeClr>
              </a:solidFill>
              <a:latin typeface="Karla" pitchFamily="2" charset="0"/>
              <a:ea typeface="Karla" pitchFamily="2" charset="0"/>
              <a:cs typeface="Calibri" panose="020F0502020204030204"/>
            </a:rPr>
          </a:fld>
          <a:endParaRPr lang="en-GB" sz="1000" b="0" i="1" u="none" strike="noStrike" baseline="0">
            <a:solidFill>
              <a:schemeClr val="tx1">
                <a:lumMod val="65000"/>
                <a:lumOff val="35000"/>
              </a:schemeClr>
            </a:solidFill>
            <a:latin typeface="Karla" pitchFamily="2" charset="0"/>
            <a:ea typeface="Karla" pitchFamily="2" charset="0"/>
          </a:endParaRPr>
        </a:p>
      </xdr:txBody>
    </xdr:sp>
    <xdr:clientData fPrintsWithSheet="0"/>
  </xdr:twoCellAnchor>
  <xdr:twoCellAnchor>
    <xdr:from>
      <xdr:col>5</xdr:col>
      <xdr:colOff>982383</xdr:colOff>
      <xdr:row>2</xdr:row>
      <xdr:rowOff>632128</xdr:rowOff>
    </xdr:from>
    <xdr:to>
      <xdr:col>5</xdr:col>
      <xdr:colOff>1287306</xdr:colOff>
      <xdr:row>2</xdr:row>
      <xdr:rowOff>753676</xdr:rowOff>
    </xdr:to>
    <xdr:pic macro="[0]!CntCHLUp">
      <xdr:nvPicPr>
        <xdr:cNvPr id="5" name="cnt_series_up2" descr="scroll_up_small.png"/>
        <xdr:cNvPicPr>
          <a:picLocks noChangeAspect="1"/>
        </xdr:cNvPicPr>
      </xdr:nvPicPr>
      <xdr:blipFill>
        <a:blip r:embed="rId1" cstate="print"/>
        <a:stretch>
          <a:fillRect/>
        </a:stretch>
      </xdr:blipFill>
      <xdr:spPr>
        <a:xfrm>
          <a:off x="1838325" y="1355725"/>
          <a:ext cx="0" cy="121285"/>
        </a:xfrm>
        <a:prstGeom prst="rect">
          <a:avLst/>
        </a:prstGeom>
      </xdr:spPr>
    </xdr:pic>
    <xdr:clientData/>
  </xdr:twoCellAnchor>
  <xdr:twoCellAnchor>
    <xdr:from>
      <xdr:col>5</xdr:col>
      <xdr:colOff>982383</xdr:colOff>
      <xdr:row>2</xdr:row>
      <xdr:rowOff>751734</xdr:rowOff>
    </xdr:from>
    <xdr:to>
      <xdr:col>5</xdr:col>
      <xdr:colOff>1287225</xdr:colOff>
      <xdr:row>2</xdr:row>
      <xdr:rowOff>846999</xdr:rowOff>
    </xdr:to>
    <xdr:pic macro="[0]!CntCHLDown">
      <xdr:nvPicPr>
        <xdr:cNvPr id="6" name="cnt_series_down2" descr="scroll_down_small.png"/>
        <xdr:cNvPicPr>
          <a:picLocks noChangeAspect="1"/>
        </xdr:cNvPicPr>
      </xdr:nvPicPr>
      <xdr:blipFill>
        <a:blip r:embed="rId2" cstate="print"/>
        <a:stretch>
          <a:fillRect/>
        </a:stretch>
      </xdr:blipFill>
      <xdr:spPr>
        <a:xfrm>
          <a:off x="1838325" y="1475105"/>
          <a:ext cx="0" cy="952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49</xdr:col>
      <xdr:colOff>1423422</xdr:colOff>
      <xdr:row>3</xdr:row>
      <xdr:rowOff>1335</xdr:rowOff>
    </xdr:to>
    <xdr:grpSp>
      <xdr:nvGrpSpPr>
        <xdr:cNvPr id="3" name="MENU"/>
        <xdr:cNvGrpSpPr/>
      </xdr:nvGrpSpPr>
      <xdr:grpSpPr>
        <a:xfrm>
          <a:off x="0" y="0"/>
          <a:ext cx="14386560" cy="1643380"/>
          <a:chOff x="0" y="0"/>
          <a:chExt cx="14414309" cy="1608679"/>
        </a:xfrm>
      </xdr:grpSpPr>
      <xdr:grpSp>
        <xdr:nvGrpSpPr>
          <xdr:cNvPr id="28" name="MENU_BASE"/>
          <xdr:cNvGrpSpPr/>
        </xdr:nvGrpSpPr>
        <xdr:grpSpPr>
          <a:xfrm>
            <a:off x="0" y="0"/>
            <a:ext cx="14414309" cy="1608679"/>
            <a:chOff x="0" y="1"/>
            <a:chExt cx="14413782" cy="1614947"/>
          </a:xfrm>
        </xdr:grpSpPr>
        <xdr:sp macro="[0]!LBChanger">
          <xdr:nvSpPr>
            <xdr:cNvPr id="29" name="nav_controls"/>
            <xdr:cNvSpPr/>
          </xdr:nvSpPr>
          <xdr:spPr>
            <a:xfrm>
              <a:off x="0" y="369733"/>
              <a:ext cx="14413782" cy="1245215"/>
            </a:xfrm>
            <a:prstGeom prst="rect">
              <a:avLst/>
            </a:prstGeom>
            <a:solidFill>
              <a:schemeClr val="bg1">
                <a:lumMod val="95000"/>
              </a:schemeClr>
            </a:solidFill>
            <a:ln w="127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chemeClr val="tx2">
                    <a:lumMod val="75000"/>
                  </a:schemeClr>
                </a:solidFill>
                <a:latin typeface="+mn-lt"/>
                <a:ea typeface="Karla" pitchFamily="2" charset="0"/>
              </a:endParaRPr>
            </a:p>
          </xdr:txBody>
        </xdr:sp>
        <xdr:sp macro="[0]!LBChanger" textlink="uxb_works!B92">
          <xdr:nvSpPr>
            <xdr:cNvPr id="30" name="Summary"/>
            <xdr:cNvSpPr/>
          </xdr:nvSpPr>
          <xdr:spPr>
            <a:xfrm>
              <a:off x="1146" y="370236"/>
              <a:ext cx="3606760" cy="359386"/>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105C044-9834-4268-A7A6-5159ABE53AAC}" type="TxLink">
                <a:rPr lang="en-US" sz="14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macro="[0]!LBChanger">
          <xdr:nvSpPr>
            <xdr:cNvPr id="37" name="Home1"/>
            <xdr:cNvSpPr/>
          </xdr:nvSpPr>
          <xdr:spPr>
            <a:xfrm>
              <a:off x="1151" y="1"/>
              <a:ext cx="867228" cy="364908"/>
            </a:xfrm>
            <a:prstGeom prst="rect">
              <a:avLst/>
            </a:prstGeom>
            <a:solidFill>
              <a:schemeClr val="bg1"/>
            </a:solidFill>
            <a:ln w="6350">
              <a:solidFill>
                <a:schemeClr val="accent6">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chemeClr val="accent1">
                    <a:lumMod val="75000"/>
                  </a:schemeClr>
                </a:solidFill>
                <a:latin typeface="+mn-lt"/>
                <a:ea typeface="Karla" pitchFamily="2" charset="0"/>
                <a:cs typeface="DilleniaUPC" pitchFamily="18" charset="-34"/>
              </a:endParaRPr>
            </a:p>
          </xdr:txBody>
        </xdr:sp>
        <xdr:pic macro="[0]!LBChanger">
          <xdr:nvPicPr>
            <xdr:cNvPr id="38" name="Home" descr="Home.png"/>
            <xdr:cNvPicPr>
              <a:picLocks noChangeAspect="1"/>
            </xdr:cNvPicPr>
          </xdr:nvPicPr>
          <xdr:blipFill>
            <a:blip r:embed="rId1" cstate="print"/>
            <a:stretch>
              <a:fillRect/>
            </a:stretch>
          </xdr:blipFill>
          <xdr:spPr>
            <a:xfrm>
              <a:off x="76311" y="16517"/>
              <a:ext cx="353192" cy="335848"/>
            </a:xfrm>
            <a:prstGeom prst="rect">
              <a:avLst/>
            </a:prstGeom>
            <a:solidFill>
              <a:schemeClr val="bg1"/>
            </a:solidFill>
          </xdr:spPr>
        </xdr:pic>
        <xdr:pic macro="[0]!LBChanger">
          <xdr:nvPicPr>
            <xdr:cNvPr id="39" name="Picture 38" descr="Silver-Back-Button.png"/>
            <xdr:cNvPicPr>
              <a:picLocks noChangeAspect="1"/>
            </xdr:cNvPicPr>
          </xdr:nvPicPr>
          <xdr:blipFill>
            <a:blip r:embed="rId2" cstate="print"/>
            <a:stretch>
              <a:fillRect/>
            </a:stretch>
          </xdr:blipFill>
          <xdr:spPr>
            <a:xfrm>
              <a:off x="482924" y="16516"/>
              <a:ext cx="346258" cy="335122"/>
            </a:xfrm>
            <a:prstGeom prst="rect">
              <a:avLst/>
            </a:prstGeom>
            <a:solidFill>
              <a:schemeClr val="bg1"/>
            </a:solidFill>
          </xdr:spPr>
        </xdr:pic>
        <xdr:sp macro="[0]!LBChanger" textlink="uxb_works!B93">
          <xdr:nvSpPr>
            <xdr:cNvPr id="40" name="Indicator_Ranking"/>
            <xdr:cNvSpPr/>
          </xdr:nvSpPr>
          <xdr:spPr>
            <a:xfrm>
              <a:off x="3599182" y="370236"/>
              <a:ext cx="3601229"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ABB0398-29D1-49BB-889F-7885C1ADD678}"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4">
          <xdr:nvSpPr>
            <xdr:cNvPr id="48" name="CityProfile"/>
            <xdr:cNvSpPr/>
          </xdr:nvSpPr>
          <xdr:spPr>
            <a:xfrm>
              <a:off x="7199046" y="370236"/>
              <a:ext cx="3603380"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DCC65E-F82F-4EA9-A004-8FD74DA0D109}"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0">
          <xdr:nvSpPr>
            <xdr:cNvPr id="49" name="Home1"/>
            <xdr:cNvSpPr/>
          </xdr:nvSpPr>
          <xdr:spPr>
            <a:xfrm>
              <a:off x="868627" y="3"/>
              <a:ext cx="13536000" cy="369654"/>
            </a:xfrm>
            <a:prstGeom prst="rect">
              <a:avLst/>
            </a:prstGeom>
            <a:solidFill>
              <a:srgbClr val="FFFFFF"/>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B609E4-A4C5-4832-9622-4C6482086EB7}" type="TxLink">
                <a:rPr lang="en-US" sz="1600" b="1" i="0" u="none" strike="noStrike">
                  <a:solidFill>
                    <a:schemeClr val="accent1">
                      <a:lumMod val="75000"/>
                    </a:schemeClr>
                  </a:solidFill>
                  <a:latin typeface="Calibri" panose="020F0502020204030204"/>
                  <a:ea typeface="Karla" pitchFamily="2" charset="0"/>
                  <a:cs typeface="Calibri" panose="020F0502020204030204"/>
                </a:rPr>
              </a:fld>
              <a:endParaRPr lang="en-GB" sz="1400" b="1">
                <a:solidFill>
                  <a:schemeClr val="accent1">
                    <a:lumMod val="75000"/>
                  </a:schemeClr>
                </a:solidFill>
                <a:latin typeface="+mn-lt"/>
                <a:ea typeface="Karla" pitchFamily="2" charset="0"/>
                <a:cs typeface="DilleniaUPC" pitchFamily="18" charset="-34"/>
              </a:endParaRPr>
            </a:p>
          </xdr:txBody>
        </xdr:sp>
        <xdr:sp macro="[0]!LBChanger" textlink="uxb_works!B95">
          <xdr:nvSpPr>
            <xdr:cNvPr id="50" name="Weights"/>
            <xdr:cNvSpPr/>
          </xdr:nvSpPr>
          <xdr:spPr>
            <a:xfrm>
              <a:off x="10801622" y="370236"/>
              <a:ext cx="3604301"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EC9DCF-1775-4B22-9966-148AF6400B32}"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grpSp>
      <xdr:pic macro="[0]!Generate_XL">
        <xdr:nvPicPr>
          <xdr:cNvPr id="51" name="exp_xl" descr="excel-wbg.jpg"/>
          <xdr:cNvPicPr>
            <a:picLocks noChangeAspect="1"/>
          </xdr:cNvPicPr>
        </xdr:nvPicPr>
        <xdr:blipFill>
          <a:blip r:embed="rId3" cstate="print">
            <a:extLst>
              <a:ext uri="{BEBA8EAE-BF5A-486C-A8C5-ECC9F3942E4B}">
                <a14:imgProps xmlns:a14="http://schemas.microsoft.com/office/drawing/2010/main">
                  <a14:imgLayer r:embed="rId4">
                    <a14:imgEffect>
                      <a14:backgroundRemoval t="10000" b="90000" l="10000" r="90000"/>
                    </a14:imgEffect>
                  </a14:imgLayer>
                </a14:imgProps>
              </a:ext>
            </a:extLst>
          </a:blip>
          <a:stretch>
            <a:fillRect/>
          </a:stretch>
        </xdr:blipFill>
        <xdr:spPr>
          <a:xfrm>
            <a:off x="14083259" y="1192366"/>
            <a:ext cx="331021" cy="409286"/>
          </a:xfrm>
          <a:prstGeom prst="rect">
            <a:avLst/>
          </a:prstGeom>
        </xdr:spPr>
      </xdr:pic>
      <xdr:sp macro="[0]!CityUpdateHL">
        <xdr:nvSpPr>
          <xdr:cNvPr id="42" name="lbl_cnt_City_1"/>
          <xdr:cNvSpPr txBox="1"/>
        </xdr:nvSpPr>
        <xdr:spPr>
          <a:xfrm>
            <a:off x="1674638" y="1107904"/>
            <a:ext cx="1440752" cy="21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baseline="0">
                <a:solidFill>
                  <a:sysClr val="windowText" lastClr="000000"/>
                </a:solidFill>
                <a:latin typeface="+mn-lt"/>
                <a:ea typeface="Karla" pitchFamily="2" charset="0"/>
              </a:rPr>
              <a:t>CITY HIGHLIGHT</a:t>
            </a:r>
            <a:endParaRPr lang="en-GB" sz="1000" b="1">
              <a:solidFill>
                <a:sysClr val="windowText" lastClr="000000"/>
              </a:solidFill>
              <a:latin typeface="+mn-lt"/>
              <a:ea typeface="Karla" pitchFamily="2" charset="0"/>
            </a:endParaRPr>
          </a:p>
        </xdr:txBody>
      </xdr:sp>
      <xdr:sp macro="[0]!CityUpdateHL">
        <xdr:nvSpPr>
          <xdr:cNvPr id="44" name="lbl_cnt_City_1"/>
          <xdr:cNvSpPr txBox="1"/>
        </xdr:nvSpPr>
        <xdr:spPr>
          <a:xfrm>
            <a:off x="3568742" y="1107904"/>
            <a:ext cx="1403147" cy="217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ea typeface="Karla" pitchFamily="2" charset="0"/>
              </a:rPr>
              <a:t>GROUP </a:t>
            </a:r>
            <a:r>
              <a:rPr lang="en-GB" sz="1000" b="1" baseline="0">
                <a:solidFill>
                  <a:sysClr val="windowText" lastClr="000000"/>
                </a:solidFill>
                <a:latin typeface="+mn-lt"/>
                <a:ea typeface="Karla" pitchFamily="2" charset="0"/>
              </a:rPr>
              <a:t>HIGHLIGHT</a:t>
            </a:r>
            <a:endParaRPr lang="en-GB" sz="1000" b="1">
              <a:solidFill>
                <a:sysClr val="windowText" lastClr="000000"/>
              </a:solidFill>
              <a:latin typeface="+mn-lt"/>
              <a:ea typeface="Karla" pitchFamily="2" charset="0"/>
            </a:endParaRPr>
          </a:p>
        </xdr:txBody>
      </xdr:sp>
      <xdr:pic macro="[0]!CntCHLUp">
        <xdr:nvPicPr>
          <xdr:cNvPr id="46" name="cnt_series_up2" descr="scroll_up_small.png"/>
          <xdr:cNvPicPr>
            <a:picLocks noChangeAspect="1"/>
          </xdr:cNvPicPr>
        </xdr:nvPicPr>
        <xdr:blipFill>
          <a:blip r:embed="rId5" cstate="print"/>
          <a:stretch>
            <a:fillRect/>
          </a:stretch>
        </xdr:blipFill>
        <xdr:spPr>
          <a:xfrm>
            <a:off x="3084302" y="1335347"/>
            <a:ext cx="309940" cy="121120"/>
          </a:xfrm>
          <a:prstGeom prst="rect">
            <a:avLst/>
          </a:prstGeom>
        </xdr:spPr>
      </xdr:pic>
      <xdr:pic macro="[0]!CntCHLDown">
        <xdr:nvPicPr>
          <xdr:cNvPr id="47" name="cnt_series_down2" descr="scroll_down_small.png"/>
          <xdr:cNvPicPr>
            <a:picLocks noChangeAspect="1"/>
          </xdr:cNvPicPr>
        </xdr:nvPicPr>
        <xdr:blipFill>
          <a:blip r:embed="rId6" cstate="print"/>
          <a:stretch>
            <a:fillRect/>
          </a:stretch>
        </xdr:blipFill>
        <xdr:spPr>
          <a:xfrm>
            <a:off x="3084302" y="1454532"/>
            <a:ext cx="309940" cy="94930"/>
          </a:xfrm>
          <a:prstGeom prst="rect">
            <a:avLst/>
          </a:prstGeom>
        </xdr:spPr>
      </xdr:pic>
      <mc:AlternateContent xmlns:mc="http://schemas.openxmlformats.org/markup-compatibility/2006">
        <mc:Choice xmlns:a14="http://schemas.microsoft.com/office/drawing/2010/main" Requires="a14">
          <xdr:sp macro="[0]!Refresh">
            <xdr:nvSpPr>
              <xdr:cNvPr id="13254662" name="Button 6" hidden="1">
                <a:extLst>
                  <a:ext uri="{63B3BB69-23CF-44E3-9099-C40C66FF867C}">
                    <a14:compatExt spid="_x0000_s13254662"/>
                  </a:ext>
                </a:extLst>
              </xdr:cNvPr>
              <xdr:cNvSpPr/>
            </xdr:nvSpPr>
            <xdr:spPr>
              <a:xfrm>
                <a:off x="13303661" y="1295400"/>
                <a:ext cx="701583" cy="247650"/>
              </a:xfrm>
              <a:prstGeom prst="rect">
                <a:avLst/>
              </a:prstGeom>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panose="020F0502020204030204"/>
                  </a:rPr>
                  <a:t>Reset All</a:t>
                </a:r>
                <a:endParaRPr lang="en-GB" sz="1100" b="0" i="0" u="none" strike="noStrike" baseline="0">
                  <a:solidFill>
                    <a:srgbClr val="000000"/>
                  </a:solidFill>
                  <a:latin typeface="Calibri" panose="020F0502020204030204"/>
                </a:endParaRPr>
              </a:p>
            </xdr:txBody>
          </xdr:sp>
        </mc:Choice>
        <mc:Fallback/>
      </mc:AlternateContent>
      <mc:AlternateContent xmlns:mc="http://schemas.openxmlformats.org/markup-compatibility/2006">
        <mc:Choice xmlns:a14="http://schemas.microsoft.com/office/drawing/2010/main" Requires="a14">
          <xdr:sp macro="[0]!CityUpdateHL">
            <xdr:nvSpPr>
              <xdr:cNvPr id="13254663" name="Drop Down 7" hidden="1">
                <a:extLst>
                  <a:ext uri="{63B3BB69-23CF-44E3-9099-C40C66FF867C}">
                    <a14:compatExt spid="_x0000_s13254663"/>
                  </a:ext>
                </a:extLst>
              </xdr:cNvPr>
              <xdr:cNvSpPr/>
            </xdr:nvSpPr>
            <xdr:spPr>
              <a:xfrm>
                <a:off x="1668092" y="1333500"/>
                <a:ext cx="1408920" cy="209550"/>
              </a:xfrm>
              <a:prstGeom prst="rect">
                <a:avLst/>
              </a:prstGeom>
            </xdr:spPr>
          </xdr:sp>
        </mc:Choice>
        <mc:Fallback/>
      </mc:AlternateContent>
      <mc:AlternateContent xmlns:mc="http://schemas.openxmlformats.org/markup-compatibility/2006">
        <mc:Choice xmlns:a14="http://schemas.microsoft.com/office/drawing/2010/main" Requires="a14">
          <xdr:sp>
            <xdr:nvSpPr>
              <xdr:cNvPr id="13254664" name="Drop Down 8" hidden="1">
                <a:extLst>
                  <a:ext uri="{63B3BB69-23CF-44E3-9099-C40C66FF867C}">
                    <a14:compatExt spid="_x0000_s13254664"/>
                  </a:ext>
                </a:extLst>
              </xdr:cNvPr>
              <xdr:cNvSpPr/>
            </xdr:nvSpPr>
            <xdr:spPr>
              <a:xfrm>
                <a:off x="3559897" y="1333500"/>
                <a:ext cx="1609036" cy="209550"/>
              </a:xfrm>
              <a:prstGeom prst="rect">
                <a:avLst/>
              </a:prstGeom>
            </xdr:spPr>
          </xdr:sp>
        </mc:Choice>
        <mc:Fallback/>
      </mc:AlternateContent>
      <mc:AlternateContent xmlns:mc="http://schemas.openxmlformats.org/markup-compatibility/2006">
        <mc:Choice xmlns:a14="http://schemas.microsoft.com/office/drawing/2010/main" Requires="a14">
          <xdr:sp>
            <xdr:nvSpPr>
              <xdr:cNvPr id="13254666" name="Drop Down 10" hidden="1">
                <a:extLst>
                  <a:ext uri="{63B3BB69-23CF-44E3-9099-C40C66FF867C}">
                    <a14:compatExt spid="_x0000_s13254666"/>
                  </a:ext>
                </a:extLst>
              </xdr:cNvPr>
              <xdr:cNvSpPr/>
            </xdr:nvSpPr>
            <xdr:spPr>
              <a:xfrm>
                <a:off x="5328545" y="1333500"/>
                <a:ext cx="1633076" cy="209550"/>
              </a:xfrm>
              <a:prstGeom prst="rect">
                <a:avLst/>
              </a:prstGeom>
            </xdr:spPr>
          </xdr:sp>
        </mc:Choice>
        <mc:Fallback/>
      </mc:AlternateContent>
      <xdr:sp macro="[0]!CityUpdateHL">
        <xdr:nvSpPr>
          <xdr:cNvPr id="53" name="lbl_cnt_City_1"/>
          <xdr:cNvSpPr txBox="1"/>
        </xdr:nvSpPr>
        <xdr:spPr>
          <a:xfrm>
            <a:off x="5328744" y="1111429"/>
            <a:ext cx="1435632" cy="21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ea typeface="Karla" pitchFamily="2" charset="0"/>
              </a:rPr>
              <a:t>FILTER BY</a:t>
            </a:r>
            <a:r>
              <a:rPr lang="en-GB" sz="1000" b="1" baseline="0">
                <a:solidFill>
                  <a:sysClr val="windowText" lastClr="000000"/>
                </a:solidFill>
                <a:latin typeface="+mn-lt"/>
                <a:ea typeface="Karla" pitchFamily="2" charset="0"/>
              </a:rPr>
              <a:t> REGION</a:t>
            </a:r>
            <a:endParaRPr lang="en-GB" sz="1000" b="1" baseline="0">
              <a:solidFill>
                <a:sysClr val="windowText" lastClr="000000"/>
              </a:solidFill>
              <a:latin typeface="+mn-lt"/>
              <a:ea typeface="Karla" pitchFamily="2" charset="0"/>
            </a:endParaRPr>
          </a:p>
        </xdr:txBody>
      </xdr:sp>
      <mc:AlternateContent xmlns:mc="http://schemas.openxmlformats.org/markup-compatibility/2006">
        <mc:Choice xmlns:a14="http://schemas.microsoft.com/office/drawing/2010/main" Requires="a14">
          <xdr:sp>
            <xdr:nvSpPr>
              <xdr:cNvPr id="13254667" name="Drop Down 11" hidden="1">
                <a:extLst>
                  <a:ext uri="{63B3BB69-23CF-44E3-9099-C40C66FF867C}">
                    <a14:compatExt spid="_x0000_s13254667"/>
                  </a:ext>
                </a:extLst>
              </xdr:cNvPr>
              <xdr:cNvSpPr/>
            </xdr:nvSpPr>
            <xdr:spPr>
              <a:xfrm>
                <a:off x="7154822" y="1333500"/>
                <a:ext cx="1614114" cy="209550"/>
              </a:xfrm>
              <a:prstGeom prst="rect">
                <a:avLst/>
              </a:prstGeom>
            </xdr:spPr>
          </xdr:sp>
        </mc:Choice>
        <mc:Fallback/>
      </mc:AlternateContent>
      <xdr:sp macro="[0]!CityUpdateHL">
        <xdr:nvSpPr>
          <xdr:cNvPr id="55" name="lbl_cnt_City_1"/>
          <xdr:cNvSpPr txBox="1"/>
        </xdr:nvSpPr>
        <xdr:spPr>
          <a:xfrm>
            <a:off x="7156071" y="1113910"/>
            <a:ext cx="1833148" cy="21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ea typeface="Karla" pitchFamily="2" charset="0"/>
              </a:rPr>
              <a:t>FILTER BY INCOME LEVEL</a:t>
            </a:r>
            <a:endParaRPr lang="en-GB" sz="1000" b="1">
              <a:solidFill>
                <a:sysClr val="windowText" lastClr="000000"/>
              </a:solidFill>
              <a:latin typeface="+mn-lt"/>
              <a:ea typeface="Karla" pitchFamily="2" charset="0"/>
            </a:endParaRPr>
          </a:p>
        </xdr:txBody>
      </xdr:sp>
      <mc:AlternateContent xmlns:mc="http://schemas.openxmlformats.org/markup-compatibility/2006">
        <mc:Choice xmlns:a14="http://schemas.microsoft.com/office/drawing/2010/main" Requires="a14">
          <xdr:sp macro="[0]!CityAlignHL">
            <xdr:nvSpPr>
              <xdr:cNvPr id="13254668" name="Drop Down 12" hidden="1">
                <a:extLst>
                  <a:ext uri="{63B3BB69-23CF-44E3-9099-C40C66FF867C}">
                    <a14:compatExt spid="_x0000_s13254668"/>
                  </a:ext>
                </a:extLst>
              </xdr:cNvPr>
              <xdr:cNvSpPr/>
            </xdr:nvSpPr>
            <xdr:spPr>
              <a:xfrm>
                <a:off x="95284" y="1333158"/>
                <a:ext cx="1372089" cy="217466"/>
              </a:xfrm>
              <a:prstGeom prst="rect">
                <a:avLst/>
              </a:prstGeom>
            </xdr:spPr>
          </xdr:sp>
        </mc:Choice>
        <mc:Fallback/>
      </mc:AlternateContent>
      <xdr:sp macro="[0]!CityUpdateHL">
        <xdr:nvSpPr>
          <xdr:cNvPr id="24" name="lbl_cnt_City_1"/>
          <xdr:cNvSpPr txBox="1"/>
        </xdr:nvSpPr>
        <xdr:spPr>
          <a:xfrm>
            <a:off x="95402" y="1112140"/>
            <a:ext cx="1436879" cy="21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baseline="0">
                <a:solidFill>
                  <a:sysClr val="windowText" lastClr="000000"/>
                </a:solidFill>
                <a:latin typeface="+mn-lt"/>
                <a:ea typeface="Karla" pitchFamily="2" charset="0"/>
              </a:rPr>
              <a:t>SELECT YEAR</a:t>
            </a:r>
            <a:endParaRPr lang="en-GB" sz="1000" b="1">
              <a:solidFill>
                <a:sysClr val="windowText" lastClr="000000"/>
              </a:solidFill>
              <a:latin typeface="+mn-lt"/>
              <a:ea typeface="Karla" pitchFamily="2" charset="0"/>
            </a:endParaRPr>
          </a:p>
        </xdr:txBody>
      </xdr:sp>
      <mc:AlternateContent xmlns:mc="http://schemas.openxmlformats.org/markup-compatibility/2006">
        <mc:Choice xmlns:a14="http://schemas.microsoft.com/office/drawing/2010/main" Requires="a14">
          <xdr:sp macro="[0]!CompareYears">
            <xdr:nvSpPr>
              <xdr:cNvPr id="13254669" name="Check Box 13" hidden="1">
                <a:extLst>
                  <a:ext uri="{63B3BB69-23CF-44E3-9099-C40C66FF867C}">
                    <a14:compatExt spid="_x0000_s13254669"/>
                  </a:ext>
                </a:extLst>
              </xdr:cNvPr>
              <xdr:cNvSpPr/>
            </xdr:nvSpPr>
            <xdr:spPr>
              <a:xfrm>
                <a:off x="70981" y="841380"/>
                <a:ext cx="561957" cy="219069"/>
              </a:xfrm>
              <a:prstGeom prst="rect">
                <a:avLst/>
              </a:prstGeom>
            </xdr:spPr>
          </xdr:sp>
        </mc:Choice>
        <mc:Fallback/>
      </mc:AlternateContent>
      <xdr:sp>
        <xdr:nvSpPr>
          <xdr:cNvPr id="26" name="lbl_cnt_City_1"/>
          <xdr:cNvSpPr txBox="1"/>
        </xdr:nvSpPr>
        <xdr:spPr>
          <a:xfrm>
            <a:off x="302881" y="830621"/>
            <a:ext cx="2876398" cy="219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US"/>
              <a:t>Compare Indices</a:t>
            </a:r>
            <a:endParaRPr lang="en-US"/>
          </a:p>
        </xdr:txBody>
      </xdr:sp>
      <mc:AlternateContent xmlns:mc="http://schemas.openxmlformats.org/markup-compatibility/2006">
        <mc:Choice xmlns:a14="http://schemas.microsoft.com/office/drawing/2010/main" Requires="a14">
          <xdr:sp>
            <xdr:nvSpPr>
              <xdr:cNvPr id="13254672" name="Drop Down 16" hidden="1">
                <a:extLst>
                  <a:ext uri="{63B3BB69-23CF-44E3-9099-C40C66FF867C}">
                    <a14:compatExt spid="_x0000_s13254672"/>
                  </a:ext>
                </a:extLst>
              </xdr:cNvPr>
              <xdr:cNvSpPr/>
            </xdr:nvSpPr>
            <xdr:spPr>
              <a:xfrm>
                <a:off x="8980305" y="1333181"/>
                <a:ext cx="1609099" cy="209550"/>
              </a:xfrm>
              <a:prstGeom prst="rect">
                <a:avLst/>
              </a:prstGeom>
            </xdr:spPr>
          </xdr:sp>
        </mc:Choice>
        <mc:Fallback/>
      </mc:AlternateContent>
      <xdr:sp macro="[0]!CityUpdateHL">
        <xdr:nvSpPr>
          <xdr:cNvPr id="84" name="lbl_cnt_City_1"/>
          <xdr:cNvSpPr txBox="1"/>
        </xdr:nvSpPr>
        <xdr:spPr>
          <a:xfrm>
            <a:off x="8989219" y="1113591"/>
            <a:ext cx="1846522" cy="21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ea typeface="Karla" pitchFamily="2" charset="0"/>
              </a:rPr>
              <a:t>FILTER BY POPULATION</a:t>
            </a:r>
            <a:endParaRPr lang="en-GB" sz="1000" b="1">
              <a:solidFill>
                <a:sysClr val="windowText" lastClr="000000"/>
              </a:solidFill>
              <a:latin typeface="+mn-lt"/>
              <a:ea typeface="Karla" pitchFamily="2" charset="0"/>
            </a:endParaRPr>
          </a:p>
        </xdr:txBody>
      </xdr:sp>
    </xdr:grpSp>
    <xdr:clientData fPrintsWithSheet="0"/>
  </xdr:twoCellAnchor>
  <xdr:twoCellAnchor editAs="oneCell">
    <xdr:from>
      <xdr:col>38</xdr:col>
      <xdr:colOff>709062</xdr:colOff>
      <xdr:row>3</xdr:row>
      <xdr:rowOff>107934</xdr:rowOff>
    </xdr:from>
    <xdr:to>
      <xdr:col>50</xdr:col>
      <xdr:colOff>438649</xdr:colOff>
      <xdr:row>5</xdr:row>
      <xdr:rowOff>28577</xdr:rowOff>
    </xdr:to>
    <xdr:grpSp>
      <xdr:nvGrpSpPr>
        <xdr:cNvPr id="31" name="colour_band_Score"/>
        <xdr:cNvGrpSpPr/>
      </xdr:nvGrpSpPr>
      <xdr:grpSpPr>
        <a:xfrm>
          <a:off x="10662285" y="1749425"/>
          <a:ext cx="4168140" cy="216535"/>
          <a:chOff x="3673929" y="2288158"/>
          <a:chExt cx="3429000" cy="229166"/>
        </a:xfrm>
      </xdr:grpSpPr>
      <xdr:sp>
        <xdr:nvSpPr>
          <xdr:cNvPr id="32" name="TextBox 31"/>
          <xdr:cNvSpPr txBox="1"/>
        </xdr:nvSpPr>
        <xdr:spPr>
          <a:xfrm>
            <a:off x="3673929" y="2288721"/>
            <a:ext cx="857250" cy="228600"/>
          </a:xfrm>
          <a:prstGeom prst="rect">
            <a:avLst/>
          </a:prstGeom>
          <a:solidFill>
            <a:srgbClr val="D7191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solidFill>
                  <a:schemeClr val="bg1"/>
                </a:solidFill>
                <a:latin typeface="+mn-lt"/>
                <a:ea typeface="Karla" pitchFamily="2" charset="0"/>
              </a:rPr>
              <a:t>Scores 0-25</a:t>
            </a:r>
            <a:endParaRPr lang="en-GB" sz="1100">
              <a:solidFill>
                <a:schemeClr val="bg1"/>
              </a:solidFill>
              <a:latin typeface="+mn-lt"/>
              <a:ea typeface="Karla" pitchFamily="2" charset="0"/>
            </a:endParaRPr>
          </a:p>
        </xdr:txBody>
      </xdr:sp>
      <xdr:sp>
        <xdr:nvSpPr>
          <xdr:cNvPr id="33" name="TextBox 32"/>
          <xdr:cNvSpPr txBox="1"/>
        </xdr:nvSpPr>
        <xdr:spPr>
          <a:xfrm>
            <a:off x="6245679" y="2288721"/>
            <a:ext cx="857250" cy="228600"/>
          </a:xfrm>
          <a:prstGeom prst="rect">
            <a:avLst/>
          </a:prstGeom>
          <a:solidFill>
            <a:srgbClr val="1A964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solidFill>
                  <a:schemeClr val="bg1"/>
                </a:solidFill>
                <a:latin typeface="+mn-lt"/>
                <a:ea typeface="Karla" pitchFamily="2" charset="0"/>
              </a:rPr>
              <a:t>Scores 76-100</a:t>
            </a:r>
            <a:endParaRPr lang="en-GB" sz="1100">
              <a:solidFill>
                <a:schemeClr val="bg1"/>
              </a:solidFill>
              <a:latin typeface="+mn-lt"/>
              <a:ea typeface="Karla" pitchFamily="2" charset="0"/>
            </a:endParaRPr>
          </a:p>
        </xdr:txBody>
      </xdr:sp>
      <xdr:sp>
        <xdr:nvSpPr>
          <xdr:cNvPr id="34" name="TextBox 33"/>
          <xdr:cNvSpPr txBox="1"/>
        </xdr:nvSpPr>
        <xdr:spPr>
          <a:xfrm>
            <a:off x="4531179" y="2288724"/>
            <a:ext cx="857250" cy="228600"/>
          </a:xfrm>
          <a:prstGeom prst="rect">
            <a:avLst/>
          </a:prstGeom>
          <a:solidFill>
            <a:srgbClr val="FDAE6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latin typeface="+mn-lt"/>
                <a:ea typeface="Karla" pitchFamily="2" charset="0"/>
              </a:rPr>
              <a:t>Scores 26-50</a:t>
            </a:r>
            <a:endParaRPr lang="en-GB" sz="1100">
              <a:latin typeface="+mn-lt"/>
              <a:ea typeface="Karla" pitchFamily="2" charset="0"/>
            </a:endParaRPr>
          </a:p>
        </xdr:txBody>
      </xdr:sp>
      <xdr:sp>
        <xdr:nvSpPr>
          <xdr:cNvPr id="35" name="TextBox 34"/>
          <xdr:cNvSpPr txBox="1"/>
        </xdr:nvSpPr>
        <xdr:spPr>
          <a:xfrm>
            <a:off x="5388429" y="2288158"/>
            <a:ext cx="857250" cy="229164"/>
          </a:xfrm>
          <a:prstGeom prst="rect">
            <a:avLst/>
          </a:prstGeom>
          <a:solidFill>
            <a:srgbClr val="A6D9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latin typeface="+mn-lt"/>
                <a:ea typeface="Karla" pitchFamily="2" charset="0"/>
              </a:rPr>
              <a:t>Scores 51-75</a:t>
            </a:r>
            <a:endParaRPr lang="en-GB" sz="1100">
              <a:latin typeface="+mn-lt"/>
              <a:ea typeface="Karla" pitchFamily="2" charset="0"/>
            </a:endParaRPr>
          </a:p>
        </xdr:txBody>
      </xdr:sp>
    </xdr:grpSp>
    <xdr:clientData/>
  </xdr:twoCellAnchor>
  <xdr:twoCellAnchor editAs="oneCell">
    <xdr:from>
      <xdr:col>12</xdr:col>
      <xdr:colOff>0</xdr:colOff>
      <xdr:row>70</xdr:row>
      <xdr:rowOff>122838</xdr:rowOff>
    </xdr:from>
    <xdr:to>
      <xdr:col>17</xdr:col>
      <xdr:colOff>666750</xdr:colOff>
      <xdr:row>72</xdr:row>
      <xdr:rowOff>47640</xdr:rowOff>
    </xdr:to>
    <xdr:sp>
      <xdr:nvSpPr>
        <xdr:cNvPr id="36" name="TextBox 35"/>
        <xdr:cNvSpPr txBox="1">
          <a:spLocks noChangeArrowheads="1"/>
        </xdr:cNvSpPr>
      </xdr:nvSpPr>
      <xdr:spPr>
        <a:xfrm>
          <a:off x="3505200" y="14909165"/>
          <a:ext cx="2524125" cy="306070"/>
        </a:xfrm>
        <a:prstGeom prst="rect">
          <a:avLst/>
        </a:prstGeom>
        <a:solidFill>
          <a:srgbClr val="FFFFFF"/>
        </a:solidFill>
        <a:ln w="9525">
          <a:solidFill>
            <a:srgbClr val="BCBCBC"/>
          </a:solidFill>
          <a:miter lim="800000"/>
        </a:ln>
      </xdr:spPr>
      <xdr:txBody>
        <a:bodyPr vertOverflow="clip" wrap="square" lIns="144000" tIns="144000" rIns="144000" bIns="180000" anchor="ctr" upright="1"/>
        <a:lstStyle/>
        <a:p>
          <a:pPr marL="0" algn="l"/>
          <a:r>
            <a:rPr lang="en-GB" sz="1100">
              <a:effectLst/>
              <a:latin typeface="+mn-lt"/>
              <a:ea typeface="+mn-ea"/>
              <a:cs typeface="+mn-cs"/>
            </a:rPr>
            <a:t>* Cities with no comparable data</a:t>
          </a:r>
          <a:endParaRPr lang="en-GB" sz="1100">
            <a:effectLst/>
            <a:latin typeface="+mn-lt"/>
            <a:ea typeface="+mn-ea"/>
            <a:cs typeface="+mn-cs"/>
          </a:endParaRPr>
        </a:p>
      </xdr:txBody>
    </xdr:sp>
    <xdr:clientData/>
  </xdr:twoCellAnchor>
  <xdr:twoCellAnchor editAs="absolute">
    <xdr:from>
      <xdr:col>3</xdr:col>
      <xdr:colOff>42334</xdr:colOff>
      <xdr:row>70</xdr:row>
      <xdr:rowOff>70214</xdr:rowOff>
    </xdr:from>
    <xdr:to>
      <xdr:col>5</xdr:col>
      <xdr:colOff>398691</xdr:colOff>
      <xdr:row>71</xdr:row>
      <xdr:rowOff>60689</xdr:rowOff>
    </xdr:to>
    <xdr:sp macro="[0]!returntop">
      <xdr:nvSpPr>
        <xdr:cNvPr id="41" name="go_top"/>
        <xdr:cNvSpPr txBox="1"/>
      </xdr:nvSpPr>
      <xdr:spPr>
        <a:xfrm>
          <a:off x="118110" y="14856460"/>
          <a:ext cx="82296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mn-lt"/>
              <a:ea typeface="Karla" pitchFamily="2" charset="0"/>
            </a:rPr>
            <a:t>Back to top</a:t>
          </a:r>
          <a:endParaRPr lang="en-GB" sz="1100" b="1" i="0" u="sng" strike="noStrike" baseline="0">
            <a:solidFill>
              <a:srgbClr val="0070C0"/>
            </a:solidFill>
            <a:latin typeface="+mn-lt"/>
            <a:ea typeface="Karla" pitchFamily="2" charset="0"/>
          </a:endParaRPr>
        </a:p>
      </xdr:txBody>
    </xdr:sp>
    <xdr:clientData fPrintsWithSheet="0"/>
  </xdr:twoCellAnchor>
  <xdr:twoCellAnchor editAs="oneCell">
    <xdr:from>
      <xdr:col>14</xdr:col>
      <xdr:colOff>17198</xdr:colOff>
      <xdr:row>3</xdr:row>
      <xdr:rowOff>73030</xdr:rowOff>
    </xdr:from>
    <xdr:to>
      <xdr:col>17</xdr:col>
      <xdr:colOff>654842</xdr:colOff>
      <xdr:row>5</xdr:row>
      <xdr:rowOff>285750</xdr:rowOff>
    </xdr:to>
    <xdr:sp textlink="uxb_works!B85">
      <xdr:nvSpPr>
        <xdr:cNvPr id="52" name="TextBox 51"/>
        <xdr:cNvSpPr txBox="1">
          <a:spLocks noChangeArrowheads="1"/>
        </xdr:cNvSpPr>
      </xdr:nvSpPr>
      <xdr:spPr>
        <a:xfrm>
          <a:off x="3522345" y="1715135"/>
          <a:ext cx="2494915" cy="508000"/>
        </a:xfrm>
        <a:prstGeom prst="rect">
          <a:avLst/>
        </a:prstGeom>
        <a:solidFill>
          <a:srgbClr val="FFFFFF"/>
        </a:solidFill>
        <a:ln w="9525">
          <a:solidFill>
            <a:srgbClr val="BCBCBC"/>
          </a:solidFill>
          <a:miter lim="800000"/>
        </a:ln>
      </xdr:spPr>
      <xdr:txBody>
        <a:bodyPr vertOverflow="clip" wrap="square" lIns="72000" tIns="72000" rIns="72000" bIns="72000" anchor="ctr" upright="1"/>
        <a:lstStyle/>
        <a:p>
          <a:pPr marL="0" algn="l"/>
          <a:fld id="{0D6B841C-980C-4B23-A171-5CA80F884A8D}" type="TxLink">
            <a:rPr lang="en-US" sz="800" b="0" i="0" u="none" strike="noStrike">
              <a:solidFill>
                <a:srgbClr val="3B6E8F"/>
              </a:solidFill>
              <a:effectLst/>
              <a:latin typeface="Calibri" panose="020F0502020204030204"/>
              <a:ea typeface="+mn-ea"/>
              <a:cs typeface="Calibri" panose="020F0502020204030204"/>
            </a:rPr>
          </a:fld>
          <a:endParaRPr lang="en-GB" sz="1100">
            <a:effectLst/>
            <a:latin typeface="+mn-lt"/>
            <a:ea typeface="+mn-ea"/>
            <a:cs typeface="+mn-cs"/>
          </a:endParaRPr>
        </a:p>
      </xdr:txBody>
    </xdr:sp>
    <xdr:clientData/>
  </xdr:twoCellAnchor>
  <xdr:twoCellAnchor>
    <xdr:from>
      <xdr:col>3</xdr:col>
      <xdr:colOff>10583</xdr:colOff>
      <xdr:row>3</xdr:row>
      <xdr:rowOff>21169</xdr:rowOff>
    </xdr:from>
    <xdr:to>
      <xdr:col>5</xdr:col>
      <xdr:colOff>1001183</xdr:colOff>
      <xdr:row>5</xdr:row>
      <xdr:rowOff>166328</xdr:rowOff>
    </xdr:to>
    <xdr:grpSp>
      <xdr:nvGrpSpPr>
        <xdr:cNvPr id="4" name="CompareYear" hidden="1"/>
        <xdr:cNvGrpSpPr/>
      </xdr:nvGrpSpPr>
      <xdr:grpSpPr>
        <a:xfrm>
          <a:off x="86360" y="1663065"/>
          <a:ext cx="1457325" cy="440055"/>
          <a:chOff x="127002" y="1640419"/>
          <a:chExt cx="1456264" cy="441497"/>
        </a:xfrm>
      </xdr:grpSpPr>
      <mc:AlternateContent xmlns:mc="http://schemas.openxmlformats.org/markup-compatibility/2006">
        <mc:Choice xmlns:a14="http://schemas.microsoft.com/office/drawing/2010/main" Requires="a14">
          <xdr:sp>
            <xdr:nvSpPr>
              <xdr:cNvPr id="13254671" name="Drop Down 15" hidden="1">
                <a:extLst>
                  <a:ext uri="{63B3BB69-23CF-44E3-9099-C40C66FF867C}">
                    <a14:compatExt spid="_x0000_s13254671"/>
                  </a:ext>
                </a:extLst>
              </xdr:cNvPr>
              <xdr:cNvSpPr/>
            </xdr:nvSpPr>
            <xdr:spPr>
              <a:xfrm>
                <a:off x="127002" y="1872378"/>
                <a:ext cx="1419220" cy="209538"/>
              </a:xfrm>
              <a:prstGeom prst="rect">
                <a:avLst/>
              </a:prstGeom>
            </xdr:spPr>
          </xdr:sp>
        </mc:Choice>
        <mc:Fallback/>
      </mc:AlternateContent>
      <xdr:sp>
        <xdr:nvSpPr>
          <xdr:cNvPr id="54" name="lbl_cnt_City_1" hidden="1"/>
          <xdr:cNvSpPr txBox="1"/>
        </xdr:nvSpPr>
        <xdr:spPr>
          <a:xfrm>
            <a:off x="148166" y="1640419"/>
            <a:ext cx="1435100" cy="219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baseline="0">
                <a:solidFill>
                  <a:sysClr val="windowText" lastClr="000000"/>
                </a:solidFill>
                <a:latin typeface="+mn-lt"/>
                <a:ea typeface="Karla" pitchFamily="2" charset="0"/>
              </a:rPr>
              <a:t>COMPARE WITH YEAR</a:t>
            </a:r>
            <a:endParaRPr lang="en-GB" sz="1000" b="1">
              <a:solidFill>
                <a:sysClr val="windowText" lastClr="000000"/>
              </a:solidFill>
              <a:latin typeface="+mn-lt"/>
              <a:ea typeface="Karla" pitchFamily="2" charset="0"/>
            </a:endParaRPr>
          </a:p>
        </xdr:txBody>
      </xdr:sp>
    </xdr:grpSp>
    <xdr:clientData/>
  </xdr:twoCellAnchor>
  <xdr:twoCellAnchor editAs="oneCell">
    <xdr:from>
      <xdr:col>38</xdr:col>
      <xdr:colOff>702712</xdr:colOff>
      <xdr:row>3</xdr:row>
      <xdr:rowOff>112644</xdr:rowOff>
    </xdr:from>
    <xdr:to>
      <xdr:col>50</xdr:col>
      <xdr:colOff>449232</xdr:colOff>
      <xdr:row>5</xdr:row>
      <xdr:rowOff>32809</xdr:rowOff>
    </xdr:to>
    <xdr:grpSp>
      <xdr:nvGrpSpPr>
        <xdr:cNvPr id="56" name="colour_band_Ratio" hidden="1"/>
        <xdr:cNvGrpSpPr/>
      </xdr:nvGrpSpPr>
      <xdr:grpSpPr>
        <a:xfrm>
          <a:off x="10655935" y="1754505"/>
          <a:ext cx="4185285" cy="215265"/>
          <a:chOff x="3673929" y="2288721"/>
          <a:chExt cx="3446154" cy="228600"/>
        </a:xfrm>
      </xdr:grpSpPr>
      <xdr:sp>
        <xdr:nvSpPr>
          <xdr:cNvPr id="57" name="TextBox 56" hidden="1"/>
          <xdr:cNvSpPr txBox="1"/>
        </xdr:nvSpPr>
        <xdr:spPr>
          <a:xfrm>
            <a:off x="3673929" y="2288721"/>
            <a:ext cx="1142830" cy="228600"/>
          </a:xfrm>
          <a:prstGeom prst="rect">
            <a:avLst/>
          </a:prstGeom>
          <a:solidFill>
            <a:srgbClr val="D7191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solidFill>
                  <a:schemeClr val="bg1"/>
                </a:solidFill>
                <a:latin typeface="+mn-lt"/>
                <a:ea typeface="Karla" pitchFamily="2" charset="0"/>
              </a:rPr>
              <a:t>Ratio &lt; 1</a:t>
            </a:r>
            <a:endParaRPr lang="en-GB" sz="1100">
              <a:solidFill>
                <a:schemeClr val="bg1"/>
              </a:solidFill>
              <a:latin typeface="+mn-lt"/>
              <a:ea typeface="Karla" pitchFamily="2" charset="0"/>
            </a:endParaRPr>
          </a:p>
        </xdr:txBody>
      </xdr:sp>
      <xdr:sp>
        <xdr:nvSpPr>
          <xdr:cNvPr id="58" name="TextBox 57" hidden="1"/>
          <xdr:cNvSpPr txBox="1"/>
        </xdr:nvSpPr>
        <xdr:spPr>
          <a:xfrm>
            <a:off x="5977253" y="2288721"/>
            <a:ext cx="1142830" cy="228600"/>
          </a:xfrm>
          <a:prstGeom prst="rect">
            <a:avLst/>
          </a:prstGeom>
          <a:solidFill>
            <a:srgbClr val="1A964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solidFill>
                  <a:schemeClr val="bg1"/>
                </a:solidFill>
                <a:latin typeface="+mn-lt"/>
                <a:ea typeface="Karla" pitchFamily="2" charset="0"/>
              </a:rPr>
              <a:t>Ratio &gt; 1</a:t>
            </a:r>
            <a:endParaRPr lang="en-GB" sz="1100">
              <a:solidFill>
                <a:schemeClr val="bg1"/>
              </a:solidFill>
              <a:latin typeface="+mn-lt"/>
              <a:ea typeface="Karla" pitchFamily="2" charset="0"/>
            </a:endParaRPr>
          </a:p>
        </xdr:txBody>
      </xdr:sp>
      <xdr:sp>
        <xdr:nvSpPr>
          <xdr:cNvPr id="59" name="TextBox 58" hidden="1"/>
          <xdr:cNvSpPr txBox="1"/>
        </xdr:nvSpPr>
        <xdr:spPr>
          <a:xfrm>
            <a:off x="4825591" y="2288721"/>
            <a:ext cx="1142830" cy="228600"/>
          </a:xfrm>
          <a:prstGeom prst="rect">
            <a:avLst/>
          </a:prstGeom>
          <a:solidFill>
            <a:srgbClr val="FDAE6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latin typeface="+mn-lt"/>
                <a:ea typeface="Karla" pitchFamily="2" charset="0"/>
              </a:rPr>
              <a:t>Ratio = 1</a:t>
            </a:r>
            <a:endParaRPr lang="en-GB" sz="1100">
              <a:latin typeface="+mn-lt"/>
              <a:ea typeface="Karla" pitchFamily="2" charset="0"/>
            </a:endParaRPr>
          </a:p>
        </xdr:txBody>
      </xdr:sp>
    </xdr:grpSp>
    <xdr:clientData/>
  </xdr:twoCellAnchor>
  <xdr:twoCellAnchor editAs="oneCell">
    <xdr:from>
      <xdr:col>23</xdr:col>
      <xdr:colOff>0</xdr:colOff>
      <xdr:row>3</xdr:row>
      <xdr:rowOff>74084</xdr:rowOff>
    </xdr:from>
    <xdr:to>
      <xdr:col>38</xdr:col>
      <xdr:colOff>191200</xdr:colOff>
      <xdr:row>5</xdr:row>
      <xdr:rowOff>306917</xdr:rowOff>
    </xdr:to>
    <xdr:sp textlink="uxb_works!B84">
      <xdr:nvSpPr>
        <xdr:cNvPr id="61" name="Text Box 54"/>
        <xdr:cNvSpPr txBox="1">
          <a:spLocks noChangeArrowheads="1"/>
        </xdr:cNvSpPr>
      </xdr:nvSpPr>
      <xdr:spPr>
        <a:xfrm>
          <a:off x="6543675" y="1715770"/>
          <a:ext cx="3601085" cy="528320"/>
        </a:xfrm>
        <a:prstGeom prst="rect">
          <a:avLst/>
        </a:prstGeom>
        <a:solidFill>
          <a:srgbClr val="ECEDEE"/>
        </a:solidFill>
        <a:ln w="9525">
          <a:noFill/>
          <a:miter lim="800000"/>
        </a:ln>
      </xdr:spPr>
      <xdr:txBody>
        <a:bodyPr vertOverflow="clip" wrap="square" lIns="36000" tIns="36000" rIns="36000" bIns="36000" anchor="t" upright="1"/>
        <a:lstStyle/>
        <a:p>
          <a:pPr marL="71755" algn="l" rtl="0">
            <a:spcBef>
              <a:spcPts val="600"/>
            </a:spcBef>
            <a:spcAft>
              <a:spcPts val="600"/>
            </a:spcAft>
            <a:defRPr sz="1000"/>
          </a:pPr>
          <a:fld id="{ECC8C057-4B8F-4490-8B75-487B4861F5D0}" type="TxLink">
            <a:rPr lang="en-US" sz="900" b="0" i="0" u="none" strike="noStrike" baseline="0">
              <a:solidFill>
                <a:srgbClr val="3B6E8F"/>
              </a:solidFill>
              <a:latin typeface="Calibri" panose="020F0502020204030204"/>
              <a:ea typeface="+mn-ea"/>
              <a:cs typeface="Calibri" panose="020F0502020204030204"/>
            </a:rPr>
          </a:fld>
          <a:endParaRPr lang="en-US" sz="1600" b="0" i="1" u="none" strike="noStrike" baseline="0">
            <a:solidFill>
              <a:srgbClr val="000000"/>
            </a:solidFill>
            <a:latin typeface="Calibri" panose="020F0502020204030204"/>
          </a:endParaRPr>
        </a:p>
      </xdr:txBody>
    </xdr:sp>
    <xdr:clientData/>
  </xdr:twoCellAnchor>
  <xdr:twoCellAnchor editAs="absolute">
    <xdr:from>
      <xdr:col>38</xdr:col>
      <xdr:colOff>304554</xdr:colOff>
      <xdr:row>2</xdr:row>
      <xdr:rowOff>84667</xdr:rowOff>
    </xdr:from>
    <xdr:to>
      <xdr:col>49</xdr:col>
      <xdr:colOff>898311</xdr:colOff>
      <xdr:row>2</xdr:row>
      <xdr:rowOff>828675</xdr:rowOff>
    </xdr:to>
    <xdr:grpSp>
      <xdr:nvGrpSpPr>
        <xdr:cNvPr id="5" name="Weights_Select" hidden="1"/>
        <xdr:cNvGrpSpPr/>
      </xdr:nvGrpSpPr>
      <xdr:grpSpPr>
        <a:xfrm>
          <a:off x="10257790" y="823595"/>
          <a:ext cx="3603625" cy="744220"/>
          <a:chOff x="10285026" y="799042"/>
          <a:chExt cx="3604172" cy="744008"/>
        </a:xfrm>
      </xdr:grpSpPr>
      <xdr:sp macro="[0]!CityUpdateHL">
        <xdr:nvSpPr>
          <xdr:cNvPr id="43" name="lbl_cnt_City_1" hidden="1"/>
          <xdr:cNvSpPr txBox="1"/>
        </xdr:nvSpPr>
        <xdr:spPr>
          <a:xfrm>
            <a:off x="11020929" y="1111429"/>
            <a:ext cx="717391" cy="21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l"/>
            <a:r>
              <a:rPr lang="en-GB" sz="1000" b="1">
                <a:solidFill>
                  <a:sysClr val="windowText" lastClr="000000"/>
                </a:solidFill>
                <a:latin typeface="+mn-lt"/>
                <a:ea typeface="Karla" pitchFamily="2" charset="0"/>
              </a:rPr>
              <a:t>WEIGHTS</a:t>
            </a:r>
            <a:endParaRPr lang="en-GB" sz="1000" b="1">
              <a:solidFill>
                <a:sysClr val="windowText" lastClr="000000"/>
              </a:solidFill>
              <a:latin typeface="+mn-lt"/>
              <a:ea typeface="Karla" pitchFamily="2" charset="0"/>
            </a:endParaRPr>
          </a:p>
        </xdr:txBody>
      </xdr:sp>
      <xdr:sp macro="[0]!CityUpdateHL" textlink="_WeightProfile">
        <xdr:nvSpPr>
          <xdr:cNvPr id="45" name="Text Box 6" hidden="1"/>
          <xdr:cNvSpPr txBox="1">
            <a:spLocks noChangeArrowheads="1"/>
          </xdr:cNvSpPr>
        </xdr:nvSpPr>
        <xdr:spPr>
          <a:xfrm>
            <a:off x="10285026" y="799042"/>
            <a:ext cx="3604172" cy="317499"/>
          </a:xfrm>
          <a:prstGeom prst="rect">
            <a:avLst/>
          </a:prstGeom>
          <a:noFill/>
          <a:ln w="9525">
            <a:noFill/>
            <a:miter lim="800000"/>
          </a:ln>
        </xdr:spPr>
        <xdr:txBody>
          <a:bodyPr vertOverflow="clip" wrap="square" lIns="108000" tIns="27432" rIns="0" bIns="0" anchor="t" upright="1"/>
          <a:lstStyle/>
          <a:p>
            <a:pPr algn="l" rtl="0">
              <a:defRPr sz="1000"/>
            </a:pPr>
            <a:fld id="{6B3CEEA7-E132-459A-8C8C-F76B64C58034}" type="TxLink">
              <a:rPr lang="en-US" sz="1000" b="0" i="1" u="none" strike="noStrike" baseline="0">
                <a:solidFill>
                  <a:schemeClr val="tx1">
                    <a:lumMod val="65000"/>
                    <a:lumOff val="35000"/>
                  </a:schemeClr>
                </a:solidFill>
                <a:latin typeface="+mn-lt"/>
                <a:ea typeface="Karla" pitchFamily="2" charset="0"/>
                <a:cs typeface="Calibri" panose="020F0502020204030204"/>
              </a:rPr>
            </a:fld>
            <a:endParaRPr lang="en-GB" sz="1000" b="0" i="1" u="none" strike="noStrike" baseline="0">
              <a:solidFill>
                <a:schemeClr val="tx1">
                  <a:lumMod val="65000"/>
                  <a:lumOff val="35000"/>
                </a:schemeClr>
              </a:solidFill>
              <a:latin typeface="+mn-lt"/>
              <a:ea typeface="Karla" pitchFamily="2" charset="0"/>
            </a:endParaRPr>
          </a:p>
        </xdr:txBody>
      </xdr:sp>
      <mc:AlternateContent xmlns:mc="http://schemas.openxmlformats.org/markup-compatibility/2006">
        <mc:Choice xmlns:a14="http://schemas.microsoft.com/office/drawing/2010/main" Requires="a14">
          <xdr:sp macro="[0]!LoadWeights">
            <xdr:nvSpPr>
              <xdr:cNvPr id="13254665" name="Drop Down 9" hidden="1">
                <a:extLst>
                  <a:ext uri="{63B3BB69-23CF-44E3-9099-C40C66FF867C}">
                    <a14:compatExt spid="_x0000_s13254665"/>
                  </a:ext>
                </a:extLst>
              </xdr:cNvPr>
              <xdr:cNvSpPr/>
            </xdr:nvSpPr>
            <xdr:spPr>
              <a:xfrm>
                <a:off x="11018524" y="1333500"/>
                <a:ext cx="1857908" cy="209550"/>
              </a:xfrm>
              <a:prstGeom prst="rect">
                <a:avLst/>
              </a:prstGeom>
            </xdr:spPr>
          </xdr:sp>
        </mc:Choice>
        <mc:Fallback/>
      </mc:AlternateContent>
    </xdr:grpSp>
    <xdr:clientData fPrintsWithSheet="0"/>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23</xdr:col>
      <xdr:colOff>192429</xdr:colOff>
      <xdr:row>7</xdr:row>
      <xdr:rowOff>155047</xdr:rowOff>
    </xdr:to>
    <xdr:grpSp>
      <xdr:nvGrpSpPr>
        <xdr:cNvPr id="6" name="MENU"/>
        <xdr:cNvGrpSpPr/>
      </xdr:nvGrpSpPr>
      <xdr:grpSpPr>
        <a:xfrm>
          <a:off x="0" y="0"/>
          <a:ext cx="14394180" cy="2606675"/>
          <a:chOff x="0" y="0"/>
          <a:chExt cx="14448585" cy="2559844"/>
        </a:xfrm>
      </xdr:grpSpPr>
      <xdr:grpSp>
        <xdr:nvGrpSpPr>
          <xdr:cNvPr id="32" name="MENU_B"/>
          <xdr:cNvGrpSpPr/>
        </xdr:nvGrpSpPr>
        <xdr:grpSpPr>
          <a:xfrm>
            <a:off x="1152" y="0"/>
            <a:ext cx="14447433" cy="1607742"/>
            <a:chOff x="1147" y="1"/>
            <a:chExt cx="14436975" cy="1621871"/>
          </a:xfrm>
        </xdr:grpSpPr>
        <xdr:grpSp>
          <xdr:nvGrpSpPr>
            <xdr:cNvPr id="33" name="MENU_BASE"/>
            <xdr:cNvGrpSpPr/>
          </xdr:nvGrpSpPr>
          <xdr:grpSpPr>
            <a:xfrm>
              <a:off x="1147" y="1"/>
              <a:ext cx="14436975" cy="1621871"/>
              <a:chOff x="1145" y="1"/>
              <a:chExt cx="14412640" cy="1617631"/>
            </a:xfrm>
          </xdr:grpSpPr>
          <xdr:sp>
            <xdr:nvSpPr>
              <xdr:cNvPr id="40" name="nav_controls"/>
              <xdr:cNvSpPr/>
            </xdr:nvSpPr>
            <xdr:spPr>
              <a:xfrm>
                <a:off x="18534" y="372417"/>
                <a:ext cx="14392588" cy="1245215"/>
              </a:xfrm>
              <a:prstGeom prst="rect">
                <a:avLst/>
              </a:prstGeom>
              <a:solidFill>
                <a:schemeClr val="bg1">
                  <a:lumMod val="95000"/>
                </a:schemeClr>
              </a:solidFill>
              <a:ln w="127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chemeClr val="tx2">
                      <a:lumMod val="75000"/>
                    </a:schemeClr>
                  </a:solidFill>
                  <a:latin typeface="+mn-lt"/>
                  <a:ea typeface="Karla" pitchFamily="2" charset="0"/>
                </a:endParaRPr>
              </a:p>
            </xdr:txBody>
          </xdr:sp>
          <xdr:sp>
            <xdr:nvSpPr>
              <xdr:cNvPr id="48" name="Home1"/>
              <xdr:cNvSpPr/>
            </xdr:nvSpPr>
            <xdr:spPr>
              <a:xfrm>
                <a:off x="1151" y="1"/>
                <a:ext cx="867228" cy="364908"/>
              </a:xfrm>
              <a:prstGeom prst="rect">
                <a:avLst/>
              </a:prstGeom>
              <a:solidFill>
                <a:schemeClr val="bg1"/>
              </a:solidFill>
              <a:ln w="6350">
                <a:solidFill>
                  <a:schemeClr val="accent6">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chemeClr val="accent1">
                      <a:lumMod val="75000"/>
                    </a:schemeClr>
                  </a:solidFill>
                  <a:latin typeface="+mn-lt"/>
                  <a:ea typeface="Karla" pitchFamily="2" charset="0"/>
                  <a:cs typeface="DilleniaUPC" pitchFamily="18" charset="-34"/>
                </a:endParaRPr>
              </a:p>
            </xdr:txBody>
          </xdr:sp>
          <xdr:pic macro="[0]!LBChanger">
            <xdr:nvPicPr>
              <xdr:cNvPr id="54" name="Home" descr="Home.png"/>
              <xdr:cNvPicPr>
                <a:picLocks noChangeAspect="1"/>
              </xdr:cNvPicPr>
            </xdr:nvPicPr>
            <xdr:blipFill>
              <a:blip r:embed="rId2" cstate="print"/>
              <a:stretch>
                <a:fillRect/>
              </a:stretch>
            </xdr:blipFill>
            <xdr:spPr>
              <a:xfrm>
                <a:off x="76311" y="16517"/>
                <a:ext cx="353192" cy="335848"/>
              </a:xfrm>
              <a:prstGeom prst="rect">
                <a:avLst/>
              </a:prstGeom>
              <a:solidFill>
                <a:schemeClr val="bg1"/>
              </a:solidFill>
            </xdr:spPr>
          </xdr:pic>
          <xdr:pic macro="[0]!Navigate_GoBack">
            <xdr:nvPicPr>
              <xdr:cNvPr id="55" name="Picture 54" descr="Silver-Back-Button.png"/>
              <xdr:cNvPicPr>
                <a:picLocks noChangeAspect="1"/>
              </xdr:cNvPicPr>
            </xdr:nvPicPr>
            <xdr:blipFill>
              <a:blip r:embed="rId3" cstate="print"/>
              <a:stretch>
                <a:fillRect/>
              </a:stretch>
            </xdr:blipFill>
            <xdr:spPr>
              <a:xfrm>
                <a:off x="482924" y="16516"/>
                <a:ext cx="346258" cy="335122"/>
              </a:xfrm>
              <a:prstGeom prst="rect">
                <a:avLst/>
              </a:prstGeom>
              <a:solidFill>
                <a:schemeClr val="bg1"/>
              </a:solidFill>
            </xdr:spPr>
          </xdr:pic>
          <xdr:sp macro="[0]!LBChanger" textlink="uxb_works!B92">
            <xdr:nvSpPr>
              <xdr:cNvPr id="43" name="Summary"/>
              <xdr:cNvSpPr/>
            </xdr:nvSpPr>
            <xdr:spPr>
              <a:xfrm>
                <a:off x="1145" y="367805"/>
                <a:ext cx="3610583" cy="363245"/>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105C044-9834-4268-A7A6-5159ABE53AAC}"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3">
            <xdr:nvSpPr>
              <xdr:cNvPr id="56" name="Indicator_Ranking"/>
              <xdr:cNvSpPr/>
            </xdr:nvSpPr>
            <xdr:spPr>
              <a:xfrm>
                <a:off x="3610858" y="367805"/>
                <a:ext cx="3610583" cy="363245"/>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ABB0398-29D1-49BB-889F-7885C1ADD678}" type="TxLink">
                  <a:rPr lang="en-US" sz="14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macro="[0]!LBChanger" textlink="uxb_works!B94">
            <xdr:nvSpPr>
              <xdr:cNvPr id="57" name="CityProfile"/>
              <xdr:cNvSpPr/>
            </xdr:nvSpPr>
            <xdr:spPr>
              <a:xfrm>
                <a:off x="7222398" y="367805"/>
                <a:ext cx="3610583" cy="363245"/>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DCC65E-F82F-4EA9-A004-8FD74DA0D109}"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5">
            <xdr:nvSpPr>
              <xdr:cNvPr id="60" name="Weights"/>
              <xdr:cNvSpPr/>
            </xdr:nvSpPr>
            <xdr:spPr>
              <a:xfrm>
                <a:off x="10831831" y="367805"/>
                <a:ext cx="3581811" cy="363245"/>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EC9DCF-1775-4B22-9966-148AF6400B32}"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textlink="uxb_works!B90">
            <xdr:nvSpPr>
              <xdr:cNvPr id="58" name="Home1"/>
              <xdr:cNvSpPr/>
            </xdr:nvSpPr>
            <xdr:spPr>
              <a:xfrm>
                <a:off x="868627" y="3"/>
                <a:ext cx="13545158" cy="369654"/>
              </a:xfrm>
              <a:prstGeom prst="rect">
                <a:avLst/>
              </a:prstGeom>
              <a:solidFill>
                <a:srgbClr val="FFFFFF"/>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B609E4-A4C5-4832-9622-4C6482086EB7}" type="TxLink">
                  <a:rPr lang="en-US" sz="1600" b="1" i="0" u="none" strike="noStrike">
                    <a:solidFill>
                      <a:schemeClr val="accent1">
                        <a:lumMod val="75000"/>
                      </a:schemeClr>
                    </a:solidFill>
                    <a:latin typeface="Calibri" panose="020F0502020204030204"/>
                    <a:ea typeface="Karla" pitchFamily="2" charset="0"/>
                    <a:cs typeface="Calibri" panose="020F0502020204030204"/>
                  </a:rPr>
                </a:fld>
                <a:endParaRPr lang="en-GB" sz="1400" b="1">
                  <a:solidFill>
                    <a:schemeClr val="accent1">
                      <a:lumMod val="75000"/>
                    </a:schemeClr>
                  </a:solidFill>
                  <a:latin typeface="+mn-lt"/>
                  <a:ea typeface="Karla" pitchFamily="2" charset="0"/>
                  <a:cs typeface="DilleniaUPC" pitchFamily="18" charset="-34"/>
                </a:endParaRPr>
              </a:p>
            </xdr:txBody>
          </xdr:sp>
        </xdr:grpSp>
        <xdr:pic macro="[0]!Generate_XL">
          <xdr:nvPicPr>
            <xdr:cNvPr id="34" name="exp_xl" descr="excel-wbg.jpg"/>
            <xdr:cNvPicPr>
              <a:picLocks noChangeAspect="1"/>
            </xdr:cNvPicPr>
          </xdr:nvPicPr>
          <xdr:blipFill>
            <a:blip r:embed="rId4" cstate="print">
              <a:extLst>
                <a:ext uri="{BEBA8EAE-BF5A-486C-A8C5-ECC9F3942E4B}">
                  <a14:imgProps xmlns:a14="http://schemas.microsoft.com/office/drawing/2010/main">
                    <a14:imgLayer r:embed="rId5">
                      <a14:imgEffect>
                        <a14:backgroundRemoval t="10000" b="90000" l="10000" r="90000"/>
                      </a14:imgEffect>
                    </a14:imgLayer>
                  </a14:imgProps>
                </a:ext>
              </a:extLst>
            </a:blip>
            <a:stretch>
              <a:fillRect/>
            </a:stretch>
          </xdr:blipFill>
          <xdr:spPr>
            <a:xfrm>
              <a:off x="14106525" y="1200150"/>
              <a:ext cx="331567" cy="411958"/>
            </a:xfrm>
            <a:prstGeom prst="rect">
              <a:avLst/>
            </a:prstGeom>
          </xdr:spPr>
        </xdr:pic>
      </xdr:grpSp>
      <xdr:sp macro="[0]!LBChanger" textlink="uxb_works!B98">
        <xdr:nvSpPr>
          <xdr:cNvPr id="63" name="Indicator_Ranking"/>
          <xdr:cNvSpPr/>
        </xdr:nvSpPr>
        <xdr:spPr>
          <a:xfrm>
            <a:off x="0" y="720794"/>
            <a:ext cx="2560219" cy="288238"/>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AB1D-3221-497B-B62F-CBD2342211FC}" type="TxLink">
              <a:rPr lang="en-US" sz="12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macro="[0]!LBChanger" textlink="uxb_works!B99">
        <xdr:nvSpPr>
          <xdr:cNvPr id="64" name="Scatter"/>
          <xdr:cNvSpPr/>
        </xdr:nvSpPr>
        <xdr:spPr>
          <a:xfrm>
            <a:off x="2557006" y="720794"/>
            <a:ext cx="2514602" cy="288238"/>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A3F098-38E9-46DF-B860-78152B218C7D}"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101">
        <xdr:nvSpPr>
          <xdr:cNvPr id="75" name="Scores"/>
          <xdr:cNvSpPr/>
        </xdr:nvSpPr>
        <xdr:spPr>
          <a:xfrm>
            <a:off x="7572169" y="720794"/>
            <a:ext cx="2502687" cy="288238"/>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9A9102-156B-46E0-B507-62FF168041FD}"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100">
        <xdr:nvSpPr>
          <xdr:cNvPr id="65" name="Scatter_InOut"/>
          <xdr:cNvSpPr/>
        </xdr:nvSpPr>
        <xdr:spPr>
          <a:xfrm>
            <a:off x="5062306" y="720794"/>
            <a:ext cx="2519178" cy="288238"/>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E814A0-2771-45A2-AC89-C804F25C5AFA}"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mc:AlternateContent xmlns:mc="http://schemas.openxmlformats.org/markup-compatibility/2006">
        <mc:Choice xmlns:a14="http://schemas.microsoft.com/office/drawing/2010/main" Requires="a14">
          <xdr:sp macro="[0]!CityAlignHL">
            <xdr:nvSpPr>
              <xdr:cNvPr id="13294599" name="Drop Down 7" hidden="1">
                <a:extLst>
                  <a:ext uri="{63B3BB69-23CF-44E3-9099-C40C66FF867C}">
                    <a14:compatExt spid="_x0000_s13294599"/>
                  </a:ext>
                </a:extLst>
              </xdr:cNvPr>
              <xdr:cNvSpPr/>
            </xdr:nvSpPr>
            <xdr:spPr>
              <a:xfrm>
                <a:off x="104775" y="1333500"/>
                <a:ext cx="1421606" cy="209550"/>
              </a:xfrm>
              <a:prstGeom prst="rect">
                <a:avLst/>
              </a:prstGeom>
            </xdr:spPr>
          </xdr:sp>
        </mc:Choice>
        <mc:Fallback/>
      </mc:AlternateContent>
      <xdr:sp>
        <xdr:nvSpPr>
          <xdr:cNvPr id="41" name="lbl_cnt_City_1"/>
          <xdr:cNvSpPr txBox="1"/>
        </xdr:nvSpPr>
        <xdr:spPr>
          <a:xfrm>
            <a:off x="108743" y="1128269"/>
            <a:ext cx="1435599" cy="217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baseline="0">
                <a:solidFill>
                  <a:sysClr val="windowText" lastClr="000000"/>
                </a:solidFill>
                <a:latin typeface="+mn-lt"/>
                <a:ea typeface="Karla" pitchFamily="2" charset="0"/>
              </a:rPr>
              <a:t>SELECT YEAR</a:t>
            </a:r>
            <a:endParaRPr lang="en-GB" sz="1000" b="1">
              <a:solidFill>
                <a:sysClr val="windowText" lastClr="000000"/>
              </a:solidFill>
              <a:latin typeface="+mn-lt"/>
              <a:ea typeface="Karla" pitchFamily="2" charset="0"/>
            </a:endParaRPr>
          </a:p>
        </xdr:txBody>
      </xdr:sp>
      <xdr:sp>
        <xdr:nvSpPr>
          <xdr:cNvPr id="45" name="lbl_cnt_City_1"/>
          <xdr:cNvSpPr txBox="1"/>
        </xdr:nvSpPr>
        <xdr:spPr>
          <a:xfrm>
            <a:off x="3427838" y="1128275"/>
            <a:ext cx="924971" cy="217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ea typeface="Karla" pitchFamily="2" charset="0"/>
              </a:rPr>
              <a:t>SERIES SELECT</a:t>
            </a:r>
            <a:endParaRPr lang="en-GB" sz="1000" b="1">
              <a:solidFill>
                <a:sysClr val="windowText" lastClr="000000"/>
              </a:solidFill>
              <a:latin typeface="+mn-lt"/>
              <a:ea typeface="Karla" pitchFamily="2" charset="0"/>
            </a:endParaRPr>
          </a:p>
        </xdr:txBody>
      </xdr:sp>
      <xdr:pic macro="[0]!CntUp">
        <xdr:nvPicPr>
          <xdr:cNvPr id="46" name="cnt_series_up2" descr="scroll_up_small.png"/>
          <xdr:cNvPicPr>
            <a:picLocks noChangeAspect="1"/>
          </xdr:cNvPicPr>
        </xdr:nvPicPr>
        <xdr:blipFill>
          <a:blip r:embed="rId6" cstate="print"/>
          <a:stretch>
            <a:fillRect/>
          </a:stretch>
        </xdr:blipFill>
        <xdr:spPr>
          <a:xfrm>
            <a:off x="8046491" y="1332546"/>
            <a:ext cx="311292" cy="120310"/>
          </a:xfrm>
          <a:prstGeom prst="rect">
            <a:avLst/>
          </a:prstGeom>
        </xdr:spPr>
      </xdr:pic>
      <xdr:pic macro="[0]!CntDown">
        <xdr:nvPicPr>
          <xdr:cNvPr id="47" name="cnt_series_down2" descr="scroll_down_small.png"/>
          <xdr:cNvPicPr>
            <a:picLocks noChangeAspect="1"/>
          </xdr:cNvPicPr>
        </xdr:nvPicPr>
        <xdr:blipFill>
          <a:blip r:embed="rId7" cstate="print"/>
          <a:stretch>
            <a:fillRect/>
          </a:stretch>
        </xdr:blipFill>
        <xdr:spPr>
          <a:xfrm>
            <a:off x="8046491" y="1450932"/>
            <a:ext cx="311211" cy="94294"/>
          </a:xfrm>
          <a:prstGeom prst="rect">
            <a:avLst/>
          </a:prstGeom>
        </xdr:spPr>
      </xdr:pic>
      <mc:AlternateContent xmlns:mc="http://schemas.openxmlformats.org/markup-compatibility/2006">
        <mc:Choice xmlns:a14="http://schemas.microsoft.com/office/drawing/2010/main" Requires="a14">
          <xdr:sp macro="[0]!DisplayColourBarInd">
            <xdr:nvSpPr>
              <xdr:cNvPr id="13294601" name="cnt_indicator" hidden="1">
                <a:extLst>
                  <a:ext uri="{63B3BB69-23CF-44E3-9099-C40C66FF867C}">
                    <a14:compatExt spid="_x0000_s13294601"/>
                  </a:ext>
                </a:extLst>
              </xdr:cNvPr>
              <xdr:cNvSpPr/>
            </xdr:nvSpPr>
            <xdr:spPr>
              <a:xfrm>
                <a:off x="3426619" y="1333500"/>
                <a:ext cx="4606925" cy="209550"/>
              </a:xfrm>
              <a:prstGeom prst="rect">
                <a:avLst/>
              </a:prstGeom>
            </xdr:spPr>
          </xdr:sp>
        </mc:Choice>
        <mc:Fallback/>
      </mc:AlternateContent>
      <xdr:sp>
        <xdr:nvSpPr>
          <xdr:cNvPr id="49" name="lbl_cnt_City_1"/>
          <xdr:cNvSpPr txBox="1"/>
        </xdr:nvSpPr>
        <xdr:spPr>
          <a:xfrm>
            <a:off x="8541307" y="1128269"/>
            <a:ext cx="1424368" cy="217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baseline="0">
                <a:solidFill>
                  <a:sysClr val="windowText" lastClr="000000"/>
                </a:solidFill>
                <a:latin typeface="+mn-lt"/>
                <a:ea typeface="Karla" pitchFamily="2" charset="0"/>
              </a:rPr>
              <a:t>CITY HIGHLIGHT</a:t>
            </a:r>
            <a:endParaRPr lang="en-GB" sz="1000" b="1">
              <a:solidFill>
                <a:sysClr val="windowText" lastClr="000000"/>
              </a:solidFill>
              <a:latin typeface="+mn-lt"/>
              <a:ea typeface="Karla" pitchFamily="2" charset="0"/>
            </a:endParaRPr>
          </a:p>
        </xdr:txBody>
      </xdr:sp>
      <xdr:sp>
        <xdr:nvSpPr>
          <xdr:cNvPr id="51" name="lbl_cnt_City_1"/>
          <xdr:cNvSpPr txBox="1"/>
        </xdr:nvSpPr>
        <xdr:spPr>
          <a:xfrm>
            <a:off x="10413765" y="1128151"/>
            <a:ext cx="1418315" cy="218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ea typeface="Karla" pitchFamily="2" charset="0"/>
              </a:rPr>
              <a:t>GROUP </a:t>
            </a:r>
            <a:r>
              <a:rPr lang="en-GB" sz="1000" b="1" baseline="0">
                <a:solidFill>
                  <a:sysClr val="windowText" lastClr="000000"/>
                </a:solidFill>
                <a:latin typeface="+mn-lt"/>
                <a:ea typeface="Karla" pitchFamily="2" charset="0"/>
              </a:rPr>
              <a:t>HIGHLIGHT</a:t>
            </a:r>
            <a:endParaRPr lang="en-GB" sz="1000" b="1">
              <a:solidFill>
                <a:sysClr val="windowText" lastClr="000000"/>
              </a:solidFill>
              <a:latin typeface="+mn-lt"/>
              <a:ea typeface="Karla" pitchFamily="2" charset="0"/>
            </a:endParaRPr>
          </a:p>
        </xdr:txBody>
      </xdr:sp>
      <xdr:pic macro="[0]!CntCHLUp">
        <xdr:nvPicPr>
          <xdr:cNvPr id="52" name="cnt_series_up2" descr="scroll_up_small.png"/>
          <xdr:cNvPicPr>
            <a:picLocks noChangeAspect="1"/>
          </xdr:cNvPicPr>
        </xdr:nvPicPr>
        <xdr:blipFill>
          <a:blip r:embed="rId6" cstate="print"/>
          <a:stretch>
            <a:fillRect/>
          </a:stretch>
        </xdr:blipFill>
        <xdr:spPr>
          <a:xfrm>
            <a:off x="9945158" y="1336737"/>
            <a:ext cx="306725" cy="120316"/>
          </a:xfrm>
          <a:prstGeom prst="rect">
            <a:avLst/>
          </a:prstGeom>
        </xdr:spPr>
      </xdr:pic>
      <xdr:pic macro="[0]!CntCHLDown">
        <xdr:nvPicPr>
          <xdr:cNvPr id="53" name="cnt_series_down2" descr="scroll_down_small.png"/>
          <xdr:cNvPicPr>
            <a:picLocks noChangeAspect="1"/>
          </xdr:cNvPicPr>
        </xdr:nvPicPr>
        <xdr:blipFill>
          <a:blip r:embed="rId7" cstate="print"/>
          <a:stretch>
            <a:fillRect/>
          </a:stretch>
        </xdr:blipFill>
        <xdr:spPr>
          <a:xfrm>
            <a:off x="9945158" y="1455130"/>
            <a:ext cx="306725" cy="94300"/>
          </a:xfrm>
          <a:prstGeom prst="rect">
            <a:avLst/>
          </a:prstGeom>
        </xdr:spPr>
      </xdr:pic>
      <mc:AlternateContent xmlns:mc="http://schemas.openxmlformats.org/markup-compatibility/2006">
        <mc:Choice xmlns:a14="http://schemas.microsoft.com/office/drawing/2010/main" Requires="a14">
          <xdr:sp macro="[0]!Refresh">
            <xdr:nvSpPr>
              <xdr:cNvPr id="13294602" name="Button 10" hidden="1">
                <a:extLst>
                  <a:ext uri="{63B3BB69-23CF-44E3-9099-C40C66FF867C}">
                    <a14:compatExt spid="_x0000_s13294602"/>
                  </a:ext>
                </a:extLst>
              </xdr:cNvPr>
              <xdr:cNvSpPr/>
            </xdr:nvSpPr>
            <xdr:spPr>
              <a:xfrm>
                <a:off x="13133653" y="2314575"/>
                <a:ext cx="688710" cy="245269"/>
              </a:xfrm>
              <a:prstGeom prst="rect">
                <a:avLst/>
              </a:prstGeom>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panose="020F0502020204030204"/>
                  </a:rPr>
                  <a:t>Reset All</a:t>
                </a:r>
                <a:endParaRPr lang="en-GB" sz="1100" b="0" i="0" u="none" strike="noStrike" baseline="0">
                  <a:solidFill>
                    <a:srgbClr val="000000"/>
                  </a:solidFill>
                  <a:latin typeface="Calibri" panose="020F0502020204030204"/>
                </a:endParaRPr>
              </a:p>
            </xdr:txBody>
          </xdr:sp>
        </mc:Choice>
        <mc:Fallback/>
      </mc:AlternateContent>
      <mc:AlternateContent xmlns:mc="http://schemas.openxmlformats.org/markup-compatibility/2006">
        <mc:Choice xmlns:a14="http://schemas.microsoft.com/office/drawing/2010/main" Requires="a14">
          <xdr:sp macro="[0]!CityUpdateHL">
            <xdr:nvSpPr>
              <xdr:cNvPr id="13294603" name="Drop Down 11" hidden="1">
                <a:extLst>
                  <a:ext uri="{63B3BB69-23CF-44E3-9099-C40C66FF867C}">
                    <a14:compatExt spid="_x0000_s13294603"/>
                  </a:ext>
                </a:extLst>
              </xdr:cNvPr>
              <xdr:cNvSpPr/>
            </xdr:nvSpPr>
            <xdr:spPr>
              <a:xfrm>
                <a:off x="8535723" y="1333500"/>
                <a:ext cx="1417108" cy="209550"/>
              </a:xfrm>
              <a:prstGeom prst="rect">
                <a:avLst/>
              </a:prstGeom>
            </xdr:spPr>
          </xdr:sp>
        </mc:Choice>
        <mc:Fallback/>
      </mc:AlternateContent>
      <mc:AlternateContent xmlns:mc="http://schemas.openxmlformats.org/markup-compatibility/2006">
        <mc:Choice xmlns:a14="http://schemas.microsoft.com/office/drawing/2010/main" Requires="a14">
          <xdr:sp>
            <xdr:nvSpPr>
              <xdr:cNvPr id="13294604" name="Drop Down 12" hidden="1">
                <a:extLst>
                  <a:ext uri="{63B3BB69-23CF-44E3-9099-C40C66FF867C}">
                    <a14:compatExt spid="_x0000_s13294604"/>
                  </a:ext>
                </a:extLst>
              </xdr:cNvPr>
              <xdr:cNvSpPr/>
            </xdr:nvSpPr>
            <xdr:spPr>
              <a:xfrm>
                <a:off x="10419556" y="1333500"/>
                <a:ext cx="1596496" cy="209550"/>
              </a:xfrm>
              <a:prstGeom prst="rect">
                <a:avLst/>
              </a:prstGeom>
            </xdr:spPr>
          </xdr:sp>
        </mc:Choice>
        <mc:Fallback/>
      </mc:AlternateContent>
      <mc:AlternateContent xmlns:mc="http://schemas.openxmlformats.org/markup-compatibility/2006">
        <mc:Choice xmlns:a14="http://schemas.microsoft.com/office/drawing/2010/main" Requires="a14">
          <xdr:sp>
            <xdr:nvSpPr>
              <xdr:cNvPr id="13294606" name="Drop Down 14" hidden="1">
                <a:extLst>
                  <a:ext uri="{63B3BB69-23CF-44E3-9099-C40C66FF867C}">
                    <a14:compatExt spid="_x0000_s13294606"/>
                  </a:ext>
                </a:extLst>
              </xdr:cNvPr>
              <xdr:cNvSpPr/>
            </xdr:nvSpPr>
            <xdr:spPr>
              <a:xfrm>
                <a:off x="8535723" y="1883569"/>
                <a:ext cx="1645708" cy="209550"/>
              </a:xfrm>
              <a:prstGeom prst="rect">
                <a:avLst/>
              </a:prstGeom>
            </xdr:spPr>
          </xdr:sp>
        </mc:Choice>
        <mc:Fallback/>
      </mc:AlternateContent>
      <xdr:sp>
        <xdr:nvSpPr>
          <xdr:cNvPr id="59" name="lbl_cnt_City_1"/>
          <xdr:cNvSpPr txBox="1"/>
        </xdr:nvSpPr>
        <xdr:spPr>
          <a:xfrm>
            <a:off x="8549656" y="1669559"/>
            <a:ext cx="1418246" cy="218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ea typeface="Karla" pitchFamily="2" charset="0"/>
              </a:rPr>
              <a:t>FILTER BY</a:t>
            </a:r>
            <a:r>
              <a:rPr lang="en-GB" sz="1000" b="1" baseline="0">
                <a:solidFill>
                  <a:sysClr val="windowText" lastClr="000000"/>
                </a:solidFill>
                <a:latin typeface="+mn-lt"/>
                <a:ea typeface="Karla" pitchFamily="2" charset="0"/>
              </a:rPr>
              <a:t> REGION</a:t>
            </a:r>
            <a:endParaRPr lang="en-GB" sz="1000" b="1" baseline="0">
              <a:solidFill>
                <a:sysClr val="windowText" lastClr="000000"/>
              </a:solidFill>
              <a:latin typeface="+mn-lt"/>
              <a:ea typeface="Karla" pitchFamily="2" charset="0"/>
            </a:endParaRPr>
          </a:p>
        </xdr:txBody>
      </xdr:sp>
      <mc:AlternateContent xmlns:mc="http://schemas.openxmlformats.org/markup-compatibility/2006">
        <mc:Choice xmlns:a14="http://schemas.microsoft.com/office/drawing/2010/main" Requires="a14">
          <xdr:sp>
            <xdr:nvSpPr>
              <xdr:cNvPr id="13294607" name="Drop Down 15" hidden="1">
                <a:extLst>
                  <a:ext uri="{63B3BB69-23CF-44E3-9099-C40C66FF867C}">
                    <a14:compatExt spid="_x0000_s13294607"/>
                  </a:ext>
                </a:extLst>
              </xdr:cNvPr>
              <xdr:cNvSpPr/>
            </xdr:nvSpPr>
            <xdr:spPr>
              <a:xfrm>
                <a:off x="10419556" y="1883569"/>
                <a:ext cx="1586971" cy="209550"/>
              </a:xfrm>
              <a:prstGeom prst="rect">
                <a:avLst/>
              </a:prstGeom>
            </xdr:spPr>
          </xdr:sp>
        </mc:Choice>
        <mc:Fallback/>
      </mc:AlternateContent>
      <xdr:sp>
        <xdr:nvSpPr>
          <xdr:cNvPr id="61" name="lbl_cnt_City_1"/>
          <xdr:cNvSpPr txBox="1"/>
        </xdr:nvSpPr>
        <xdr:spPr>
          <a:xfrm>
            <a:off x="10421536" y="1669559"/>
            <a:ext cx="1421953" cy="218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ea typeface="Karla" pitchFamily="2" charset="0"/>
              </a:rPr>
              <a:t>FILTER BY INCOME LEVEL</a:t>
            </a:r>
            <a:endParaRPr lang="en-GB" sz="1000" b="1">
              <a:solidFill>
                <a:sysClr val="windowText" lastClr="000000"/>
              </a:solidFill>
              <a:latin typeface="+mn-lt"/>
              <a:ea typeface="Karla" pitchFamily="2" charset="0"/>
            </a:endParaRPr>
          </a:p>
        </xdr:txBody>
      </xdr:sp>
      <xdr:grpSp>
        <xdr:nvGrpSpPr>
          <xdr:cNvPr id="42" name="CompareToggle"/>
          <xdr:cNvGrpSpPr/>
        </xdr:nvGrpSpPr>
        <xdr:grpSpPr>
          <a:xfrm>
            <a:off x="105737" y="1563228"/>
            <a:ext cx="1959255" cy="239833"/>
            <a:chOff x="2017194" y="848232"/>
            <a:chExt cx="1625504" cy="238966"/>
          </a:xfrm>
        </xdr:grpSpPr>
        <mc:AlternateContent xmlns:mc="http://schemas.openxmlformats.org/markup-compatibility/2006">
          <mc:Choice xmlns:a14="http://schemas.microsoft.com/office/drawing/2010/main" Requires="a14">
            <xdr:sp macro="[0]!CompareYears">
              <xdr:nvSpPr>
                <xdr:cNvPr id="13294600" name="Check Box 8" hidden="1">
                  <a:extLst>
                    <a:ext uri="{63B3BB69-23CF-44E3-9099-C40C66FF867C}">
                      <a14:compatExt spid="_x0000_s13294600"/>
                    </a:ext>
                  </a:extLst>
                </xdr:cNvPr>
                <xdr:cNvSpPr/>
              </xdr:nvSpPr>
              <xdr:spPr>
                <a:xfrm>
                  <a:off x="2017194" y="868121"/>
                  <a:ext cx="333375" cy="219077"/>
                </a:xfrm>
                <a:prstGeom prst="rect">
                  <a:avLst/>
                </a:prstGeom>
              </xdr:spPr>
            </xdr:sp>
          </mc:Choice>
          <mc:Fallback/>
        </mc:AlternateContent>
        <xdr:sp>
          <xdr:nvSpPr>
            <xdr:cNvPr id="44" name="lbl_cnt_City_1"/>
            <xdr:cNvSpPr txBox="1"/>
          </xdr:nvSpPr>
          <xdr:spPr>
            <a:xfrm>
              <a:off x="2218407" y="848232"/>
              <a:ext cx="1424291" cy="219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ctr"/>
            <a:lstStyle/>
            <a:p>
              <a:r>
                <a:rPr lang="en-US"/>
                <a:t>Compare Indices</a:t>
              </a:r>
              <a:endParaRPr lang="en-US"/>
            </a:p>
          </xdr:txBody>
        </xdr:sp>
      </xdr:grpSp>
      <mc:AlternateContent xmlns:mc="http://schemas.openxmlformats.org/markup-compatibility/2006">
        <mc:Choice xmlns:a14="http://schemas.microsoft.com/office/drawing/2010/main" Requires="a14">
          <xdr:sp>
            <xdr:nvSpPr>
              <xdr:cNvPr id="13294610" name="Drop Down 18" hidden="1">
                <a:extLst>
                  <a:ext uri="{63B3BB69-23CF-44E3-9099-C40C66FF867C}">
                    <a14:compatExt spid="_x0000_s13294610"/>
                  </a:ext>
                </a:extLst>
              </xdr:cNvPr>
              <xdr:cNvSpPr/>
            </xdr:nvSpPr>
            <xdr:spPr>
              <a:xfrm>
                <a:off x="12197027" y="1883569"/>
                <a:ext cx="1606286" cy="209550"/>
              </a:xfrm>
              <a:prstGeom prst="rect">
                <a:avLst/>
              </a:prstGeom>
            </xdr:spPr>
          </xdr:sp>
        </mc:Choice>
        <mc:Fallback/>
      </mc:AlternateContent>
      <xdr:sp macro="[0]!CityUpdateHL">
        <xdr:nvSpPr>
          <xdr:cNvPr id="74" name="lbl_cnt_City_1"/>
          <xdr:cNvSpPr txBox="1"/>
        </xdr:nvSpPr>
        <xdr:spPr>
          <a:xfrm>
            <a:off x="12206662" y="1667925"/>
            <a:ext cx="1823492" cy="221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ea typeface="Karla" pitchFamily="2" charset="0"/>
              </a:rPr>
              <a:t>FILTER BY POPULATION</a:t>
            </a:r>
            <a:endParaRPr lang="en-GB" sz="1000" b="1">
              <a:solidFill>
                <a:sysClr val="windowText" lastClr="000000"/>
              </a:solidFill>
              <a:latin typeface="+mn-lt"/>
              <a:ea typeface="Karla" pitchFamily="2" charset="0"/>
            </a:endParaRPr>
          </a:p>
        </xdr:txBody>
      </xdr:sp>
    </xdr:grpSp>
    <xdr:clientData fPrintsWithSheet="0"/>
  </xdr:twoCellAnchor>
  <xdr:twoCellAnchor editAs="oneCell">
    <xdr:from>
      <xdr:col>16</xdr:col>
      <xdr:colOff>25929</xdr:colOff>
      <xdr:row>7</xdr:row>
      <xdr:rowOff>19050</xdr:rowOff>
    </xdr:from>
    <xdr:to>
      <xdr:col>18</xdr:col>
      <xdr:colOff>735013</xdr:colOff>
      <xdr:row>8</xdr:row>
      <xdr:rowOff>140762</xdr:rowOff>
    </xdr:to>
    <xdr:sp textlink="uxb_works!B85">
      <xdr:nvSpPr>
        <xdr:cNvPr id="66" name="TextBox 65"/>
        <xdr:cNvSpPr txBox="1">
          <a:spLocks noChangeArrowheads="1"/>
        </xdr:cNvSpPr>
      </xdr:nvSpPr>
      <xdr:spPr>
        <a:xfrm>
          <a:off x="5568950" y="2470785"/>
          <a:ext cx="3261995" cy="311785"/>
        </a:xfrm>
        <a:prstGeom prst="rect">
          <a:avLst/>
        </a:prstGeom>
        <a:solidFill>
          <a:srgbClr val="FFFFFF"/>
        </a:solidFill>
        <a:ln w="9525">
          <a:solidFill>
            <a:srgbClr val="BCBCBC"/>
          </a:solidFill>
          <a:miter lim="800000"/>
        </a:ln>
      </xdr:spPr>
      <xdr:txBody>
        <a:bodyPr vertOverflow="clip" wrap="square" lIns="144000" tIns="144000" rIns="144000" bIns="180000" anchor="ctr" upright="1"/>
        <a:lstStyle/>
        <a:p>
          <a:pPr marL="0" algn="l"/>
          <a:fld id="{0D6B841C-980C-4B23-A171-5CA80F884A8D}" type="TxLink">
            <a:rPr lang="en-US" sz="800" b="0" i="0" u="none" strike="noStrike">
              <a:solidFill>
                <a:srgbClr val="3B6E8F"/>
              </a:solidFill>
              <a:effectLst/>
              <a:latin typeface="Calibri" panose="020F0502020204030204"/>
              <a:ea typeface="+mn-ea"/>
              <a:cs typeface="Calibri" panose="020F0502020204030204"/>
            </a:rPr>
          </a:fld>
          <a:endParaRPr lang="en-GB" sz="1100">
            <a:effectLst/>
            <a:latin typeface="+mn-lt"/>
            <a:ea typeface="+mn-ea"/>
            <a:cs typeface="+mn-cs"/>
          </a:endParaRPr>
        </a:p>
      </xdr:txBody>
    </xdr:sp>
    <xdr:clientData/>
  </xdr:twoCellAnchor>
  <xdr:twoCellAnchor editAs="absolute">
    <xdr:from>
      <xdr:col>0</xdr:col>
      <xdr:colOff>108743</xdr:colOff>
      <xdr:row>76</xdr:row>
      <xdr:rowOff>83477</xdr:rowOff>
    </xdr:from>
    <xdr:to>
      <xdr:col>5</xdr:col>
      <xdr:colOff>342517</xdr:colOff>
      <xdr:row>77</xdr:row>
      <xdr:rowOff>75137</xdr:rowOff>
    </xdr:to>
    <xdr:sp macro="[0]!returntop">
      <xdr:nvSpPr>
        <xdr:cNvPr id="31" name="go_top"/>
        <xdr:cNvSpPr txBox="1"/>
      </xdr:nvSpPr>
      <xdr:spPr>
        <a:xfrm>
          <a:off x="108585" y="16224250"/>
          <a:ext cx="805180" cy="182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mn-lt"/>
              <a:ea typeface="Karla" pitchFamily="2" charset="0"/>
            </a:rPr>
            <a:t>Back to top</a:t>
          </a:r>
          <a:endParaRPr lang="en-GB" sz="1100" b="1" i="0" u="sng" strike="noStrike" baseline="0">
            <a:solidFill>
              <a:srgbClr val="0070C0"/>
            </a:solidFill>
            <a:latin typeface="+mn-lt"/>
            <a:ea typeface="Karla" pitchFamily="2" charset="0"/>
          </a:endParaRPr>
        </a:p>
      </xdr:txBody>
    </xdr:sp>
    <xdr:clientData fPrintsWithSheet="0"/>
  </xdr:twoCellAnchor>
  <xdr:twoCellAnchor editAs="absolute">
    <xdr:from>
      <xdr:col>20</xdr:col>
      <xdr:colOff>725232</xdr:colOff>
      <xdr:row>2</xdr:row>
      <xdr:rowOff>51680</xdr:rowOff>
    </xdr:from>
    <xdr:to>
      <xdr:col>23</xdr:col>
      <xdr:colOff>87673</xdr:colOff>
      <xdr:row>2</xdr:row>
      <xdr:rowOff>819150</xdr:rowOff>
    </xdr:to>
    <xdr:grpSp>
      <xdr:nvGrpSpPr>
        <xdr:cNvPr id="4" name="Weights_Select"/>
        <xdr:cNvGrpSpPr/>
      </xdr:nvGrpSpPr>
      <xdr:grpSpPr>
        <a:xfrm>
          <a:off x="12040870" y="790575"/>
          <a:ext cx="2248535" cy="767715"/>
          <a:chOff x="12093055" y="766055"/>
          <a:chExt cx="2249045" cy="767470"/>
        </a:xfrm>
      </xdr:grpSpPr>
      <xdr:sp>
        <xdr:nvSpPr>
          <xdr:cNvPr id="50" name="lbl_cnt_City_1"/>
          <xdr:cNvSpPr txBox="1"/>
        </xdr:nvSpPr>
        <xdr:spPr>
          <a:xfrm>
            <a:off x="13368134" y="1128151"/>
            <a:ext cx="702807" cy="218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000" b="1">
                <a:solidFill>
                  <a:sysClr val="windowText" lastClr="000000"/>
                </a:solidFill>
                <a:latin typeface="+mn-lt"/>
                <a:ea typeface="Karla" pitchFamily="2" charset="0"/>
              </a:rPr>
              <a:t>WEIGHTS</a:t>
            </a:r>
            <a:endParaRPr lang="en-GB" sz="1000" b="1">
              <a:solidFill>
                <a:sysClr val="windowText" lastClr="000000"/>
              </a:solidFill>
              <a:latin typeface="+mn-lt"/>
              <a:ea typeface="Karla" pitchFamily="2" charset="0"/>
            </a:endParaRPr>
          </a:p>
        </xdr:txBody>
      </xdr:sp>
      <mc:AlternateContent xmlns:mc="http://schemas.openxmlformats.org/markup-compatibility/2006">
        <mc:Choice xmlns:a14="http://schemas.microsoft.com/office/drawing/2010/main" Requires="a14">
          <xdr:sp macro="[0]!LoadWeights">
            <xdr:nvSpPr>
              <xdr:cNvPr id="13294605" name="Drop Down 13" hidden="1">
                <a:extLst>
                  <a:ext uri="{63B3BB69-23CF-44E3-9099-C40C66FF867C}">
                    <a14:compatExt spid="_x0000_s13294605"/>
                  </a:ext>
                </a:extLst>
              </xdr:cNvPr>
              <xdr:cNvSpPr/>
            </xdr:nvSpPr>
            <xdr:spPr>
              <a:xfrm>
                <a:off x="12197027" y="1333500"/>
                <a:ext cx="1882511" cy="200025"/>
              </a:xfrm>
              <a:prstGeom prst="rect">
                <a:avLst/>
              </a:prstGeom>
            </xdr:spPr>
          </xdr:sp>
        </mc:Choice>
        <mc:Fallback/>
      </mc:AlternateContent>
      <xdr:sp textlink="_WeightProfile">
        <xdr:nvSpPr>
          <xdr:cNvPr id="62" name="Text Box 6"/>
          <xdr:cNvSpPr txBox="1">
            <a:spLocks noChangeArrowheads="1"/>
          </xdr:cNvSpPr>
        </xdr:nvSpPr>
        <xdr:spPr>
          <a:xfrm>
            <a:off x="12093055" y="766055"/>
            <a:ext cx="2249045" cy="390074"/>
          </a:xfrm>
          <a:prstGeom prst="rect">
            <a:avLst/>
          </a:prstGeom>
          <a:noFill/>
          <a:ln w="9525">
            <a:noFill/>
            <a:miter lim="800000"/>
          </a:ln>
        </xdr:spPr>
        <xdr:txBody>
          <a:bodyPr vertOverflow="clip" wrap="square" lIns="108000" tIns="27432" rIns="0" bIns="0" anchor="t" upright="1"/>
          <a:lstStyle/>
          <a:p>
            <a:pPr algn="l" rtl="0">
              <a:defRPr sz="1000"/>
            </a:pPr>
            <a:fld id="{6B3CEEA7-E132-459A-8C8C-F76B64C58034}" type="TxLink">
              <a:rPr lang="en-US" sz="1000" b="0" i="1" u="none" strike="noStrike" baseline="0">
                <a:solidFill>
                  <a:schemeClr val="tx1">
                    <a:lumMod val="65000"/>
                    <a:lumOff val="35000"/>
                  </a:schemeClr>
                </a:solidFill>
                <a:latin typeface="+mn-lt"/>
                <a:ea typeface="Karla" pitchFamily="2" charset="0"/>
                <a:cs typeface="Calibri" panose="020F0502020204030204"/>
              </a:rPr>
            </a:fld>
            <a:endParaRPr lang="en-GB" sz="1000" b="0" i="1" u="none" strike="noStrike" baseline="0">
              <a:solidFill>
                <a:schemeClr val="tx1">
                  <a:lumMod val="65000"/>
                  <a:lumOff val="35000"/>
                </a:schemeClr>
              </a:solidFill>
              <a:latin typeface="+mn-lt"/>
              <a:ea typeface="Karla" pitchFamily="2" charset="0"/>
            </a:endParaRPr>
          </a:p>
        </xdr:txBody>
      </xdr:sp>
    </xdr:grpSp>
    <xdr:clientData fPrintsWithSheet="0"/>
  </xdr:twoCellAnchor>
  <xdr:twoCellAnchor>
    <xdr:from>
      <xdr:col>1</xdr:col>
      <xdr:colOff>0</xdr:colOff>
      <xdr:row>10</xdr:row>
      <xdr:rowOff>181538</xdr:rowOff>
    </xdr:from>
    <xdr:to>
      <xdr:col>9</xdr:col>
      <xdr:colOff>474470</xdr:colOff>
      <xdr:row>12</xdr:row>
      <xdr:rowOff>4554</xdr:rowOff>
    </xdr:to>
    <xdr:grpSp>
      <xdr:nvGrpSpPr>
        <xdr:cNvPr id="35" name="colour_band_Score"/>
        <xdr:cNvGrpSpPr/>
      </xdr:nvGrpSpPr>
      <xdr:grpSpPr>
        <a:xfrm>
          <a:off x="114300" y="3623310"/>
          <a:ext cx="5074920" cy="257810"/>
          <a:chOff x="3673929" y="2288721"/>
          <a:chExt cx="3429000" cy="229891"/>
        </a:xfrm>
      </xdr:grpSpPr>
      <xdr:sp>
        <xdr:nvSpPr>
          <xdr:cNvPr id="36" name="TextBox 35"/>
          <xdr:cNvSpPr txBox="1"/>
        </xdr:nvSpPr>
        <xdr:spPr>
          <a:xfrm>
            <a:off x="3673929" y="2288721"/>
            <a:ext cx="857250" cy="228660"/>
          </a:xfrm>
          <a:prstGeom prst="rect">
            <a:avLst/>
          </a:prstGeom>
          <a:solidFill>
            <a:srgbClr val="D7191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solidFill>
                  <a:schemeClr val="bg1"/>
                </a:solidFill>
                <a:latin typeface="+mn-lt"/>
                <a:ea typeface="Karla" pitchFamily="2" charset="0"/>
              </a:rPr>
              <a:t>Scores 0-25</a:t>
            </a:r>
            <a:endParaRPr lang="en-GB" sz="1100">
              <a:solidFill>
                <a:schemeClr val="bg1"/>
              </a:solidFill>
              <a:latin typeface="+mn-lt"/>
              <a:ea typeface="Karla" pitchFamily="2" charset="0"/>
            </a:endParaRPr>
          </a:p>
        </xdr:txBody>
      </xdr:sp>
      <xdr:sp>
        <xdr:nvSpPr>
          <xdr:cNvPr id="37" name="TextBox 36"/>
          <xdr:cNvSpPr txBox="1"/>
        </xdr:nvSpPr>
        <xdr:spPr>
          <a:xfrm>
            <a:off x="6245679" y="2288721"/>
            <a:ext cx="857250" cy="228660"/>
          </a:xfrm>
          <a:prstGeom prst="rect">
            <a:avLst/>
          </a:prstGeom>
          <a:solidFill>
            <a:srgbClr val="1A964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solidFill>
                  <a:schemeClr val="bg1"/>
                </a:solidFill>
                <a:latin typeface="+mn-lt"/>
                <a:ea typeface="Karla" pitchFamily="2" charset="0"/>
              </a:rPr>
              <a:t>Scores 76-100</a:t>
            </a:r>
            <a:endParaRPr lang="en-GB" sz="1100">
              <a:solidFill>
                <a:schemeClr val="bg1"/>
              </a:solidFill>
              <a:latin typeface="+mn-lt"/>
              <a:ea typeface="Karla" pitchFamily="2" charset="0"/>
            </a:endParaRPr>
          </a:p>
        </xdr:txBody>
      </xdr:sp>
      <xdr:sp>
        <xdr:nvSpPr>
          <xdr:cNvPr id="38" name="TextBox 37"/>
          <xdr:cNvSpPr txBox="1"/>
        </xdr:nvSpPr>
        <xdr:spPr>
          <a:xfrm>
            <a:off x="4531179" y="2288721"/>
            <a:ext cx="857250" cy="228660"/>
          </a:xfrm>
          <a:prstGeom prst="rect">
            <a:avLst/>
          </a:prstGeom>
          <a:solidFill>
            <a:srgbClr val="FDAE6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latin typeface="+mn-lt"/>
                <a:ea typeface="Karla" pitchFamily="2" charset="0"/>
              </a:rPr>
              <a:t>Scores 26-50</a:t>
            </a:r>
            <a:endParaRPr lang="en-GB" sz="1100">
              <a:latin typeface="+mn-lt"/>
              <a:ea typeface="Karla" pitchFamily="2" charset="0"/>
            </a:endParaRPr>
          </a:p>
        </xdr:txBody>
      </xdr:sp>
      <xdr:sp>
        <xdr:nvSpPr>
          <xdr:cNvPr id="39" name="TextBox 38"/>
          <xdr:cNvSpPr txBox="1"/>
        </xdr:nvSpPr>
        <xdr:spPr>
          <a:xfrm>
            <a:off x="5388429" y="2289952"/>
            <a:ext cx="857250" cy="228660"/>
          </a:xfrm>
          <a:prstGeom prst="rect">
            <a:avLst/>
          </a:prstGeom>
          <a:solidFill>
            <a:srgbClr val="A6D9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latin typeface="+mn-lt"/>
                <a:ea typeface="Karla" pitchFamily="2" charset="0"/>
              </a:rPr>
              <a:t>Scores 51-75</a:t>
            </a:r>
            <a:endParaRPr lang="en-GB" sz="1100">
              <a:latin typeface="+mn-lt"/>
              <a:ea typeface="Karla" pitchFamily="2" charset="0"/>
            </a:endParaRPr>
          </a:p>
        </xdr:txBody>
      </xdr:sp>
    </xdr:grpSp>
    <xdr:clientData/>
  </xdr:twoCellAnchor>
  <xdr:twoCellAnchor>
    <xdr:from>
      <xdr:col>3</xdr:col>
      <xdr:colOff>10583</xdr:colOff>
      <xdr:row>7</xdr:row>
      <xdr:rowOff>19578</xdr:rowOff>
    </xdr:from>
    <xdr:to>
      <xdr:col>14</xdr:col>
      <xdr:colOff>10584</xdr:colOff>
      <xdr:row>10</xdr:row>
      <xdr:rowOff>31749</xdr:rowOff>
    </xdr:to>
    <xdr:graphicFrame>
      <xdr:nvGraphicFramePr>
        <xdr:cNvPr id="2" name="Chart 1"/>
        <xdr:cNvGraphicFramePr/>
      </xdr:nvGraphicFramePr>
      <xdr:xfrm>
        <a:off x="124460" y="2470785"/>
        <a:ext cx="5095875" cy="100266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187612</xdr:rowOff>
    </xdr:from>
    <xdr:to>
      <xdr:col>9</xdr:col>
      <xdr:colOff>476250</xdr:colOff>
      <xdr:row>11</xdr:row>
      <xdr:rowOff>187613</xdr:rowOff>
    </xdr:to>
    <xdr:grpSp>
      <xdr:nvGrpSpPr>
        <xdr:cNvPr id="69" name="colour_band_Ratio" hidden="1"/>
        <xdr:cNvGrpSpPr/>
      </xdr:nvGrpSpPr>
      <xdr:grpSpPr>
        <a:xfrm>
          <a:off x="114300" y="3629660"/>
          <a:ext cx="5076825" cy="217170"/>
          <a:chOff x="3673929" y="2288721"/>
          <a:chExt cx="3446154" cy="228600"/>
        </a:xfrm>
      </xdr:grpSpPr>
      <xdr:sp>
        <xdr:nvSpPr>
          <xdr:cNvPr id="70" name="TextBox 69" hidden="1"/>
          <xdr:cNvSpPr txBox="1"/>
        </xdr:nvSpPr>
        <xdr:spPr>
          <a:xfrm>
            <a:off x="3673929" y="2288721"/>
            <a:ext cx="1142830" cy="228600"/>
          </a:xfrm>
          <a:prstGeom prst="rect">
            <a:avLst/>
          </a:prstGeom>
          <a:solidFill>
            <a:srgbClr val="D7191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solidFill>
                  <a:schemeClr val="bg1"/>
                </a:solidFill>
                <a:latin typeface="+mn-lt"/>
                <a:ea typeface="Karla" pitchFamily="2" charset="0"/>
              </a:rPr>
              <a:t>Ratio &lt; 1</a:t>
            </a:r>
            <a:endParaRPr lang="en-GB" sz="1100">
              <a:solidFill>
                <a:schemeClr val="bg1"/>
              </a:solidFill>
              <a:latin typeface="+mn-lt"/>
              <a:ea typeface="Karla" pitchFamily="2" charset="0"/>
            </a:endParaRPr>
          </a:p>
        </xdr:txBody>
      </xdr:sp>
      <xdr:sp>
        <xdr:nvSpPr>
          <xdr:cNvPr id="71" name="TextBox 70" hidden="1"/>
          <xdr:cNvSpPr txBox="1"/>
        </xdr:nvSpPr>
        <xdr:spPr>
          <a:xfrm>
            <a:off x="5977253" y="2288721"/>
            <a:ext cx="1142830" cy="228600"/>
          </a:xfrm>
          <a:prstGeom prst="rect">
            <a:avLst/>
          </a:prstGeom>
          <a:solidFill>
            <a:srgbClr val="1A964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solidFill>
                  <a:schemeClr val="bg1"/>
                </a:solidFill>
                <a:latin typeface="+mn-lt"/>
                <a:ea typeface="Karla" pitchFamily="2" charset="0"/>
              </a:rPr>
              <a:t>Ratio &gt; 1</a:t>
            </a:r>
            <a:endParaRPr lang="en-GB" sz="1100">
              <a:solidFill>
                <a:schemeClr val="bg1"/>
              </a:solidFill>
              <a:latin typeface="+mn-lt"/>
              <a:ea typeface="Karla" pitchFamily="2" charset="0"/>
            </a:endParaRPr>
          </a:p>
        </xdr:txBody>
      </xdr:sp>
      <xdr:sp>
        <xdr:nvSpPr>
          <xdr:cNvPr id="72" name="TextBox 71" hidden="1"/>
          <xdr:cNvSpPr txBox="1"/>
        </xdr:nvSpPr>
        <xdr:spPr>
          <a:xfrm>
            <a:off x="4825591" y="2288721"/>
            <a:ext cx="1142830" cy="228600"/>
          </a:xfrm>
          <a:prstGeom prst="rect">
            <a:avLst/>
          </a:prstGeom>
          <a:solidFill>
            <a:srgbClr val="FDAE6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GB" sz="1100">
                <a:latin typeface="+mn-lt"/>
                <a:ea typeface="Karla" pitchFamily="2" charset="0"/>
              </a:rPr>
              <a:t>Ratio = 1</a:t>
            </a:r>
            <a:endParaRPr lang="en-GB" sz="1100">
              <a:latin typeface="+mn-lt"/>
              <a:ea typeface="Karla" pitchFamily="2" charset="0"/>
            </a:endParaRPr>
          </a:p>
        </xdr:txBody>
      </xdr:sp>
    </xdr:grpSp>
    <xdr:clientData/>
  </xdr:twoCellAnchor>
  <xdr:twoCellAnchor>
    <xdr:from>
      <xdr:col>16</xdr:col>
      <xdr:colOff>25929</xdr:colOff>
      <xdr:row>9</xdr:row>
      <xdr:rowOff>38099</xdr:rowOff>
    </xdr:from>
    <xdr:to>
      <xdr:col>18</xdr:col>
      <xdr:colOff>735013</xdr:colOff>
      <xdr:row>10</xdr:row>
      <xdr:rowOff>38099</xdr:rowOff>
    </xdr:to>
    <xdr:sp textlink="uxb_works!B84">
      <xdr:nvSpPr>
        <xdr:cNvPr id="73" name="TextBox 72"/>
        <xdr:cNvSpPr txBox="1">
          <a:spLocks noChangeArrowheads="1"/>
        </xdr:cNvSpPr>
      </xdr:nvSpPr>
      <xdr:spPr>
        <a:xfrm>
          <a:off x="5568950" y="2841625"/>
          <a:ext cx="3261995" cy="638175"/>
        </a:xfrm>
        <a:prstGeom prst="rect">
          <a:avLst/>
        </a:prstGeom>
        <a:solidFill>
          <a:srgbClr val="FFFFFF"/>
        </a:solidFill>
        <a:ln w="9525">
          <a:solidFill>
            <a:srgbClr val="BCBCBC"/>
          </a:solidFill>
          <a:miter lim="800000"/>
        </a:ln>
      </xdr:spPr>
      <xdr:txBody>
        <a:bodyPr vertOverflow="clip" wrap="square" lIns="144000" tIns="144000" rIns="144000" bIns="180000" anchor="ctr" upright="1"/>
        <a:lstStyle/>
        <a:p>
          <a:pPr marL="0" algn="l"/>
          <a:fld id="{7C1155CB-8950-4418-95FB-E273C1795813}" type="TxLink">
            <a:rPr lang="en-US" sz="800" b="0" i="0" u="none" strike="noStrike">
              <a:solidFill>
                <a:srgbClr val="3B6E8F"/>
              </a:solidFill>
              <a:effectLst/>
              <a:latin typeface="Calibri" panose="020F0502020204030204"/>
              <a:ea typeface="+mn-ea"/>
              <a:cs typeface="Calibri" panose="020F0502020204030204"/>
            </a:rPr>
          </a:fld>
          <a:endParaRPr lang="en-GB" sz="1100">
            <a:effectLst/>
            <a:latin typeface="+mn-lt"/>
            <a:ea typeface="+mn-ea"/>
            <a:cs typeface="+mn-cs"/>
          </a:endParaRPr>
        </a:p>
      </xdr:txBody>
    </xdr:sp>
    <xdr:clientData/>
  </xdr:twoCellAnchor>
  <xdr:twoCellAnchor editAs="absolute">
    <xdr:from>
      <xdr:col>5</xdr:col>
      <xdr:colOff>1057275</xdr:colOff>
      <xdr:row>2</xdr:row>
      <xdr:rowOff>412832</xdr:rowOff>
    </xdr:from>
    <xdr:to>
      <xdr:col>8</xdr:col>
      <xdr:colOff>607754</xdr:colOff>
      <xdr:row>2</xdr:row>
      <xdr:rowOff>828675</xdr:rowOff>
    </xdr:to>
    <xdr:grpSp>
      <xdr:nvGrpSpPr>
        <xdr:cNvPr id="3" name="CompareYear" hidden="1"/>
        <xdr:cNvGrpSpPr/>
      </xdr:nvGrpSpPr>
      <xdr:grpSpPr>
        <a:xfrm>
          <a:off x="1628775" y="1151890"/>
          <a:ext cx="1712595" cy="415925"/>
          <a:chOff x="1640689" y="1127207"/>
          <a:chExt cx="1717409" cy="415843"/>
        </a:xfrm>
      </xdr:grpSpPr>
      <mc:AlternateContent xmlns:mc="http://schemas.openxmlformats.org/markup-compatibility/2006">
        <mc:Choice xmlns:a14="http://schemas.microsoft.com/office/drawing/2010/main" Requires="a14">
          <xdr:sp>
            <xdr:nvSpPr>
              <xdr:cNvPr id="13294609" name="Drop Down 17" hidden="1">
                <a:extLst>
                  <a:ext uri="{63B3BB69-23CF-44E3-9099-C40C66FF867C}">
                    <a14:compatExt spid="_x0000_s13294609"/>
                  </a:ext>
                </a:extLst>
              </xdr:cNvPr>
              <xdr:cNvSpPr/>
            </xdr:nvSpPr>
            <xdr:spPr>
              <a:xfrm>
                <a:off x="1640689" y="1333500"/>
                <a:ext cx="1671641" cy="209550"/>
              </a:xfrm>
              <a:prstGeom prst="rect">
                <a:avLst/>
              </a:prstGeom>
            </xdr:spPr>
          </xdr:sp>
        </mc:Choice>
        <mc:Fallback/>
      </mc:AlternateContent>
      <xdr:sp>
        <xdr:nvSpPr>
          <xdr:cNvPr id="68" name="lbl_cnt_City_1" hidden="1"/>
          <xdr:cNvSpPr txBox="1"/>
        </xdr:nvSpPr>
        <xdr:spPr>
          <a:xfrm>
            <a:off x="1666081" y="1127207"/>
            <a:ext cx="1692017" cy="220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baseline="0">
                <a:solidFill>
                  <a:sysClr val="windowText" lastClr="000000"/>
                </a:solidFill>
                <a:latin typeface="+mn-lt"/>
                <a:ea typeface="Karla" pitchFamily="2" charset="0"/>
              </a:rPr>
              <a:t>COMPARE WITH YEAR</a:t>
            </a:r>
            <a:endParaRPr lang="en-GB" sz="1000" b="1">
              <a:solidFill>
                <a:sysClr val="windowText" lastClr="000000"/>
              </a:solidFill>
              <a:latin typeface="+mn-lt"/>
              <a:ea typeface="Karla" pitchFamily="2" charset="0"/>
            </a:endParaRPr>
          </a:p>
        </xdr:txBody>
      </xdr:sp>
    </xdr:grpSp>
    <xdr:clientData fPrintsWithSheet="0"/>
  </xdr:twoCellAnchor>
  <xdr:twoCellAnchor editAs="oneCell">
    <xdr:from>
      <xdr:col>7</xdr:col>
      <xdr:colOff>642931</xdr:colOff>
      <xdr:row>12</xdr:row>
      <xdr:rowOff>52919</xdr:rowOff>
    </xdr:from>
    <xdr:to>
      <xdr:col>9</xdr:col>
      <xdr:colOff>461687</xdr:colOff>
      <xdr:row>13</xdr:row>
      <xdr:rowOff>147054</xdr:rowOff>
    </xdr:to>
    <xdr:sp>
      <xdr:nvSpPr>
        <xdr:cNvPr id="76" name="TextBox 75"/>
        <xdr:cNvSpPr txBox="1">
          <a:spLocks noChangeArrowheads="1"/>
        </xdr:cNvSpPr>
      </xdr:nvSpPr>
      <xdr:spPr>
        <a:xfrm>
          <a:off x="2614295" y="3929380"/>
          <a:ext cx="2562225" cy="311150"/>
        </a:xfrm>
        <a:prstGeom prst="rect">
          <a:avLst/>
        </a:prstGeom>
        <a:solidFill>
          <a:srgbClr val="FFFFFF"/>
        </a:solidFill>
        <a:ln w="9525">
          <a:solidFill>
            <a:srgbClr val="BCBCBC"/>
          </a:solidFill>
          <a:miter lim="800000"/>
        </a:ln>
      </xdr:spPr>
      <xdr:txBody>
        <a:bodyPr vertOverflow="clip" wrap="square" lIns="144000" tIns="144000" rIns="144000" bIns="180000" anchor="ctr" upright="1"/>
        <a:lstStyle/>
        <a:p>
          <a:pPr marL="0" algn="l"/>
          <a:r>
            <a:rPr lang="en-GB" sz="1100">
              <a:effectLst/>
              <a:latin typeface="+mn-lt"/>
              <a:ea typeface="+mn-ea"/>
              <a:cs typeface="+mn-cs"/>
            </a:rPr>
            <a:t>* Cities with no comparable data</a:t>
          </a:r>
          <a:endParaRPr lang="en-GB" sz="1100">
            <a:effectLst/>
            <a:latin typeface="+mn-lt"/>
            <a:ea typeface="+mn-ea"/>
            <a:cs typeface="+mn-cs"/>
          </a:endParaRPr>
        </a:p>
      </xdr:txBody>
    </xdr:sp>
    <xdr:clientData/>
  </xdr:twoCellAnchor>
  <xdr:twoCellAnchor editAs="oneCell">
    <xdr:from>
      <xdr:col>7</xdr:col>
      <xdr:colOff>702464</xdr:colOff>
      <xdr:row>76</xdr:row>
      <xdr:rowOff>142879</xdr:rowOff>
    </xdr:from>
    <xdr:to>
      <xdr:col>10</xdr:col>
      <xdr:colOff>0</xdr:colOff>
      <xdr:row>78</xdr:row>
      <xdr:rowOff>67681</xdr:rowOff>
    </xdr:to>
    <xdr:sp>
      <xdr:nvSpPr>
        <xdr:cNvPr id="67" name="TextBox 66"/>
        <xdr:cNvSpPr txBox="1">
          <a:spLocks noChangeArrowheads="1"/>
        </xdr:cNvSpPr>
      </xdr:nvSpPr>
      <xdr:spPr>
        <a:xfrm>
          <a:off x="2673985" y="16283940"/>
          <a:ext cx="2536190" cy="305435"/>
        </a:xfrm>
        <a:prstGeom prst="rect">
          <a:avLst/>
        </a:prstGeom>
        <a:solidFill>
          <a:srgbClr val="FFFFFF"/>
        </a:solidFill>
        <a:ln w="9525">
          <a:solidFill>
            <a:srgbClr val="BCBCBC"/>
          </a:solidFill>
          <a:miter lim="800000"/>
        </a:ln>
      </xdr:spPr>
      <xdr:txBody>
        <a:bodyPr vertOverflow="clip" wrap="square" lIns="144000" tIns="144000" rIns="144000" bIns="180000" anchor="ctr" upright="1"/>
        <a:lstStyle/>
        <a:p>
          <a:pPr marL="0" algn="l"/>
          <a:r>
            <a:rPr lang="en-GB" sz="1100">
              <a:effectLst/>
              <a:latin typeface="+mn-lt"/>
              <a:ea typeface="+mn-ea"/>
              <a:cs typeface="+mn-cs"/>
            </a:rPr>
            <a:t>* Cities with no comparable data</a:t>
          </a:r>
          <a:endParaRPr lang="en-GB" sz="1100">
            <a:effectLst/>
            <a:latin typeface="+mn-lt"/>
            <a:ea typeface="+mn-ea"/>
            <a:cs typeface="+mn-cs"/>
          </a:endParaRPr>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95250</xdr:colOff>
      <xdr:row>6</xdr:row>
      <xdr:rowOff>31750</xdr:rowOff>
    </xdr:from>
    <xdr:to>
      <xdr:col>18</xdr:col>
      <xdr:colOff>631031</xdr:colOff>
      <xdr:row>31</xdr:row>
      <xdr:rowOff>66985</xdr:rowOff>
    </xdr:to>
    <xdr:graphicFrame>
      <xdr:nvGraphicFramePr>
        <xdr:cNvPr id="2" name="Chart_1"/>
        <xdr:cNvGraphicFramePr/>
      </xdr:nvGraphicFramePr>
      <xdr:xfrm>
        <a:off x="95250" y="2673985"/>
        <a:ext cx="11860530" cy="51403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126997</xdr:colOff>
      <xdr:row>4</xdr:row>
      <xdr:rowOff>63500</xdr:rowOff>
    </xdr:from>
    <xdr:to>
      <xdr:col>18</xdr:col>
      <xdr:colOff>84667</xdr:colOff>
      <xdr:row>41</xdr:row>
      <xdr:rowOff>46564</xdr:rowOff>
    </xdr:to>
    <xdr:sp>
      <xdr:nvSpPr>
        <xdr:cNvPr id="3" name="BGBLANK" hidden="1"/>
        <xdr:cNvSpPr/>
      </xdr:nvSpPr>
      <xdr:spPr>
        <a:xfrm>
          <a:off x="114300" y="1753235"/>
          <a:ext cx="11295380" cy="79838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endParaRPr lang="en-GB" sz="1800">
            <a:solidFill>
              <a:sysClr val="windowText" lastClr="000000"/>
            </a:solidFill>
          </a:endParaRPr>
        </a:p>
        <a:p>
          <a:pPr fontAlgn="base"/>
          <a:r>
            <a:rPr lang="en-GB" sz="2000">
              <a:solidFill>
                <a:schemeClr val="tx1">
                  <a:lumMod val="50000"/>
                  <a:lumOff val="50000"/>
                </a:schemeClr>
              </a:solidFill>
              <a:latin typeface="+mn-lt"/>
              <a:ea typeface="+mn-ea"/>
              <a:cs typeface="+mn-cs"/>
            </a:rPr>
            <a:t>An overall score for background indicators is not calculated</a:t>
          </a:r>
          <a:endParaRPr lang="en-GB" sz="2000" baseline="0">
            <a:solidFill>
              <a:schemeClr val="tx1">
                <a:lumMod val="50000"/>
                <a:lumOff val="50000"/>
              </a:schemeClr>
            </a:solidFill>
            <a:latin typeface="+mn-lt"/>
            <a:ea typeface="+mn-ea"/>
            <a:cs typeface="+mn-cs"/>
          </a:endParaRPr>
        </a:p>
        <a:p>
          <a:endParaRPr lang="en-GB" sz="1200">
            <a:solidFill>
              <a:schemeClr val="tx1">
                <a:lumMod val="50000"/>
                <a:lumOff val="50000"/>
              </a:schemeClr>
            </a:solidFill>
            <a:latin typeface="+mn-lt"/>
            <a:ea typeface="+mn-ea"/>
            <a:cs typeface="+mn-cs"/>
          </a:endParaRPr>
        </a:p>
        <a:p>
          <a:r>
            <a:rPr lang="en-GB" sz="1200">
              <a:solidFill>
                <a:schemeClr val="tx1">
                  <a:lumMod val="50000"/>
                  <a:lumOff val="50000"/>
                </a:schemeClr>
              </a:solidFill>
              <a:latin typeface="+mn-lt"/>
              <a:ea typeface="+mn-ea"/>
              <a:cs typeface="+mn-cs"/>
            </a:rPr>
            <a:t>Please select a specific background indicator to see country rankings.</a:t>
          </a:r>
          <a:endParaRPr lang="en-GB" sz="2000">
            <a:solidFill>
              <a:schemeClr val="tx1">
                <a:lumMod val="50000"/>
                <a:lumOff val="50000"/>
              </a:schemeClr>
            </a:solidFill>
          </a:endParaRPr>
        </a:p>
        <a:p>
          <a:pPr algn="l"/>
          <a:endParaRPr lang="en-GB" sz="1200">
            <a:solidFill>
              <a:schemeClr val="bg1">
                <a:lumMod val="50000"/>
              </a:schemeClr>
            </a:solidFill>
          </a:endParaRPr>
        </a:p>
      </xdr:txBody>
    </xdr:sp>
    <xdr:clientData/>
  </xdr:twoCellAnchor>
  <xdr:twoCellAnchor>
    <xdr:from>
      <xdr:col>7</xdr:col>
      <xdr:colOff>145988</xdr:colOff>
      <xdr:row>30</xdr:row>
      <xdr:rowOff>135915</xdr:rowOff>
    </xdr:from>
    <xdr:to>
      <xdr:col>18</xdr:col>
      <xdr:colOff>91920</xdr:colOff>
      <xdr:row>34</xdr:row>
      <xdr:rowOff>16637</xdr:rowOff>
    </xdr:to>
    <xdr:sp>
      <xdr:nvSpPr>
        <xdr:cNvPr id="18" name="Text Box 54"/>
        <xdr:cNvSpPr txBox="1">
          <a:spLocks noChangeArrowheads="1"/>
        </xdr:cNvSpPr>
      </xdr:nvSpPr>
      <xdr:spPr>
        <a:xfrm>
          <a:off x="5488940" y="7673975"/>
          <a:ext cx="5927725" cy="699770"/>
        </a:xfrm>
        <a:prstGeom prst="rect">
          <a:avLst/>
        </a:prstGeom>
        <a:solidFill>
          <a:schemeClr val="accent6">
            <a:lumMod val="40000"/>
            <a:lumOff val="60000"/>
          </a:schemeClr>
        </a:solidFill>
        <a:ln w="9525">
          <a:noFill/>
          <a:miter lim="800000"/>
        </a:ln>
      </xdr:spPr>
      <xdr:txBody>
        <a:bodyPr vertOverflow="clip" wrap="square" lIns="27432" tIns="22860" rIns="0" bIns="0" anchor="t" upright="1"/>
        <a:lstStyle/>
        <a:p>
          <a:pPr marL="36195" algn="l" rtl="0">
            <a:spcBef>
              <a:spcPts val="0"/>
            </a:spcBef>
            <a:defRPr sz="1000"/>
          </a:pPr>
          <a:r>
            <a:rPr lang="en-US" sz="1050" b="0" i="1" u="none" strike="noStrike" baseline="0">
              <a:solidFill>
                <a:srgbClr val="000000"/>
              </a:solidFill>
              <a:latin typeface="Calibri" panose="020F0502020204030204"/>
            </a:rPr>
            <a:t>The scatter chart shows data for two series simultaneously (one series plotted on X and Y axis). Correlation(X,Y) shows the linear correlation coefficient of the two series, where -1=perfect negative correlation, 0=no correlation and 1=perfect positive correlation.  This is calculated using a correlation equation (see right for the equation).</a:t>
          </a:r>
          <a:endParaRPr lang="en-US" sz="1050" b="0" i="1" u="none" strike="noStrike" baseline="0">
            <a:solidFill>
              <a:srgbClr val="000000"/>
            </a:solidFill>
            <a:latin typeface="Calibri" panose="020F0502020204030204"/>
          </a:endParaRPr>
        </a:p>
      </xdr:txBody>
    </xdr:sp>
    <xdr:clientData/>
  </xdr:twoCellAnchor>
  <xdr:twoCellAnchor>
    <xdr:from>
      <xdr:col>19</xdr:col>
      <xdr:colOff>232534</xdr:colOff>
      <xdr:row>31</xdr:row>
      <xdr:rowOff>34662</xdr:rowOff>
    </xdr:from>
    <xdr:to>
      <xdr:col>24</xdr:col>
      <xdr:colOff>541019</xdr:colOff>
      <xdr:row>33</xdr:row>
      <xdr:rowOff>151673</xdr:rowOff>
    </xdr:to>
    <xdr:pic>
      <xdr:nvPicPr>
        <xdr:cNvPr id="19" name="Picture 55" descr="ZA006051129"/>
        <xdr:cNvPicPr>
          <a:picLocks noChangeAspect="1"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12338685" y="7781925"/>
          <a:ext cx="2070100" cy="53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456033</xdr:colOff>
      <xdr:row>26</xdr:row>
      <xdr:rowOff>108624</xdr:rowOff>
    </xdr:from>
    <xdr:to>
      <xdr:col>24</xdr:col>
      <xdr:colOff>560659</xdr:colOff>
      <xdr:row>30</xdr:row>
      <xdr:rowOff>21405</xdr:rowOff>
    </xdr:to>
    <xdr:sp>
      <xdr:nvSpPr>
        <xdr:cNvPr id="33" name="TextBox 32"/>
        <xdr:cNvSpPr txBox="1"/>
      </xdr:nvSpPr>
      <xdr:spPr>
        <a:xfrm>
          <a:off x="12562205" y="6808470"/>
          <a:ext cx="1866265" cy="750570"/>
        </a:xfrm>
        <a:prstGeom prst="rect">
          <a:avLst/>
        </a:prstGeom>
        <a:solidFill>
          <a:sysClr val="window" lastClr="FFFFFF"/>
        </a:solidFill>
        <a:ln w="9525" cmpd="sng">
          <a:solidFill>
            <a:srgbClr val="0F8EC7"/>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1100" b="1" i="0" u="none" strike="noStrike">
              <a:solidFill>
                <a:schemeClr val="dk1"/>
              </a:solidFill>
              <a:latin typeface="+mn-lt"/>
              <a:ea typeface="+mn-ea"/>
              <a:cs typeface="+mn-cs"/>
            </a:rPr>
            <a:t>CORRELATION(X,Y)</a:t>
          </a:r>
          <a:r>
            <a:rPr lang="en-GB" sz="1100" b="0" i="0" u="none" strike="noStrike">
              <a:solidFill>
                <a:schemeClr val="dk1"/>
              </a:solidFill>
              <a:latin typeface="+mn-lt"/>
              <a:ea typeface="+mn-ea"/>
              <a:cs typeface="+mn-cs"/>
            </a:rPr>
            <a:t>: </a:t>
          </a:r>
          <a:r>
            <a:rPr lang="en-GB" sz="1100">
              <a:solidFill>
                <a:schemeClr val="dk1"/>
              </a:solidFill>
              <a:latin typeface="+mn-lt"/>
              <a:ea typeface="+mn-ea"/>
              <a:cs typeface="+mn-cs"/>
            </a:rPr>
            <a:t>Remember, correlation does not prove causation</a:t>
          </a:r>
          <a:r>
            <a:rPr lang="en-GB" sz="1100"/>
            <a:t>. </a:t>
          </a:r>
          <a:endParaRPr lang="en-GB" sz="1100"/>
        </a:p>
      </xdr:txBody>
    </xdr:sp>
    <xdr:clientData/>
  </xdr:twoCellAnchor>
  <xdr:twoCellAnchor editAs="absolute">
    <xdr:from>
      <xdr:col>18</xdr:col>
      <xdr:colOff>602515</xdr:colOff>
      <xdr:row>4</xdr:row>
      <xdr:rowOff>474054</xdr:rowOff>
    </xdr:from>
    <xdr:to>
      <xdr:col>25</xdr:col>
      <xdr:colOff>248969</xdr:colOff>
      <xdr:row>23</xdr:row>
      <xdr:rowOff>341</xdr:rowOff>
    </xdr:to>
    <xdr:grpSp>
      <xdr:nvGrpSpPr>
        <xdr:cNvPr id="4" name="SELECTION"/>
        <xdr:cNvGrpSpPr/>
      </xdr:nvGrpSpPr>
      <xdr:grpSpPr>
        <a:xfrm>
          <a:off x="11927205" y="2163445"/>
          <a:ext cx="2761615" cy="3907790"/>
          <a:chOff x="11927740" y="2139287"/>
          <a:chExt cx="2761140" cy="3902349"/>
        </a:xfrm>
      </xdr:grpSpPr>
      <xdr:sp>
        <xdr:nvSpPr>
          <xdr:cNvPr id="23" name="lbl_cnt_City_1"/>
          <xdr:cNvSpPr txBox="1"/>
        </xdr:nvSpPr>
        <xdr:spPr>
          <a:xfrm>
            <a:off x="13020130" y="2620527"/>
            <a:ext cx="1384032" cy="218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CITY </a:t>
            </a:r>
            <a:r>
              <a:rPr lang="en-GB" sz="1100" b="1" baseline="0">
                <a:solidFill>
                  <a:sysClr val="windowText" lastClr="000000"/>
                </a:solidFill>
              </a:rPr>
              <a:t>HIGHLIGHT</a:t>
            </a:r>
            <a:endParaRPr lang="en-GB" sz="1100" b="1">
              <a:solidFill>
                <a:sysClr val="windowText" lastClr="000000"/>
              </a:solidFill>
            </a:endParaRPr>
          </a:p>
        </xdr:txBody>
      </xdr:sp>
      <xdr:sp>
        <xdr:nvSpPr>
          <xdr:cNvPr id="24" name="lbl_cnt_City_1"/>
          <xdr:cNvSpPr txBox="1"/>
        </xdr:nvSpPr>
        <xdr:spPr>
          <a:xfrm>
            <a:off x="13008532" y="3158660"/>
            <a:ext cx="1386140" cy="235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GROUP </a:t>
            </a:r>
            <a:r>
              <a:rPr lang="en-GB" sz="1100" b="1" baseline="0">
                <a:solidFill>
                  <a:sysClr val="windowText" lastClr="000000"/>
                </a:solidFill>
              </a:rPr>
              <a:t>HIGHLIGHT</a:t>
            </a:r>
            <a:endParaRPr lang="en-GB" sz="1100" b="1">
              <a:solidFill>
                <a:sysClr val="windowText" lastClr="000000"/>
              </a:solidFill>
            </a:endParaRPr>
          </a:p>
        </xdr:txBody>
      </xdr:sp>
      <xdr:sp>
        <xdr:nvSpPr>
          <xdr:cNvPr id="25" name="lbl_cnt_City_1"/>
          <xdr:cNvSpPr txBox="1"/>
        </xdr:nvSpPr>
        <xdr:spPr>
          <a:xfrm>
            <a:off x="13458450" y="5134977"/>
            <a:ext cx="921052" cy="254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LABELS</a:t>
            </a:r>
            <a:endParaRPr lang="en-GB" sz="1100" b="1">
              <a:solidFill>
                <a:sysClr val="windowText" lastClr="000000"/>
              </a:solidFill>
            </a:endParaRPr>
          </a:p>
        </xdr:txBody>
      </xdr:sp>
      <xdr:sp>
        <xdr:nvSpPr>
          <xdr:cNvPr id="26" name="lbl_cnt_City_1"/>
          <xdr:cNvSpPr txBox="1"/>
        </xdr:nvSpPr>
        <xdr:spPr>
          <a:xfrm>
            <a:off x="13716133" y="5623795"/>
            <a:ext cx="671855" cy="223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OUTLIERS</a:t>
            </a:r>
            <a:endParaRPr lang="en-GB" sz="1100" b="1">
              <a:solidFill>
                <a:sysClr val="windowText" lastClr="000000"/>
              </a:solidFill>
            </a:endParaRPr>
          </a:p>
        </xdr:txBody>
      </xdr:sp>
      <xdr:pic macro="[0]!CntCHLUp">
        <xdr:nvPicPr>
          <xdr:cNvPr id="30" name="cnt_series_up2" descr="scroll_up_small.png"/>
          <xdr:cNvPicPr>
            <a:picLocks noChangeAspect="1"/>
          </xdr:cNvPicPr>
        </xdr:nvPicPr>
        <xdr:blipFill>
          <a:blip r:embed="rId3" cstate="print"/>
          <a:stretch>
            <a:fillRect/>
          </a:stretch>
        </xdr:blipFill>
        <xdr:spPr>
          <a:xfrm>
            <a:off x="14146796" y="2837679"/>
            <a:ext cx="289604" cy="114783"/>
          </a:xfrm>
          <a:prstGeom prst="rect">
            <a:avLst/>
          </a:prstGeom>
        </xdr:spPr>
      </xdr:pic>
      <xdr:pic macro="[0]!CntCHLDown">
        <xdr:nvPicPr>
          <xdr:cNvPr id="31" name="cnt_series_down2" descr="scroll_down_small.png"/>
          <xdr:cNvPicPr>
            <a:picLocks noChangeAspect="1"/>
          </xdr:cNvPicPr>
        </xdr:nvPicPr>
        <xdr:blipFill>
          <a:blip r:embed="rId4" cstate="print"/>
          <a:stretch>
            <a:fillRect/>
          </a:stretch>
        </xdr:blipFill>
        <xdr:spPr>
          <a:xfrm>
            <a:off x="14146796" y="2950577"/>
            <a:ext cx="289524" cy="94674"/>
          </a:xfrm>
          <a:prstGeom prst="rect">
            <a:avLst/>
          </a:prstGeom>
        </xdr:spPr>
      </xdr:pic>
      <xdr:sp>
        <xdr:nvSpPr>
          <xdr:cNvPr id="32" name="lbl_cnt_City_1"/>
          <xdr:cNvSpPr txBox="1"/>
        </xdr:nvSpPr>
        <xdr:spPr>
          <a:xfrm>
            <a:off x="12999530" y="3637911"/>
            <a:ext cx="1385092" cy="228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REGION </a:t>
            </a:r>
            <a:r>
              <a:rPr lang="en-GB" sz="1100" b="1" baseline="0">
                <a:solidFill>
                  <a:sysClr val="windowText" lastClr="000000"/>
                </a:solidFill>
              </a:rPr>
              <a:t>FILTER</a:t>
            </a:r>
            <a:endParaRPr lang="en-GB" sz="1100" b="1">
              <a:solidFill>
                <a:sysClr val="windowText" lastClr="000000"/>
              </a:solidFill>
            </a:endParaRPr>
          </a:p>
        </xdr:txBody>
      </xdr:sp>
      <mc:AlternateContent xmlns:mc="http://schemas.openxmlformats.org/markup-compatibility/2006">
        <mc:Choice xmlns:a14="http://schemas.microsoft.com/office/drawing/2010/main" Requires="a14">
          <xdr:sp macro="[0]!CityUpdateHL">
            <xdr:nvSpPr>
              <xdr:cNvPr id="13333507" name="Drop Down 3" hidden="1">
                <a:extLst>
                  <a:ext uri="{63B3BB69-23CF-44E3-9099-C40C66FF867C}">
                    <a14:compatExt spid="_x0000_s13333507"/>
                  </a:ext>
                </a:extLst>
              </xdr:cNvPr>
              <xdr:cNvSpPr/>
            </xdr:nvSpPr>
            <xdr:spPr>
              <a:xfrm>
                <a:off x="13021172" y="2841082"/>
                <a:ext cx="1123062" cy="205084"/>
              </a:xfrm>
              <a:prstGeom prst="rect">
                <a:avLst/>
              </a:prstGeom>
            </xdr:spPr>
          </xdr:sp>
        </mc:Choice>
        <mc:Fallback/>
      </mc:AlternateContent>
      <mc:AlternateContent xmlns:mc="http://schemas.openxmlformats.org/markup-compatibility/2006">
        <mc:Choice xmlns:a14="http://schemas.microsoft.com/office/drawing/2010/main" Requires="a14">
          <xdr:sp>
            <xdr:nvSpPr>
              <xdr:cNvPr id="13333508" name="Drop Down 4" hidden="1">
                <a:extLst>
                  <a:ext uri="{63B3BB69-23CF-44E3-9099-C40C66FF867C}">
                    <a14:compatExt spid="_x0000_s13333508"/>
                  </a:ext>
                </a:extLst>
              </xdr:cNvPr>
              <xdr:cNvSpPr/>
            </xdr:nvSpPr>
            <xdr:spPr>
              <a:xfrm>
                <a:off x="11937143" y="3395224"/>
                <a:ext cx="2455882" cy="206805"/>
              </a:xfrm>
              <a:prstGeom prst="rect">
                <a:avLst/>
              </a:prstGeom>
            </xdr:spPr>
          </xdr:sp>
        </mc:Choice>
        <mc:Fallback/>
      </mc:AlternateContent>
      <mc:AlternateContent xmlns:mc="http://schemas.openxmlformats.org/markup-compatibility/2006">
        <mc:Choice xmlns:a14="http://schemas.microsoft.com/office/drawing/2010/main" Requires="a14">
          <xdr:sp>
            <xdr:nvSpPr>
              <xdr:cNvPr id="13333510" name="Check Box 6" hidden="1">
                <a:extLst>
                  <a:ext uri="{63B3BB69-23CF-44E3-9099-C40C66FF867C}">
                    <a14:compatExt spid="_x0000_s13333510"/>
                  </a:ext>
                </a:extLst>
              </xdr:cNvPr>
              <xdr:cNvSpPr/>
            </xdr:nvSpPr>
            <xdr:spPr>
              <a:xfrm>
                <a:off x="13247522" y="5340918"/>
                <a:ext cx="1441358" cy="239783"/>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panose="020B0604030504040204"/>
                    <a:ea typeface="Tahoma" panose="020B0604030504040204"/>
                    <a:cs typeface="Tahoma" panose="020B0604030504040204"/>
                  </a:rPr>
                  <a:t>Show country labels</a:t>
                </a:r>
                <a:endParaRPr lang="en-GB" sz="800" b="0" i="0" u="none" strike="noStrike" baseline="0">
                  <a:solidFill>
                    <a:srgbClr val="000000"/>
                  </a:solidFill>
                  <a:latin typeface="Tahoma" panose="020B0604030504040204"/>
                  <a:ea typeface="Tahoma" panose="020B0604030504040204"/>
                  <a:cs typeface="Tahoma" panose="020B0604030504040204"/>
                </a:endParaRPr>
              </a:p>
            </xdr:txBody>
          </xdr:sp>
        </mc:Choice>
        <mc:Fallback/>
      </mc:AlternateContent>
      <mc:AlternateContent xmlns:mc="http://schemas.openxmlformats.org/markup-compatibility/2006">
        <mc:Choice xmlns:a14="http://schemas.microsoft.com/office/drawing/2010/main" Requires="a14">
          <xdr:sp>
            <xdr:nvSpPr>
              <xdr:cNvPr id="13333511" name="Check Box 7" hidden="1">
                <a:extLst>
                  <a:ext uri="{63B3BB69-23CF-44E3-9099-C40C66FF867C}">
                    <a14:compatExt spid="_x0000_s13333511"/>
                  </a:ext>
                </a:extLst>
              </xdr:cNvPr>
              <xdr:cNvSpPr/>
            </xdr:nvSpPr>
            <xdr:spPr>
              <a:xfrm>
                <a:off x="13049464" y="5815836"/>
                <a:ext cx="1344688" cy="22580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panose="020B0604030504040204"/>
                    <a:ea typeface="Tahoma" panose="020B0604030504040204"/>
                    <a:cs typeface="Tahoma" panose="020B0604030504040204"/>
                  </a:rPr>
                  <a:t>Show outliers (blue dots)</a:t>
                </a:r>
                <a:endParaRPr lang="en-GB" sz="800" b="0" i="0" u="none" strike="noStrike" baseline="0">
                  <a:solidFill>
                    <a:srgbClr val="000000"/>
                  </a:solidFill>
                  <a:latin typeface="Tahoma" panose="020B0604030504040204"/>
                  <a:ea typeface="Tahoma" panose="020B0604030504040204"/>
                  <a:cs typeface="Tahoma" panose="020B0604030504040204"/>
                </a:endParaRPr>
              </a:p>
            </xdr:txBody>
          </xdr:sp>
        </mc:Choice>
        <mc:Fallback/>
      </mc:AlternateContent>
      <mc:AlternateContent xmlns:mc="http://schemas.openxmlformats.org/markup-compatibility/2006">
        <mc:Choice xmlns:a14="http://schemas.microsoft.com/office/drawing/2010/main" Requires="a14">
          <xdr:sp>
            <xdr:nvSpPr>
              <xdr:cNvPr id="13333512" name="Drop Down 8" hidden="1">
                <a:extLst>
                  <a:ext uri="{63B3BB69-23CF-44E3-9099-C40C66FF867C}">
                    <a14:compatExt spid="_x0000_s13333512"/>
                  </a:ext>
                </a:extLst>
              </xdr:cNvPr>
              <xdr:cNvSpPr/>
            </xdr:nvSpPr>
            <xdr:spPr>
              <a:xfrm>
                <a:off x="11927740" y="3865467"/>
                <a:ext cx="2455882" cy="206805"/>
              </a:xfrm>
              <a:prstGeom prst="rect">
                <a:avLst/>
              </a:prstGeom>
            </xdr:spPr>
          </xdr:sp>
        </mc:Choice>
        <mc:Fallback/>
      </mc:AlternateContent>
      <mc:AlternateContent xmlns:mc="http://schemas.openxmlformats.org/markup-compatibility/2006">
        <mc:Choice xmlns:a14="http://schemas.microsoft.com/office/drawing/2010/main" Requires="a14">
          <xdr:sp macro="[0]!CityAlignHL">
            <xdr:nvSpPr>
              <xdr:cNvPr id="13333513" name="Drop Down 9" hidden="1">
                <a:extLst>
                  <a:ext uri="{63B3BB69-23CF-44E3-9099-C40C66FF867C}">
                    <a14:compatExt spid="_x0000_s13333513"/>
                  </a:ext>
                </a:extLst>
              </xdr:cNvPr>
              <xdr:cNvSpPr/>
            </xdr:nvSpPr>
            <xdr:spPr>
              <a:xfrm>
                <a:off x="13021172" y="2357374"/>
                <a:ext cx="1382412" cy="201977"/>
              </a:xfrm>
              <a:prstGeom prst="rect">
                <a:avLst/>
              </a:prstGeom>
            </xdr:spPr>
          </xdr:sp>
        </mc:Choice>
        <mc:Fallback/>
      </mc:AlternateContent>
      <xdr:sp>
        <xdr:nvSpPr>
          <xdr:cNvPr id="46" name="lbl_cnt_City_1"/>
          <xdr:cNvSpPr txBox="1"/>
        </xdr:nvSpPr>
        <xdr:spPr>
          <a:xfrm>
            <a:off x="12988417" y="2139287"/>
            <a:ext cx="1407115" cy="21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000" b="1" baseline="0">
                <a:solidFill>
                  <a:sysClr val="windowText" lastClr="000000"/>
                </a:solidFill>
                <a:latin typeface="+mn-lt"/>
                <a:ea typeface="Karla" pitchFamily="2" charset="0"/>
              </a:rPr>
              <a:t>SELECT YEAR</a:t>
            </a:r>
            <a:endParaRPr lang="en-GB" sz="1000" b="1">
              <a:solidFill>
                <a:sysClr val="windowText" lastClr="000000"/>
              </a:solidFill>
              <a:latin typeface="+mn-lt"/>
              <a:ea typeface="Karla" pitchFamily="2" charset="0"/>
            </a:endParaRPr>
          </a:p>
        </xdr:txBody>
      </xdr:sp>
      <xdr:sp>
        <xdr:nvSpPr>
          <xdr:cNvPr id="47" name="lbl_cnt_City_1"/>
          <xdr:cNvSpPr txBox="1"/>
        </xdr:nvSpPr>
        <xdr:spPr>
          <a:xfrm>
            <a:off x="12999530" y="4107003"/>
            <a:ext cx="1385092" cy="228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INCOME LEVEL </a:t>
            </a:r>
            <a:r>
              <a:rPr lang="en-GB" sz="1100" b="1" baseline="0">
                <a:solidFill>
                  <a:sysClr val="windowText" lastClr="000000"/>
                </a:solidFill>
              </a:rPr>
              <a:t>FILTER</a:t>
            </a:r>
            <a:endParaRPr lang="en-GB" sz="1100" b="1">
              <a:solidFill>
                <a:sysClr val="windowText" lastClr="000000"/>
              </a:solidFill>
            </a:endParaRPr>
          </a:p>
        </xdr:txBody>
      </xdr:sp>
      <mc:AlternateContent xmlns:mc="http://schemas.openxmlformats.org/markup-compatibility/2006">
        <mc:Choice xmlns:a14="http://schemas.microsoft.com/office/drawing/2010/main" Requires="a14">
          <xdr:sp>
            <xdr:nvSpPr>
              <xdr:cNvPr id="13333514" name="Drop Down 10" hidden="1">
                <a:extLst>
                  <a:ext uri="{63B3BB69-23CF-44E3-9099-C40C66FF867C}">
                    <a14:compatExt spid="_x0000_s13333514"/>
                  </a:ext>
                </a:extLst>
              </xdr:cNvPr>
              <xdr:cNvSpPr/>
            </xdr:nvSpPr>
            <xdr:spPr>
              <a:xfrm>
                <a:off x="11927740" y="4335709"/>
                <a:ext cx="2455882" cy="206805"/>
              </a:xfrm>
              <a:prstGeom prst="rect">
                <a:avLst/>
              </a:prstGeom>
            </xdr:spPr>
          </xdr:sp>
        </mc:Choice>
        <mc:Fallback/>
      </mc:AlternateContent>
    </xdr:grpSp>
    <xdr:clientData fPrintsWithSheet="0"/>
  </xdr:twoCellAnchor>
  <xdr:twoCellAnchor editAs="absolute">
    <xdr:from>
      <xdr:col>19</xdr:col>
      <xdr:colOff>438898</xdr:colOff>
      <xdr:row>4</xdr:row>
      <xdr:rowOff>45833</xdr:rowOff>
    </xdr:from>
    <xdr:to>
      <xdr:col>24</xdr:col>
      <xdr:colOff>535183</xdr:colOff>
      <xdr:row>4</xdr:row>
      <xdr:rowOff>464290</xdr:rowOff>
    </xdr:to>
    <xdr:grpSp>
      <xdr:nvGrpSpPr>
        <xdr:cNvPr id="5" name="Weights_Select"/>
        <xdr:cNvGrpSpPr/>
      </xdr:nvGrpSpPr>
      <xdr:grpSpPr>
        <a:xfrm>
          <a:off x="12545060" y="1735455"/>
          <a:ext cx="1858010" cy="418465"/>
          <a:chOff x="12545146" y="1712708"/>
          <a:chExt cx="1858411" cy="416811"/>
        </a:xfrm>
      </xdr:grpSpPr>
      <xdr:sp>
        <xdr:nvSpPr>
          <xdr:cNvPr id="53" name="lbl_cnt_City_1"/>
          <xdr:cNvSpPr txBox="1"/>
        </xdr:nvSpPr>
        <xdr:spPr>
          <a:xfrm>
            <a:off x="13700965" y="1712708"/>
            <a:ext cx="697362" cy="222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000" b="1">
                <a:solidFill>
                  <a:sysClr val="windowText" lastClr="000000"/>
                </a:solidFill>
                <a:latin typeface="+mn-lt"/>
                <a:ea typeface="Karla" pitchFamily="2" charset="0"/>
              </a:rPr>
              <a:t>WEIGHTS</a:t>
            </a:r>
            <a:endParaRPr lang="en-GB" sz="1000" b="1">
              <a:solidFill>
                <a:sysClr val="windowText" lastClr="000000"/>
              </a:solidFill>
              <a:latin typeface="+mn-lt"/>
              <a:ea typeface="Karla" pitchFamily="2" charset="0"/>
            </a:endParaRPr>
          </a:p>
        </xdr:txBody>
      </xdr:sp>
      <mc:AlternateContent xmlns:mc="http://schemas.openxmlformats.org/markup-compatibility/2006">
        <mc:Choice xmlns:a14="http://schemas.microsoft.com/office/drawing/2010/main" Requires="a14">
          <xdr:sp macro="[0]!LoadWeights">
            <xdr:nvSpPr>
              <xdr:cNvPr id="13333515" name="Drop Down 11" hidden="1">
                <a:extLst>
                  <a:ext uri="{63B3BB69-23CF-44E3-9099-C40C66FF867C}">
                    <a14:compatExt spid="_x0000_s13333515"/>
                  </a:ext>
                </a:extLst>
              </xdr:cNvPr>
              <xdr:cNvSpPr/>
            </xdr:nvSpPr>
            <xdr:spPr>
              <a:xfrm>
                <a:off x="12545146" y="1933757"/>
                <a:ext cx="1858411" cy="195762"/>
              </a:xfrm>
              <a:prstGeom prst="rect">
                <a:avLst/>
              </a:prstGeom>
            </xdr:spPr>
          </xdr:sp>
        </mc:Choice>
        <mc:Fallback/>
      </mc:AlternateContent>
    </xdr:grpSp>
    <xdr:clientData fPrintsWithSheet="0"/>
  </xdr:twoCellAnchor>
  <xdr:twoCellAnchor editAs="absolute">
    <xdr:from>
      <xdr:col>0</xdr:col>
      <xdr:colOff>0</xdr:colOff>
      <xdr:row>0</xdr:row>
      <xdr:rowOff>0</xdr:rowOff>
    </xdr:from>
    <xdr:to>
      <xdr:col>24</xdr:col>
      <xdr:colOff>515480</xdr:colOff>
      <xdr:row>30</xdr:row>
      <xdr:rowOff>165814</xdr:rowOff>
    </xdr:to>
    <xdr:grpSp>
      <xdr:nvGrpSpPr>
        <xdr:cNvPr id="7" name="MENU"/>
        <xdr:cNvGrpSpPr/>
      </xdr:nvGrpSpPr>
      <xdr:grpSpPr>
        <a:xfrm>
          <a:off x="0" y="0"/>
          <a:ext cx="14383385" cy="7703820"/>
          <a:chOff x="0" y="0"/>
          <a:chExt cx="14383880" cy="7679397"/>
        </a:xfrm>
      </xdr:grpSpPr>
      <xdr:grpSp>
        <xdr:nvGrpSpPr>
          <xdr:cNvPr id="57" name="MENU_B"/>
          <xdr:cNvGrpSpPr/>
        </xdr:nvGrpSpPr>
        <xdr:grpSpPr>
          <a:xfrm>
            <a:off x="318" y="0"/>
            <a:ext cx="14373211" cy="1634938"/>
            <a:chOff x="323" y="1"/>
            <a:chExt cx="14438120" cy="1612107"/>
          </a:xfrm>
        </xdr:grpSpPr>
        <xdr:grpSp>
          <xdr:nvGrpSpPr>
            <xdr:cNvPr id="62" name="MENU_BASE"/>
            <xdr:cNvGrpSpPr/>
          </xdr:nvGrpSpPr>
          <xdr:grpSpPr>
            <a:xfrm>
              <a:off x="323" y="1"/>
              <a:ext cx="14438120" cy="1600396"/>
              <a:chOff x="322" y="1"/>
              <a:chExt cx="14413782" cy="1596210"/>
            </a:xfrm>
          </xdr:grpSpPr>
          <xdr:sp>
            <xdr:nvSpPr>
              <xdr:cNvPr id="64" name="nav_controls"/>
              <xdr:cNvSpPr/>
            </xdr:nvSpPr>
            <xdr:spPr>
              <a:xfrm>
                <a:off x="322" y="350996"/>
                <a:ext cx="14413782" cy="1245215"/>
              </a:xfrm>
              <a:prstGeom prst="rect">
                <a:avLst/>
              </a:prstGeom>
              <a:solidFill>
                <a:schemeClr val="bg1">
                  <a:lumMod val="95000"/>
                </a:schemeClr>
              </a:solidFill>
              <a:ln w="127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chemeClr val="tx2">
                      <a:lumMod val="75000"/>
                    </a:schemeClr>
                  </a:solidFill>
                  <a:latin typeface="+mn-lt"/>
                  <a:ea typeface="Karla" pitchFamily="2" charset="0"/>
                </a:endParaRPr>
              </a:p>
            </xdr:txBody>
          </xdr:sp>
          <xdr:sp>
            <xdr:nvSpPr>
              <xdr:cNvPr id="65" name="Home1"/>
              <xdr:cNvSpPr/>
            </xdr:nvSpPr>
            <xdr:spPr>
              <a:xfrm>
                <a:off x="1151" y="1"/>
                <a:ext cx="867228" cy="364908"/>
              </a:xfrm>
              <a:prstGeom prst="rect">
                <a:avLst/>
              </a:prstGeom>
              <a:solidFill>
                <a:schemeClr val="bg1"/>
              </a:solidFill>
              <a:ln w="6350">
                <a:solidFill>
                  <a:schemeClr val="accent6">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chemeClr val="accent1">
                      <a:lumMod val="75000"/>
                    </a:schemeClr>
                  </a:solidFill>
                  <a:latin typeface="+mn-lt"/>
                  <a:ea typeface="Karla" pitchFamily="2" charset="0"/>
                  <a:cs typeface="DilleniaUPC" pitchFamily="18" charset="-34"/>
                </a:endParaRPr>
              </a:p>
            </xdr:txBody>
          </xdr:sp>
          <xdr:pic macro="[0]!LBChanger">
            <xdr:nvPicPr>
              <xdr:cNvPr id="66" name="Home" descr="Home.png"/>
              <xdr:cNvPicPr>
                <a:picLocks noChangeAspect="1"/>
              </xdr:cNvPicPr>
            </xdr:nvPicPr>
            <xdr:blipFill>
              <a:blip r:embed="rId5" cstate="print"/>
              <a:stretch>
                <a:fillRect/>
              </a:stretch>
            </xdr:blipFill>
            <xdr:spPr>
              <a:xfrm>
                <a:off x="76311" y="16517"/>
                <a:ext cx="353192" cy="335848"/>
              </a:xfrm>
              <a:prstGeom prst="rect">
                <a:avLst/>
              </a:prstGeom>
              <a:solidFill>
                <a:schemeClr val="bg1"/>
              </a:solidFill>
            </xdr:spPr>
          </xdr:pic>
          <xdr:pic macro="[0]!Navigate_GoBack">
            <xdr:nvPicPr>
              <xdr:cNvPr id="67" name="Picture 66" descr="Silver-Back-Button.png"/>
              <xdr:cNvPicPr>
                <a:picLocks noChangeAspect="1"/>
              </xdr:cNvPicPr>
            </xdr:nvPicPr>
            <xdr:blipFill>
              <a:blip r:embed="rId6" cstate="print"/>
              <a:stretch>
                <a:fillRect/>
              </a:stretch>
            </xdr:blipFill>
            <xdr:spPr>
              <a:xfrm>
                <a:off x="482924" y="16516"/>
                <a:ext cx="346258" cy="335122"/>
              </a:xfrm>
              <a:prstGeom prst="rect">
                <a:avLst/>
              </a:prstGeom>
              <a:solidFill>
                <a:schemeClr val="bg1"/>
              </a:solidFill>
            </xdr:spPr>
          </xdr:pic>
          <xdr:sp textlink="uxb_works!B90">
            <xdr:nvSpPr>
              <xdr:cNvPr id="72" name="Home1"/>
              <xdr:cNvSpPr/>
            </xdr:nvSpPr>
            <xdr:spPr>
              <a:xfrm>
                <a:off x="868627" y="3"/>
                <a:ext cx="13536000" cy="369654"/>
              </a:xfrm>
              <a:prstGeom prst="rect">
                <a:avLst/>
              </a:prstGeom>
              <a:solidFill>
                <a:srgbClr val="FFFFFF"/>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B609E4-A4C5-4832-9622-4C6482086EB7}" type="TxLink">
                  <a:rPr lang="en-US" sz="1600" b="1" i="0" u="none" strike="noStrike">
                    <a:solidFill>
                      <a:schemeClr val="accent1">
                        <a:lumMod val="75000"/>
                      </a:schemeClr>
                    </a:solidFill>
                    <a:latin typeface="Calibri" panose="020F0502020204030204"/>
                    <a:ea typeface="Karla" pitchFamily="2" charset="0"/>
                    <a:cs typeface="Calibri" panose="020F0502020204030204"/>
                  </a:rPr>
                </a:fld>
                <a:endParaRPr lang="en-GB" sz="1400" b="1">
                  <a:solidFill>
                    <a:schemeClr val="accent1">
                      <a:lumMod val="75000"/>
                    </a:schemeClr>
                  </a:solidFill>
                  <a:latin typeface="+mn-lt"/>
                  <a:ea typeface="Karla" pitchFamily="2" charset="0"/>
                  <a:cs typeface="DilleniaUPC" pitchFamily="18" charset="-34"/>
                </a:endParaRPr>
              </a:p>
            </xdr:txBody>
          </xdr:sp>
          <xdr:sp macro="[0]!LBChanger" textlink="uxb_works!B94">
            <xdr:nvSpPr>
              <xdr:cNvPr id="70" name="CityProfile"/>
              <xdr:cNvSpPr/>
            </xdr:nvSpPr>
            <xdr:spPr>
              <a:xfrm>
                <a:off x="7212877" y="367079"/>
                <a:ext cx="3610583" cy="363245"/>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DCC65E-F82F-4EA9-A004-8FD74DA0D109}"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5">
            <xdr:nvSpPr>
              <xdr:cNvPr id="71" name="Weights"/>
              <xdr:cNvSpPr/>
            </xdr:nvSpPr>
            <xdr:spPr>
              <a:xfrm>
                <a:off x="10822310" y="367079"/>
                <a:ext cx="3581811" cy="363245"/>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EC9DCF-1775-4B22-9966-148AF6400B32}"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2">
            <xdr:nvSpPr>
              <xdr:cNvPr id="68" name="Summary"/>
              <xdr:cNvSpPr/>
            </xdr:nvSpPr>
            <xdr:spPr>
              <a:xfrm>
                <a:off x="1145" y="367079"/>
                <a:ext cx="3610583" cy="363245"/>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105C044-9834-4268-A7A6-5159ABE53AAC}"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3">
            <xdr:nvSpPr>
              <xdr:cNvPr id="69" name="Indicator_Ranking"/>
              <xdr:cNvSpPr/>
            </xdr:nvSpPr>
            <xdr:spPr>
              <a:xfrm>
                <a:off x="3610858" y="367079"/>
                <a:ext cx="3610583" cy="363245"/>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ABB0398-29D1-49BB-889F-7885C1ADD678}" type="TxLink">
                  <a:rPr lang="en-US" sz="14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grpSp>
        <xdr:pic macro="[0]!Generate_XL">
          <xdr:nvPicPr>
            <xdr:cNvPr id="63" name="exp_xl" descr="excel-wbg.jpg"/>
            <xdr:cNvPicPr>
              <a:picLocks noChangeAspect="1"/>
            </xdr:cNvPicPr>
          </xdr:nvPicPr>
          <xdr:blipFill>
            <a:blip r:embed="rId7" cstate="print">
              <a:extLst>
                <a:ext uri="{BEBA8EAE-BF5A-486C-A8C5-ECC9F3942E4B}">
                  <a14:imgProps xmlns:a14="http://schemas.microsoft.com/office/drawing/2010/main">
                    <a14:imgLayer r:embed="rId8">
                      <a14:imgEffect>
                        <a14:backgroundRemoval t="10000" b="90000" l="10000" r="90000"/>
                      </a14:imgEffect>
                    </a14:imgLayer>
                  </a14:imgProps>
                </a:ext>
              </a:extLst>
            </a:blip>
            <a:stretch>
              <a:fillRect/>
            </a:stretch>
          </xdr:blipFill>
          <xdr:spPr>
            <a:xfrm>
              <a:off x="14106525" y="1200150"/>
              <a:ext cx="331567" cy="411958"/>
            </a:xfrm>
            <a:prstGeom prst="rect">
              <a:avLst/>
            </a:prstGeom>
          </xdr:spPr>
        </xdr:pic>
      </xdr:grpSp>
      <xdr:sp macro="[0]!LBChanger" textlink="uxb_works!B98">
        <xdr:nvSpPr>
          <xdr:cNvPr id="58" name="Indicator_Ranking"/>
          <xdr:cNvSpPr/>
        </xdr:nvSpPr>
        <xdr:spPr>
          <a:xfrm>
            <a:off x="0" y="740711"/>
            <a:ext cx="2519049" cy="292739"/>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AB1D-3221-497B-B62F-CBD2342211FC}"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9">
        <xdr:nvSpPr>
          <xdr:cNvPr id="59" name="Scatter"/>
          <xdr:cNvSpPr/>
        </xdr:nvSpPr>
        <xdr:spPr>
          <a:xfrm>
            <a:off x="2515870" y="740711"/>
            <a:ext cx="2497347" cy="292739"/>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A3F098-38E9-46DF-B860-78152B218C7D}" type="TxLink">
              <a:rPr lang="en-US" sz="12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macro="[0]!LBChanger" textlink="uxb_works!B100">
        <xdr:nvSpPr>
          <xdr:cNvPr id="61" name="Scatter_InOut"/>
          <xdr:cNvSpPr/>
        </xdr:nvSpPr>
        <xdr:spPr>
          <a:xfrm>
            <a:off x="5014770" y="740711"/>
            <a:ext cx="2524058" cy="292739"/>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E814A0-2771-45A2-AC89-C804F25C5AFA}"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101">
        <xdr:nvSpPr>
          <xdr:cNvPr id="60" name="Scores"/>
          <xdr:cNvSpPr/>
        </xdr:nvSpPr>
        <xdr:spPr>
          <a:xfrm>
            <a:off x="7538684" y="740711"/>
            <a:ext cx="2500687" cy="292739"/>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9A9102-156B-46E0-B507-62FF168041FD}"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xdr:nvSpPr>
          <xdr:cNvPr id="34" name="go_top"/>
          <xdr:cNvSpPr txBox="1"/>
        </xdr:nvSpPr>
        <xdr:spPr>
          <a:xfrm>
            <a:off x="293096" y="7510292"/>
            <a:ext cx="811791" cy="169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Karla" pitchFamily="2" charset="0"/>
                <a:ea typeface="Karla" pitchFamily="2" charset="0"/>
              </a:rPr>
              <a:t>Back to top</a:t>
            </a:r>
            <a:endParaRPr lang="en-GB" sz="1100" b="1" i="0" u="sng" strike="noStrike" baseline="0">
              <a:solidFill>
                <a:srgbClr val="0070C0"/>
              </a:solidFill>
              <a:latin typeface="Karla" pitchFamily="2" charset="0"/>
              <a:ea typeface="Karla" pitchFamily="2" charset="0"/>
            </a:endParaRPr>
          </a:p>
        </xdr:txBody>
      </xdr:sp>
      <xdr:sp>
        <xdr:nvSpPr>
          <xdr:cNvPr id="20" name="lbl_cnt_City_1"/>
          <xdr:cNvSpPr txBox="1"/>
        </xdr:nvSpPr>
        <xdr:spPr>
          <a:xfrm>
            <a:off x="151206" y="1148309"/>
            <a:ext cx="1813710" cy="220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100" b="1">
                <a:solidFill>
                  <a:sysClr val="windowText" lastClr="000000"/>
                </a:solidFill>
              </a:rPr>
              <a:t>X - SERIES SELECT</a:t>
            </a:r>
            <a:endParaRPr lang="en-GB" sz="1100" b="1">
              <a:solidFill>
                <a:sysClr val="windowText" lastClr="000000"/>
              </a:solidFill>
            </a:endParaRPr>
          </a:p>
        </xdr:txBody>
      </xdr:sp>
      <xdr:pic macro="[0]!CntUpX">
        <xdr:nvPicPr>
          <xdr:cNvPr id="21" name="cnt_series_up2" descr="scroll_up_small.png"/>
          <xdr:cNvPicPr>
            <a:picLocks noChangeAspect="1"/>
          </xdr:cNvPicPr>
        </xdr:nvPicPr>
        <xdr:blipFill>
          <a:blip r:embed="rId3" cstate="print"/>
          <a:stretch>
            <a:fillRect/>
          </a:stretch>
        </xdr:blipFill>
        <xdr:spPr>
          <a:xfrm>
            <a:off x="5143581" y="1377458"/>
            <a:ext cx="301133" cy="118361"/>
          </a:xfrm>
          <a:prstGeom prst="rect">
            <a:avLst/>
          </a:prstGeom>
        </xdr:spPr>
      </xdr:pic>
      <xdr:pic macro="[0]!CntDownX">
        <xdr:nvPicPr>
          <xdr:cNvPr id="22" name="cnt_series_down2" descr="scroll_down_small.png"/>
          <xdr:cNvPicPr>
            <a:picLocks noChangeAspect="1"/>
          </xdr:cNvPicPr>
        </xdr:nvPicPr>
        <xdr:blipFill>
          <a:blip r:embed="rId4" cstate="print"/>
          <a:stretch>
            <a:fillRect/>
          </a:stretch>
        </xdr:blipFill>
        <xdr:spPr>
          <a:xfrm>
            <a:off x="5143581" y="1493861"/>
            <a:ext cx="301052" cy="96115"/>
          </a:xfrm>
          <a:prstGeom prst="rect">
            <a:avLst/>
          </a:prstGeom>
        </xdr:spPr>
      </xdr:pic>
      <xdr:pic macro="[0]!CntDownY">
        <xdr:nvPicPr>
          <xdr:cNvPr id="27" name="cnt_series_down2" descr="scroll_down_small.png"/>
          <xdr:cNvPicPr>
            <a:picLocks noChangeAspect="1"/>
          </xdr:cNvPicPr>
        </xdr:nvPicPr>
        <xdr:blipFill>
          <a:blip r:embed="rId4" cstate="print"/>
          <a:stretch>
            <a:fillRect/>
          </a:stretch>
        </xdr:blipFill>
        <xdr:spPr>
          <a:xfrm>
            <a:off x="11079862" y="1496940"/>
            <a:ext cx="298106" cy="97478"/>
          </a:xfrm>
          <a:prstGeom prst="rect">
            <a:avLst/>
          </a:prstGeom>
        </xdr:spPr>
      </xdr:pic>
      <xdr:sp>
        <xdr:nvSpPr>
          <xdr:cNvPr id="28" name="lbl_cnt_City_1"/>
          <xdr:cNvSpPr txBox="1"/>
        </xdr:nvSpPr>
        <xdr:spPr>
          <a:xfrm>
            <a:off x="8319298" y="1136580"/>
            <a:ext cx="3076116" cy="252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Y </a:t>
            </a:r>
            <a:r>
              <a:rPr lang="en-GB" sz="1100" b="1" baseline="0">
                <a:solidFill>
                  <a:sysClr val="windowText" lastClr="000000"/>
                </a:solidFill>
              </a:rPr>
              <a:t>-  </a:t>
            </a:r>
            <a:r>
              <a:rPr lang="en-GB" sz="1100" b="1">
                <a:solidFill>
                  <a:sysClr val="windowText" lastClr="000000"/>
                </a:solidFill>
              </a:rPr>
              <a:t>SERIES SELECT</a:t>
            </a:r>
            <a:endParaRPr lang="en-GB" sz="1100" b="1">
              <a:solidFill>
                <a:sysClr val="windowText" lastClr="000000"/>
              </a:solidFill>
            </a:endParaRPr>
          </a:p>
        </xdr:txBody>
      </xdr:sp>
      <xdr:pic macro="[0]!CntUpY">
        <xdr:nvPicPr>
          <xdr:cNvPr id="29" name="cnt_series_up2" descr="scroll_up_small.png"/>
          <xdr:cNvPicPr>
            <a:picLocks noChangeAspect="1"/>
          </xdr:cNvPicPr>
        </xdr:nvPicPr>
        <xdr:blipFill>
          <a:blip r:embed="rId3" cstate="print"/>
          <a:stretch>
            <a:fillRect/>
          </a:stretch>
        </xdr:blipFill>
        <xdr:spPr>
          <a:xfrm>
            <a:off x="11079862" y="1380538"/>
            <a:ext cx="298186" cy="118361"/>
          </a:xfrm>
          <a:prstGeom prst="rect">
            <a:avLst/>
          </a:prstGeom>
        </xdr:spPr>
      </xdr:pic>
      <mc:AlternateContent xmlns:mc="http://schemas.openxmlformats.org/markup-compatibility/2006">
        <mc:Choice xmlns:a14="http://schemas.microsoft.com/office/drawing/2010/main" Requires="a14">
          <xdr:sp macro="[0]!Refresh">
            <xdr:nvSpPr>
              <xdr:cNvPr id="13333505" name="Button 1" hidden="1">
                <a:extLst>
                  <a:ext uri="{63B3BB69-23CF-44E3-9099-C40C66FF867C}">
                    <a14:compatExt spid="_x0000_s13333505"/>
                  </a:ext>
                </a:extLst>
              </xdr:cNvPr>
              <xdr:cNvSpPr/>
            </xdr:nvSpPr>
            <xdr:spPr>
              <a:xfrm>
                <a:off x="13335000" y="1295400"/>
                <a:ext cx="676275" cy="276225"/>
              </a:xfrm>
              <a:prstGeom prst="rect">
                <a:avLst/>
              </a:prstGeom>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panose="020F0502020204030204"/>
                  </a:rPr>
                  <a:t>Reset All</a:t>
                </a:r>
                <a:endParaRPr lang="en-GB" sz="1100" b="0" i="0" u="none" strike="noStrike" baseline="0">
                  <a:solidFill>
                    <a:srgbClr val="000000"/>
                  </a:solidFill>
                  <a:latin typeface="Calibri" panose="020F0502020204030204"/>
                </a:endParaRPr>
              </a:p>
            </xdr:txBody>
          </xdr:sp>
        </mc:Choice>
        <mc:Fallback/>
      </mc:AlternateContent>
      <mc:AlternateContent xmlns:mc="http://schemas.openxmlformats.org/markup-compatibility/2006">
        <mc:Choice xmlns:a14="http://schemas.microsoft.com/office/drawing/2010/main" Requires="a14">
          <xdr:sp>
            <xdr:nvSpPr>
              <xdr:cNvPr id="13333506" name="cnt_indicator" hidden="1">
                <a:extLst>
                  <a:ext uri="{63B3BB69-23CF-44E3-9099-C40C66FF867C}">
                    <a14:compatExt spid="_x0000_s13333506"/>
                  </a:ext>
                </a:extLst>
              </xdr:cNvPr>
              <xdr:cNvSpPr/>
            </xdr:nvSpPr>
            <xdr:spPr>
              <a:xfrm>
                <a:off x="152400" y="1368840"/>
                <a:ext cx="4991100" cy="229963"/>
              </a:xfrm>
              <a:prstGeom prst="rect">
                <a:avLst/>
              </a:prstGeom>
            </xdr:spPr>
          </xdr:sp>
        </mc:Choice>
        <mc:Fallback/>
      </mc:AlternateContent>
      <mc:AlternateContent xmlns:mc="http://schemas.openxmlformats.org/markup-compatibility/2006">
        <mc:Choice xmlns:a14="http://schemas.microsoft.com/office/drawing/2010/main" Requires="a14">
          <xdr:sp>
            <xdr:nvSpPr>
              <xdr:cNvPr id="13333509" name="Drop Down 5" hidden="1">
                <a:extLst>
                  <a:ext uri="{63B3BB69-23CF-44E3-9099-C40C66FF867C}">
                    <a14:compatExt spid="_x0000_s13333509"/>
                  </a:ext>
                </a:extLst>
              </xdr:cNvPr>
              <xdr:cNvSpPr/>
            </xdr:nvSpPr>
            <xdr:spPr>
              <a:xfrm>
                <a:off x="6019800" y="1368840"/>
                <a:ext cx="5057775" cy="229963"/>
              </a:xfrm>
              <a:prstGeom prst="rect">
                <a:avLst/>
              </a:prstGeom>
            </xdr:spPr>
          </xdr:sp>
        </mc:Choice>
        <mc:Fallback/>
      </mc:AlternateContent>
      <xdr:sp textlink="uxb_works!B85">
        <xdr:nvSpPr>
          <xdr:cNvPr id="54" name="TextBox 53"/>
          <xdr:cNvSpPr txBox="1">
            <a:spLocks noChangeArrowheads="1"/>
          </xdr:cNvSpPr>
        </xdr:nvSpPr>
        <xdr:spPr>
          <a:xfrm>
            <a:off x="185230" y="1676085"/>
            <a:ext cx="3226266" cy="314059"/>
          </a:xfrm>
          <a:prstGeom prst="rect">
            <a:avLst/>
          </a:prstGeom>
          <a:solidFill>
            <a:srgbClr val="FFFFFF"/>
          </a:solidFill>
          <a:ln w="9525">
            <a:solidFill>
              <a:srgbClr val="BCBCBC"/>
            </a:solidFill>
            <a:miter lim="800000"/>
          </a:ln>
        </xdr:spPr>
        <xdr:txBody>
          <a:bodyPr vertOverflow="clip" wrap="square" lIns="144000" tIns="144000" rIns="144000" bIns="144000" anchor="ctr" upright="1"/>
          <a:lstStyle/>
          <a:p>
            <a:pPr marL="0" algn="l"/>
            <a:fld id="{0D6B841C-980C-4B23-A171-5CA80F884A8D}" type="TxLink">
              <a:rPr lang="en-US" sz="800" b="0" i="0" u="none" strike="noStrike">
                <a:solidFill>
                  <a:srgbClr val="3B6E8F"/>
                </a:solidFill>
                <a:effectLst/>
                <a:latin typeface="Calibri" panose="020F0502020204030204"/>
                <a:ea typeface="+mn-ea"/>
                <a:cs typeface="Calibri" panose="020F0502020204030204"/>
              </a:rPr>
            </a:fld>
            <a:endParaRPr lang="en-GB" sz="1100">
              <a:effectLst/>
              <a:latin typeface="+mn-lt"/>
              <a:ea typeface="+mn-ea"/>
              <a:cs typeface="+mn-cs"/>
            </a:endParaRPr>
          </a:p>
        </xdr:txBody>
      </xdr:sp>
      <xdr:sp>
        <xdr:nvSpPr>
          <xdr:cNvPr id="55" name="lbl_cnt_City_1"/>
          <xdr:cNvSpPr txBox="1"/>
        </xdr:nvSpPr>
        <xdr:spPr>
          <a:xfrm>
            <a:off x="12067179" y="4578338"/>
            <a:ext cx="2316701" cy="212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POPULATION LEVEL </a:t>
            </a:r>
            <a:r>
              <a:rPr lang="en-GB" sz="1100" b="1" baseline="0">
                <a:solidFill>
                  <a:sysClr val="windowText" lastClr="000000"/>
                </a:solidFill>
              </a:rPr>
              <a:t>FILTER</a:t>
            </a:r>
            <a:endParaRPr lang="en-GB" sz="1100" b="1">
              <a:solidFill>
                <a:sysClr val="windowText" lastClr="000000"/>
              </a:solidFill>
            </a:endParaRPr>
          </a:p>
        </xdr:txBody>
      </xdr:sp>
      <mc:AlternateContent xmlns:mc="http://schemas.openxmlformats.org/markup-compatibility/2006">
        <mc:Choice xmlns:a14="http://schemas.microsoft.com/office/drawing/2010/main" Requires="a14">
          <xdr:sp>
            <xdr:nvSpPr>
              <xdr:cNvPr id="13333516" name="Drop Down 12" hidden="1">
                <a:extLst>
                  <a:ext uri="{63B3BB69-23CF-44E3-9099-C40C66FF867C}">
                    <a14:compatExt spid="_x0000_s13333516"/>
                  </a:ext>
                </a:extLst>
              </xdr:cNvPr>
              <xdr:cNvSpPr/>
            </xdr:nvSpPr>
            <xdr:spPr>
              <a:xfrm>
                <a:off x="11925300" y="4800600"/>
                <a:ext cx="2457450" cy="209550"/>
              </a:xfrm>
              <a:prstGeom prst="rect">
                <a:avLst/>
              </a:prstGeom>
            </xdr:spPr>
          </xdr:sp>
        </mc:Choice>
        <mc:Fallback/>
      </mc:AlternateContent>
    </xdr:grpSp>
    <xdr:clientData fPrintsWithSheet="0"/>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0</xdr:col>
      <xdr:colOff>126997</xdr:colOff>
      <xdr:row>4</xdr:row>
      <xdr:rowOff>63500</xdr:rowOff>
    </xdr:from>
    <xdr:to>
      <xdr:col>18</xdr:col>
      <xdr:colOff>84667</xdr:colOff>
      <xdr:row>41</xdr:row>
      <xdr:rowOff>46564</xdr:rowOff>
    </xdr:to>
    <xdr:sp>
      <xdr:nvSpPr>
        <xdr:cNvPr id="3" name="BGBLANK" hidden="1"/>
        <xdr:cNvSpPr/>
      </xdr:nvSpPr>
      <xdr:spPr>
        <a:xfrm>
          <a:off x="114300" y="1753235"/>
          <a:ext cx="14276705" cy="79838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endParaRPr lang="en-GB" sz="1800">
            <a:solidFill>
              <a:sysClr val="windowText" lastClr="000000"/>
            </a:solidFill>
          </a:endParaRPr>
        </a:p>
        <a:p>
          <a:pPr fontAlgn="base"/>
          <a:r>
            <a:rPr lang="en-GB" sz="2000">
              <a:solidFill>
                <a:schemeClr val="tx1">
                  <a:lumMod val="50000"/>
                  <a:lumOff val="50000"/>
                </a:schemeClr>
              </a:solidFill>
              <a:latin typeface="+mn-lt"/>
              <a:ea typeface="+mn-ea"/>
              <a:cs typeface="+mn-cs"/>
            </a:rPr>
            <a:t>An overall score for background indicators is not calculated</a:t>
          </a:r>
          <a:endParaRPr lang="en-GB" sz="2000" baseline="0">
            <a:solidFill>
              <a:schemeClr val="tx1">
                <a:lumMod val="50000"/>
                <a:lumOff val="50000"/>
              </a:schemeClr>
            </a:solidFill>
            <a:latin typeface="+mn-lt"/>
            <a:ea typeface="+mn-ea"/>
            <a:cs typeface="+mn-cs"/>
          </a:endParaRPr>
        </a:p>
        <a:p>
          <a:endParaRPr lang="en-GB" sz="1200">
            <a:solidFill>
              <a:schemeClr val="tx1">
                <a:lumMod val="50000"/>
                <a:lumOff val="50000"/>
              </a:schemeClr>
            </a:solidFill>
            <a:latin typeface="+mn-lt"/>
            <a:ea typeface="+mn-ea"/>
            <a:cs typeface="+mn-cs"/>
          </a:endParaRPr>
        </a:p>
        <a:p>
          <a:r>
            <a:rPr lang="en-GB" sz="1200">
              <a:solidFill>
                <a:schemeClr val="tx1">
                  <a:lumMod val="50000"/>
                  <a:lumOff val="50000"/>
                </a:schemeClr>
              </a:solidFill>
              <a:latin typeface="+mn-lt"/>
              <a:ea typeface="+mn-ea"/>
              <a:cs typeface="+mn-cs"/>
            </a:rPr>
            <a:t>Please select a specific background indicator to see country rankings.</a:t>
          </a:r>
          <a:endParaRPr lang="en-GB" sz="2000">
            <a:solidFill>
              <a:schemeClr val="tx1">
                <a:lumMod val="50000"/>
                <a:lumOff val="50000"/>
              </a:schemeClr>
            </a:solidFill>
          </a:endParaRPr>
        </a:p>
        <a:p>
          <a:pPr algn="l"/>
          <a:endParaRPr lang="en-GB" sz="1200">
            <a:solidFill>
              <a:schemeClr val="bg1">
                <a:lumMod val="50000"/>
              </a:schemeClr>
            </a:solidFill>
          </a:endParaRPr>
        </a:p>
      </xdr:txBody>
    </xdr:sp>
    <xdr:clientData/>
  </xdr:twoCellAnchor>
  <xdr:twoCellAnchor>
    <xdr:from>
      <xdr:col>0</xdr:col>
      <xdr:colOff>198</xdr:colOff>
      <xdr:row>6</xdr:row>
      <xdr:rowOff>2683</xdr:rowOff>
    </xdr:from>
    <xdr:to>
      <xdr:col>8</xdr:col>
      <xdr:colOff>603250</xdr:colOff>
      <xdr:row>33</xdr:row>
      <xdr:rowOff>185267</xdr:rowOff>
    </xdr:to>
    <xdr:graphicFrame>
      <xdr:nvGraphicFramePr>
        <xdr:cNvPr id="2" name="Chart_1"/>
        <xdr:cNvGraphicFramePr/>
      </xdr:nvGraphicFramePr>
      <xdr:xfrm>
        <a:off x="0" y="2644775"/>
        <a:ext cx="6556375" cy="570674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199092</xdr:colOff>
      <xdr:row>5</xdr:row>
      <xdr:rowOff>155668</xdr:rowOff>
    </xdr:from>
    <xdr:to>
      <xdr:col>8</xdr:col>
      <xdr:colOff>303409</xdr:colOff>
      <xdr:row>7</xdr:row>
      <xdr:rowOff>18634</xdr:rowOff>
    </xdr:to>
    <xdr:sp textlink="uxb_works!B85">
      <xdr:nvSpPr>
        <xdr:cNvPr id="53" name="TextBox 52"/>
        <xdr:cNvSpPr txBox="1">
          <a:spLocks noChangeArrowheads="1"/>
        </xdr:cNvSpPr>
      </xdr:nvSpPr>
      <xdr:spPr>
        <a:xfrm>
          <a:off x="3018155" y="2445385"/>
          <a:ext cx="3237865" cy="310515"/>
        </a:xfrm>
        <a:prstGeom prst="rect">
          <a:avLst/>
        </a:prstGeom>
        <a:solidFill>
          <a:srgbClr val="FFFFFF"/>
        </a:solidFill>
        <a:ln w="9525">
          <a:solidFill>
            <a:srgbClr val="BCBCBC"/>
          </a:solidFill>
          <a:miter lim="800000"/>
        </a:ln>
      </xdr:spPr>
      <xdr:txBody>
        <a:bodyPr vertOverflow="clip" wrap="square" lIns="144000" tIns="144000" rIns="144000" bIns="144000" anchor="ctr" upright="1"/>
        <a:lstStyle/>
        <a:p>
          <a:pPr marL="0" algn="l"/>
          <a:fld id="{0D6B841C-980C-4B23-A171-5CA80F884A8D}" type="TxLink">
            <a:rPr lang="en-US" sz="800" b="0" i="0" u="none" strike="noStrike">
              <a:solidFill>
                <a:srgbClr val="3B6E8F"/>
              </a:solidFill>
              <a:effectLst/>
              <a:latin typeface="Calibri" panose="020F0502020204030204"/>
              <a:ea typeface="+mn-ea"/>
              <a:cs typeface="Calibri" panose="020F0502020204030204"/>
            </a:rPr>
          </a:fld>
          <a:endParaRPr lang="en-GB" sz="1100">
            <a:effectLst/>
            <a:latin typeface="+mn-lt"/>
            <a:ea typeface="+mn-ea"/>
            <a:cs typeface="+mn-cs"/>
          </a:endParaRPr>
        </a:p>
      </xdr:txBody>
    </xdr:sp>
    <xdr:clientData/>
  </xdr:twoCellAnchor>
  <xdr:twoCellAnchor editAs="absolute">
    <xdr:from>
      <xdr:col>14</xdr:col>
      <xdr:colOff>233085</xdr:colOff>
      <xdr:row>4</xdr:row>
      <xdr:rowOff>46958</xdr:rowOff>
    </xdr:from>
    <xdr:to>
      <xdr:col>18</xdr:col>
      <xdr:colOff>152223</xdr:colOff>
      <xdr:row>4</xdr:row>
      <xdr:rowOff>477822</xdr:rowOff>
    </xdr:to>
    <xdr:grpSp>
      <xdr:nvGrpSpPr>
        <xdr:cNvPr id="6" name="Weights_Select"/>
        <xdr:cNvGrpSpPr/>
      </xdr:nvGrpSpPr>
      <xdr:grpSpPr>
        <a:xfrm>
          <a:off x="12577445" y="1736090"/>
          <a:ext cx="1880870" cy="431165"/>
          <a:chOff x="12568026" y="1701927"/>
          <a:chExt cx="1871763" cy="430864"/>
        </a:xfrm>
      </xdr:grpSpPr>
      <xdr:sp>
        <xdr:nvSpPr>
          <xdr:cNvPr id="51" name="lbl_cnt_City_1"/>
          <xdr:cNvSpPr txBox="1"/>
        </xdr:nvSpPr>
        <xdr:spPr>
          <a:xfrm>
            <a:off x="13737921" y="1701927"/>
            <a:ext cx="696491" cy="22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000" b="1">
                <a:solidFill>
                  <a:sysClr val="windowText" lastClr="000000"/>
                </a:solidFill>
                <a:latin typeface="+mn-lt"/>
                <a:ea typeface="Karla" pitchFamily="2" charset="0"/>
              </a:rPr>
              <a:t>WEIGHTS</a:t>
            </a:r>
            <a:endParaRPr lang="en-GB" sz="1000" b="1">
              <a:solidFill>
                <a:sysClr val="windowText" lastClr="000000"/>
              </a:solidFill>
              <a:latin typeface="+mn-lt"/>
              <a:ea typeface="Karla" pitchFamily="2" charset="0"/>
            </a:endParaRPr>
          </a:p>
        </xdr:txBody>
      </xdr:sp>
      <mc:AlternateContent xmlns:mc="http://schemas.openxmlformats.org/markup-compatibility/2006">
        <mc:Choice xmlns:a14="http://schemas.microsoft.com/office/drawing/2010/main" Requires="a14">
          <xdr:sp macro="[0]!LoadWeights">
            <xdr:nvSpPr>
              <xdr:cNvPr id="13449227" name="Drop Down 11" hidden="1">
                <a:extLst>
                  <a:ext uri="{63B3BB69-23CF-44E3-9099-C40C66FF867C}">
                    <a14:compatExt spid="_x0000_s13449227"/>
                  </a:ext>
                </a:extLst>
              </xdr:cNvPr>
              <xdr:cNvSpPr/>
            </xdr:nvSpPr>
            <xdr:spPr>
              <a:xfrm>
                <a:off x="12568026" y="1929093"/>
                <a:ext cx="1871763" cy="203698"/>
              </a:xfrm>
              <a:prstGeom prst="rect">
                <a:avLst/>
              </a:prstGeom>
            </xdr:spPr>
          </xdr:sp>
        </mc:Choice>
        <mc:Fallback/>
      </mc:AlternateContent>
    </xdr:grpSp>
    <xdr:clientData fPrintsWithSheet="0"/>
  </xdr:twoCellAnchor>
  <xdr:twoCellAnchor editAs="absolute">
    <xdr:from>
      <xdr:col>0</xdr:col>
      <xdr:colOff>0</xdr:colOff>
      <xdr:row>0</xdr:row>
      <xdr:rowOff>0</xdr:rowOff>
    </xdr:from>
    <xdr:to>
      <xdr:col>18</xdr:col>
      <xdr:colOff>439269</xdr:colOff>
      <xdr:row>36</xdr:row>
      <xdr:rowOff>81824</xdr:rowOff>
    </xdr:to>
    <xdr:grpSp>
      <xdr:nvGrpSpPr>
        <xdr:cNvPr id="5" name="MENU"/>
        <xdr:cNvGrpSpPr/>
      </xdr:nvGrpSpPr>
      <xdr:grpSpPr>
        <a:xfrm>
          <a:off x="0" y="0"/>
          <a:ext cx="14745335" cy="8819515"/>
          <a:chOff x="1148" y="0"/>
          <a:chExt cx="14726770" cy="8904355"/>
        </a:xfrm>
      </xdr:grpSpPr>
      <xdr:grpSp>
        <xdr:nvGrpSpPr>
          <xdr:cNvPr id="62" name="MENU_INDI"/>
          <xdr:cNvGrpSpPr/>
        </xdr:nvGrpSpPr>
        <xdr:grpSpPr>
          <a:xfrm>
            <a:off x="1148" y="0"/>
            <a:ext cx="14414826" cy="1639233"/>
            <a:chOff x="1151" y="0"/>
            <a:chExt cx="14467131" cy="1592638"/>
          </a:xfrm>
        </xdr:grpSpPr>
        <xdr:grpSp>
          <xdr:nvGrpSpPr>
            <xdr:cNvPr id="63" name="MENU_B"/>
            <xdr:cNvGrpSpPr/>
          </xdr:nvGrpSpPr>
          <xdr:grpSpPr>
            <a:xfrm>
              <a:off x="1151" y="0"/>
              <a:ext cx="14467131" cy="1592638"/>
              <a:chOff x="1147" y="1"/>
              <a:chExt cx="14437043" cy="1616541"/>
            </a:xfrm>
          </xdr:grpSpPr>
          <xdr:grpSp>
            <xdr:nvGrpSpPr>
              <xdr:cNvPr id="68" name="MENU_BASE"/>
              <xdr:cNvGrpSpPr/>
            </xdr:nvGrpSpPr>
            <xdr:grpSpPr>
              <a:xfrm>
                <a:off x="1147" y="1"/>
                <a:ext cx="14437043" cy="1616541"/>
                <a:chOff x="1145" y="1"/>
                <a:chExt cx="14412707" cy="1612310"/>
              </a:xfrm>
            </xdr:grpSpPr>
            <xdr:sp>
              <xdr:nvSpPr>
                <xdr:cNvPr id="70" name="nav_controls"/>
                <xdr:cNvSpPr/>
              </xdr:nvSpPr>
              <xdr:spPr>
                <a:xfrm>
                  <a:off x="6631" y="367096"/>
                  <a:ext cx="14407221" cy="1245215"/>
                </a:xfrm>
                <a:prstGeom prst="rect">
                  <a:avLst/>
                </a:prstGeom>
                <a:solidFill>
                  <a:schemeClr val="bg1">
                    <a:lumMod val="95000"/>
                  </a:schemeClr>
                </a:solidFill>
                <a:ln w="127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chemeClr val="tx2">
                        <a:lumMod val="75000"/>
                      </a:schemeClr>
                    </a:solidFill>
                    <a:latin typeface="+mn-lt"/>
                    <a:ea typeface="Karla" pitchFamily="2" charset="0"/>
                  </a:endParaRPr>
                </a:p>
              </xdr:txBody>
            </xdr:sp>
            <xdr:sp>
              <xdr:nvSpPr>
                <xdr:cNvPr id="71" name="Home1"/>
                <xdr:cNvSpPr/>
              </xdr:nvSpPr>
              <xdr:spPr>
                <a:xfrm>
                  <a:off x="1151" y="1"/>
                  <a:ext cx="867228" cy="364908"/>
                </a:xfrm>
                <a:prstGeom prst="rect">
                  <a:avLst/>
                </a:prstGeom>
                <a:solidFill>
                  <a:schemeClr val="bg1"/>
                </a:solidFill>
                <a:ln w="6350">
                  <a:solidFill>
                    <a:schemeClr val="accent6">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chemeClr val="accent1">
                        <a:lumMod val="75000"/>
                      </a:schemeClr>
                    </a:solidFill>
                    <a:latin typeface="+mn-lt"/>
                    <a:ea typeface="Karla" pitchFamily="2" charset="0"/>
                    <a:cs typeface="DilleniaUPC" pitchFamily="18" charset="-34"/>
                  </a:endParaRPr>
                </a:p>
              </xdr:txBody>
            </xdr:sp>
            <xdr:pic macro="[0]!LBChanger">
              <xdr:nvPicPr>
                <xdr:cNvPr id="72" name="Home" descr="Home.png"/>
                <xdr:cNvPicPr>
                  <a:picLocks noChangeAspect="1"/>
                </xdr:cNvPicPr>
              </xdr:nvPicPr>
              <xdr:blipFill>
                <a:blip r:embed="rId2" cstate="print"/>
                <a:stretch>
                  <a:fillRect/>
                </a:stretch>
              </xdr:blipFill>
              <xdr:spPr>
                <a:xfrm>
                  <a:off x="76311" y="16517"/>
                  <a:ext cx="353192" cy="335848"/>
                </a:xfrm>
                <a:prstGeom prst="rect">
                  <a:avLst/>
                </a:prstGeom>
                <a:solidFill>
                  <a:schemeClr val="bg1"/>
                </a:solidFill>
              </xdr:spPr>
            </xdr:pic>
            <xdr:pic macro="[0]!Navigate_GoBack">
              <xdr:nvPicPr>
                <xdr:cNvPr id="73" name="Picture 72" descr="Silver-Back-Button.png"/>
                <xdr:cNvPicPr>
                  <a:picLocks noChangeAspect="1"/>
                </xdr:cNvPicPr>
              </xdr:nvPicPr>
              <xdr:blipFill>
                <a:blip r:embed="rId3" cstate="print"/>
                <a:stretch>
                  <a:fillRect/>
                </a:stretch>
              </xdr:blipFill>
              <xdr:spPr>
                <a:xfrm>
                  <a:off x="482924" y="16516"/>
                  <a:ext cx="346258" cy="335122"/>
                </a:xfrm>
                <a:prstGeom prst="rect">
                  <a:avLst/>
                </a:prstGeom>
                <a:solidFill>
                  <a:schemeClr val="bg1"/>
                </a:solidFill>
              </xdr:spPr>
            </xdr:pic>
            <xdr:sp macro="[0]!LBChanger" textlink="uxb_works!B92">
              <xdr:nvSpPr>
                <xdr:cNvPr id="74" name="Summary"/>
                <xdr:cNvSpPr/>
              </xdr:nvSpPr>
              <xdr:spPr>
                <a:xfrm>
                  <a:off x="1145" y="368953"/>
                  <a:ext cx="3610583" cy="354088"/>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105C044-9834-4268-A7A6-5159ABE53AAC}"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5">
              <xdr:nvSpPr>
                <xdr:cNvPr id="77" name="Weights"/>
                <xdr:cNvSpPr/>
              </xdr:nvSpPr>
              <xdr:spPr>
                <a:xfrm>
                  <a:off x="10831831" y="368953"/>
                  <a:ext cx="3581811" cy="354088"/>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EC9DCF-1775-4B22-9966-148AF6400B32}"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textlink="uxb_works!B90">
              <xdr:nvSpPr>
                <xdr:cNvPr id="78" name="Home1"/>
                <xdr:cNvSpPr/>
              </xdr:nvSpPr>
              <xdr:spPr>
                <a:xfrm>
                  <a:off x="868627" y="3"/>
                  <a:ext cx="13545224" cy="369654"/>
                </a:xfrm>
                <a:prstGeom prst="rect">
                  <a:avLst/>
                </a:prstGeom>
                <a:solidFill>
                  <a:srgbClr val="FFFFFF"/>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B609E4-A4C5-4832-9622-4C6482086EB7}" type="TxLink">
                    <a:rPr lang="en-US" sz="1600" b="1" i="0" u="none" strike="noStrike">
                      <a:solidFill>
                        <a:schemeClr val="accent1">
                          <a:lumMod val="75000"/>
                        </a:schemeClr>
                      </a:solidFill>
                      <a:latin typeface="Calibri" panose="020F0502020204030204"/>
                      <a:ea typeface="Karla" pitchFamily="2" charset="0"/>
                      <a:cs typeface="Calibri" panose="020F0502020204030204"/>
                    </a:rPr>
                  </a:fld>
                  <a:endParaRPr lang="en-GB" sz="1400" b="1">
                    <a:solidFill>
                      <a:schemeClr val="accent1">
                        <a:lumMod val="75000"/>
                      </a:schemeClr>
                    </a:solidFill>
                    <a:latin typeface="+mn-lt"/>
                    <a:ea typeface="Karla" pitchFamily="2" charset="0"/>
                    <a:cs typeface="DilleniaUPC" pitchFamily="18" charset="-34"/>
                  </a:endParaRPr>
                </a:p>
              </xdr:txBody>
            </xdr:sp>
            <xdr:sp macro="[0]!LBChanger" textlink="uxb_works!B93">
              <xdr:nvSpPr>
                <xdr:cNvPr id="75" name="Indicator_Ranking"/>
                <xdr:cNvSpPr/>
              </xdr:nvSpPr>
              <xdr:spPr>
                <a:xfrm>
                  <a:off x="3610858" y="368953"/>
                  <a:ext cx="3610583" cy="354088"/>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ABB0398-29D1-49BB-889F-7885C1ADD678}" type="TxLink">
                    <a:rPr lang="en-US" sz="14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macro="[0]!LBChanger" textlink="uxb_works!B94">
              <xdr:nvSpPr>
                <xdr:cNvPr id="76" name="CityProfile"/>
                <xdr:cNvSpPr/>
              </xdr:nvSpPr>
              <xdr:spPr>
                <a:xfrm>
                  <a:off x="7222398" y="368953"/>
                  <a:ext cx="3610583" cy="354088"/>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DCC65E-F82F-4EA9-A004-8FD74DA0D109}"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grpSp>
          <xdr:pic macro="[0]!Generate_XL">
            <xdr:nvPicPr>
              <xdr:cNvPr id="69" name="exp_xl" descr="excel-wbg.jpg"/>
              <xdr:cNvPicPr>
                <a:picLocks noChangeAspect="1"/>
              </xdr:cNvPicPr>
            </xdr:nvPicPr>
            <xdr:blipFill>
              <a:blip r:embed="rId4" cstate="print">
                <a:extLst>
                  <a:ext uri="{BEBA8EAE-BF5A-486C-A8C5-ECC9F3942E4B}">
                    <a14:imgProps xmlns:a14="http://schemas.microsoft.com/office/drawing/2010/main">
                      <a14:imgLayer r:embed="rId5">
                        <a14:imgEffect>
                          <a14:backgroundRemoval t="10000" b="90000" l="10000" r="90000"/>
                        </a14:imgEffect>
                      </a14:imgLayer>
                    </a14:imgProps>
                  </a:ext>
                </a:extLst>
              </a:blip>
              <a:stretch>
                <a:fillRect/>
              </a:stretch>
            </xdr:blipFill>
            <xdr:spPr>
              <a:xfrm>
                <a:off x="14106525" y="1200150"/>
                <a:ext cx="331567" cy="411958"/>
              </a:xfrm>
              <a:prstGeom prst="rect">
                <a:avLst/>
              </a:prstGeom>
            </xdr:spPr>
          </xdr:pic>
        </xdr:grpSp>
        <xdr:sp macro="[0]!LBChanger" textlink="uxb_works!B98">
          <xdr:nvSpPr>
            <xdr:cNvPr id="64" name="Indicator_Ranking"/>
            <xdr:cNvSpPr/>
          </xdr:nvSpPr>
          <xdr:spPr>
            <a:xfrm>
              <a:off x="3411" y="709236"/>
              <a:ext cx="2526809" cy="285353"/>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AB1D-3221-497B-B62F-CBD2342211FC}"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9">
          <xdr:nvSpPr>
            <xdr:cNvPr id="65" name="Scatter"/>
            <xdr:cNvSpPr/>
          </xdr:nvSpPr>
          <xdr:spPr>
            <a:xfrm>
              <a:off x="2532514" y="709236"/>
              <a:ext cx="2526809" cy="285353"/>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A3F098-38E9-46DF-B860-78152B218C7D}"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101">
          <xdr:nvSpPr>
            <xdr:cNvPr id="66" name="Scores"/>
            <xdr:cNvSpPr/>
          </xdr:nvSpPr>
          <xdr:spPr>
            <a:xfrm>
              <a:off x="7581092" y="709236"/>
              <a:ext cx="2526809" cy="285353"/>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9A9102-156B-46E0-B507-62FF168041FD}"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100">
          <xdr:nvSpPr>
            <xdr:cNvPr id="67" name="Scatter_InOut"/>
            <xdr:cNvSpPr/>
          </xdr:nvSpPr>
          <xdr:spPr>
            <a:xfrm>
              <a:off x="5056919" y="709236"/>
              <a:ext cx="2526809" cy="285353"/>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E814A0-2771-45A2-AC89-C804F25C5AFA}" type="TxLink">
                <a:rPr lang="en-US" sz="12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grpSp>
      <xdr:sp>
        <xdr:nvSpPr>
          <xdr:cNvPr id="7" name="go_top"/>
          <xdr:cNvSpPr txBox="1"/>
        </xdr:nvSpPr>
        <xdr:spPr>
          <a:xfrm>
            <a:off x="157257" y="8721641"/>
            <a:ext cx="818131" cy="182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Karla" pitchFamily="2" charset="0"/>
                <a:ea typeface="Karla" pitchFamily="2" charset="0"/>
              </a:rPr>
              <a:t>Back to top</a:t>
            </a:r>
            <a:endParaRPr lang="en-GB" sz="1100" b="1" i="0" u="sng" strike="noStrike" baseline="0">
              <a:solidFill>
                <a:srgbClr val="0070C0"/>
              </a:solidFill>
              <a:latin typeface="Karla" pitchFamily="2" charset="0"/>
              <a:ea typeface="Karla" pitchFamily="2" charset="0"/>
            </a:endParaRPr>
          </a:p>
        </xdr:txBody>
      </xdr:sp>
      <xdr:sp>
        <xdr:nvSpPr>
          <xdr:cNvPr id="10" name="lbl_cnt_City_1"/>
          <xdr:cNvSpPr txBox="1"/>
        </xdr:nvSpPr>
        <xdr:spPr>
          <a:xfrm>
            <a:off x="149733" y="1114106"/>
            <a:ext cx="1823104" cy="219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100" b="1">
                <a:solidFill>
                  <a:sysClr val="windowText" lastClr="000000"/>
                </a:solidFill>
              </a:rPr>
              <a:t>SELECT CATEGORY</a:t>
            </a:r>
            <a:endParaRPr lang="en-GB" sz="1100" b="1">
              <a:solidFill>
                <a:sysClr val="windowText" lastClr="000000"/>
              </a:solidFill>
            </a:endParaRPr>
          </a:p>
        </xdr:txBody>
      </xdr:sp>
      <mc:AlternateContent xmlns:mc="http://schemas.openxmlformats.org/markup-compatibility/2006">
        <mc:Choice xmlns:a14="http://schemas.microsoft.com/office/drawing/2010/main" Requires="a14">
          <xdr:sp macro="[0]!Refresh">
            <xdr:nvSpPr>
              <xdr:cNvPr id="13449217" name="Button 1" hidden="1">
                <a:extLst>
                  <a:ext uri="{63B3BB69-23CF-44E3-9099-C40C66FF867C}">
                    <a14:compatExt spid="_x0000_s13449217"/>
                  </a:ext>
                </a:extLst>
              </xdr:cNvPr>
              <xdr:cNvSpPr/>
            </xdr:nvSpPr>
            <xdr:spPr>
              <a:xfrm>
                <a:off x="13366634" y="1283394"/>
                <a:ext cx="684799" cy="280278"/>
              </a:xfrm>
              <a:prstGeom prst="rect">
                <a:avLst/>
              </a:prstGeom>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panose="020F0502020204030204"/>
                  </a:rPr>
                  <a:t>Reset All</a:t>
                </a:r>
                <a:endParaRPr lang="en-GB" sz="1100" b="0" i="0" u="none" strike="noStrike" baseline="0">
                  <a:solidFill>
                    <a:srgbClr val="000000"/>
                  </a:solidFill>
                  <a:latin typeface="Calibri" panose="020F0502020204030204"/>
                </a:endParaRPr>
              </a:p>
            </xdr:txBody>
          </xdr:sp>
        </mc:Choice>
        <mc:Fallback/>
      </mc:AlternateContent>
      <mc:AlternateContent xmlns:mc="http://schemas.openxmlformats.org/markup-compatibility/2006">
        <mc:Choice xmlns:a14="http://schemas.microsoft.com/office/drawing/2010/main" Requires="a14">
          <xdr:sp>
            <xdr:nvSpPr>
              <xdr:cNvPr id="13449218" name="cnt_indicator" hidden="1">
                <a:extLst>
                  <a:ext uri="{63B3BB69-23CF-44E3-9099-C40C66FF867C}">
                    <a14:compatExt spid="_x0000_s13449218"/>
                  </a:ext>
                </a:extLst>
              </xdr:cNvPr>
              <xdr:cNvSpPr/>
            </xdr:nvSpPr>
            <xdr:spPr>
              <a:xfrm>
                <a:off x="146602" y="1335981"/>
                <a:ext cx="2871599" cy="222289"/>
              </a:xfrm>
              <a:prstGeom prst="rect">
                <a:avLst/>
              </a:prstGeom>
            </xdr:spPr>
          </xdr:sp>
        </mc:Choice>
        <mc:Fallback/>
      </mc:AlternateContent>
      <xdr:sp>
        <xdr:nvSpPr>
          <xdr:cNvPr id="35" name="lbl_cnt_City_1"/>
          <xdr:cNvSpPr txBox="1"/>
        </xdr:nvSpPr>
        <xdr:spPr>
          <a:xfrm>
            <a:off x="13048413" y="2638391"/>
            <a:ext cx="1391895" cy="235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CITY </a:t>
            </a:r>
            <a:r>
              <a:rPr lang="en-GB" sz="1100" b="1" baseline="0">
                <a:solidFill>
                  <a:sysClr val="windowText" lastClr="000000"/>
                </a:solidFill>
              </a:rPr>
              <a:t>HIGHLIGHT</a:t>
            </a:r>
            <a:endParaRPr lang="en-GB" sz="1100" b="1">
              <a:solidFill>
                <a:sysClr val="windowText" lastClr="000000"/>
              </a:solidFill>
            </a:endParaRPr>
          </a:p>
        </xdr:txBody>
      </xdr:sp>
      <xdr:sp>
        <xdr:nvSpPr>
          <xdr:cNvPr id="36" name="lbl_cnt_City_1"/>
          <xdr:cNvSpPr txBox="1"/>
        </xdr:nvSpPr>
        <xdr:spPr>
          <a:xfrm>
            <a:off x="13036695" y="3204041"/>
            <a:ext cx="1394024" cy="239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GROUP </a:t>
            </a:r>
            <a:r>
              <a:rPr lang="en-GB" sz="1100" b="1" baseline="0">
                <a:solidFill>
                  <a:sysClr val="windowText" lastClr="000000"/>
                </a:solidFill>
              </a:rPr>
              <a:t>HIGHLIGHT</a:t>
            </a:r>
            <a:endParaRPr lang="en-GB" sz="1100" b="1">
              <a:solidFill>
                <a:sysClr val="windowText" lastClr="000000"/>
              </a:solidFill>
            </a:endParaRPr>
          </a:p>
        </xdr:txBody>
      </xdr:sp>
      <xdr:sp>
        <xdr:nvSpPr>
          <xdr:cNvPr id="37" name="lbl_cnt_City_1"/>
          <xdr:cNvSpPr txBox="1"/>
        </xdr:nvSpPr>
        <xdr:spPr>
          <a:xfrm>
            <a:off x="13489688" y="5181021"/>
            <a:ext cx="923762" cy="258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LABELS</a:t>
            </a:r>
            <a:endParaRPr lang="en-GB" sz="1100" b="1">
              <a:solidFill>
                <a:sysClr val="windowText" lastClr="000000"/>
              </a:solidFill>
            </a:endParaRPr>
          </a:p>
        </xdr:txBody>
      </xdr:sp>
      <xdr:sp>
        <xdr:nvSpPr>
          <xdr:cNvPr id="38" name="lbl_cnt_City_1"/>
          <xdr:cNvSpPr txBox="1"/>
        </xdr:nvSpPr>
        <xdr:spPr>
          <a:xfrm>
            <a:off x="13753244" y="5678551"/>
            <a:ext cx="668780" cy="226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OUTLIERS</a:t>
            </a:r>
            <a:endParaRPr lang="en-GB" sz="1100" b="1">
              <a:solidFill>
                <a:sysClr val="windowText" lastClr="000000"/>
              </a:solidFill>
            </a:endParaRPr>
          </a:p>
        </xdr:txBody>
      </xdr:sp>
      <xdr:pic macro="[0]!CntCHLUp">
        <xdr:nvPicPr>
          <xdr:cNvPr id="39" name="cnt_series_up2" descr="scroll_up_small.png"/>
          <xdr:cNvPicPr>
            <a:picLocks noChangeAspect="1"/>
          </xdr:cNvPicPr>
        </xdr:nvPicPr>
        <xdr:blipFill>
          <a:blip r:embed="rId6" cstate="print"/>
          <a:stretch>
            <a:fillRect/>
          </a:stretch>
        </xdr:blipFill>
        <xdr:spPr>
          <a:xfrm>
            <a:off x="14181391" y="2871640"/>
            <a:ext cx="291484" cy="119438"/>
          </a:xfrm>
          <a:prstGeom prst="rect">
            <a:avLst/>
          </a:prstGeom>
        </xdr:spPr>
      </xdr:pic>
      <xdr:pic macro="[0]!CntCHLDown">
        <xdr:nvPicPr>
          <xdr:cNvPr id="40" name="cnt_series_down2" descr="scroll_down_small.png"/>
          <xdr:cNvPicPr>
            <a:picLocks noChangeAspect="1"/>
          </xdr:cNvPicPr>
        </xdr:nvPicPr>
        <xdr:blipFill>
          <a:blip r:embed="rId7" cstate="print"/>
          <a:stretch>
            <a:fillRect/>
          </a:stretch>
        </xdr:blipFill>
        <xdr:spPr>
          <a:xfrm>
            <a:off x="14181391" y="2989115"/>
            <a:ext cx="291403" cy="92960"/>
          </a:xfrm>
          <a:prstGeom prst="rect">
            <a:avLst/>
          </a:prstGeom>
        </xdr:spPr>
      </xdr:pic>
      <xdr:sp>
        <xdr:nvSpPr>
          <xdr:cNvPr id="41" name="lbl_cnt_City_1"/>
          <xdr:cNvSpPr txBox="1"/>
        </xdr:nvSpPr>
        <xdr:spPr>
          <a:xfrm>
            <a:off x="13018049" y="3691614"/>
            <a:ext cx="1391022" cy="232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REGION </a:t>
            </a:r>
            <a:r>
              <a:rPr lang="en-GB" sz="1100" b="1" baseline="0">
                <a:solidFill>
                  <a:sysClr val="windowText" lastClr="000000"/>
                </a:solidFill>
              </a:rPr>
              <a:t>FILTER</a:t>
            </a:r>
            <a:endParaRPr lang="en-GB" sz="1100" b="1">
              <a:solidFill>
                <a:sysClr val="windowText" lastClr="000000"/>
              </a:solidFill>
            </a:endParaRPr>
          </a:p>
        </xdr:txBody>
      </xdr:sp>
      <mc:AlternateContent xmlns:mc="http://schemas.openxmlformats.org/markup-compatibility/2006">
        <mc:Choice xmlns:a14="http://schemas.microsoft.com/office/drawing/2010/main" Requires="a14">
          <xdr:sp macro="[0]!CityUpdateHL">
            <xdr:nvSpPr>
              <xdr:cNvPr id="13449220" name="Drop Down 4" hidden="1">
                <a:extLst>
                  <a:ext uri="{63B3BB69-23CF-44E3-9099-C40C66FF867C}">
                    <a14:compatExt spid="_x0000_s13449220"/>
                  </a:ext>
                </a:extLst>
              </xdr:cNvPr>
              <xdr:cNvSpPr/>
            </xdr:nvSpPr>
            <xdr:spPr>
              <a:xfrm>
                <a:off x="13049465" y="2875181"/>
                <a:ext cx="1129337" cy="207847"/>
              </a:xfrm>
              <a:prstGeom prst="rect">
                <a:avLst/>
              </a:prstGeom>
            </xdr:spPr>
          </xdr:sp>
        </mc:Choice>
        <mc:Fallback/>
      </mc:AlternateContent>
      <mc:AlternateContent xmlns:mc="http://schemas.openxmlformats.org/markup-compatibility/2006">
        <mc:Choice xmlns:a14="http://schemas.microsoft.com/office/drawing/2010/main" Requires="a14">
          <xdr:sp>
            <xdr:nvSpPr>
              <xdr:cNvPr id="13449221" name="Drop Down 5" hidden="1">
                <a:extLst>
                  <a:ext uri="{63B3BB69-23CF-44E3-9099-C40C66FF867C}">
                    <a14:compatExt spid="_x0000_s13449221"/>
                  </a:ext>
                </a:extLst>
              </xdr:cNvPr>
              <xdr:cNvSpPr/>
            </xdr:nvSpPr>
            <xdr:spPr>
              <a:xfrm>
                <a:off x="11960856" y="3444640"/>
                <a:ext cx="2467395" cy="210000"/>
              </a:xfrm>
              <a:prstGeom prst="rect">
                <a:avLst/>
              </a:prstGeom>
            </xdr:spPr>
          </xdr:sp>
        </mc:Choice>
        <mc:Fallback/>
      </mc:AlternateContent>
      <mc:AlternateContent xmlns:mc="http://schemas.openxmlformats.org/markup-compatibility/2006">
        <mc:Choice xmlns:a14="http://schemas.microsoft.com/office/drawing/2010/main" Requires="a14">
          <xdr:sp>
            <xdr:nvSpPr>
              <xdr:cNvPr id="13449222" name="Check Box 6" hidden="1">
                <a:extLst>
                  <a:ext uri="{63B3BB69-23CF-44E3-9099-C40C66FF867C}">
                    <a14:compatExt spid="_x0000_s13449222"/>
                  </a:ext>
                </a:extLst>
              </xdr:cNvPr>
              <xdr:cNvSpPr/>
            </xdr:nvSpPr>
            <xdr:spPr>
              <a:xfrm>
                <a:off x="13278115" y="5389754"/>
                <a:ext cx="1449803" cy="24395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panose="020B0604030504040204"/>
                    <a:ea typeface="Tahoma" panose="020B0604030504040204"/>
                    <a:cs typeface="Tahoma" panose="020B0604030504040204"/>
                  </a:rPr>
                  <a:t>Show country labels</a:t>
                </a:r>
                <a:endParaRPr lang="en-GB" sz="800" b="0" i="0" u="none" strike="noStrike" baseline="0">
                  <a:solidFill>
                    <a:srgbClr val="000000"/>
                  </a:solidFill>
                  <a:latin typeface="Tahoma" panose="020B0604030504040204"/>
                  <a:ea typeface="Tahoma" panose="020B0604030504040204"/>
                  <a:cs typeface="Tahoma" panose="020B0604030504040204"/>
                </a:endParaRPr>
              </a:p>
            </xdr:txBody>
          </xdr:sp>
        </mc:Choice>
        <mc:Fallback/>
      </mc:AlternateContent>
      <mc:AlternateContent xmlns:mc="http://schemas.openxmlformats.org/markup-compatibility/2006">
        <mc:Choice xmlns:a14="http://schemas.microsoft.com/office/drawing/2010/main" Requires="a14">
          <xdr:sp>
            <xdr:nvSpPr>
              <xdr:cNvPr id="13449223" name="Check Box 7" hidden="1">
                <a:extLst>
                  <a:ext uri="{63B3BB69-23CF-44E3-9099-C40C66FF867C}">
                    <a14:compatExt spid="_x0000_s13449223"/>
                  </a:ext>
                </a:extLst>
              </xdr:cNvPr>
              <xdr:cNvSpPr/>
            </xdr:nvSpPr>
            <xdr:spPr>
              <a:xfrm>
                <a:off x="13078046" y="5872804"/>
                <a:ext cx="1350206" cy="22940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panose="020B0604030504040204"/>
                    <a:ea typeface="Tahoma" panose="020B0604030504040204"/>
                    <a:cs typeface="Tahoma" panose="020B0604030504040204"/>
                  </a:rPr>
                  <a:t>Show outliers (blue dots)</a:t>
                </a:r>
                <a:endParaRPr lang="en-GB" sz="800" b="0" i="0" u="none" strike="noStrike" baseline="0">
                  <a:solidFill>
                    <a:srgbClr val="000000"/>
                  </a:solidFill>
                  <a:latin typeface="Tahoma" panose="020B0604030504040204"/>
                  <a:ea typeface="Tahoma" panose="020B0604030504040204"/>
                  <a:cs typeface="Tahoma" panose="020B0604030504040204"/>
                </a:endParaRPr>
              </a:p>
            </xdr:txBody>
          </xdr:sp>
        </mc:Choice>
        <mc:Fallback/>
      </mc:AlternateContent>
      <mc:AlternateContent xmlns:mc="http://schemas.openxmlformats.org/markup-compatibility/2006">
        <mc:Choice xmlns:a14="http://schemas.microsoft.com/office/drawing/2010/main" Requires="a14">
          <xdr:sp>
            <xdr:nvSpPr>
              <xdr:cNvPr id="13449224" name="Drop Down 8" hidden="1">
                <a:extLst>
                  <a:ext uri="{63B3BB69-23CF-44E3-9099-C40C66FF867C}">
                    <a14:compatExt spid="_x0000_s13449224"/>
                  </a:ext>
                </a:extLst>
              </xdr:cNvPr>
              <xdr:cNvSpPr/>
            </xdr:nvSpPr>
            <xdr:spPr>
              <a:xfrm>
                <a:off x="11941803" y="3922843"/>
                <a:ext cx="2467395" cy="210001"/>
              </a:xfrm>
              <a:prstGeom prst="rect">
                <a:avLst/>
              </a:prstGeom>
            </xdr:spPr>
          </xdr:sp>
        </mc:Choice>
        <mc:Fallback/>
      </mc:AlternateContent>
      <mc:AlternateContent xmlns:mc="http://schemas.openxmlformats.org/markup-compatibility/2006">
        <mc:Choice xmlns:a14="http://schemas.microsoft.com/office/drawing/2010/main" Requires="a14">
          <xdr:sp macro="[0]!CityAlignHL">
            <xdr:nvSpPr>
              <xdr:cNvPr id="13449225" name="Drop Down 9" hidden="1">
                <a:extLst>
                  <a:ext uri="{63B3BB69-23CF-44E3-9099-C40C66FF867C}">
                    <a14:compatExt spid="_x0000_s13449225"/>
                  </a:ext>
                </a:extLst>
              </xdr:cNvPr>
              <xdr:cNvSpPr/>
            </xdr:nvSpPr>
            <xdr:spPr>
              <a:xfrm>
                <a:off x="13049465" y="2364569"/>
                <a:ext cx="1390258" cy="210166"/>
              </a:xfrm>
              <a:prstGeom prst="rect">
                <a:avLst/>
              </a:prstGeom>
            </xdr:spPr>
          </xdr:sp>
        </mc:Choice>
        <mc:Fallback/>
      </mc:AlternateContent>
      <xdr:sp>
        <xdr:nvSpPr>
          <xdr:cNvPr id="48" name="lbl_cnt_City_1"/>
          <xdr:cNvSpPr txBox="1"/>
        </xdr:nvSpPr>
        <xdr:spPr>
          <a:xfrm>
            <a:off x="13016376" y="2142952"/>
            <a:ext cx="1415213" cy="221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000" b="1" baseline="0">
                <a:solidFill>
                  <a:sysClr val="windowText" lastClr="000000"/>
                </a:solidFill>
                <a:latin typeface="+mn-lt"/>
                <a:ea typeface="Karla" pitchFamily="2" charset="0"/>
              </a:rPr>
              <a:t>SELECT YEAR</a:t>
            </a:r>
            <a:endParaRPr lang="en-GB" sz="1000" b="1">
              <a:solidFill>
                <a:sysClr val="windowText" lastClr="000000"/>
              </a:solidFill>
              <a:latin typeface="+mn-lt"/>
              <a:ea typeface="Karla" pitchFamily="2" charset="0"/>
            </a:endParaRPr>
          </a:p>
        </xdr:txBody>
      </xdr:sp>
      <xdr:sp>
        <xdr:nvSpPr>
          <xdr:cNvPr id="49" name="lbl_cnt_City_1"/>
          <xdr:cNvSpPr txBox="1"/>
        </xdr:nvSpPr>
        <xdr:spPr>
          <a:xfrm>
            <a:off x="13018049" y="4168617"/>
            <a:ext cx="1391022" cy="232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INCOME LEVEL </a:t>
            </a:r>
            <a:r>
              <a:rPr lang="en-GB" sz="1100" b="1" baseline="0">
                <a:solidFill>
                  <a:sysClr val="windowText" lastClr="000000"/>
                </a:solidFill>
              </a:rPr>
              <a:t>FILTER</a:t>
            </a:r>
            <a:endParaRPr lang="en-GB" sz="1100" b="1">
              <a:solidFill>
                <a:sysClr val="windowText" lastClr="000000"/>
              </a:solidFill>
            </a:endParaRPr>
          </a:p>
        </xdr:txBody>
      </xdr:sp>
      <mc:AlternateContent xmlns:mc="http://schemas.openxmlformats.org/markup-compatibility/2006">
        <mc:Choice xmlns:a14="http://schemas.microsoft.com/office/drawing/2010/main" Requires="a14">
          <xdr:sp>
            <xdr:nvSpPr>
              <xdr:cNvPr id="13449226" name="Drop Down 10" hidden="1">
                <a:extLst>
                  <a:ext uri="{63B3BB69-23CF-44E3-9099-C40C66FF867C}">
                    <a14:compatExt spid="_x0000_s13449226"/>
                  </a:ext>
                </a:extLst>
              </xdr:cNvPr>
              <xdr:cNvSpPr/>
            </xdr:nvSpPr>
            <xdr:spPr>
              <a:xfrm>
                <a:off x="11941803" y="4401041"/>
                <a:ext cx="2467395" cy="210003"/>
              </a:xfrm>
              <a:prstGeom prst="rect">
                <a:avLst/>
              </a:prstGeom>
            </xdr:spPr>
          </xdr:sp>
        </mc:Choice>
        <mc:Fallback/>
      </mc:AlternateContent>
      <xdr:cxnSp>
        <xdr:nvCxnSpPr>
          <xdr:cNvPr id="17" name="Straight Connector 16"/>
          <xdr:cNvCxnSpPr/>
        </xdr:nvCxnSpPr>
        <xdr:spPr>
          <a:xfrm flipV="1">
            <a:off x="810467" y="2935489"/>
            <a:ext cx="5410110" cy="4757335"/>
          </a:xfrm>
          <a:prstGeom prst="line">
            <a:avLst/>
          </a:prstGeom>
          <a:ln w="12700">
            <a:solidFill>
              <a:schemeClr val="accent1">
                <a:alpha val="25000"/>
              </a:schemeClr>
            </a:solidFill>
          </a:ln>
        </xdr:spPr>
        <xdr:style>
          <a:lnRef idx="2">
            <a:schemeClr val="accent1"/>
          </a:lnRef>
          <a:fillRef idx="0">
            <a:schemeClr val="accent1"/>
          </a:fillRef>
          <a:effectRef idx="1">
            <a:schemeClr val="accent1"/>
          </a:effectRef>
          <a:fontRef idx="minor">
            <a:schemeClr val="tx1"/>
          </a:fontRef>
        </xdr:style>
      </xdr:cxnSp>
      <xdr:sp>
        <xdr:nvSpPr>
          <xdr:cNvPr id="59" name="lbl_cnt_City_1"/>
          <xdr:cNvSpPr txBox="1"/>
        </xdr:nvSpPr>
        <xdr:spPr>
          <a:xfrm>
            <a:off x="12057089" y="4645477"/>
            <a:ext cx="2332700" cy="2161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100" b="1">
                <a:solidFill>
                  <a:sysClr val="windowText" lastClr="000000"/>
                </a:solidFill>
              </a:rPr>
              <a:t>POPULATION LEVEL </a:t>
            </a:r>
            <a:r>
              <a:rPr lang="en-GB" sz="1100" b="1" baseline="0">
                <a:solidFill>
                  <a:sysClr val="windowText" lastClr="000000"/>
                </a:solidFill>
              </a:rPr>
              <a:t>FILTER</a:t>
            </a:r>
            <a:endParaRPr lang="en-GB" sz="1100" b="1">
              <a:solidFill>
                <a:sysClr val="windowText" lastClr="000000"/>
              </a:solidFill>
            </a:endParaRPr>
          </a:p>
        </xdr:txBody>
      </xdr:sp>
      <mc:AlternateContent xmlns:mc="http://schemas.openxmlformats.org/markup-compatibility/2006">
        <mc:Choice xmlns:a14="http://schemas.microsoft.com/office/drawing/2010/main" Requires="a14">
          <xdr:sp>
            <xdr:nvSpPr>
              <xdr:cNvPr id="13449228" name="Drop Down 12" hidden="1">
                <a:extLst>
                  <a:ext uri="{63B3BB69-23CF-44E3-9099-C40C66FF867C}">
                    <a14:compatExt spid="_x0000_s13449228"/>
                  </a:ext>
                </a:extLst>
              </xdr:cNvPr>
              <xdr:cNvSpPr/>
            </xdr:nvSpPr>
            <xdr:spPr>
              <a:xfrm>
                <a:off x="11927411" y="4875201"/>
                <a:ext cx="2473067" cy="207138"/>
              </a:xfrm>
              <a:prstGeom prst="rect">
                <a:avLst/>
              </a:prstGeom>
            </xdr:spPr>
          </xdr:sp>
        </mc:Choice>
        <mc:Fallback/>
      </mc:AlternateContent>
    </xdr:grpSp>
    <xdr:clientData fPrintsWithSheet="0"/>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23</xdr:col>
      <xdr:colOff>712778</xdr:colOff>
      <xdr:row>2</xdr:row>
      <xdr:rowOff>887808</xdr:rowOff>
    </xdr:to>
    <xdr:grpSp>
      <xdr:nvGrpSpPr>
        <xdr:cNvPr id="10" name="MENU"/>
        <xdr:cNvGrpSpPr/>
      </xdr:nvGrpSpPr>
      <xdr:grpSpPr>
        <a:xfrm>
          <a:off x="0" y="0"/>
          <a:ext cx="14457045" cy="1626870"/>
          <a:chOff x="0" y="0"/>
          <a:chExt cx="14483192" cy="1622669"/>
        </a:xfrm>
      </xdr:grpSpPr>
      <xdr:grpSp>
        <xdr:nvGrpSpPr>
          <xdr:cNvPr id="27" name="MENU_INDI"/>
          <xdr:cNvGrpSpPr/>
        </xdr:nvGrpSpPr>
        <xdr:grpSpPr>
          <a:xfrm>
            <a:off x="0" y="0"/>
            <a:ext cx="14483192" cy="1622669"/>
            <a:chOff x="0" y="0"/>
            <a:chExt cx="14471109" cy="1607460"/>
          </a:xfrm>
        </xdr:grpSpPr>
        <xdr:grpSp>
          <xdr:nvGrpSpPr>
            <xdr:cNvPr id="28" name="MENU_B"/>
            <xdr:cNvGrpSpPr/>
          </xdr:nvGrpSpPr>
          <xdr:grpSpPr>
            <a:xfrm>
              <a:off x="1151" y="0"/>
              <a:ext cx="14469958" cy="1607460"/>
              <a:chOff x="1147" y="1"/>
              <a:chExt cx="14439864" cy="1631585"/>
            </a:xfrm>
          </xdr:grpSpPr>
          <xdr:grpSp>
            <xdr:nvGrpSpPr>
              <xdr:cNvPr id="33" name="MENU_BASE"/>
              <xdr:cNvGrpSpPr/>
            </xdr:nvGrpSpPr>
            <xdr:grpSpPr>
              <a:xfrm>
                <a:off x="1147" y="1"/>
                <a:ext cx="14439864" cy="1631585"/>
                <a:chOff x="1145" y="1"/>
                <a:chExt cx="14415523" cy="1627321"/>
              </a:xfrm>
            </xdr:grpSpPr>
            <xdr:sp>
              <xdr:nvSpPr>
                <xdr:cNvPr id="35" name="nav_controls"/>
                <xdr:cNvSpPr/>
              </xdr:nvSpPr>
              <xdr:spPr>
                <a:xfrm>
                  <a:off x="18534" y="382107"/>
                  <a:ext cx="14398134" cy="1245215"/>
                </a:xfrm>
                <a:prstGeom prst="rect">
                  <a:avLst/>
                </a:prstGeom>
                <a:solidFill>
                  <a:schemeClr val="bg1">
                    <a:lumMod val="95000"/>
                  </a:schemeClr>
                </a:solidFill>
                <a:ln w="127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chemeClr val="tx2">
                        <a:lumMod val="75000"/>
                      </a:schemeClr>
                    </a:solidFill>
                    <a:latin typeface="+mn-lt"/>
                    <a:ea typeface="Karla" pitchFamily="2" charset="0"/>
                  </a:endParaRPr>
                </a:p>
              </xdr:txBody>
            </xdr:sp>
            <xdr:sp>
              <xdr:nvSpPr>
                <xdr:cNvPr id="36" name="Home1"/>
                <xdr:cNvSpPr/>
              </xdr:nvSpPr>
              <xdr:spPr>
                <a:xfrm>
                  <a:off x="1151" y="1"/>
                  <a:ext cx="867228" cy="364908"/>
                </a:xfrm>
                <a:prstGeom prst="rect">
                  <a:avLst/>
                </a:prstGeom>
                <a:solidFill>
                  <a:schemeClr val="bg1"/>
                </a:solidFill>
                <a:ln w="6350">
                  <a:solidFill>
                    <a:schemeClr val="accent6">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chemeClr val="accent1">
                        <a:lumMod val="75000"/>
                      </a:schemeClr>
                    </a:solidFill>
                    <a:latin typeface="+mn-lt"/>
                    <a:ea typeface="Karla" pitchFamily="2" charset="0"/>
                    <a:cs typeface="DilleniaUPC" pitchFamily="18" charset="-34"/>
                  </a:endParaRPr>
                </a:p>
              </xdr:txBody>
            </xdr:sp>
            <xdr:pic macro="[0]!LBChanger">
              <xdr:nvPicPr>
                <xdr:cNvPr id="37" name="Home" descr="Home.png"/>
                <xdr:cNvPicPr>
                  <a:picLocks noChangeAspect="1"/>
                </xdr:cNvPicPr>
              </xdr:nvPicPr>
              <xdr:blipFill>
                <a:blip r:embed="rId1" cstate="print"/>
                <a:stretch>
                  <a:fillRect/>
                </a:stretch>
              </xdr:blipFill>
              <xdr:spPr>
                <a:xfrm>
                  <a:off x="76311" y="16517"/>
                  <a:ext cx="353192" cy="335848"/>
                </a:xfrm>
                <a:prstGeom prst="rect">
                  <a:avLst/>
                </a:prstGeom>
                <a:solidFill>
                  <a:schemeClr val="bg1"/>
                </a:solidFill>
              </xdr:spPr>
            </xdr:pic>
            <xdr:pic macro="[0]!Navigate_GoBack">
              <xdr:nvPicPr>
                <xdr:cNvPr id="38" name="Picture 37" descr="Silver-Back-Button.png"/>
                <xdr:cNvPicPr>
                  <a:picLocks noChangeAspect="1"/>
                </xdr:cNvPicPr>
              </xdr:nvPicPr>
              <xdr:blipFill>
                <a:blip r:embed="rId2" cstate="print"/>
                <a:stretch>
                  <a:fillRect/>
                </a:stretch>
              </xdr:blipFill>
              <xdr:spPr>
                <a:xfrm>
                  <a:off x="482924" y="16516"/>
                  <a:ext cx="346258" cy="335122"/>
                </a:xfrm>
                <a:prstGeom prst="rect">
                  <a:avLst/>
                </a:prstGeom>
                <a:solidFill>
                  <a:schemeClr val="bg1"/>
                </a:solidFill>
              </xdr:spPr>
            </xdr:pic>
            <xdr:sp macro="[0]!LBChanger" textlink="uxb_works!B92">
              <xdr:nvSpPr>
                <xdr:cNvPr id="39" name="Summary"/>
                <xdr:cNvSpPr/>
              </xdr:nvSpPr>
              <xdr:spPr>
                <a:xfrm>
                  <a:off x="1145" y="367806"/>
                  <a:ext cx="3610583" cy="363245"/>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105C044-9834-4268-A7A6-5159ABE53AAC}"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3">
              <xdr:nvSpPr>
                <xdr:cNvPr id="40" name="Indicator_Ranking"/>
                <xdr:cNvSpPr/>
              </xdr:nvSpPr>
              <xdr:spPr>
                <a:xfrm>
                  <a:off x="3610858" y="367806"/>
                  <a:ext cx="3610583" cy="363245"/>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ABB0398-29D1-49BB-889F-7885C1ADD678}" type="TxLink">
                    <a:rPr lang="en-US" sz="14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macro="[0]!LBChanger" textlink="uxb_works!B94">
              <xdr:nvSpPr>
                <xdr:cNvPr id="41" name="CityProfile"/>
                <xdr:cNvSpPr/>
              </xdr:nvSpPr>
              <xdr:spPr>
                <a:xfrm>
                  <a:off x="7222398" y="367806"/>
                  <a:ext cx="3610583" cy="363245"/>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DCC65E-F82F-4EA9-A004-8FD74DA0D109}"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5">
              <xdr:nvSpPr>
                <xdr:cNvPr id="42" name="Weights"/>
                <xdr:cNvSpPr/>
              </xdr:nvSpPr>
              <xdr:spPr>
                <a:xfrm>
                  <a:off x="10831831" y="367806"/>
                  <a:ext cx="3581811" cy="363245"/>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EC9DCF-1775-4B22-9966-148AF6400B32}"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textlink="uxb_works!B90">
              <xdr:nvSpPr>
                <xdr:cNvPr id="43" name="Home1"/>
                <xdr:cNvSpPr/>
              </xdr:nvSpPr>
              <xdr:spPr>
                <a:xfrm>
                  <a:off x="868627" y="3"/>
                  <a:ext cx="13541671" cy="369654"/>
                </a:xfrm>
                <a:prstGeom prst="rect">
                  <a:avLst/>
                </a:prstGeom>
                <a:solidFill>
                  <a:srgbClr val="FFFFFF"/>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B609E4-A4C5-4832-9622-4C6482086EB7}" type="TxLink">
                    <a:rPr lang="en-US" sz="1600" b="1" i="0" u="none" strike="noStrike">
                      <a:solidFill>
                        <a:schemeClr val="accent1">
                          <a:lumMod val="75000"/>
                        </a:schemeClr>
                      </a:solidFill>
                      <a:latin typeface="Calibri" panose="020F0502020204030204"/>
                      <a:ea typeface="Karla" pitchFamily="2" charset="0"/>
                      <a:cs typeface="Calibri" panose="020F0502020204030204"/>
                    </a:rPr>
                  </a:fld>
                  <a:endParaRPr lang="en-GB" sz="1400" b="1">
                    <a:solidFill>
                      <a:schemeClr val="accent1">
                        <a:lumMod val="75000"/>
                      </a:schemeClr>
                    </a:solidFill>
                    <a:latin typeface="+mn-lt"/>
                    <a:ea typeface="Karla" pitchFamily="2" charset="0"/>
                    <a:cs typeface="DilleniaUPC" pitchFamily="18" charset="-34"/>
                  </a:endParaRPr>
                </a:p>
              </xdr:txBody>
            </xdr:sp>
          </xdr:grpSp>
          <xdr:pic macro="[0]!Generate_XL">
            <xdr:nvPicPr>
              <xdr:cNvPr id="34" name="exp_xl" descr="excel-wbg.jpg"/>
              <xdr:cNvPicPr>
                <a:picLocks noChangeAspect="1"/>
              </xdr:cNvPicPr>
            </xdr:nvPicPr>
            <xdr:blipFill>
              <a:blip r:embed="rId3" cstate="print">
                <a:extLst>
                  <a:ext uri="{BEBA8EAE-BF5A-486C-A8C5-ECC9F3942E4B}">
                    <a14:imgProps xmlns:a14="http://schemas.microsoft.com/office/drawing/2010/main">
                      <a14:imgLayer r:embed="rId4">
                        <a14:imgEffect>
                          <a14:backgroundRemoval t="10000" b="90000" l="10000" r="90000"/>
                        </a14:imgEffect>
                      </a14:imgLayer>
                    </a14:imgProps>
                  </a:ext>
                </a:extLst>
              </a:blip>
              <a:stretch>
                <a:fillRect/>
              </a:stretch>
            </xdr:blipFill>
            <xdr:spPr>
              <a:xfrm>
                <a:off x="14106525" y="1200150"/>
                <a:ext cx="331567" cy="411958"/>
              </a:xfrm>
              <a:prstGeom prst="rect">
                <a:avLst/>
              </a:prstGeom>
            </xdr:spPr>
          </xdr:pic>
        </xdr:grpSp>
        <xdr:sp macro="[0]!LBChanger" textlink="uxb_works!B98">
          <xdr:nvSpPr>
            <xdr:cNvPr id="29" name="Indicator_Ranking"/>
            <xdr:cNvSpPr/>
          </xdr:nvSpPr>
          <xdr:spPr>
            <a:xfrm>
              <a:off x="0" y="716021"/>
              <a:ext cx="2542547" cy="287239"/>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AB1D-3221-497B-B62F-CBD2342211FC}"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9">
          <xdr:nvSpPr>
            <xdr:cNvPr id="30" name="Scatter"/>
            <xdr:cNvSpPr/>
          </xdr:nvSpPr>
          <xdr:spPr>
            <a:xfrm>
              <a:off x="2539335" y="716021"/>
              <a:ext cx="2521910" cy="287239"/>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A3F098-38E9-46DF-B860-78152B218C7D}"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101">
          <xdr:nvSpPr>
            <xdr:cNvPr id="31" name="Scores"/>
            <xdr:cNvSpPr/>
          </xdr:nvSpPr>
          <xdr:spPr>
            <a:xfrm>
              <a:off x="7582027" y="716021"/>
              <a:ext cx="2521910" cy="287239"/>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9A9102-156B-46E0-B507-62FF168041FD}" type="TxLink">
                <a:rPr lang="en-US" sz="12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macro="[0]!LBChanger" textlink="uxb_works!B100">
          <xdr:nvSpPr>
            <xdr:cNvPr id="32" name="Scatter_InOut"/>
            <xdr:cNvSpPr/>
          </xdr:nvSpPr>
          <xdr:spPr>
            <a:xfrm>
              <a:off x="5061722" y="716021"/>
              <a:ext cx="2521910" cy="287239"/>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E814A0-2771-45A2-AC89-C804F25C5AFA}"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grpSp>
      <xdr:pic macro="[0]!CntCHLUp">
        <xdr:nvPicPr>
          <xdr:cNvPr id="5" name="cnt_series_up2" descr="scroll_up_small.png"/>
          <xdr:cNvPicPr>
            <a:picLocks noChangeAspect="1"/>
          </xdr:cNvPicPr>
        </xdr:nvPicPr>
        <xdr:blipFill>
          <a:blip r:embed="rId5" cstate="print"/>
          <a:stretch>
            <a:fillRect/>
          </a:stretch>
        </xdr:blipFill>
        <xdr:spPr>
          <a:xfrm>
            <a:off x="108766" y="1366914"/>
            <a:ext cx="0" cy="121548"/>
          </a:xfrm>
          <a:prstGeom prst="rect">
            <a:avLst/>
          </a:prstGeom>
        </xdr:spPr>
      </xdr:pic>
      <xdr:pic macro="[0]!CntCHLDown">
        <xdr:nvPicPr>
          <xdr:cNvPr id="6" name="cnt_series_down2" descr="scroll_down_small.png"/>
          <xdr:cNvPicPr>
            <a:picLocks noChangeAspect="1"/>
          </xdr:cNvPicPr>
        </xdr:nvPicPr>
        <xdr:blipFill>
          <a:blip r:embed="rId6" cstate="print"/>
          <a:stretch>
            <a:fillRect/>
          </a:stretch>
        </xdr:blipFill>
        <xdr:spPr>
          <a:xfrm>
            <a:off x="108766" y="1486520"/>
            <a:ext cx="0" cy="95265"/>
          </a:xfrm>
          <a:prstGeom prst="rect">
            <a:avLst/>
          </a:prstGeom>
        </xdr:spPr>
      </xdr:pic>
      <mc:AlternateContent xmlns:mc="http://schemas.openxmlformats.org/markup-compatibility/2006">
        <mc:Choice xmlns:a14="http://schemas.microsoft.com/office/drawing/2010/main" Requires="a14">
          <xdr:sp macro="[0]!HideWeightSelect">
            <xdr:nvSpPr>
              <xdr:cNvPr id="13407234" name="Drop Down 2" hidden="1">
                <a:extLst>
                  <a:ext uri="{63B3BB69-23CF-44E3-9099-C40C66FF867C}">
                    <a14:compatExt spid="_x0000_s13407234"/>
                  </a:ext>
                </a:extLst>
              </xdr:cNvPr>
              <xdr:cNvSpPr/>
            </xdr:nvSpPr>
            <xdr:spPr>
              <a:xfrm>
                <a:off x="108766" y="1325336"/>
                <a:ext cx="1419316" cy="219076"/>
              </a:xfrm>
              <a:prstGeom prst="rect">
                <a:avLst/>
              </a:prstGeom>
            </xdr:spPr>
          </xdr:sp>
        </mc:Choice>
        <mc:Fallback/>
      </mc:AlternateContent>
      <xdr:sp>
        <xdr:nvSpPr>
          <xdr:cNvPr id="8" name="lbl_cnt_City_1"/>
          <xdr:cNvSpPr txBox="1"/>
        </xdr:nvSpPr>
        <xdr:spPr>
          <a:xfrm>
            <a:off x="108857" y="1103877"/>
            <a:ext cx="1429252" cy="219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baseline="0">
                <a:solidFill>
                  <a:sysClr val="windowText" lastClr="000000"/>
                </a:solidFill>
                <a:latin typeface="+mn-lt"/>
                <a:ea typeface="Karla" pitchFamily="2" charset="0"/>
              </a:rPr>
              <a:t>SELECT YEAR</a:t>
            </a:r>
            <a:endParaRPr lang="en-GB" sz="1000" b="1">
              <a:solidFill>
                <a:sysClr val="windowText" lastClr="000000"/>
              </a:solidFill>
              <a:latin typeface="+mn-lt"/>
              <a:ea typeface="Karla" pitchFamily="2" charset="0"/>
            </a:endParaRPr>
          </a:p>
        </xdr:txBody>
      </xdr:sp>
      <xdr:sp textlink="uxb_works!B85">
        <xdr:nvSpPr>
          <xdr:cNvPr id="26" name="TextBox 25"/>
          <xdr:cNvSpPr txBox="1">
            <a:spLocks noChangeArrowheads="1"/>
          </xdr:cNvSpPr>
        </xdr:nvSpPr>
        <xdr:spPr>
          <a:xfrm>
            <a:off x="1926955" y="1100847"/>
            <a:ext cx="2529986" cy="463985"/>
          </a:xfrm>
          <a:prstGeom prst="rect">
            <a:avLst/>
          </a:prstGeom>
          <a:solidFill>
            <a:srgbClr val="FFFFFF"/>
          </a:solidFill>
          <a:ln w="9525">
            <a:solidFill>
              <a:srgbClr val="BCBCBC"/>
            </a:solidFill>
            <a:miter lim="800000"/>
          </a:ln>
        </xdr:spPr>
        <xdr:txBody>
          <a:bodyPr vertOverflow="clip" wrap="square" lIns="72000" tIns="72000" rIns="144000" bIns="72000" anchor="t" upright="1"/>
          <a:lstStyle/>
          <a:p>
            <a:pPr marL="0" algn="l"/>
            <a:fld id="{0D6B841C-980C-4B23-A171-5CA80F884A8D}" type="TxLink">
              <a:rPr lang="en-US" sz="800" b="0" i="0" u="none" strike="noStrike">
                <a:solidFill>
                  <a:srgbClr val="3B6E8F"/>
                </a:solidFill>
                <a:effectLst/>
                <a:latin typeface="Calibri" panose="020F0502020204030204"/>
                <a:ea typeface="+mn-ea"/>
                <a:cs typeface="Calibri" panose="020F0502020204030204"/>
              </a:rPr>
            </a:fld>
            <a:endParaRPr lang="en-GB" sz="1100">
              <a:effectLst/>
              <a:latin typeface="+mn-lt"/>
              <a:ea typeface="+mn-ea"/>
              <a:cs typeface="+mn-cs"/>
            </a:endParaRPr>
          </a:p>
        </xdr:txBody>
      </xdr:sp>
    </xdr:grpSp>
    <xdr:clientData fPrintsWithSheet="0"/>
  </xdr:twoCellAnchor>
  <xdr:twoCellAnchor editAs="absolute">
    <xdr:from>
      <xdr:col>17</xdr:col>
      <xdr:colOff>1050639</xdr:colOff>
      <xdr:row>2</xdr:row>
      <xdr:rowOff>387486</xdr:rowOff>
    </xdr:from>
    <xdr:to>
      <xdr:col>23</xdr:col>
      <xdr:colOff>19662</xdr:colOff>
      <xdr:row>4</xdr:row>
      <xdr:rowOff>42332</xdr:rowOff>
    </xdr:to>
    <xdr:grpSp>
      <xdr:nvGrpSpPr>
        <xdr:cNvPr id="11" name="Weights_Select"/>
        <xdr:cNvGrpSpPr/>
      </xdr:nvGrpSpPr>
      <xdr:grpSpPr>
        <a:xfrm>
          <a:off x="7879715" y="1126490"/>
          <a:ext cx="5883910" cy="557530"/>
          <a:chOff x="7881425" y="1122272"/>
          <a:chExt cx="5908666" cy="552917"/>
        </a:xfrm>
      </xdr:grpSpPr>
      <xdr:sp textlink="_WeightProfile">
        <xdr:nvSpPr>
          <xdr:cNvPr id="2" name="Text Box 6"/>
          <xdr:cNvSpPr txBox="1">
            <a:spLocks noChangeArrowheads="1"/>
          </xdr:cNvSpPr>
        </xdr:nvSpPr>
        <xdr:spPr>
          <a:xfrm>
            <a:off x="7881425" y="1347670"/>
            <a:ext cx="4059668" cy="327519"/>
          </a:xfrm>
          <a:prstGeom prst="rect">
            <a:avLst/>
          </a:prstGeom>
          <a:noFill/>
          <a:ln w="9525">
            <a:noFill/>
            <a:miter lim="800000"/>
          </a:ln>
        </xdr:spPr>
        <xdr:txBody>
          <a:bodyPr vertOverflow="clip" wrap="square" lIns="108000" tIns="27432" rIns="0" bIns="0" anchor="t" upright="1"/>
          <a:lstStyle/>
          <a:p>
            <a:pPr algn="l" rtl="0">
              <a:defRPr sz="1000"/>
            </a:pPr>
            <a:fld id="{6B3CEEA7-E132-459A-8C8C-F76B64C58034}" type="TxLink">
              <a:rPr lang="en-US" sz="1000" b="0" i="1" u="none" strike="noStrike" baseline="0">
                <a:solidFill>
                  <a:schemeClr val="tx1">
                    <a:lumMod val="65000"/>
                    <a:lumOff val="35000"/>
                  </a:schemeClr>
                </a:solidFill>
                <a:latin typeface="Karla" pitchFamily="2" charset="0"/>
                <a:ea typeface="Karla" pitchFamily="2" charset="0"/>
                <a:cs typeface="Calibri" panose="020F0502020204030204"/>
              </a:rPr>
            </a:fld>
            <a:endParaRPr lang="en-GB" sz="1000" b="0" i="1" u="none" strike="noStrike" baseline="0">
              <a:solidFill>
                <a:schemeClr val="tx1">
                  <a:lumMod val="65000"/>
                  <a:lumOff val="35000"/>
                </a:schemeClr>
              </a:solidFill>
              <a:latin typeface="Karla" pitchFamily="2" charset="0"/>
              <a:ea typeface="Karla" pitchFamily="2" charset="0"/>
            </a:endParaRPr>
          </a:p>
        </xdr:txBody>
      </xdr:sp>
      <xdr:sp>
        <xdr:nvSpPr>
          <xdr:cNvPr id="3" name="lbl_cnt_City_1"/>
          <xdr:cNvSpPr txBox="1"/>
        </xdr:nvSpPr>
        <xdr:spPr>
          <a:xfrm>
            <a:off x="13103595" y="1122272"/>
            <a:ext cx="686496" cy="220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000" b="1">
                <a:solidFill>
                  <a:sysClr val="windowText" lastClr="000000"/>
                </a:solidFill>
                <a:latin typeface="+mn-lt"/>
                <a:ea typeface="Karla" pitchFamily="2" charset="0"/>
              </a:rPr>
              <a:t>WEIGHTS</a:t>
            </a:r>
            <a:endParaRPr lang="en-GB" sz="1000" b="1">
              <a:solidFill>
                <a:sysClr val="windowText" lastClr="000000"/>
              </a:solidFill>
              <a:latin typeface="+mn-lt"/>
              <a:ea typeface="Karla" pitchFamily="2" charset="0"/>
            </a:endParaRPr>
          </a:p>
        </xdr:txBody>
      </xdr:sp>
      <mc:AlternateContent xmlns:mc="http://schemas.openxmlformats.org/markup-compatibility/2006">
        <mc:Choice xmlns:a14="http://schemas.microsoft.com/office/drawing/2010/main" Requires="a14">
          <xdr:sp macro="[0]!LoadWeights">
            <xdr:nvSpPr>
              <xdr:cNvPr id="13407233" name="SELECTION" hidden="1">
                <a:extLst>
                  <a:ext uri="{63B3BB69-23CF-44E3-9099-C40C66FF867C}">
                    <a14:compatExt spid="_x0000_s13407233"/>
                  </a:ext>
                </a:extLst>
              </xdr:cNvPr>
              <xdr:cNvSpPr/>
            </xdr:nvSpPr>
            <xdr:spPr>
              <a:xfrm>
                <a:off x="11693253" y="1334942"/>
                <a:ext cx="2096560" cy="225118"/>
              </a:xfrm>
              <a:prstGeom prst="rect">
                <a:avLst/>
              </a:prstGeom>
            </xdr:spPr>
          </xdr:sp>
        </mc:Choice>
        <mc:Fallback/>
      </mc:AlternateContent>
    </xdr:grpSp>
    <xdr:clientData fPrintsWithSheet="0"/>
  </xdr:twoCellAnchor>
  <xdr:twoCellAnchor editAs="absolute">
    <xdr:from>
      <xdr:col>1</xdr:col>
      <xdr:colOff>0</xdr:colOff>
      <xdr:row>67</xdr:row>
      <xdr:rowOff>107160</xdr:rowOff>
    </xdr:from>
    <xdr:to>
      <xdr:col>13</xdr:col>
      <xdr:colOff>832607</xdr:colOff>
      <xdr:row>67</xdr:row>
      <xdr:rowOff>288135</xdr:rowOff>
    </xdr:to>
    <xdr:sp macro="[0]!returntop">
      <xdr:nvSpPr>
        <xdr:cNvPr id="44" name="go_top"/>
        <xdr:cNvSpPr txBox="1"/>
      </xdr:nvSpPr>
      <xdr:spPr>
        <a:xfrm>
          <a:off x="114300" y="22094825"/>
          <a:ext cx="83248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mn-lt"/>
              <a:ea typeface="Karla" pitchFamily="2" charset="0"/>
            </a:rPr>
            <a:t>Back to top</a:t>
          </a:r>
          <a:endParaRPr lang="en-GB" sz="1100" b="1" i="0" u="sng" strike="noStrike" baseline="0">
            <a:solidFill>
              <a:srgbClr val="0070C0"/>
            </a:solidFill>
            <a:latin typeface="+mn-lt"/>
            <a:ea typeface="Karla" pitchFamily="2" charset="0"/>
          </a:endParaRPr>
        </a:p>
      </xdr:txBody>
    </xdr:sp>
    <xdr:clientData fPrintsWithSheet="0"/>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12</xdr:col>
      <xdr:colOff>17242</xdr:colOff>
      <xdr:row>2</xdr:row>
      <xdr:rowOff>888999</xdr:rowOff>
    </xdr:to>
    <xdr:grpSp>
      <xdr:nvGrpSpPr>
        <xdr:cNvPr id="9" name="MENU"/>
        <xdr:cNvGrpSpPr/>
      </xdr:nvGrpSpPr>
      <xdr:grpSpPr>
        <a:xfrm>
          <a:off x="0" y="0"/>
          <a:ext cx="14437995" cy="1627505"/>
          <a:chOff x="0" y="0"/>
          <a:chExt cx="14459523" cy="1603374"/>
        </a:xfrm>
      </xdr:grpSpPr>
      <xdr:grpSp>
        <xdr:nvGrpSpPr>
          <xdr:cNvPr id="23" name="MENU_PLUS"/>
          <xdr:cNvGrpSpPr/>
        </xdr:nvGrpSpPr>
        <xdr:grpSpPr>
          <a:xfrm>
            <a:off x="0" y="0"/>
            <a:ext cx="14459523" cy="1603374"/>
            <a:chOff x="0" y="0"/>
            <a:chExt cx="14438092" cy="1619180"/>
          </a:xfrm>
        </xdr:grpSpPr>
        <xdr:grpSp>
          <xdr:nvGrpSpPr>
            <xdr:cNvPr id="24" name="MENU_B"/>
            <xdr:cNvGrpSpPr/>
          </xdr:nvGrpSpPr>
          <xdr:grpSpPr>
            <a:xfrm>
              <a:off x="1" y="0"/>
              <a:ext cx="14438091" cy="1619180"/>
              <a:chOff x="1" y="1"/>
              <a:chExt cx="14438091" cy="1619180"/>
            </a:xfrm>
          </xdr:grpSpPr>
          <xdr:grpSp>
            <xdr:nvGrpSpPr>
              <xdr:cNvPr id="28" name="MENU_BASE"/>
              <xdr:cNvGrpSpPr/>
            </xdr:nvGrpSpPr>
            <xdr:grpSpPr>
              <a:xfrm>
                <a:off x="1" y="1"/>
                <a:ext cx="14430248" cy="1619180"/>
                <a:chOff x="1" y="1"/>
                <a:chExt cx="14405922" cy="1614947"/>
              </a:xfrm>
            </xdr:grpSpPr>
            <xdr:sp>
              <xdr:nvSpPr>
                <xdr:cNvPr id="30" name="nav_controls"/>
                <xdr:cNvSpPr/>
              </xdr:nvSpPr>
              <xdr:spPr>
                <a:xfrm>
                  <a:off x="1" y="369733"/>
                  <a:ext cx="14401940" cy="1245215"/>
                </a:xfrm>
                <a:prstGeom prst="rect">
                  <a:avLst/>
                </a:prstGeom>
                <a:solidFill>
                  <a:schemeClr val="bg1">
                    <a:lumMod val="95000"/>
                  </a:schemeClr>
                </a:solidFill>
                <a:ln w="127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chemeClr val="tx2">
                        <a:lumMod val="75000"/>
                      </a:schemeClr>
                    </a:solidFill>
                    <a:latin typeface="+mn-lt"/>
                    <a:ea typeface="Karla" pitchFamily="2" charset="0"/>
                  </a:endParaRPr>
                </a:p>
              </xdr:txBody>
            </xdr:sp>
            <xdr:sp macro="[0]!LBChanger" textlink="uxb_works!B92">
              <xdr:nvSpPr>
                <xdr:cNvPr id="31" name="Summary"/>
                <xdr:cNvSpPr/>
              </xdr:nvSpPr>
              <xdr:spPr>
                <a:xfrm>
                  <a:off x="1146" y="370236"/>
                  <a:ext cx="3606760"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105C044-9834-4268-A7A6-5159ABE53AAC}"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xdr:nvSpPr>
                <xdr:cNvPr id="32" name="Home1"/>
                <xdr:cNvSpPr/>
              </xdr:nvSpPr>
              <xdr:spPr>
                <a:xfrm>
                  <a:off x="1151" y="1"/>
                  <a:ext cx="867228" cy="364908"/>
                </a:xfrm>
                <a:prstGeom prst="rect">
                  <a:avLst/>
                </a:prstGeom>
                <a:solidFill>
                  <a:schemeClr val="bg1"/>
                </a:solidFill>
                <a:ln w="6350">
                  <a:solidFill>
                    <a:schemeClr val="accent6">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chemeClr val="accent1">
                        <a:lumMod val="75000"/>
                      </a:schemeClr>
                    </a:solidFill>
                    <a:latin typeface="+mn-lt"/>
                    <a:ea typeface="Karla" pitchFamily="2" charset="0"/>
                    <a:cs typeface="DilleniaUPC" pitchFamily="18" charset="-34"/>
                  </a:endParaRPr>
                </a:p>
              </xdr:txBody>
            </xdr:sp>
            <xdr:pic macro="[0]!LBChanger">
              <xdr:nvPicPr>
                <xdr:cNvPr id="33" name="Home" descr="Home.png"/>
                <xdr:cNvPicPr>
                  <a:picLocks noChangeAspect="1"/>
                </xdr:cNvPicPr>
              </xdr:nvPicPr>
              <xdr:blipFill>
                <a:blip r:embed="rId3" cstate="print"/>
                <a:stretch>
                  <a:fillRect/>
                </a:stretch>
              </xdr:blipFill>
              <xdr:spPr>
                <a:xfrm>
                  <a:off x="76311" y="16517"/>
                  <a:ext cx="353192" cy="335848"/>
                </a:xfrm>
                <a:prstGeom prst="rect">
                  <a:avLst/>
                </a:prstGeom>
                <a:solidFill>
                  <a:schemeClr val="bg1"/>
                </a:solidFill>
              </xdr:spPr>
            </xdr:pic>
            <xdr:pic macro="[0]!Navigate_GoBack">
              <xdr:nvPicPr>
                <xdr:cNvPr id="34" name="Picture 33" descr="Silver-Back-Button.png"/>
                <xdr:cNvPicPr>
                  <a:picLocks noChangeAspect="1"/>
                </xdr:cNvPicPr>
              </xdr:nvPicPr>
              <xdr:blipFill>
                <a:blip r:embed="rId4" cstate="print"/>
                <a:stretch>
                  <a:fillRect/>
                </a:stretch>
              </xdr:blipFill>
              <xdr:spPr>
                <a:xfrm>
                  <a:off x="482924" y="16516"/>
                  <a:ext cx="346258" cy="335122"/>
                </a:xfrm>
                <a:prstGeom prst="rect">
                  <a:avLst/>
                </a:prstGeom>
                <a:solidFill>
                  <a:schemeClr val="bg1"/>
                </a:solidFill>
              </xdr:spPr>
            </xdr:pic>
            <xdr:sp macro="[0]!LBChanger" textlink="uxb_works!B93">
              <xdr:nvSpPr>
                <xdr:cNvPr id="35" name="Indicator_Ranking"/>
                <xdr:cNvSpPr/>
              </xdr:nvSpPr>
              <xdr:spPr>
                <a:xfrm>
                  <a:off x="3599182" y="370236"/>
                  <a:ext cx="3601229"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ABB0398-29D1-49BB-889F-7885C1ADD678}"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4">
              <xdr:nvSpPr>
                <xdr:cNvPr id="36" name="CityProfile2"/>
                <xdr:cNvSpPr/>
              </xdr:nvSpPr>
              <xdr:spPr>
                <a:xfrm>
                  <a:off x="7199046" y="370236"/>
                  <a:ext cx="3603380" cy="359386"/>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DCC65E-F82F-4EA9-A004-8FD74DA0D109}" type="TxLink">
                    <a:rPr lang="en-US" sz="14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textlink="uxb_works!B90">
              <xdr:nvSpPr>
                <xdr:cNvPr id="38" name="Home1"/>
                <xdr:cNvSpPr/>
              </xdr:nvSpPr>
              <xdr:spPr>
                <a:xfrm>
                  <a:off x="868627" y="3"/>
                  <a:ext cx="13536000" cy="369654"/>
                </a:xfrm>
                <a:prstGeom prst="rect">
                  <a:avLst/>
                </a:prstGeom>
                <a:solidFill>
                  <a:srgbClr val="FFFFFF"/>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B609E4-A4C5-4832-9622-4C6482086EB7}" type="TxLink">
                    <a:rPr lang="en-US" sz="1600" b="1" i="0" u="none" strike="noStrike">
                      <a:solidFill>
                        <a:schemeClr val="accent1">
                          <a:lumMod val="75000"/>
                        </a:schemeClr>
                      </a:solidFill>
                      <a:latin typeface="Calibri" panose="020F0502020204030204"/>
                      <a:ea typeface="Karla" pitchFamily="2" charset="0"/>
                      <a:cs typeface="Calibri" panose="020F0502020204030204"/>
                    </a:rPr>
                  </a:fld>
                  <a:endParaRPr lang="en-GB" sz="1400" b="1">
                    <a:solidFill>
                      <a:schemeClr val="accent1">
                        <a:lumMod val="75000"/>
                      </a:schemeClr>
                    </a:solidFill>
                    <a:latin typeface="+mn-lt"/>
                    <a:ea typeface="Karla" pitchFamily="2" charset="0"/>
                    <a:cs typeface="DilleniaUPC" pitchFamily="18" charset="-34"/>
                  </a:endParaRPr>
                </a:p>
              </xdr:txBody>
            </xdr:sp>
            <xdr:sp macro="[0]!LBChanger" textlink="uxb_works!B95">
              <xdr:nvSpPr>
                <xdr:cNvPr id="41" name="Weights"/>
                <xdr:cNvSpPr/>
              </xdr:nvSpPr>
              <xdr:spPr>
                <a:xfrm>
                  <a:off x="10801622" y="370236"/>
                  <a:ext cx="3604301"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EC9DCF-1775-4B22-9966-148AF6400B32}"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grpSp>
          <xdr:pic macro="[0]!Generate_XL">
            <xdr:nvPicPr>
              <xdr:cNvPr id="29" name="exp_xl" descr="excel-wbg.jpg"/>
              <xdr:cNvPicPr>
                <a:picLocks noChangeAspect="1"/>
              </xdr:cNvPicPr>
            </xdr:nvPicPr>
            <xdr:blipFill>
              <a:blip r:embed="rId5" cstate="print">
                <a:extLst>
                  <a:ext uri="{BEBA8EAE-BF5A-486C-A8C5-ECC9F3942E4B}">
                    <a14:imgProps xmlns:a14="http://schemas.microsoft.com/office/drawing/2010/main">
                      <a14:imgLayer r:embed="rId6">
                        <a14:imgEffect>
                          <a14:backgroundRemoval t="10000" b="90000" l="10000" r="90000"/>
                        </a14:imgEffect>
                      </a14:imgLayer>
                    </a14:imgProps>
                  </a:ext>
                </a:extLst>
              </a:blip>
              <a:stretch>
                <a:fillRect/>
              </a:stretch>
            </xdr:blipFill>
            <xdr:spPr>
              <a:xfrm>
                <a:off x="14106525" y="1200150"/>
                <a:ext cx="331567" cy="411958"/>
              </a:xfrm>
              <a:prstGeom prst="rect">
                <a:avLst/>
              </a:prstGeom>
            </xdr:spPr>
          </xdr:pic>
        </xdr:grpSp>
        <xdr:sp macro="[0]!LBChanger" textlink="uxb_works!B104">
          <xdr:nvSpPr>
            <xdr:cNvPr id="25" name="CityProfile"/>
            <xdr:cNvSpPr/>
          </xdr:nvSpPr>
          <xdr:spPr>
            <a:xfrm>
              <a:off x="0" y="732927"/>
              <a:ext cx="2520000" cy="288657"/>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4F6D99-8A11-4220-A77B-8F39F576479F}" type="TxLink">
                <a:rPr lang="en-US" sz="1200" b="1" i="0" u="none" strike="noStrike">
                  <a:solidFill>
                    <a:srgbClr val="366092"/>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macro="[0]!LBChanger" textlink="uxb_works!B105">
          <xdr:nvSpPr>
            <xdr:cNvPr id="26" name="CityCompare"/>
            <xdr:cNvSpPr/>
          </xdr:nvSpPr>
          <xdr:spPr>
            <a:xfrm>
              <a:off x="2519592" y="732927"/>
              <a:ext cx="2516387" cy="288657"/>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207FEC1-D582-4F93-AF1D-58031F196553}"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106">
          <xdr:nvSpPr>
            <xdr:cNvPr id="27" name="CityScoreCard"/>
            <xdr:cNvSpPr/>
          </xdr:nvSpPr>
          <xdr:spPr>
            <a:xfrm>
              <a:off x="5028009" y="732927"/>
              <a:ext cx="2518851" cy="288657"/>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EDDFB85-6565-4D4A-AFD0-70AE94D9D893}"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grpSp>
      <xdr:sp>
        <xdr:nvSpPr>
          <xdr:cNvPr id="14" name="lbl_cnt_City_1"/>
          <xdr:cNvSpPr txBox="1"/>
        </xdr:nvSpPr>
        <xdr:spPr>
          <a:xfrm>
            <a:off x="115047" y="1129777"/>
            <a:ext cx="1498211" cy="217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rPr>
              <a:t>SELECT CITY</a:t>
            </a:r>
            <a:endParaRPr lang="en-GB" sz="1000" b="1">
              <a:solidFill>
                <a:sysClr val="windowText" lastClr="000000"/>
              </a:solidFill>
            </a:endParaRPr>
          </a:p>
        </xdr:txBody>
      </xdr:sp>
      <xdr:pic macro="[0]!CityUp">
        <xdr:nvPicPr>
          <xdr:cNvPr id="15" name="cnt_series_up2" descr="scroll_up_small.png"/>
          <xdr:cNvPicPr>
            <a:picLocks noChangeAspect="1"/>
          </xdr:cNvPicPr>
        </xdr:nvPicPr>
        <xdr:blipFill>
          <a:blip r:embed="rId7" cstate="print"/>
          <a:stretch>
            <a:fillRect/>
          </a:stretch>
        </xdr:blipFill>
        <xdr:spPr>
          <a:xfrm>
            <a:off x="1593629" y="1346008"/>
            <a:ext cx="304967" cy="120675"/>
          </a:xfrm>
          <a:prstGeom prst="rect">
            <a:avLst/>
          </a:prstGeom>
        </xdr:spPr>
      </xdr:pic>
      <xdr:pic macro="[0]!CityDown">
        <xdr:nvPicPr>
          <xdr:cNvPr id="16" name="cnt_series_down2" descr="scroll_down_small.png"/>
          <xdr:cNvPicPr>
            <a:picLocks noChangeAspect="1"/>
          </xdr:cNvPicPr>
        </xdr:nvPicPr>
        <xdr:blipFill>
          <a:blip r:embed="rId8" cstate="print"/>
          <a:stretch>
            <a:fillRect/>
          </a:stretch>
        </xdr:blipFill>
        <xdr:spPr>
          <a:xfrm>
            <a:off x="1593629" y="1464755"/>
            <a:ext cx="304886" cy="94580"/>
          </a:xfrm>
          <a:prstGeom prst="rect">
            <a:avLst/>
          </a:prstGeom>
        </xdr:spPr>
      </xdr:pic>
      <mc:AlternateContent xmlns:mc="http://schemas.openxmlformats.org/markup-compatibility/2006">
        <mc:Choice xmlns:a14="http://schemas.microsoft.com/office/drawing/2010/main" Requires="a14">
          <xdr:sp macro="[0]!CityUpdate">
            <xdr:nvSpPr>
              <xdr:cNvPr id="13369346" name="GroupSelect" hidden="1">
                <a:extLst>
                  <a:ext uri="{63B3BB69-23CF-44E3-9099-C40C66FF867C}">
                    <a14:compatExt spid="_x0000_s13369346"/>
                  </a:ext>
                </a:extLst>
              </xdr:cNvPr>
              <xdr:cNvSpPr/>
            </xdr:nvSpPr>
            <xdr:spPr>
              <a:xfrm>
                <a:off x="104900" y="1348112"/>
                <a:ext cx="1470716" cy="208049"/>
              </a:xfrm>
              <a:prstGeom prst="rect">
                <a:avLst/>
              </a:prstGeom>
            </xdr:spPr>
          </xdr:sp>
        </mc:Choice>
        <mc:Fallback/>
      </mc:AlternateContent>
      <mc:AlternateContent xmlns:mc="http://schemas.openxmlformats.org/markup-compatibility/2006">
        <mc:Choice xmlns:a14="http://schemas.microsoft.com/office/drawing/2010/main" Requires="a14">
          <xdr:sp macro="[0]!CityAlign">
            <xdr:nvSpPr>
              <xdr:cNvPr id="13369349" name="Drop Down 5" hidden="1">
                <a:extLst>
                  <a:ext uri="{63B3BB69-23CF-44E3-9099-C40C66FF867C}">
                    <a14:compatExt spid="_x0000_s13369349"/>
                  </a:ext>
                </a:extLst>
              </xdr:cNvPr>
              <xdr:cNvSpPr/>
            </xdr:nvSpPr>
            <xdr:spPr>
              <a:xfrm>
                <a:off x="2090579" y="1348112"/>
                <a:ext cx="1411379" cy="208049"/>
              </a:xfrm>
              <a:prstGeom prst="rect">
                <a:avLst/>
              </a:prstGeom>
            </xdr:spPr>
          </xdr:sp>
        </mc:Choice>
        <mc:Fallback/>
      </mc:AlternateContent>
      <xdr:sp>
        <xdr:nvSpPr>
          <xdr:cNvPr id="39" name="lbl_cnt_City_1"/>
          <xdr:cNvSpPr txBox="1"/>
        </xdr:nvSpPr>
        <xdr:spPr>
          <a:xfrm>
            <a:off x="2098202" y="1129879"/>
            <a:ext cx="1434694" cy="217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baseline="0">
                <a:solidFill>
                  <a:sysClr val="windowText" lastClr="000000"/>
                </a:solidFill>
                <a:latin typeface="+mn-lt"/>
                <a:ea typeface="Karla" pitchFamily="2" charset="0"/>
              </a:rPr>
              <a:t>SELECT YEAR</a:t>
            </a:r>
            <a:endParaRPr lang="en-GB" sz="1000" b="1">
              <a:solidFill>
                <a:sysClr val="windowText" lastClr="000000"/>
              </a:solidFill>
              <a:latin typeface="+mn-lt"/>
              <a:ea typeface="Karla" pitchFamily="2" charset="0"/>
            </a:endParaRPr>
          </a:p>
        </xdr:txBody>
      </xdr:sp>
    </xdr:grpSp>
    <xdr:clientData fPrintsWithSheet="0"/>
  </xdr:twoCellAnchor>
  <xdr:twoCellAnchor editAs="oneCell">
    <xdr:from>
      <xdr:col>2</xdr:col>
      <xdr:colOff>2643716</xdr:colOff>
      <xdr:row>11</xdr:row>
      <xdr:rowOff>15593</xdr:rowOff>
    </xdr:from>
    <xdr:to>
      <xdr:col>5</xdr:col>
      <xdr:colOff>19050</xdr:colOff>
      <xdr:row>18</xdr:row>
      <xdr:rowOff>156405</xdr:rowOff>
    </xdr:to>
    <xdr:sp>
      <xdr:nvSpPr>
        <xdr:cNvPr id="2" name="Text Box 6"/>
        <xdr:cNvSpPr txBox="1">
          <a:spLocks noChangeArrowheads="1"/>
        </xdr:cNvSpPr>
      </xdr:nvSpPr>
      <xdr:spPr>
        <a:xfrm>
          <a:off x="2757805" y="3800475"/>
          <a:ext cx="2309495" cy="1245870"/>
        </a:xfrm>
        <a:prstGeom prst="rect">
          <a:avLst/>
        </a:prstGeom>
        <a:solidFill>
          <a:srgbClr val="FFFFFF"/>
        </a:solidFill>
        <a:ln w="9525">
          <a:solidFill>
            <a:schemeClr val="bg1">
              <a:lumMod val="75000"/>
            </a:schemeClr>
          </a:solidFill>
          <a:miter lim="800000"/>
        </a:ln>
      </xdr:spPr>
      <xdr:txBody>
        <a:bodyPr vertOverflow="clip" wrap="square" lIns="108000" tIns="27432" rIns="0" bIns="0" anchor="t" upright="1"/>
        <a:lstStyle/>
        <a:p>
          <a:pPr algn="l" rtl="0">
            <a:defRPr sz="1000"/>
          </a:pPr>
          <a:r>
            <a:rPr lang="en-GB" sz="1100" b="0" i="1" u="none" strike="noStrike" baseline="0">
              <a:solidFill>
                <a:schemeClr val="tx1">
                  <a:lumMod val="65000"/>
                  <a:lumOff val="35000"/>
                </a:schemeClr>
              </a:solidFill>
              <a:latin typeface="Calibri" panose="020F0502020204030204"/>
            </a:rPr>
            <a:t>* Weighted sum of category scores by city compared with the highest, lowest and average scores for all the cities under review.</a:t>
          </a:r>
          <a:endParaRPr lang="en-GB" sz="1100" b="0" i="1" u="none" strike="noStrike" baseline="0">
            <a:solidFill>
              <a:schemeClr val="tx1">
                <a:lumMod val="65000"/>
                <a:lumOff val="35000"/>
              </a:schemeClr>
            </a:solidFill>
            <a:latin typeface="Calibri" panose="020F0502020204030204"/>
          </a:endParaRPr>
        </a:p>
      </xdr:txBody>
    </xdr:sp>
    <xdr:clientData/>
  </xdr:twoCellAnchor>
  <xdr:twoCellAnchor editAs="oneCell">
    <xdr:from>
      <xdr:col>6</xdr:col>
      <xdr:colOff>1088</xdr:colOff>
      <xdr:row>3</xdr:row>
      <xdr:rowOff>533400</xdr:rowOff>
    </xdr:from>
    <xdr:to>
      <xdr:col>8</xdr:col>
      <xdr:colOff>14625</xdr:colOff>
      <xdr:row>30</xdr:row>
      <xdr:rowOff>159684</xdr:rowOff>
    </xdr:to>
    <xdr:graphicFrame>
      <xdr:nvGraphicFramePr>
        <xdr:cNvPr id="3" name="Chart 1"/>
        <xdr:cNvGraphicFramePr/>
      </xdr:nvGraphicFramePr>
      <xdr:xfrm>
        <a:off x="5182235" y="2175510"/>
        <a:ext cx="4319270" cy="332168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60329</xdr:colOff>
      <xdr:row>4</xdr:row>
      <xdr:rowOff>52994</xdr:rowOff>
    </xdr:from>
    <xdr:to>
      <xdr:col>6</xdr:col>
      <xdr:colOff>293162</xdr:colOff>
      <xdr:row>4</xdr:row>
      <xdr:rowOff>211739</xdr:rowOff>
    </xdr:to>
    <xdr:sp>
      <xdr:nvSpPr>
        <xdr:cNvPr id="4" name="Rectangle 3"/>
        <xdr:cNvSpPr/>
      </xdr:nvSpPr>
      <xdr:spPr>
        <a:xfrm>
          <a:off x="5241925" y="2237740"/>
          <a:ext cx="232410" cy="158750"/>
        </a:xfrm>
        <a:prstGeom prst="rect">
          <a:avLst/>
        </a:prstGeom>
        <a:solidFill>
          <a:sysClr val="window" lastClr="FFFFFF"/>
        </a:solidFill>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en-GB" sz="1100">
              <a:solidFill>
                <a:sysClr val="windowText" lastClr="000000"/>
              </a:solidFill>
            </a:rPr>
            <a:t>*</a:t>
          </a:r>
          <a:endParaRPr lang="en-GB" sz="1100">
            <a:solidFill>
              <a:sysClr val="windowText" lastClr="000000"/>
            </a:solidFill>
          </a:endParaRPr>
        </a:p>
      </xdr:txBody>
    </xdr:sp>
    <xdr:clientData/>
  </xdr:twoCellAnchor>
  <xdr:twoCellAnchor editAs="oneCell">
    <xdr:from>
      <xdr:col>1</xdr:col>
      <xdr:colOff>0</xdr:colOff>
      <xdr:row>19</xdr:row>
      <xdr:rowOff>85725</xdr:rowOff>
    </xdr:from>
    <xdr:to>
      <xdr:col>4</xdr:col>
      <xdr:colOff>9525</xdr:colOff>
      <xdr:row>31</xdr:row>
      <xdr:rowOff>108558</xdr:rowOff>
    </xdr:to>
    <xdr:sp>
      <xdr:nvSpPr>
        <xdr:cNvPr id="5" name="Rectangle 4"/>
        <xdr:cNvSpPr/>
      </xdr:nvSpPr>
      <xdr:spPr>
        <a:xfrm>
          <a:off x="114300" y="5175885"/>
          <a:ext cx="4314825" cy="46990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solidFill>
              <a:srgbClr val="FF0000"/>
            </a:solidFill>
          </a:endParaRPr>
        </a:p>
      </xdr:txBody>
    </xdr:sp>
    <xdr:clientData fPrintsWithSheet="0"/>
  </xdr:twoCellAnchor>
  <xdr:twoCellAnchor editAs="oneCell">
    <xdr:from>
      <xdr:col>2</xdr:col>
      <xdr:colOff>12496</xdr:colOff>
      <xdr:row>11</xdr:row>
      <xdr:rowOff>15593</xdr:rowOff>
    </xdr:from>
    <xdr:to>
      <xdr:col>2</xdr:col>
      <xdr:colOff>2581276</xdr:colOff>
      <xdr:row>18</xdr:row>
      <xdr:rowOff>156405</xdr:rowOff>
    </xdr:to>
    <xdr:sp textlink="uxb_works!B87">
      <xdr:nvSpPr>
        <xdr:cNvPr id="6" name="Text Box 54"/>
        <xdr:cNvSpPr txBox="1">
          <a:spLocks noChangeArrowheads="1"/>
        </xdr:cNvSpPr>
      </xdr:nvSpPr>
      <xdr:spPr>
        <a:xfrm>
          <a:off x="126365" y="3800475"/>
          <a:ext cx="2569210" cy="1245870"/>
        </a:xfrm>
        <a:prstGeom prst="rect">
          <a:avLst/>
        </a:prstGeom>
        <a:solidFill>
          <a:srgbClr val="ECEDEE"/>
        </a:solidFill>
        <a:ln w="9525">
          <a:noFill/>
          <a:miter lim="800000"/>
        </a:ln>
      </xdr:spPr>
      <xdr:txBody>
        <a:bodyPr vertOverflow="clip" wrap="square" lIns="36000" tIns="36000" rIns="36000" bIns="36000" anchor="t" upright="1"/>
        <a:lstStyle/>
        <a:p>
          <a:pPr marL="71755" algn="l" rtl="0">
            <a:spcBef>
              <a:spcPts val="600"/>
            </a:spcBef>
            <a:spcAft>
              <a:spcPts val="600"/>
            </a:spcAft>
            <a:defRPr sz="1000"/>
          </a:pPr>
          <a:fld id="{65E0E7EB-C547-4377-8F59-DED378DAB57D}" type="TxLink">
            <a:rPr lang="en-US" sz="1100" b="0" i="0" u="none" strike="noStrike" baseline="0">
              <a:solidFill>
                <a:srgbClr val="000000"/>
              </a:solidFill>
              <a:latin typeface="Calibri" panose="020F0502020204030204"/>
              <a:ea typeface="+mn-ea"/>
              <a:cs typeface="Calibri" panose="020F0502020204030204"/>
            </a:rPr>
          </a:fld>
          <a:endParaRPr lang="en-US" sz="1400" b="0" i="1" u="none" strike="noStrike" baseline="0">
            <a:solidFill>
              <a:srgbClr val="000000"/>
            </a:solidFill>
            <a:latin typeface="Calibri" panose="020F0502020204030204"/>
          </a:endParaRPr>
        </a:p>
      </xdr:txBody>
    </xdr:sp>
    <xdr:clientData/>
  </xdr:twoCellAnchor>
  <xdr:twoCellAnchor editAs="oneCell">
    <xdr:from>
      <xdr:col>2</xdr:col>
      <xdr:colOff>116417</xdr:colOff>
      <xdr:row>87</xdr:row>
      <xdr:rowOff>129387</xdr:rowOff>
    </xdr:from>
    <xdr:to>
      <xdr:col>2</xdr:col>
      <xdr:colOff>929217</xdr:colOff>
      <xdr:row>87</xdr:row>
      <xdr:rowOff>317665</xdr:rowOff>
    </xdr:to>
    <xdr:sp macro="[0]!returntop">
      <xdr:nvSpPr>
        <xdr:cNvPr id="7" name="go_top"/>
        <xdr:cNvSpPr txBox="1"/>
      </xdr:nvSpPr>
      <xdr:spPr>
        <a:xfrm>
          <a:off x="230505" y="23060660"/>
          <a:ext cx="812800" cy="188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Karla" pitchFamily="2" charset="0"/>
              <a:ea typeface="Karla" pitchFamily="2" charset="0"/>
            </a:rPr>
            <a:t>Back to top</a:t>
          </a:r>
          <a:endParaRPr lang="en-GB" sz="1100" b="1" i="0" u="sng" strike="noStrike" baseline="0">
            <a:solidFill>
              <a:srgbClr val="0070C0"/>
            </a:solidFill>
            <a:latin typeface="Karla" pitchFamily="2" charset="0"/>
            <a:ea typeface="Karla" pitchFamily="2"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30</xdr:row>
          <xdr:rowOff>66675</xdr:rowOff>
        </xdr:from>
        <xdr:to>
          <xdr:col>2</xdr:col>
          <xdr:colOff>2143125</xdr:colOff>
          <xdr:row>31</xdr:row>
          <xdr:rowOff>76200</xdr:rowOff>
        </xdr:to>
        <xdr:sp macro="[0]!LoadWeights">
          <xdr:nvSpPr>
            <xdr:cNvPr id="13369348" name="Drop Down 4" hidden="1">
              <a:extLst>
                <a:ext uri="{63B3BB69-23CF-44E3-9099-C40C66FF867C}">
                  <a14:compatExt spid="_x0000_s13369348"/>
                </a:ext>
              </a:extLst>
            </xdr:cNvPr>
            <xdr:cNvSpPr/>
          </xdr:nvSpPr>
          <xdr:spPr>
            <a:xfrm>
              <a:off x="171450" y="5404485"/>
              <a:ext cx="2085975" cy="209550"/>
            </a:xfrm>
            <a:prstGeom prst="rect">
              <a:avLst/>
            </a:prstGeom>
          </xdr:spPr>
        </xdr:sp>
        <xdr:clientData fPrintsWithSheet="0"/>
      </xdr:twoCellAnchor>
    </mc:Choice>
    <mc:Fallback/>
  </mc:AlternateContent>
  <xdr:twoCellAnchor editAs="oneCell">
    <xdr:from>
      <xdr:col>2</xdr:col>
      <xdr:colOff>57150</xdr:colOff>
      <xdr:row>19</xdr:row>
      <xdr:rowOff>76200</xdr:rowOff>
    </xdr:from>
    <xdr:to>
      <xdr:col>2</xdr:col>
      <xdr:colOff>1545927</xdr:colOff>
      <xdr:row>30</xdr:row>
      <xdr:rowOff>64995</xdr:rowOff>
    </xdr:to>
    <xdr:sp>
      <xdr:nvSpPr>
        <xdr:cNvPr id="37" name="lbl_cnt_City_1"/>
        <xdr:cNvSpPr txBox="1"/>
      </xdr:nvSpPr>
      <xdr:spPr>
        <a:xfrm>
          <a:off x="171450" y="5166360"/>
          <a:ext cx="148844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rPr>
            <a:t>SELECT SCORING</a:t>
          </a:r>
          <a:r>
            <a:rPr lang="en-GB" sz="1000" b="1" baseline="0">
              <a:solidFill>
                <a:sysClr val="windowText" lastClr="000000"/>
              </a:solidFill>
            </a:rPr>
            <a:t> LEVEL</a:t>
          </a:r>
          <a:endParaRPr lang="en-GB" sz="1000" b="1">
            <a:solidFill>
              <a:sysClr val="windowText" lastClr="000000"/>
            </a:solidFill>
          </a:endParaRPr>
        </a:p>
      </xdr:txBody>
    </xdr:sp>
    <xdr:clientData fPrintsWithSheet="0"/>
  </xdr:twoCellAnchor>
  <xdr:twoCellAnchor editAs="oneCell">
    <xdr:from>
      <xdr:col>8</xdr:col>
      <xdr:colOff>611085</xdr:colOff>
      <xdr:row>3</xdr:row>
      <xdr:rowOff>523875</xdr:rowOff>
    </xdr:from>
    <xdr:to>
      <xdr:col>11</xdr:col>
      <xdr:colOff>707967</xdr:colOff>
      <xdr:row>30</xdr:row>
      <xdr:rowOff>150159</xdr:rowOff>
    </xdr:to>
    <xdr:graphicFrame>
      <xdr:nvGraphicFramePr>
        <xdr:cNvPr id="40" name="Chart 1"/>
        <xdr:cNvGraphicFramePr/>
      </xdr:nvGraphicFramePr>
      <xdr:xfrm>
        <a:off x="10097770" y="2165985"/>
        <a:ext cx="4316095" cy="332168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1088</xdr:colOff>
      <xdr:row>3</xdr:row>
      <xdr:rowOff>95249</xdr:rowOff>
    </xdr:from>
    <xdr:to>
      <xdr:col>8</xdr:col>
      <xdr:colOff>14625</xdr:colOff>
      <xdr:row>3</xdr:row>
      <xdr:rowOff>476250</xdr:rowOff>
    </xdr:to>
    <xdr:sp textlink="uxb_works!G24">
      <xdr:nvSpPr>
        <xdr:cNvPr id="21" name="Text Box 54"/>
        <xdr:cNvSpPr txBox="1">
          <a:spLocks noChangeArrowheads="1"/>
        </xdr:cNvSpPr>
      </xdr:nvSpPr>
      <xdr:spPr>
        <a:xfrm>
          <a:off x="5182235" y="1736725"/>
          <a:ext cx="4319270" cy="381635"/>
        </a:xfrm>
        <a:prstGeom prst="rect">
          <a:avLst/>
        </a:prstGeom>
        <a:solidFill>
          <a:schemeClr val="accent6">
            <a:lumMod val="20000"/>
            <a:lumOff val="80000"/>
          </a:schemeClr>
        </a:solidFill>
        <a:ln w="9525">
          <a:noFill/>
          <a:miter lim="800000"/>
        </a:ln>
      </xdr:spPr>
      <xdr:txBody>
        <a:bodyPr vertOverflow="clip" wrap="square" lIns="36000" tIns="36000" rIns="36000" bIns="36000" anchor="ctr" upright="1"/>
        <a:lstStyle/>
        <a:p>
          <a:pPr marL="71755" algn="ctr" rtl="0">
            <a:spcBef>
              <a:spcPts val="600"/>
            </a:spcBef>
            <a:spcAft>
              <a:spcPts val="600"/>
            </a:spcAft>
            <a:defRPr sz="1000"/>
          </a:pPr>
          <a:fld id="{EFE624DC-D6D1-4FDA-A1FA-4EF02DC047AE}" type="TxLink">
            <a:rPr lang="en-US" sz="1400" b="1" i="0" u="none" strike="noStrike" baseline="0">
              <a:solidFill>
                <a:sysClr val="windowText" lastClr="000000"/>
              </a:solidFill>
              <a:latin typeface="Calibri" panose="020F0502020204030204"/>
              <a:ea typeface="+mn-ea"/>
              <a:cs typeface="Calibri" panose="020F0502020204030204"/>
            </a:rPr>
          </a:fld>
          <a:endParaRPr lang="en-US" sz="3200" b="1" i="1" u="none" strike="noStrike" baseline="0">
            <a:solidFill>
              <a:sysClr val="windowText" lastClr="000000"/>
            </a:solidFill>
            <a:latin typeface="Calibri" panose="020F0502020204030204"/>
          </a:endParaRPr>
        </a:p>
      </xdr:txBody>
    </xdr:sp>
    <xdr:clientData/>
  </xdr:twoCellAnchor>
  <xdr:twoCellAnchor editAs="oneCell">
    <xdr:from>
      <xdr:col>8</xdr:col>
      <xdr:colOff>611085</xdr:colOff>
      <xdr:row>3</xdr:row>
      <xdr:rowOff>95249</xdr:rowOff>
    </xdr:from>
    <xdr:to>
      <xdr:col>11</xdr:col>
      <xdr:colOff>707967</xdr:colOff>
      <xdr:row>3</xdr:row>
      <xdr:rowOff>476250</xdr:rowOff>
    </xdr:to>
    <xdr:sp>
      <xdr:nvSpPr>
        <xdr:cNvPr id="22" name="Text Box 54"/>
        <xdr:cNvSpPr txBox="1">
          <a:spLocks noChangeArrowheads="1"/>
        </xdr:cNvSpPr>
      </xdr:nvSpPr>
      <xdr:spPr>
        <a:xfrm>
          <a:off x="10097770" y="1736725"/>
          <a:ext cx="4316095" cy="381635"/>
        </a:xfrm>
        <a:prstGeom prst="rect">
          <a:avLst/>
        </a:prstGeom>
        <a:solidFill>
          <a:schemeClr val="accent6">
            <a:lumMod val="20000"/>
            <a:lumOff val="80000"/>
          </a:schemeClr>
        </a:solidFill>
        <a:ln w="9525">
          <a:noFill/>
          <a:miter lim="800000"/>
        </a:ln>
      </xdr:spPr>
      <xdr:txBody>
        <a:bodyPr vertOverflow="clip" wrap="square" lIns="36000" tIns="36000" rIns="36000" bIns="36000" anchor="ctr" upright="1"/>
        <a:lstStyle/>
        <a:p>
          <a:pPr marL="71755" algn="ctr" rtl="0">
            <a:spcBef>
              <a:spcPts val="600"/>
            </a:spcBef>
            <a:spcAft>
              <a:spcPts val="600"/>
            </a:spcAft>
            <a:defRPr sz="1000"/>
          </a:pPr>
          <a:r>
            <a:rPr lang="en-US" sz="1400" b="1" i="0" u="none" strike="noStrike">
              <a:solidFill>
                <a:sysClr val="windowText" lastClr="000000"/>
              </a:solidFill>
              <a:latin typeface="Calibri" panose="020F0502020204030204"/>
              <a:cs typeface="Calibri" panose="020F0502020204030204"/>
            </a:rPr>
            <a:t>2017 index</a:t>
          </a:r>
          <a:r>
            <a:rPr lang="en-US" sz="1400" b="1" i="0" u="none" strike="noStrike" baseline="0">
              <a:solidFill>
                <a:sysClr val="windowText" lastClr="000000"/>
              </a:solidFill>
              <a:latin typeface="Calibri" panose="020F0502020204030204"/>
              <a:cs typeface="Calibri" panose="020F0502020204030204"/>
            </a:rPr>
            <a:t> results c</a:t>
          </a:r>
          <a:r>
            <a:rPr lang="en-US" sz="1400" b="1" i="0" u="none" strike="noStrike">
              <a:solidFill>
                <a:sysClr val="windowText" lastClr="000000"/>
              </a:solidFill>
              <a:latin typeface="Calibri" panose="020F0502020204030204"/>
              <a:cs typeface="Calibri" panose="020F0502020204030204"/>
            </a:rPr>
            <a:t>ompared to 2014 (46) index</a:t>
          </a:r>
          <a:endParaRPr lang="en-US" sz="1400" b="1" i="0" u="none" strike="noStrike">
            <a:solidFill>
              <a:sysClr val="windowText" lastClr="000000"/>
            </a:solidFill>
            <a:latin typeface="Calibri" panose="020F0502020204030204"/>
            <a:cs typeface="Calibri" panose="020F0502020204030204"/>
          </a:endParaRPr>
        </a:p>
      </xdr:txBody>
    </xdr:sp>
    <xdr:clientData/>
  </xdr:twoCellAnchor>
  <xdr:twoCellAnchor editAs="absolute">
    <xdr:from>
      <xdr:col>6</xdr:col>
      <xdr:colOff>2604305</xdr:colOff>
      <xdr:row>2</xdr:row>
      <xdr:rowOff>419281</xdr:rowOff>
    </xdr:from>
    <xdr:to>
      <xdr:col>10</xdr:col>
      <xdr:colOff>3525943</xdr:colOff>
      <xdr:row>3</xdr:row>
      <xdr:rowOff>9759</xdr:rowOff>
    </xdr:to>
    <xdr:grpSp>
      <xdr:nvGrpSpPr>
        <xdr:cNvPr id="10" name="Weights_Select"/>
        <xdr:cNvGrpSpPr/>
      </xdr:nvGrpSpPr>
      <xdr:grpSpPr>
        <a:xfrm>
          <a:off x="7785735" y="1158240"/>
          <a:ext cx="5855335" cy="493395"/>
          <a:chOff x="7795430" y="1133656"/>
          <a:chExt cx="5862732" cy="483447"/>
        </a:xfrm>
      </xdr:grpSpPr>
      <xdr:sp>
        <xdr:nvSpPr>
          <xdr:cNvPr id="17" name="lbl_cnt_City_1"/>
          <xdr:cNvSpPr txBox="1"/>
        </xdr:nvSpPr>
        <xdr:spPr>
          <a:xfrm>
            <a:off x="12973325" y="1133656"/>
            <a:ext cx="681105" cy="217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000" b="1">
                <a:solidFill>
                  <a:sysClr val="windowText" lastClr="000000"/>
                </a:solidFill>
              </a:rPr>
              <a:t>WEIGHTS</a:t>
            </a:r>
            <a:endParaRPr lang="en-GB" sz="1000" b="1">
              <a:solidFill>
                <a:sysClr val="windowText" lastClr="000000"/>
              </a:solidFill>
            </a:endParaRPr>
          </a:p>
        </xdr:txBody>
      </xdr:sp>
      <mc:AlternateContent xmlns:mc="http://schemas.openxmlformats.org/markup-compatibility/2006">
        <mc:Choice xmlns:a14="http://schemas.microsoft.com/office/drawing/2010/main" Requires="a14">
          <xdr:sp macro="[0]!LoadWeights">
            <xdr:nvSpPr>
              <xdr:cNvPr id="13369347" name="Drop Down 3" hidden="1">
                <a:extLst>
                  <a:ext uri="{63B3BB69-23CF-44E3-9099-C40C66FF867C}">
                    <a14:compatExt spid="_x0000_s13369347"/>
                  </a:ext>
                </a:extLst>
              </xdr:cNvPr>
              <xdr:cNvSpPr/>
            </xdr:nvSpPr>
            <xdr:spPr>
              <a:xfrm>
                <a:off x="11569703" y="1348112"/>
                <a:ext cx="2088459" cy="208049"/>
              </a:xfrm>
              <a:prstGeom prst="rect">
                <a:avLst/>
              </a:prstGeom>
            </xdr:spPr>
          </xdr:sp>
        </mc:Choice>
        <mc:Fallback/>
      </mc:AlternateContent>
      <xdr:sp textlink="_WeightProfile">
        <xdr:nvSpPr>
          <xdr:cNvPr id="20" name="Text Box 6"/>
          <xdr:cNvSpPr txBox="1">
            <a:spLocks noChangeArrowheads="1"/>
          </xdr:cNvSpPr>
        </xdr:nvSpPr>
        <xdr:spPr>
          <a:xfrm>
            <a:off x="7795430" y="1338655"/>
            <a:ext cx="4072269" cy="278448"/>
          </a:xfrm>
          <a:prstGeom prst="rect">
            <a:avLst/>
          </a:prstGeom>
          <a:noFill/>
          <a:ln w="9525">
            <a:noFill/>
            <a:miter lim="800000"/>
          </a:ln>
        </xdr:spPr>
        <xdr:txBody>
          <a:bodyPr vertOverflow="clip" wrap="square" lIns="108000" tIns="27432" rIns="0" bIns="0" anchor="t" upright="1"/>
          <a:lstStyle/>
          <a:p>
            <a:pPr algn="l" rtl="0">
              <a:defRPr sz="1000"/>
            </a:pPr>
            <a:fld id="{6B3CEEA7-E132-459A-8C8C-F76B64C58034}" type="TxLink">
              <a:rPr lang="en-US" sz="1000" b="0" i="1" u="none" strike="noStrike" baseline="0">
                <a:solidFill>
                  <a:schemeClr val="tx1">
                    <a:lumMod val="65000"/>
                    <a:lumOff val="35000"/>
                  </a:schemeClr>
                </a:solidFill>
                <a:latin typeface="Calibri" panose="020F0502020204030204"/>
                <a:cs typeface="Calibri" panose="020F0502020204030204"/>
              </a:rPr>
            </a:fld>
            <a:endParaRPr lang="en-GB" sz="1000" b="0" i="1" u="none" strike="noStrike" baseline="0">
              <a:solidFill>
                <a:schemeClr val="tx1">
                  <a:lumMod val="65000"/>
                  <a:lumOff val="35000"/>
                </a:schemeClr>
              </a:solidFill>
              <a:latin typeface="Calibri" panose="020F0502020204030204"/>
            </a:endParaRPr>
          </a:p>
        </xdr:txBody>
      </xdr:sp>
    </xdr:grpSp>
    <xdr:clientData fPrintsWithSheet="0"/>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53</xdr:col>
      <xdr:colOff>475227</xdr:colOff>
      <xdr:row>37</xdr:row>
      <xdr:rowOff>175116</xdr:rowOff>
    </xdr:to>
    <xdr:grpSp>
      <xdr:nvGrpSpPr>
        <xdr:cNvPr id="2" name="MENU"/>
        <xdr:cNvGrpSpPr/>
      </xdr:nvGrpSpPr>
      <xdr:grpSpPr>
        <a:xfrm>
          <a:off x="0" y="0"/>
          <a:ext cx="14486255" cy="9284335"/>
          <a:chOff x="0" y="0"/>
          <a:chExt cx="14476977" cy="9247679"/>
        </a:xfrm>
      </xdr:grpSpPr>
      <xdr:grpSp>
        <xdr:nvGrpSpPr>
          <xdr:cNvPr id="37" name="MENU_PLUS"/>
          <xdr:cNvGrpSpPr/>
        </xdr:nvGrpSpPr>
        <xdr:grpSpPr>
          <a:xfrm>
            <a:off x="0" y="0"/>
            <a:ext cx="14476977" cy="1609667"/>
            <a:chOff x="0" y="0"/>
            <a:chExt cx="14438121" cy="1619180"/>
          </a:xfrm>
        </xdr:grpSpPr>
        <xdr:grpSp>
          <xdr:nvGrpSpPr>
            <xdr:cNvPr id="38" name="MENU_B"/>
            <xdr:cNvGrpSpPr/>
          </xdr:nvGrpSpPr>
          <xdr:grpSpPr>
            <a:xfrm>
              <a:off x="0" y="0"/>
              <a:ext cx="14438121" cy="1619180"/>
              <a:chOff x="0" y="1"/>
              <a:chExt cx="14438121" cy="1619180"/>
            </a:xfrm>
          </xdr:grpSpPr>
          <xdr:grpSp>
            <xdr:nvGrpSpPr>
              <xdr:cNvPr id="43" name="MENU_BASE"/>
              <xdr:cNvGrpSpPr/>
            </xdr:nvGrpSpPr>
            <xdr:grpSpPr>
              <a:xfrm>
                <a:off x="0" y="1"/>
                <a:ext cx="14438121" cy="1619180"/>
                <a:chOff x="0" y="1"/>
                <a:chExt cx="14413782" cy="1614947"/>
              </a:xfrm>
            </xdr:grpSpPr>
            <xdr:sp>
              <xdr:nvSpPr>
                <xdr:cNvPr id="47" name="nav_controls"/>
                <xdr:cNvSpPr/>
              </xdr:nvSpPr>
              <xdr:spPr>
                <a:xfrm>
                  <a:off x="0" y="369733"/>
                  <a:ext cx="14413782" cy="1245215"/>
                </a:xfrm>
                <a:prstGeom prst="rect">
                  <a:avLst/>
                </a:prstGeom>
                <a:solidFill>
                  <a:schemeClr val="bg1">
                    <a:lumMod val="95000"/>
                  </a:schemeClr>
                </a:solidFill>
                <a:ln w="127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chemeClr val="tx2">
                        <a:lumMod val="75000"/>
                      </a:schemeClr>
                    </a:solidFill>
                    <a:latin typeface="+mn-lt"/>
                    <a:ea typeface="Karla" pitchFamily="2" charset="0"/>
                  </a:endParaRPr>
                </a:p>
              </xdr:txBody>
            </xdr:sp>
            <xdr:sp macro="[0]!LBChanger" textlink="uxb_works!B92">
              <xdr:nvSpPr>
                <xdr:cNvPr id="51" name="Summary"/>
                <xdr:cNvSpPr/>
              </xdr:nvSpPr>
              <xdr:spPr>
                <a:xfrm>
                  <a:off x="1146" y="370236"/>
                  <a:ext cx="3606760"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105C044-9834-4268-A7A6-5159ABE53AAC}"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xdr:nvSpPr>
                <xdr:cNvPr id="56" name="Home1"/>
                <xdr:cNvSpPr/>
              </xdr:nvSpPr>
              <xdr:spPr>
                <a:xfrm>
                  <a:off x="1151" y="1"/>
                  <a:ext cx="867228" cy="364908"/>
                </a:xfrm>
                <a:prstGeom prst="rect">
                  <a:avLst/>
                </a:prstGeom>
                <a:solidFill>
                  <a:schemeClr val="bg1"/>
                </a:solidFill>
                <a:ln w="6350">
                  <a:solidFill>
                    <a:schemeClr val="accent6">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chemeClr val="accent1">
                        <a:lumMod val="75000"/>
                      </a:schemeClr>
                    </a:solidFill>
                    <a:latin typeface="+mn-lt"/>
                    <a:ea typeface="Karla" pitchFamily="2" charset="0"/>
                    <a:cs typeface="DilleniaUPC" pitchFamily="18" charset="-34"/>
                  </a:endParaRPr>
                </a:p>
              </xdr:txBody>
            </xdr:sp>
            <xdr:pic macro="[0]!LBChanger">
              <xdr:nvPicPr>
                <xdr:cNvPr id="57" name="Home" descr="Home.png"/>
                <xdr:cNvPicPr>
                  <a:picLocks noChangeAspect="1"/>
                </xdr:cNvPicPr>
              </xdr:nvPicPr>
              <xdr:blipFill>
                <a:blip r:embed="rId2" cstate="print"/>
                <a:stretch>
                  <a:fillRect/>
                </a:stretch>
              </xdr:blipFill>
              <xdr:spPr>
                <a:xfrm>
                  <a:off x="76311" y="16517"/>
                  <a:ext cx="353192" cy="335848"/>
                </a:xfrm>
                <a:prstGeom prst="rect">
                  <a:avLst/>
                </a:prstGeom>
                <a:solidFill>
                  <a:schemeClr val="bg1"/>
                </a:solidFill>
              </xdr:spPr>
            </xdr:pic>
            <xdr:pic macro="[0]!Navigate_GoBack">
              <xdr:nvPicPr>
                <xdr:cNvPr id="58" name="Picture 57" descr="Silver-Back-Button.png"/>
                <xdr:cNvPicPr>
                  <a:picLocks noChangeAspect="1"/>
                </xdr:cNvPicPr>
              </xdr:nvPicPr>
              <xdr:blipFill>
                <a:blip r:embed="rId3" cstate="print"/>
                <a:stretch>
                  <a:fillRect/>
                </a:stretch>
              </xdr:blipFill>
              <xdr:spPr>
                <a:xfrm>
                  <a:off x="482924" y="16516"/>
                  <a:ext cx="346258" cy="335122"/>
                </a:xfrm>
                <a:prstGeom prst="rect">
                  <a:avLst/>
                </a:prstGeom>
                <a:solidFill>
                  <a:schemeClr val="bg1"/>
                </a:solidFill>
              </xdr:spPr>
            </xdr:pic>
            <xdr:sp macro="[0]!LBChanger" textlink="uxb_works!B93">
              <xdr:nvSpPr>
                <xdr:cNvPr id="59" name="Indicator_Ranking"/>
                <xdr:cNvSpPr/>
              </xdr:nvSpPr>
              <xdr:spPr>
                <a:xfrm>
                  <a:off x="3599182" y="370236"/>
                  <a:ext cx="3601229"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ABB0398-29D1-49BB-889F-7885C1ADD678}"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4">
              <xdr:nvSpPr>
                <xdr:cNvPr id="60" name="CityProfile2"/>
                <xdr:cNvSpPr/>
              </xdr:nvSpPr>
              <xdr:spPr>
                <a:xfrm>
                  <a:off x="7199046" y="370236"/>
                  <a:ext cx="3603380" cy="359386"/>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DCC65E-F82F-4EA9-A004-8FD74DA0D109}" type="TxLink">
                    <a:rPr lang="en-US" sz="14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textlink="uxb_works!B90">
              <xdr:nvSpPr>
                <xdr:cNvPr id="61" name="Home1"/>
                <xdr:cNvSpPr/>
              </xdr:nvSpPr>
              <xdr:spPr>
                <a:xfrm>
                  <a:off x="868627" y="3"/>
                  <a:ext cx="13536000" cy="369654"/>
                </a:xfrm>
                <a:prstGeom prst="rect">
                  <a:avLst/>
                </a:prstGeom>
                <a:solidFill>
                  <a:srgbClr val="FFFFFF"/>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B609E4-A4C5-4832-9622-4C6482086EB7}" type="TxLink">
                    <a:rPr lang="en-US" sz="1600" b="1" i="0" u="none" strike="noStrike">
                      <a:solidFill>
                        <a:schemeClr val="accent1">
                          <a:lumMod val="75000"/>
                        </a:schemeClr>
                      </a:solidFill>
                      <a:latin typeface="Calibri" panose="020F0502020204030204"/>
                      <a:ea typeface="Karla" pitchFamily="2" charset="0"/>
                      <a:cs typeface="Calibri" panose="020F0502020204030204"/>
                    </a:rPr>
                  </a:fld>
                  <a:endParaRPr lang="en-GB" sz="1400" b="1">
                    <a:solidFill>
                      <a:schemeClr val="accent1">
                        <a:lumMod val="75000"/>
                      </a:schemeClr>
                    </a:solidFill>
                    <a:latin typeface="+mn-lt"/>
                    <a:ea typeface="Karla" pitchFamily="2" charset="0"/>
                    <a:cs typeface="DilleniaUPC" pitchFamily="18" charset="-34"/>
                  </a:endParaRPr>
                </a:p>
              </xdr:txBody>
            </xdr:sp>
            <xdr:sp macro="[0]!LBChanger" textlink="uxb_works!B95">
              <xdr:nvSpPr>
                <xdr:cNvPr id="62" name="Weights"/>
                <xdr:cNvSpPr/>
              </xdr:nvSpPr>
              <xdr:spPr>
                <a:xfrm>
                  <a:off x="10801622" y="370236"/>
                  <a:ext cx="3604301" cy="359386"/>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EC9DCF-1775-4B22-9966-148AF6400B32}"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grpSp>
          <xdr:pic macro="[0]!Generate_XL">
            <xdr:nvPicPr>
              <xdr:cNvPr id="44" name="exp_xl" descr="excel-wbg.jpg"/>
              <xdr:cNvPicPr>
                <a:picLocks noChangeAspect="1"/>
              </xdr:cNvPicPr>
            </xdr:nvPicPr>
            <xdr:blipFill>
              <a:blip r:embed="rId4" cstate="print">
                <a:extLst>
                  <a:ext uri="{BEBA8EAE-BF5A-486C-A8C5-ECC9F3942E4B}">
                    <a14:imgProps xmlns:a14="http://schemas.microsoft.com/office/drawing/2010/main">
                      <a14:imgLayer r:embed="rId5">
                        <a14:imgEffect>
                          <a14:backgroundRemoval t="10000" b="90000" l="10000" r="90000"/>
                        </a14:imgEffect>
                      </a14:imgLayer>
                    </a14:imgProps>
                  </a:ext>
                </a:extLst>
              </a:blip>
              <a:stretch>
                <a:fillRect/>
              </a:stretch>
            </xdr:blipFill>
            <xdr:spPr>
              <a:xfrm>
                <a:off x="14077950" y="1200150"/>
                <a:ext cx="331567" cy="411958"/>
              </a:xfrm>
              <a:prstGeom prst="rect">
                <a:avLst/>
              </a:prstGeom>
            </xdr:spPr>
          </xdr:pic>
        </xdr:grpSp>
        <xdr:sp macro="[0]!LBChanger" textlink="uxb_works!B104">
          <xdr:nvSpPr>
            <xdr:cNvPr id="40" name="CityProfile"/>
            <xdr:cNvSpPr/>
          </xdr:nvSpPr>
          <xdr:spPr>
            <a:xfrm>
              <a:off x="0" y="732925"/>
              <a:ext cx="2520000" cy="288657"/>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4F6D99-8A11-4220-A77B-8F39F576479F}"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105">
          <xdr:nvSpPr>
            <xdr:cNvPr id="41" name="CityCompare"/>
            <xdr:cNvSpPr/>
          </xdr:nvSpPr>
          <xdr:spPr>
            <a:xfrm>
              <a:off x="2519592" y="732925"/>
              <a:ext cx="2516387" cy="288657"/>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207FEC1-D582-4F93-AF1D-58031F196553}" type="TxLink">
                <a:rPr lang="en-US" sz="12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macro="[0]!LBChanger" textlink="uxb_works!B106">
          <xdr:nvSpPr>
            <xdr:cNvPr id="42" name="CityScoreCard"/>
            <xdr:cNvSpPr/>
          </xdr:nvSpPr>
          <xdr:spPr>
            <a:xfrm>
              <a:off x="5028023" y="732925"/>
              <a:ext cx="2518851" cy="288657"/>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EDDFB85-6565-4D4A-AFD0-70AE94D9D893}"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grpSp>
      <xdr:sp macro="[0]!returntop">
        <xdr:nvSpPr>
          <xdr:cNvPr id="39" name="go_top"/>
          <xdr:cNvSpPr txBox="1"/>
        </xdr:nvSpPr>
        <xdr:spPr>
          <a:xfrm>
            <a:off x="13626361" y="9061230"/>
            <a:ext cx="805204" cy="186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mn-lt"/>
                <a:ea typeface="Karla" pitchFamily="2" charset="0"/>
              </a:rPr>
              <a:t>Back to top</a:t>
            </a:r>
            <a:endParaRPr lang="en-GB" sz="1100" b="1" i="0" u="sng" strike="noStrike" baseline="0">
              <a:solidFill>
                <a:srgbClr val="0070C0"/>
              </a:solidFill>
              <a:latin typeface="+mn-lt"/>
              <a:ea typeface="Karla" pitchFamily="2" charset="0"/>
            </a:endParaRPr>
          </a:p>
        </xdr:txBody>
      </xdr:sp>
      <mc:AlternateContent xmlns:mc="http://schemas.openxmlformats.org/markup-compatibility/2006">
        <mc:Choice xmlns:a14="http://schemas.microsoft.com/office/drawing/2010/main" Requires="a14">
          <xdr:sp macro="[0]!ccautohieght">
            <xdr:nvSpPr>
              <xdr:cNvPr id="12997635" name="Drop Down 3" hidden="1">
                <a:extLst>
                  <a:ext uri="{63B3BB69-23CF-44E3-9099-C40C66FF867C}">
                    <a14:compatExt spid="_x0000_s12997635"/>
                  </a:ext>
                </a:extLst>
              </xdr:cNvPr>
              <xdr:cNvSpPr/>
            </xdr:nvSpPr>
            <xdr:spPr>
              <a:xfrm>
                <a:off x="109045" y="2673282"/>
                <a:ext cx="4845391" cy="284077"/>
              </a:xfrm>
              <a:prstGeom prst="rect">
                <a:avLst/>
              </a:prstGeom>
            </xdr:spPr>
          </xdr:sp>
        </mc:Choice>
        <mc:Fallback/>
      </mc:AlternateContent>
      <xdr:sp>
        <xdr:nvSpPr>
          <xdr:cNvPr id="46" name="lbl_cnt_City_1"/>
          <xdr:cNvSpPr txBox="1"/>
        </xdr:nvSpPr>
        <xdr:spPr>
          <a:xfrm>
            <a:off x="1694202" y="1144694"/>
            <a:ext cx="1611344"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rPr>
              <a:t>SELECT CITY 1</a:t>
            </a:r>
            <a:endParaRPr lang="en-GB" sz="1000" b="1">
              <a:solidFill>
                <a:sysClr val="windowText" lastClr="000000"/>
              </a:solidFill>
              <a:latin typeface="+mn-lt"/>
            </a:endParaRPr>
          </a:p>
        </xdr:txBody>
      </xdr:sp>
      <xdr:pic macro="[0]!CityUp">
        <xdr:nvPicPr>
          <xdr:cNvPr id="48" name="cnt_series_up2" descr="scroll_up_small.png"/>
          <xdr:cNvPicPr>
            <a:picLocks noChangeAspect="1"/>
          </xdr:cNvPicPr>
        </xdr:nvPicPr>
        <xdr:blipFill>
          <a:blip r:embed="rId6" cstate="print"/>
          <a:stretch>
            <a:fillRect/>
          </a:stretch>
        </xdr:blipFill>
        <xdr:spPr>
          <a:xfrm>
            <a:off x="3178327" y="1346033"/>
            <a:ext cx="305459" cy="121151"/>
          </a:xfrm>
          <a:prstGeom prst="rect">
            <a:avLst/>
          </a:prstGeom>
        </xdr:spPr>
      </xdr:pic>
      <xdr:pic macro="[0]!CityDown">
        <xdr:nvPicPr>
          <xdr:cNvPr id="49" name="cnt_series_down2" descr="scroll_down_small.png"/>
          <xdr:cNvPicPr>
            <a:picLocks noChangeAspect="1"/>
          </xdr:cNvPicPr>
        </xdr:nvPicPr>
        <xdr:blipFill>
          <a:blip r:embed="rId7" cstate="print"/>
          <a:stretch>
            <a:fillRect/>
          </a:stretch>
        </xdr:blipFill>
        <xdr:spPr>
          <a:xfrm>
            <a:off x="3178327" y="1465249"/>
            <a:ext cx="305378" cy="94954"/>
          </a:xfrm>
          <a:prstGeom prst="rect">
            <a:avLst/>
          </a:prstGeom>
        </xdr:spPr>
      </xdr:pic>
      <xdr:pic macro="[0]!Country2Up">
        <xdr:nvPicPr>
          <xdr:cNvPr id="63" name="cnt_series_up2" descr="scroll_up_small.png"/>
          <xdr:cNvPicPr>
            <a:picLocks noChangeAspect="1"/>
          </xdr:cNvPicPr>
        </xdr:nvPicPr>
        <xdr:blipFill>
          <a:blip r:embed="rId6" cstate="print"/>
          <a:stretch>
            <a:fillRect/>
          </a:stretch>
        </xdr:blipFill>
        <xdr:spPr>
          <a:xfrm>
            <a:off x="5122677" y="1360802"/>
            <a:ext cx="298095" cy="121151"/>
          </a:xfrm>
          <a:prstGeom prst="rect">
            <a:avLst/>
          </a:prstGeom>
        </xdr:spPr>
      </xdr:pic>
      <xdr:pic macro="[0]!Country2Down">
        <xdr:nvPicPr>
          <xdr:cNvPr id="64" name="cnt_series_down2" descr="scroll_down_small.png"/>
          <xdr:cNvPicPr>
            <a:picLocks noChangeAspect="1"/>
          </xdr:cNvPicPr>
        </xdr:nvPicPr>
        <xdr:blipFill>
          <a:blip r:embed="rId7" cstate="print"/>
          <a:stretch>
            <a:fillRect/>
          </a:stretch>
        </xdr:blipFill>
        <xdr:spPr>
          <a:xfrm>
            <a:off x="5122677" y="1480017"/>
            <a:ext cx="298095" cy="94954"/>
          </a:xfrm>
          <a:prstGeom prst="rect">
            <a:avLst/>
          </a:prstGeom>
        </xdr:spPr>
      </xdr:pic>
      <xdr:sp>
        <xdr:nvSpPr>
          <xdr:cNvPr id="65" name="lbl_cnt_City_1"/>
          <xdr:cNvSpPr txBox="1"/>
        </xdr:nvSpPr>
        <xdr:spPr>
          <a:xfrm>
            <a:off x="3668117" y="1144694"/>
            <a:ext cx="1465842"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rPr>
              <a:t>SELECT CITY 2</a:t>
            </a:r>
            <a:endParaRPr lang="en-GB" sz="1000" b="1">
              <a:solidFill>
                <a:sysClr val="windowText" lastClr="000000"/>
              </a:solidFill>
              <a:latin typeface="+mn-lt"/>
            </a:endParaRPr>
          </a:p>
        </xdr:txBody>
      </xdr:sp>
      <xdr:sp>
        <xdr:nvSpPr>
          <xdr:cNvPr id="66" name="lbl_cnt_City_1"/>
          <xdr:cNvSpPr txBox="1"/>
        </xdr:nvSpPr>
        <xdr:spPr>
          <a:xfrm>
            <a:off x="9543342" y="1144694"/>
            <a:ext cx="1953934"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rPr>
              <a:t>SELECT GROUP</a:t>
            </a:r>
            <a:r>
              <a:rPr lang="en-GB" sz="1000" b="1" baseline="0">
                <a:solidFill>
                  <a:sysClr val="windowText" lastClr="000000"/>
                </a:solidFill>
                <a:latin typeface="+mn-lt"/>
              </a:rPr>
              <a:t> </a:t>
            </a:r>
            <a:r>
              <a:rPr lang="en-GB" sz="1000" b="1">
                <a:solidFill>
                  <a:sysClr val="windowText" lastClr="000000"/>
                </a:solidFill>
                <a:latin typeface="+mn-lt"/>
              </a:rPr>
              <a:t>FOR</a:t>
            </a:r>
            <a:r>
              <a:rPr lang="en-GB" sz="1000" b="1" baseline="0">
                <a:solidFill>
                  <a:sysClr val="windowText" lastClr="000000"/>
                </a:solidFill>
                <a:latin typeface="+mn-lt"/>
              </a:rPr>
              <a:t> AVERAGES</a:t>
            </a:r>
            <a:endParaRPr lang="en-GB" sz="1000" b="1">
              <a:solidFill>
                <a:sysClr val="windowText" lastClr="000000"/>
              </a:solidFill>
              <a:latin typeface="+mn-lt"/>
            </a:endParaRPr>
          </a:p>
        </xdr:txBody>
      </xdr:sp>
      <xdr:sp>
        <xdr:nvSpPr>
          <xdr:cNvPr id="31" name="lbl_cnt_City_1"/>
          <xdr:cNvSpPr txBox="1"/>
        </xdr:nvSpPr>
        <xdr:spPr>
          <a:xfrm>
            <a:off x="5596432" y="1144694"/>
            <a:ext cx="1602584"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rPr>
              <a:t>SELECT CITY 3</a:t>
            </a:r>
            <a:endParaRPr lang="en-GB" sz="1000" b="1">
              <a:solidFill>
                <a:sysClr val="windowText" lastClr="000000"/>
              </a:solidFill>
              <a:latin typeface="+mn-lt"/>
            </a:endParaRPr>
          </a:p>
        </xdr:txBody>
      </xdr:sp>
      <xdr:pic macro="[0]!Country3Up">
        <xdr:nvPicPr>
          <xdr:cNvPr id="32" name="cnt_series_up2" descr="scroll_up_small.png"/>
          <xdr:cNvPicPr>
            <a:picLocks noChangeAspect="1"/>
          </xdr:cNvPicPr>
        </xdr:nvPicPr>
        <xdr:blipFill>
          <a:blip r:embed="rId6" cstate="print"/>
          <a:stretch>
            <a:fillRect/>
          </a:stretch>
        </xdr:blipFill>
        <xdr:spPr>
          <a:xfrm>
            <a:off x="7055608" y="1360768"/>
            <a:ext cx="312505" cy="121151"/>
          </a:xfrm>
          <a:prstGeom prst="rect">
            <a:avLst/>
          </a:prstGeom>
        </xdr:spPr>
      </xdr:pic>
      <xdr:pic macro="[0]!Country3Down">
        <xdr:nvPicPr>
          <xdr:cNvPr id="33" name="cnt_series_down2" descr="scroll_down_small.png"/>
          <xdr:cNvPicPr>
            <a:picLocks noChangeAspect="1"/>
          </xdr:cNvPicPr>
        </xdr:nvPicPr>
        <xdr:blipFill>
          <a:blip r:embed="rId7" cstate="print"/>
          <a:stretch>
            <a:fillRect/>
          </a:stretch>
        </xdr:blipFill>
        <xdr:spPr>
          <a:xfrm>
            <a:off x="7055608" y="1479982"/>
            <a:ext cx="312423" cy="94954"/>
          </a:xfrm>
          <a:prstGeom prst="rect">
            <a:avLst/>
          </a:prstGeom>
        </xdr:spPr>
      </xdr:pic>
      <xdr:pic macro="[0]!Country4Up">
        <xdr:nvPicPr>
          <xdr:cNvPr id="34" name="cnt_series_up2" descr="scroll_up_small.png"/>
          <xdr:cNvPicPr>
            <a:picLocks noChangeAspect="1"/>
          </xdr:cNvPicPr>
        </xdr:nvPicPr>
        <xdr:blipFill>
          <a:blip r:embed="rId6" cstate="print"/>
          <a:stretch>
            <a:fillRect/>
          </a:stretch>
        </xdr:blipFill>
        <xdr:spPr>
          <a:xfrm>
            <a:off x="8942203" y="1365007"/>
            <a:ext cx="308652" cy="121151"/>
          </a:xfrm>
          <a:prstGeom prst="rect">
            <a:avLst/>
          </a:prstGeom>
        </xdr:spPr>
      </xdr:pic>
      <xdr:pic macro="[0]!Country4Down">
        <xdr:nvPicPr>
          <xdr:cNvPr id="35" name="cnt_series_down2" descr="scroll_down_small.png"/>
          <xdr:cNvPicPr>
            <a:picLocks noChangeAspect="1"/>
          </xdr:cNvPicPr>
        </xdr:nvPicPr>
        <xdr:blipFill>
          <a:blip r:embed="rId7" cstate="print"/>
          <a:stretch>
            <a:fillRect/>
          </a:stretch>
        </xdr:blipFill>
        <xdr:spPr>
          <a:xfrm>
            <a:off x="8942203" y="1484222"/>
            <a:ext cx="308571" cy="94954"/>
          </a:xfrm>
          <a:prstGeom prst="rect">
            <a:avLst/>
          </a:prstGeom>
        </xdr:spPr>
      </xdr:pic>
      <xdr:sp>
        <xdr:nvSpPr>
          <xdr:cNvPr id="36" name="lbl_cnt_City_1"/>
          <xdr:cNvSpPr txBox="1"/>
        </xdr:nvSpPr>
        <xdr:spPr>
          <a:xfrm>
            <a:off x="7510209" y="1144694"/>
            <a:ext cx="1460928"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rPr>
              <a:t>SELECT CITY 4</a:t>
            </a:r>
            <a:endParaRPr lang="en-GB" sz="1000" b="1">
              <a:solidFill>
                <a:sysClr val="windowText" lastClr="000000"/>
              </a:solidFill>
              <a:latin typeface="+mn-lt"/>
            </a:endParaRPr>
          </a:p>
        </xdr:txBody>
      </xdr:sp>
      <mc:AlternateContent xmlns:mc="http://schemas.openxmlformats.org/markup-compatibility/2006">
        <mc:Choice xmlns:a14="http://schemas.microsoft.com/office/drawing/2010/main" Requires="a14">
          <xdr:sp macro="[0]!CityUpdate">
            <xdr:nvSpPr>
              <xdr:cNvPr id="12997638" name="Drop Down 6" hidden="1">
                <a:extLst>
                  <a:ext uri="{63B3BB69-23CF-44E3-9099-C40C66FF867C}">
                    <a14:compatExt spid="_x0000_s12997638"/>
                  </a:ext>
                </a:extLst>
              </xdr:cNvPr>
              <xdr:cNvSpPr/>
            </xdr:nvSpPr>
            <xdr:spPr>
              <a:xfrm>
                <a:off x="3663775" y="1362897"/>
                <a:ext cx="1470183" cy="208865"/>
              </a:xfrm>
              <a:prstGeom prst="rect">
                <a:avLst/>
              </a:prstGeom>
            </xdr:spPr>
          </xdr:sp>
        </mc:Choice>
        <mc:Fallback/>
      </mc:AlternateContent>
      <mc:AlternateContent xmlns:mc="http://schemas.openxmlformats.org/markup-compatibility/2006">
        <mc:Choice xmlns:a14="http://schemas.microsoft.com/office/drawing/2010/main" Requires="a14">
          <xdr:sp>
            <xdr:nvSpPr>
              <xdr:cNvPr id="12997640" name="Drop Down 8" hidden="1">
                <a:extLst>
                  <a:ext uri="{63B3BB69-23CF-44E3-9099-C40C66FF867C}">
                    <a14:compatExt spid="_x0000_s12997640"/>
                  </a:ext>
                </a:extLst>
              </xdr:cNvPr>
              <xdr:cNvSpPr/>
            </xdr:nvSpPr>
            <xdr:spPr>
              <a:xfrm>
                <a:off x="9532826" y="1362897"/>
                <a:ext cx="1638023" cy="208865"/>
              </a:xfrm>
              <a:prstGeom prst="rect">
                <a:avLst/>
              </a:prstGeom>
            </xdr:spPr>
          </xdr:sp>
        </mc:Choice>
        <mc:Fallback/>
      </mc:AlternateContent>
      <mc:AlternateContent xmlns:mc="http://schemas.openxmlformats.org/markup-compatibility/2006">
        <mc:Choice xmlns:a14="http://schemas.microsoft.com/office/drawing/2010/main" Requires="a14">
          <xdr:sp macro="[0]!CityUpdate">
            <xdr:nvSpPr>
              <xdr:cNvPr id="12997641" name="Drop Down 9" hidden="1">
                <a:extLst>
                  <a:ext uri="{63B3BB69-23CF-44E3-9099-C40C66FF867C}">
                    <a14:compatExt spid="_x0000_s12997641"/>
                  </a:ext>
                </a:extLst>
              </xdr:cNvPr>
              <xdr:cNvSpPr/>
            </xdr:nvSpPr>
            <xdr:spPr>
              <a:xfrm>
                <a:off x="1694324" y="1353403"/>
                <a:ext cx="1472308" cy="208865"/>
              </a:xfrm>
              <a:prstGeom prst="rect">
                <a:avLst/>
              </a:prstGeom>
            </xdr:spPr>
          </xdr:sp>
        </mc:Choice>
        <mc:Fallback/>
      </mc:AlternateContent>
      <mc:AlternateContent xmlns:mc="http://schemas.openxmlformats.org/markup-compatibility/2006">
        <mc:Choice xmlns:a14="http://schemas.microsoft.com/office/drawing/2010/main" Requires="a14">
          <xdr:sp macro="[0]!ccautowidth">
            <xdr:nvSpPr>
              <xdr:cNvPr id="12997644" name="Drop Down 12" hidden="1">
                <a:extLst>
                  <a:ext uri="{63B3BB69-23CF-44E3-9099-C40C66FF867C}">
                    <a14:compatExt spid="_x0000_s12997644"/>
                  </a:ext>
                </a:extLst>
              </xdr:cNvPr>
              <xdr:cNvSpPr/>
            </xdr:nvSpPr>
            <xdr:spPr>
              <a:xfrm>
                <a:off x="7506012" y="1362897"/>
                <a:ext cx="1426631" cy="208865"/>
              </a:xfrm>
              <a:prstGeom prst="rect">
                <a:avLst/>
              </a:prstGeom>
            </xdr:spPr>
          </xdr:sp>
        </mc:Choice>
        <mc:Fallback/>
      </mc:AlternateContent>
      <mc:AlternateContent xmlns:mc="http://schemas.openxmlformats.org/markup-compatibility/2006">
        <mc:Choice xmlns:a14="http://schemas.microsoft.com/office/drawing/2010/main" Requires="a14">
          <xdr:sp macro="[0]!ccautowidth">
            <xdr:nvSpPr>
              <xdr:cNvPr id="12997645" name="Drop Down 13" hidden="1">
                <a:extLst>
                  <a:ext uri="{63B3BB69-23CF-44E3-9099-C40C66FF867C}">
                    <a14:compatExt spid="_x0000_s12997645"/>
                  </a:ext>
                </a:extLst>
              </xdr:cNvPr>
              <xdr:cNvSpPr/>
            </xdr:nvSpPr>
            <xdr:spPr>
              <a:xfrm>
                <a:off x="5592861" y="1362897"/>
                <a:ext cx="1472308" cy="208865"/>
              </a:xfrm>
              <a:prstGeom prst="rect">
                <a:avLst/>
              </a:prstGeom>
            </xdr:spPr>
          </xdr:sp>
        </mc:Choice>
        <mc:Fallback/>
      </mc:AlternateContent>
      <xdr:pic macro="[0]!CntCHLUp">
        <xdr:nvPicPr>
          <xdr:cNvPr id="53" name="cnt_series_up2" descr="scroll_up_small.png"/>
          <xdr:cNvPicPr>
            <a:picLocks noChangeAspect="1"/>
          </xdr:cNvPicPr>
        </xdr:nvPicPr>
        <xdr:blipFill>
          <a:blip r:embed="rId6" cstate="print"/>
          <a:stretch>
            <a:fillRect/>
          </a:stretch>
        </xdr:blipFill>
        <xdr:spPr>
          <a:xfrm>
            <a:off x="4961550" y="1347376"/>
            <a:ext cx="0" cy="121151"/>
          </a:xfrm>
          <a:prstGeom prst="rect">
            <a:avLst/>
          </a:prstGeom>
        </xdr:spPr>
      </xdr:pic>
      <xdr:pic macro="[0]!CntCHLDown">
        <xdr:nvPicPr>
          <xdr:cNvPr id="54" name="cnt_series_down2" descr="scroll_down_small.png"/>
          <xdr:cNvPicPr>
            <a:picLocks noChangeAspect="1"/>
          </xdr:cNvPicPr>
        </xdr:nvPicPr>
        <xdr:blipFill>
          <a:blip r:embed="rId7" cstate="print"/>
          <a:stretch>
            <a:fillRect/>
          </a:stretch>
        </xdr:blipFill>
        <xdr:spPr>
          <a:xfrm>
            <a:off x="4961550" y="1466591"/>
            <a:ext cx="0" cy="94954"/>
          </a:xfrm>
          <a:prstGeom prst="rect">
            <a:avLst/>
          </a:prstGeom>
        </xdr:spPr>
      </xdr:pic>
      <mc:AlternateContent xmlns:mc="http://schemas.openxmlformats.org/markup-compatibility/2006">
        <mc:Choice xmlns:a14="http://schemas.microsoft.com/office/drawing/2010/main" Requires="a14">
          <xdr:sp macro="[0]!CityAlign">
            <xdr:nvSpPr>
              <xdr:cNvPr id="12997646" name="Drop Down 14" hidden="1">
                <a:extLst>
                  <a:ext uri="{63B3BB69-23CF-44E3-9099-C40C66FF867C}">
                    <a14:compatExt spid="_x0000_s12997646"/>
                  </a:ext>
                </a:extLst>
              </xdr:cNvPr>
              <xdr:cNvSpPr/>
            </xdr:nvSpPr>
            <xdr:spPr>
              <a:xfrm>
                <a:off x="135971" y="1353403"/>
                <a:ext cx="1414946" cy="208865"/>
              </a:xfrm>
              <a:prstGeom prst="rect">
                <a:avLst/>
              </a:prstGeom>
            </xdr:spPr>
          </xdr:sp>
        </mc:Choice>
        <mc:Fallback/>
      </mc:AlternateContent>
      <xdr:sp>
        <xdr:nvSpPr>
          <xdr:cNvPr id="67" name="lbl_cnt_City_1"/>
          <xdr:cNvSpPr txBox="1"/>
        </xdr:nvSpPr>
        <xdr:spPr>
          <a:xfrm>
            <a:off x="138837" y="1144694"/>
            <a:ext cx="1438321" cy="2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baseline="0">
                <a:solidFill>
                  <a:sysClr val="windowText" lastClr="000000"/>
                </a:solidFill>
                <a:latin typeface="+mn-lt"/>
                <a:ea typeface="Karla" pitchFamily="2" charset="0"/>
              </a:rPr>
              <a:t>SELECT YEAR</a:t>
            </a:r>
            <a:endParaRPr lang="en-GB" sz="1000" b="1">
              <a:solidFill>
                <a:sysClr val="windowText" lastClr="000000"/>
              </a:solidFill>
              <a:latin typeface="+mn-lt"/>
              <a:ea typeface="Karla" pitchFamily="2" charset="0"/>
            </a:endParaRPr>
          </a:p>
        </xdr:txBody>
      </xdr:sp>
    </xdr:grpSp>
    <xdr:clientData fPrintsWithSheet="0"/>
  </xdr:twoCellAnchor>
  <xdr:twoCellAnchor editAs="absolute">
    <xdr:from>
      <xdr:col>21</xdr:col>
      <xdr:colOff>16934</xdr:colOff>
      <xdr:row>4</xdr:row>
      <xdr:rowOff>2112</xdr:rowOff>
    </xdr:from>
    <xdr:to>
      <xdr:col>53</xdr:col>
      <xdr:colOff>428965</xdr:colOff>
      <xdr:row>4</xdr:row>
      <xdr:rowOff>520512</xdr:rowOff>
    </xdr:to>
    <xdr:sp>
      <xdr:nvSpPr>
        <xdr:cNvPr id="5" name="Text Box 6"/>
        <xdr:cNvSpPr txBox="1">
          <a:spLocks noChangeArrowheads="1"/>
        </xdr:cNvSpPr>
      </xdr:nvSpPr>
      <xdr:spPr>
        <a:xfrm>
          <a:off x="7417435" y="2110740"/>
          <a:ext cx="7022465" cy="518160"/>
        </a:xfrm>
        <a:prstGeom prst="rect">
          <a:avLst/>
        </a:prstGeom>
        <a:solidFill>
          <a:srgbClr val="FFFFFF"/>
        </a:solidFill>
        <a:ln w="9525">
          <a:solidFill>
            <a:schemeClr val="bg1">
              <a:lumMod val="75000"/>
            </a:schemeClr>
          </a:solidFill>
          <a:miter lim="800000"/>
        </a:ln>
      </xdr:spPr>
      <xdr:txBody>
        <a:bodyPr vertOverflow="clip" wrap="square" lIns="72000" tIns="27432" rIns="72000" bIns="0" anchor="ctr" upright="1"/>
        <a:lstStyle/>
        <a:p>
          <a:pPr algn="l" rtl="0">
            <a:defRPr sz="1000"/>
          </a:pPr>
          <a:r>
            <a:rPr lang="en-GB" sz="1000" b="0" i="1" u="none" strike="noStrike" baseline="0">
              <a:solidFill>
                <a:schemeClr val="tx1">
                  <a:lumMod val="65000"/>
                  <a:lumOff val="35000"/>
                </a:schemeClr>
              </a:solidFill>
              <a:latin typeface="+mn-lt"/>
            </a:rPr>
            <a:t>Chart compares scores between up to 4 cities chosen. The axis can be changed by selecting the drop down menu to the left. 'VIEW ALL' selects the category scores whereas selecting the category displays the underlying indicator scores.</a:t>
          </a:r>
          <a:endParaRPr lang="en-GB" sz="1000" b="0" i="1" u="none" strike="noStrike" baseline="0">
            <a:solidFill>
              <a:schemeClr val="tx1">
                <a:lumMod val="65000"/>
                <a:lumOff val="35000"/>
              </a:schemeClr>
            </a:solidFill>
            <a:latin typeface="+mn-lt"/>
          </a:endParaRPr>
        </a:p>
      </xdr:txBody>
    </xdr:sp>
    <xdr:clientData fPrintsWithSheet="0"/>
  </xdr:twoCellAnchor>
  <xdr:twoCellAnchor editAs="oneCell">
    <xdr:from>
      <xdr:col>7</xdr:col>
      <xdr:colOff>1</xdr:colOff>
      <xdr:row>4</xdr:row>
      <xdr:rowOff>2112</xdr:rowOff>
    </xdr:from>
    <xdr:to>
      <xdr:col>14</xdr:col>
      <xdr:colOff>0</xdr:colOff>
      <xdr:row>4</xdr:row>
      <xdr:rowOff>520512</xdr:rowOff>
    </xdr:to>
    <xdr:sp>
      <xdr:nvSpPr>
        <xdr:cNvPr id="6" name="Text Box 6"/>
        <xdr:cNvSpPr txBox="1">
          <a:spLocks noChangeArrowheads="1"/>
        </xdr:cNvSpPr>
      </xdr:nvSpPr>
      <xdr:spPr>
        <a:xfrm>
          <a:off x="5095875" y="2110740"/>
          <a:ext cx="2238375" cy="518160"/>
        </a:xfrm>
        <a:prstGeom prst="rect">
          <a:avLst/>
        </a:prstGeom>
        <a:solidFill>
          <a:srgbClr val="FFFFFF"/>
        </a:solidFill>
        <a:ln w="9525">
          <a:solidFill>
            <a:schemeClr val="bg1">
              <a:lumMod val="75000"/>
            </a:schemeClr>
          </a:solidFill>
          <a:miter lim="800000"/>
        </a:ln>
      </xdr:spPr>
      <xdr:txBody>
        <a:bodyPr vertOverflow="clip" wrap="square" lIns="108000" tIns="108000" rIns="108000" bIns="0" anchor="t" upright="1"/>
        <a:lstStyle/>
        <a:p>
          <a:pPr algn="l" rtl="0">
            <a:defRPr sz="1000"/>
          </a:pPr>
          <a:r>
            <a:rPr lang="en-GB" sz="1000" b="0" i="1" u="none" strike="noStrike" baseline="0">
              <a:solidFill>
                <a:srgbClr val="00B050"/>
              </a:solidFill>
              <a:latin typeface="+mn-lt"/>
            </a:rPr>
            <a:t>* Green</a:t>
          </a:r>
          <a:r>
            <a:rPr lang="en-GB" sz="1000" b="0" i="1" u="none" strike="noStrike" baseline="0">
              <a:solidFill>
                <a:schemeClr val="tx1">
                  <a:lumMod val="65000"/>
                  <a:lumOff val="35000"/>
                </a:schemeClr>
              </a:solidFill>
              <a:latin typeface="+mn-lt"/>
            </a:rPr>
            <a:t>  = highest rank, </a:t>
          </a:r>
          <a:r>
            <a:rPr lang="en-GB" sz="1000" b="0" i="1" u="none" strike="noStrike" baseline="0">
              <a:solidFill>
                <a:srgbClr val="FF0000"/>
              </a:solidFill>
              <a:latin typeface="+mn-lt"/>
            </a:rPr>
            <a:t>red </a:t>
          </a:r>
          <a:r>
            <a:rPr lang="en-GB" sz="1000" b="0" i="1" u="none" strike="noStrike" baseline="0">
              <a:solidFill>
                <a:schemeClr val="tx1">
                  <a:lumMod val="65000"/>
                  <a:lumOff val="35000"/>
                </a:schemeClr>
              </a:solidFill>
              <a:latin typeface="+mn-lt"/>
            </a:rPr>
            <a:t>lower rank &amp; grey equal rank (of those selected)</a:t>
          </a:r>
          <a:endParaRPr lang="en-GB" sz="1000" b="0" i="1" u="none" strike="noStrike" baseline="0">
            <a:solidFill>
              <a:schemeClr val="tx1">
                <a:lumMod val="65000"/>
                <a:lumOff val="35000"/>
              </a:schemeClr>
            </a:solidFill>
            <a:latin typeface="+mn-lt"/>
          </a:endParaRPr>
        </a:p>
      </xdr:txBody>
    </xdr:sp>
    <xdr:clientData fPrintsWithSheet="0"/>
  </xdr:twoCellAnchor>
  <xdr:twoCellAnchor>
    <xdr:from>
      <xdr:col>21</xdr:col>
      <xdr:colOff>16933</xdr:colOff>
      <xdr:row>4</xdr:row>
      <xdr:rowOff>613833</xdr:rowOff>
    </xdr:from>
    <xdr:to>
      <xdr:col>53</xdr:col>
      <xdr:colOff>429683</xdr:colOff>
      <xdr:row>33</xdr:row>
      <xdr:rowOff>153458</xdr:rowOff>
    </xdr:to>
    <xdr:graphicFrame>
      <xdr:nvGraphicFramePr>
        <xdr:cNvPr id="45" name="Chart 44"/>
        <xdr:cNvGraphicFramePr/>
      </xdr:nvGraphicFramePr>
      <xdr:xfrm>
        <a:off x="7417435" y="2722245"/>
        <a:ext cx="7023100" cy="57785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10585</xdr:colOff>
      <xdr:row>4</xdr:row>
      <xdr:rowOff>2112</xdr:rowOff>
    </xdr:from>
    <xdr:to>
      <xdr:col>4</xdr:col>
      <xdr:colOff>4830985</xdr:colOff>
      <xdr:row>4</xdr:row>
      <xdr:rowOff>320820</xdr:rowOff>
    </xdr:to>
    <xdr:sp textlink="uxb_works!B85">
      <xdr:nvSpPr>
        <xdr:cNvPr id="55" name="TextBox 54"/>
        <xdr:cNvSpPr txBox="1">
          <a:spLocks noChangeArrowheads="1"/>
        </xdr:cNvSpPr>
      </xdr:nvSpPr>
      <xdr:spPr>
        <a:xfrm>
          <a:off x="114300" y="2110740"/>
          <a:ext cx="4830445" cy="318770"/>
        </a:xfrm>
        <a:prstGeom prst="rect">
          <a:avLst/>
        </a:prstGeom>
        <a:solidFill>
          <a:srgbClr val="FFFFFF"/>
        </a:solidFill>
        <a:ln w="9525">
          <a:solidFill>
            <a:srgbClr val="BCBCBC"/>
          </a:solidFill>
          <a:miter lim="800000"/>
        </a:ln>
      </xdr:spPr>
      <xdr:txBody>
        <a:bodyPr vertOverflow="clip" wrap="square" lIns="144000" tIns="0" rIns="144000" bIns="0" anchor="ctr" upright="1"/>
        <a:lstStyle/>
        <a:p>
          <a:pPr marL="0" algn="l"/>
          <a:fld id="{0D6B841C-980C-4B23-A171-5CA80F884A8D}" type="TxLink">
            <a:rPr lang="en-US" sz="800" b="0" i="0" u="none" strike="noStrike">
              <a:solidFill>
                <a:srgbClr val="3B6E8F"/>
              </a:solidFill>
              <a:effectLst/>
              <a:latin typeface="Calibri" panose="020F0502020204030204"/>
              <a:ea typeface="+mn-ea"/>
              <a:cs typeface="Calibri" panose="020F0502020204030204"/>
            </a:rPr>
          </a:fld>
          <a:endParaRPr lang="en-GB" sz="1100">
            <a:effectLst/>
            <a:latin typeface="+mn-lt"/>
            <a:ea typeface="+mn-ea"/>
            <a:cs typeface="+mn-cs"/>
          </a:endParaRPr>
        </a:p>
      </xdr:txBody>
    </xdr:sp>
    <xdr:clientData fPrintsWithSheet="0"/>
  </xdr:twoCellAnchor>
  <xdr:twoCellAnchor editAs="absolute">
    <xdr:from>
      <xdr:col>23</xdr:col>
      <xdr:colOff>2828198</xdr:colOff>
      <xdr:row>2</xdr:row>
      <xdr:rowOff>51463</xdr:rowOff>
    </xdr:from>
    <xdr:to>
      <xdr:col>52</xdr:col>
      <xdr:colOff>369094</xdr:colOff>
      <xdr:row>2</xdr:row>
      <xdr:rowOff>847893</xdr:rowOff>
    </xdr:to>
    <xdr:grpSp>
      <xdr:nvGrpSpPr>
        <xdr:cNvPr id="4" name="Weights_Select"/>
        <xdr:cNvGrpSpPr/>
      </xdr:nvGrpSpPr>
      <xdr:grpSpPr>
        <a:xfrm>
          <a:off x="11447780" y="790575"/>
          <a:ext cx="2322830" cy="796290"/>
          <a:chOff x="11436417" y="765838"/>
          <a:chExt cx="2334873" cy="796430"/>
        </a:xfrm>
      </xdr:grpSpPr>
      <xdr:sp>
        <xdr:nvSpPr>
          <xdr:cNvPr id="50" name="lbl_cnt_City_1"/>
          <xdr:cNvSpPr txBox="1"/>
        </xdr:nvSpPr>
        <xdr:spPr>
          <a:xfrm>
            <a:off x="12942151" y="1133880"/>
            <a:ext cx="685733" cy="2199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000" b="1">
                <a:solidFill>
                  <a:sysClr val="windowText" lastClr="000000"/>
                </a:solidFill>
                <a:latin typeface="+mn-lt"/>
              </a:rPr>
              <a:t>WEIGHTS</a:t>
            </a:r>
            <a:endParaRPr lang="en-GB" sz="1000" b="1">
              <a:solidFill>
                <a:sysClr val="windowText" lastClr="000000"/>
              </a:solidFill>
              <a:latin typeface="+mn-lt"/>
            </a:endParaRPr>
          </a:p>
        </xdr:txBody>
      </xdr:sp>
      <mc:AlternateContent xmlns:mc="http://schemas.openxmlformats.org/markup-compatibility/2006">
        <mc:Choice xmlns:a14="http://schemas.microsoft.com/office/drawing/2010/main" Requires="a14">
          <xdr:sp macro="[0]!LoadWeights">
            <xdr:nvSpPr>
              <xdr:cNvPr id="12997642" name="Drop Down 10" hidden="1">
                <a:extLst>
                  <a:ext uri="{63B3BB69-23CF-44E3-9099-C40C66FF867C}">
                    <a14:compatExt spid="_x0000_s12997642"/>
                  </a:ext>
                </a:extLst>
              </xdr:cNvPr>
              <xdr:cNvSpPr/>
            </xdr:nvSpPr>
            <xdr:spPr>
              <a:xfrm>
                <a:off x="11534146" y="1353403"/>
                <a:ext cx="2093738" cy="208865"/>
              </a:xfrm>
              <a:prstGeom prst="rect">
                <a:avLst/>
              </a:prstGeom>
            </xdr:spPr>
          </xdr:sp>
        </mc:Choice>
        <mc:Fallback/>
      </mc:AlternateContent>
      <xdr:sp textlink="_WeightProfile">
        <xdr:nvSpPr>
          <xdr:cNvPr id="52" name="Text Box 6"/>
          <xdr:cNvSpPr txBox="1">
            <a:spLocks noChangeArrowheads="1"/>
          </xdr:cNvSpPr>
        </xdr:nvSpPr>
        <xdr:spPr>
          <a:xfrm>
            <a:off x="11436417" y="765838"/>
            <a:ext cx="2334873" cy="493688"/>
          </a:xfrm>
          <a:prstGeom prst="rect">
            <a:avLst/>
          </a:prstGeom>
          <a:noFill/>
          <a:ln w="9525">
            <a:noFill/>
            <a:miter lim="800000"/>
          </a:ln>
        </xdr:spPr>
        <xdr:txBody>
          <a:bodyPr vertOverflow="clip" wrap="square" lIns="108000" tIns="27432" rIns="0" bIns="0" anchor="t" upright="1"/>
          <a:lstStyle/>
          <a:p>
            <a:pPr algn="l" rtl="0">
              <a:defRPr sz="1000"/>
            </a:pPr>
            <a:fld id="{6B3CEEA7-E132-459A-8C8C-F76B64C58034}" type="TxLink">
              <a:rPr lang="en-US" sz="1000" b="0" i="1" u="none" strike="noStrike" baseline="0">
                <a:solidFill>
                  <a:schemeClr val="tx1">
                    <a:lumMod val="65000"/>
                    <a:lumOff val="35000"/>
                  </a:schemeClr>
                </a:solidFill>
                <a:latin typeface="+mn-lt"/>
                <a:ea typeface="Karla" pitchFamily="2" charset="0"/>
                <a:cs typeface="Calibri" panose="020F0502020204030204"/>
              </a:rPr>
            </a:fld>
            <a:endParaRPr lang="en-GB" sz="1000" b="0" i="1" u="none" strike="noStrike" baseline="0">
              <a:solidFill>
                <a:schemeClr val="tx1">
                  <a:lumMod val="65000"/>
                  <a:lumOff val="35000"/>
                </a:schemeClr>
              </a:solidFill>
              <a:latin typeface="+mn-lt"/>
              <a:ea typeface="Karla" pitchFamily="2" charset="0"/>
            </a:endParaRPr>
          </a:p>
        </xdr:txBody>
      </xdr:sp>
    </xdr:grpSp>
    <xdr:clientData fPrintsWithSheet="0"/>
  </xdr:twoCellAnchor>
  <mc:AlternateContent xmlns:mc="http://schemas.openxmlformats.org/markup-compatibility/2006">
    <mc:Choice xmlns:a14="http://schemas.microsoft.com/office/drawing/2010/main" Requires="a14">
      <xdr:twoCellAnchor editAs="absolute">
        <xdr:from>
          <xdr:col>52</xdr:col>
          <xdr:colOff>314325</xdr:colOff>
          <xdr:row>2</xdr:row>
          <xdr:rowOff>114300</xdr:rowOff>
        </xdr:from>
        <xdr:to>
          <xdr:col>53</xdr:col>
          <xdr:colOff>400050</xdr:colOff>
          <xdr:row>2</xdr:row>
          <xdr:rowOff>361950</xdr:rowOff>
        </xdr:to>
        <xdr:sp macro="[0]!Refresh">
          <xdr:nvSpPr>
            <xdr:cNvPr id="12997647" name="Button 15" hidden="1">
              <a:extLst>
                <a:ext uri="{63B3BB69-23CF-44E3-9099-C40C66FF867C}">
                  <a14:compatExt spid="_x0000_s12997647"/>
                </a:ext>
              </a:extLst>
            </xdr:cNvPr>
            <xdr:cNvSpPr/>
          </xdr:nvSpPr>
          <xdr:spPr>
            <a:xfrm>
              <a:off x="13716000" y="853440"/>
              <a:ext cx="695325" cy="247650"/>
            </a:xfrm>
            <a:prstGeom prst="rect">
              <a:avLst/>
            </a:prstGeom>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panose="020F0502020204030204"/>
                </a:rPr>
                <a:t>Reset All</a:t>
              </a:r>
              <a:endParaRPr lang="en-GB" sz="1100" b="0" i="0" u="none" strike="noStrike" baseline="0">
                <a:solidFill>
                  <a:srgbClr val="000000"/>
                </a:solidFill>
                <a:latin typeface="Calibri" panose="020F0502020204030204"/>
              </a:endParaRPr>
            </a:p>
          </xdr:txBody>
        </xdr:sp>
        <xdr:clientData fPrintsWithSheet="0"/>
      </xdr:twoCellAnchor>
    </mc:Choice>
    <mc:Fallback/>
  </mc:AlternateContent>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14</xdr:col>
      <xdr:colOff>324207</xdr:colOff>
      <xdr:row>3</xdr:row>
      <xdr:rowOff>2311</xdr:rowOff>
    </xdr:to>
    <xdr:grpSp>
      <xdr:nvGrpSpPr>
        <xdr:cNvPr id="19" name="MENU"/>
        <xdr:cNvGrpSpPr/>
      </xdr:nvGrpSpPr>
      <xdr:grpSpPr>
        <a:xfrm>
          <a:off x="0" y="0"/>
          <a:ext cx="14382750" cy="1644015"/>
          <a:chOff x="0" y="4166"/>
          <a:chExt cx="14376979" cy="1632793"/>
        </a:xfrm>
      </xdr:grpSpPr>
      <xdr:grpSp>
        <xdr:nvGrpSpPr>
          <xdr:cNvPr id="76" name="MENU_PLUS"/>
          <xdr:cNvGrpSpPr/>
        </xdr:nvGrpSpPr>
        <xdr:grpSpPr>
          <a:xfrm>
            <a:off x="0" y="4166"/>
            <a:ext cx="14376979" cy="1632793"/>
            <a:chOff x="1" y="1"/>
            <a:chExt cx="14382404" cy="1619178"/>
          </a:xfrm>
        </xdr:grpSpPr>
        <xdr:grpSp>
          <xdr:nvGrpSpPr>
            <xdr:cNvPr id="77" name="MENU_B"/>
            <xdr:cNvGrpSpPr/>
          </xdr:nvGrpSpPr>
          <xdr:grpSpPr>
            <a:xfrm>
              <a:off x="2" y="1"/>
              <a:ext cx="14382403" cy="1619178"/>
              <a:chOff x="1" y="1"/>
              <a:chExt cx="14382399" cy="1619182"/>
            </a:xfrm>
          </xdr:grpSpPr>
          <xdr:grpSp>
            <xdr:nvGrpSpPr>
              <xdr:cNvPr id="81" name="MENU_BASE"/>
              <xdr:cNvGrpSpPr/>
            </xdr:nvGrpSpPr>
            <xdr:grpSpPr>
              <a:xfrm>
                <a:off x="1" y="1"/>
                <a:ext cx="14380762" cy="1619182"/>
                <a:chOff x="2" y="1"/>
                <a:chExt cx="14356522" cy="1614949"/>
              </a:xfrm>
            </xdr:grpSpPr>
            <xdr:sp>
              <xdr:nvSpPr>
                <xdr:cNvPr id="83" name="nav_controls"/>
                <xdr:cNvSpPr/>
              </xdr:nvSpPr>
              <xdr:spPr>
                <a:xfrm>
                  <a:off x="2" y="369733"/>
                  <a:ext cx="14353473" cy="1245217"/>
                </a:xfrm>
                <a:prstGeom prst="rect">
                  <a:avLst/>
                </a:prstGeom>
                <a:solidFill>
                  <a:schemeClr val="bg1">
                    <a:lumMod val="95000"/>
                  </a:schemeClr>
                </a:solidFill>
                <a:ln w="127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chemeClr val="tx2">
                        <a:lumMod val="75000"/>
                      </a:schemeClr>
                    </a:solidFill>
                    <a:latin typeface="+mn-lt"/>
                    <a:ea typeface="Karla" pitchFamily="2" charset="0"/>
                  </a:endParaRPr>
                </a:p>
              </xdr:txBody>
            </xdr:sp>
            <xdr:sp macro="[0]!LBChanger" textlink="uxb_works!B92">
              <xdr:nvSpPr>
                <xdr:cNvPr id="84" name="Summary"/>
                <xdr:cNvSpPr/>
              </xdr:nvSpPr>
              <xdr:spPr>
                <a:xfrm>
                  <a:off x="1147" y="366622"/>
                  <a:ext cx="3595543" cy="361719"/>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105C044-9834-4268-A7A6-5159ABE53AAC}"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xdr:nvSpPr>
                <xdr:cNvPr id="85" name="Home1"/>
                <xdr:cNvSpPr/>
              </xdr:nvSpPr>
              <xdr:spPr>
                <a:xfrm>
                  <a:off x="1152" y="1"/>
                  <a:ext cx="867228" cy="364908"/>
                </a:xfrm>
                <a:prstGeom prst="rect">
                  <a:avLst/>
                </a:prstGeom>
                <a:solidFill>
                  <a:schemeClr val="bg1"/>
                </a:solidFill>
                <a:ln w="6350">
                  <a:solidFill>
                    <a:schemeClr val="accent6">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chemeClr val="accent1">
                        <a:lumMod val="75000"/>
                      </a:schemeClr>
                    </a:solidFill>
                    <a:latin typeface="+mn-lt"/>
                    <a:ea typeface="Karla" pitchFamily="2" charset="0"/>
                    <a:cs typeface="DilleniaUPC" pitchFamily="18" charset="-34"/>
                  </a:endParaRPr>
                </a:p>
              </xdr:txBody>
            </xdr:sp>
            <xdr:pic macro="[0]!LBChanger">
              <xdr:nvPicPr>
                <xdr:cNvPr id="89" name="Home" descr="Home.png"/>
                <xdr:cNvPicPr>
                  <a:picLocks noChangeAspect="1"/>
                </xdr:cNvPicPr>
              </xdr:nvPicPr>
              <xdr:blipFill>
                <a:blip r:embed="rId29" cstate="print"/>
                <a:stretch>
                  <a:fillRect/>
                </a:stretch>
              </xdr:blipFill>
              <xdr:spPr>
                <a:xfrm>
                  <a:off x="76311" y="16517"/>
                  <a:ext cx="353192" cy="335848"/>
                </a:xfrm>
                <a:prstGeom prst="rect">
                  <a:avLst/>
                </a:prstGeom>
                <a:solidFill>
                  <a:schemeClr val="bg1"/>
                </a:solidFill>
              </xdr:spPr>
            </xdr:pic>
            <xdr:pic macro="[0]!Navigate_GoBack">
              <xdr:nvPicPr>
                <xdr:cNvPr id="90" name="Picture 89" descr="Silver-Back-Button.png"/>
                <xdr:cNvPicPr>
                  <a:picLocks noChangeAspect="1"/>
                </xdr:cNvPicPr>
              </xdr:nvPicPr>
              <xdr:blipFill>
                <a:blip r:embed="rId30" cstate="print"/>
                <a:stretch>
                  <a:fillRect/>
                </a:stretch>
              </xdr:blipFill>
              <xdr:spPr>
                <a:xfrm>
                  <a:off x="482924" y="16516"/>
                  <a:ext cx="346258" cy="335123"/>
                </a:xfrm>
                <a:prstGeom prst="rect">
                  <a:avLst/>
                </a:prstGeom>
                <a:solidFill>
                  <a:schemeClr val="bg1"/>
                </a:solidFill>
              </xdr:spPr>
            </xdr:pic>
            <xdr:sp macro="[0]!LBChanger" textlink="uxb_works!B93">
              <xdr:nvSpPr>
                <xdr:cNvPr id="92" name="Indicator_Ranking"/>
                <xdr:cNvSpPr/>
              </xdr:nvSpPr>
              <xdr:spPr>
                <a:xfrm>
                  <a:off x="3577822" y="366622"/>
                  <a:ext cx="3595543" cy="361719"/>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ABB0398-29D1-49BB-889F-7885C1ADD678}"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94">
              <xdr:nvSpPr>
                <xdr:cNvPr id="94" name="CityProfile2"/>
                <xdr:cNvSpPr/>
              </xdr:nvSpPr>
              <xdr:spPr>
                <a:xfrm>
                  <a:off x="7165832" y="366622"/>
                  <a:ext cx="3595543" cy="361719"/>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DCC65E-F82F-4EA9-A004-8FD74DA0D109}" type="TxLink">
                    <a:rPr lang="en-US" sz="14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sp textlink="uxb_works!B90">
              <xdr:nvSpPr>
                <xdr:cNvPr id="95" name="Home1"/>
                <xdr:cNvSpPr/>
              </xdr:nvSpPr>
              <xdr:spPr>
                <a:xfrm>
                  <a:off x="868626" y="3"/>
                  <a:ext cx="13487854" cy="369653"/>
                </a:xfrm>
                <a:prstGeom prst="rect">
                  <a:avLst/>
                </a:prstGeom>
                <a:solidFill>
                  <a:srgbClr val="FFFFFF"/>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B609E4-A4C5-4832-9622-4C6482086EB7}" type="TxLink">
                    <a:rPr lang="en-US" sz="1600" b="1" i="0" u="none" strike="noStrike">
                      <a:solidFill>
                        <a:schemeClr val="accent1">
                          <a:lumMod val="75000"/>
                        </a:schemeClr>
                      </a:solidFill>
                      <a:latin typeface="Calibri" panose="020F0502020204030204"/>
                      <a:ea typeface="Karla" pitchFamily="2" charset="0"/>
                      <a:cs typeface="Calibri" panose="020F0502020204030204"/>
                    </a:rPr>
                  </a:fld>
                  <a:endParaRPr lang="en-GB" sz="1400" b="1">
                    <a:solidFill>
                      <a:schemeClr val="accent1">
                        <a:lumMod val="75000"/>
                      </a:schemeClr>
                    </a:solidFill>
                    <a:latin typeface="+mn-lt"/>
                    <a:ea typeface="Karla" pitchFamily="2" charset="0"/>
                    <a:cs typeface="DilleniaUPC" pitchFamily="18" charset="-34"/>
                  </a:endParaRPr>
                </a:p>
              </xdr:txBody>
            </xdr:sp>
            <xdr:sp macro="[0]!LBChanger" textlink="uxb_works!B95">
              <xdr:nvSpPr>
                <xdr:cNvPr id="96" name="Weights"/>
                <xdr:cNvSpPr/>
              </xdr:nvSpPr>
              <xdr:spPr>
                <a:xfrm>
                  <a:off x="10760981" y="366622"/>
                  <a:ext cx="3595543" cy="361719"/>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EC9DCF-1775-4B22-9966-148AF6400B32}" type="TxLink">
                    <a:rPr lang="en-US" sz="14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grpSp>
          <xdr:pic macro="[0]!Generate_XL">
            <xdr:nvPicPr>
              <xdr:cNvPr id="82" name="exp_xl" descr="excel-wbg.jpg"/>
              <xdr:cNvPicPr>
                <a:picLocks noChangeAspect="1"/>
              </xdr:cNvPicPr>
            </xdr:nvPicPr>
            <xdr:blipFill>
              <a:blip r:embed="rId31" cstate="print">
                <a:extLst>
                  <a:ext uri="{BEBA8EAE-BF5A-486C-A8C5-ECC9F3942E4B}">
                    <a14:imgProps xmlns:a14="http://schemas.microsoft.com/office/drawing/2010/main">
                      <a14:imgLayer r:embed="rId32">
                        <a14:imgEffect>
                          <a14:backgroundRemoval t="10000" b="90000" l="10000" r="90000"/>
                        </a14:imgEffect>
                      </a14:imgLayer>
                    </a14:imgProps>
                  </a:ext>
                </a:extLst>
              </a:blip>
              <a:stretch>
                <a:fillRect/>
              </a:stretch>
            </xdr:blipFill>
            <xdr:spPr>
              <a:xfrm>
                <a:off x="14050833" y="1200150"/>
                <a:ext cx="331567" cy="411958"/>
              </a:xfrm>
              <a:prstGeom prst="rect">
                <a:avLst/>
              </a:prstGeom>
            </xdr:spPr>
          </xdr:pic>
        </xdr:grpSp>
        <xdr:sp macro="[0]!LBChanger" textlink="uxb_works!B104">
          <xdr:nvSpPr>
            <xdr:cNvPr id="78" name="CityProfile"/>
            <xdr:cNvSpPr/>
          </xdr:nvSpPr>
          <xdr:spPr>
            <a:xfrm>
              <a:off x="1" y="726069"/>
              <a:ext cx="2520000" cy="288657"/>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4F6D99-8A11-4220-A77B-8F39F576479F}"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105">
          <xdr:nvSpPr>
            <xdr:cNvPr id="79" name="CityCompare"/>
            <xdr:cNvSpPr/>
          </xdr:nvSpPr>
          <xdr:spPr>
            <a:xfrm>
              <a:off x="2519592" y="726127"/>
              <a:ext cx="2516387" cy="288657"/>
            </a:xfrm>
            <a:prstGeom prst="rect">
              <a:avLst/>
            </a:prstGeom>
            <a:solidFill>
              <a:schemeClr val="bg1"/>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207FEC1-D582-4F93-AF1D-58031F196553}" type="TxLink">
                <a:rPr lang="en-US" sz="1200" b="1" i="0" u="none" strike="noStrike">
                  <a:solidFill>
                    <a:schemeClr val="bg1">
                      <a:lumMod val="65000"/>
                    </a:schemeClr>
                  </a:solidFill>
                  <a:latin typeface="Calibri" panose="020F0502020204030204"/>
                  <a:ea typeface="Karla" pitchFamily="2" charset="0"/>
                  <a:cs typeface="Calibri" panose="020F0502020204030204"/>
                </a:rPr>
              </a:fld>
              <a:endParaRPr lang="en-GB" sz="1400" b="0">
                <a:solidFill>
                  <a:schemeClr val="bg1">
                    <a:lumMod val="65000"/>
                  </a:schemeClr>
                </a:solidFill>
                <a:latin typeface="+mn-lt"/>
                <a:ea typeface="Karla" pitchFamily="2" charset="0"/>
              </a:endParaRPr>
            </a:p>
          </xdr:txBody>
        </xdr:sp>
        <xdr:sp macro="[0]!LBChanger" textlink="uxb_works!B106">
          <xdr:nvSpPr>
            <xdr:cNvPr id="80" name="CityScoreCard"/>
            <xdr:cNvSpPr/>
          </xdr:nvSpPr>
          <xdr:spPr>
            <a:xfrm>
              <a:off x="5036654" y="724835"/>
              <a:ext cx="2518851" cy="288657"/>
            </a:xfrm>
            <a:prstGeom prst="rect">
              <a:avLst/>
            </a:prstGeom>
            <a:solidFill>
              <a:schemeClr val="bg1">
                <a:lumMod val="95000"/>
              </a:schemeClr>
            </a:solidFill>
            <a:ln w="63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EDDFB85-6565-4D4A-AFD0-70AE94D9D893}" type="TxLink">
                <a:rPr lang="en-US" sz="1200" b="1" i="0" u="none" strike="noStrike">
                  <a:solidFill>
                    <a:schemeClr val="accent1">
                      <a:lumMod val="75000"/>
                    </a:schemeClr>
                  </a:solidFill>
                  <a:latin typeface="Calibri" panose="020F0502020204030204"/>
                  <a:ea typeface="Karla" pitchFamily="2" charset="0"/>
                  <a:cs typeface="Calibri" panose="020F0502020204030204"/>
                </a:rPr>
              </a:fld>
              <a:endParaRPr lang="en-GB" sz="1400" b="0">
                <a:solidFill>
                  <a:schemeClr val="accent1">
                    <a:lumMod val="75000"/>
                  </a:schemeClr>
                </a:solidFill>
                <a:latin typeface="+mn-lt"/>
                <a:ea typeface="Karla" pitchFamily="2" charset="0"/>
              </a:endParaRPr>
            </a:p>
          </xdr:txBody>
        </xdr:sp>
      </xdr:grpSp>
      <xdr:sp>
        <xdr:nvSpPr>
          <xdr:cNvPr id="86" name="lbl_cnt_City_1"/>
          <xdr:cNvSpPr txBox="1"/>
        </xdr:nvSpPr>
        <xdr:spPr>
          <a:xfrm>
            <a:off x="2233072" y="1121406"/>
            <a:ext cx="1408745" cy="219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100" b="1">
                <a:solidFill>
                  <a:sysClr val="windowText" lastClr="000000"/>
                </a:solidFill>
                <a:latin typeface="+mn-lt"/>
                <a:ea typeface="Karla" pitchFamily="2" charset="0"/>
              </a:rPr>
              <a:t>SELECT CITY</a:t>
            </a:r>
            <a:endParaRPr lang="en-GB" sz="1100" b="1">
              <a:solidFill>
                <a:sysClr val="windowText" lastClr="000000"/>
              </a:solidFill>
              <a:latin typeface="+mn-lt"/>
              <a:ea typeface="Karla" pitchFamily="2" charset="0"/>
            </a:endParaRPr>
          </a:p>
        </xdr:txBody>
      </xdr:sp>
      <xdr:pic macro="[0]!CityUp">
        <xdr:nvPicPr>
          <xdr:cNvPr id="87" name="cnt_series_up2" descr="scroll_up_small.png"/>
          <xdr:cNvPicPr>
            <a:picLocks noChangeAspect="1"/>
          </xdr:cNvPicPr>
        </xdr:nvPicPr>
        <xdr:blipFill>
          <a:blip r:embed="rId33" cstate="print"/>
          <a:stretch>
            <a:fillRect/>
          </a:stretch>
        </xdr:blipFill>
        <xdr:spPr>
          <a:xfrm>
            <a:off x="3691438" y="1350156"/>
            <a:ext cx="303659" cy="122823"/>
          </a:xfrm>
          <a:prstGeom prst="rect">
            <a:avLst/>
          </a:prstGeom>
        </xdr:spPr>
      </xdr:pic>
      <xdr:pic macro="[0]!CityDown">
        <xdr:nvPicPr>
          <xdr:cNvPr id="88" name="cnt_series_down2" descr="scroll_down_small.png"/>
          <xdr:cNvPicPr>
            <a:picLocks noChangeAspect="1"/>
          </xdr:cNvPicPr>
        </xdr:nvPicPr>
        <xdr:blipFill>
          <a:blip r:embed="rId34" cstate="print"/>
          <a:stretch>
            <a:fillRect/>
          </a:stretch>
        </xdr:blipFill>
        <xdr:spPr>
          <a:xfrm>
            <a:off x="3691478" y="1471018"/>
            <a:ext cx="303578" cy="94579"/>
          </a:xfrm>
          <a:prstGeom prst="rect">
            <a:avLst/>
          </a:prstGeom>
        </xdr:spPr>
      </xdr:pic>
      <mc:AlternateContent xmlns:mc="http://schemas.openxmlformats.org/markup-compatibility/2006">
        <mc:Choice xmlns:a14="http://schemas.microsoft.com/office/drawing/2010/main" Requires="a14">
          <xdr:sp macro="[0]!CityUpdate">
            <xdr:nvSpPr>
              <xdr:cNvPr id="13404161" name="GroupSelect" hidden="1">
                <a:extLst>
                  <a:ext uri="{63B3BB69-23CF-44E3-9099-C40C66FF867C}">
                    <a14:compatExt spid="_x0000_s13404161"/>
                  </a:ext>
                </a:extLst>
              </xdr:cNvPr>
              <xdr:cNvSpPr/>
            </xdr:nvSpPr>
            <xdr:spPr>
              <a:xfrm>
                <a:off x="2233072" y="1354479"/>
                <a:ext cx="1439633" cy="230401"/>
              </a:xfrm>
              <a:prstGeom prst="rect">
                <a:avLst/>
              </a:prstGeom>
            </xdr:spPr>
          </xdr:sp>
        </mc:Choice>
        <mc:Fallback/>
      </mc:AlternateContent>
      <mc:AlternateContent xmlns:mc="http://schemas.openxmlformats.org/markup-compatibility/2006">
        <mc:Choice xmlns:a14="http://schemas.microsoft.com/office/drawing/2010/main" Requires="a14">
          <xdr:sp macro="[0]!DISTONOFF">
            <xdr:nvSpPr>
              <xdr:cNvPr id="13404162" name="Toggle" hidden="1">
                <a:extLst>
                  <a:ext uri="{63B3BB69-23CF-44E3-9099-C40C66FF867C}">
                    <a14:compatExt spid="_x0000_s13404162"/>
                  </a:ext>
                </a:extLst>
              </xdr:cNvPr>
              <xdr:cNvSpPr/>
            </xdr:nvSpPr>
            <xdr:spPr>
              <a:xfrm>
                <a:off x="4587967" y="1368826"/>
                <a:ext cx="4261692" cy="201707"/>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panose="020B0604030504040204"/>
                    <a:ea typeface="Tahoma" panose="020B0604030504040204"/>
                    <a:cs typeface="Tahoma" panose="020B0604030504040204"/>
                  </a:rPr>
                  <a:t>Toggle between result displays below</a:t>
                </a:r>
                <a:endParaRPr lang="en-GB" sz="800" b="0" i="0" u="none" strike="noStrike" baseline="0">
                  <a:solidFill>
                    <a:srgbClr val="000000"/>
                  </a:solidFill>
                  <a:latin typeface="Tahoma" panose="020B0604030504040204"/>
                  <a:ea typeface="Tahoma" panose="020B0604030504040204"/>
                  <a:cs typeface="Tahoma" panose="020B0604030504040204"/>
                </a:endParaRPr>
              </a:p>
            </xdr:txBody>
          </xdr:sp>
        </mc:Choice>
        <mc:Fallback/>
      </mc:AlternateContent>
      <mc:AlternateContent xmlns:mc="http://schemas.openxmlformats.org/markup-compatibility/2006">
        <mc:Choice xmlns:a14="http://schemas.microsoft.com/office/drawing/2010/main" Requires="a14">
          <xdr:sp macro="[0]!CityAlign">
            <xdr:nvSpPr>
              <xdr:cNvPr id="13404163" name="Drop Down 3" hidden="1">
                <a:extLst>
                  <a:ext uri="{63B3BB69-23CF-44E3-9099-C40C66FF867C}">
                    <a14:compatExt spid="_x0000_s13404163"/>
                  </a:ext>
                </a:extLst>
              </xdr:cNvPr>
              <xdr:cNvSpPr/>
            </xdr:nvSpPr>
            <xdr:spPr>
              <a:xfrm>
                <a:off x="104874" y="1354479"/>
                <a:ext cx="1413149" cy="230401"/>
              </a:xfrm>
              <a:prstGeom prst="rect">
                <a:avLst/>
              </a:prstGeom>
            </xdr:spPr>
          </xdr:sp>
        </mc:Choice>
        <mc:Fallback/>
      </mc:AlternateContent>
      <xdr:sp>
        <xdr:nvSpPr>
          <xdr:cNvPr id="93" name="lbl_cnt_City_1"/>
          <xdr:cNvSpPr txBox="1"/>
        </xdr:nvSpPr>
        <xdr:spPr>
          <a:xfrm>
            <a:off x="104874" y="1121406"/>
            <a:ext cx="1446249" cy="219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baseline="0">
                <a:solidFill>
                  <a:sysClr val="windowText" lastClr="000000"/>
                </a:solidFill>
                <a:latin typeface="+mn-lt"/>
                <a:ea typeface="Karla" pitchFamily="2" charset="0"/>
              </a:rPr>
              <a:t>SELECT YEAR</a:t>
            </a:r>
            <a:endParaRPr lang="en-GB" sz="1000" b="1">
              <a:solidFill>
                <a:sysClr val="windowText" lastClr="000000"/>
              </a:solidFill>
              <a:latin typeface="+mn-lt"/>
              <a:ea typeface="Karla" pitchFamily="2" charset="0"/>
            </a:endParaRPr>
          </a:p>
        </xdr:txBody>
      </xdr:sp>
    </xdr:grpSp>
    <xdr:clientData fPrintsWithSheet="0"/>
  </xdr:twoCellAnchor>
  <xdr:twoCellAnchor editAs="oneCell">
    <xdr:from>
      <xdr:col>3</xdr:col>
      <xdr:colOff>120645</xdr:colOff>
      <xdr:row>7</xdr:row>
      <xdr:rowOff>414865</xdr:rowOff>
    </xdr:from>
    <xdr:to>
      <xdr:col>3</xdr:col>
      <xdr:colOff>4692645</xdr:colOff>
      <xdr:row>9</xdr:row>
      <xdr:rowOff>34923</xdr:rowOff>
    </xdr:to>
    <xdr:graphicFrame>
      <xdr:nvGraphicFramePr>
        <xdr:cNvPr id="2" name="Chart_B1" hidden="1"/>
        <xdr:cNvGraphicFramePr/>
      </xdr:nvGraphicFramePr>
      <xdr:xfrm>
        <a:off x="4615815" y="2837815"/>
        <a:ext cx="4572000" cy="51117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120645</xdr:colOff>
      <xdr:row>8</xdr:row>
      <xdr:rowOff>397931</xdr:rowOff>
    </xdr:from>
    <xdr:to>
      <xdr:col>3</xdr:col>
      <xdr:colOff>4692645</xdr:colOff>
      <xdr:row>10</xdr:row>
      <xdr:rowOff>65614</xdr:rowOff>
    </xdr:to>
    <xdr:graphicFrame>
      <xdr:nvGraphicFramePr>
        <xdr:cNvPr id="3" name="Chart_B1.1" hidden="1"/>
        <xdr:cNvGraphicFramePr/>
      </xdr:nvGraphicFramePr>
      <xdr:xfrm>
        <a:off x="4615815" y="3266440"/>
        <a:ext cx="4572000" cy="49466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120645</xdr:colOff>
      <xdr:row>9</xdr:row>
      <xdr:rowOff>329140</xdr:rowOff>
    </xdr:from>
    <xdr:to>
      <xdr:col>3</xdr:col>
      <xdr:colOff>4692645</xdr:colOff>
      <xdr:row>11</xdr:row>
      <xdr:rowOff>44448</xdr:rowOff>
    </xdr:to>
    <xdr:graphicFrame>
      <xdr:nvGraphicFramePr>
        <xdr:cNvPr id="4" name="Chart_B1.2" hidden="1"/>
        <xdr:cNvGraphicFramePr/>
      </xdr:nvGraphicFramePr>
      <xdr:xfrm>
        <a:off x="4615815" y="3643630"/>
        <a:ext cx="4572000" cy="47688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120645</xdr:colOff>
      <xdr:row>10</xdr:row>
      <xdr:rowOff>348190</xdr:rowOff>
    </xdr:from>
    <xdr:to>
      <xdr:col>3</xdr:col>
      <xdr:colOff>4692645</xdr:colOff>
      <xdr:row>12</xdr:row>
      <xdr:rowOff>63499</xdr:rowOff>
    </xdr:to>
    <xdr:graphicFrame>
      <xdr:nvGraphicFramePr>
        <xdr:cNvPr id="5" name="Chart_B2" hidden="1"/>
        <xdr:cNvGraphicFramePr/>
      </xdr:nvGraphicFramePr>
      <xdr:xfrm>
        <a:off x="4615815" y="4043680"/>
        <a:ext cx="4572000" cy="47688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120645</xdr:colOff>
      <xdr:row>11</xdr:row>
      <xdr:rowOff>329140</xdr:rowOff>
    </xdr:from>
    <xdr:to>
      <xdr:col>3</xdr:col>
      <xdr:colOff>4692645</xdr:colOff>
      <xdr:row>13</xdr:row>
      <xdr:rowOff>44448</xdr:rowOff>
    </xdr:to>
    <xdr:graphicFrame>
      <xdr:nvGraphicFramePr>
        <xdr:cNvPr id="6" name="Chart_B2.1" hidden="1"/>
        <xdr:cNvGraphicFramePr/>
      </xdr:nvGraphicFramePr>
      <xdr:xfrm>
        <a:off x="4615815" y="4405630"/>
        <a:ext cx="4572000" cy="47688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157423</xdr:colOff>
      <xdr:row>5</xdr:row>
      <xdr:rowOff>63504</xdr:rowOff>
    </xdr:from>
    <xdr:to>
      <xdr:col>4</xdr:col>
      <xdr:colOff>202404</xdr:colOff>
      <xdr:row>7</xdr:row>
      <xdr:rowOff>32813</xdr:rowOff>
    </xdr:to>
    <xdr:grpSp>
      <xdr:nvGrpSpPr>
        <xdr:cNvPr id="7" name="Group 6"/>
        <xdr:cNvGrpSpPr/>
      </xdr:nvGrpSpPr>
      <xdr:grpSpPr>
        <a:xfrm>
          <a:off x="4652645" y="1877060"/>
          <a:ext cx="4864735" cy="578485"/>
          <a:chOff x="3757082" y="1164167"/>
          <a:chExt cx="4835525" cy="572559"/>
        </a:xfrm>
      </xdr:grpSpPr>
      <xdr:graphicFrame>
        <xdr:nvGraphicFramePr>
          <xdr:cNvPr id="8" name="Number_Line"/>
          <xdr:cNvGraphicFramePr/>
        </xdr:nvGraphicFramePr>
        <xdr:xfrm>
          <a:off x="3757082" y="1164167"/>
          <a:ext cx="4658086" cy="572559"/>
        </xdr:xfrm>
        <a:graphic>
          <a:graphicData uri="http://schemas.openxmlformats.org/drawingml/2006/chart">
            <c:chart xmlns:c="http://schemas.openxmlformats.org/drawingml/2006/chart" xmlns:r="http://schemas.openxmlformats.org/officeDocument/2006/relationships" r:id="rId6"/>
          </a:graphicData>
        </a:graphic>
      </xdr:graphicFrame>
      <xdr:sp>
        <xdr:nvSpPr>
          <xdr:cNvPr id="9" name="Rectangle 8"/>
          <xdr:cNvSpPr/>
        </xdr:nvSpPr>
        <xdr:spPr>
          <a:xfrm>
            <a:off x="3767667" y="1248835"/>
            <a:ext cx="4824940" cy="16404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grpSp>
    <xdr:clientData/>
  </xdr:twoCellAnchor>
  <xdr:twoCellAnchor editAs="oneCell">
    <xdr:from>
      <xdr:col>2</xdr:col>
      <xdr:colOff>10582</xdr:colOff>
      <xdr:row>10</xdr:row>
      <xdr:rowOff>0</xdr:rowOff>
    </xdr:from>
    <xdr:to>
      <xdr:col>2</xdr:col>
      <xdr:colOff>4330582</xdr:colOff>
      <xdr:row>10</xdr:row>
      <xdr:rowOff>349250</xdr:rowOff>
    </xdr:to>
    <xdr:sp macro="[0]!IndiJump">
      <xdr:nvSpPr>
        <xdr:cNvPr id="10" name="9"/>
        <xdr:cNvSpPr/>
      </xdr:nvSpPr>
      <xdr:spPr>
        <a:xfrm>
          <a:off x="124460" y="3695700"/>
          <a:ext cx="4319905"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2</xdr:col>
      <xdr:colOff>10582</xdr:colOff>
      <xdr:row>11</xdr:row>
      <xdr:rowOff>0</xdr:rowOff>
    </xdr:from>
    <xdr:to>
      <xdr:col>2</xdr:col>
      <xdr:colOff>4330582</xdr:colOff>
      <xdr:row>11</xdr:row>
      <xdr:rowOff>349250</xdr:rowOff>
    </xdr:to>
    <xdr:sp macro="[0]!IndiJump">
      <xdr:nvSpPr>
        <xdr:cNvPr id="11" name="13"/>
        <xdr:cNvSpPr/>
      </xdr:nvSpPr>
      <xdr:spPr>
        <a:xfrm>
          <a:off x="124460" y="4076700"/>
          <a:ext cx="4319905"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2</xdr:col>
      <xdr:colOff>10582</xdr:colOff>
      <xdr:row>12</xdr:row>
      <xdr:rowOff>0</xdr:rowOff>
    </xdr:from>
    <xdr:to>
      <xdr:col>2</xdr:col>
      <xdr:colOff>4330582</xdr:colOff>
      <xdr:row>12</xdr:row>
      <xdr:rowOff>349250</xdr:rowOff>
    </xdr:to>
    <xdr:sp macro="[0]!IndiJump">
      <xdr:nvSpPr>
        <xdr:cNvPr id="12" name="14"/>
        <xdr:cNvSpPr/>
      </xdr:nvSpPr>
      <xdr:spPr>
        <a:xfrm>
          <a:off x="124460" y="4457700"/>
          <a:ext cx="4319905"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2</xdr:col>
      <xdr:colOff>10582</xdr:colOff>
      <xdr:row>16</xdr:row>
      <xdr:rowOff>0</xdr:rowOff>
    </xdr:from>
    <xdr:to>
      <xdr:col>2</xdr:col>
      <xdr:colOff>4330582</xdr:colOff>
      <xdr:row>16</xdr:row>
      <xdr:rowOff>349250</xdr:rowOff>
    </xdr:to>
    <xdr:sp macro="[0]!IndiJump">
      <xdr:nvSpPr>
        <xdr:cNvPr id="13" name="35"/>
        <xdr:cNvSpPr/>
      </xdr:nvSpPr>
      <xdr:spPr>
        <a:xfrm>
          <a:off x="124460" y="6046470"/>
          <a:ext cx="4319905"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2</xdr:col>
      <xdr:colOff>10582</xdr:colOff>
      <xdr:row>17</xdr:row>
      <xdr:rowOff>0</xdr:rowOff>
    </xdr:from>
    <xdr:to>
      <xdr:col>2</xdr:col>
      <xdr:colOff>4330582</xdr:colOff>
      <xdr:row>17</xdr:row>
      <xdr:rowOff>349250</xdr:rowOff>
    </xdr:to>
    <xdr:sp macro="[0]!IndiJump">
      <xdr:nvSpPr>
        <xdr:cNvPr id="14" name="41"/>
        <xdr:cNvSpPr/>
      </xdr:nvSpPr>
      <xdr:spPr>
        <a:xfrm>
          <a:off x="124460" y="6427470"/>
          <a:ext cx="4319905"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2</xdr:col>
      <xdr:colOff>10582</xdr:colOff>
      <xdr:row>18</xdr:row>
      <xdr:rowOff>0</xdr:rowOff>
    </xdr:from>
    <xdr:to>
      <xdr:col>2</xdr:col>
      <xdr:colOff>4330582</xdr:colOff>
      <xdr:row>18</xdr:row>
      <xdr:rowOff>349250</xdr:rowOff>
    </xdr:to>
    <xdr:sp macro="[0]!IndiJump">
      <xdr:nvSpPr>
        <xdr:cNvPr id="15" name="42"/>
        <xdr:cNvSpPr/>
      </xdr:nvSpPr>
      <xdr:spPr>
        <a:xfrm>
          <a:off x="124460" y="6808470"/>
          <a:ext cx="4319905"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1</xdr:col>
      <xdr:colOff>10582</xdr:colOff>
      <xdr:row>19</xdr:row>
      <xdr:rowOff>0</xdr:rowOff>
    </xdr:from>
    <xdr:to>
      <xdr:col>2</xdr:col>
      <xdr:colOff>4330582</xdr:colOff>
      <xdr:row>19</xdr:row>
      <xdr:rowOff>349250</xdr:rowOff>
    </xdr:to>
    <xdr:sp macro="[0]!IndiJump">
      <xdr:nvSpPr>
        <xdr:cNvPr id="16" name="50"/>
        <xdr:cNvSpPr/>
      </xdr:nvSpPr>
      <xdr:spPr>
        <a:xfrm>
          <a:off x="114300" y="7189470"/>
          <a:ext cx="4330065"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8</xdr:col>
      <xdr:colOff>234952</xdr:colOff>
      <xdr:row>6</xdr:row>
      <xdr:rowOff>262477</xdr:rowOff>
    </xdr:from>
    <xdr:to>
      <xdr:col>14</xdr:col>
      <xdr:colOff>323850</xdr:colOff>
      <xdr:row>11</xdr:row>
      <xdr:rowOff>91016</xdr:rowOff>
    </xdr:to>
    <xdr:sp>
      <xdr:nvSpPr>
        <xdr:cNvPr id="24" name="TextBox 23"/>
        <xdr:cNvSpPr txBox="1"/>
      </xdr:nvSpPr>
      <xdr:spPr>
        <a:xfrm>
          <a:off x="11350625" y="2418715"/>
          <a:ext cx="3032125" cy="1748790"/>
        </a:xfrm>
        <a:prstGeom prst="rect">
          <a:avLst/>
        </a:prstGeom>
        <a:solidFill>
          <a:sysClr val="window" lastClr="FFFFFF"/>
        </a:solidFill>
        <a:ln w="9525" cmpd="sng">
          <a:solidFill>
            <a:srgbClr val="0F8EC7"/>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latin typeface="+mn-lt"/>
              <a:ea typeface="+mn-ea"/>
              <a:cs typeface="+mn-cs"/>
            </a:rPr>
            <a:t>SCORE</a:t>
          </a:r>
          <a:r>
            <a:rPr lang="en-GB" sz="1100" b="0" i="0" u="none" strike="noStrike">
              <a:solidFill>
                <a:schemeClr val="dk1"/>
              </a:solidFill>
              <a:latin typeface="+mn-lt"/>
              <a:ea typeface="+mn-ea"/>
              <a:cs typeface="+mn-cs"/>
            </a:rPr>
            <a:t>: Normalised scores 0-100, where 100 = highest </a:t>
          </a:r>
          <a:r>
            <a:rPr lang="en-GB" sz="1100" b="0" i="0" u="none" strike="noStrike" baseline="0">
              <a:solidFill>
                <a:schemeClr val="dk1"/>
              </a:solidFill>
              <a:latin typeface="+mn-lt"/>
              <a:ea typeface="+mn-ea"/>
              <a:cs typeface="+mn-cs"/>
            </a:rPr>
            <a:t> recorded  score across all cities.</a:t>
          </a:r>
          <a:r>
            <a:rPr lang="en-GB"/>
            <a:t> </a:t>
          </a:r>
          <a:endParaRPr lang="en-GB"/>
        </a:p>
        <a:p>
          <a:endParaRPr lang="en-GB"/>
        </a:p>
        <a:p>
          <a:r>
            <a:rPr lang="en-GB" sz="1100" b="1" i="0" u="none" strike="noStrike">
              <a:solidFill>
                <a:schemeClr val="dk1"/>
              </a:solidFill>
              <a:latin typeface="+mn-lt"/>
              <a:ea typeface="+mn-ea"/>
              <a:cs typeface="+mn-cs"/>
            </a:rPr>
            <a:t>RANK</a:t>
          </a:r>
          <a:r>
            <a:rPr lang="en-GB" sz="1100" b="0" i="0" u="none" strike="noStrike">
              <a:solidFill>
                <a:schemeClr val="dk1"/>
              </a:solidFill>
              <a:latin typeface="+mn-lt"/>
              <a:ea typeface="+mn-ea"/>
              <a:cs typeface="+mn-cs"/>
            </a:rPr>
            <a:t>: Position out of all cities, 1=best</a:t>
          </a:r>
          <a:r>
            <a:rPr lang="en-GB"/>
            <a:t> </a:t>
          </a:r>
          <a:endParaRPr lang="en-GB"/>
        </a:p>
        <a:p>
          <a:endParaRPr lang="en-GB" sz="1100" b="0" i="0" u="none" strike="noStrike">
            <a:solidFill>
              <a:schemeClr val="dk1"/>
            </a:solidFill>
            <a:latin typeface="+mn-lt"/>
            <a:ea typeface="+mn-ea"/>
            <a:cs typeface="+mn-cs"/>
          </a:endParaRPr>
        </a:p>
        <a:p>
          <a:r>
            <a:rPr lang="en-GB" sz="1100" b="0" i="0" u="none" strike="noStrike">
              <a:solidFill>
                <a:schemeClr val="dk1"/>
              </a:solidFill>
              <a:latin typeface="+mn-lt"/>
              <a:ea typeface="+mn-ea"/>
              <a:cs typeface="+mn-cs"/>
            </a:rPr>
            <a:t>'=' denotes tied rank between two or more cities</a:t>
          </a:r>
          <a:r>
            <a:rPr lang="en-GB"/>
            <a:t> </a:t>
          </a:r>
          <a:endParaRPr lang="en-GB"/>
        </a:p>
      </xdr:txBody>
    </xdr:sp>
    <xdr:clientData/>
  </xdr:twoCellAnchor>
  <xdr:twoCellAnchor editAs="oneCell">
    <xdr:from>
      <xdr:col>2</xdr:col>
      <xdr:colOff>21166</xdr:colOff>
      <xdr:row>20</xdr:row>
      <xdr:rowOff>164041</xdr:rowOff>
    </xdr:from>
    <xdr:to>
      <xdr:col>2</xdr:col>
      <xdr:colOff>834558</xdr:colOff>
      <xdr:row>20</xdr:row>
      <xdr:rowOff>342842</xdr:rowOff>
    </xdr:to>
    <xdr:sp macro="[0]!returntop">
      <xdr:nvSpPr>
        <xdr:cNvPr id="25" name="go_top"/>
        <xdr:cNvSpPr txBox="1"/>
      </xdr:nvSpPr>
      <xdr:spPr>
        <a:xfrm>
          <a:off x="135255" y="7734300"/>
          <a:ext cx="813435"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Karla" pitchFamily="2" charset="0"/>
              <a:ea typeface="Karla" pitchFamily="2" charset="0"/>
            </a:rPr>
            <a:t>Back to top</a:t>
          </a:r>
          <a:endParaRPr lang="en-GB" sz="1100" b="1" i="0" u="sng" strike="noStrike" baseline="0">
            <a:solidFill>
              <a:srgbClr val="0070C0"/>
            </a:solidFill>
            <a:latin typeface="Karla" pitchFamily="2" charset="0"/>
            <a:ea typeface="Karla" pitchFamily="2" charset="0"/>
          </a:endParaRPr>
        </a:p>
      </xdr:txBody>
    </xdr:sp>
    <xdr:clientData fPrintsWithSheet="0"/>
  </xdr:twoCellAnchor>
  <xdr:oneCellAnchor>
    <xdr:from>
      <xdr:col>3</xdr:col>
      <xdr:colOff>0</xdr:colOff>
      <xdr:row>6</xdr:row>
      <xdr:rowOff>361950</xdr:rowOff>
    </xdr:from>
    <xdr:ext cx="4572000" cy="487892"/>
    <xdr:graphicFrame>
      <xdr:nvGraphicFramePr>
        <xdr:cNvPr id="26" name="Chart_B1" hidden="1"/>
        <xdr:cNvGraphicFramePr/>
      </xdr:nvGraphicFramePr>
      <xdr:xfrm>
        <a:off x="4495800" y="2423160"/>
        <a:ext cx="4572000" cy="48768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twoCellAnchor editAs="oneCell">
    <xdr:from>
      <xdr:col>3</xdr:col>
      <xdr:colOff>193012</xdr:colOff>
      <xdr:row>7</xdr:row>
      <xdr:rowOff>9971</xdr:rowOff>
    </xdr:from>
    <xdr:to>
      <xdr:col>4</xdr:col>
      <xdr:colOff>131</xdr:colOff>
      <xdr:row>8</xdr:row>
      <xdr:rowOff>29022</xdr:rowOff>
    </xdr:to>
    <xdr:graphicFrame>
      <xdr:nvGraphicFramePr>
        <xdr:cNvPr id="27" name="Chart_OV"/>
        <xdr:cNvGraphicFramePr/>
      </xdr:nvGraphicFramePr>
      <xdr:xfrm>
        <a:off x="4688205" y="2432685"/>
        <a:ext cx="4627245" cy="46482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317499</xdr:colOff>
      <xdr:row>7</xdr:row>
      <xdr:rowOff>42333</xdr:rowOff>
    </xdr:from>
    <xdr:to>
      <xdr:col>2</xdr:col>
      <xdr:colOff>4319999</xdr:colOff>
      <xdr:row>7</xdr:row>
      <xdr:rowOff>391583</xdr:rowOff>
    </xdr:to>
    <xdr:sp macro="[0]!IndiJump">
      <xdr:nvSpPr>
        <xdr:cNvPr id="28" name="1"/>
        <xdr:cNvSpPr/>
      </xdr:nvSpPr>
      <xdr:spPr>
        <a:xfrm>
          <a:off x="114300" y="2465070"/>
          <a:ext cx="4319905"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2</xdr:col>
      <xdr:colOff>14818</xdr:colOff>
      <xdr:row>8</xdr:row>
      <xdr:rowOff>57145</xdr:rowOff>
    </xdr:from>
    <xdr:to>
      <xdr:col>2</xdr:col>
      <xdr:colOff>4334818</xdr:colOff>
      <xdr:row>8</xdr:row>
      <xdr:rowOff>406395</xdr:rowOff>
    </xdr:to>
    <xdr:sp macro="[0]!IndiJump">
      <xdr:nvSpPr>
        <xdr:cNvPr id="29" name="2"/>
        <xdr:cNvSpPr/>
      </xdr:nvSpPr>
      <xdr:spPr>
        <a:xfrm>
          <a:off x="128905" y="2925445"/>
          <a:ext cx="4319905"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2</xdr:col>
      <xdr:colOff>14813</xdr:colOff>
      <xdr:row>15</xdr:row>
      <xdr:rowOff>57155</xdr:rowOff>
    </xdr:from>
    <xdr:to>
      <xdr:col>2</xdr:col>
      <xdr:colOff>4334813</xdr:colOff>
      <xdr:row>15</xdr:row>
      <xdr:rowOff>406405</xdr:rowOff>
    </xdr:to>
    <xdr:sp macro="[0]!IndiJump">
      <xdr:nvSpPr>
        <xdr:cNvPr id="32" name="29"/>
        <xdr:cNvSpPr/>
      </xdr:nvSpPr>
      <xdr:spPr>
        <a:xfrm>
          <a:off x="128905" y="5657850"/>
          <a:ext cx="4319905"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2</xdr:col>
      <xdr:colOff>8464</xdr:colOff>
      <xdr:row>14</xdr:row>
      <xdr:rowOff>8475</xdr:rowOff>
    </xdr:from>
    <xdr:to>
      <xdr:col>2</xdr:col>
      <xdr:colOff>4318939</xdr:colOff>
      <xdr:row>14</xdr:row>
      <xdr:rowOff>357725</xdr:rowOff>
    </xdr:to>
    <xdr:sp macro="[0]!IndiJump">
      <xdr:nvSpPr>
        <xdr:cNvPr id="33" name="28"/>
        <xdr:cNvSpPr/>
      </xdr:nvSpPr>
      <xdr:spPr>
        <a:xfrm>
          <a:off x="122555" y="5227955"/>
          <a:ext cx="431038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2</xdr:col>
      <xdr:colOff>2115</xdr:colOff>
      <xdr:row>13</xdr:row>
      <xdr:rowOff>23289</xdr:rowOff>
    </xdr:from>
    <xdr:to>
      <xdr:col>2</xdr:col>
      <xdr:colOff>4312590</xdr:colOff>
      <xdr:row>13</xdr:row>
      <xdr:rowOff>372539</xdr:rowOff>
    </xdr:to>
    <xdr:sp macro="[0]!IndiJump">
      <xdr:nvSpPr>
        <xdr:cNvPr id="34" name="21"/>
        <xdr:cNvSpPr/>
      </xdr:nvSpPr>
      <xdr:spPr>
        <a:xfrm>
          <a:off x="116205" y="4861560"/>
          <a:ext cx="431038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2</xdr:col>
      <xdr:colOff>29636</xdr:colOff>
      <xdr:row>9</xdr:row>
      <xdr:rowOff>29624</xdr:rowOff>
    </xdr:from>
    <xdr:to>
      <xdr:col>2</xdr:col>
      <xdr:colOff>4334820</xdr:colOff>
      <xdr:row>10</xdr:row>
      <xdr:rowOff>1468</xdr:rowOff>
    </xdr:to>
    <xdr:sp macro="[0]!IndiJump">
      <xdr:nvSpPr>
        <xdr:cNvPr id="35" name="3"/>
        <xdr:cNvSpPr/>
      </xdr:nvSpPr>
      <xdr:spPr>
        <a:xfrm>
          <a:off x="143510" y="3343910"/>
          <a:ext cx="4305300" cy="35306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xdr:twoCellAnchor>
  <xdr:twoCellAnchor editAs="oneCell">
    <xdr:from>
      <xdr:col>3</xdr:col>
      <xdr:colOff>120645</xdr:colOff>
      <xdr:row>7</xdr:row>
      <xdr:rowOff>5292</xdr:rowOff>
    </xdr:from>
    <xdr:to>
      <xdr:col>3</xdr:col>
      <xdr:colOff>4692645</xdr:colOff>
      <xdr:row>8</xdr:row>
      <xdr:rowOff>59267</xdr:rowOff>
    </xdr:to>
    <xdr:graphicFrame>
      <xdr:nvGraphicFramePr>
        <xdr:cNvPr id="36" name="Chart_BOV" hidden="1"/>
        <xdr:cNvGraphicFramePr/>
      </xdr:nvGraphicFramePr>
      <xdr:xfrm>
        <a:off x="4615815" y="2428240"/>
        <a:ext cx="4572000" cy="49974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120645</xdr:colOff>
      <xdr:row>13</xdr:row>
      <xdr:rowOff>359834</xdr:rowOff>
    </xdr:from>
    <xdr:to>
      <xdr:col>3</xdr:col>
      <xdr:colOff>4692645</xdr:colOff>
      <xdr:row>15</xdr:row>
      <xdr:rowOff>80434</xdr:rowOff>
    </xdr:to>
    <xdr:graphicFrame>
      <xdr:nvGraphicFramePr>
        <xdr:cNvPr id="37" name="Chart_B3" hidden="1"/>
        <xdr:cNvGraphicFramePr/>
      </xdr:nvGraphicFramePr>
      <xdr:xfrm>
        <a:off x="4615815" y="5198110"/>
        <a:ext cx="4572000" cy="48260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3</xdr:col>
      <xdr:colOff>120645</xdr:colOff>
      <xdr:row>12</xdr:row>
      <xdr:rowOff>359834</xdr:rowOff>
    </xdr:from>
    <xdr:to>
      <xdr:col>3</xdr:col>
      <xdr:colOff>4692645</xdr:colOff>
      <xdr:row>14</xdr:row>
      <xdr:rowOff>75142</xdr:rowOff>
    </xdr:to>
    <xdr:graphicFrame>
      <xdr:nvGraphicFramePr>
        <xdr:cNvPr id="38" name="Chart_B2.2" hidden="1"/>
        <xdr:cNvGraphicFramePr/>
      </xdr:nvGraphicFramePr>
      <xdr:xfrm>
        <a:off x="4615815" y="4817110"/>
        <a:ext cx="4572000" cy="47752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193012</xdr:colOff>
      <xdr:row>8</xdr:row>
      <xdr:rowOff>0</xdr:rowOff>
    </xdr:from>
    <xdr:to>
      <xdr:col>4</xdr:col>
      <xdr:colOff>131</xdr:colOff>
      <xdr:row>9</xdr:row>
      <xdr:rowOff>33867</xdr:rowOff>
    </xdr:to>
    <xdr:graphicFrame>
      <xdr:nvGraphicFramePr>
        <xdr:cNvPr id="39" name="Chart_A1"/>
        <xdr:cNvGraphicFramePr/>
      </xdr:nvGraphicFramePr>
      <xdr:xfrm>
        <a:off x="4688205" y="2868930"/>
        <a:ext cx="4627245" cy="479425"/>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xdr:col>
      <xdr:colOff>193012</xdr:colOff>
      <xdr:row>9</xdr:row>
      <xdr:rowOff>0</xdr:rowOff>
    </xdr:from>
    <xdr:to>
      <xdr:col>4</xdr:col>
      <xdr:colOff>131</xdr:colOff>
      <xdr:row>10</xdr:row>
      <xdr:rowOff>86784</xdr:rowOff>
    </xdr:to>
    <xdr:graphicFrame>
      <xdr:nvGraphicFramePr>
        <xdr:cNvPr id="40" name="Chart_A1.1"/>
        <xdr:cNvGraphicFramePr/>
      </xdr:nvGraphicFramePr>
      <xdr:xfrm>
        <a:off x="4688205" y="3314700"/>
        <a:ext cx="4627245" cy="46736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3</xdr:col>
      <xdr:colOff>193012</xdr:colOff>
      <xdr:row>10</xdr:row>
      <xdr:rowOff>0</xdr:rowOff>
    </xdr:from>
    <xdr:to>
      <xdr:col>4</xdr:col>
      <xdr:colOff>131</xdr:colOff>
      <xdr:row>11</xdr:row>
      <xdr:rowOff>86784</xdr:rowOff>
    </xdr:to>
    <xdr:graphicFrame>
      <xdr:nvGraphicFramePr>
        <xdr:cNvPr id="41" name="Chart_A1.2"/>
        <xdr:cNvGraphicFramePr/>
      </xdr:nvGraphicFramePr>
      <xdr:xfrm>
        <a:off x="4688205" y="3695700"/>
        <a:ext cx="4627245" cy="46736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193012</xdr:colOff>
      <xdr:row>11</xdr:row>
      <xdr:rowOff>0</xdr:rowOff>
    </xdr:from>
    <xdr:to>
      <xdr:col>4</xdr:col>
      <xdr:colOff>131</xdr:colOff>
      <xdr:row>12</xdr:row>
      <xdr:rowOff>86784</xdr:rowOff>
    </xdr:to>
    <xdr:graphicFrame>
      <xdr:nvGraphicFramePr>
        <xdr:cNvPr id="42" name="Chart_A2"/>
        <xdr:cNvGraphicFramePr/>
      </xdr:nvGraphicFramePr>
      <xdr:xfrm>
        <a:off x="4688205" y="4076700"/>
        <a:ext cx="4627245" cy="46736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xdr:col>
      <xdr:colOff>193012</xdr:colOff>
      <xdr:row>12</xdr:row>
      <xdr:rowOff>0</xdr:rowOff>
    </xdr:from>
    <xdr:to>
      <xdr:col>4</xdr:col>
      <xdr:colOff>131</xdr:colOff>
      <xdr:row>13</xdr:row>
      <xdr:rowOff>86784</xdr:rowOff>
    </xdr:to>
    <xdr:graphicFrame>
      <xdr:nvGraphicFramePr>
        <xdr:cNvPr id="43" name="Chart_A2.1"/>
        <xdr:cNvGraphicFramePr/>
      </xdr:nvGraphicFramePr>
      <xdr:xfrm>
        <a:off x="4688205" y="4457700"/>
        <a:ext cx="4627245" cy="46736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xdr:col>
      <xdr:colOff>193012</xdr:colOff>
      <xdr:row>13</xdr:row>
      <xdr:rowOff>0</xdr:rowOff>
    </xdr:from>
    <xdr:to>
      <xdr:col>4</xdr:col>
      <xdr:colOff>131</xdr:colOff>
      <xdr:row>14</xdr:row>
      <xdr:rowOff>86784</xdr:rowOff>
    </xdr:to>
    <xdr:graphicFrame>
      <xdr:nvGraphicFramePr>
        <xdr:cNvPr id="44" name="Chart_A2.2"/>
        <xdr:cNvGraphicFramePr/>
      </xdr:nvGraphicFramePr>
      <xdr:xfrm>
        <a:off x="4688205" y="4838700"/>
        <a:ext cx="4627245" cy="46736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193012</xdr:colOff>
      <xdr:row>14</xdr:row>
      <xdr:rowOff>0</xdr:rowOff>
    </xdr:from>
    <xdr:to>
      <xdr:col>4</xdr:col>
      <xdr:colOff>131</xdr:colOff>
      <xdr:row>15</xdr:row>
      <xdr:rowOff>86784</xdr:rowOff>
    </xdr:to>
    <xdr:graphicFrame>
      <xdr:nvGraphicFramePr>
        <xdr:cNvPr id="45" name="Chart_A3"/>
        <xdr:cNvGraphicFramePr/>
      </xdr:nvGraphicFramePr>
      <xdr:xfrm>
        <a:off x="4688205" y="5219700"/>
        <a:ext cx="4627245" cy="46736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xdr:col>
      <xdr:colOff>193012</xdr:colOff>
      <xdr:row>15</xdr:row>
      <xdr:rowOff>0</xdr:rowOff>
    </xdr:from>
    <xdr:to>
      <xdr:col>4</xdr:col>
      <xdr:colOff>131</xdr:colOff>
      <xdr:row>16</xdr:row>
      <xdr:rowOff>33868</xdr:rowOff>
    </xdr:to>
    <xdr:graphicFrame>
      <xdr:nvGraphicFramePr>
        <xdr:cNvPr id="46" name="Chart_A3.1"/>
        <xdr:cNvGraphicFramePr/>
      </xdr:nvGraphicFramePr>
      <xdr:xfrm>
        <a:off x="4688205" y="5600700"/>
        <a:ext cx="4627245" cy="479425"/>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193012</xdr:colOff>
      <xdr:row>16</xdr:row>
      <xdr:rowOff>0</xdr:rowOff>
    </xdr:from>
    <xdr:to>
      <xdr:col>4</xdr:col>
      <xdr:colOff>131</xdr:colOff>
      <xdr:row>17</xdr:row>
      <xdr:rowOff>86784</xdr:rowOff>
    </xdr:to>
    <xdr:graphicFrame>
      <xdr:nvGraphicFramePr>
        <xdr:cNvPr id="47" name="Chart_A3.2"/>
        <xdr:cNvGraphicFramePr/>
      </xdr:nvGraphicFramePr>
      <xdr:xfrm>
        <a:off x="4688205" y="6046470"/>
        <a:ext cx="4627245" cy="46736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3</xdr:col>
      <xdr:colOff>193012</xdr:colOff>
      <xdr:row>17</xdr:row>
      <xdr:rowOff>0</xdr:rowOff>
    </xdr:from>
    <xdr:to>
      <xdr:col>4</xdr:col>
      <xdr:colOff>131</xdr:colOff>
      <xdr:row>18</xdr:row>
      <xdr:rowOff>86784</xdr:rowOff>
    </xdr:to>
    <xdr:graphicFrame>
      <xdr:nvGraphicFramePr>
        <xdr:cNvPr id="48" name="Chart_A4"/>
        <xdr:cNvGraphicFramePr/>
      </xdr:nvGraphicFramePr>
      <xdr:xfrm>
        <a:off x="4688205" y="6427470"/>
        <a:ext cx="4627245" cy="46736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xdr:col>
      <xdr:colOff>193012</xdr:colOff>
      <xdr:row>18</xdr:row>
      <xdr:rowOff>0</xdr:rowOff>
    </xdr:from>
    <xdr:to>
      <xdr:col>4</xdr:col>
      <xdr:colOff>131</xdr:colOff>
      <xdr:row>19</xdr:row>
      <xdr:rowOff>86784</xdr:rowOff>
    </xdr:to>
    <xdr:graphicFrame>
      <xdr:nvGraphicFramePr>
        <xdr:cNvPr id="49" name="Chart_A4.1"/>
        <xdr:cNvGraphicFramePr/>
      </xdr:nvGraphicFramePr>
      <xdr:xfrm>
        <a:off x="4688205" y="6808470"/>
        <a:ext cx="4627245" cy="46736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3</xdr:col>
      <xdr:colOff>193012</xdr:colOff>
      <xdr:row>19</xdr:row>
      <xdr:rowOff>0</xdr:rowOff>
    </xdr:from>
    <xdr:to>
      <xdr:col>4</xdr:col>
      <xdr:colOff>131</xdr:colOff>
      <xdr:row>20</xdr:row>
      <xdr:rowOff>86784</xdr:rowOff>
    </xdr:to>
    <xdr:graphicFrame>
      <xdr:nvGraphicFramePr>
        <xdr:cNvPr id="50" name="Chart_A4.2"/>
        <xdr:cNvGraphicFramePr/>
      </xdr:nvGraphicFramePr>
      <xdr:xfrm>
        <a:off x="4688205" y="7189470"/>
        <a:ext cx="4627245" cy="46736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3</xdr:col>
      <xdr:colOff>120645</xdr:colOff>
      <xdr:row>14</xdr:row>
      <xdr:rowOff>361950</xdr:rowOff>
    </xdr:from>
    <xdr:to>
      <xdr:col>3</xdr:col>
      <xdr:colOff>4692645</xdr:colOff>
      <xdr:row>16</xdr:row>
      <xdr:rowOff>29634</xdr:rowOff>
    </xdr:to>
    <xdr:graphicFrame>
      <xdr:nvGraphicFramePr>
        <xdr:cNvPr id="60" name="Chart_B3.1" hidden="1"/>
        <xdr:cNvGraphicFramePr/>
      </xdr:nvGraphicFramePr>
      <xdr:xfrm>
        <a:off x="4615815" y="5581650"/>
        <a:ext cx="4572000" cy="49403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3</xdr:col>
      <xdr:colOff>120645</xdr:colOff>
      <xdr:row>15</xdr:row>
      <xdr:rowOff>390525</xdr:rowOff>
    </xdr:from>
    <xdr:to>
      <xdr:col>3</xdr:col>
      <xdr:colOff>4692645</xdr:colOff>
      <xdr:row>17</xdr:row>
      <xdr:rowOff>53975</xdr:rowOff>
    </xdr:to>
    <xdr:graphicFrame>
      <xdr:nvGraphicFramePr>
        <xdr:cNvPr id="61" name="Chart_B3.2" hidden="1"/>
        <xdr:cNvGraphicFramePr/>
      </xdr:nvGraphicFramePr>
      <xdr:xfrm>
        <a:off x="4615815" y="5991225"/>
        <a:ext cx="4572000" cy="49022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3</xdr:col>
      <xdr:colOff>120645</xdr:colOff>
      <xdr:row>16</xdr:row>
      <xdr:rowOff>342900</xdr:rowOff>
    </xdr:from>
    <xdr:to>
      <xdr:col>3</xdr:col>
      <xdr:colOff>4692645</xdr:colOff>
      <xdr:row>18</xdr:row>
      <xdr:rowOff>63500</xdr:rowOff>
    </xdr:to>
    <xdr:graphicFrame>
      <xdr:nvGraphicFramePr>
        <xdr:cNvPr id="62" name="Chart_B4" hidden="1"/>
        <xdr:cNvGraphicFramePr/>
      </xdr:nvGraphicFramePr>
      <xdr:xfrm>
        <a:off x="4615815" y="6389370"/>
        <a:ext cx="4572000" cy="48260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3</xdr:col>
      <xdr:colOff>120645</xdr:colOff>
      <xdr:row>17</xdr:row>
      <xdr:rowOff>342900</xdr:rowOff>
    </xdr:from>
    <xdr:to>
      <xdr:col>3</xdr:col>
      <xdr:colOff>4692645</xdr:colOff>
      <xdr:row>19</xdr:row>
      <xdr:rowOff>63500</xdr:rowOff>
    </xdr:to>
    <xdr:graphicFrame>
      <xdr:nvGraphicFramePr>
        <xdr:cNvPr id="63" name="Chart_B4.1" hidden="1"/>
        <xdr:cNvGraphicFramePr/>
      </xdr:nvGraphicFramePr>
      <xdr:xfrm>
        <a:off x="4615815" y="6770370"/>
        <a:ext cx="4572000" cy="48260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3</xdr:col>
      <xdr:colOff>120645</xdr:colOff>
      <xdr:row>18</xdr:row>
      <xdr:rowOff>323850</xdr:rowOff>
    </xdr:from>
    <xdr:to>
      <xdr:col>3</xdr:col>
      <xdr:colOff>4692645</xdr:colOff>
      <xdr:row>20</xdr:row>
      <xdr:rowOff>44450</xdr:rowOff>
    </xdr:to>
    <xdr:graphicFrame>
      <xdr:nvGraphicFramePr>
        <xdr:cNvPr id="64" name="Chart_B4.2" hidden="1"/>
        <xdr:cNvGraphicFramePr/>
      </xdr:nvGraphicFramePr>
      <xdr:xfrm>
        <a:off x="4615815" y="7132320"/>
        <a:ext cx="4572000" cy="48260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absolute">
    <xdr:from>
      <xdr:col>8</xdr:col>
      <xdr:colOff>178597</xdr:colOff>
      <xdr:row>2</xdr:row>
      <xdr:rowOff>35718</xdr:rowOff>
    </xdr:from>
    <xdr:to>
      <xdr:col>12</xdr:col>
      <xdr:colOff>239376</xdr:colOff>
      <xdr:row>2</xdr:row>
      <xdr:rowOff>832148</xdr:rowOff>
    </xdr:to>
    <xdr:grpSp>
      <xdr:nvGrpSpPr>
        <xdr:cNvPr id="71" name="Weights_Select"/>
        <xdr:cNvGrpSpPr/>
      </xdr:nvGrpSpPr>
      <xdr:grpSpPr>
        <a:xfrm>
          <a:off x="11294110" y="774700"/>
          <a:ext cx="2317750" cy="796290"/>
          <a:chOff x="11436417" y="765838"/>
          <a:chExt cx="2334873" cy="796430"/>
        </a:xfrm>
      </xdr:grpSpPr>
      <xdr:sp>
        <xdr:nvSpPr>
          <xdr:cNvPr id="72" name="lbl_cnt_City_1"/>
          <xdr:cNvSpPr txBox="1"/>
        </xdr:nvSpPr>
        <xdr:spPr>
          <a:xfrm>
            <a:off x="11539924" y="1133880"/>
            <a:ext cx="685733" cy="2199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latin typeface="+mn-lt"/>
              </a:rPr>
              <a:t>WEIGHTS</a:t>
            </a:r>
            <a:endParaRPr lang="en-GB" sz="1000" b="1">
              <a:solidFill>
                <a:sysClr val="windowText" lastClr="000000"/>
              </a:solidFill>
              <a:latin typeface="+mn-lt"/>
            </a:endParaRPr>
          </a:p>
        </xdr:txBody>
      </xdr:sp>
      <mc:AlternateContent xmlns:mc="http://schemas.openxmlformats.org/markup-compatibility/2006">
        <mc:Choice xmlns:a14="http://schemas.microsoft.com/office/drawing/2010/main" Requires="a14">
          <xdr:sp macro="[0]!LoadWeights">
            <xdr:nvSpPr>
              <xdr:cNvPr id="13404164" name="Drop Down 4" hidden="1">
                <a:extLst>
                  <a:ext uri="{63B3BB69-23CF-44E3-9099-C40C66FF867C}">
                    <a14:compatExt spid="_x0000_s13404164"/>
                  </a:ext>
                </a:extLst>
              </xdr:cNvPr>
              <xdr:cNvSpPr/>
            </xdr:nvSpPr>
            <xdr:spPr>
              <a:xfrm>
                <a:off x="11534146" y="1353403"/>
                <a:ext cx="2093738" cy="208865"/>
              </a:xfrm>
              <a:prstGeom prst="rect">
                <a:avLst/>
              </a:prstGeom>
            </xdr:spPr>
          </xdr:sp>
        </mc:Choice>
        <mc:Fallback/>
      </mc:AlternateContent>
      <xdr:sp textlink="_WeightProfile">
        <xdr:nvSpPr>
          <xdr:cNvPr id="74" name="Text Box 6"/>
          <xdr:cNvSpPr txBox="1">
            <a:spLocks noChangeArrowheads="1"/>
          </xdr:cNvSpPr>
        </xdr:nvSpPr>
        <xdr:spPr>
          <a:xfrm>
            <a:off x="11436417" y="765838"/>
            <a:ext cx="2334873" cy="493688"/>
          </a:xfrm>
          <a:prstGeom prst="rect">
            <a:avLst/>
          </a:prstGeom>
          <a:noFill/>
          <a:ln w="9525">
            <a:noFill/>
            <a:miter lim="800000"/>
          </a:ln>
        </xdr:spPr>
        <xdr:txBody>
          <a:bodyPr vertOverflow="clip" wrap="square" lIns="108000" tIns="27432" rIns="0" bIns="0" anchor="t" upright="1"/>
          <a:lstStyle/>
          <a:p>
            <a:pPr algn="l" rtl="0">
              <a:defRPr sz="1000"/>
            </a:pPr>
            <a:fld id="{6B3CEEA7-E132-459A-8C8C-F76B64C58034}" type="TxLink">
              <a:rPr lang="en-US" sz="1000" b="0" i="1" u="none" strike="noStrike" baseline="0">
                <a:solidFill>
                  <a:schemeClr val="tx1">
                    <a:lumMod val="65000"/>
                    <a:lumOff val="35000"/>
                  </a:schemeClr>
                </a:solidFill>
                <a:latin typeface="+mn-lt"/>
                <a:ea typeface="Karla" pitchFamily="2" charset="0"/>
                <a:cs typeface="Calibri" panose="020F0502020204030204"/>
              </a:rPr>
            </a:fld>
            <a:endParaRPr lang="en-GB" sz="1000" b="0" i="1" u="none" strike="noStrike" baseline="0">
              <a:solidFill>
                <a:schemeClr val="tx1">
                  <a:lumMod val="65000"/>
                  <a:lumOff val="35000"/>
                </a:schemeClr>
              </a:solidFill>
              <a:latin typeface="+mn-lt"/>
              <a:ea typeface="Karla" pitchFamily="2" charset="0"/>
            </a:endParaRPr>
          </a:p>
        </xdr:txBody>
      </xdr:sp>
    </xdr:grp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spPr>
      <a:bodyPr vertOverflow="clip" rtlCol="0" anchor="ctr"/>
      <a:lstStyle>
        <a:defPPr algn="ctr">
          <a:defRPr sz="1100">
            <a:solidFill>
              <a:sysClr val="windowText" lastClr="000000"/>
            </a:solidFill>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4" Type="http://schemas.openxmlformats.org/officeDocument/2006/relationships/ctrlProp" Target="../ctrlProps/ctrlProp66.xml"/><Relationship Id="rId3" Type="http://schemas.openxmlformats.org/officeDocument/2006/relationships/ctrlProp" Target="../ctrlProps/ctrlProp65.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9" Type="http://schemas.openxmlformats.org/officeDocument/2006/relationships/ctrlProp" Target="../ctrlProps/ctrlProp8.xml"/><Relationship Id="rId8" Type="http://schemas.openxmlformats.org/officeDocument/2006/relationships/ctrlProp" Target="../ctrlProps/ctrlProp7.xml"/><Relationship Id="rId7" Type="http://schemas.openxmlformats.org/officeDocument/2006/relationships/ctrlProp" Target="../ctrlProps/ctrlProp6.xml"/><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 Id="rId3" Type="http://schemas.openxmlformats.org/officeDocument/2006/relationships/ctrlProp" Target="../ctrlProps/ctrlProp2.xml"/><Relationship Id="rId2" Type="http://schemas.openxmlformats.org/officeDocument/2006/relationships/vmlDrawing" Target="../drawings/vmlDrawing2.vml"/><Relationship Id="rId12" Type="http://schemas.openxmlformats.org/officeDocument/2006/relationships/ctrlProp" Target="../ctrlProps/ctrlProp11.xml"/><Relationship Id="rId11" Type="http://schemas.openxmlformats.org/officeDocument/2006/relationships/ctrlProp" Target="../ctrlProps/ctrlProp10.xml"/><Relationship Id="rId10" Type="http://schemas.openxmlformats.org/officeDocument/2006/relationships/ctrlProp" Target="../ctrlProps/ctrlProp9.xml"/><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9" Type="http://schemas.openxmlformats.org/officeDocument/2006/relationships/ctrlProp" Target="../ctrlProps/ctrlProp18.xml"/><Relationship Id="rId8" Type="http://schemas.openxmlformats.org/officeDocument/2006/relationships/ctrlProp" Target="../ctrlProps/ctrlProp17.xml"/><Relationship Id="rId7" Type="http://schemas.openxmlformats.org/officeDocument/2006/relationships/ctrlProp" Target="../ctrlProps/ctrlProp16.xml"/><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 Id="rId3" Type="http://schemas.openxmlformats.org/officeDocument/2006/relationships/ctrlProp" Target="../ctrlProps/ctrlProp12.xml"/><Relationship Id="rId2" Type="http://schemas.openxmlformats.org/officeDocument/2006/relationships/vmlDrawing" Target="../drawings/vmlDrawing3.vml"/><Relationship Id="rId13" Type="http://schemas.openxmlformats.org/officeDocument/2006/relationships/ctrlProp" Target="../ctrlProps/ctrlProp22.xml"/><Relationship Id="rId12" Type="http://schemas.openxmlformats.org/officeDocument/2006/relationships/ctrlProp" Target="../ctrlProps/ctrlProp21.xml"/><Relationship Id="rId11" Type="http://schemas.openxmlformats.org/officeDocument/2006/relationships/ctrlProp" Target="../ctrlProps/ctrlProp20.xml"/><Relationship Id="rId10" Type="http://schemas.openxmlformats.org/officeDocument/2006/relationships/ctrlProp" Target="../ctrlProps/ctrlProp19.x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9" Type="http://schemas.openxmlformats.org/officeDocument/2006/relationships/ctrlProp" Target="../ctrlProps/ctrlProp29.xml"/><Relationship Id="rId8" Type="http://schemas.openxmlformats.org/officeDocument/2006/relationships/ctrlProp" Target="../ctrlProps/ctrlProp28.xml"/><Relationship Id="rId7" Type="http://schemas.openxmlformats.org/officeDocument/2006/relationships/ctrlProp" Target="../ctrlProps/ctrlProp27.xml"/><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 Id="rId3" Type="http://schemas.openxmlformats.org/officeDocument/2006/relationships/ctrlProp" Target="../ctrlProps/ctrlProp23.xml"/><Relationship Id="rId2" Type="http://schemas.openxmlformats.org/officeDocument/2006/relationships/vmlDrawing" Target="../drawings/vmlDrawing4.vml"/><Relationship Id="rId14" Type="http://schemas.openxmlformats.org/officeDocument/2006/relationships/ctrlProp" Target="../ctrlProps/ctrlProp34.xml"/><Relationship Id="rId13" Type="http://schemas.openxmlformats.org/officeDocument/2006/relationships/ctrlProp" Target="../ctrlProps/ctrlProp33.xml"/><Relationship Id="rId12" Type="http://schemas.openxmlformats.org/officeDocument/2006/relationships/ctrlProp" Target="../ctrlProps/ctrlProp32.xml"/><Relationship Id="rId11" Type="http://schemas.openxmlformats.org/officeDocument/2006/relationships/ctrlProp" Target="../ctrlProps/ctrlProp31.xml"/><Relationship Id="rId10" Type="http://schemas.openxmlformats.org/officeDocument/2006/relationships/ctrlProp" Target="../ctrlProps/ctrlProp30.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9" Type="http://schemas.openxmlformats.org/officeDocument/2006/relationships/ctrlProp" Target="../ctrlProps/ctrlProp41.xml"/><Relationship Id="rId8" Type="http://schemas.openxmlformats.org/officeDocument/2006/relationships/ctrlProp" Target="../ctrlProps/ctrlProp40.xml"/><Relationship Id="rId7" Type="http://schemas.openxmlformats.org/officeDocument/2006/relationships/ctrlProp" Target="../ctrlProps/ctrlProp39.xml"/><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 Id="rId3" Type="http://schemas.openxmlformats.org/officeDocument/2006/relationships/ctrlProp" Target="../ctrlProps/ctrlProp35.xml"/><Relationship Id="rId2" Type="http://schemas.openxmlformats.org/officeDocument/2006/relationships/vmlDrawing" Target="../drawings/vmlDrawing5.vml"/><Relationship Id="rId13" Type="http://schemas.openxmlformats.org/officeDocument/2006/relationships/ctrlProp" Target="../ctrlProps/ctrlProp45.xml"/><Relationship Id="rId12" Type="http://schemas.openxmlformats.org/officeDocument/2006/relationships/ctrlProp" Target="../ctrlProps/ctrlProp44.xml"/><Relationship Id="rId11" Type="http://schemas.openxmlformats.org/officeDocument/2006/relationships/ctrlProp" Target="../ctrlProps/ctrlProp43.xml"/><Relationship Id="rId10" Type="http://schemas.openxmlformats.org/officeDocument/2006/relationships/ctrlProp" Target="../ctrlProps/ctrlProp42.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4" Type="http://schemas.openxmlformats.org/officeDocument/2006/relationships/ctrlProp" Target="../ctrlProps/ctrlProp47.xml"/><Relationship Id="rId3" Type="http://schemas.openxmlformats.org/officeDocument/2006/relationships/ctrlProp" Target="../ctrlProps/ctrlProp4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 Id="rId3" Type="http://schemas.openxmlformats.org/officeDocument/2006/relationships/ctrlProp" Target="../ctrlProps/ctrlProp48.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9" Type="http://schemas.openxmlformats.org/officeDocument/2006/relationships/ctrlProp" Target="../ctrlProps/ctrlProp58.xml"/><Relationship Id="rId8" Type="http://schemas.openxmlformats.org/officeDocument/2006/relationships/ctrlProp" Target="../ctrlProps/ctrlProp57.xml"/><Relationship Id="rId7" Type="http://schemas.openxmlformats.org/officeDocument/2006/relationships/ctrlProp" Target="../ctrlProps/ctrlProp56.xml"/><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 Id="rId3" Type="http://schemas.openxmlformats.org/officeDocument/2006/relationships/ctrlProp" Target="../ctrlProps/ctrlProp52.xml"/><Relationship Id="rId2" Type="http://schemas.openxmlformats.org/officeDocument/2006/relationships/vmlDrawing" Target="../drawings/vmlDrawing8.vml"/><Relationship Id="rId11" Type="http://schemas.openxmlformats.org/officeDocument/2006/relationships/ctrlProp" Target="../ctrlProps/ctrlProp60.xml"/><Relationship Id="rId10" Type="http://schemas.openxmlformats.org/officeDocument/2006/relationships/ctrlProp" Target="../ctrlProps/ctrlProp59.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6" Type="http://schemas.openxmlformats.org/officeDocument/2006/relationships/ctrlProp" Target="../ctrlProps/ctrlProp64.xml"/><Relationship Id="rId5" Type="http://schemas.openxmlformats.org/officeDocument/2006/relationships/ctrlProp" Target="../ctrlProps/ctrlProp63.xml"/><Relationship Id="rId4" Type="http://schemas.openxmlformats.org/officeDocument/2006/relationships/ctrlProp" Target="../ctrlProps/ctrlProp62.xml"/><Relationship Id="rId3" Type="http://schemas.openxmlformats.org/officeDocument/2006/relationships/ctrlProp" Target="../ctrlProps/ctrlProp61.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pageSetUpPr fitToPage="1"/>
  </sheetPr>
  <dimension ref="A1:BB46"/>
  <sheetViews>
    <sheetView showGridLines="0" showRowColHeaders="0" tabSelected="1" zoomScale="85" zoomScaleNormal="85" workbookViewId="0">
      <pane ySplit="3" topLeftCell="A4" activePane="bottomLeft" state="frozen"/>
      <selection/>
      <selection pane="bottomLeft" activeCell="A1" sqref="A1"/>
    </sheetView>
  </sheetViews>
  <sheetFormatPr defaultColWidth="9.14285714285714" defaultRowHeight="12.75"/>
  <cols>
    <col min="1" max="1" width="2" style="64" customWidth="1"/>
    <col min="2" max="2" width="10.2857142857143" style="64" customWidth="1"/>
    <col min="3" max="6" width="9.14285714285714" style="64"/>
    <col min="7" max="7" width="13.8571428571429" style="64" customWidth="1"/>
    <col min="8" max="10" width="9.14285714285714" style="64"/>
    <col min="11" max="11" width="9.42857142857143" style="64" customWidth="1"/>
    <col min="12" max="12" width="8.42857142857143" style="64" customWidth="1"/>
    <col min="13" max="14" width="9.14285714285714" style="64"/>
    <col min="15" max="15" width="11.2857142857143" style="64" customWidth="1"/>
    <col min="16" max="16" width="9.14285714285714" style="93"/>
    <col min="17" max="17" width="20.5714285714286" style="64" customWidth="1"/>
    <col min="18" max="18" width="2" style="65" customWidth="1"/>
    <col min="19" max="19" width="9.14285714285714" style="65"/>
    <col min="20" max="20" width="9.14285714285714" style="64"/>
    <col min="21" max="21" width="10.7142857142857" style="64" customWidth="1"/>
    <col min="22" max="22" width="9.14285714285714" style="65"/>
    <col min="23" max="23" width="8.42857142857143" style="64" customWidth="1"/>
    <col min="24" max="16384" width="9.14285714285714" style="64"/>
  </cols>
  <sheetData>
    <row r="1" ht="29.1" customHeight="1" spans="2:54">
      <c r="B1" s="121" t="str">
        <f>uxb_works!$B$90</f>
        <v>Safe Cities Index: 2017</v>
      </c>
      <c r="BA1" s="77">
        <v>0</v>
      </c>
      <c r="BB1" s="77">
        <v>0</v>
      </c>
    </row>
    <row r="2" ht="29.1" customHeight="1" spans="1:12">
      <c r="A2" s="354"/>
      <c r="B2" s="93"/>
      <c r="C2" s="93"/>
      <c r="D2" s="93"/>
      <c r="E2" s="93"/>
      <c r="F2" s="93"/>
      <c r="G2" s="93"/>
      <c r="H2" s="93"/>
      <c r="I2" s="93"/>
      <c r="J2" s="93"/>
      <c r="K2" s="93"/>
      <c r="L2" s="93"/>
    </row>
    <row r="3" s="65" customFormat="1" ht="71.1" customHeight="1" spans="1:16">
      <c r="A3" s="306"/>
      <c r="B3" s="306"/>
      <c r="C3" s="306"/>
      <c r="D3" s="306"/>
      <c r="E3" s="306"/>
      <c r="F3" s="306"/>
      <c r="G3" s="306"/>
      <c r="H3" s="306"/>
      <c r="I3" s="306"/>
      <c r="J3" s="306"/>
      <c r="K3" s="306"/>
      <c r="L3" s="306"/>
      <c r="P3" s="306"/>
    </row>
    <row r="4" s="65" customFormat="1" customHeight="1" spans="2:16">
      <c r="B4" s="306"/>
      <c r="C4" s="306"/>
      <c r="D4" s="306"/>
      <c r="E4" s="306"/>
      <c r="F4" s="306"/>
      <c r="G4" s="306"/>
      <c r="H4" s="306"/>
      <c r="I4" s="306"/>
      <c r="J4" s="306"/>
      <c r="K4" s="306"/>
      <c r="L4" s="306"/>
      <c r="P4" s="306"/>
    </row>
    <row r="5" s="65" customFormat="1" customHeight="1" spans="1:18">
      <c r="A5" s="306"/>
      <c r="B5" s="306"/>
      <c r="C5" s="715"/>
      <c r="D5" s="306"/>
      <c r="E5" s="306"/>
      <c r="F5" s="306"/>
      <c r="G5" s="306"/>
      <c r="H5" s="306"/>
      <c r="I5" s="306"/>
      <c r="J5" s="306"/>
      <c r="K5" s="306"/>
      <c r="L5" s="306"/>
      <c r="M5" s="306"/>
      <c r="N5" s="306"/>
      <c r="O5" s="306"/>
      <c r="P5" s="306"/>
      <c r="Q5" s="306"/>
      <c r="R5" s="306"/>
    </row>
    <row r="6" customHeight="1" spans="1:18">
      <c r="A6" s="93"/>
      <c r="B6" s="93"/>
      <c r="C6" s="716"/>
      <c r="D6" s="93"/>
      <c r="E6" s="93"/>
      <c r="F6" s="93"/>
      <c r="G6" s="93"/>
      <c r="H6" s="93"/>
      <c r="I6" s="93"/>
      <c r="J6" s="93"/>
      <c r="K6" s="93"/>
      <c r="L6" s="93"/>
      <c r="M6" s="93"/>
      <c r="N6" s="93"/>
      <c r="O6" s="93"/>
      <c r="Q6" s="93"/>
      <c r="R6" s="306"/>
    </row>
    <row r="7" customHeight="1" spans="1:18">
      <c r="A7" s="93"/>
      <c r="B7" s="93"/>
      <c r="C7" s="716"/>
      <c r="D7" s="93"/>
      <c r="E7" s="93"/>
      <c r="F7" s="93"/>
      <c r="G7" s="93"/>
      <c r="H7" s="93"/>
      <c r="I7" s="93"/>
      <c r="J7" s="93"/>
      <c r="K7" s="93"/>
      <c r="L7" s="93"/>
      <c r="M7" s="93"/>
      <c r="N7" s="93"/>
      <c r="O7" s="93"/>
      <c r="Q7" s="93"/>
      <c r="R7" s="306"/>
    </row>
    <row r="8" ht="156.75" customHeight="1" spans="1:18">
      <c r="A8" s="93"/>
      <c r="B8" s="93"/>
      <c r="C8" s="717"/>
      <c r="D8" s="93"/>
      <c r="E8" s="93"/>
      <c r="F8" s="93"/>
      <c r="G8" s="93"/>
      <c r="H8" s="93"/>
      <c r="I8" s="93"/>
      <c r="J8" s="93"/>
      <c r="K8" s="93"/>
      <c r="L8" s="93"/>
      <c r="M8" s="93"/>
      <c r="N8" s="93"/>
      <c r="O8" s="93"/>
      <c r="Q8" s="93"/>
      <c r="R8" s="306"/>
    </row>
    <row r="9" ht="15.75" hidden="1" spans="1:18">
      <c r="A9" s="93"/>
      <c r="B9" s="93"/>
      <c r="C9" s="718"/>
      <c r="D9" s="93"/>
      <c r="E9" s="93"/>
      <c r="F9" s="93"/>
      <c r="G9" s="93"/>
      <c r="H9" s="93"/>
      <c r="I9" s="93"/>
      <c r="J9" s="93"/>
      <c r="K9" s="723"/>
      <c r="L9" s="93"/>
      <c r="M9" s="93"/>
      <c r="N9" s="93"/>
      <c r="O9" s="93"/>
      <c r="Q9" s="93"/>
      <c r="R9" s="306"/>
    </row>
    <row r="10" hidden="1" spans="1:18">
      <c r="A10" s="93"/>
      <c r="B10" s="93"/>
      <c r="C10" s="93"/>
      <c r="D10" s="93"/>
      <c r="E10" s="93"/>
      <c r="F10" s="93"/>
      <c r="G10" s="93"/>
      <c r="H10" s="93"/>
      <c r="I10" s="93"/>
      <c r="J10" s="93"/>
      <c r="K10" s="93"/>
      <c r="L10" s="93"/>
      <c r="M10" s="93"/>
      <c r="N10" s="93"/>
      <c r="O10" s="93"/>
      <c r="Q10" s="93"/>
      <c r="R10" s="306"/>
    </row>
    <row r="11" ht="65.25" customHeight="1" spans="1:18">
      <c r="A11" s="93"/>
      <c r="B11" s="93"/>
      <c r="C11" s="93"/>
      <c r="D11" s="93"/>
      <c r="E11" s="93"/>
      <c r="F11" s="93"/>
      <c r="G11" s="93"/>
      <c r="H11" s="93"/>
      <c r="I11" s="93"/>
      <c r="J11" s="93"/>
      <c r="K11" s="724"/>
      <c r="L11" s="93"/>
      <c r="M11" s="93"/>
      <c r="N11" s="93"/>
      <c r="O11" s="93"/>
      <c r="Q11" s="93"/>
      <c r="R11" s="306"/>
    </row>
    <row r="12" ht="10.5" hidden="1" customHeight="1" spans="1:18">
      <c r="A12" s="93"/>
      <c r="B12" s="93"/>
      <c r="C12" s="93"/>
      <c r="D12" s="93"/>
      <c r="E12" s="93"/>
      <c r="F12" s="93"/>
      <c r="G12" s="93"/>
      <c r="H12" s="93"/>
      <c r="I12" s="93"/>
      <c r="J12" s="93"/>
      <c r="K12" s="724"/>
      <c r="L12" s="93"/>
      <c r="M12" s="93"/>
      <c r="N12" s="93"/>
      <c r="O12" s="93"/>
      <c r="Q12" s="93"/>
      <c r="R12" s="306"/>
    </row>
    <row r="13" ht="10.5" hidden="1" customHeight="1" spans="1:19">
      <c r="A13" s="93"/>
      <c r="B13" s="93"/>
      <c r="C13" s="93"/>
      <c r="D13" s="93"/>
      <c r="E13" s="93"/>
      <c r="F13" s="93"/>
      <c r="G13" s="93"/>
      <c r="H13" s="93"/>
      <c r="I13" s="93"/>
      <c r="J13" s="93"/>
      <c r="K13" s="724"/>
      <c r="L13" s="93"/>
      <c r="M13" s="93"/>
      <c r="N13" s="93"/>
      <c r="O13" s="93"/>
      <c r="Q13" s="93"/>
      <c r="R13" s="306"/>
      <c r="S13" s="108"/>
    </row>
    <row r="14" ht="10.5" hidden="1" customHeight="1" spans="1:18">
      <c r="A14" s="93"/>
      <c r="B14" s="93"/>
      <c r="C14" s="93"/>
      <c r="D14" s="93"/>
      <c r="E14" s="93"/>
      <c r="F14" s="93"/>
      <c r="G14" s="93"/>
      <c r="H14" s="93"/>
      <c r="I14" s="93"/>
      <c r="J14" s="93"/>
      <c r="K14" s="724"/>
      <c r="L14" s="93"/>
      <c r="M14" s="93"/>
      <c r="N14" s="93"/>
      <c r="O14" s="93"/>
      <c r="Q14" s="93"/>
      <c r="R14" s="306"/>
    </row>
    <row r="15" ht="10.5" hidden="1" customHeight="1" spans="1:18">
      <c r="A15" s="93"/>
      <c r="B15" s="93"/>
      <c r="C15" s="93"/>
      <c r="D15" s="93"/>
      <c r="E15" s="93"/>
      <c r="F15" s="93"/>
      <c r="G15" s="93"/>
      <c r="H15" s="93"/>
      <c r="I15" s="93"/>
      <c r="J15" s="93"/>
      <c r="K15" s="724"/>
      <c r="L15" s="93"/>
      <c r="M15" s="93"/>
      <c r="N15" s="93"/>
      <c r="O15" s="93"/>
      <c r="Q15" s="93"/>
      <c r="R15" s="306"/>
    </row>
    <row r="16" ht="13.5" hidden="1" customHeight="1" spans="1:18">
      <c r="A16" s="93"/>
      <c r="B16" s="93"/>
      <c r="C16" s="93"/>
      <c r="D16" s="93"/>
      <c r="E16" s="93"/>
      <c r="F16" s="93"/>
      <c r="G16" s="93"/>
      <c r="H16" s="93"/>
      <c r="I16" s="93"/>
      <c r="J16" s="93"/>
      <c r="K16" s="724"/>
      <c r="L16" s="93"/>
      <c r="M16" s="93"/>
      <c r="N16" s="93"/>
      <c r="O16" s="93"/>
      <c r="Q16" s="93"/>
      <c r="R16" s="306"/>
    </row>
    <row r="17" ht="10.5" hidden="1" customHeight="1" spans="1:18">
      <c r="A17" s="93"/>
      <c r="B17" s="93"/>
      <c r="C17" s="93"/>
      <c r="D17" s="93"/>
      <c r="E17" s="93"/>
      <c r="F17" s="93"/>
      <c r="G17" s="93"/>
      <c r="H17" s="93"/>
      <c r="I17" s="93"/>
      <c r="J17" s="93"/>
      <c r="K17" s="724"/>
      <c r="L17" s="93"/>
      <c r="M17" s="93"/>
      <c r="N17" s="93"/>
      <c r="O17" s="93"/>
      <c r="Q17" s="93"/>
      <c r="R17" s="306"/>
    </row>
    <row r="18" ht="10.5" hidden="1" customHeight="1" spans="1:18">
      <c r="A18" s="93"/>
      <c r="B18" s="93"/>
      <c r="C18" s="93"/>
      <c r="D18" s="93"/>
      <c r="E18" s="93"/>
      <c r="F18" s="93"/>
      <c r="G18" s="93"/>
      <c r="H18" s="93"/>
      <c r="I18" s="93"/>
      <c r="J18" s="93"/>
      <c r="K18" s="724"/>
      <c r="L18" s="93"/>
      <c r="M18" s="93"/>
      <c r="N18" s="93"/>
      <c r="O18" s="93"/>
      <c r="Q18" s="93"/>
      <c r="R18" s="306"/>
    </row>
    <row r="19" ht="10.5" hidden="1" customHeight="1" spans="1:18">
      <c r="A19" s="93"/>
      <c r="B19" s="93"/>
      <c r="C19" s="93"/>
      <c r="D19" s="93"/>
      <c r="E19" s="93"/>
      <c r="F19" s="93"/>
      <c r="G19" s="93"/>
      <c r="H19" s="93"/>
      <c r="I19" s="93"/>
      <c r="J19" s="93"/>
      <c r="K19" s="724"/>
      <c r="L19" s="93"/>
      <c r="M19" s="93"/>
      <c r="N19" s="93"/>
      <c r="O19" s="93"/>
      <c r="Q19" s="93"/>
      <c r="R19" s="306"/>
    </row>
    <row r="20" ht="10.5" hidden="1" customHeight="1" spans="1:18">
      <c r="A20" s="93"/>
      <c r="B20" s="93"/>
      <c r="C20" s="93"/>
      <c r="D20" s="93"/>
      <c r="E20" s="93"/>
      <c r="F20" s="93"/>
      <c r="G20" s="93"/>
      <c r="H20" s="93"/>
      <c r="I20" s="93"/>
      <c r="J20" s="93"/>
      <c r="K20" s="724"/>
      <c r="L20" s="93"/>
      <c r="M20" s="93"/>
      <c r="N20" s="93"/>
      <c r="O20" s="93"/>
      <c r="Q20" s="93"/>
      <c r="R20" s="306"/>
    </row>
    <row r="21" ht="7.5" customHeight="1" spans="1:18">
      <c r="A21" s="93"/>
      <c r="B21" s="93"/>
      <c r="D21" s="93"/>
      <c r="E21" s="567"/>
      <c r="F21" s="567"/>
      <c r="G21" s="93"/>
      <c r="H21" s="93"/>
      <c r="I21" s="93"/>
      <c r="J21" s="93"/>
      <c r="K21" s="93"/>
      <c r="M21" s="93"/>
      <c r="N21" s="93"/>
      <c r="O21" s="93"/>
      <c r="Q21" s="93"/>
      <c r="R21" s="306"/>
    </row>
    <row r="22" ht="16.5" customHeight="1" spans="1:18">
      <c r="A22" s="93"/>
      <c r="B22" s="93"/>
      <c r="D22" s="719" t="s">
        <v>0</v>
      </c>
      <c r="E22" s="93"/>
      <c r="F22" s="567"/>
      <c r="G22" s="93"/>
      <c r="H22" s="93"/>
      <c r="I22" s="725"/>
      <c r="J22" s="93"/>
      <c r="K22" s="93"/>
      <c r="M22" s="93"/>
      <c r="O22" s="726" t="s">
        <v>1</v>
      </c>
      <c r="Q22" s="93"/>
      <c r="R22" s="306"/>
    </row>
    <row r="23" ht="16.5" customHeight="1" spans="1:18">
      <c r="A23" s="93"/>
      <c r="B23" s="93"/>
      <c r="D23" s="567" t="s">
        <v>2</v>
      </c>
      <c r="E23" s="93"/>
      <c r="F23" s="567"/>
      <c r="G23" s="93"/>
      <c r="H23" s="93"/>
      <c r="I23" s="93"/>
      <c r="J23" s="93"/>
      <c r="K23" s="93"/>
      <c r="M23" s="93"/>
      <c r="O23" s="727" t="s">
        <v>3</v>
      </c>
      <c r="Q23" s="93"/>
      <c r="R23" s="306"/>
    </row>
    <row r="24" ht="16.5" customHeight="1" spans="1:18">
      <c r="A24" s="93"/>
      <c r="B24" s="93"/>
      <c r="C24" s="93"/>
      <c r="D24" s="93"/>
      <c r="E24" s="567"/>
      <c r="F24" s="567"/>
      <c r="G24" s="93"/>
      <c r="H24" s="93"/>
      <c r="I24" s="93"/>
      <c r="J24" s="93"/>
      <c r="K24" s="93"/>
      <c r="M24" s="93"/>
      <c r="O24" s="727" t="s">
        <v>4</v>
      </c>
      <c r="Q24" s="93"/>
      <c r="R24" s="306"/>
    </row>
    <row r="25" ht="16.5" customHeight="1" spans="1:18">
      <c r="A25" s="93"/>
      <c r="B25" s="93"/>
      <c r="E25" s="567"/>
      <c r="F25" s="567"/>
      <c r="G25" s="93"/>
      <c r="H25" s="93"/>
      <c r="I25" s="93"/>
      <c r="J25" s="93"/>
      <c r="K25" s="93"/>
      <c r="M25" s="93"/>
      <c r="O25" s="93"/>
      <c r="Q25" s="93"/>
      <c r="R25" s="306"/>
    </row>
    <row r="26" ht="16.5" customHeight="1" spans="1:18">
      <c r="A26" s="93"/>
      <c r="B26" s="93"/>
      <c r="D26" s="567" t="s">
        <v>5</v>
      </c>
      <c r="E26" s="567"/>
      <c r="F26" s="567"/>
      <c r="G26" s="93"/>
      <c r="H26" s="93"/>
      <c r="I26" s="728"/>
      <c r="J26" s="93"/>
      <c r="K26" s="93"/>
      <c r="M26" s="93"/>
      <c r="O26" s="93"/>
      <c r="Q26" s="93"/>
      <c r="R26" s="306"/>
    </row>
    <row r="27" spans="1:18">
      <c r="A27" s="93"/>
      <c r="B27" s="93"/>
      <c r="C27" s="93"/>
      <c r="D27" s="93"/>
      <c r="E27" s="93"/>
      <c r="F27" s="93"/>
      <c r="G27" s="93"/>
      <c r="H27" s="93"/>
      <c r="I27" s="93"/>
      <c r="J27" s="93"/>
      <c r="K27" s="93"/>
      <c r="L27" s="93"/>
      <c r="M27" s="93"/>
      <c r="N27" s="93"/>
      <c r="O27" s="93"/>
      <c r="Q27" s="93"/>
      <c r="R27" s="306"/>
    </row>
    <row r="28" spans="1:18">
      <c r="A28" s="93"/>
      <c r="B28" s="93"/>
      <c r="C28" s="93"/>
      <c r="D28" s="93"/>
      <c r="E28" s="93"/>
      <c r="F28" s="93"/>
      <c r="G28" s="93"/>
      <c r="H28" s="93"/>
      <c r="I28" s="93"/>
      <c r="J28" s="93"/>
      <c r="K28" s="93"/>
      <c r="L28" s="93"/>
      <c r="M28" s="93"/>
      <c r="N28" s="93"/>
      <c r="O28" s="93"/>
      <c r="Q28" s="93"/>
      <c r="R28" s="306"/>
    </row>
    <row r="29" spans="1:18">
      <c r="A29" s="93"/>
      <c r="B29" s="93"/>
      <c r="C29" s="93"/>
      <c r="D29" s="93"/>
      <c r="E29" s="93"/>
      <c r="F29" s="93"/>
      <c r="G29" s="93"/>
      <c r="H29" s="93"/>
      <c r="I29" s="93"/>
      <c r="J29" s="93"/>
      <c r="K29" s="93"/>
      <c r="L29" s="93"/>
      <c r="M29" s="93"/>
      <c r="N29" s="93"/>
      <c r="O29" s="93"/>
      <c r="Q29" s="93"/>
      <c r="R29" s="306"/>
    </row>
    <row r="30" spans="1:18">
      <c r="A30" s="93"/>
      <c r="B30" s="93"/>
      <c r="C30" s="93"/>
      <c r="D30" s="93"/>
      <c r="E30" s="93"/>
      <c r="F30" s="93"/>
      <c r="G30" s="93"/>
      <c r="H30" s="93"/>
      <c r="I30" s="93"/>
      <c r="J30" s="93"/>
      <c r="K30" s="93"/>
      <c r="L30" s="93"/>
      <c r="M30" s="93"/>
      <c r="N30" s="93"/>
      <c r="O30" s="93"/>
      <c r="Q30" s="93"/>
      <c r="R30" s="306"/>
    </row>
    <row r="31" spans="1:18">
      <c r="A31" s="93"/>
      <c r="B31" s="93"/>
      <c r="C31" s="93"/>
      <c r="D31" s="93"/>
      <c r="E31" s="93"/>
      <c r="F31" s="93"/>
      <c r="G31" s="93"/>
      <c r="H31" s="93"/>
      <c r="I31" s="93"/>
      <c r="J31" s="93"/>
      <c r="K31" s="93"/>
      <c r="L31" s="93"/>
      <c r="M31" s="93"/>
      <c r="N31" s="93"/>
      <c r="O31" s="93"/>
      <c r="Q31" s="93"/>
      <c r="R31" s="306"/>
    </row>
    <row r="32" spans="1:18">
      <c r="A32" s="93"/>
      <c r="B32" s="93"/>
      <c r="C32" s="93"/>
      <c r="D32" s="93"/>
      <c r="E32" s="93"/>
      <c r="F32" s="93"/>
      <c r="G32" s="93"/>
      <c r="H32" s="93"/>
      <c r="I32" s="93"/>
      <c r="J32" s="93"/>
      <c r="K32" s="93"/>
      <c r="L32" s="93"/>
      <c r="M32" s="93"/>
      <c r="N32" s="93"/>
      <c r="O32" s="93"/>
      <c r="Q32" s="93"/>
      <c r="R32" s="306"/>
    </row>
    <row r="33" spans="1:18">
      <c r="A33" s="93"/>
      <c r="B33" s="93"/>
      <c r="C33" s="93"/>
      <c r="D33" s="93"/>
      <c r="E33" s="93"/>
      <c r="F33" s="93"/>
      <c r="G33" s="93"/>
      <c r="H33" s="93"/>
      <c r="I33" s="93"/>
      <c r="J33" s="93"/>
      <c r="K33" s="93"/>
      <c r="L33" s="93"/>
      <c r="M33" s="93"/>
      <c r="N33" s="93"/>
      <c r="O33" s="93"/>
      <c r="Q33" s="93"/>
      <c r="R33" s="306"/>
    </row>
    <row r="34" ht="15.75" spans="1:18">
      <c r="A34" s="93"/>
      <c r="B34" s="720"/>
      <c r="C34" s="720"/>
      <c r="D34" s="93"/>
      <c r="E34" s="93"/>
      <c r="F34" s="93"/>
      <c r="G34" s="93"/>
      <c r="H34" s="93"/>
      <c r="I34" s="93"/>
      <c r="J34" s="93"/>
      <c r="K34" s="93"/>
      <c r="L34" s="93"/>
      <c r="M34" s="93"/>
      <c r="N34" s="93"/>
      <c r="O34" s="93"/>
      <c r="Q34" s="93"/>
      <c r="R34" s="306"/>
    </row>
    <row r="35" spans="1:18">
      <c r="A35" s="93"/>
      <c r="B35" s="93"/>
      <c r="C35" s="93"/>
      <c r="D35" s="93"/>
      <c r="E35" s="93"/>
      <c r="F35" s="93"/>
      <c r="G35" s="93"/>
      <c r="H35" s="93"/>
      <c r="I35" s="93"/>
      <c r="J35" s="93"/>
      <c r="K35" s="93"/>
      <c r="L35" s="93"/>
      <c r="M35" s="93"/>
      <c r="N35" s="93"/>
      <c r="O35" s="93"/>
      <c r="Q35" s="93"/>
      <c r="R35" s="306"/>
    </row>
    <row r="36" spans="1:18">
      <c r="A36" s="93"/>
      <c r="B36" s="93"/>
      <c r="C36" s="93"/>
      <c r="D36" s="93"/>
      <c r="E36" s="93"/>
      <c r="F36" s="93"/>
      <c r="G36" s="93"/>
      <c r="H36" s="93"/>
      <c r="I36" s="93"/>
      <c r="J36" s="93"/>
      <c r="K36" s="93"/>
      <c r="L36" s="93"/>
      <c r="M36" s="93"/>
      <c r="N36" s="93"/>
      <c r="O36" s="93"/>
      <c r="Q36" s="93"/>
      <c r="R36" s="306"/>
    </row>
    <row r="37" ht="18.75" spans="1:18">
      <c r="A37" s="93"/>
      <c r="B37" s="567"/>
      <c r="C37" s="721" t="s">
        <v>6</v>
      </c>
      <c r="D37" s="567"/>
      <c r="E37" s="567"/>
      <c r="F37" s="567"/>
      <c r="G37" s="567"/>
      <c r="H37" s="567"/>
      <c r="I37" s="567"/>
      <c r="J37" s="93"/>
      <c r="K37" s="93"/>
      <c r="L37" s="93"/>
      <c r="M37" s="93"/>
      <c r="N37" s="93"/>
      <c r="O37" s="93"/>
      <c r="Q37" s="93"/>
      <c r="R37" s="306"/>
    </row>
    <row r="38" ht="15" spans="2:9">
      <c r="B38" s="68"/>
      <c r="C38" s="68"/>
      <c r="D38" s="68"/>
      <c r="E38" s="68"/>
      <c r="F38" s="68"/>
      <c r="G38" s="68"/>
      <c r="H38" s="68"/>
      <c r="I38" s="68"/>
    </row>
    <row r="39" ht="15" spans="2:9">
      <c r="B39" s="68"/>
      <c r="C39" s="68"/>
      <c r="D39" s="68"/>
      <c r="E39" s="68"/>
      <c r="F39" s="68"/>
      <c r="G39" s="68"/>
      <c r="H39" s="68"/>
      <c r="I39" s="68"/>
    </row>
    <row r="40" ht="15" spans="2:9">
      <c r="B40" s="68"/>
      <c r="C40" s="68"/>
      <c r="D40" s="68"/>
      <c r="E40" s="68"/>
      <c r="F40" s="68"/>
      <c r="G40" s="68"/>
      <c r="H40" s="68"/>
      <c r="I40" s="68"/>
    </row>
    <row r="41" ht="15" spans="2:9">
      <c r="B41" s="68"/>
      <c r="C41" s="68"/>
      <c r="D41" s="68"/>
      <c r="E41" s="68"/>
      <c r="F41" s="68"/>
      <c r="G41" s="68"/>
      <c r="H41" s="68"/>
      <c r="I41" s="68"/>
    </row>
    <row r="42" ht="15" spans="2:9">
      <c r="B42" s="68"/>
      <c r="C42" s="68"/>
      <c r="D42" s="68"/>
      <c r="E42" s="68"/>
      <c r="F42" s="68"/>
      <c r="G42" s="68"/>
      <c r="H42" s="722"/>
      <c r="I42" s="68"/>
    </row>
    <row r="43" ht="15" spans="2:9">
      <c r="B43" s="68"/>
      <c r="C43" s="68"/>
      <c r="D43" s="68"/>
      <c r="E43" s="68"/>
      <c r="F43" s="68"/>
      <c r="G43" s="68"/>
      <c r="H43" s="68"/>
      <c r="I43" s="68"/>
    </row>
    <row r="44" ht="15" spans="2:9">
      <c r="B44" s="68"/>
      <c r="C44" s="68"/>
      <c r="D44" s="68"/>
      <c r="E44" s="68"/>
      <c r="F44" s="68"/>
      <c r="G44" s="68"/>
      <c r="H44" s="68"/>
      <c r="I44" s="68"/>
    </row>
    <row r="45" ht="15" spans="2:9">
      <c r="B45" s="68"/>
      <c r="C45" s="68"/>
      <c r="D45" s="68"/>
      <c r="E45" s="68"/>
      <c r="F45" s="68"/>
      <c r="G45" s="68"/>
      <c r="H45" s="68"/>
      <c r="I45" s="68"/>
    </row>
    <row r="46" ht="15" spans="2:9">
      <c r="B46" s="68"/>
      <c r="C46" s="68"/>
      <c r="D46" s="68"/>
      <c r="E46" s="68"/>
      <c r="F46" s="68"/>
      <c r="G46" s="68"/>
      <c r="H46" s="68"/>
      <c r="I46"/>
    </row>
  </sheetData>
  <sheetProtection password="A0BB" sheet="1" objects="1" scenarios="1"/>
  <mergeCells count="1">
    <mergeCell ref="B34:C34"/>
  </mergeCells>
  <pageMargins left="0.551181102362205" right="0.551181102362205" top="0.590551181102362" bottom="0.78740157480315" header="0.511811023622047" footer="0.511811023622047"/>
  <pageSetup paperSize="9" scale="27" orientation="landscape" verticalDpi="300"/>
  <headerFooter alignWithMargins="0">
    <oddHeader>&amp;RSafe Cities Index : 2017</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3088769" name="cnt_zoom" r:id="rId3">
              <controlPr print="0" defaultSize="0">
                <anchor>
                  <from>
                    <xdr:col>3</xdr:col>
                    <xdr:colOff>22860</xdr:colOff>
                    <xdr:row>23</xdr:row>
                    <xdr:rowOff>15875</xdr:rowOff>
                  </from>
                  <to>
                    <xdr:col>6</xdr:col>
                    <xdr:colOff>757555</xdr:colOff>
                    <xdr:row>24</xdr:row>
                    <xdr:rowOff>19685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autoPageBreaks="0"/>
  </sheetPr>
  <dimension ref="A1:CA85"/>
  <sheetViews>
    <sheetView showGridLines="0" showRowColHeaders="0" zoomScale="90" zoomScaleNormal="90" workbookViewId="0">
      <pane ySplit="3" topLeftCell="A4" activePane="bottomLeft" state="frozen"/>
      <selection/>
      <selection pane="bottomLeft" activeCell="A1" sqref="A1"/>
    </sheetView>
  </sheetViews>
  <sheetFormatPr defaultColWidth="9" defaultRowHeight="12.75"/>
  <cols>
    <col min="1" max="1" width="1.71428571428571" style="351" customWidth="1"/>
    <col min="2" max="2" width="30.2857142857143" style="351" hidden="1" customWidth="1"/>
    <col min="3" max="3" width="9.57142857142857" style="351" hidden="1" customWidth="1"/>
    <col min="4" max="4" width="27.5714285714286" style="351" hidden="1" customWidth="1"/>
    <col min="5" max="5" width="5.71428571428571" style="351" hidden="1" customWidth="1"/>
    <col min="6" max="6" width="85.8571428571429" style="351" customWidth="1"/>
    <col min="7" max="7" width="6.85714285714286" style="351" customWidth="1"/>
    <col min="8" max="8" width="8.14285714285714" style="351" customWidth="1"/>
    <col min="9" max="9" width="2.71428571428571" style="351" customWidth="1"/>
    <col min="10" max="10" width="22.5714285714286" style="351" customWidth="1"/>
    <col min="11" max="11" width="8.85714285714286" style="351" customWidth="1"/>
    <col min="12" max="18" width="9.14285714285714" style="351"/>
    <col min="19" max="19" width="5" style="351" customWidth="1"/>
    <col min="20" max="20" width="6.42857142857143" style="351" customWidth="1"/>
    <col min="21" max="21" width="9.14285714285714" style="351"/>
    <col min="22" max="22" width="5" style="351" customWidth="1"/>
    <col min="23" max="23" width="9.14285714285714" style="351" customWidth="1"/>
    <col min="24" max="24" width="9.14285714285714" style="351" hidden="1" customWidth="1"/>
    <col min="25" max="52" width="9" style="351" hidden="1" customWidth="1"/>
    <col min="53" max="16384" width="9.14285714285714" style="351"/>
  </cols>
  <sheetData>
    <row r="1" s="348" customFormat="1" ht="28.5" customHeight="1" spans="2:54">
      <c r="B1" s="352" t="str">
        <f>uxb_works!B90</f>
        <v>Safe Cities Index: 2017</v>
      </c>
      <c r="D1" s="353" t="str">
        <f>uxb_works!B90</f>
        <v>Safe Cities Index: 2017</v>
      </c>
      <c r="F1" s="353" t="str">
        <f>uxb_works!$B$90</f>
        <v>Safe Cities Index: 2017</v>
      </c>
      <c r="P1" s="374"/>
      <c r="R1" s="382"/>
      <c r="S1" s="382"/>
      <c r="V1" s="382"/>
      <c r="BA1" s="383">
        <v>4</v>
      </c>
      <c r="BB1" s="383">
        <v>0</v>
      </c>
    </row>
    <row r="2" s="64" customFormat="1" ht="28.5" customHeight="1" spans="1:22">
      <c r="A2" s="354"/>
      <c r="B2" s="93"/>
      <c r="C2" s="93"/>
      <c r="D2" s="93"/>
      <c r="E2" s="93"/>
      <c r="F2" s="93"/>
      <c r="G2" s="93"/>
      <c r="H2" s="93"/>
      <c r="I2" s="93"/>
      <c r="J2" s="93"/>
      <c r="K2" s="93"/>
      <c r="L2" s="93"/>
      <c r="P2" s="93"/>
      <c r="R2" s="65"/>
      <c r="S2" s="65"/>
      <c r="V2" s="65"/>
    </row>
    <row r="3" s="65" customFormat="1" ht="71.1" customHeight="1" spans="1:16">
      <c r="A3" s="306"/>
      <c r="B3" s="306"/>
      <c r="C3" s="306"/>
      <c r="D3" s="306"/>
      <c r="E3" s="306"/>
      <c r="F3" s="306"/>
      <c r="G3" s="306"/>
      <c r="H3" s="306"/>
      <c r="I3" s="306"/>
      <c r="J3" s="306"/>
      <c r="K3" s="306"/>
      <c r="L3" s="306"/>
      <c r="P3" s="306"/>
    </row>
    <row r="4" ht="20.25" customHeight="1" spans="1:10">
      <c r="A4" s="355"/>
      <c r="B4" s="355"/>
      <c r="C4" s="355"/>
      <c r="D4" s="355"/>
      <c r="E4" s="355"/>
      <c r="F4" s="349" t="s">
        <v>28</v>
      </c>
      <c r="G4" s="355"/>
      <c r="H4" s="355"/>
      <c r="I4" s="355"/>
      <c r="J4" s="355"/>
    </row>
    <row r="5" spans="1:23">
      <c r="A5" s="355"/>
      <c r="B5" s="355"/>
      <c r="C5" s="355"/>
      <c r="D5" s="355"/>
      <c r="E5" s="355"/>
      <c r="F5" s="356"/>
      <c r="G5" s="355"/>
      <c r="H5" s="355"/>
      <c r="I5" s="355"/>
      <c r="J5" s="355"/>
      <c r="W5" s="351" t="s">
        <v>29</v>
      </c>
    </row>
    <row r="6" ht="61.5" customHeight="1" spans="1:10">
      <c r="A6" s="355"/>
      <c r="B6" s="355"/>
      <c r="C6" s="355"/>
      <c r="D6" s="355"/>
      <c r="E6" s="355"/>
      <c r="F6" s="355"/>
      <c r="G6" s="355"/>
      <c r="H6" s="355"/>
      <c r="I6" s="355"/>
      <c r="J6" s="355"/>
    </row>
    <row r="7" s="349" customFormat="1" ht="26.25" customHeight="1" spans="6:79">
      <c r="F7" s="357" t="s">
        <v>30</v>
      </c>
      <c r="G7" s="357"/>
      <c r="H7" s="358" t="s">
        <v>31</v>
      </c>
      <c r="I7" s="357"/>
      <c r="J7" s="357"/>
      <c r="L7" s="375"/>
      <c r="M7" s="375"/>
      <c r="BZ7" s="351"/>
      <c r="CA7" s="351"/>
    </row>
    <row r="8" ht="15" spans="3:13">
      <c r="C8" s="351" t="str">
        <f>iWeights!C5</f>
        <v>DISE</v>
      </c>
      <c r="D8" s="351">
        <f>iWeights!D5</f>
        <v>2</v>
      </c>
      <c r="E8" s="351">
        <f ca="1">iWeights!E5</f>
        <v>1</v>
      </c>
      <c r="F8" s="359" t="str">
        <f ca="1">REPT(" ",E8)&amp;iWeights!F5</f>
        <v> 1) DIGITAL SECURITY</v>
      </c>
      <c r="G8" s="360">
        <v>1</v>
      </c>
      <c r="H8" s="361">
        <f>INDEX(tblIndicators!AD$2:AD$69,D8)</f>
        <v>0.25</v>
      </c>
      <c r="I8" s="376"/>
      <c r="J8" s="377" t="str">
        <f>REPT("|",H8*50)</f>
        <v>||||||||||||</v>
      </c>
      <c r="L8" s="378"/>
      <c r="M8"/>
    </row>
    <row r="9" ht="15" spans="3:13">
      <c r="C9" s="351" t="str">
        <f>iWeights!C6</f>
        <v>HESE</v>
      </c>
      <c r="D9" s="351">
        <f>iWeights!D6</f>
        <v>13</v>
      </c>
      <c r="E9" s="351">
        <f ca="1">iWeights!E6</f>
        <v>1</v>
      </c>
      <c r="F9" s="359" t="str">
        <f ca="1">REPT(" ",E9)&amp;iWeights!F6</f>
        <v> 2) HEALTH SECURITY</v>
      </c>
      <c r="G9" s="360">
        <v>1</v>
      </c>
      <c r="H9" s="361">
        <f>INDEX(tblIndicators!AD$2:AD$69,D9)</f>
        <v>0.25</v>
      </c>
      <c r="I9" s="376"/>
      <c r="J9" s="377" t="str">
        <f>REPT("|",H9*50)</f>
        <v>||||||||||||</v>
      </c>
      <c r="L9" s="378"/>
      <c r="M9"/>
    </row>
    <row r="10" ht="15" spans="3:13">
      <c r="C10" s="351" t="str">
        <f>iWeights!C7</f>
        <v>INSE</v>
      </c>
      <c r="D10" s="351">
        <f>iWeights!D7</f>
        <v>28</v>
      </c>
      <c r="E10" s="351">
        <f ca="1">iWeights!E7</f>
        <v>1</v>
      </c>
      <c r="F10" s="359" t="str">
        <f ca="1">REPT(" ",E10)&amp;iWeights!F7</f>
        <v> 3) INFRASTRUCTURE SECURITY</v>
      </c>
      <c r="G10" s="360">
        <v>1</v>
      </c>
      <c r="H10" s="361">
        <f>INDEX(tblIndicators!AD$2:AD$69,D10)</f>
        <v>0.25</v>
      </c>
      <c r="I10" s="376"/>
      <c r="J10" s="377" t="str">
        <f>REPT("|",H10*50)</f>
        <v>||||||||||||</v>
      </c>
      <c r="L10" s="378"/>
      <c r="M10"/>
    </row>
    <row r="11" ht="15" spans="3:13">
      <c r="C11" s="351" t="str">
        <f>iWeights!C8</f>
        <v>PESE</v>
      </c>
      <c r="D11" s="351">
        <f>iWeights!D8</f>
        <v>41</v>
      </c>
      <c r="E11" s="351">
        <f ca="1">iWeights!E8</f>
        <v>1</v>
      </c>
      <c r="F11" s="359" t="str">
        <f ca="1">REPT(" ",E11)&amp;iWeights!F8</f>
        <v> 4) PERSONAL SECURITY</v>
      </c>
      <c r="G11" s="360">
        <v>1</v>
      </c>
      <c r="H11" s="361">
        <f>INDEX(tblIndicators!AD$2:AD$69,D11)</f>
        <v>0.25</v>
      </c>
      <c r="I11" s="376"/>
      <c r="J11" s="377" t="str">
        <f>REPT("|",H11*50)</f>
        <v>||||||||||||</v>
      </c>
      <c r="L11" s="378"/>
      <c r="M11"/>
    </row>
    <row r="12" ht="15" spans="6:10">
      <c r="F12" s="362"/>
      <c r="G12" s="362"/>
      <c r="H12" s="362"/>
      <c r="I12" s="379"/>
      <c r="J12" s="380"/>
    </row>
    <row r="13" s="350" customFormat="1" ht="20.25" customHeight="1" spans="6:79">
      <c r="F13" s="363" t="s">
        <v>32</v>
      </c>
      <c r="G13" s="363"/>
      <c r="H13" s="364" t="s">
        <v>31</v>
      </c>
      <c r="I13" s="363"/>
      <c r="J13" s="363"/>
      <c r="BZ13" s="351"/>
      <c r="CA13" s="351"/>
    </row>
    <row r="14" ht="15" spans="3:10">
      <c r="C14" s="351" t="str">
        <f>iWeights!C11</f>
        <v>DISE</v>
      </c>
      <c r="D14" s="351">
        <f>iWeights!D11</f>
        <v>2</v>
      </c>
      <c r="E14" s="365">
        <f ca="1">iWeights!E11</f>
        <v>1</v>
      </c>
      <c r="F14" s="359" t="str">
        <f ca="1">REPT(" ",E14)&amp;iWeights!F11</f>
        <v>  1) DIGITAL SECURITY</v>
      </c>
      <c r="G14" s="366"/>
      <c r="H14" s="361"/>
      <c r="I14" s="376"/>
      <c r="J14" s="377"/>
    </row>
    <row r="15" ht="15" spans="3:10">
      <c r="C15" s="351" t="str">
        <f>iWeights!C12</f>
        <v>DISE1.1</v>
      </c>
      <c r="D15" s="351">
        <f>iWeights!D12</f>
        <v>3</v>
      </c>
      <c r="E15" s="365">
        <f ca="1">iWeights!E12</f>
        <v>2</v>
      </c>
      <c r="F15" s="367" t="str">
        <f ca="1">REPT(" ",E15)&amp;iWeights!F12</f>
        <v>    1.1) Digital security (Inputs)</v>
      </c>
      <c r="G15" s="360">
        <v>1</v>
      </c>
      <c r="H15" s="361">
        <f>INDEX(tblIndicators!AD$2:AD$69,D15)</f>
        <v>0.5</v>
      </c>
      <c r="I15" s="376"/>
      <c r="J15" s="377" t="str">
        <f>REPT("|",H15*50)</f>
        <v>|||||||||||||||||||||||||</v>
      </c>
    </row>
    <row r="16" ht="15" spans="3:10">
      <c r="C16" s="351" t="str">
        <f>iWeights!C13</f>
        <v>DISE1.2</v>
      </c>
      <c r="D16" s="351">
        <f>iWeights!D13</f>
        <v>9</v>
      </c>
      <c r="E16" s="365">
        <f ca="1">iWeights!E13</f>
        <v>2</v>
      </c>
      <c r="F16" s="367" t="str">
        <f ca="1">REPT(" ",E16)&amp;iWeights!F13</f>
        <v>    1.2) Digital security (Outputs)</v>
      </c>
      <c r="G16" s="360">
        <v>1</v>
      </c>
      <c r="H16" s="361">
        <f>INDEX(tblIndicators!AD$2:AD$69,D16)</f>
        <v>0.5</v>
      </c>
      <c r="I16" s="376"/>
      <c r="J16" s="377" t="str">
        <f>REPT("|",H16*50)</f>
        <v>|||||||||||||||||||||||||</v>
      </c>
    </row>
    <row r="17" ht="15" spans="3:10">
      <c r="C17" s="351" t="str">
        <f>iWeights!C14</f>
        <v>HESE</v>
      </c>
      <c r="D17" s="351">
        <f>iWeights!D14</f>
        <v>13</v>
      </c>
      <c r="E17" s="365">
        <f ca="1">iWeights!E14</f>
        <v>1</v>
      </c>
      <c r="F17" s="367" t="str">
        <f ca="1">REPT(" ",E17)&amp;iWeights!F14</f>
        <v>  2) HEALTH SECURITY</v>
      </c>
      <c r="G17" s="366"/>
      <c r="H17" s="361"/>
      <c r="I17" s="376"/>
      <c r="J17" s="377"/>
    </row>
    <row r="18" ht="15" spans="3:10">
      <c r="C18" s="351" t="str">
        <f>iWeights!C15</f>
        <v>HESE2.1</v>
      </c>
      <c r="D18" s="351">
        <f>iWeights!D15</f>
        <v>14</v>
      </c>
      <c r="E18" s="365">
        <f ca="1">iWeights!E15</f>
        <v>2</v>
      </c>
      <c r="F18" s="367" t="str">
        <f ca="1">REPT(" ",E18)&amp;iWeights!F15</f>
        <v>    2.1) Health security (Inputs)</v>
      </c>
      <c r="G18" s="360">
        <v>1</v>
      </c>
      <c r="H18" s="361">
        <f>INDEX(tblIndicators!AD$2:AD$69,D18)</f>
        <v>0.5</v>
      </c>
      <c r="I18" s="376"/>
      <c r="J18" s="377" t="str">
        <f t="shared" ref="J18:J25" si="0">REPT("|",H18*50)</f>
        <v>|||||||||||||||||||||||||</v>
      </c>
    </row>
    <row r="19" ht="15" spans="3:10">
      <c r="C19" s="351" t="str">
        <f>iWeights!C16</f>
        <v>HESE2.2</v>
      </c>
      <c r="D19" s="351">
        <f>iWeights!D16</f>
        <v>21</v>
      </c>
      <c r="E19" s="365">
        <f ca="1">iWeights!E16</f>
        <v>2</v>
      </c>
      <c r="F19" s="367" t="str">
        <f ca="1">REPT(" ",E19)&amp;iWeights!F16</f>
        <v>    2.2) Health security (Outputs)</v>
      </c>
      <c r="G19" s="360">
        <v>1</v>
      </c>
      <c r="H19" s="361">
        <f>INDEX(tblIndicators!AD$2:AD$69,D19)</f>
        <v>0.5</v>
      </c>
      <c r="I19" s="376"/>
      <c r="J19" s="377" t="str">
        <f t="shared" si="0"/>
        <v>|||||||||||||||||||||||||</v>
      </c>
    </row>
    <row r="20" ht="15" spans="3:10">
      <c r="C20" s="351" t="str">
        <f>iWeights!C17</f>
        <v>INSE</v>
      </c>
      <c r="D20" s="351">
        <f>iWeights!D17</f>
        <v>28</v>
      </c>
      <c r="E20" s="365">
        <f ca="1">iWeights!E17</f>
        <v>1</v>
      </c>
      <c r="F20" s="367" t="str">
        <f ca="1">REPT(" ",E20)&amp;iWeights!F17</f>
        <v>  3) INFRASTRUCTURE SECURITY</v>
      </c>
      <c r="G20" s="366"/>
      <c r="H20" s="361"/>
      <c r="I20" s="376"/>
      <c r="J20" s="377"/>
    </row>
    <row r="21" ht="15" spans="3:10">
      <c r="C21" s="351" t="str">
        <f>iWeights!C18</f>
        <v>INSE3.1</v>
      </c>
      <c r="D21" s="351">
        <f>iWeights!D18</f>
        <v>29</v>
      </c>
      <c r="E21" s="365">
        <f ca="1">iWeights!E18</f>
        <v>2</v>
      </c>
      <c r="F21" s="367" t="str">
        <f ca="1">REPT(" ",E21)&amp;iWeights!F18</f>
        <v>    3.1) Infrastructure security (Inputs)</v>
      </c>
      <c r="G21" s="360">
        <v>1</v>
      </c>
      <c r="H21" s="361">
        <f>INDEX(tblIndicators!AD$2:AD$69,D21)</f>
        <v>0.5</v>
      </c>
      <c r="I21" s="376"/>
      <c r="J21" s="377" t="str">
        <f t="shared" si="0"/>
        <v>|||||||||||||||||||||||||</v>
      </c>
    </row>
    <row r="22" ht="15" spans="3:10">
      <c r="C22" s="351" t="str">
        <f>iWeights!C19</f>
        <v>INSE3.2</v>
      </c>
      <c r="D22" s="351">
        <f>iWeights!D19</f>
        <v>35</v>
      </c>
      <c r="E22" s="365">
        <f ca="1">iWeights!E19</f>
        <v>2</v>
      </c>
      <c r="F22" s="367" t="str">
        <f ca="1">REPT(" ",E22)&amp;iWeights!F19</f>
        <v>    3.2) Infrastructure security (Outputs)</v>
      </c>
      <c r="G22" s="360">
        <v>1</v>
      </c>
      <c r="H22" s="361">
        <f>INDEX(tblIndicators!AD$2:AD$69,D22)</f>
        <v>0.5</v>
      </c>
      <c r="I22" s="376"/>
      <c r="J22" s="377" t="str">
        <f t="shared" si="0"/>
        <v>|||||||||||||||||||||||||</v>
      </c>
    </row>
    <row r="23" ht="15" spans="3:10">
      <c r="C23" s="351" t="str">
        <f>iWeights!C20</f>
        <v>PESE</v>
      </c>
      <c r="D23" s="351">
        <f>iWeights!D20</f>
        <v>41</v>
      </c>
      <c r="E23" s="365">
        <f ca="1">iWeights!E20</f>
        <v>1</v>
      </c>
      <c r="F23" s="367" t="str">
        <f ca="1">REPT(" ",E23)&amp;iWeights!F20</f>
        <v>  4) PERSONAL SECURITY</v>
      </c>
      <c r="G23" s="366"/>
      <c r="H23" s="361"/>
      <c r="I23" s="376"/>
      <c r="J23" s="377"/>
    </row>
    <row r="24" ht="15" spans="3:10">
      <c r="C24" s="351" t="str">
        <f>iWeights!C21</f>
        <v>PESE4.1</v>
      </c>
      <c r="D24" s="351">
        <f>iWeights!D21</f>
        <v>42</v>
      </c>
      <c r="E24" s="365">
        <f ca="1">iWeights!E21</f>
        <v>2</v>
      </c>
      <c r="F24" s="367" t="str">
        <f ca="1">REPT(" ",E24)&amp;iWeights!F21</f>
        <v>    4.1) Personal security (Inputs)</v>
      </c>
      <c r="G24" s="360">
        <v>1</v>
      </c>
      <c r="H24" s="361">
        <f>INDEX(tblIndicators!AD$2:AD$69,D24)</f>
        <v>0.5</v>
      </c>
      <c r="I24" s="376"/>
      <c r="J24" s="377" t="str">
        <f t="shared" si="0"/>
        <v>|||||||||||||||||||||||||</v>
      </c>
    </row>
    <row r="25" ht="15" spans="3:10">
      <c r="C25" s="351" t="str">
        <f>iWeights!C22</f>
        <v>PESE4.2</v>
      </c>
      <c r="D25" s="351">
        <f>iWeights!D22</f>
        <v>50</v>
      </c>
      <c r="E25" s="365">
        <f ca="1">iWeights!E22</f>
        <v>2</v>
      </c>
      <c r="F25" s="367" t="str">
        <f ca="1">REPT(" ",E25)&amp;iWeights!F22</f>
        <v>    4.2) Personal security (Outputs)</v>
      </c>
      <c r="G25" s="360">
        <v>1</v>
      </c>
      <c r="H25" s="361">
        <f>INDEX(tblIndicators!AD$2:AD$69,D25)</f>
        <v>0.5</v>
      </c>
      <c r="I25" s="376"/>
      <c r="J25" s="377" t="str">
        <f t="shared" si="0"/>
        <v>|||||||||||||||||||||||||</v>
      </c>
    </row>
    <row r="26" ht="15" hidden="1" spans="5:10">
      <c r="E26" s="365"/>
      <c r="F26" s="368"/>
      <c r="G26" s="369"/>
      <c r="H26" s="370"/>
      <c r="I26" s="379"/>
      <c r="J26" s="380"/>
    </row>
    <row r="27" customFormat="1" ht="15" spans="7:79">
      <c r="G27" s="371"/>
      <c r="BZ27" s="351"/>
      <c r="CA27" s="351"/>
    </row>
    <row r="28" s="350" customFormat="1" ht="20.25" customHeight="1" spans="6:79">
      <c r="F28" s="363" t="s">
        <v>33</v>
      </c>
      <c r="G28" s="372"/>
      <c r="H28" s="364" t="s">
        <v>31</v>
      </c>
      <c r="I28" s="363"/>
      <c r="J28" s="363"/>
      <c r="BZ28" s="351"/>
      <c r="CA28" s="351"/>
    </row>
    <row r="29" ht="15" spans="3:11">
      <c r="C29" s="351" t="str">
        <f>iWeights!C26</f>
        <v>DISE1.1</v>
      </c>
      <c r="D29" s="351">
        <f>iWeights!D26</f>
        <v>3</v>
      </c>
      <c r="E29" s="365">
        <f ca="1">iWeights!E26</f>
        <v>2</v>
      </c>
      <c r="F29" s="367" t="str">
        <f ca="1">REPT(" ",E29)&amp;iWeights!F26</f>
        <v>    1.1) Digital security (Inputs)</v>
      </c>
      <c r="G29" s="373"/>
      <c r="H29" s="361"/>
      <c r="I29" s="376"/>
      <c r="J29" s="377"/>
      <c r="K29" s="381"/>
    </row>
    <row r="30" ht="15" spans="3:10">
      <c r="C30" s="351" t="str">
        <f>iWeights!C27</f>
        <v>DISE1.1.1</v>
      </c>
      <c r="D30" s="351">
        <f>iWeights!D27</f>
        <v>4</v>
      </c>
      <c r="E30" s="365">
        <f ca="1">iWeights!E27</f>
        <v>3</v>
      </c>
      <c r="F30" s="367" t="str">
        <f ca="1">REPT(" ",E30)&amp;iWeights!F27</f>
        <v>      1.1.1) Privacy policy</v>
      </c>
      <c r="G30" s="360">
        <v>1</v>
      </c>
      <c r="H30" s="361">
        <f>INDEX(tblIndicators!AD$2:AD$69,D30)</f>
        <v>0.2</v>
      </c>
      <c r="I30" s="376"/>
      <c r="J30" s="377" t="str">
        <f>REPT("|",H30*50)</f>
        <v>||||||||||</v>
      </c>
    </row>
    <row r="31" ht="15" spans="3:10">
      <c r="C31" s="351" t="str">
        <f>iWeights!C28</f>
        <v>DISE1.1.2</v>
      </c>
      <c r="D31" s="351">
        <f>iWeights!D28</f>
        <v>5</v>
      </c>
      <c r="E31" s="365">
        <f ca="1">iWeights!E28</f>
        <v>3</v>
      </c>
      <c r="F31" s="367" t="str">
        <f ca="1">REPT(" ",E31)&amp;iWeights!F28</f>
        <v>      1.1.2) Citizen awareness of digital threats</v>
      </c>
      <c r="G31" s="360">
        <v>1</v>
      </c>
      <c r="H31" s="361">
        <f>INDEX(tblIndicators!AD$2:AD$69,D31)</f>
        <v>0.2</v>
      </c>
      <c r="I31" s="376"/>
      <c r="J31" s="377" t="str">
        <f t="shared" ref="J31:J74" si="1">REPT("|",H31*50)</f>
        <v>||||||||||</v>
      </c>
    </row>
    <row r="32" ht="15" spans="3:10">
      <c r="C32" s="351" t="str">
        <f>iWeights!C29</f>
        <v>DISE1.1.3</v>
      </c>
      <c r="D32" s="351">
        <f>iWeights!D29</f>
        <v>6</v>
      </c>
      <c r="E32" s="365">
        <f ca="1">iWeights!E29</f>
        <v>3</v>
      </c>
      <c r="F32" s="367" t="str">
        <f ca="1">REPT(" ",E32)&amp;iWeights!F29</f>
        <v>      1.1.3) Public-private partnerships</v>
      </c>
      <c r="G32" s="360">
        <v>1</v>
      </c>
      <c r="H32" s="361">
        <f>INDEX(tblIndicators!AD$2:AD$69,D32)</f>
        <v>0.2</v>
      </c>
      <c r="I32" s="376"/>
      <c r="J32" s="377" t="str">
        <f t="shared" si="1"/>
        <v>||||||||||</v>
      </c>
    </row>
    <row r="33" ht="15" spans="3:10">
      <c r="C33" s="351" t="str">
        <f>iWeights!C30</f>
        <v>DISE1.1.4</v>
      </c>
      <c r="D33" s="351">
        <f>iWeights!D30</f>
        <v>7</v>
      </c>
      <c r="E33" s="365">
        <f ca="1">iWeights!E30</f>
        <v>3</v>
      </c>
      <c r="F33" s="367" t="str">
        <f ca="1">REPT(" ",E33)&amp;iWeights!F30</f>
        <v>      1.1.4) Level of technology employed</v>
      </c>
      <c r="G33" s="360">
        <v>1</v>
      </c>
      <c r="H33" s="361">
        <f>INDEX(tblIndicators!AD$2:AD$69,D33)</f>
        <v>0.2</v>
      </c>
      <c r="I33" s="376"/>
      <c r="J33" s="377" t="str">
        <f t="shared" si="1"/>
        <v>||||||||||</v>
      </c>
    </row>
    <row r="34" ht="15" spans="3:10">
      <c r="C34" s="351" t="str">
        <f>iWeights!C31</f>
        <v>DISE1.1.5</v>
      </c>
      <c r="D34" s="351">
        <f>iWeights!D31</f>
        <v>8</v>
      </c>
      <c r="E34" s="365">
        <f ca="1">iWeights!E31</f>
        <v>3</v>
      </c>
      <c r="F34" s="367" t="str">
        <f ca="1">REPT(" ",E34)&amp;iWeights!F31</f>
        <v>      1.1.5) Dedicated cyber security teams</v>
      </c>
      <c r="G34" s="360">
        <v>1</v>
      </c>
      <c r="H34" s="361">
        <f>INDEX(tblIndicators!AD$2:AD$69,D34)</f>
        <v>0.2</v>
      </c>
      <c r="I34" s="376"/>
      <c r="J34" s="377" t="str">
        <f t="shared" si="1"/>
        <v>||||||||||</v>
      </c>
    </row>
    <row r="35" ht="15" spans="3:10">
      <c r="C35" s="351" t="str">
        <f>iWeights!C32</f>
        <v>DISE1.2</v>
      </c>
      <c r="D35" s="351">
        <f>iWeights!D32</f>
        <v>9</v>
      </c>
      <c r="E35" s="365">
        <f ca="1">iWeights!E32</f>
        <v>2</v>
      </c>
      <c r="F35" s="367" t="str">
        <f ca="1">REPT(" ",E35)&amp;iWeights!F32</f>
        <v>    1.2) Digital security (Outputs)</v>
      </c>
      <c r="G35" s="373"/>
      <c r="H35" s="361"/>
      <c r="I35" s="376"/>
      <c r="J35" s="377"/>
    </row>
    <row r="36" ht="15" spans="3:10">
      <c r="C36" s="351" t="str">
        <f>iWeights!C33</f>
        <v>DISE1.2.1</v>
      </c>
      <c r="D36" s="351">
        <f>iWeights!D33</f>
        <v>10</v>
      </c>
      <c r="E36" s="365">
        <f ca="1">iWeights!E33</f>
        <v>3</v>
      </c>
      <c r="F36" s="367" t="str">
        <f ca="1">REPT(" ",E36)&amp;iWeights!F33</f>
        <v>      1.2.1) Frequency of identity theft</v>
      </c>
      <c r="G36" s="360">
        <v>1</v>
      </c>
      <c r="H36" s="361">
        <f>INDEX(tblIndicators!AD$2:AD$69,D36)</f>
        <v>0.333333333333333</v>
      </c>
      <c r="I36" s="376"/>
      <c r="J36" s="377" t="str">
        <f t="shared" si="1"/>
        <v>||||||||||||||||</v>
      </c>
    </row>
    <row r="37" ht="15" spans="3:10">
      <c r="C37" s="351" t="str">
        <f>iWeights!C34</f>
        <v>DISE1.2.2</v>
      </c>
      <c r="D37" s="351">
        <f>iWeights!D34</f>
        <v>11</v>
      </c>
      <c r="E37" s="365">
        <f ca="1">iWeights!E34</f>
        <v>3</v>
      </c>
      <c r="F37" s="367" t="str">
        <f ca="1">REPT(" ",E37)&amp;iWeights!F34</f>
        <v>      1.2.2) Percentage of computers infected</v>
      </c>
      <c r="G37" s="360">
        <v>1</v>
      </c>
      <c r="H37" s="361">
        <f>INDEX(tblIndicators!AD$2:AD$69,D37)</f>
        <v>0.333333333333333</v>
      </c>
      <c r="I37" s="376"/>
      <c r="J37" s="377" t="str">
        <f t="shared" si="1"/>
        <v>||||||||||||||||</v>
      </c>
    </row>
    <row r="38" ht="15" spans="3:10">
      <c r="C38" s="351" t="str">
        <f>iWeights!C35</f>
        <v>DISE1.2.3</v>
      </c>
      <c r="D38" s="351">
        <f>iWeights!D35</f>
        <v>12</v>
      </c>
      <c r="E38" s="365">
        <f ca="1">iWeights!E35</f>
        <v>3</v>
      </c>
      <c r="F38" s="367" t="str">
        <f ca="1">REPT(" ",E38)&amp;iWeights!F35</f>
        <v>      1.2.3) Percentage with Internet access</v>
      </c>
      <c r="G38" s="360">
        <v>1</v>
      </c>
      <c r="H38" s="361">
        <f>INDEX(tblIndicators!AD$2:AD$69,D38)</f>
        <v>0.333333333333333</v>
      </c>
      <c r="I38" s="376"/>
      <c r="J38" s="377" t="str">
        <f t="shared" si="1"/>
        <v>||||||||||||||||</v>
      </c>
    </row>
    <row r="39" ht="15" spans="3:10">
      <c r="C39" s="351" t="str">
        <f>iWeights!C36</f>
        <v>HESE2.1</v>
      </c>
      <c r="D39" s="351">
        <f>iWeights!D36</f>
        <v>14</v>
      </c>
      <c r="E39" s="365">
        <f ca="1">iWeights!E36</f>
        <v>2</v>
      </c>
      <c r="F39" s="367" t="str">
        <f ca="1">REPT(" ",E39)&amp;iWeights!F36</f>
        <v>    2.1) Health security (Inputs)</v>
      </c>
      <c r="G39" s="373"/>
      <c r="H39" s="361"/>
      <c r="I39" s="376"/>
      <c r="J39" s="377"/>
    </row>
    <row r="40" ht="15" spans="3:10">
      <c r="C40" s="351" t="str">
        <f>iWeights!C37</f>
        <v>HESE2.1.1</v>
      </c>
      <c r="D40" s="351">
        <f>iWeights!D37</f>
        <v>15</v>
      </c>
      <c r="E40" s="365">
        <f ca="1">iWeights!E37</f>
        <v>3</v>
      </c>
      <c r="F40" s="367" t="str">
        <f ca="1">REPT(" ",E40)&amp;iWeights!F37</f>
        <v>      2.1.1) Environmental policies</v>
      </c>
      <c r="G40" s="360">
        <v>1</v>
      </c>
      <c r="H40" s="361">
        <f>INDEX(tblIndicators!AD$2:AD$69,D40)</f>
        <v>0.166666666666667</v>
      </c>
      <c r="I40" s="376"/>
      <c r="J40" s="377" t="str">
        <f t="shared" si="1"/>
        <v>||||||||</v>
      </c>
    </row>
    <row r="41" ht="15" spans="3:10">
      <c r="C41" s="351" t="str">
        <f>iWeights!C38</f>
        <v>HESE2.1.2</v>
      </c>
      <c r="D41" s="351">
        <f>iWeights!D38</f>
        <v>16</v>
      </c>
      <c r="E41" s="365">
        <f ca="1">iWeights!E38</f>
        <v>3</v>
      </c>
      <c r="F41" s="367" t="str">
        <f ca="1">REPT(" ",E41)&amp;iWeights!F38</f>
        <v>      2.1.2) Access to healthcare</v>
      </c>
      <c r="G41" s="360">
        <v>1</v>
      </c>
      <c r="H41" s="361">
        <f>INDEX(tblIndicators!AD$2:AD$69,D41)</f>
        <v>0.166666666666667</v>
      </c>
      <c r="I41" s="376"/>
      <c r="J41" s="377" t="str">
        <f t="shared" si="1"/>
        <v>||||||||</v>
      </c>
    </row>
    <row r="42" ht="15" spans="3:10">
      <c r="C42" s="351" t="str">
        <f>iWeights!C39</f>
        <v>HESE2.1.3</v>
      </c>
      <c r="D42" s="351">
        <f>iWeights!D39</f>
        <v>17</v>
      </c>
      <c r="E42" s="365">
        <f ca="1">iWeights!E39</f>
        <v>3</v>
      </c>
      <c r="F42" s="367" t="str">
        <f ca="1">REPT(" ",E42)&amp;iWeights!F39</f>
        <v>      2.1.3) No. of beds per 1,000</v>
      </c>
      <c r="G42" s="360">
        <v>1</v>
      </c>
      <c r="H42" s="361">
        <f>INDEX(tblIndicators!AD$2:AD$69,D42)</f>
        <v>0.166666666666667</v>
      </c>
      <c r="I42" s="376"/>
      <c r="J42" s="377" t="str">
        <f t="shared" si="1"/>
        <v>||||||||</v>
      </c>
    </row>
    <row r="43" ht="15" spans="3:10">
      <c r="C43" s="351" t="str">
        <f>iWeights!C40</f>
        <v>HESE2.1.4</v>
      </c>
      <c r="D43" s="351">
        <f>iWeights!D40</f>
        <v>18</v>
      </c>
      <c r="E43" s="365">
        <f ca="1">iWeights!E40</f>
        <v>3</v>
      </c>
      <c r="F43" s="367" t="str">
        <f ca="1">REPT(" ",E43)&amp;iWeights!F40</f>
        <v>      2.1.4) No. of doctors per 1,000</v>
      </c>
      <c r="G43" s="360">
        <v>1</v>
      </c>
      <c r="H43" s="361">
        <f>INDEX(tblIndicators!AD$2:AD$69,D43)</f>
        <v>0.166666666666667</v>
      </c>
      <c r="I43" s="376"/>
      <c r="J43" s="377" t="str">
        <f t="shared" si="1"/>
        <v>||||||||</v>
      </c>
    </row>
    <row r="44" ht="15" spans="3:10">
      <c r="C44" s="351" t="str">
        <f>iWeights!C41</f>
        <v>HESE2.1.5</v>
      </c>
      <c r="D44" s="351">
        <f>iWeights!D41</f>
        <v>19</v>
      </c>
      <c r="E44" s="365">
        <f ca="1">iWeights!E41</f>
        <v>3</v>
      </c>
      <c r="F44" s="367" t="str">
        <f ca="1">REPT(" ",E44)&amp;iWeights!F41</f>
        <v>      2.1.5) Access to safe and quality food</v>
      </c>
      <c r="G44" s="360">
        <v>1</v>
      </c>
      <c r="H44" s="361">
        <f>INDEX(tblIndicators!AD$2:AD$69,D44)</f>
        <v>0.166666666666667</v>
      </c>
      <c r="I44" s="376"/>
      <c r="J44" s="377" t="str">
        <f t="shared" si="1"/>
        <v>||||||||</v>
      </c>
    </row>
    <row r="45" ht="15" spans="3:10">
      <c r="C45" s="351" t="str">
        <f>iWeights!C42</f>
        <v>HESE2.1.6</v>
      </c>
      <c r="D45" s="351">
        <f>iWeights!D42</f>
        <v>20</v>
      </c>
      <c r="E45" s="365">
        <f ca="1">iWeights!E42</f>
        <v>3</v>
      </c>
      <c r="F45" s="367" t="str">
        <f ca="1">REPT(" ",E45)&amp;iWeights!F42</f>
        <v>      2.1.6) Quality of health services</v>
      </c>
      <c r="G45" s="360">
        <v>1</v>
      </c>
      <c r="H45" s="361">
        <f>INDEX(tblIndicators!AD$2:AD$69,D45)</f>
        <v>0.166666666666667</v>
      </c>
      <c r="I45" s="376"/>
      <c r="J45" s="377" t="str">
        <f t="shared" si="1"/>
        <v>||||||||</v>
      </c>
    </row>
    <row r="46" ht="15" spans="3:10">
      <c r="C46" s="351" t="str">
        <f>iWeights!C43</f>
        <v>HESE2.2</v>
      </c>
      <c r="D46" s="351">
        <f>iWeights!D43</f>
        <v>21</v>
      </c>
      <c r="E46" s="365">
        <f ca="1">iWeights!E43</f>
        <v>2</v>
      </c>
      <c r="F46" s="367" t="str">
        <f ca="1">REPT(" ",E46)&amp;iWeights!F43</f>
        <v>    2.2) Health security (Outputs)</v>
      </c>
      <c r="G46" s="373"/>
      <c r="H46" s="361"/>
      <c r="I46" s="376"/>
      <c r="J46" s="377"/>
    </row>
    <row r="47" ht="15" spans="3:10">
      <c r="C47" s="351" t="str">
        <f>iWeights!C44</f>
        <v>HESE2.2.1</v>
      </c>
      <c r="D47" s="351">
        <f>iWeights!D44</f>
        <v>22</v>
      </c>
      <c r="E47" s="365">
        <f ca="1">iWeights!E44</f>
        <v>3</v>
      </c>
      <c r="F47" s="367" t="str">
        <f ca="1">REPT(" ",E47)&amp;iWeights!F44</f>
        <v>      2.2.1) Air quality (PM 2.5 levels)</v>
      </c>
      <c r="G47" s="360">
        <v>1</v>
      </c>
      <c r="H47" s="361">
        <f>INDEX(tblIndicators!AD$2:AD$69,D47)</f>
        <v>0.166666666666667</v>
      </c>
      <c r="I47" s="376"/>
      <c r="J47" s="377" t="str">
        <f t="shared" si="1"/>
        <v>||||||||</v>
      </c>
    </row>
    <row r="48" ht="15" spans="3:10">
      <c r="C48" s="351" t="str">
        <f>iWeights!C45</f>
        <v>HESE2.2.2</v>
      </c>
      <c r="D48" s="351">
        <f>iWeights!D45</f>
        <v>23</v>
      </c>
      <c r="E48" s="365">
        <f ca="1">iWeights!E45</f>
        <v>3</v>
      </c>
      <c r="F48" s="367" t="str">
        <f ca="1">REPT(" ",E48)&amp;iWeights!F45</f>
        <v>      2.2.2) Water quality</v>
      </c>
      <c r="G48" s="360">
        <v>1</v>
      </c>
      <c r="H48" s="361">
        <f>INDEX(tblIndicators!AD$2:AD$69,D48)</f>
        <v>0.166666666666667</v>
      </c>
      <c r="I48" s="376"/>
      <c r="J48" s="377" t="str">
        <f t="shared" si="1"/>
        <v>||||||||</v>
      </c>
    </row>
    <row r="49" ht="15" spans="3:10">
      <c r="C49" s="351" t="str">
        <f>iWeights!C46</f>
        <v>HESE2.2.3</v>
      </c>
      <c r="D49" s="351">
        <f>iWeights!D46</f>
        <v>24</v>
      </c>
      <c r="E49" s="365">
        <f ca="1">iWeights!E46</f>
        <v>3</v>
      </c>
      <c r="F49" s="367" t="str">
        <f ca="1">REPT(" ",E49)&amp;iWeights!F46</f>
        <v>      2.2.3) Life expectancy years</v>
      </c>
      <c r="G49" s="360">
        <v>1</v>
      </c>
      <c r="H49" s="361">
        <f>INDEX(tblIndicators!AD$2:AD$69,D49)</f>
        <v>0.166666666666667</v>
      </c>
      <c r="I49" s="376"/>
      <c r="J49" s="377" t="str">
        <f t="shared" si="1"/>
        <v>||||||||</v>
      </c>
    </row>
    <row r="50" ht="15" spans="3:10">
      <c r="C50" s="351" t="str">
        <f>iWeights!C47</f>
        <v>HESE2.2.4</v>
      </c>
      <c r="D50" s="351">
        <f>iWeights!D47</f>
        <v>25</v>
      </c>
      <c r="E50" s="365">
        <f ca="1">iWeights!E47</f>
        <v>3</v>
      </c>
      <c r="F50" s="367" t="str">
        <f ca="1">REPT(" ",E50)&amp;iWeights!F47</f>
        <v>      2.2.4) Infant mortality</v>
      </c>
      <c r="G50" s="360">
        <v>1</v>
      </c>
      <c r="H50" s="361">
        <f>INDEX(tblIndicators!AD$2:AD$69,D50)</f>
        <v>0.166666666666667</v>
      </c>
      <c r="I50" s="376"/>
      <c r="J50" s="377" t="str">
        <f t="shared" si="1"/>
        <v>||||||||</v>
      </c>
    </row>
    <row r="51" ht="15" spans="3:10">
      <c r="C51" s="351" t="str">
        <f>iWeights!C48</f>
        <v>HESE2.2.5</v>
      </c>
      <c r="D51" s="351">
        <f>iWeights!D48</f>
        <v>26</v>
      </c>
      <c r="E51" s="365">
        <f ca="1">iWeights!E48</f>
        <v>3</v>
      </c>
      <c r="F51" s="367" t="str">
        <f ca="1">REPT(" ",E51)&amp;iWeights!F48</f>
        <v>      2.2.5) Cancer mortality rate</v>
      </c>
      <c r="G51" s="360">
        <v>1</v>
      </c>
      <c r="H51" s="361">
        <f>INDEX(tblIndicators!AD$2:AD$69,D51)</f>
        <v>0.166666666666667</v>
      </c>
      <c r="I51" s="376"/>
      <c r="J51" s="377" t="str">
        <f t="shared" si="1"/>
        <v>||||||||</v>
      </c>
    </row>
    <row r="52" ht="15" spans="3:10">
      <c r="C52" s="351" t="str">
        <f>iWeights!C49</f>
        <v>HESE2.2.6</v>
      </c>
      <c r="D52" s="351">
        <f>iWeights!D49</f>
        <v>27</v>
      </c>
      <c r="E52" s="365">
        <f ca="1">iWeights!E49</f>
        <v>3</v>
      </c>
      <c r="F52" s="367" t="str">
        <f ca="1">REPT(" ",E52)&amp;iWeights!F49</f>
        <v>      2.2.6) Number of attacks using biological, chemical and/or radiological weapons</v>
      </c>
      <c r="G52" s="360">
        <v>1</v>
      </c>
      <c r="H52" s="361">
        <f>INDEX(tblIndicators!AD$2:AD$69,D52)</f>
        <v>0.166666666666667</v>
      </c>
      <c r="I52" s="376"/>
      <c r="J52" s="377" t="str">
        <f t="shared" si="1"/>
        <v>||||||||</v>
      </c>
    </row>
    <row r="53" ht="15" spans="3:10">
      <c r="C53" s="351" t="str">
        <f>iWeights!C50</f>
        <v>INSE3.1</v>
      </c>
      <c r="D53" s="351">
        <f>iWeights!D50</f>
        <v>29</v>
      </c>
      <c r="E53" s="365">
        <f ca="1">iWeights!E50</f>
        <v>2</v>
      </c>
      <c r="F53" s="367" t="str">
        <f ca="1">REPT(" ",E53)&amp;iWeights!F50</f>
        <v>    3.1) Infrastructure security (Inputs)</v>
      </c>
      <c r="G53" s="373"/>
      <c r="H53" s="361"/>
      <c r="I53" s="376"/>
      <c r="J53" s="377"/>
    </row>
    <row r="54" ht="15" spans="3:10">
      <c r="C54" s="351" t="str">
        <f>iWeights!C51</f>
        <v>INSE3.1.1</v>
      </c>
      <c r="D54" s="351">
        <f>iWeights!D51</f>
        <v>30</v>
      </c>
      <c r="E54" s="365">
        <f ca="1">iWeights!E51</f>
        <v>3</v>
      </c>
      <c r="F54" s="367" t="str">
        <f ca="1">REPT(" ",E54)&amp;iWeights!F51</f>
        <v>      3.1.1) Enforcement of transport safety</v>
      </c>
      <c r="G54" s="360">
        <v>1</v>
      </c>
      <c r="H54" s="361">
        <f>INDEX(tblIndicators!AD$2:AD$69,D54)</f>
        <v>0.2</v>
      </c>
      <c r="I54" s="376"/>
      <c r="J54" s="377" t="str">
        <f t="shared" si="1"/>
        <v>||||||||||</v>
      </c>
    </row>
    <row r="55" ht="15" spans="3:10">
      <c r="C55" s="351" t="str">
        <f>iWeights!C52</f>
        <v>INSE3.1.2</v>
      </c>
      <c r="D55" s="351">
        <f>iWeights!D52</f>
        <v>31</v>
      </c>
      <c r="E55" s="365">
        <f ca="1">iWeights!E52</f>
        <v>3</v>
      </c>
      <c r="F55" s="367" t="str">
        <f ca="1">REPT(" ",E55)&amp;iWeights!F52</f>
        <v>      3.1.2) Pedestrian friendliness</v>
      </c>
      <c r="G55" s="360">
        <v>1</v>
      </c>
      <c r="H55" s="361">
        <f>INDEX(tblIndicators!AD$2:AD$69,D55)</f>
        <v>0.2</v>
      </c>
      <c r="I55" s="376"/>
      <c r="J55" s="377" t="str">
        <f t="shared" si="1"/>
        <v>||||||||||</v>
      </c>
    </row>
    <row r="56" ht="15" spans="3:10">
      <c r="C56" s="351" t="str">
        <f>iWeights!C53</f>
        <v>INSE3.1.3</v>
      </c>
      <c r="D56" s="351">
        <f>iWeights!D53</f>
        <v>32</v>
      </c>
      <c r="E56" s="365">
        <f ca="1">iWeights!E53</f>
        <v>3</v>
      </c>
      <c r="F56" s="367" t="str">
        <f ca="1">REPT(" ",E56)&amp;iWeights!F53</f>
        <v>      3.1.3) Quality of road infrastructure</v>
      </c>
      <c r="G56" s="360">
        <v>1</v>
      </c>
      <c r="H56" s="361">
        <f>INDEX(tblIndicators!AD$2:AD$69,D56)</f>
        <v>0.2</v>
      </c>
      <c r="I56" s="376"/>
      <c r="J56" s="377" t="str">
        <f t="shared" si="1"/>
        <v>||||||||||</v>
      </c>
    </row>
    <row r="57" ht="15" spans="3:10">
      <c r="C57" s="351" t="str">
        <f>iWeights!C54</f>
        <v>INSE3.1.4</v>
      </c>
      <c r="D57" s="351">
        <f>iWeights!D54</f>
        <v>33</v>
      </c>
      <c r="E57" s="365">
        <f ca="1">iWeights!E54</f>
        <v>3</v>
      </c>
      <c r="F57" s="367" t="str">
        <f ca="1">REPT(" ",E57)&amp;iWeights!F54</f>
        <v>      3.1.4) Quality of electricity infrastructure</v>
      </c>
      <c r="G57" s="360">
        <v>1</v>
      </c>
      <c r="H57" s="361">
        <f>INDEX(tblIndicators!AD$2:AD$69,D57)</f>
        <v>0.2</v>
      </c>
      <c r="I57" s="376"/>
      <c r="J57" s="377" t="str">
        <f t="shared" si="1"/>
        <v>||||||||||</v>
      </c>
    </row>
    <row r="58" ht="15" spans="3:10">
      <c r="C58" s="351" t="str">
        <f>iWeights!C55</f>
        <v>INSE3.1.5</v>
      </c>
      <c r="D58" s="351">
        <f>iWeights!D55</f>
        <v>34</v>
      </c>
      <c r="E58" s="365">
        <f ca="1">iWeights!E55</f>
        <v>3</v>
      </c>
      <c r="F58" s="367" t="str">
        <f ca="1">REPT(" ",E58)&amp;iWeights!F55</f>
        <v>      3.1.5) Disaster management/business continuity plan</v>
      </c>
      <c r="G58" s="360">
        <v>1</v>
      </c>
      <c r="H58" s="361">
        <f>INDEX(tblIndicators!AD$2:AD$69,D58)</f>
        <v>0.2</v>
      </c>
      <c r="I58" s="376"/>
      <c r="J58" s="377" t="str">
        <f t="shared" si="1"/>
        <v>||||||||||</v>
      </c>
    </row>
    <row r="59" ht="15" spans="3:10">
      <c r="C59" s="351" t="str">
        <f>iWeights!C56</f>
        <v>INSE3.2</v>
      </c>
      <c r="D59" s="351">
        <f>iWeights!D56</f>
        <v>35</v>
      </c>
      <c r="E59" s="365">
        <f ca="1">iWeights!E56</f>
        <v>2</v>
      </c>
      <c r="F59" s="367" t="str">
        <f ca="1">REPT(" ",E59)&amp;iWeights!F56</f>
        <v>    3.2) Infrastructure security (Outputs)</v>
      </c>
      <c r="G59" s="373"/>
      <c r="H59" s="361"/>
      <c r="I59" s="376"/>
      <c r="J59" s="377"/>
    </row>
    <row r="60" ht="15" spans="3:10">
      <c r="C60" s="351" t="str">
        <f>iWeights!C57</f>
        <v>INSE3.2.1</v>
      </c>
      <c r="D60" s="351">
        <f>iWeights!D57</f>
        <v>36</v>
      </c>
      <c r="E60" s="365">
        <f ca="1">iWeights!E57</f>
        <v>3</v>
      </c>
      <c r="F60" s="367" t="str">
        <f ca="1">REPT(" ",E60)&amp;iWeights!F57</f>
        <v>      3.2.1) Deaths from natural disaster</v>
      </c>
      <c r="G60" s="360">
        <v>1</v>
      </c>
      <c r="H60" s="361">
        <f>INDEX(tblIndicators!AD$2:AD$69,D60)</f>
        <v>0.2</v>
      </c>
      <c r="I60" s="376"/>
      <c r="J60" s="377" t="str">
        <f t="shared" si="1"/>
        <v>||||||||||</v>
      </c>
    </row>
    <row r="61" ht="15" spans="3:10">
      <c r="C61" s="351" t="str">
        <f>iWeights!C58</f>
        <v>INSE3.2.2</v>
      </c>
      <c r="D61" s="351">
        <f>iWeights!D58</f>
        <v>37</v>
      </c>
      <c r="E61" s="365">
        <f ca="1">iWeights!E58</f>
        <v>3</v>
      </c>
      <c r="F61" s="367" t="str">
        <f ca="1">REPT(" ",E61)&amp;iWeights!F58</f>
        <v>      3.2.2) Frequency of vehicular accidents</v>
      </c>
      <c r="G61" s="360">
        <v>1</v>
      </c>
      <c r="H61" s="361">
        <f>INDEX(tblIndicators!AD$2:AD$69,D61)</f>
        <v>0.2</v>
      </c>
      <c r="I61" s="376"/>
      <c r="J61" s="377" t="str">
        <f t="shared" si="1"/>
        <v>||||||||||</v>
      </c>
    </row>
    <row r="62" ht="15" spans="3:10">
      <c r="C62" s="351" t="str">
        <f>iWeights!C59</f>
        <v>INSE3.2.3</v>
      </c>
      <c r="D62" s="351">
        <f>iWeights!D59</f>
        <v>38</v>
      </c>
      <c r="E62" s="365">
        <f ca="1">iWeights!E59</f>
        <v>3</v>
      </c>
      <c r="F62" s="367" t="str">
        <f ca="1">REPT(" ",E62)&amp;iWeights!F59</f>
        <v>      3.2.3) Frequency of pedestrian deaths</v>
      </c>
      <c r="G62" s="360">
        <v>1</v>
      </c>
      <c r="H62" s="361">
        <f>INDEX(tblIndicators!AD$2:AD$69,D62)</f>
        <v>0.2</v>
      </c>
      <c r="I62" s="376"/>
      <c r="J62" s="377" t="str">
        <f t="shared" si="1"/>
        <v>||||||||||</v>
      </c>
    </row>
    <row r="63" ht="15" spans="3:10">
      <c r="C63" s="351" t="str">
        <f>iWeights!C60</f>
        <v>INSE3.2.4</v>
      </c>
      <c r="D63" s="351">
        <f>iWeights!D60</f>
        <v>39</v>
      </c>
      <c r="E63" s="365">
        <f ca="1">iWeights!E60</f>
        <v>3</v>
      </c>
      <c r="F63" s="367" t="str">
        <f ca="1">REPT(" ",E63)&amp;iWeights!F60</f>
        <v>      3.2.4) Percentage living in slums</v>
      </c>
      <c r="G63" s="360">
        <v>1</v>
      </c>
      <c r="H63" s="361">
        <f>INDEX(tblIndicators!AD$2:AD$69,D63)</f>
        <v>0.2</v>
      </c>
      <c r="I63" s="376"/>
      <c r="J63" s="377" t="str">
        <f t="shared" si="1"/>
        <v>||||||||||</v>
      </c>
    </row>
    <row r="64" ht="15" spans="3:10">
      <c r="C64" s="351" t="str">
        <f>iWeights!C61</f>
        <v>INSE3.2.5</v>
      </c>
      <c r="D64" s="351">
        <f>iWeights!D61</f>
        <v>40</v>
      </c>
      <c r="E64" s="365">
        <f ca="1">iWeights!E61</f>
        <v>3</v>
      </c>
      <c r="F64" s="367" t="str">
        <f ca="1">REPT(" ",E64)&amp;iWeights!F61</f>
        <v>      3.2.5) Number of attacks on facilities/infrastructure</v>
      </c>
      <c r="G64" s="360">
        <v>1</v>
      </c>
      <c r="H64" s="361">
        <f>INDEX(tblIndicators!AD$2:AD$69,D64)</f>
        <v>0.2</v>
      </c>
      <c r="I64" s="376"/>
      <c r="J64" s="377" t="str">
        <f t="shared" si="1"/>
        <v>||||||||||</v>
      </c>
    </row>
    <row r="65" ht="15" spans="3:10">
      <c r="C65" s="351" t="str">
        <f>iWeights!C62</f>
        <v>PESE4.1</v>
      </c>
      <c r="D65" s="351">
        <f>iWeights!D62</f>
        <v>42</v>
      </c>
      <c r="E65" s="365">
        <f ca="1">iWeights!E62</f>
        <v>2</v>
      </c>
      <c r="F65" s="367" t="str">
        <f ca="1">REPT(" ",E65)&amp;iWeights!F62</f>
        <v>    4.1) Personal security (Inputs)</v>
      </c>
      <c r="G65" s="373"/>
      <c r="H65" s="361"/>
      <c r="I65" s="376"/>
      <c r="J65" s="377"/>
    </row>
    <row r="66" ht="15" spans="3:10">
      <c r="C66" s="351" t="str">
        <f>iWeights!C63</f>
        <v>PESE4.1.1</v>
      </c>
      <c r="D66" s="351">
        <f>iWeights!D63</f>
        <v>43</v>
      </c>
      <c r="E66" s="365">
        <f ca="1">iWeights!E63</f>
        <v>3</v>
      </c>
      <c r="F66" s="367" t="str">
        <f ca="1">REPT(" ",E66)&amp;iWeights!F63</f>
        <v>      4.1.1) Level of police engagement</v>
      </c>
      <c r="G66" s="360">
        <v>1</v>
      </c>
      <c r="H66" s="361">
        <f>INDEX(tblIndicators!AD$2:AD$69,D66)</f>
        <v>0.142857142857143</v>
      </c>
      <c r="I66" s="376"/>
      <c r="J66" s="377" t="str">
        <f t="shared" si="1"/>
        <v>|||||||</v>
      </c>
    </row>
    <row r="67" ht="15" spans="3:10">
      <c r="C67" s="351" t="str">
        <f>iWeights!C64</f>
        <v>PESE4.1.2</v>
      </c>
      <c r="D67" s="351">
        <f>iWeights!D64</f>
        <v>44</v>
      </c>
      <c r="E67" s="365">
        <f ca="1">iWeights!E64</f>
        <v>3</v>
      </c>
      <c r="F67" s="367" t="str">
        <f ca="1">REPT(" ",E67)&amp;iWeights!F64</f>
        <v>      4.1.2) Community-based patrolling</v>
      </c>
      <c r="G67" s="360">
        <v>1</v>
      </c>
      <c r="H67" s="361">
        <f>INDEX(tblIndicators!AD$2:AD$69,D67)</f>
        <v>0.142857142857143</v>
      </c>
      <c r="I67" s="376"/>
      <c r="J67" s="377" t="str">
        <f t="shared" si="1"/>
        <v>|||||||</v>
      </c>
    </row>
    <row r="68" ht="15" spans="3:10">
      <c r="C68" s="351" t="str">
        <f>iWeights!C65</f>
        <v>PESE4.1.3</v>
      </c>
      <c r="D68" s="351">
        <f>iWeights!D65</f>
        <v>45</v>
      </c>
      <c r="E68" s="365">
        <f ca="1">iWeights!E65</f>
        <v>3</v>
      </c>
      <c r="F68" s="367" t="str">
        <f ca="1">REPT(" ",E68)&amp;iWeights!F65</f>
        <v>      4.1.3) Available street-level crime data</v>
      </c>
      <c r="G68" s="360">
        <v>1</v>
      </c>
      <c r="H68" s="361">
        <f>INDEX(tblIndicators!AD$2:AD$69,D68)</f>
        <v>0.142857142857143</v>
      </c>
      <c r="I68" s="376"/>
      <c r="J68" s="377" t="str">
        <f t="shared" si="1"/>
        <v>|||||||</v>
      </c>
    </row>
    <row r="69" ht="15" spans="3:10">
      <c r="C69" s="351" t="str">
        <f>iWeights!C66</f>
        <v>PESE4.1.4</v>
      </c>
      <c r="D69" s="351">
        <f>iWeights!D66</f>
        <v>46</v>
      </c>
      <c r="E69" s="365">
        <f ca="1">iWeights!E66</f>
        <v>3</v>
      </c>
      <c r="F69" s="367" t="str">
        <f ca="1">REPT(" ",E69)&amp;iWeights!F66</f>
        <v>      4.1.4) Use of data-driven techniques for crime</v>
      </c>
      <c r="G69" s="360">
        <v>1</v>
      </c>
      <c r="H69" s="361">
        <f>INDEX(tblIndicators!AD$2:AD$69,D69)</f>
        <v>0.142857142857143</v>
      </c>
      <c r="I69" s="376"/>
      <c r="J69" s="377" t="str">
        <f t="shared" si="1"/>
        <v>|||||||</v>
      </c>
    </row>
    <row r="70" ht="15" spans="3:10">
      <c r="C70" s="351" t="str">
        <f>iWeights!C67</f>
        <v>PESE4.1.5</v>
      </c>
      <c r="D70" s="351">
        <f>iWeights!D67</f>
        <v>47</v>
      </c>
      <c r="E70" s="365">
        <f ca="1">iWeights!E67</f>
        <v>3</v>
      </c>
      <c r="F70" s="367" t="str">
        <f ca="1">REPT(" ",E70)&amp;iWeights!F67</f>
        <v>      4.1.5) Private security measures</v>
      </c>
      <c r="G70" s="360">
        <v>1</v>
      </c>
      <c r="H70" s="361">
        <f>INDEX(tblIndicators!AD$2:AD$69,D70)</f>
        <v>0.142857142857143</v>
      </c>
      <c r="I70" s="376"/>
      <c r="J70" s="377" t="str">
        <f t="shared" si="1"/>
        <v>|||||||</v>
      </c>
    </row>
    <row r="71" ht="15" spans="3:10">
      <c r="C71" s="351" t="str">
        <f>iWeights!C68</f>
        <v>PESE4.1.6</v>
      </c>
      <c r="D71" s="351">
        <f>iWeights!D68</f>
        <v>48</v>
      </c>
      <c r="E71" s="365">
        <f ca="1">iWeights!E68</f>
        <v>3</v>
      </c>
      <c r="F71" s="367" t="str">
        <f ca="1">REPT(" ",E71)&amp;iWeights!F68</f>
        <v>      4.1.6) Gun regulation and enforcement</v>
      </c>
      <c r="G71" s="360">
        <v>1</v>
      </c>
      <c r="H71" s="361">
        <f>INDEX(tblIndicators!AD$2:AD$69,D71)</f>
        <v>0.142857142857143</v>
      </c>
      <c r="I71" s="376"/>
      <c r="J71" s="377" t="str">
        <f t="shared" si="1"/>
        <v>|||||||</v>
      </c>
    </row>
    <row r="72" ht="15" spans="3:10">
      <c r="C72" s="351" t="str">
        <f>iWeights!C69</f>
        <v>PESE4.1.7</v>
      </c>
      <c r="D72" s="351">
        <f>iWeights!D69</f>
        <v>49</v>
      </c>
      <c r="E72" s="365">
        <f ca="1">iWeights!E69</f>
        <v>3</v>
      </c>
      <c r="F72" s="367" t="str">
        <f ca="1">REPT(" ",E72)&amp;iWeights!F69</f>
        <v>      4.1.7) Political stability risk</v>
      </c>
      <c r="G72" s="360">
        <v>1</v>
      </c>
      <c r="H72" s="361">
        <f>INDEX(tblIndicators!AD$2:AD$69,D72)</f>
        <v>0.142857142857143</v>
      </c>
      <c r="I72" s="376"/>
      <c r="J72" s="377" t="str">
        <f t="shared" si="1"/>
        <v>|||||||</v>
      </c>
    </row>
    <row r="73" ht="15" spans="3:10">
      <c r="C73" s="351" t="str">
        <f>iWeights!C70</f>
        <v>PESE4.2</v>
      </c>
      <c r="D73" s="351">
        <f>iWeights!D70</f>
        <v>50</v>
      </c>
      <c r="E73" s="365">
        <f ca="1">iWeights!E70</f>
        <v>2</v>
      </c>
      <c r="F73" s="367" t="str">
        <f ca="1">REPT(" ",E73)&amp;iWeights!F70</f>
        <v>    4.2) Personal security (Outputs)</v>
      </c>
      <c r="G73" s="373"/>
      <c r="H73" s="361"/>
      <c r="I73" s="376"/>
      <c r="J73" s="377"/>
    </row>
    <row r="74" ht="15" spans="3:10">
      <c r="C74" s="351" t="str">
        <f>iWeights!C71</f>
        <v>PESE4.2.1</v>
      </c>
      <c r="D74" s="351">
        <f>iWeights!D71</f>
        <v>51</v>
      </c>
      <c r="E74" s="365">
        <f ca="1">iWeights!E71</f>
        <v>3</v>
      </c>
      <c r="F74" s="367" t="str">
        <f ca="1">REPT(" ",E74)&amp;iWeights!F71</f>
        <v>      4.2.1) Prevalence of petty crime</v>
      </c>
      <c r="G74" s="360">
        <v>1</v>
      </c>
      <c r="H74" s="361">
        <f>INDEX(tblIndicators!AD$2:AD$69,D74)</f>
        <v>0.0833333333333333</v>
      </c>
      <c r="I74" s="376"/>
      <c r="J74" s="377" t="str">
        <f t="shared" si="1"/>
        <v>||||</v>
      </c>
    </row>
    <row r="75" ht="15" spans="3:10">
      <c r="C75" s="351" t="str">
        <f>iWeights!C72</f>
        <v>PESE4.2.2</v>
      </c>
      <c r="D75" s="351">
        <f>iWeights!D72</f>
        <v>52</v>
      </c>
      <c r="E75" s="365">
        <f ca="1">iWeights!E72</f>
        <v>3</v>
      </c>
      <c r="F75" s="367" t="str">
        <f ca="1">REPT(" ",E75)&amp;iWeights!F72</f>
        <v>      4.2.2) Prevalence of violent crime</v>
      </c>
      <c r="G75" s="360">
        <v>1</v>
      </c>
      <c r="H75" s="361">
        <f>INDEX(tblIndicators!AD$2:AD$69,D75)</f>
        <v>0.0833333333333333</v>
      </c>
      <c r="I75" s="376"/>
      <c r="J75" s="377" t="str">
        <f t="shared" ref="J75:J85" si="2">REPT("|",H75*50)</f>
        <v>||||</v>
      </c>
    </row>
    <row r="76" ht="15" spans="3:10">
      <c r="C76" s="351" t="str">
        <f>iWeights!C73</f>
        <v>PESE4.2.3</v>
      </c>
      <c r="D76" s="351">
        <f>iWeights!D73</f>
        <v>53</v>
      </c>
      <c r="E76" s="365">
        <f ca="1">iWeights!E73</f>
        <v>3</v>
      </c>
      <c r="F76" s="367" t="str">
        <f ca="1">REPT(" ",E76)&amp;iWeights!F73</f>
        <v>      4.2.3) Organised crime</v>
      </c>
      <c r="G76" s="360">
        <v>1</v>
      </c>
      <c r="H76" s="361">
        <f>INDEX(tblIndicators!AD$2:AD$69,D76)</f>
        <v>0.0833333333333333</v>
      </c>
      <c r="I76" s="376"/>
      <c r="J76" s="377" t="str">
        <f t="shared" si="2"/>
        <v>||||</v>
      </c>
    </row>
    <row r="77" ht="15" spans="3:10">
      <c r="C77" s="351" t="str">
        <f>iWeights!C74</f>
        <v>PESE4.2.4</v>
      </c>
      <c r="D77" s="351">
        <f>iWeights!D74</f>
        <v>54</v>
      </c>
      <c r="E77" s="365">
        <f ca="1">iWeights!E74</f>
        <v>3</v>
      </c>
      <c r="F77" s="367" t="str">
        <f ca="1">REPT(" ",E77)&amp;iWeights!F74</f>
        <v>      4.2.4) Level of corruption</v>
      </c>
      <c r="G77" s="360">
        <v>1</v>
      </c>
      <c r="H77" s="361">
        <f>INDEX(tblIndicators!AD$2:AD$69,D77)</f>
        <v>0.0833333333333333</v>
      </c>
      <c r="I77" s="376"/>
      <c r="J77" s="377" t="str">
        <f t="shared" si="2"/>
        <v>||||</v>
      </c>
    </row>
    <row r="78" ht="15" spans="3:10">
      <c r="C78" s="351" t="str">
        <f>iWeights!C75</f>
        <v>PESE4.2.5</v>
      </c>
      <c r="D78" s="351">
        <f>iWeights!D75</f>
        <v>55</v>
      </c>
      <c r="E78" s="365">
        <f ca="1">iWeights!E75</f>
        <v>3</v>
      </c>
      <c r="F78" s="367" t="str">
        <f ca="1">REPT(" ",E78)&amp;iWeights!F75</f>
        <v>      4.2.5) Rate of drug use </v>
      </c>
      <c r="G78" s="360">
        <v>1</v>
      </c>
      <c r="H78" s="361">
        <f>INDEX(tblIndicators!AD$2:AD$69,D78)</f>
        <v>0.0833333333333333</v>
      </c>
      <c r="I78" s="376"/>
      <c r="J78" s="377" t="str">
        <f t="shared" si="2"/>
        <v>||||</v>
      </c>
    </row>
    <row r="79" ht="15" spans="3:10">
      <c r="C79" s="351" t="str">
        <f>iWeights!C76</f>
        <v>PESE4.2.6</v>
      </c>
      <c r="D79" s="351">
        <f>iWeights!D76</f>
        <v>56</v>
      </c>
      <c r="E79" s="365">
        <f ca="1">iWeights!E76</f>
        <v>3</v>
      </c>
      <c r="F79" s="367" t="str">
        <f ca="1">REPT(" ",E79)&amp;iWeights!F76</f>
        <v>      4.2.6) Frequency of terrorist attacks </v>
      </c>
      <c r="G79" s="360">
        <v>1</v>
      </c>
      <c r="H79" s="361">
        <f>INDEX(tblIndicators!AD$2:AD$69,D79)</f>
        <v>0.0833333333333333</v>
      </c>
      <c r="I79" s="376"/>
      <c r="J79" s="377" t="str">
        <f t="shared" si="2"/>
        <v>||||</v>
      </c>
    </row>
    <row r="80" ht="15" spans="3:10">
      <c r="C80" s="351" t="str">
        <f>iWeights!C77</f>
        <v>PESE4.2.7</v>
      </c>
      <c r="D80" s="351">
        <f>iWeights!D77</f>
        <v>57</v>
      </c>
      <c r="E80" s="365">
        <f ca="1">iWeights!E77</f>
        <v>3</v>
      </c>
      <c r="F80" s="367" t="str">
        <f ca="1">REPT(" ",E80)&amp;iWeights!F77</f>
        <v>      4.2.7) Severity of terrorist attacks</v>
      </c>
      <c r="G80" s="360">
        <v>1</v>
      </c>
      <c r="H80" s="361">
        <f>INDEX(tblIndicators!AD$2:AD$69,D80)</f>
        <v>0.0833333333333333</v>
      </c>
      <c r="I80" s="376"/>
      <c r="J80" s="377" t="str">
        <f t="shared" si="2"/>
        <v>||||</v>
      </c>
    </row>
    <row r="81" ht="15" spans="3:10">
      <c r="C81" s="351" t="str">
        <f>iWeights!C78</f>
        <v>PESE4.2.8</v>
      </c>
      <c r="D81" s="351">
        <f>iWeights!D78</f>
        <v>58</v>
      </c>
      <c r="E81" s="365">
        <f ca="1">iWeights!E78</f>
        <v>3</v>
      </c>
      <c r="F81" s="367" t="str">
        <f ca="1">REPT(" ",E81)&amp;iWeights!F78</f>
        <v>      4.2.8) Gender safety</v>
      </c>
      <c r="G81" s="360">
        <v>1</v>
      </c>
      <c r="H81" s="361">
        <f>INDEX(tblIndicators!AD$2:AD$69,D81)</f>
        <v>0.0833333333333333</v>
      </c>
      <c r="I81" s="376"/>
      <c r="J81" s="377" t="str">
        <f t="shared" si="2"/>
        <v>||||</v>
      </c>
    </row>
    <row r="82" ht="15" spans="3:10">
      <c r="C82" s="351" t="str">
        <f>iWeights!C79</f>
        <v>PESE4.2.9</v>
      </c>
      <c r="D82" s="351">
        <f>iWeights!D79</f>
        <v>59</v>
      </c>
      <c r="E82" s="365">
        <f ca="1">iWeights!E79</f>
        <v>3</v>
      </c>
      <c r="F82" s="367" t="str">
        <f ca="1">REPT(" ",E82)&amp;iWeights!F79</f>
        <v>      4.2.9) Perceptions of safety</v>
      </c>
      <c r="G82" s="360">
        <v>1</v>
      </c>
      <c r="H82" s="361">
        <f>INDEX(tblIndicators!AD$2:AD$69,D82)</f>
        <v>0.0833333333333333</v>
      </c>
      <c r="I82" s="376"/>
      <c r="J82" s="377" t="str">
        <f t="shared" si="2"/>
        <v>||||</v>
      </c>
    </row>
    <row r="83" ht="15" spans="3:10">
      <c r="C83" s="351" t="str">
        <f>iWeights!C80</f>
        <v>PESE4.2.10</v>
      </c>
      <c r="D83" s="351">
        <f>iWeights!D80</f>
        <v>60</v>
      </c>
      <c r="E83" s="365">
        <f ca="1">iWeights!E80</f>
        <v>3</v>
      </c>
      <c r="F83" s="367" t="str">
        <f ca="1">REPT(" ",E83)&amp;iWeights!F80</f>
        <v>      4.2.10) Threat of terrorism</v>
      </c>
      <c r="G83" s="360">
        <v>1</v>
      </c>
      <c r="H83" s="361">
        <f>INDEX(tblIndicators!AD$2:AD$69,D83)</f>
        <v>0.0833333333333333</v>
      </c>
      <c r="I83" s="376"/>
      <c r="J83" s="377" t="str">
        <f t="shared" si="2"/>
        <v>||||</v>
      </c>
    </row>
    <row r="84" ht="15" spans="3:10">
      <c r="C84" s="351" t="str">
        <f>iWeights!C81</f>
        <v>PESE4.2.11</v>
      </c>
      <c r="D84" s="351">
        <f>iWeights!D81</f>
        <v>61</v>
      </c>
      <c r="E84" s="365">
        <f ca="1">iWeights!E81</f>
        <v>3</v>
      </c>
      <c r="F84" s="367" t="str">
        <f ca="1">REPT(" ",E84)&amp;iWeights!F81</f>
        <v>      4.2.11) Threat of military conflict</v>
      </c>
      <c r="G84" s="360">
        <v>1</v>
      </c>
      <c r="H84" s="361">
        <f>INDEX(tblIndicators!AD$2:AD$69,D84)</f>
        <v>0.0833333333333333</v>
      </c>
      <c r="I84" s="376"/>
      <c r="J84" s="377" t="str">
        <f t="shared" si="2"/>
        <v>||||</v>
      </c>
    </row>
    <row r="85" ht="15" spans="3:10">
      <c r="C85" s="351" t="str">
        <f>iWeights!C82</f>
        <v>PESE4.2.12</v>
      </c>
      <c r="D85" s="351">
        <f>iWeights!D82</f>
        <v>62</v>
      </c>
      <c r="E85" s="365">
        <f ca="1">iWeights!E82</f>
        <v>3</v>
      </c>
      <c r="F85" s="367" t="str">
        <f ca="1">REPT(" ",E85)&amp;iWeights!F82</f>
        <v>      4.2.12) Threat of civil unrest</v>
      </c>
      <c r="G85" s="360">
        <v>1</v>
      </c>
      <c r="H85" s="361">
        <f>INDEX(tblIndicators!AD$2:AD$69,D85)</f>
        <v>0.0833333333333333</v>
      </c>
      <c r="I85" s="376"/>
      <c r="J85" s="377" t="str">
        <f t="shared" si="2"/>
        <v>||||</v>
      </c>
    </row>
  </sheetData>
  <conditionalFormatting sqref="F14">
    <cfRule type="expression" dxfId="29" priority="7" stopIfTrue="1">
      <formula>$E14=1</formula>
    </cfRule>
    <cfRule type="expression" dxfId="30" priority="8" stopIfTrue="1">
      <formula>$G14=0</formula>
    </cfRule>
    <cfRule type="expression" dxfId="31" priority="1" stopIfTrue="1">
      <formula>$E14=1</formula>
    </cfRule>
    <cfRule type="expression" dxfId="30" priority="2" stopIfTrue="1">
      <formula>$G14=0</formula>
    </cfRule>
  </conditionalFormatting>
  <conditionalFormatting sqref="F8:F11 F15:F26 F29:F85">
    <cfRule type="expression" dxfId="31" priority="10" stopIfTrue="1">
      <formula>$E8=1</formula>
    </cfRule>
    <cfRule type="expression" dxfId="30" priority="11" stopIfTrue="1">
      <formula>$G8=0</formula>
    </cfRule>
  </conditionalFormatting>
  <pageMargins left="0.551181102362205" right="0.551181102362205" top="0.590551181102362" bottom="0.78740157480315" header="0.511811023622047" footer="0.511811023622047"/>
  <pageSetup paperSize="9" orientation="landscape" horizontalDpi="1200" verticalDpi="1200"/>
  <headerFooter alignWithMargins="0">
    <oddHeader>&amp;RSafe Cities Index : 2017</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2984323" name="Button 3" r:id="rId3">
              <controlPr print="0" defaultSize="0">
                <anchor>
                  <from>
                    <xdr:col>5</xdr:col>
                    <xdr:colOff>5490210</xdr:colOff>
                    <xdr:row>5</xdr:row>
                    <xdr:rowOff>44450</xdr:rowOff>
                  </from>
                  <to>
                    <xdr:col>9</xdr:col>
                    <xdr:colOff>59690</xdr:colOff>
                    <xdr:row>5</xdr:row>
                    <xdr:rowOff>379730</xdr:rowOff>
                  </to>
                </anchor>
              </controlPr>
            </control>
          </mc:Choice>
        </mc:AlternateContent>
        <mc:AlternateContent xmlns:mc="http://schemas.openxmlformats.org/markup-compatibility/2006">
          <mc:Choice Requires="x14">
            <control shapeId="12984324" name="SELECTION" r:id="rId4">
              <controlPr print="0" defaultSize="0">
                <anchor>
                  <from>
                    <xdr:col>15</xdr:col>
                    <xdr:colOff>172085</xdr:colOff>
                    <xdr:row>2</xdr:row>
                    <xdr:rowOff>611505</xdr:rowOff>
                  </from>
                  <to>
                    <xdr:col>19</xdr:col>
                    <xdr:colOff>118110</xdr:colOff>
                    <xdr:row>2</xdr:row>
                    <xdr:rowOff>840740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B050"/>
    <pageSetUpPr fitToPage="1"/>
  </sheetPr>
  <dimension ref="A1:AK120"/>
  <sheetViews>
    <sheetView showRowColHeaders="0" zoomScale="90" zoomScaleNormal="90" workbookViewId="0">
      <selection activeCell="C47" sqref="C47"/>
    </sheetView>
  </sheetViews>
  <sheetFormatPr defaultColWidth="9" defaultRowHeight="11.25"/>
  <cols>
    <col min="1" max="1" width="30.7142857142857" style="327" customWidth="1"/>
    <col min="2" max="2" width="36.5714285714286" style="327" customWidth="1"/>
    <col min="3" max="4" width="24.4285714285714" style="327" customWidth="1"/>
    <col min="5" max="5" width="42.7142857142857" style="327" customWidth="1"/>
    <col min="6" max="6" width="9.28571428571429" style="327" customWidth="1"/>
    <col min="7" max="7" width="15" style="327" customWidth="1"/>
    <col min="8" max="8" width="54.7142857142857" style="327" customWidth="1"/>
    <col min="9" max="9" width="27.4285714285714" style="327" customWidth="1"/>
    <col min="10" max="10" width="9.28571428571429" style="327" customWidth="1"/>
    <col min="11" max="11" width="15.1428571428571" style="327" customWidth="1"/>
    <col min="12" max="19" width="9.28571428571429" style="327" customWidth="1"/>
    <col min="20" max="24" width="9.14285714285714" style="327"/>
    <col min="25" max="25" width="18.5714285714286" style="327" customWidth="1"/>
    <col min="26" max="16384" width="9.14285714285714" style="327"/>
  </cols>
  <sheetData>
    <row r="1" spans="1:4">
      <c r="A1" s="327" t="s">
        <v>34</v>
      </c>
      <c r="B1" s="327">
        <f>COUNT(tblTerritories!A3:A70)-D1</f>
        <v>60</v>
      </c>
      <c r="C1" s="327" t="s">
        <v>35</v>
      </c>
      <c r="D1" s="327">
        <f>IF(AND(B46=3,B66=0),1,0)</f>
        <v>1</v>
      </c>
    </row>
    <row r="2" spans="1:2">
      <c r="A2" s="327" t="s">
        <v>36</v>
      </c>
      <c r="B2" s="327">
        <v>8</v>
      </c>
    </row>
    <row r="3" spans="1:2">
      <c r="A3" s="327" t="s">
        <v>37</v>
      </c>
      <c r="B3" s="327">
        <v>0</v>
      </c>
    </row>
    <row r="4" spans="1:2">
      <c r="A4" s="327" t="s">
        <v>38</v>
      </c>
      <c r="B4" s="328">
        <v>1</v>
      </c>
    </row>
    <row r="5" ht="15" spans="1:14">
      <c r="A5" s="327" t="s">
        <v>39</v>
      </c>
      <c r="B5" s="328">
        <v>3</v>
      </c>
      <c r="C5" s="327" t="s">
        <v>40</v>
      </c>
      <c r="D5" s="327" t="s">
        <v>41</v>
      </c>
      <c r="E5" s="329"/>
      <c r="F5" s="329"/>
      <c r="H5" s="327" t="s">
        <v>42</v>
      </c>
      <c r="I5" s="327" t="s">
        <v>43</v>
      </c>
      <c r="J5" s="327" t="s">
        <v>44</v>
      </c>
      <c r="K5" s="326">
        <v>2017</v>
      </c>
      <c r="L5" s="326"/>
      <c r="M5" s="326"/>
      <c r="N5" s="326">
        <f>$B$46</f>
        <v>3</v>
      </c>
    </row>
    <row r="6" ht="15" spans="1:14">
      <c r="A6" s="327" t="s">
        <v>45</v>
      </c>
      <c r="B6" s="328">
        <v>1</v>
      </c>
      <c r="C6" s="327" t="str">
        <f ca="1">INDEX(LuCitiesPlusNone,B6)</f>
        <v>&lt;none&gt;</v>
      </c>
      <c r="D6" s="327" t="str">
        <f ca="1">INDEX(LuCities,B6)</f>
        <v>Abu Dhabi</v>
      </c>
      <c r="E6" s="329"/>
      <c r="F6" s="329"/>
      <c r="G6" s="329"/>
      <c r="H6" s="327" t="s">
        <v>46</v>
      </c>
      <c r="I6" s="327">
        <f>IF(ISNA(MATCH($H6,lu_Cities_2014_O,0)+1),B6,MATCH($H6,lu_Cities_2014_O,0)+1)</f>
        <v>1</v>
      </c>
      <c r="J6" s="327">
        <f>IF(ISNA(MATCH($H6,lu_Cities_2014_N,0)+1),B6,MATCH($H6,lu_Cities_2014_N,0)+1)</f>
        <v>1</v>
      </c>
      <c r="K6" s="327">
        <f>IF(ISNA(MATCH($H6,lu_Cities_2017,0)+1),B6,MATCH($H6,lu_Cities_2017,0)+1)</f>
        <v>1</v>
      </c>
      <c r="L6" s="326"/>
      <c r="M6" s="326">
        <v>1</v>
      </c>
      <c r="N6" s="326">
        <f>INDEX($I$6:$K$9,M6,$N$5)</f>
        <v>1</v>
      </c>
    </row>
    <row r="7" spans="1:11">
      <c r="A7" s="327" t="s">
        <v>47</v>
      </c>
      <c r="B7" s="330">
        <f>B6-1</f>
        <v>0</v>
      </c>
      <c r="I7" s="327" t="e">
        <f>MATCH($H6,lu_Cities_2014_O,0)+1</f>
        <v>#N/A</v>
      </c>
      <c r="J7" s="327">
        <f>IF(ISNA(MATCH($H7,lu_Cities_2014_N,0)+1),B7,MATCH($H7,lu_Cities_2014_N,0)+1)</f>
        <v>0</v>
      </c>
      <c r="K7" s="327">
        <f>IF(ISNA(MATCH($H7,lu_Cities_2017,0)+1),B7,MATCH($H7,lu_Cities_2017,0)+1)</f>
        <v>0</v>
      </c>
    </row>
    <row r="8" spans="1:3">
      <c r="A8" s="327" t="s">
        <v>48</v>
      </c>
      <c r="B8" s="328">
        <v>1</v>
      </c>
      <c r="C8" s="327" t="str">
        <f>INDEX(tblTerritories!$AN$3:$AN$16,B8)</f>
        <v>&lt;none&gt;</v>
      </c>
    </row>
    <row r="9" spans="1:3">
      <c r="A9" s="327" t="s">
        <v>49</v>
      </c>
      <c r="B9" s="330">
        <v>1</v>
      </c>
      <c r="C9" s="327" t="str">
        <f>INDEX(tblTerritories!S4:S17,B9)</f>
        <v>All Regions/Groups</v>
      </c>
    </row>
    <row r="10" spans="1:2">
      <c r="A10" s="327" t="s">
        <v>50</v>
      </c>
      <c r="B10" s="328">
        <v>1</v>
      </c>
    </row>
    <row r="11" spans="2:29">
      <c r="B11" s="330">
        <f>B10-1</f>
        <v>0</v>
      </c>
      <c r="AC11" s="339" t="s">
        <v>51</v>
      </c>
    </row>
    <row r="12" spans="1:29">
      <c r="A12" s="327" t="s">
        <v>52</v>
      </c>
      <c r="B12" s="328">
        <v>1</v>
      </c>
      <c r="AC12" s="339"/>
    </row>
    <row r="13" spans="2:29">
      <c r="B13" s="330">
        <f>B12-1</f>
        <v>0</v>
      </c>
      <c r="AC13" s="339"/>
    </row>
    <row r="14" spans="1:29">
      <c r="A14" s="327" t="s">
        <v>53</v>
      </c>
      <c r="B14" s="330">
        <v>1</v>
      </c>
      <c r="AC14" s="339"/>
    </row>
    <row r="15" spans="1:29">
      <c r="A15" s="327" t="s">
        <v>54</v>
      </c>
      <c r="B15" s="330">
        <v>1</v>
      </c>
      <c r="AC15" s="339"/>
    </row>
    <row r="16" spans="1:29">
      <c r="A16" s="327" t="s">
        <v>55</v>
      </c>
      <c r="B16" s="330">
        <f>tblIndiSets!B173</f>
        <v>62</v>
      </c>
      <c r="AC16" s="339"/>
    </row>
    <row r="18" spans="1:37">
      <c r="A18" s="331" t="s">
        <v>56</v>
      </c>
      <c r="C18" s="332" t="s">
        <v>57</v>
      </c>
      <c r="D18" s="332" t="s">
        <v>58</v>
      </c>
      <c r="E18" s="332" t="s">
        <v>59</v>
      </c>
      <c r="F18" s="332" t="s">
        <v>60</v>
      </c>
      <c r="G18" s="332" t="s">
        <v>61</v>
      </c>
      <c r="H18" s="332" t="s">
        <v>62</v>
      </c>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40"/>
    </row>
    <row r="19" spans="1:8">
      <c r="A19" s="327" t="s">
        <v>63</v>
      </c>
      <c r="B19" s="328">
        <f>B21</f>
        <v>1</v>
      </c>
      <c r="C19" s="327" t="str">
        <f>INDEX(tblIndiSets!$B$175:$B$236,$B$19)</f>
        <v>OVERALL SCORE</v>
      </c>
      <c r="D19" s="327">
        <f>INDEX(tblIndiSets!$C$175:$C$236,$B$19)</f>
        <v>0</v>
      </c>
      <c r="E19" s="327" t="str">
        <f>IF($B$46=1,INDEX('tblIndicators_2014-O'!$AB$2:$AB$57,$B$19),INDEX(tblIndicators!$V$2:$V$63,$B$19))</f>
        <v>0.0</v>
      </c>
      <c r="F19" s="327" t="str">
        <f>IF($B$46=1,INDEX('tblIndicators_2014-O'!$Z$2:$AA$57,$B$19,1),INDEX(tblIndicators!$AE$2:$AF$63,$B$19,1))</f>
        <v>OVERALL SCORE</v>
      </c>
      <c r="G19" s="327" t="str">
        <f>IF($B$46=1,INDEX('tblIndicators_2014-O'!$Z$2:$AA$57,$B$19,2),INDEX(tblIndicators!$AE$2:$AF$63,$B$19,2))</f>
        <v>OVERALL SCORE</v>
      </c>
      <c r="H19" s="327">
        <f>IF($B$46=1,INDEX('tblIndicators_2014-O'!$F$2:$F$57,$B$19),INDEX(tblIndicators!$G$2:$G$63,$B$19))</f>
        <v>0</v>
      </c>
    </row>
    <row r="20" spans="2:9">
      <c r="B20" s="328"/>
      <c r="H20" s="327" t="s">
        <v>12</v>
      </c>
      <c r="I20" s="327" t="s">
        <v>13</v>
      </c>
    </row>
    <row r="21" spans="1:9">
      <c r="A21" s="327" t="s">
        <v>64</v>
      </c>
      <c r="B21" s="328">
        <v>1</v>
      </c>
      <c r="H21" s="327" t="str">
        <f>IF($B$46=1,INDEX('tblIndicators_2014-O'!$J$2:$J$57,B21),INDEX(tblIndicators!$P$2:$P$63,B21))</f>
        <v>Weighted sum of the category scores</v>
      </c>
      <c r="I21" s="327" t="str">
        <f>IF($B$46=1,INDEX('tblIndicators_2014-O'!$I$2:$I$57,B21),INDEX(tblIndicators!$L$2:$L$63,B21))</f>
        <v>The overall score is the weighted sum of the following category scores:
1) DIGITAL SECURITY
2) HEALTH SECURITY
3) INFRASTRUCTURE SECURITY
4) PERSONAL SECURITY</v>
      </c>
    </row>
    <row r="23" s="326" customFormat="1" ht="15" spans="1:14">
      <c r="A23" s="331" t="s">
        <v>65</v>
      </c>
      <c r="B23" s="327"/>
      <c r="C23" s="327" t="s">
        <v>15</v>
      </c>
      <c r="D23" s="327" t="s">
        <v>66</v>
      </c>
      <c r="E23" s="327" t="s">
        <v>67</v>
      </c>
      <c r="F23" s="327"/>
      <c r="G23" s="327" t="s">
        <v>68</v>
      </c>
      <c r="H23" s="327" t="s">
        <v>42</v>
      </c>
      <c r="I23" s="327" t="s">
        <v>43</v>
      </c>
      <c r="J23" s="327" t="s">
        <v>44</v>
      </c>
      <c r="K23" s="326">
        <v>2017</v>
      </c>
      <c r="N23" s="326">
        <f>$B$46</f>
        <v>3</v>
      </c>
    </row>
    <row r="24" s="326" customFormat="1" ht="15" spans="1:14">
      <c r="A24" s="327" t="s">
        <v>69</v>
      </c>
      <c r="B24" s="327">
        <v>1</v>
      </c>
      <c r="C24" s="327" t="str">
        <f ca="1">INDEX(LuCities,B24)</f>
        <v>Abu Dhabi</v>
      </c>
      <c r="D24" s="327"/>
      <c r="E24" s="327">
        <f ca="1">INDEX(OFFSET(LuCities,0,3),B24)</f>
        <v>1</v>
      </c>
      <c r="F24" s="333"/>
      <c r="G24" s="333" t="str">
        <f>"Comparison against other cities in "&amp;C46&amp;" index"</f>
        <v>Comparison against other cities in 2017 index</v>
      </c>
      <c r="H24" s="327" t="s">
        <v>70</v>
      </c>
      <c r="I24" s="327">
        <f>IF(ISNA(MATCH($H24,lu_Cities_2014_O,0)),$B24,MATCH($H24,lu_Cities_2014_O,0))</f>
        <v>1</v>
      </c>
      <c r="J24" s="327">
        <f>IF(ISNA(MATCH($H24,lu_Cities_2014_N,0)),$B24,MATCH($H24,lu_Cities_2014_N,0))</f>
        <v>1</v>
      </c>
      <c r="K24" s="327">
        <f>IF(ISNA(MATCH($H24,lu_Cities_2017,0)),B24,MATCH($H24,lu_Cities_2017,0))</f>
        <v>1</v>
      </c>
      <c r="M24" s="326">
        <v>1</v>
      </c>
      <c r="N24" s="326">
        <f>INDEX($I$24:$K$27,M24,$N$23)</f>
        <v>1</v>
      </c>
    </row>
    <row r="25" s="326" customFormat="1" ht="15" spans="1:14">
      <c r="A25" s="327" t="s">
        <v>71</v>
      </c>
      <c r="B25" s="327">
        <v>1</v>
      </c>
      <c r="C25" s="327" t="str">
        <f ca="1">INDEX(LuCities,B25)</f>
        <v>Abu Dhabi</v>
      </c>
      <c r="D25" s="327"/>
      <c r="E25" s="327">
        <f ca="1">INDEX(OFFSET(LuCities,0,3),B25)</f>
        <v>1</v>
      </c>
      <c r="F25" s="333"/>
      <c r="G25" s="333"/>
      <c r="H25" s="327" t="s">
        <v>70</v>
      </c>
      <c r="I25" s="327">
        <f>IF(ISNA(MATCH($H25,lu_Cities_2014_O,0)),$B25,MATCH($H25,lu_Cities_2014_O,0))</f>
        <v>1</v>
      </c>
      <c r="J25" s="327">
        <f>IF(ISNA(MATCH($H25,lu_Cities_2014_N,0)),$B25,MATCH($H25,lu_Cities_2014_N,0))</f>
        <v>1</v>
      </c>
      <c r="K25" s="327">
        <f>IF(ISNA(MATCH($H25,lu_Cities_2017,0)),B25,MATCH($H25,lu_Cities_2017,0))</f>
        <v>1</v>
      </c>
      <c r="M25" s="326">
        <v>2</v>
      </c>
      <c r="N25" s="326">
        <f>INDEX($I$24:$K$27,M25,$N$23)</f>
        <v>1</v>
      </c>
    </row>
    <row r="26" s="326" customFormat="1" ht="15" spans="1:14">
      <c r="A26" s="327" t="s">
        <v>72</v>
      </c>
      <c r="B26" s="327">
        <v>1</v>
      </c>
      <c r="C26" s="327" t="str">
        <f ca="1">INDEX(LuCitiesPlusNone,B26)</f>
        <v>&lt;none&gt;</v>
      </c>
      <c r="D26" s="327"/>
      <c r="E26" s="327"/>
      <c r="F26" s="333"/>
      <c r="G26" s="333"/>
      <c r="H26" s="327" t="s">
        <v>46</v>
      </c>
      <c r="I26" s="327">
        <f>IF(ISNA(MATCH($H26,lu_Cities_2014_O,0)+1),$B26,MATCH($H26,lu_Cities_2014_O,0)+1)</f>
        <v>1</v>
      </c>
      <c r="J26" s="327">
        <f>IF(ISNA(MATCH($H26,lu_Cities_2014_N,0)),$B26,MATCH($H26,lu_Cities_2014_N,0)+1)</f>
        <v>1</v>
      </c>
      <c r="K26" s="327">
        <f>IF(ISNA(MATCH($H26,lu_Cities_2017,0)),B26,MATCH($H26,lu_Cities_2017,0)+1)</f>
        <v>1</v>
      </c>
      <c r="M26" s="326">
        <v>3</v>
      </c>
      <c r="N26" s="326">
        <f>INDEX($I$24:$K$27,M26,$N$23)</f>
        <v>1</v>
      </c>
    </row>
    <row r="27" s="326" customFormat="1" ht="15" spans="1:14">
      <c r="A27" s="327" t="s">
        <v>71</v>
      </c>
      <c r="B27" s="327">
        <v>1</v>
      </c>
      <c r="C27" s="327" t="str">
        <f ca="1">INDEX(LuCitiesPlusNone,B27)</f>
        <v>&lt;none&gt;</v>
      </c>
      <c r="D27" s="327"/>
      <c r="E27" s="327"/>
      <c r="F27" s="333"/>
      <c r="G27" s="333"/>
      <c r="H27" s="327" t="s">
        <v>46</v>
      </c>
      <c r="I27" s="327">
        <f>IF(ISNA(MATCH($H27,lu_Cities_2014_O,0)),$B27,MATCH($H27,lu_Cities_2014_O,0)+1)</f>
        <v>1</v>
      </c>
      <c r="J27" s="327">
        <f>IF(ISNA(MATCH($H27,lu_Cities_2014_N,0)),$B27,MATCH($H27,lu_Cities_2014_N,0)+1)</f>
        <v>1</v>
      </c>
      <c r="K27" s="327">
        <f>IF(ISNA(MATCH($H27,lu_Cities_2017,0)),B27,MATCH($H27,lu_Cities_2017,0)+1)</f>
        <v>1</v>
      </c>
      <c r="M27" s="326">
        <v>4</v>
      </c>
      <c r="N27" s="326">
        <f>INDEX($I$24:$K$27,M27,$N$23)</f>
        <v>1</v>
      </c>
    </row>
    <row r="28" s="326" customFormat="1" ht="15" spans="1:10">
      <c r="A28" s="327" t="s">
        <v>73</v>
      </c>
      <c r="B28" s="327"/>
      <c r="C28" s="327"/>
      <c r="D28" s="327"/>
      <c r="E28" s="327"/>
      <c r="F28" s="333"/>
      <c r="G28" s="333"/>
      <c r="H28" s="327"/>
      <c r="I28" s="327"/>
      <c r="J28" s="327"/>
    </row>
    <row r="29" s="326" customFormat="1" ht="15" spans="1:10">
      <c r="A29" s="327" t="s">
        <v>74</v>
      </c>
      <c r="B29" s="327">
        <v>3</v>
      </c>
      <c r="C29" s="327"/>
      <c r="D29" s="327"/>
      <c r="E29" s="327"/>
      <c r="F29" s="333"/>
      <c r="G29" s="333"/>
      <c r="H29" s="327"/>
      <c r="I29" s="327"/>
      <c r="J29" s="327"/>
    </row>
    <row r="30" s="326" customFormat="1" ht="15" spans="2:7">
      <c r="B30" s="326">
        <v>5</v>
      </c>
      <c r="C30" s="326">
        <v>1</v>
      </c>
      <c r="D30" s="326">
        <v>2</v>
      </c>
      <c r="E30" s="326">
        <v>3</v>
      </c>
      <c r="F30" s="326">
        <v>4</v>
      </c>
      <c r="G30" s="326">
        <v>5</v>
      </c>
    </row>
    <row r="31" s="326" customFormat="1" ht="15" spans="1:7">
      <c r="A31" s="327" t="s">
        <v>75</v>
      </c>
      <c r="C31" s="326" t="s">
        <v>76</v>
      </c>
      <c r="F31" s="332" t="s">
        <v>60</v>
      </c>
      <c r="G31" s="332" t="s">
        <v>61</v>
      </c>
    </row>
    <row r="32" s="326" customFormat="1" ht="15" spans="1:7">
      <c r="A32" s="327" t="s">
        <v>77</v>
      </c>
      <c r="B32" s="326">
        <v>1</v>
      </c>
      <c r="C32" s="326">
        <f>$B$16</f>
        <v>62</v>
      </c>
      <c r="F32" s="327" t="str">
        <f>IF($B$46=1,INDEX('tblIndicators_2014-O'!$Z$2:$AA$57,$B$32,1),INDEX(tblIndicators!$AE$2:$AF$63,$B$32,1))</f>
        <v>OVERALL SCORE</v>
      </c>
      <c r="G32" s="327" t="str">
        <f>IF($B$46=1,INDEX('tblIndicators_2014-O'!$Z$2:$AA$57,$B$32,2),INDEX(tblIndicators!$AE$2:$AF$63,$B$32,2))</f>
        <v>OVERALL SCORE</v>
      </c>
    </row>
    <row r="33" s="326" customFormat="1" ht="15" spans="1:7">
      <c r="A33" s="327" t="s">
        <v>78</v>
      </c>
      <c r="B33" s="326">
        <v>1</v>
      </c>
      <c r="C33" s="326">
        <f>$B$16</f>
        <v>62</v>
      </c>
      <c r="F33" s="327" t="str">
        <f>IF($B$46=1,INDEX('tblIndicators_2014-O'!$Z$2:$AA$57,$B$33,1),INDEX(tblIndicators!$AE$2:$AF$63,$B$33,1))</f>
        <v>OVERALL SCORE</v>
      </c>
      <c r="G33" s="327" t="str">
        <f>IF($B$46=1,INDEX('tblIndicators_2014-O'!$Z$2:$AA$57,$B$33,2),INDEX(tblIndicators!$AE$2:$AF$63,$B$33,2))</f>
        <v>OVERALL SCORE</v>
      </c>
    </row>
    <row r="34" s="326" customFormat="1" ht="15" spans="1:2">
      <c r="A34" s="327" t="s">
        <v>79</v>
      </c>
      <c r="B34" s="326">
        <v>31</v>
      </c>
    </row>
    <row r="35" s="326" customFormat="1" ht="15" spans="1:2">
      <c r="A35" s="326" t="s">
        <v>80</v>
      </c>
      <c r="B35" s="326" t="b">
        <v>0</v>
      </c>
    </row>
    <row r="36" s="326" customFormat="1" ht="15" spans="1:2">
      <c r="A36" s="326" t="s">
        <v>81</v>
      </c>
      <c r="B36" s="326" t="b">
        <v>0</v>
      </c>
    </row>
    <row r="37" s="326" customFormat="1" ht="15" spans="1:3">
      <c r="A37" s="326" t="s">
        <v>82</v>
      </c>
      <c r="B37" s="326">
        <f>iWeights!U3</f>
        <v>0</v>
      </c>
      <c r="C37" s="326" t="str">
        <f>IF(B37=0,"","Weight profile has been changed from it's neutral setting")</f>
        <v/>
      </c>
    </row>
    <row r="38" s="326" customFormat="1" ht="15"/>
    <row r="39" s="326" customFormat="1" ht="15" spans="1:2">
      <c r="A39" s="326" t="s">
        <v>83</v>
      </c>
      <c r="B39" s="326">
        <v>1</v>
      </c>
    </row>
    <row r="40" s="326" customFormat="1" ht="15"/>
    <row r="41" s="326" customFormat="1" ht="15" spans="1:2">
      <c r="A41" s="326" t="s">
        <v>84</v>
      </c>
      <c r="B41" s="326">
        <v>1</v>
      </c>
    </row>
    <row r="42" s="326" customFormat="1" ht="15" spans="1:2">
      <c r="A42" s="326" t="s">
        <v>85</v>
      </c>
      <c r="B42" s="326">
        <v>33</v>
      </c>
    </row>
    <row r="43" s="326" customFormat="1" ht="15"/>
    <row r="44" s="326" customFormat="1" ht="15" spans="1:3">
      <c r="A44" s="326" t="s">
        <v>86</v>
      </c>
      <c r="B44" s="326" t="b">
        <v>0</v>
      </c>
      <c r="C44" s="326">
        <f>IF(B44,1,0)</f>
        <v>0</v>
      </c>
    </row>
    <row r="45" s="326" customFormat="1" ht="15" spans="1:3">
      <c r="A45" s="326" t="s">
        <v>87</v>
      </c>
      <c r="B45" s="326" t="b">
        <v>1</v>
      </c>
      <c r="C45" s="326">
        <f>IF(B45,1,0)</f>
        <v>1</v>
      </c>
    </row>
    <row r="46" s="326" customFormat="1" ht="15" spans="1:8">
      <c r="A46" s="326" t="s">
        <v>88</v>
      </c>
      <c r="B46" s="326">
        <v>3</v>
      </c>
      <c r="C46" s="326">
        <f>INDEX(Year_Select,B46)</f>
        <v>2017</v>
      </c>
      <c r="D46" s="326" t="str">
        <f>INDEX(tblIndiSets!Q167:Q169,$B46)</f>
        <v>aData_2017</v>
      </c>
      <c r="E46" s="326" t="str">
        <f>INDEX(tblIndiSets!R167:R169,$B46)</f>
        <v>aScores_2017</v>
      </c>
      <c r="F46" s="326" t="str">
        <f>INDEX(tblIndiSets!S167:S169,$B46)</f>
        <v>lu_Cities_2017</v>
      </c>
      <c r="G46" s="326" t="str">
        <f>INDEX(tblIndiSets!T167:T169,$B46)</f>
        <v>aRankNumber_2017</v>
      </c>
      <c r="H46" s="326" t="str">
        <f>INDEX(tblIndiSets!U167:U169,$B46)</f>
        <v>aRank_2017</v>
      </c>
    </row>
    <row r="47" s="326" customFormat="1" ht="15" spans="1:8">
      <c r="A47" s="326" t="s">
        <v>89</v>
      </c>
      <c r="B47" s="326">
        <v>2</v>
      </c>
      <c r="C47" s="326" t="str">
        <f>INDEX(tblIndiSets!$C$167:$C$168,$B$47)</f>
        <v>2015 Updated</v>
      </c>
      <c r="D47" s="326" t="str">
        <f>INDEX(tblIndiSets!$D$167:$D$168,$B$47)</f>
        <v>aData_2014_N</v>
      </c>
      <c r="E47" s="326" t="str">
        <f>INDEX(tblIndiSets!$E$167:$E$168,$B$47)</f>
        <v>aScores_2014_N</v>
      </c>
      <c r="F47" s="326" t="str">
        <f>INDEX(tblIndiSets!$F$167:$F$168,$B$47)</f>
        <v>lu_Cities_2014_N</v>
      </c>
      <c r="G47" s="326" t="str">
        <f>INDEX(tblIndiSets!$G$167:$G$168,$B$47)</f>
        <v>aRankNumber_2014_N</v>
      </c>
      <c r="H47" s="326" t="str">
        <f>C46&amp;" Compared to "&amp;C47</f>
        <v>2017 Compared to 2015 Updated</v>
      </c>
    </row>
    <row r="48" s="326" customFormat="1" ht="15"/>
    <row r="49" s="326" customFormat="1" ht="15" spans="1:5">
      <c r="A49" s="334" t="s">
        <v>90</v>
      </c>
      <c r="B49" s="334" t="b">
        <v>0</v>
      </c>
      <c r="C49" s="334">
        <f>IF(B49,1,0)</f>
        <v>0</v>
      </c>
      <c r="E49" s="326">
        <f>IF(B49,1,0)</f>
        <v>0</v>
      </c>
    </row>
    <row r="50" s="326" customFormat="1" ht="15"/>
    <row r="51" s="326" customFormat="1" ht="15" spans="2:3">
      <c r="B51" s="334" t="s">
        <v>91</v>
      </c>
      <c r="C51" s="334">
        <v>70</v>
      </c>
    </row>
    <row r="52" s="326" customFormat="1" ht="15" spans="1:3">
      <c r="A52" s="335"/>
      <c r="B52" s="336">
        <v>0.8</v>
      </c>
      <c r="C52" s="334">
        <v>80</v>
      </c>
    </row>
    <row r="53" s="326" customFormat="1" ht="15" spans="1:3">
      <c r="A53" s="337"/>
      <c r="B53" s="336">
        <v>0.9</v>
      </c>
      <c r="C53" s="334">
        <v>90</v>
      </c>
    </row>
    <row r="54" s="326" customFormat="1" ht="15" spans="1:3">
      <c r="A54" s="337"/>
      <c r="B54" s="334" t="s">
        <v>92</v>
      </c>
      <c r="C54" s="334">
        <v>100</v>
      </c>
    </row>
    <row r="55" s="326" customFormat="1" ht="15" spans="1:3">
      <c r="A55" s="337"/>
      <c r="B55" s="336">
        <v>1.25</v>
      </c>
      <c r="C55" s="334">
        <v>125</v>
      </c>
    </row>
    <row r="56" s="326" customFormat="1" ht="15" spans="1:3">
      <c r="A56" s="337"/>
      <c r="C56" s="327"/>
    </row>
    <row r="57" s="326" customFormat="1" ht="15" spans="1:3">
      <c r="A57" s="327"/>
      <c r="B57" s="326">
        <v>3</v>
      </c>
      <c r="C57" s="326">
        <f>INDEX(C51:C55,B57)</f>
        <v>90</v>
      </c>
    </row>
    <row r="58" s="326" customFormat="1" ht="15" spans="1:2">
      <c r="A58" s="326" t="s">
        <v>93</v>
      </c>
      <c r="B58" s="326">
        <f>C57</f>
        <v>90</v>
      </c>
    </row>
    <row r="59" s="326" customFormat="1" ht="15" spans="1:2">
      <c r="A59" s="326" t="s">
        <v>94</v>
      </c>
      <c r="B59" s="326" t="s">
        <v>95</v>
      </c>
    </row>
    <row r="60" s="326" customFormat="1" ht="15"/>
    <row r="61" s="326" customFormat="1" ht="15" spans="1:1">
      <c r="A61" s="326" t="s">
        <v>96</v>
      </c>
    </row>
    <row r="62" s="326" customFormat="1" ht="15"/>
    <row r="63" s="326" customFormat="1" ht="15" spans="1:2">
      <c r="A63" s="326" t="s">
        <v>97</v>
      </c>
      <c r="B63" s="338">
        <v>1</v>
      </c>
    </row>
    <row r="64" s="326" customFormat="1" ht="15" spans="1:2">
      <c r="A64" s="326" t="s">
        <v>98</v>
      </c>
      <c r="B64" s="326">
        <v>1</v>
      </c>
    </row>
    <row r="65" s="326" customFormat="1" ht="15" spans="1:2">
      <c r="A65" s="326" t="s">
        <v>99</v>
      </c>
      <c r="B65" s="326" t="b">
        <v>1</v>
      </c>
    </row>
    <row r="66" s="326" customFormat="1" ht="15" spans="1:3">
      <c r="A66" s="326" t="s">
        <v>100</v>
      </c>
      <c r="B66" s="326">
        <v>0</v>
      </c>
      <c r="C66" s="729" t="s">
        <v>101</v>
      </c>
    </row>
    <row r="67" s="326" customFormat="1" ht="15"/>
    <row r="68" s="326" customFormat="1" ht="15" spans="1:2">
      <c r="A68" s="59" t="s">
        <v>102</v>
      </c>
      <c r="B68" s="326">
        <v>3</v>
      </c>
    </row>
    <row r="69" s="326" customFormat="1" ht="15"/>
    <row r="70" spans="1:2">
      <c r="A70" s="59" t="s">
        <v>103</v>
      </c>
      <c r="B70" s="341" t="s">
        <v>104</v>
      </c>
    </row>
    <row r="71" spans="1:2">
      <c r="A71" s="59" t="s">
        <v>105</v>
      </c>
      <c r="B71" s="341" t="s">
        <v>104</v>
      </c>
    </row>
    <row r="72" spans="1:2">
      <c r="A72" s="59" t="s">
        <v>106</v>
      </c>
      <c r="B72" s="341" t="s">
        <v>104</v>
      </c>
    </row>
    <row r="73" ht="15" spans="1:2">
      <c r="A73" s="59" t="s">
        <v>107</v>
      </c>
      <c r="B73" t="s">
        <v>108</v>
      </c>
    </row>
    <row r="74" ht="15" spans="1:2">
      <c r="A74" s="59" t="s">
        <v>109</v>
      </c>
      <c r="B74" t="s">
        <v>110</v>
      </c>
    </row>
    <row r="75" ht="15" spans="1:2">
      <c r="A75" s="59" t="s">
        <v>111</v>
      </c>
      <c r="B75" t="s">
        <v>112</v>
      </c>
    </row>
    <row r="76" ht="15" spans="1:2">
      <c r="A76" s="59" t="s">
        <v>113</v>
      </c>
      <c r="B76" t="s">
        <v>114</v>
      </c>
    </row>
    <row r="77" spans="1:1">
      <c r="A77" s="59" t="s">
        <v>115</v>
      </c>
    </row>
    <row r="78" spans="1:2">
      <c r="A78" s="59" t="s">
        <v>116</v>
      </c>
      <c r="B78" s="195"/>
    </row>
    <row r="79" spans="1:2">
      <c r="A79" s="59" t="s">
        <v>117</v>
      </c>
      <c r="B79" s="195"/>
    </row>
    <row r="80" spans="1:2">
      <c r="A80" s="59" t="s">
        <v>118</v>
      </c>
      <c r="B80" s="195"/>
    </row>
    <row r="81" spans="1:2">
      <c r="A81" s="59" t="s">
        <v>119</v>
      </c>
      <c r="B81" s="195"/>
    </row>
    <row r="82" spans="1:2">
      <c r="A82" s="59" t="s">
        <v>120</v>
      </c>
      <c r="B82" s="195"/>
    </row>
    <row r="84" spans="1:2">
      <c r="A84" s="327" t="s">
        <v>121</v>
      </c>
      <c r="B84" s="327" t="s">
        <v>122</v>
      </c>
    </row>
    <row r="85" spans="1:2">
      <c r="A85" s="327" t="s">
        <v>123</v>
      </c>
      <c r="B85" s="327" t="s">
        <v>124</v>
      </c>
    </row>
    <row r="86" spans="1:2">
      <c r="A86" s="327" t="s">
        <v>125</v>
      </c>
      <c r="B86" s="327" t="str">
        <f>"Rank out of "&amp;B1&amp;" countries, 1=best; '=' denotes tied rank between two or more countries"</f>
        <v>Rank out of 60 countries, 1=best; '=' denotes tied rank between two or more countries</v>
      </c>
    </row>
    <row r="87" ht="18.75" spans="1:2">
      <c r="A87" s="327" t="s">
        <v>126</v>
      </c>
      <c r="B87" s="342" t="s">
        <v>127</v>
      </c>
    </row>
    <row r="88" ht="15" spans="1:2">
      <c r="A88" s="327" t="s">
        <v>128</v>
      </c>
      <c r="B88" s="343" t="s">
        <v>129</v>
      </c>
    </row>
    <row r="90" ht="21" spans="1:2">
      <c r="A90" s="327" t="s">
        <v>130</v>
      </c>
      <c r="B90" s="344" t="s">
        <v>131</v>
      </c>
    </row>
    <row r="91" spans="2:2">
      <c r="B91" s="345"/>
    </row>
    <row r="92" ht="18.75" spans="1:2">
      <c r="A92" s="327" t="s">
        <v>132</v>
      </c>
      <c r="B92" s="346" t="s">
        <v>133</v>
      </c>
    </row>
    <row r="93" ht="18.75" spans="1:2">
      <c r="A93" s="327" t="s">
        <v>132</v>
      </c>
      <c r="B93" s="346" t="s">
        <v>134</v>
      </c>
    </row>
    <row r="94" ht="18.75" spans="1:2">
      <c r="A94" s="327" t="s">
        <v>132</v>
      </c>
      <c r="B94" s="346" t="s">
        <v>135</v>
      </c>
    </row>
    <row r="95" ht="18.75" spans="1:2">
      <c r="A95" s="327" t="s">
        <v>132</v>
      </c>
      <c r="B95" s="346" t="s">
        <v>136</v>
      </c>
    </row>
    <row r="96" ht="18.75" spans="1:2">
      <c r="A96" s="327" t="s">
        <v>132</v>
      </c>
      <c r="B96" s="346" t="s">
        <v>137</v>
      </c>
    </row>
    <row r="97" spans="2:2">
      <c r="B97" s="345"/>
    </row>
    <row r="98" ht="15.75" spans="1:2">
      <c r="A98" s="327" t="s">
        <v>138</v>
      </c>
      <c r="B98" s="347" t="s">
        <v>139</v>
      </c>
    </row>
    <row r="99" ht="15.75" spans="1:2">
      <c r="A99" s="327" t="s">
        <v>140</v>
      </c>
      <c r="B99" s="347" t="s">
        <v>75</v>
      </c>
    </row>
    <row r="100" ht="15.75" spans="1:2">
      <c r="A100" s="327" t="s">
        <v>141</v>
      </c>
      <c r="B100" s="347" t="s">
        <v>142</v>
      </c>
    </row>
    <row r="101" ht="15.75" spans="1:2">
      <c r="A101" s="327" t="s">
        <v>143</v>
      </c>
      <c r="B101" s="347" t="s">
        <v>144</v>
      </c>
    </row>
    <row r="102" ht="15.75" spans="1:2">
      <c r="A102" s="327" t="s">
        <v>145</v>
      </c>
      <c r="B102" s="347" t="s">
        <v>146</v>
      </c>
    </row>
    <row r="103" spans="2:2">
      <c r="B103" s="345"/>
    </row>
    <row r="104" ht="15.75" spans="1:2">
      <c r="A104" s="327" t="s">
        <v>147</v>
      </c>
      <c r="B104" s="347" t="s">
        <v>65</v>
      </c>
    </row>
    <row r="105" ht="15.75" spans="1:2">
      <c r="A105" s="327" t="s">
        <v>148</v>
      </c>
      <c r="B105" s="347" t="s">
        <v>149</v>
      </c>
    </row>
    <row r="106" ht="15.75" spans="1:2">
      <c r="A106" s="327" t="s">
        <v>150</v>
      </c>
      <c r="B106" s="347" t="s">
        <v>151</v>
      </c>
    </row>
    <row r="107" ht="15.75" spans="1:2">
      <c r="A107" s="327" t="s">
        <v>152</v>
      </c>
      <c r="B107" s="347" t="s">
        <v>137</v>
      </c>
    </row>
    <row r="108" ht="15.75" spans="1:2">
      <c r="A108" s="327" t="s">
        <v>153</v>
      </c>
      <c r="B108" s="347" t="s">
        <v>146</v>
      </c>
    </row>
    <row r="109" spans="2:2">
      <c r="B109" s="345"/>
    </row>
    <row r="110" spans="2:2">
      <c r="B110" s="345"/>
    </row>
    <row r="111" ht="15.75" spans="1:2">
      <c r="A111" s="327" t="s">
        <v>147</v>
      </c>
      <c r="B111" s="347" t="s">
        <v>154</v>
      </c>
    </row>
    <row r="112" ht="15.75" spans="1:2">
      <c r="A112" s="327" t="s">
        <v>148</v>
      </c>
      <c r="B112" s="347" t="s">
        <v>136</v>
      </c>
    </row>
    <row r="113" ht="15.75" spans="1:2">
      <c r="A113" s="327" t="s">
        <v>150</v>
      </c>
      <c r="B113" s="347" t="s">
        <v>137</v>
      </c>
    </row>
    <row r="114" ht="15.75" spans="1:2">
      <c r="A114" s="327" t="s">
        <v>152</v>
      </c>
      <c r="B114" s="347" t="s">
        <v>146</v>
      </c>
    </row>
    <row r="115" ht="15.75" spans="1:2">
      <c r="A115" s="327" t="s">
        <v>153</v>
      </c>
      <c r="B115" s="347" t="s">
        <v>155</v>
      </c>
    </row>
    <row r="116" spans="2:2">
      <c r="B116" s="345"/>
    </row>
    <row r="118" spans="1:1">
      <c r="A118" s="327" t="s">
        <v>156</v>
      </c>
    </row>
    <row r="120" spans="1:3">
      <c r="A120" s="327" t="s">
        <v>157</v>
      </c>
      <c r="B120" s="327">
        <v>1</v>
      </c>
      <c r="C120" s="327" t="str">
        <f>INDEX(tblIndiSets!$C$6:$C$9,B120)</f>
        <v>1) DIGITAL SECURITY</v>
      </c>
    </row>
  </sheetData>
  <pageMargins left="0.551181102362205" right="0.551181102362205" top="0.590551181102362" bottom="0.78740157480315" header="0.511811023622047" footer="0.511811023622047"/>
  <pageSetup paperSize="9" scale="31" orientation="landscape"/>
  <headerFooter alignWithMargins="0">
    <oddHeader>&amp;RSafe Cities Index : 2017</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theme="5" tint="-0.499984740745262"/>
    <pageSetUpPr fitToPage="1"/>
  </sheetPr>
  <dimension ref="A1:CG168"/>
  <sheetViews>
    <sheetView showGridLines="0" showRowColHeaders="0" zoomScale="90" zoomScaleNormal="90" topLeftCell="A29" workbookViewId="0">
      <selection activeCell="I33" sqref="I33"/>
    </sheetView>
  </sheetViews>
  <sheetFormatPr defaultColWidth="9" defaultRowHeight="15"/>
  <cols>
    <col min="1" max="1" width="1.71428571428571" customWidth="1"/>
    <col min="2" max="3" width="10.8571428571429" style="117" hidden="1" customWidth="1"/>
    <col min="4" max="4" width="8.71428571428571" style="117" hidden="1" customWidth="1"/>
    <col min="5" max="5" width="15.7142857142857" style="118" hidden="1" customWidth="1"/>
    <col min="6" max="6" width="6.42857142857143" style="118" hidden="1" customWidth="1"/>
    <col min="7" max="7" width="8.57142857142857" style="118" hidden="1" customWidth="1"/>
    <col min="8" max="8" width="78.4285714285714" style="119" customWidth="1"/>
    <col min="9" max="9" width="46.7142857142857" style="170" customWidth="1"/>
    <col min="10" max="70" width="14.7142857142857" style="120" customWidth="1"/>
    <col min="71" max="71" width="9.14285714285714" style="115"/>
    <col min="72" max="76" width="9" style="115" hidden="1" customWidth="1"/>
    <col min="77" max="78" width="9.14285714285714" style="115" hidden="1" customWidth="1"/>
    <col min="79" max="80" width="9.14285714285714" style="115"/>
    <col min="81" max="91" width="9" style="120" hidden="1" customWidth="1"/>
    <col min="92" max="94" width="9.14285714285714" style="120" hidden="1" customWidth="1"/>
    <col min="95" max="124" width="9" style="120" hidden="1" customWidth="1"/>
    <col min="125" max="16384" width="9.14285714285714" style="120"/>
  </cols>
  <sheetData>
    <row r="1" s="64" customFormat="1" ht="29.1" customHeight="1" spans="1:80">
      <c r="A1"/>
      <c r="B1" s="121"/>
      <c r="D1" s="79"/>
      <c r="H1" s="79" t="str">
        <f>uxb_works!$B$90</f>
        <v>Safe Cities Index: 2017</v>
      </c>
      <c r="I1" s="172"/>
      <c r="BA1" s="77">
        <v>4</v>
      </c>
      <c r="BB1" s="77">
        <v>0</v>
      </c>
      <c r="CA1" s="77"/>
      <c r="CB1" s="77"/>
    </row>
    <row r="2" s="93" customFormat="1" ht="29.1" customHeight="1" spans="1:70">
      <c r="A2" s="199"/>
      <c r="B2" s="307"/>
      <c r="C2" s="307"/>
      <c r="D2" s="307"/>
      <c r="E2" s="307"/>
      <c r="F2" s="307"/>
      <c r="G2" s="307"/>
      <c r="H2" s="307"/>
      <c r="I2" s="312"/>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row>
    <row r="3" s="306" customFormat="1" ht="71.1" customHeight="1" spans="1:70">
      <c r="A3" s="199"/>
      <c r="B3" s="308"/>
      <c r="C3" s="308"/>
      <c r="D3" s="308"/>
      <c r="E3" s="308"/>
      <c r="F3" s="308"/>
      <c r="G3" s="308"/>
      <c r="H3" s="308"/>
      <c r="I3" s="313"/>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row>
    <row r="4" ht="23.25" hidden="1" customHeight="1" spans="8:80">
      <c r="H4" s="123"/>
      <c r="I4" s="123">
        <v>0</v>
      </c>
      <c r="J4" s="138">
        <f>I4+1</f>
        <v>1</v>
      </c>
      <c r="K4" s="138">
        <f t="shared" ref="K4:BR4" si="0">J4+1</f>
        <v>2</v>
      </c>
      <c r="L4" s="138">
        <f t="shared" si="0"/>
        <v>3</v>
      </c>
      <c r="M4" s="138">
        <f t="shared" si="0"/>
        <v>4</v>
      </c>
      <c r="N4" s="138">
        <f t="shared" si="0"/>
        <v>5</v>
      </c>
      <c r="O4" s="138">
        <f t="shared" si="0"/>
        <v>6</v>
      </c>
      <c r="P4" s="138">
        <f t="shared" si="0"/>
        <v>7</v>
      </c>
      <c r="Q4" s="138">
        <f t="shared" si="0"/>
        <v>8</v>
      </c>
      <c r="R4" s="138">
        <f t="shared" si="0"/>
        <v>9</v>
      </c>
      <c r="S4" s="138">
        <f t="shared" si="0"/>
        <v>10</v>
      </c>
      <c r="T4" s="138">
        <f t="shared" si="0"/>
        <v>11</v>
      </c>
      <c r="U4" s="138">
        <f t="shared" si="0"/>
        <v>12</v>
      </c>
      <c r="V4" s="138">
        <f t="shared" si="0"/>
        <v>13</v>
      </c>
      <c r="W4" s="138">
        <f t="shared" si="0"/>
        <v>14</v>
      </c>
      <c r="X4" s="138">
        <f t="shared" si="0"/>
        <v>15</v>
      </c>
      <c r="Y4" s="138">
        <f t="shared" si="0"/>
        <v>16</v>
      </c>
      <c r="Z4" s="138">
        <f t="shared" si="0"/>
        <v>17</v>
      </c>
      <c r="AA4" s="138">
        <f t="shared" si="0"/>
        <v>18</v>
      </c>
      <c r="AB4" s="138">
        <f t="shared" si="0"/>
        <v>19</v>
      </c>
      <c r="AC4" s="138">
        <f t="shared" si="0"/>
        <v>20</v>
      </c>
      <c r="AD4" s="138">
        <f t="shared" si="0"/>
        <v>21</v>
      </c>
      <c r="AE4" s="138">
        <f t="shared" si="0"/>
        <v>22</v>
      </c>
      <c r="AF4" s="138">
        <f t="shared" si="0"/>
        <v>23</v>
      </c>
      <c r="AG4" s="138">
        <f t="shared" si="0"/>
        <v>24</v>
      </c>
      <c r="AH4" s="138">
        <f t="shared" si="0"/>
        <v>25</v>
      </c>
      <c r="AI4" s="138">
        <f t="shared" si="0"/>
        <v>26</v>
      </c>
      <c r="AJ4" s="138">
        <f t="shared" si="0"/>
        <v>27</v>
      </c>
      <c r="AK4" s="138">
        <f t="shared" si="0"/>
        <v>28</v>
      </c>
      <c r="AL4" s="138">
        <f t="shared" si="0"/>
        <v>29</v>
      </c>
      <c r="AM4" s="138">
        <f t="shared" si="0"/>
        <v>30</v>
      </c>
      <c r="AN4" s="138">
        <f t="shared" si="0"/>
        <v>31</v>
      </c>
      <c r="AO4" s="138">
        <f t="shared" si="0"/>
        <v>32</v>
      </c>
      <c r="AP4" s="138">
        <f t="shared" si="0"/>
        <v>33</v>
      </c>
      <c r="AQ4" s="138">
        <f t="shared" si="0"/>
        <v>34</v>
      </c>
      <c r="AR4" s="138">
        <f t="shared" si="0"/>
        <v>35</v>
      </c>
      <c r="AS4" s="138">
        <f t="shared" si="0"/>
        <v>36</v>
      </c>
      <c r="AT4" s="138">
        <f t="shared" si="0"/>
        <v>37</v>
      </c>
      <c r="AU4" s="138">
        <f t="shared" si="0"/>
        <v>38</v>
      </c>
      <c r="AV4" s="138">
        <f t="shared" si="0"/>
        <v>39</v>
      </c>
      <c r="AW4" s="138">
        <f t="shared" si="0"/>
        <v>40</v>
      </c>
      <c r="AX4" s="138">
        <f t="shared" si="0"/>
        <v>41</v>
      </c>
      <c r="AY4" s="138">
        <f t="shared" si="0"/>
        <v>42</v>
      </c>
      <c r="AZ4" s="138">
        <f t="shared" si="0"/>
        <v>43</v>
      </c>
      <c r="BA4" s="138">
        <f t="shared" si="0"/>
        <v>44</v>
      </c>
      <c r="BB4" s="138">
        <f t="shared" si="0"/>
        <v>45</v>
      </c>
      <c r="BC4" s="138">
        <f t="shared" si="0"/>
        <v>46</v>
      </c>
      <c r="BD4" s="138">
        <f t="shared" si="0"/>
        <v>47</v>
      </c>
      <c r="BE4" s="138">
        <f t="shared" si="0"/>
        <v>48</v>
      </c>
      <c r="BF4" s="138">
        <f t="shared" si="0"/>
        <v>49</v>
      </c>
      <c r="BG4" s="138">
        <f t="shared" si="0"/>
        <v>50</v>
      </c>
      <c r="BH4" s="138">
        <f t="shared" si="0"/>
        <v>51</v>
      </c>
      <c r="BI4" s="138">
        <f t="shared" si="0"/>
        <v>52</v>
      </c>
      <c r="BJ4" s="138">
        <f t="shared" si="0"/>
        <v>53</v>
      </c>
      <c r="BK4" s="138">
        <f t="shared" si="0"/>
        <v>54</v>
      </c>
      <c r="BL4" s="138">
        <f t="shared" si="0"/>
        <v>55</v>
      </c>
      <c r="BM4" s="138">
        <f t="shared" si="0"/>
        <v>56</v>
      </c>
      <c r="BN4" s="138">
        <f t="shared" si="0"/>
        <v>57</v>
      </c>
      <c r="BO4" s="138">
        <f t="shared" si="0"/>
        <v>58</v>
      </c>
      <c r="BP4" s="138">
        <f t="shared" si="0"/>
        <v>59</v>
      </c>
      <c r="BQ4" s="138">
        <f t="shared" si="0"/>
        <v>60</v>
      </c>
      <c r="BR4" s="138">
        <f t="shared" si="0"/>
        <v>61</v>
      </c>
      <c r="BS4" s="151"/>
      <c r="BT4" s="151"/>
      <c r="BU4" s="151"/>
      <c r="BV4" s="151"/>
      <c r="BW4" s="151"/>
      <c r="BX4" s="151"/>
      <c r="BY4" s="151"/>
      <c r="BZ4" s="151"/>
      <c r="CA4" s="151"/>
      <c r="CB4" s="151"/>
    </row>
    <row r="5" s="111" customFormat="1" ht="50.1" customHeight="1" spans="1:80">
      <c r="A5"/>
      <c r="B5" s="125" t="str">
        <f>tblIndicators!A1</f>
        <v>ID</v>
      </c>
      <c r="C5" s="125" t="str">
        <f>tblIndicators!B1</f>
        <v>IS_BG</v>
      </c>
      <c r="D5" s="125" t="s">
        <v>158</v>
      </c>
      <c r="E5" s="126" t="str">
        <f>tblIndicators!E1</f>
        <v>PARENT_CODE</v>
      </c>
      <c r="F5" s="126" t="s">
        <v>159</v>
      </c>
      <c r="G5" s="127" t="str">
        <f>tblIndicators!Z1</f>
        <v>NORM_ID (1=sumproduct, 2=min max set by data values, 2=min max set by user here)</v>
      </c>
      <c r="H5" s="309" t="s">
        <v>97</v>
      </c>
      <c r="I5" s="314" t="s">
        <v>12</v>
      </c>
      <c r="J5" s="315" t="str">
        <f>IF(CHOOSE(uxb_works!$B$46,"-",Data_2014_N!J5,Data_2017!J5)="","",CHOOSE(uxb_works!$B$46,"-",Data_2014_N!J5,Data_2017!J5))</f>
        <v>Abu Dhabi</v>
      </c>
      <c r="K5" s="316" t="str">
        <f>IF(CHOOSE(uxb_works!$B$46,"-",Data_2014_N!K5,Data_2017!K5)="","",CHOOSE(uxb_works!$B$46,"-",Data_2014_N!K5,Data_2017!K5))</f>
        <v>Amsterdam</v>
      </c>
      <c r="L5" s="316" t="str">
        <f>IF(CHOOSE(uxb_works!$B$46,"-",Data_2014_N!L5,Data_2017!L5)="","",CHOOSE(uxb_works!$B$46,"-",Data_2014_N!L5,Data_2017!L5))</f>
        <v>Athens</v>
      </c>
      <c r="M5" s="315" t="str">
        <f>IF(CHOOSE(uxb_works!$B$46,"-",Data_2014_N!M5,Data_2017!M5)="","",CHOOSE(uxb_works!$B$46,"-",Data_2014_N!M5,Data_2017!M5))</f>
        <v>Bangkok</v>
      </c>
      <c r="N5" s="315" t="str">
        <f>IF(CHOOSE(uxb_works!$B$46,"-",Data_2014_N!N5,Data_2017!N5)="","",CHOOSE(uxb_works!$B$46,"-",Data_2014_N!N5,Data_2017!N5))</f>
        <v>Barcelona</v>
      </c>
      <c r="O5" s="315" t="str">
        <f>IF(CHOOSE(uxb_works!$B$46,"-",Data_2014_N!O5,Data_2017!O5)="","",CHOOSE(uxb_works!$B$46,"-",Data_2014_N!O5,Data_2017!O5))</f>
        <v>Beijing</v>
      </c>
      <c r="P5" s="316" t="str">
        <f>IF(CHOOSE(uxb_works!$B$46,"-",Data_2014_N!P5,Data_2017!P5)="","",CHOOSE(uxb_works!$B$46,"-",Data_2014_N!P5,Data_2017!P5))</f>
        <v>Bogota</v>
      </c>
      <c r="Q5" s="316" t="str">
        <f>IF(CHOOSE(uxb_works!$B$46,"-",Data_2014_N!Q5,Data_2017!Q5)="","",CHOOSE(uxb_works!$B$46,"-",Data_2014_N!Q5,Data_2017!Q5))</f>
        <v>Brussels</v>
      </c>
      <c r="R5" s="316" t="str">
        <f>IF(CHOOSE(uxb_works!$B$46,"-",Data_2014_N!R5,Data_2017!R5)="","",CHOOSE(uxb_works!$B$46,"-",Data_2014_N!R5,Data_2017!R5))</f>
        <v>Buenos Aires</v>
      </c>
      <c r="S5" s="316" t="str">
        <f>IF(CHOOSE(uxb_works!$B$46,"-",Data_2014_N!S5,Data_2017!S5)="","",CHOOSE(uxb_works!$B$46,"-",Data_2014_N!S5,Data_2017!S5))</f>
        <v>Cairo</v>
      </c>
      <c r="T5" s="316" t="str">
        <f>IF(CHOOSE(uxb_works!$B$46,"-",Data_2014_N!T5,Data_2017!T5)="","",CHOOSE(uxb_works!$B$46,"-",Data_2014_N!T5,Data_2017!T5))</f>
        <v>Caracas</v>
      </c>
      <c r="U5" s="320" t="str">
        <f>IF(CHOOSE(uxb_works!$B$46,"-",Data_2014_N!U5,Data_2017!U5)="","",CHOOSE(uxb_works!$B$46,"-",Data_2014_N!U5,Data_2017!U5))</f>
        <v>Casablanca</v>
      </c>
      <c r="V5" s="321" t="str">
        <f>IF(CHOOSE(uxb_works!$B$46,"-",Data_2014_N!V5,Data_2017!V5)="","",CHOOSE(uxb_works!$B$46,"-",Data_2014_N!V5,Data_2017!V5))</f>
        <v>Chicago</v>
      </c>
      <c r="W5" s="316" t="str">
        <f>IF(CHOOSE(uxb_works!$B$46,"-",Data_2014_N!W5,Data_2017!W5)="","",CHOOSE(uxb_works!$B$46,"-",Data_2014_N!W5,Data_2017!W5))</f>
        <v>Dallas</v>
      </c>
      <c r="X5" s="316" t="str">
        <f>IF(CHOOSE(uxb_works!$B$46,"-",Data_2014_N!X5,Data_2017!X5)="","",CHOOSE(uxb_works!$B$46,"-",Data_2014_N!X5,Data_2017!X5))</f>
        <v>Delhi</v>
      </c>
      <c r="Y5" s="316" t="str">
        <f>IF(CHOOSE(uxb_works!$B$46,"-",Data_2014_N!Y5,Data_2017!Y5)="","",CHOOSE(uxb_works!$B$46,"-",Data_2014_N!Y5,Data_2017!Y5))</f>
        <v>Dhaka</v>
      </c>
      <c r="Z5" s="316" t="str">
        <f>IF(CHOOSE(uxb_works!$B$46,"-",Data_2014_N!Z5,Data_2017!Z5)="","",CHOOSE(uxb_works!$B$46,"-",Data_2014_N!Z5,Data_2017!Z5))</f>
        <v>Doha</v>
      </c>
      <c r="AA5" s="316" t="str">
        <f>IF(CHOOSE(uxb_works!$B$46,"-",Data_2014_N!AA5,Data_2017!AA5)="","",CHOOSE(uxb_works!$B$46,"-",Data_2014_N!AA5,Data_2017!AA5))</f>
        <v>Frankfurt</v>
      </c>
      <c r="AB5" s="316" t="str">
        <f>IF(CHOOSE(uxb_works!$B$46,"-",Data_2014_N!AB5,Data_2017!AB5)="","",CHOOSE(uxb_works!$B$46,"-",Data_2014_N!AB5,Data_2017!AB5))</f>
        <v>Ho Chi Minh City</v>
      </c>
      <c r="AC5" s="316" t="str">
        <f>IF(CHOOSE(uxb_works!$B$46,"-",Data_2014_N!AC5,Data_2017!AC5)="","",CHOOSE(uxb_works!$B$46,"-",Data_2014_N!AC5,Data_2017!AC5))</f>
        <v>Hong Kong</v>
      </c>
      <c r="AD5" s="316" t="str">
        <f>IF(CHOOSE(uxb_works!$B$46,"-",Data_2014_N!AD5,Data_2017!AD5)="","",CHOOSE(uxb_works!$B$46,"-",Data_2014_N!AD5,Data_2017!AD5))</f>
        <v>Istanbul</v>
      </c>
      <c r="AE5" s="316" t="str">
        <f>IF(CHOOSE(uxb_works!$B$46,"-",Data_2014_N!AE5,Data_2017!AE5)="","",CHOOSE(uxb_works!$B$46,"-",Data_2014_N!AE5,Data_2017!AE5))</f>
        <v>Jakarta</v>
      </c>
      <c r="AF5" s="316" t="str">
        <f>IF(CHOOSE(uxb_works!$B$46,"-",Data_2014_N!AF5,Data_2017!AF5)="","",CHOOSE(uxb_works!$B$46,"-",Data_2014_N!AF5,Data_2017!AF5))</f>
        <v>Jeddah</v>
      </c>
      <c r="AG5" s="316" t="str">
        <f>IF(CHOOSE(uxb_works!$B$46,"-",Data_2014_N!AG5,Data_2017!AG5)="","",CHOOSE(uxb_works!$B$46,"-",Data_2014_N!AG5,Data_2017!AG5))</f>
        <v>Johannesburg</v>
      </c>
      <c r="AH5" s="316" t="str">
        <f>IF(CHOOSE(uxb_works!$B$46,"-",Data_2014_N!AH5,Data_2017!AH5)="","",CHOOSE(uxb_works!$B$46,"-",Data_2014_N!AH5,Data_2017!AH5))</f>
        <v>Karachi</v>
      </c>
      <c r="AI5" s="316" t="str">
        <f>IF(CHOOSE(uxb_works!$B$46,"-",Data_2014_N!AI5,Data_2017!AI5)="","",CHOOSE(uxb_works!$B$46,"-",Data_2014_N!AI5,Data_2017!AI5))</f>
        <v>Kuala Lumpur</v>
      </c>
      <c r="AJ5" s="316" t="str">
        <f>IF(CHOOSE(uxb_works!$B$46,"-",Data_2014_N!AJ5,Data_2017!AJ5)="","",CHOOSE(uxb_works!$B$46,"-",Data_2014_N!AJ5,Data_2017!AJ5))</f>
        <v>Kuwait City</v>
      </c>
      <c r="AK5" s="316" t="e">
        <f>IF(CHOOSE(uxb_works!$B$46,"-",Data_2014_N!AK5,Data_2017!#REF!)="","",CHOOSE(uxb_works!$B$46,"-",Data_2014_N!AK5,Data_2017!#REF!))</f>
        <v>#REF!</v>
      </c>
      <c r="AL5" s="316" t="str">
        <f>IF(CHOOSE(uxb_works!$B$46,"-",Data_2014_N!AL5,Data_2017!AK5)="","",CHOOSE(uxb_works!$B$46,"-",Data_2014_N!AL5,Data_2017!AK5))</f>
        <v>Lima</v>
      </c>
      <c r="AM5" s="316" t="str">
        <f>IF(CHOOSE(uxb_works!$B$46,"-",Data_2014_N!AM5,Data_2017!AL5)="","",CHOOSE(uxb_works!$B$46,"-",Data_2014_N!AM5,Data_2017!AL5))</f>
        <v>London</v>
      </c>
      <c r="AN5" s="316" t="str">
        <f>IF(CHOOSE(uxb_works!$B$46,"-",Data_2014_N!AN5,Data_2017!AM5)="","",CHOOSE(uxb_works!$B$46,"-",Data_2014_N!AN5,Data_2017!AM5))</f>
        <v>Los Angeles</v>
      </c>
      <c r="AO5" s="316" t="str">
        <f>IF(CHOOSE(uxb_works!$B$46,"-",Data_2014_N!AO5,Data_2017!AN5)="","",CHOOSE(uxb_works!$B$46,"-",Data_2014_N!AO5,Data_2017!AN5))</f>
        <v>Madrid</v>
      </c>
      <c r="AP5" s="316" t="str">
        <f>IF(CHOOSE(uxb_works!$B$46,"-",Data_2014_N!AP5,Data_2017!AO5)="","",CHOOSE(uxb_works!$B$46,"-",Data_2014_N!AP5,Data_2017!AO5))</f>
        <v>Manila</v>
      </c>
      <c r="AQ5" s="316" t="str">
        <f>IF(CHOOSE(uxb_works!$B$46,"-",Data_2014_N!AQ5,Data_2017!AP5)="","",CHOOSE(uxb_works!$B$46,"-",Data_2014_N!AQ5,Data_2017!AP5))</f>
        <v>Melbourne</v>
      </c>
      <c r="AR5" s="316" t="str">
        <f>IF(CHOOSE(uxb_works!$B$46,"-",Data_2014_N!AR5,Data_2017!AQ5)="","",CHOOSE(uxb_works!$B$46,"-",Data_2014_N!AR5,Data_2017!AQ5))</f>
        <v>Mexico City</v>
      </c>
      <c r="AS5" s="316" t="str">
        <f>IF(CHOOSE(uxb_works!$B$46,"-",Data_2014_N!AS5,Data_2017!AR5)="","",CHOOSE(uxb_works!$B$46,"-",Data_2014_N!AS5,Data_2017!AR5))</f>
        <v>Milan</v>
      </c>
      <c r="AT5" s="316" t="str">
        <f>IF(CHOOSE(uxb_works!$B$46,"-",Data_2014_N!AT5,Data_2017!AS5)="","",CHOOSE(uxb_works!$B$46,"-",Data_2014_N!AT5,Data_2017!AS5))</f>
        <v>Moscow</v>
      </c>
      <c r="AU5" s="316" t="str">
        <f>IF(CHOOSE(uxb_works!$B$46,"-",Data_2014_N!AU5,Data_2017!AT5)="","",CHOOSE(uxb_works!$B$46,"-",Data_2014_N!AU5,Data_2017!AT5))</f>
        <v>Mumbai</v>
      </c>
      <c r="AV5" s="316" t="str">
        <f>IF(CHOOSE(uxb_works!$B$46,"-",Data_2014_N!AV5,Data_2017!AU5)="","",CHOOSE(uxb_works!$B$46,"-",Data_2014_N!AV5,Data_2017!AU5))</f>
        <v>New York</v>
      </c>
      <c r="AW5" s="316" t="str">
        <f>IF(CHOOSE(uxb_works!$B$46,"-",Data_2014_N!AW5,Data_2017!AV5)="","",CHOOSE(uxb_works!$B$46,"-",Data_2014_N!AW5,Data_2017!AV5))</f>
        <v>Osaka</v>
      </c>
      <c r="AX5" s="316" t="str">
        <f>IF(CHOOSE(uxb_works!$B$46,"-",Data_2014_N!AX5,Data_2017!AW5)="","",CHOOSE(uxb_works!$B$46,"-",Data_2014_N!AX5,Data_2017!AW5))</f>
        <v>Paris</v>
      </c>
      <c r="AY5" s="316" t="str">
        <f>IF(CHOOSE(uxb_works!$B$46,"-",Data_2014_N!AY5,Data_2017!AX5)="","",CHOOSE(uxb_works!$B$46,"-",Data_2014_N!AY5,Data_2017!AX5))</f>
        <v>Quito</v>
      </c>
      <c r="AZ5" s="316" t="str">
        <f>IF(CHOOSE(uxb_works!$B$46,"-",Data_2014_N!AZ5,Data_2017!AY5)="","",CHOOSE(uxb_works!$B$46,"-",Data_2014_N!AZ5,Data_2017!AY5))</f>
        <v>Rio de Janeiro</v>
      </c>
      <c r="BA5" s="316" t="str">
        <f>IF(CHOOSE(uxb_works!$B$46,"-",Data_2014_N!BA5,Data_2017!AZ5)="","",CHOOSE(uxb_works!$B$46,"-",Data_2014_N!BA5,Data_2017!AZ5))</f>
        <v>Riyadh</v>
      </c>
      <c r="BB5" s="316" t="str">
        <f>IF(CHOOSE(uxb_works!$B$46,"-",Data_2014_N!BB5,Data_2017!BA5)="","",CHOOSE(uxb_works!$B$46,"-",Data_2014_N!BB5,Data_2017!BA5))</f>
        <v>Rome</v>
      </c>
      <c r="BC5" s="316" t="str">
        <f>IF(CHOOSE(uxb_works!$B$46,"-",Data_2014_N!BC5,Data_2017!BB5)="","",CHOOSE(uxb_works!$B$46,"-",Data_2014_N!BC5,Data_2017!BB5))</f>
        <v>San Francisco</v>
      </c>
      <c r="BD5" s="316" t="str">
        <f>IF(CHOOSE(uxb_works!$B$46,"-",Data_2014_N!BD5,Data_2017!BC5)="","",CHOOSE(uxb_works!$B$46,"-",Data_2014_N!BD5,Data_2017!BC5))</f>
        <v>Santiago</v>
      </c>
      <c r="BE5" s="316" t="str">
        <f>IF(CHOOSE(uxb_works!$B$46,"-",Data_2014_N!BE5,Data_2017!BD5)="","",CHOOSE(uxb_works!$B$46,"-",Data_2014_N!BE5,Data_2017!BD5))</f>
        <v>Sao Paulo</v>
      </c>
      <c r="BF5" s="316" t="str">
        <f>IF(CHOOSE(uxb_works!$B$46,"-",Data_2014_N!BF5,Data_2017!BE5)="","",CHOOSE(uxb_works!$B$46,"-",Data_2014_N!BF5,Data_2017!BE5))</f>
        <v>Seoul</v>
      </c>
      <c r="BG5" s="316" t="str">
        <f>IF(CHOOSE(uxb_works!$B$46,"-",Data_2014_N!BG5,Data_2017!BF5)="","",CHOOSE(uxb_works!$B$46,"-",Data_2014_N!BG5,Data_2017!BF5))</f>
        <v>Shanghai</v>
      </c>
      <c r="BH5" s="316" t="str">
        <f>IF(CHOOSE(uxb_works!$B$46,"-",Data_2014_N!BH5,Data_2017!BG5)="","",CHOOSE(uxb_works!$B$46,"-",Data_2014_N!BH5,Data_2017!BG5))</f>
        <v>Singapore</v>
      </c>
      <c r="BI5" s="316" t="str">
        <f>IF(CHOOSE(uxb_works!$B$46,"-",Data_2014_N!BI5,Data_2017!BH5)="","",CHOOSE(uxb_works!$B$46,"-",Data_2014_N!BI5,Data_2017!BH5))</f>
        <v>Stockholm</v>
      </c>
      <c r="BJ5" s="316" t="str">
        <f>IF(CHOOSE(uxb_works!$B$46,"-",Data_2014_N!BJ5,Data_2017!BI5)="","",CHOOSE(uxb_works!$B$46,"-",Data_2014_N!BJ5,Data_2017!BI5))</f>
        <v>Sydney</v>
      </c>
      <c r="BK5" s="316" t="str">
        <f>IF(CHOOSE(uxb_works!$B$46,"-",Data_2014_N!BK5,Data_2017!BJ5)="","",CHOOSE(uxb_works!$B$46,"-",Data_2014_N!BK5,Data_2017!BJ5))</f>
        <v>Taipei</v>
      </c>
      <c r="BL5" s="316" t="str">
        <f>IF(CHOOSE(uxb_works!$B$46,"-",Data_2014_N!BL5,Data_2017!BK5)="","",CHOOSE(uxb_works!$B$46,"-",Data_2014_N!BL5,Data_2017!BK5))</f>
        <v>Tehran</v>
      </c>
      <c r="BM5" s="316" t="str">
        <f>IF(CHOOSE(uxb_works!$B$46,"-",Data_2014_N!BM5,Data_2017!BL5)="","",CHOOSE(uxb_works!$B$46,"-",Data_2014_N!BM5,Data_2017!BL5))</f>
        <v>Tokyo</v>
      </c>
      <c r="BN5" s="316" t="str">
        <f>IF(CHOOSE(uxb_works!$B$46,"-",Data_2014_N!BN5,Data_2017!BM5)="","",CHOOSE(uxb_works!$B$46,"-",Data_2014_N!BN5,Data_2017!BM5))</f>
        <v>Toronto</v>
      </c>
      <c r="BO5" s="316" t="str">
        <f>IF(CHOOSE(uxb_works!$B$46,"-",Data_2014_N!BO5,Data_2017!BN5)="","",CHOOSE(uxb_works!$B$46,"-",Data_2014_N!BO5,Data_2017!BN5))</f>
        <v>Washington DC</v>
      </c>
      <c r="BP5" s="316" t="str">
        <f>IF(CHOOSE(uxb_works!$B$46,"-",Data_2014_N!BP5,Data_2017!BO5)="","",CHOOSE(uxb_works!$B$46,"-",Data_2014_N!BP5,Data_2017!BO5))</f>
        <v>Wellington</v>
      </c>
      <c r="BQ5" s="316" t="str">
        <f>IF(CHOOSE(uxb_works!$B$46,"-",Data_2014_N!BQ5,Data_2017!BP5)="","",CHOOSE(uxb_works!$B$46,"-",Data_2014_N!BQ5,Data_2017!BP5))</f>
        <v>Yangon</v>
      </c>
      <c r="BR5" s="322" t="str">
        <f>IF(CHOOSE(uxb_works!$B$46,"-",Data_2014_N!BR5,Data_2017!BR5)="","",CHOOSE(uxb_works!$B$46,"-",Data_2014_N!BR5,Data_2017!BR5))</f>
        <v>Kyoto</v>
      </c>
      <c r="BS5" s="152"/>
      <c r="BT5" s="152"/>
      <c r="BU5" s="152"/>
      <c r="BV5" s="152"/>
      <c r="BW5" s="152"/>
      <c r="BX5" s="152"/>
      <c r="BY5" s="152"/>
      <c r="BZ5" s="152"/>
      <c r="CA5" s="152"/>
      <c r="CB5" s="152"/>
    </row>
    <row r="6" s="112" customFormat="1" ht="30" customHeight="1" spans="1:70">
      <c r="A6"/>
      <c r="B6" s="130">
        <f>tblIndicators!A2</f>
        <v>1</v>
      </c>
      <c r="C6" s="130">
        <f>tblIndicators!B2</f>
        <v>0</v>
      </c>
      <c r="D6" s="310">
        <v>5</v>
      </c>
      <c r="E6" s="130" t="str">
        <f>tblIndicators!E2</f>
        <v>OVERALL SCORE</v>
      </c>
      <c r="F6" s="130" t="str">
        <f>tblIndicators!H2</f>
        <v>OVERALL SCORE</v>
      </c>
      <c r="G6" s="130">
        <f>tblIndicators!Z2</f>
        <v>1</v>
      </c>
      <c r="H6" s="311" t="str">
        <f>CHOOSE(uxb_works!$B$46,#REF!,Data_2014_N!H6,Data_2017!H6)</f>
        <v>OVERALL SCORE</v>
      </c>
      <c r="I6" s="317" t="str">
        <f>IF(CHOOSE(uxb_works!$B$46,#REF!,Data_2014_N!I6,Data_2017!I6)="","",CHOOSE(uxb_works!$B$46,#REF!,Data_2014_N!I6,Data_2017!I6))</f>
        <v/>
      </c>
      <c r="J6" s="142" t="str">
        <f>IF(CHOOSE(uxb_works!$B$46,"-",Data_2014_N!J6,Data_2017!J6)="","",CHOOSE(uxb_works!$B$46,"-",Data_2014_N!J6,Data_2017!J6))</f>
        <v/>
      </c>
      <c r="K6" s="143" t="str">
        <f>IF(CHOOSE(uxb_works!$B$46,"-",Data_2014_N!K6,Data_2017!K6)="","",CHOOSE(uxb_works!$B$46,"-",Data_2014_N!K6,Data_2017!K6))</f>
        <v/>
      </c>
      <c r="L6" s="142" t="str">
        <f>IF(CHOOSE(uxb_works!$B$46,"-",Data_2014_N!L6,Data_2017!L6)="","",CHOOSE(uxb_works!$B$46,"-",Data_2014_N!L6,Data_2017!L6))</f>
        <v/>
      </c>
      <c r="M6" s="143" t="str">
        <f>IF(CHOOSE(uxb_works!$B$46,"-",Data_2014_N!M6,Data_2017!M6)="","",CHOOSE(uxb_works!$B$46,"-",Data_2014_N!M6,Data_2017!M6))</f>
        <v/>
      </c>
      <c r="N6" s="142" t="str">
        <f>IF(CHOOSE(uxb_works!$B$46,"-",Data_2014_N!N6,Data_2017!N6)="","",CHOOSE(uxb_works!$B$46,"-",Data_2014_N!N6,Data_2017!N6))</f>
        <v/>
      </c>
      <c r="O6" s="143" t="str">
        <f>IF(CHOOSE(uxb_works!$B$46,"-",Data_2014_N!O6,Data_2017!O6)="","",CHOOSE(uxb_works!$B$46,"-",Data_2014_N!O6,Data_2017!O6))</f>
        <v/>
      </c>
      <c r="P6" s="142" t="str">
        <f>IF(CHOOSE(uxb_works!$B$46,"-",Data_2014_N!P6,Data_2017!P6)="","",CHOOSE(uxb_works!$B$46,"-",Data_2014_N!P6,Data_2017!P6))</f>
        <v/>
      </c>
      <c r="Q6" s="143" t="str">
        <f>IF(CHOOSE(uxb_works!$B$46,"-",Data_2014_N!Q6,Data_2017!Q6)="","",CHOOSE(uxb_works!$B$46,"-",Data_2014_N!Q6,Data_2017!Q6))</f>
        <v/>
      </c>
      <c r="R6" s="142" t="str">
        <f>IF(CHOOSE(uxb_works!$B$46,"-",Data_2014_N!R6,Data_2017!R6)="","",CHOOSE(uxb_works!$B$46,"-",Data_2014_N!R6,Data_2017!R6))</f>
        <v/>
      </c>
      <c r="S6" s="143" t="str">
        <f>IF(CHOOSE(uxb_works!$B$46,"-",Data_2014_N!S6,Data_2017!S6)="","",CHOOSE(uxb_works!$B$46,"-",Data_2014_N!S6,Data_2017!S6))</f>
        <v/>
      </c>
      <c r="T6" s="142" t="str">
        <f>IF(CHOOSE(uxb_works!$B$46,"-",Data_2014_N!T6,Data_2017!T6)="","",CHOOSE(uxb_works!$B$46,"-",Data_2014_N!T6,Data_2017!T6))</f>
        <v/>
      </c>
      <c r="U6" s="143" t="str">
        <f>IF(CHOOSE(uxb_works!$B$46,"-",Data_2014_N!U6,Data_2017!U6)="","",CHOOSE(uxb_works!$B$46,"-",Data_2014_N!U6,Data_2017!U6))</f>
        <v/>
      </c>
      <c r="V6" s="142" t="str">
        <f>IF(CHOOSE(uxb_works!$B$46,"-",Data_2014_N!V6,Data_2017!V6)="","",CHOOSE(uxb_works!$B$46,"-",Data_2014_N!V6,Data_2017!V6))</f>
        <v/>
      </c>
      <c r="W6" s="143" t="str">
        <f>IF(CHOOSE(uxb_works!$B$46,"-",Data_2014_N!W6,Data_2017!W6)="","",CHOOSE(uxb_works!$B$46,"-",Data_2014_N!W6,Data_2017!W6))</f>
        <v/>
      </c>
      <c r="X6" s="142" t="str">
        <f>IF(CHOOSE(uxb_works!$B$46,"-",Data_2014_N!X6,Data_2017!X6)="","",CHOOSE(uxb_works!$B$46,"-",Data_2014_N!X6,Data_2017!X6))</f>
        <v/>
      </c>
      <c r="Y6" s="143" t="str">
        <f>IF(CHOOSE(uxb_works!$B$46,"-",Data_2014_N!Y6,Data_2017!Y6)="","",CHOOSE(uxb_works!$B$46,"-",Data_2014_N!Y6,Data_2017!Y6))</f>
        <v/>
      </c>
      <c r="Z6" s="142" t="str">
        <f>IF(CHOOSE(uxb_works!$B$46,"-",Data_2014_N!Z6,Data_2017!Z6)="","",CHOOSE(uxb_works!$B$46,"-",Data_2014_N!Z6,Data_2017!Z6))</f>
        <v/>
      </c>
      <c r="AA6" s="143" t="str">
        <f>IF(CHOOSE(uxb_works!$B$46,"-",Data_2014_N!AA6,Data_2017!AA6)="","",CHOOSE(uxb_works!$B$46,"-",Data_2014_N!AA6,Data_2017!AA6))</f>
        <v/>
      </c>
      <c r="AB6" s="142" t="str">
        <f>IF(CHOOSE(uxb_works!$B$46,"-",Data_2014_N!AB6,Data_2017!AB6)="","",CHOOSE(uxb_works!$B$46,"-",Data_2014_N!AB6,Data_2017!AB6))</f>
        <v/>
      </c>
      <c r="AC6" s="143" t="str">
        <f>IF(CHOOSE(uxb_works!$B$46,"-",Data_2014_N!AC6,Data_2017!AC6)="","",CHOOSE(uxb_works!$B$46,"-",Data_2014_N!AC6,Data_2017!AC6))</f>
        <v/>
      </c>
      <c r="AD6" s="142" t="str">
        <f>IF(CHOOSE(uxb_works!$B$46,"-",Data_2014_N!AD6,Data_2017!AD6)="","",CHOOSE(uxb_works!$B$46,"-",Data_2014_N!AD6,Data_2017!AD6))</f>
        <v/>
      </c>
      <c r="AE6" s="143" t="str">
        <f>IF(CHOOSE(uxb_works!$B$46,"-",Data_2014_N!AE6,Data_2017!AE6)="","",CHOOSE(uxb_works!$B$46,"-",Data_2014_N!AE6,Data_2017!AE6))</f>
        <v/>
      </c>
      <c r="AF6" s="143" t="str">
        <f>IF(CHOOSE(uxb_works!$B$46,"-",Data_2014_N!AF6,Data_2017!AF6)="","",CHOOSE(uxb_works!$B$46,"-",Data_2014_N!AF6,Data_2017!AF6))</f>
        <v/>
      </c>
      <c r="AG6" s="143" t="str">
        <f>IF(CHOOSE(uxb_works!$B$46,"-",Data_2014_N!AG6,Data_2017!AG6)="","",CHOOSE(uxb_works!$B$46,"-",Data_2014_N!AG6,Data_2017!AG6))</f>
        <v/>
      </c>
      <c r="AH6" s="143" t="str">
        <f>IF(CHOOSE(uxb_works!$B$46,"-",Data_2014_N!AH6,Data_2017!AH6)="","",CHOOSE(uxb_works!$B$46,"-",Data_2014_N!AH6,Data_2017!AH6))</f>
        <v/>
      </c>
      <c r="AI6" s="143" t="str">
        <f>IF(CHOOSE(uxb_works!$B$46,"-",Data_2014_N!AI6,Data_2017!AI6)="","",CHOOSE(uxb_works!$B$46,"-",Data_2014_N!AI6,Data_2017!AI6))</f>
        <v/>
      </c>
      <c r="AJ6" s="143" t="str">
        <f>IF(CHOOSE(uxb_works!$B$46,"-",Data_2014_N!AJ6,Data_2017!AJ6)="","",CHOOSE(uxb_works!$B$46,"-",Data_2014_N!AJ6,Data_2017!AJ6))</f>
        <v/>
      </c>
      <c r="AK6" s="143" t="e">
        <f>IF(CHOOSE(uxb_works!$B$46,"-",Data_2014_N!AK6,Data_2017!#REF!)="","",CHOOSE(uxb_works!$B$46,"-",Data_2014_N!AK6,Data_2017!#REF!))</f>
        <v>#REF!</v>
      </c>
      <c r="AL6" s="143" t="str">
        <f>IF(CHOOSE(uxb_works!$B$46,"-",Data_2014_N!AL6,Data_2017!AK6)="","",CHOOSE(uxb_works!$B$46,"-",Data_2014_N!AL6,Data_2017!AK6))</f>
        <v/>
      </c>
      <c r="AM6" s="143" t="str">
        <f>IF(CHOOSE(uxb_works!$B$46,"-",Data_2014_N!AM6,Data_2017!AL6)="","",CHOOSE(uxb_works!$B$46,"-",Data_2014_N!AM6,Data_2017!AL6))</f>
        <v/>
      </c>
      <c r="AN6" s="143" t="str">
        <f>IF(CHOOSE(uxb_works!$B$46,"-",Data_2014_N!AN6,Data_2017!AM6)="","",CHOOSE(uxb_works!$B$46,"-",Data_2014_N!AN6,Data_2017!AM6))</f>
        <v/>
      </c>
      <c r="AO6" s="143" t="str">
        <f>IF(CHOOSE(uxb_works!$B$46,"-",Data_2014_N!AO6,Data_2017!AN6)="","",CHOOSE(uxb_works!$B$46,"-",Data_2014_N!AO6,Data_2017!AN6))</f>
        <v/>
      </c>
      <c r="AP6" s="143" t="str">
        <f>IF(CHOOSE(uxb_works!$B$46,"-",Data_2014_N!AP6,Data_2017!AO6)="","",CHOOSE(uxb_works!$B$46,"-",Data_2014_N!AP6,Data_2017!AO6))</f>
        <v/>
      </c>
      <c r="AQ6" s="143" t="str">
        <f>IF(CHOOSE(uxb_works!$B$46,"-",Data_2014_N!AQ6,Data_2017!AP6)="","",CHOOSE(uxb_works!$B$46,"-",Data_2014_N!AQ6,Data_2017!AP6))</f>
        <v/>
      </c>
      <c r="AR6" s="143" t="str">
        <f>IF(CHOOSE(uxb_works!$B$46,"-",Data_2014_N!AR6,Data_2017!AQ6)="","",CHOOSE(uxb_works!$B$46,"-",Data_2014_N!AR6,Data_2017!AQ6))</f>
        <v/>
      </c>
      <c r="AS6" s="143" t="str">
        <f>IF(CHOOSE(uxb_works!$B$46,"-",Data_2014_N!AS6,Data_2017!AR6)="","",CHOOSE(uxb_works!$B$46,"-",Data_2014_N!AS6,Data_2017!AR6))</f>
        <v/>
      </c>
      <c r="AT6" s="143" t="str">
        <f>IF(CHOOSE(uxb_works!$B$46,"-",Data_2014_N!AT6,Data_2017!AS6)="","",CHOOSE(uxb_works!$B$46,"-",Data_2014_N!AT6,Data_2017!AS6))</f>
        <v/>
      </c>
      <c r="AU6" s="143" t="str">
        <f>IF(CHOOSE(uxb_works!$B$46,"-",Data_2014_N!AU6,Data_2017!AT6)="","",CHOOSE(uxb_works!$B$46,"-",Data_2014_N!AU6,Data_2017!AT6))</f>
        <v/>
      </c>
      <c r="AV6" s="143" t="str">
        <f>IF(CHOOSE(uxb_works!$B$46,"-",Data_2014_N!AV6,Data_2017!AU6)="","",CHOOSE(uxb_works!$B$46,"-",Data_2014_N!AV6,Data_2017!AU6))</f>
        <v/>
      </c>
      <c r="AW6" s="143" t="str">
        <f>IF(CHOOSE(uxb_works!$B$46,"-",Data_2014_N!AW6,Data_2017!AV6)="","",CHOOSE(uxb_works!$B$46,"-",Data_2014_N!AW6,Data_2017!AV6))</f>
        <v/>
      </c>
      <c r="AX6" s="143" t="str">
        <f>IF(CHOOSE(uxb_works!$B$46,"-",Data_2014_N!AX6,Data_2017!AW6)="","",CHOOSE(uxb_works!$B$46,"-",Data_2014_N!AX6,Data_2017!AW6))</f>
        <v/>
      </c>
      <c r="AY6" s="143" t="str">
        <f>IF(CHOOSE(uxb_works!$B$46,"-",Data_2014_N!AY6,Data_2017!AX6)="","",CHOOSE(uxb_works!$B$46,"-",Data_2014_N!AY6,Data_2017!AX6))</f>
        <v/>
      </c>
      <c r="AZ6" s="143" t="str">
        <f>IF(CHOOSE(uxb_works!$B$46,"-",Data_2014_N!AZ6,Data_2017!AY6)="","",CHOOSE(uxb_works!$B$46,"-",Data_2014_N!AZ6,Data_2017!AY6))</f>
        <v/>
      </c>
      <c r="BA6" s="143" t="str">
        <f>IF(CHOOSE(uxb_works!$B$46,"-",Data_2014_N!BA6,Data_2017!AZ6)="","",CHOOSE(uxb_works!$B$46,"-",Data_2014_N!BA6,Data_2017!AZ6))</f>
        <v/>
      </c>
      <c r="BB6" s="143" t="str">
        <f>IF(CHOOSE(uxb_works!$B$46,"-",Data_2014_N!BB6,Data_2017!BA6)="","",CHOOSE(uxb_works!$B$46,"-",Data_2014_N!BB6,Data_2017!BA6))</f>
        <v/>
      </c>
      <c r="BC6" s="143" t="str">
        <f>IF(CHOOSE(uxb_works!$B$46,"-",Data_2014_N!BC6,Data_2017!BB6)="","",CHOOSE(uxb_works!$B$46,"-",Data_2014_N!BC6,Data_2017!BB6))</f>
        <v/>
      </c>
      <c r="BD6" s="143" t="str">
        <f>IF(CHOOSE(uxb_works!$B$46,"-",Data_2014_N!BD6,Data_2017!BC6)="","",CHOOSE(uxb_works!$B$46,"-",Data_2014_N!BD6,Data_2017!BC6))</f>
        <v/>
      </c>
      <c r="BE6" s="143" t="str">
        <f>IF(CHOOSE(uxb_works!$B$46,"-",Data_2014_N!BE6,Data_2017!BD6)="","",CHOOSE(uxb_works!$B$46,"-",Data_2014_N!BE6,Data_2017!BD6))</f>
        <v/>
      </c>
      <c r="BF6" s="143" t="str">
        <f>IF(CHOOSE(uxb_works!$B$46,"-",Data_2014_N!BF6,Data_2017!BE6)="","",CHOOSE(uxb_works!$B$46,"-",Data_2014_N!BF6,Data_2017!BE6))</f>
        <v/>
      </c>
      <c r="BG6" s="143" t="str">
        <f>IF(CHOOSE(uxb_works!$B$46,"-",Data_2014_N!BG6,Data_2017!BF6)="","",CHOOSE(uxb_works!$B$46,"-",Data_2014_N!BG6,Data_2017!BF6))</f>
        <v/>
      </c>
      <c r="BH6" s="143" t="str">
        <f>IF(CHOOSE(uxb_works!$B$46,"-",Data_2014_N!BH6,Data_2017!BG6)="","",CHOOSE(uxb_works!$B$46,"-",Data_2014_N!BH6,Data_2017!BG6))</f>
        <v/>
      </c>
      <c r="BI6" s="143" t="str">
        <f>IF(CHOOSE(uxb_works!$B$46,"-",Data_2014_N!BI6,Data_2017!BH6)="","",CHOOSE(uxb_works!$B$46,"-",Data_2014_N!BI6,Data_2017!BH6))</f>
        <v/>
      </c>
      <c r="BJ6" s="143" t="str">
        <f>IF(CHOOSE(uxb_works!$B$46,"-",Data_2014_N!BJ6,Data_2017!BI6)="","",CHOOSE(uxb_works!$B$46,"-",Data_2014_N!BJ6,Data_2017!BI6))</f>
        <v/>
      </c>
      <c r="BK6" s="143" t="str">
        <f>IF(CHOOSE(uxb_works!$B$46,"-",Data_2014_N!BK6,Data_2017!BJ6)="","",CHOOSE(uxb_works!$B$46,"-",Data_2014_N!BK6,Data_2017!BJ6))</f>
        <v/>
      </c>
      <c r="BL6" s="143" t="str">
        <f>IF(CHOOSE(uxb_works!$B$46,"-",Data_2014_N!BL6,Data_2017!BK6)="","",CHOOSE(uxb_works!$B$46,"-",Data_2014_N!BL6,Data_2017!BK6))</f>
        <v/>
      </c>
      <c r="BM6" s="143" t="str">
        <f>IF(CHOOSE(uxb_works!$B$46,"-",Data_2014_N!BM6,Data_2017!BL6)="","",CHOOSE(uxb_works!$B$46,"-",Data_2014_N!BM6,Data_2017!BL6))</f>
        <v/>
      </c>
      <c r="BN6" s="143" t="str">
        <f>IF(CHOOSE(uxb_works!$B$46,"-",Data_2014_N!BN6,Data_2017!BM6)="","",CHOOSE(uxb_works!$B$46,"-",Data_2014_N!BN6,Data_2017!BM6))</f>
        <v/>
      </c>
      <c r="BO6" s="143" t="str">
        <f>IF(CHOOSE(uxb_works!$B$46,"-",Data_2014_N!BO6,Data_2017!BN6)="","",CHOOSE(uxb_works!$B$46,"-",Data_2014_N!BO6,Data_2017!BN6))</f>
        <v/>
      </c>
      <c r="BP6" s="143" t="str">
        <f>IF(CHOOSE(uxb_works!$B$46,"-",Data_2014_N!BP6,Data_2017!BO6)="","",CHOOSE(uxb_works!$B$46,"-",Data_2014_N!BP6,Data_2017!BO6))</f>
        <v/>
      </c>
      <c r="BQ6" s="143" t="str">
        <f>IF(CHOOSE(uxb_works!$B$46,"-",Data_2014_N!BQ6,Data_2017!BP6)="","",CHOOSE(uxb_works!$B$46,"-",Data_2014_N!BQ6,Data_2017!BP6))</f>
        <v/>
      </c>
      <c r="BR6" s="323" t="str">
        <f>IF(CHOOSE(uxb_works!$B$46,"-",Data_2014_N!BR6,Data_2017!BR6)="","",CHOOSE(uxb_works!$B$46,"-",Data_2014_N!BR6,Data_2017!BR6))</f>
        <v/>
      </c>
    </row>
    <row r="7" s="112" customFormat="1" ht="22.5" customHeight="1" spans="1:70">
      <c r="A7"/>
      <c r="B7" s="133">
        <f>tblIndicators!A3</f>
        <v>2</v>
      </c>
      <c r="C7" s="133">
        <f>tblIndicators!B3</f>
        <v>0</v>
      </c>
      <c r="D7" s="310">
        <f>CHOOSE(uxb_works!$B$46,#REF!,Data_2014_N!D7,Data_2017!D7)</f>
        <v>1</v>
      </c>
      <c r="E7" s="133" t="str">
        <f>tblIndicators!E3</f>
        <v>OVERALL</v>
      </c>
      <c r="F7" s="133" t="str">
        <f>tblIndicators!H3</f>
        <v>DIGITAL SECURITY</v>
      </c>
      <c r="G7" s="133">
        <f>tblIndicators!Z3</f>
        <v>1</v>
      </c>
      <c r="H7" s="102" t="str">
        <f>REPT(" ",D7)&amp;CHOOSE(uxb_works!$B$46,#REF!,Data_2014_N!H7,Data_2017!H7)</f>
        <v>  1) DIGITAL SECURITY</v>
      </c>
      <c r="I7" s="318" t="str">
        <f>IF(CHOOSE(uxb_works!$B$46,#REF!,Data_2014_N!I7,Data_2017!I7)="","",CHOOSE(uxb_works!$B$46,#REF!,Data_2014_N!I7,Data_2017!I7))</f>
        <v/>
      </c>
      <c r="J7" s="148" t="str">
        <f>IF(CHOOSE(uxb_works!$B$46,"-",Data_2014_N!J7,Data_2017!J7)="","",CHOOSE(uxb_works!$B$46,"-",Data_2014_N!J7,Data_2017!J7))</f>
        <v/>
      </c>
      <c r="K7" s="148" t="str">
        <f>IF(CHOOSE(uxb_works!$B$46,"-",Data_2014_N!K7,Data_2017!K7)="","",CHOOSE(uxb_works!$B$46,"-",Data_2014_N!K7,Data_2017!K7))</f>
        <v/>
      </c>
      <c r="L7" s="148" t="str">
        <f>IF(CHOOSE(uxb_works!$B$46,"-",Data_2014_N!L7,Data_2017!L7)="","",CHOOSE(uxb_works!$B$46,"-",Data_2014_N!L7,Data_2017!L7))</f>
        <v/>
      </c>
      <c r="M7" s="148" t="str">
        <f>IF(CHOOSE(uxb_works!$B$46,"-",Data_2014_N!M7,Data_2017!M7)="","",CHOOSE(uxb_works!$B$46,"-",Data_2014_N!M7,Data_2017!M7))</f>
        <v/>
      </c>
      <c r="N7" s="148" t="str">
        <f>IF(CHOOSE(uxb_works!$B$46,"-",Data_2014_N!N7,Data_2017!N7)="","",CHOOSE(uxb_works!$B$46,"-",Data_2014_N!N7,Data_2017!N7))</f>
        <v/>
      </c>
      <c r="O7" s="148" t="str">
        <f>IF(CHOOSE(uxb_works!$B$46,"-",Data_2014_N!O7,Data_2017!O7)="","",CHOOSE(uxb_works!$B$46,"-",Data_2014_N!O7,Data_2017!O7))</f>
        <v/>
      </c>
      <c r="P7" s="148" t="str">
        <f>IF(CHOOSE(uxb_works!$B$46,"-",Data_2014_N!P7,Data_2017!P7)="","",CHOOSE(uxb_works!$B$46,"-",Data_2014_N!P7,Data_2017!P7))</f>
        <v/>
      </c>
      <c r="Q7" s="148" t="str">
        <f>IF(CHOOSE(uxb_works!$B$46,"-",Data_2014_N!Q7,Data_2017!Q7)="","",CHOOSE(uxb_works!$B$46,"-",Data_2014_N!Q7,Data_2017!Q7))</f>
        <v/>
      </c>
      <c r="R7" s="148" t="str">
        <f>IF(CHOOSE(uxb_works!$B$46,"-",Data_2014_N!R7,Data_2017!R7)="","",CHOOSE(uxb_works!$B$46,"-",Data_2014_N!R7,Data_2017!R7))</f>
        <v/>
      </c>
      <c r="S7" s="148" t="str">
        <f>IF(CHOOSE(uxb_works!$B$46,"-",Data_2014_N!S7,Data_2017!S7)="","",CHOOSE(uxb_works!$B$46,"-",Data_2014_N!S7,Data_2017!S7))</f>
        <v/>
      </c>
      <c r="T7" s="148" t="str">
        <f>IF(CHOOSE(uxb_works!$B$46,"-",Data_2014_N!T7,Data_2017!T7)="","",CHOOSE(uxb_works!$B$46,"-",Data_2014_N!T7,Data_2017!T7))</f>
        <v/>
      </c>
      <c r="U7" s="148" t="str">
        <f>IF(CHOOSE(uxb_works!$B$46,"-",Data_2014_N!U7,Data_2017!U7)="","",CHOOSE(uxb_works!$B$46,"-",Data_2014_N!U7,Data_2017!U7))</f>
        <v/>
      </c>
      <c r="V7" s="148" t="str">
        <f>IF(CHOOSE(uxb_works!$B$46,"-",Data_2014_N!V7,Data_2017!V7)="","",CHOOSE(uxb_works!$B$46,"-",Data_2014_N!V7,Data_2017!V7))</f>
        <v/>
      </c>
      <c r="W7" s="148" t="str">
        <f>IF(CHOOSE(uxb_works!$B$46,"-",Data_2014_N!W7,Data_2017!W7)="","",CHOOSE(uxb_works!$B$46,"-",Data_2014_N!W7,Data_2017!W7))</f>
        <v/>
      </c>
      <c r="X7" s="148" t="str">
        <f>IF(CHOOSE(uxb_works!$B$46,"-",Data_2014_N!X7,Data_2017!X7)="","",CHOOSE(uxb_works!$B$46,"-",Data_2014_N!X7,Data_2017!X7))</f>
        <v/>
      </c>
      <c r="Y7" s="148" t="str">
        <f>IF(CHOOSE(uxb_works!$B$46,"-",Data_2014_N!Y7,Data_2017!Y7)="","",CHOOSE(uxb_works!$B$46,"-",Data_2014_N!Y7,Data_2017!Y7))</f>
        <v/>
      </c>
      <c r="Z7" s="148" t="str">
        <f>IF(CHOOSE(uxb_works!$B$46,"-",Data_2014_N!Z7,Data_2017!Z7)="","",CHOOSE(uxb_works!$B$46,"-",Data_2014_N!Z7,Data_2017!Z7))</f>
        <v/>
      </c>
      <c r="AA7" s="148" t="str">
        <f>IF(CHOOSE(uxb_works!$B$46,"-",Data_2014_N!AA7,Data_2017!AA7)="","",CHOOSE(uxb_works!$B$46,"-",Data_2014_N!AA7,Data_2017!AA7))</f>
        <v/>
      </c>
      <c r="AB7" s="148" t="str">
        <f>IF(CHOOSE(uxb_works!$B$46,"-",Data_2014_N!AB7,Data_2017!AB7)="","",CHOOSE(uxb_works!$B$46,"-",Data_2014_N!AB7,Data_2017!AB7))</f>
        <v/>
      </c>
      <c r="AC7" s="148" t="str">
        <f>IF(CHOOSE(uxb_works!$B$46,"-",Data_2014_N!AC7,Data_2017!AC7)="","",CHOOSE(uxb_works!$B$46,"-",Data_2014_N!AC7,Data_2017!AC7))</f>
        <v/>
      </c>
      <c r="AD7" s="148" t="str">
        <f>IF(CHOOSE(uxb_works!$B$46,"-",Data_2014_N!AD7,Data_2017!AD7)="","",CHOOSE(uxb_works!$B$46,"-",Data_2014_N!AD7,Data_2017!AD7))</f>
        <v/>
      </c>
      <c r="AE7" s="148" t="str">
        <f>IF(CHOOSE(uxb_works!$B$46,"-",Data_2014_N!AE7,Data_2017!AE7)="","",CHOOSE(uxb_works!$B$46,"-",Data_2014_N!AE7,Data_2017!AE7))</f>
        <v/>
      </c>
      <c r="AF7" s="148" t="str">
        <f>IF(CHOOSE(uxb_works!$B$46,"-",Data_2014_N!AF7,Data_2017!AF7)="","",CHOOSE(uxb_works!$B$46,"-",Data_2014_N!AF7,Data_2017!AF7))</f>
        <v/>
      </c>
      <c r="AG7" s="148" t="str">
        <f>IF(CHOOSE(uxb_works!$B$46,"-",Data_2014_N!AG7,Data_2017!AG7)="","",CHOOSE(uxb_works!$B$46,"-",Data_2014_N!AG7,Data_2017!AG7))</f>
        <v/>
      </c>
      <c r="AH7" s="148" t="str">
        <f>IF(CHOOSE(uxb_works!$B$46,"-",Data_2014_N!AH7,Data_2017!AH7)="","",CHOOSE(uxb_works!$B$46,"-",Data_2014_N!AH7,Data_2017!AH7))</f>
        <v/>
      </c>
      <c r="AI7" s="148" t="str">
        <f>IF(CHOOSE(uxb_works!$B$46,"-",Data_2014_N!AI7,Data_2017!AI7)="","",CHOOSE(uxb_works!$B$46,"-",Data_2014_N!AI7,Data_2017!AI7))</f>
        <v/>
      </c>
      <c r="AJ7" s="148" t="str">
        <f>IF(CHOOSE(uxb_works!$B$46,"-",Data_2014_N!AJ7,Data_2017!AJ7)="","",CHOOSE(uxb_works!$B$46,"-",Data_2014_N!AJ7,Data_2017!AJ7))</f>
        <v/>
      </c>
      <c r="AK7" s="148" t="e">
        <f>IF(CHOOSE(uxb_works!$B$46,"-",Data_2014_N!AK7,Data_2017!#REF!)="","",CHOOSE(uxb_works!$B$46,"-",Data_2014_N!AK7,Data_2017!#REF!))</f>
        <v>#REF!</v>
      </c>
      <c r="AL7" s="148" t="str">
        <f>IF(CHOOSE(uxb_works!$B$46,"-",Data_2014_N!AL7,Data_2017!AK7)="","",CHOOSE(uxb_works!$B$46,"-",Data_2014_N!AL7,Data_2017!AK7))</f>
        <v/>
      </c>
      <c r="AM7" s="148" t="str">
        <f>IF(CHOOSE(uxb_works!$B$46,"-",Data_2014_N!AM7,Data_2017!AL7)="","",CHOOSE(uxb_works!$B$46,"-",Data_2014_N!AM7,Data_2017!AL7))</f>
        <v/>
      </c>
      <c r="AN7" s="148" t="str">
        <f>IF(CHOOSE(uxb_works!$B$46,"-",Data_2014_N!AN7,Data_2017!AM7)="","",CHOOSE(uxb_works!$B$46,"-",Data_2014_N!AN7,Data_2017!AM7))</f>
        <v/>
      </c>
      <c r="AO7" s="148" t="str">
        <f>IF(CHOOSE(uxb_works!$B$46,"-",Data_2014_N!AO7,Data_2017!AN7)="","",CHOOSE(uxb_works!$B$46,"-",Data_2014_N!AO7,Data_2017!AN7))</f>
        <v/>
      </c>
      <c r="AP7" s="148" t="str">
        <f>IF(CHOOSE(uxb_works!$B$46,"-",Data_2014_N!AP7,Data_2017!AO7)="","",CHOOSE(uxb_works!$B$46,"-",Data_2014_N!AP7,Data_2017!AO7))</f>
        <v/>
      </c>
      <c r="AQ7" s="148" t="str">
        <f>IF(CHOOSE(uxb_works!$B$46,"-",Data_2014_N!AQ7,Data_2017!AP7)="","",CHOOSE(uxb_works!$B$46,"-",Data_2014_N!AQ7,Data_2017!AP7))</f>
        <v/>
      </c>
      <c r="AR7" s="148" t="str">
        <f>IF(CHOOSE(uxb_works!$B$46,"-",Data_2014_N!AR7,Data_2017!AQ7)="","",CHOOSE(uxb_works!$B$46,"-",Data_2014_N!AR7,Data_2017!AQ7))</f>
        <v/>
      </c>
      <c r="AS7" s="148" t="str">
        <f>IF(CHOOSE(uxb_works!$B$46,"-",Data_2014_N!AS7,Data_2017!AR7)="","",CHOOSE(uxb_works!$B$46,"-",Data_2014_N!AS7,Data_2017!AR7))</f>
        <v/>
      </c>
      <c r="AT7" s="148" t="str">
        <f>IF(CHOOSE(uxb_works!$B$46,"-",Data_2014_N!AT7,Data_2017!AS7)="","",CHOOSE(uxb_works!$B$46,"-",Data_2014_N!AT7,Data_2017!AS7))</f>
        <v/>
      </c>
      <c r="AU7" s="148" t="str">
        <f>IF(CHOOSE(uxb_works!$B$46,"-",Data_2014_N!AU7,Data_2017!AT7)="","",CHOOSE(uxb_works!$B$46,"-",Data_2014_N!AU7,Data_2017!AT7))</f>
        <v/>
      </c>
      <c r="AV7" s="148" t="str">
        <f>IF(CHOOSE(uxb_works!$B$46,"-",Data_2014_N!AV7,Data_2017!AU7)="","",CHOOSE(uxb_works!$B$46,"-",Data_2014_N!AV7,Data_2017!AU7))</f>
        <v/>
      </c>
      <c r="AW7" s="148" t="str">
        <f>IF(CHOOSE(uxb_works!$B$46,"-",Data_2014_N!AW7,Data_2017!AV7)="","",CHOOSE(uxb_works!$B$46,"-",Data_2014_N!AW7,Data_2017!AV7))</f>
        <v/>
      </c>
      <c r="AX7" s="148" t="str">
        <f>IF(CHOOSE(uxb_works!$B$46,"-",Data_2014_N!AX7,Data_2017!AW7)="","",CHOOSE(uxb_works!$B$46,"-",Data_2014_N!AX7,Data_2017!AW7))</f>
        <v/>
      </c>
      <c r="AY7" s="148" t="str">
        <f>IF(CHOOSE(uxb_works!$B$46,"-",Data_2014_N!AY7,Data_2017!AX7)="","",CHOOSE(uxb_works!$B$46,"-",Data_2014_N!AY7,Data_2017!AX7))</f>
        <v/>
      </c>
      <c r="AZ7" s="148" t="str">
        <f>IF(CHOOSE(uxb_works!$B$46,"-",Data_2014_N!AZ7,Data_2017!AY7)="","",CHOOSE(uxb_works!$B$46,"-",Data_2014_N!AZ7,Data_2017!AY7))</f>
        <v/>
      </c>
      <c r="BA7" s="148" t="str">
        <f>IF(CHOOSE(uxb_works!$B$46,"-",Data_2014_N!BA7,Data_2017!AZ7)="","",CHOOSE(uxb_works!$B$46,"-",Data_2014_N!BA7,Data_2017!AZ7))</f>
        <v/>
      </c>
      <c r="BB7" s="148" t="str">
        <f>IF(CHOOSE(uxb_works!$B$46,"-",Data_2014_N!BB7,Data_2017!BA7)="","",CHOOSE(uxb_works!$B$46,"-",Data_2014_N!BB7,Data_2017!BA7))</f>
        <v/>
      </c>
      <c r="BC7" s="148" t="str">
        <f>IF(CHOOSE(uxb_works!$B$46,"-",Data_2014_N!BC7,Data_2017!BB7)="","",CHOOSE(uxb_works!$B$46,"-",Data_2014_N!BC7,Data_2017!BB7))</f>
        <v/>
      </c>
      <c r="BD7" s="148" t="str">
        <f>IF(CHOOSE(uxb_works!$B$46,"-",Data_2014_N!BD7,Data_2017!BC7)="","",CHOOSE(uxb_works!$B$46,"-",Data_2014_N!BD7,Data_2017!BC7))</f>
        <v/>
      </c>
      <c r="BE7" s="148" t="str">
        <f>IF(CHOOSE(uxb_works!$B$46,"-",Data_2014_N!BE7,Data_2017!BD7)="","",CHOOSE(uxb_works!$B$46,"-",Data_2014_N!BE7,Data_2017!BD7))</f>
        <v/>
      </c>
      <c r="BF7" s="148" t="str">
        <f>IF(CHOOSE(uxb_works!$B$46,"-",Data_2014_N!BF7,Data_2017!BE7)="","",CHOOSE(uxb_works!$B$46,"-",Data_2014_N!BF7,Data_2017!BE7))</f>
        <v/>
      </c>
      <c r="BG7" s="148" t="str">
        <f>IF(CHOOSE(uxb_works!$B$46,"-",Data_2014_N!BG7,Data_2017!BF7)="","",CHOOSE(uxb_works!$B$46,"-",Data_2014_N!BG7,Data_2017!BF7))</f>
        <v/>
      </c>
      <c r="BH7" s="148" t="str">
        <f>IF(CHOOSE(uxb_works!$B$46,"-",Data_2014_N!BH7,Data_2017!BG7)="","",CHOOSE(uxb_works!$B$46,"-",Data_2014_N!BH7,Data_2017!BG7))</f>
        <v/>
      </c>
      <c r="BI7" s="148" t="str">
        <f>IF(CHOOSE(uxb_works!$B$46,"-",Data_2014_N!BI7,Data_2017!BH7)="","",CHOOSE(uxb_works!$B$46,"-",Data_2014_N!BI7,Data_2017!BH7))</f>
        <v/>
      </c>
      <c r="BJ7" s="148" t="str">
        <f>IF(CHOOSE(uxb_works!$B$46,"-",Data_2014_N!BJ7,Data_2017!BI7)="","",CHOOSE(uxb_works!$B$46,"-",Data_2014_N!BJ7,Data_2017!BI7))</f>
        <v/>
      </c>
      <c r="BK7" s="148" t="str">
        <f>IF(CHOOSE(uxb_works!$B$46,"-",Data_2014_N!BK7,Data_2017!BJ7)="","",CHOOSE(uxb_works!$B$46,"-",Data_2014_N!BK7,Data_2017!BJ7))</f>
        <v/>
      </c>
      <c r="BL7" s="148" t="str">
        <f>IF(CHOOSE(uxb_works!$B$46,"-",Data_2014_N!BL7,Data_2017!BK7)="","",CHOOSE(uxb_works!$B$46,"-",Data_2014_N!BL7,Data_2017!BK7))</f>
        <v/>
      </c>
      <c r="BM7" s="148" t="str">
        <f>IF(CHOOSE(uxb_works!$B$46,"-",Data_2014_N!BM7,Data_2017!BL7)="","",CHOOSE(uxb_works!$B$46,"-",Data_2014_N!BM7,Data_2017!BL7))</f>
        <v/>
      </c>
      <c r="BN7" s="148" t="str">
        <f>IF(CHOOSE(uxb_works!$B$46,"-",Data_2014_N!BN7,Data_2017!BM7)="","",CHOOSE(uxb_works!$B$46,"-",Data_2014_N!BN7,Data_2017!BM7))</f>
        <v/>
      </c>
      <c r="BO7" s="148" t="str">
        <f>IF(CHOOSE(uxb_works!$B$46,"-",Data_2014_N!BO7,Data_2017!BN7)="","",CHOOSE(uxb_works!$B$46,"-",Data_2014_N!BO7,Data_2017!BN7))</f>
        <v/>
      </c>
      <c r="BP7" s="148" t="str">
        <f>IF(CHOOSE(uxb_works!$B$46,"-",Data_2014_N!BP7,Data_2017!BO7)="","",CHOOSE(uxb_works!$B$46,"-",Data_2014_N!BP7,Data_2017!BO7))</f>
        <v/>
      </c>
      <c r="BQ7" s="148" t="str">
        <f>IF(CHOOSE(uxb_works!$B$46,"-",Data_2014_N!BQ7,Data_2017!BP7)="","",CHOOSE(uxb_works!$B$46,"-",Data_2014_N!BQ7,Data_2017!BP7))</f>
        <v/>
      </c>
      <c r="BR7" s="324" t="str">
        <f>IF(CHOOSE(uxb_works!$B$46,"-",Data_2014_N!BR7,Data_2017!BR7)="","",CHOOSE(uxb_works!$B$46,"-",Data_2014_N!BR7,Data_2017!BR7))</f>
        <v/>
      </c>
    </row>
    <row r="8" s="112" customFormat="1" ht="22.5" customHeight="1" spans="1:70">
      <c r="A8"/>
      <c r="B8" s="133">
        <f>tblIndicators!A4</f>
        <v>3</v>
      </c>
      <c r="C8" s="133">
        <f>tblIndicators!B4</f>
        <v>0</v>
      </c>
      <c r="D8" s="310">
        <f>CHOOSE(uxb_works!$B$46,#REF!,Data_2014_N!D8,Data_2017!D8)</f>
        <v>2</v>
      </c>
      <c r="E8" s="133" t="str">
        <f>tblIndicators!E4</f>
        <v>DISE</v>
      </c>
      <c r="F8" s="133" t="str">
        <f>tblIndicators!H4</f>
        <v>Digital security (Inputs)</v>
      </c>
      <c r="G8" s="133">
        <f>tblIndicators!Z4</f>
        <v>1</v>
      </c>
      <c r="H8" s="105" t="str">
        <f>REPT(" ",D8)&amp;CHOOSE(uxb_works!$B$46,#REF!,Data_2014_N!H8,Data_2017!H8)</f>
        <v>    1.1) Digital security (Inputs)</v>
      </c>
      <c r="I8" s="319" t="str">
        <f>IF(CHOOSE(uxb_works!$B$46,#REF!,Data_2014_N!I8,Data_2017!I8)="","",CHOOSE(uxb_works!$B$46,#REF!,Data_2014_N!I8,Data_2017!I8))</f>
        <v/>
      </c>
      <c r="J8" s="148" t="str">
        <f>IF(CHOOSE(uxb_works!$B$46,"-",Data_2014_N!J8,Data_2017!J8)="","",CHOOSE(uxb_works!$B$46,"-",Data_2014_N!J8,Data_2017!J8))</f>
        <v/>
      </c>
      <c r="K8" s="148" t="str">
        <f>IF(CHOOSE(uxb_works!$B$46,"-",Data_2014_N!K8,Data_2017!K8)="","",CHOOSE(uxb_works!$B$46,"-",Data_2014_N!K8,Data_2017!K8))</f>
        <v/>
      </c>
      <c r="L8" s="148" t="str">
        <f>IF(CHOOSE(uxb_works!$B$46,"-",Data_2014_N!L8,Data_2017!L8)="","",CHOOSE(uxb_works!$B$46,"-",Data_2014_N!L8,Data_2017!L8))</f>
        <v/>
      </c>
      <c r="M8" s="148" t="str">
        <f>IF(CHOOSE(uxb_works!$B$46,"-",Data_2014_N!M8,Data_2017!M8)="","",CHOOSE(uxb_works!$B$46,"-",Data_2014_N!M8,Data_2017!M8))</f>
        <v/>
      </c>
      <c r="N8" s="148" t="str">
        <f>IF(CHOOSE(uxb_works!$B$46,"-",Data_2014_N!N8,Data_2017!N8)="","",CHOOSE(uxb_works!$B$46,"-",Data_2014_N!N8,Data_2017!N8))</f>
        <v/>
      </c>
      <c r="O8" s="148" t="str">
        <f>IF(CHOOSE(uxb_works!$B$46,"-",Data_2014_N!O8,Data_2017!O8)="","",CHOOSE(uxb_works!$B$46,"-",Data_2014_N!O8,Data_2017!O8))</f>
        <v/>
      </c>
      <c r="P8" s="148" t="str">
        <f>IF(CHOOSE(uxb_works!$B$46,"-",Data_2014_N!P8,Data_2017!P8)="","",CHOOSE(uxb_works!$B$46,"-",Data_2014_N!P8,Data_2017!P8))</f>
        <v/>
      </c>
      <c r="Q8" s="148" t="str">
        <f>IF(CHOOSE(uxb_works!$B$46,"-",Data_2014_N!Q8,Data_2017!Q8)="","",CHOOSE(uxb_works!$B$46,"-",Data_2014_N!Q8,Data_2017!Q8))</f>
        <v/>
      </c>
      <c r="R8" s="148" t="str">
        <f>IF(CHOOSE(uxb_works!$B$46,"-",Data_2014_N!R8,Data_2017!R8)="","",CHOOSE(uxb_works!$B$46,"-",Data_2014_N!R8,Data_2017!R8))</f>
        <v/>
      </c>
      <c r="S8" s="148" t="str">
        <f>IF(CHOOSE(uxb_works!$B$46,"-",Data_2014_N!S8,Data_2017!S8)="","",CHOOSE(uxb_works!$B$46,"-",Data_2014_N!S8,Data_2017!S8))</f>
        <v/>
      </c>
      <c r="T8" s="148" t="str">
        <f>IF(CHOOSE(uxb_works!$B$46,"-",Data_2014_N!T8,Data_2017!T8)="","",CHOOSE(uxb_works!$B$46,"-",Data_2014_N!T8,Data_2017!T8))</f>
        <v/>
      </c>
      <c r="U8" s="148" t="str">
        <f>IF(CHOOSE(uxb_works!$B$46,"-",Data_2014_N!U8,Data_2017!U8)="","",CHOOSE(uxb_works!$B$46,"-",Data_2014_N!U8,Data_2017!U8))</f>
        <v/>
      </c>
      <c r="V8" s="148" t="str">
        <f>IF(CHOOSE(uxb_works!$B$46,"-",Data_2014_N!V8,Data_2017!V8)="","",CHOOSE(uxb_works!$B$46,"-",Data_2014_N!V8,Data_2017!V8))</f>
        <v/>
      </c>
      <c r="W8" s="148" t="str">
        <f>IF(CHOOSE(uxb_works!$B$46,"-",Data_2014_N!W8,Data_2017!W8)="","",CHOOSE(uxb_works!$B$46,"-",Data_2014_N!W8,Data_2017!W8))</f>
        <v/>
      </c>
      <c r="X8" s="148" t="str">
        <f>IF(CHOOSE(uxb_works!$B$46,"-",Data_2014_N!X8,Data_2017!X8)="","",CHOOSE(uxb_works!$B$46,"-",Data_2014_N!X8,Data_2017!X8))</f>
        <v/>
      </c>
      <c r="Y8" s="148" t="str">
        <f>IF(CHOOSE(uxb_works!$B$46,"-",Data_2014_N!Y8,Data_2017!Y8)="","",CHOOSE(uxb_works!$B$46,"-",Data_2014_N!Y8,Data_2017!Y8))</f>
        <v/>
      </c>
      <c r="Z8" s="148" t="str">
        <f>IF(CHOOSE(uxb_works!$B$46,"-",Data_2014_N!Z8,Data_2017!Z8)="","",CHOOSE(uxb_works!$B$46,"-",Data_2014_N!Z8,Data_2017!Z8))</f>
        <v/>
      </c>
      <c r="AA8" s="148" t="str">
        <f>IF(CHOOSE(uxb_works!$B$46,"-",Data_2014_N!AA8,Data_2017!AA8)="","",CHOOSE(uxb_works!$B$46,"-",Data_2014_N!AA8,Data_2017!AA8))</f>
        <v/>
      </c>
      <c r="AB8" s="148" t="str">
        <f>IF(CHOOSE(uxb_works!$B$46,"-",Data_2014_N!AB8,Data_2017!AB8)="","",CHOOSE(uxb_works!$B$46,"-",Data_2014_N!AB8,Data_2017!AB8))</f>
        <v/>
      </c>
      <c r="AC8" s="148" t="str">
        <f>IF(CHOOSE(uxb_works!$B$46,"-",Data_2014_N!AC8,Data_2017!AC8)="","",CHOOSE(uxb_works!$B$46,"-",Data_2014_N!AC8,Data_2017!AC8))</f>
        <v/>
      </c>
      <c r="AD8" s="148" t="str">
        <f>IF(CHOOSE(uxb_works!$B$46,"-",Data_2014_N!AD8,Data_2017!AD8)="","",CHOOSE(uxb_works!$B$46,"-",Data_2014_N!AD8,Data_2017!AD8))</f>
        <v/>
      </c>
      <c r="AE8" s="148" t="str">
        <f>IF(CHOOSE(uxb_works!$B$46,"-",Data_2014_N!AE8,Data_2017!AE8)="","",CHOOSE(uxb_works!$B$46,"-",Data_2014_N!AE8,Data_2017!AE8))</f>
        <v/>
      </c>
      <c r="AF8" s="148" t="str">
        <f>IF(CHOOSE(uxb_works!$B$46,"-",Data_2014_N!AF8,Data_2017!AF8)="","",CHOOSE(uxb_works!$B$46,"-",Data_2014_N!AF8,Data_2017!AF8))</f>
        <v/>
      </c>
      <c r="AG8" s="148" t="str">
        <f>IF(CHOOSE(uxb_works!$B$46,"-",Data_2014_N!AG8,Data_2017!AG8)="","",CHOOSE(uxb_works!$B$46,"-",Data_2014_N!AG8,Data_2017!AG8))</f>
        <v/>
      </c>
      <c r="AH8" s="148" t="str">
        <f>IF(CHOOSE(uxb_works!$B$46,"-",Data_2014_N!AH8,Data_2017!AH8)="","",CHOOSE(uxb_works!$B$46,"-",Data_2014_N!AH8,Data_2017!AH8))</f>
        <v/>
      </c>
      <c r="AI8" s="148" t="str">
        <f>IF(CHOOSE(uxb_works!$B$46,"-",Data_2014_N!AI8,Data_2017!AI8)="","",CHOOSE(uxb_works!$B$46,"-",Data_2014_N!AI8,Data_2017!AI8))</f>
        <v/>
      </c>
      <c r="AJ8" s="148" t="str">
        <f>IF(CHOOSE(uxb_works!$B$46,"-",Data_2014_N!AJ8,Data_2017!AJ8)="","",CHOOSE(uxb_works!$B$46,"-",Data_2014_N!AJ8,Data_2017!AJ8))</f>
        <v/>
      </c>
      <c r="AK8" s="148" t="e">
        <f>IF(CHOOSE(uxb_works!$B$46,"-",Data_2014_N!AK8,Data_2017!#REF!)="","",CHOOSE(uxb_works!$B$46,"-",Data_2014_N!AK8,Data_2017!#REF!))</f>
        <v>#REF!</v>
      </c>
      <c r="AL8" s="148" t="str">
        <f>IF(CHOOSE(uxb_works!$B$46,"-",Data_2014_N!AL8,Data_2017!AK8)="","",CHOOSE(uxb_works!$B$46,"-",Data_2014_N!AL8,Data_2017!AK8))</f>
        <v/>
      </c>
      <c r="AM8" s="148" t="str">
        <f>IF(CHOOSE(uxb_works!$B$46,"-",Data_2014_N!AM8,Data_2017!AL8)="","",CHOOSE(uxb_works!$B$46,"-",Data_2014_N!AM8,Data_2017!AL8))</f>
        <v/>
      </c>
      <c r="AN8" s="148" t="str">
        <f>IF(CHOOSE(uxb_works!$B$46,"-",Data_2014_N!AN8,Data_2017!AM8)="","",CHOOSE(uxb_works!$B$46,"-",Data_2014_N!AN8,Data_2017!AM8))</f>
        <v/>
      </c>
      <c r="AO8" s="148" t="str">
        <f>IF(CHOOSE(uxb_works!$B$46,"-",Data_2014_N!AO8,Data_2017!AN8)="","",CHOOSE(uxb_works!$B$46,"-",Data_2014_N!AO8,Data_2017!AN8))</f>
        <v/>
      </c>
      <c r="AP8" s="148" t="str">
        <f>IF(CHOOSE(uxb_works!$B$46,"-",Data_2014_N!AP8,Data_2017!AO8)="","",CHOOSE(uxb_works!$B$46,"-",Data_2014_N!AP8,Data_2017!AO8))</f>
        <v/>
      </c>
      <c r="AQ8" s="148" t="str">
        <f>IF(CHOOSE(uxb_works!$B$46,"-",Data_2014_N!AQ8,Data_2017!AP8)="","",CHOOSE(uxb_works!$B$46,"-",Data_2014_N!AQ8,Data_2017!AP8))</f>
        <v/>
      </c>
      <c r="AR8" s="148" t="str">
        <f>IF(CHOOSE(uxb_works!$B$46,"-",Data_2014_N!AR8,Data_2017!AQ8)="","",CHOOSE(uxb_works!$B$46,"-",Data_2014_N!AR8,Data_2017!AQ8))</f>
        <v/>
      </c>
      <c r="AS8" s="148" t="str">
        <f>IF(CHOOSE(uxb_works!$B$46,"-",Data_2014_N!AS8,Data_2017!AR8)="","",CHOOSE(uxb_works!$B$46,"-",Data_2014_N!AS8,Data_2017!AR8))</f>
        <v/>
      </c>
      <c r="AT8" s="148" t="str">
        <f>IF(CHOOSE(uxb_works!$B$46,"-",Data_2014_N!AT8,Data_2017!AS8)="","",CHOOSE(uxb_works!$B$46,"-",Data_2014_N!AT8,Data_2017!AS8))</f>
        <v/>
      </c>
      <c r="AU8" s="148" t="str">
        <f>IF(CHOOSE(uxb_works!$B$46,"-",Data_2014_N!AU8,Data_2017!AT8)="","",CHOOSE(uxb_works!$B$46,"-",Data_2014_N!AU8,Data_2017!AT8))</f>
        <v/>
      </c>
      <c r="AV8" s="148" t="str">
        <f>IF(CHOOSE(uxb_works!$B$46,"-",Data_2014_N!AV8,Data_2017!AU8)="","",CHOOSE(uxb_works!$B$46,"-",Data_2014_N!AV8,Data_2017!AU8))</f>
        <v/>
      </c>
      <c r="AW8" s="148" t="str">
        <f>IF(CHOOSE(uxb_works!$B$46,"-",Data_2014_N!AW8,Data_2017!AV8)="","",CHOOSE(uxb_works!$B$46,"-",Data_2014_N!AW8,Data_2017!AV8))</f>
        <v/>
      </c>
      <c r="AX8" s="148" t="str">
        <f>IF(CHOOSE(uxb_works!$B$46,"-",Data_2014_N!AX8,Data_2017!AW8)="","",CHOOSE(uxb_works!$B$46,"-",Data_2014_N!AX8,Data_2017!AW8))</f>
        <v/>
      </c>
      <c r="AY8" s="148" t="str">
        <f>IF(CHOOSE(uxb_works!$B$46,"-",Data_2014_N!AY8,Data_2017!AX8)="","",CHOOSE(uxb_works!$B$46,"-",Data_2014_N!AY8,Data_2017!AX8))</f>
        <v/>
      </c>
      <c r="AZ8" s="148" t="str">
        <f>IF(CHOOSE(uxb_works!$B$46,"-",Data_2014_N!AZ8,Data_2017!AY8)="","",CHOOSE(uxb_works!$B$46,"-",Data_2014_N!AZ8,Data_2017!AY8))</f>
        <v/>
      </c>
      <c r="BA8" s="148" t="str">
        <f>IF(CHOOSE(uxb_works!$B$46,"-",Data_2014_N!BA8,Data_2017!AZ8)="","",CHOOSE(uxb_works!$B$46,"-",Data_2014_N!BA8,Data_2017!AZ8))</f>
        <v/>
      </c>
      <c r="BB8" s="148" t="str">
        <f>IF(CHOOSE(uxb_works!$B$46,"-",Data_2014_N!BB8,Data_2017!BA8)="","",CHOOSE(uxb_works!$B$46,"-",Data_2014_N!BB8,Data_2017!BA8))</f>
        <v/>
      </c>
      <c r="BC8" s="148" t="str">
        <f>IF(CHOOSE(uxb_works!$B$46,"-",Data_2014_N!BC8,Data_2017!BB8)="","",CHOOSE(uxb_works!$B$46,"-",Data_2014_N!BC8,Data_2017!BB8))</f>
        <v/>
      </c>
      <c r="BD8" s="148" t="str">
        <f>IF(CHOOSE(uxb_works!$B$46,"-",Data_2014_N!BD8,Data_2017!BC8)="","",CHOOSE(uxb_works!$B$46,"-",Data_2014_N!BD8,Data_2017!BC8))</f>
        <v/>
      </c>
      <c r="BE8" s="148" t="str">
        <f>IF(CHOOSE(uxb_works!$B$46,"-",Data_2014_N!BE8,Data_2017!BD8)="","",CHOOSE(uxb_works!$B$46,"-",Data_2014_N!BE8,Data_2017!BD8))</f>
        <v/>
      </c>
      <c r="BF8" s="148" t="str">
        <f>IF(CHOOSE(uxb_works!$B$46,"-",Data_2014_N!BF8,Data_2017!BE8)="","",CHOOSE(uxb_works!$B$46,"-",Data_2014_N!BF8,Data_2017!BE8))</f>
        <v/>
      </c>
      <c r="BG8" s="148" t="str">
        <f>IF(CHOOSE(uxb_works!$B$46,"-",Data_2014_N!BG8,Data_2017!BF8)="","",CHOOSE(uxb_works!$B$46,"-",Data_2014_N!BG8,Data_2017!BF8))</f>
        <v/>
      </c>
      <c r="BH8" s="148" t="str">
        <f>IF(CHOOSE(uxb_works!$B$46,"-",Data_2014_N!BH8,Data_2017!BG8)="","",CHOOSE(uxb_works!$B$46,"-",Data_2014_N!BH8,Data_2017!BG8))</f>
        <v/>
      </c>
      <c r="BI8" s="148" t="str">
        <f>IF(CHOOSE(uxb_works!$B$46,"-",Data_2014_N!BI8,Data_2017!BH8)="","",CHOOSE(uxb_works!$B$46,"-",Data_2014_N!BI8,Data_2017!BH8))</f>
        <v/>
      </c>
      <c r="BJ8" s="148" t="str">
        <f>IF(CHOOSE(uxb_works!$B$46,"-",Data_2014_N!BJ8,Data_2017!BI8)="","",CHOOSE(uxb_works!$B$46,"-",Data_2014_N!BJ8,Data_2017!BI8))</f>
        <v/>
      </c>
      <c r="BK8" s="148" t="str">
        <f>IF(CHOOSE(uxb_works!$B$46,"-",Data_2014_N!BK8,Data_2017!BJ8)="","",CHOOSE(uxb_works!$B$46,"-",Data_2014_N!BK8,Data_2017!BJ8))</f>
        <v/>
      </c>
      <c r="BL8" s="148" t="str">
        <f>IF(CHOOSE(uxb_works!$B$46,"-",Data_2014_N!BL8,Data_2017!BK8)="","",CHOOSE(uxb_works!$B$46,"-",Data_2014_N!BL8,Data_2017!BK8))</f>
        <v/>
      </c>
      <c r="BM8" s="148" t="str">
        <f>IF(CHOOSE(uxb_works!$B$46,"-",Data_2014_N!BM8,Data_2017!BL8)="","",CHOOSE(uxb_works!$B$46,"-",Data_2014_N!BM8,Data_2017!BL8))</f>
        <v/>
      </c>
      <c r="BN8" s="148" t="str">
        <f>IF(CHOOSE(uxb_works!$B$46,"-",Data_2014_N!BN8,Data_2017!BM8)="","",CHOOSE(uxb_works!$B$46,"-",Data_2014_N!BN8,Data_2017!BM8))</f>
        <v/>
      </c>
      <c r="BO8" s="148" t="str">
        <f>IF(CHOOSE(uxb_works!$B$46,"-",Data_2014_N!BO8,Data_2017!BN8)="","",CHOOSE(uxb_works!$B$46,"-",Data_2014_N!BO8,Data_2017!BN8))</f>
        <v/>
      </c>
      <c r="BP8" s="148" t="str">
        <f>IF(CHOOSE(uxb_works!$B$46,"-",Data_2014_N!BP8,Data_2017!BO8)="","",CHOOSE(uxb_works!$B$46,"-",Data_2014_N!BP8,Data_2017!BO8))</f>
        <v/>
      </c>
      <c r="BQ8" s="148" t="str">
        <f>IF(CHOOSE(uxb_works!$B$46,"-",Data_2014_N!BQ8,Data_2017!BP8)="","",CHOOSE(uxb_works!$B$46,"-",Data_2014_N!BQ8,Data_2017!BP8))</f>
        <v/>
      </c>
      <c r="BR8" s="325" t="str">
        <f>IF(CHOOSE(uxb_works!$B$46,"-",Data_2014_N!BR8,Data_2017!BR8)="","",CHOOSE(uxb_works!$B$46,"-",Data_2014_N!BR8,Data_2017!BR8))</f>
        <v/>
      </c>
    </row>
    <row r="9" s="112" customFormat="1" ht="22.5" customHeight="1" spans="1:85">
      <c r="A9"/>
      <c r="B9" s="133">
        <f>tblIndicators!A5</f>
        <v>4</v>
      </c>
      <c r="C9" s="133">
        <f>tblIndicators!B5</f>
        <v>0</v>
      </c>
      <c r="D9" s="310">
        <f>CHOOSE(uxb_works!$B$46,#REF!,Data_2014_N!D9,Data_2017!D9)</f>
        <v>3</v>
      </c>
      <c r="E9" s="133" t="str">
        <f>tblIndicators!E5</f>
        <v>DISE1.1</v>
      </c>
      <c r="F9" s="133" t="str">
        <f>tblIndicators!H5</f>
        <v>Privacy policy</v>
      </c>
      <c r="G9" s="133">
        <f>tblIndicators!Z5</f>
        <v>3</v>
      </c>
      <c r="H9" s="105" t="str">
        <f>REPT(" ",D9)&amp;CHOOSE(uxb_works!$B$46,#REF!,Data_2014_N!H9,Data_2017!H9)</f>
        <v>      1.1.1) Privacy policy</v>
      </c>
      <c r="I9" s="319" t="str">
        <f>IF(CHOOSE(uxb_works!$B$46,#REF!,Data_2014_N!I9,Data_2017!I9)="","",CHOOSE(uxb_works!$B$46,#REF!,Data_2014_N!I9,Data_2017!I9))</f>
        <v>Scale 1 - 5</v>
      </c>
      <c r="J9" s="148">
        <f>IF(CHOOSE(uxb_works!$B$46,"-",Data_2014_N!J9,Data_2017!J9)="","",CHOOSE(uxb_works!$B$46,"-",Data_2014_N!J9,Data_2017!J9))</f>
        <v>3</v>
      </c>
      <c r="K9" s="148">
        <f>IF(CHOOSE(uxb_works!$B$46,"-",Data_2014_N!K9,Data_2017!K9)="","",CHOOSE(uxb_works!$B$46,"-",Data_2014_N!K9,Data_2017!K9))</f>
        <v>5</v>
      </c>
      <c r="L9" s="148">
        <f>IF(CHOOSE(uxb_works!$B$46,"-",Data_2014_N!L9,Data_2017!L9)="","",CHOOSE(uxb_works!$B$46,"-",Data_2014_N!L9,Data_2017!L9))</f>
        <v>4</v>
      </c>
      <c r="M9" s="148">
        <f>IF(CHOOSE(uxb_works!$B$46,"-",Data_2014_N!M9,Data_2017!M9)="","",CHOOSE(uxb_works!$B$46,"-",Data_2014_N!M9,Data_2017!M9))</f>
        <v>2</v>
      </c>
      <c r="N9" s="148">
        <f>IF(CHOOSE(uxb_works!$B$46,"-",Data_2014_N!N9,Data_2017!N9)="","",CHOOSE(uxb_works!$B$46,"-",Data_2014_N!N9,Data_2017!N9))</f>
        <v>5</v>
      </c>
      <c r="O9" s="148">
        <f>IF(CHOOSE(uxb_works!$B$46,"-",Data_2014_N!O9,Data_2017!O9)="","",CHOOSE(uxb_works!$B$46,"-",Data_2014_N!O9,Data_2017!O9))</f>
        <v>4</v>
      </c>
      <c r="P9" s="148">
        <f>IF(CHOOSE(uxb_works!$B$46,"-",Data_2014_N!P9,Data_2017!P9)="","",CHOOSE(uxb_works!$B$46,"-",Data_2014_N!P9,Data_2017!P9))</f>
        <v>3</v>
      </c>
      <c r="Q9" s="148">
        <f>IF(CHOOSE(uxb_works!$B$46,"-",Data_2014_N!Q9,Data_2017!Q9)="","",CHOOSE(uxb_works!$B$46,"-",Data_2014_N!Q9,Data_2017!Q9))</f>
        <v>5</v>
      </c>
      <c r="R9" s="148">
        <f>IF(CHOOSE(uxb_works!$B$46,"-",Data_2014_N!R9,Data_2017!R9)="","",CHOOSE(uxb_works!$B$46,"-",Data_2014_N!R9,Data_2017!R9))</f>
        <v>4</v>
      </c>
      <c r="S9" s="148">
        <f>IF(CHOOSE(uxb_works!$B$46,"-",Data_2014_N!S9,Data_2017!S9)="","",CHOOSE(uxb_works!$B$46,"-",Data_2014_N!S9,Data_2017!S9))</f>
        <v>3</v>
      </c>
      <c r="T9" s="148">
        <f>IF(CHOOSE(uxb_works!$B$46,"-",Data_2014_N!T9,Data_2017!T9)="","",CHOOSE(uxb_works!$B$46,"-",Data_2014_N!T9,Data_2017!T9))</f>
        <v>2</v>
      </c>
      <c r="U9" s="148">
        <f>IF(CHOOSE(uxb_works!$B$46,"-",Data_2014_N!U9,Data_2017!U9)="","",CHOOSE(uxb_works!$B$46,"-",Data_2014_N!U9,Data_2017!U9))</f>
        <v>4</v>
      </c>
      <c r="V9" s="148">
        <f>IF(CHOOSE(uxb_works!$B$46,"-",Data_2014_N!V9,Data_2017!V9)="","",CHOOSE(uxb_works!$B$46,"-",Data_2014_N!V9,Data_2017!V9))</f>
        <v>5</v>
      </c>
      <c r="W9" s="148">
        <f>IF(CHOOSE(uxb_works!$B$46,"-",Data_2014_N!W9,Data_2017!W9)="","",CHOOSE(uxb_works!$B$46,"-",Data_2014_N!W9,Data_2017!W9))</f>
        <v>5</v>
      </c>
      <c r="X9" s="148">
        <f>IF(CHOOSE(uxb_works!$B$46,"-",Data_2014_N!X9,Data_2017!X9)="","",CHOOSE(uxb_works!$B$46,"-",Data_2014_N!X9,Data_2017!X9))</f>
        <v>2</v>
      </c>
      <c r="Y9" s="148">
        <f>IF(CHOOSE(uxb_works!$B$46,"-",Data_2014_N!Y9,Data_2017!Y9)="","",CHOOSE(uxb_works!$B$46,"-",Data_2014_N!Y9,Data_2017!Y9))</f>
        <v>1</v>
      </c>
      <c r="Z9" s="148">
        <f>IF(CHOOSE(uxb_works!$B$46,"-",Data_2014_N!Z9,Data_2017!Z9)="","",CHOOSE(uxb_works!$B$46,"-",Data_2014_N!Z9,Data_2017!Z9))</f>
        <v>3</v>
      </c>
      <c r="AA9" s="148">
        <f>IF(CHOOSE(uxb_works!$B$46,"-",Data_2014_N!AA9,Data_2017!AA9)="","",CHOOSE(uxb_works!$B$46,"-",Data_2014_N!AA9,Data_2017!AA9))</f>
        <v>5</v>
      </c>
      <c r="AB9" s="148">
        <f>IF(CHOOSE(uxb_works!$B$46,"-",Data_2014_N!AB9,Data_2017!AB9)="","",CHOOSE(uxb_works!$B$46,"-",Data_2014_N!AB9,Data_2017!AB9))</f>
        <v>2</v>
      </c>
      <c r="AC9" s="148">
        <f>IF(CHOOSE(uxb_works!$B$46,"-",Data_2014_N!AC9,Data_2017!AC9)="","",CHOOSE(uxb_works!$B$46,"-",Data_2014_N!AC9,Data_2017!AC9))</f>
        <v>5</v>
      </c>
      <c r="AD9" s="148">
        <f>IF(CHOOSE(uxb_works!$B$46,"-",Data_2014_N!AD9,Data_2017!AD9)="","",CHOOSE(uxb_works!$B$46,"-",Data_2014_N!AD9,Data_2017!AD9))</f>
        <v>2</v>
      </c>
      <c r="AE9" s="148">
        <f>IF(CHOOSE(uxb_works!$B$46,"-",Data_2014_N!AE9,Data_2017!AE9)="","",CHOOSE(uxb_works!$B$46,"-",Data_2014_N!AE9,Data_2017!AE9))</f>
        <v>2</v>
      </c>
      <c r="AF9" s="148">
        <f>IF(CHOOSE(uxb_works!$B$46,"-",Data_2014_N!AF9,Data_2017!AF9)="","",CHOOSE(uxb_works!$B$46,"-",Data_2014_N!AF9,Data_2017!AF9))</f>
        <v>3</v>
      </c>
      <c r="AG9" s="148">
        <f>IF(CHOOSE(uxb_works!$B$46,"-",Data_2014_N!AG9,Data_2017!AG9)="","",CHOOSE(uxb_works!$B$46,"-",Data_2014_N!AG9,Data_2017!AG9))</f>
        <v>3</v>
      </c>
      <c r="AH9" s="148">
        <f>IF(CHOOSE(uxb_works!$B$46,"-",Data_2014_N!AH9,Data_2017!AH9)="","",CHOOSE(uxb_works!$B$46,"-",Data_2014_N!AH9,Data_2017!AH9))</f>
        <v>2</v>
      </c>
      <c r="AI9" s="148">
        <f>IF(CHOOSE(uxb_works!$B$46,"-",Data_2014_N!AI9,Data_2017!AI9)="","",CHOOSE(uxb_works!$B$46,"-",Data_2014_N!AI9,Data_2017!AI9))</f>
        <v>3</v>
      </c>
      <c r="AJ9" s="148">
        <f>IF(CHOOSE(uxb_works!$B$46,"-",Data_2014_N!AJ9,Data_2017!AJ9)="","",CHOOSE(uxb_works!$B$46,"-",Data_2014_N!AJ9,Data_2017!AJ9))</f>
        <v>3</v>
      </c>
      <c r="AK9" s="148" t="e">
        <f>IF(CHOOSE(uxb_works!$B$46,"-",Data_2014_N!AK9,Data_2017!#REF!)="","",CHOOSE(uxb_works!$B$46,"-",Data_2014_N!AK9,Data_2017!#REF!))</f>
        <v>#REF!</v>
      </c>
      <c r="AL9" s="148">
        <f>IF(CHOOSE(uxb_works!$B$46,"-",Data_2014_N!AL9,Data_2017!AK9)="","",CHOOSE(uxb_works!$B$46,"-",Data_2014_N!AL9,Data_2017!AK9))</f>
        <v>3</v>
      </c>
      <c r="AM9" s="148">
        <f>IF(CHOOSE(uxb_works!$B$46,"-",Data_2014_N!AM9,Data_2017!AL9)="","",CHOOSE(uxb_works!$B$46,"-",Data_2014_N!AM9,Data_2017!AL9))</f>
        <v>5</v>
      </c>
      <c r="AN9" s="148">
        <f>IF(CHOOSE(uxb_works!$B$46,"-",Data_2014_N!AN9,Data_2017!AM9)="","",CHOOSE(uxb_works!$B$46,"-",Data_2014_N!AN9,Data_2017!AM9))</f>
        <v>5</v>
      </c>
      <c r="AO9" s="148">
        <f>IF(CHOOSE(uxb_works!$B$46,"-",Data_2014_N!AO9,Data_2017!AN9)="","",CHOOSE(uxb_works!$B$46,"-",Data_2014_N!AO9,Data_2017!AN9))</f>
        <v>5</v>
      </c>
      <c r="AP9" s="148">
        <f>IF(CHOOSE(uxb_works!$B$46,"-",Data_2014_N!AP9,Data_2017!AO9)="","",CHOOSE(uxb_works!$B$46,"-",Data_2014_N!AP9,Data_2017!AO9))</f>
        <v>2</v>
      </c>
      <c r="AQ9" s="148">
        <f>IF(CHOOSE(uxb_works!$B$46,"-",Data_2014_N!AQ9,Data_2017!AP9)="","",CHOOSE(uxb_works!$B$46,"-",Data_2014_N!AQ9,Data_2017!AP9))</f>
        <v>5</v>
      </c>
      <c r="AR9" s="148">
        <f>IF(CHOOSE(uxb_works!$B$46,"-",Data_2014_N!AR9,Data_2017!AQ9)="","",CHOOSE(uxb_works!$B$46,"-",Data_2014_N!AR9,Data_2017!AQ9))</f>
        <v>3</v>
      </c>
      <c r="AS9" s="148">
        <f>IF(CHOOSE(uxb_works!$B$46,"-",Data_2014_N!AS9,Data_2017!AR9)="","",CHOOSE(uxb_works!$B$46,"-",Data_2014_N!AS9,Data_2017!AR9))</f>
        <v>5</v>
      </c>
      <c r="AT9" s="148">
        <f>IF(CHOOSE(uxb_works!$B$46,"-",Data_2014_N!AT9,Data_2017!AS9)="","",CHOOSE(uxb_works!$B$46,"-",Data_2014_N!AT9,Data_2017!AS9))</f>
        <v>3</v>
      </c>
      <c r="AU9" s="148">
        <f>IF(CHOOSE(uxb_works!$B$46,"-",Data_2014_N!AU9,Data_2017!AT9)="","",CHOOSE(uxb_works!$B$46,"-",Data_2014_N!AU9,Data_2017!AT9))</f>
        <v>2</v>
      </c>
      <c r="AV9" s="148">
        <f>IF(CHOOSE(uxb_works!$B$46,"-",Data_2014_N!AV9,Data_2017!AU9)="","",CHOOSE(uxb_works!$B$46,"-",Data_2014_N!AV9,Data_2017!AU9))</f>
        <v>5</v>
      </c>
      <c r="AW9" s="148">
        <f>IF(CHOOSE(uxb_works!$B$46,"-",Data_2014_N!AW9,Data_2017!AV9)="","",CHOOSE(uxb_works!$B$46,"-",Data_2014_N!AW9,Data_2017!AV9))</f>
        <v>4</v>
      </c>
      <c r="AX9" s="148">
        <f>IF(CHOOSE(uxb_works!$B$46,"-",Data_2014_N!AX9,Data_2017!AW9)="","",CHOOSE(uxb_works!$B$46,"-",Data_2014_N!AX9,Data_2017!AW9))</f>
        <v>5</v>
      </c>
      <c r="AY9" s="148">
        <f>IF(CHOOSE(uxb_works!$B$46,"-",Data_2014_N!AY9,Data_2017!AX9)="","",CHOOSE(uxb_works!$B$46,"-",Data_2014_N!AY9,Data_2017!AX9))</f>
        <v>1</v>
      </c>
      <c r="AZ9" s="148">
        <f>IF(CHOOSE(uxb_works!$B$46,"-",Data_2014_N!AZ9,Data_2017!AY9)="","",CHOOSE(uxb_works!$B$46,"-",Data_2014_N!AZ9,Data_2017!AY9))</f>
        <v>2</v>
      </c>
      <c r="BA9" s="148">
        <f>IF(CHOOSE(uxb_works!$B$46,"-",Data_2014_N!BA9,Data_2017!AZ9)="","",CHOOSE(uxb_works!$B$46,"-",Data_2014_N!BA9,Data_2017!AZ9))</f>
        <v>3</v>
      </c>
      <c r="BB9" s="148">
        <f>IF(CHOOSE(uxb_works!$B$46,"-",Data_2014_N!BB9,Data_2017!BA9)="","",CHOOSE(uxb_works!$B$46,"-",Data_2014_N!BB9,Data_2017!BA9))</f>
        <v>5</v>
      </c>
      <c r="BC9" s="148">
        <f>IF(CHOOSE(uxb_works!$B$46,"-",Data_2014_N!BC9,Data_2017!BB9)="","",CHOOSE(uxb_works!$B$46,"-",Data_2014_N!BC9,Data_2017!BB9))</f>
        <v>5</v>
      </c>
      <c r="BD9" s="148">
        <f>IF(CHOOSE(uxb_works!$B$46,"-",Data_2014_N!BD9,Data_2017!BC9)="","",CHOOSE(uxb_works!$B$46,"-",Data_2014_N!BD9,Data_2017!BC9))</f>
        <v>3</v>
      </c>
      <c r="BE9" s="148">
        <f>IF(CHOOSE(uxb_works!$B$46,"-",Data_2014_N!BE9,Data_2017!BD9)="","",CHOOSE(uxb_works!$B$46,"-",Data_2014_N!BE9,Data_2017!BD9))</f>
        <v>2</v>
      </c>
      <c r="BF9" s="148">
        <f>IF(CHOOSE(uxb_works!$B$46,"-",Data_2014_N!BF9,Data_2017!BE9)="","",CHOOSE(uxb_works!$B$46,"-",Data_2014_N!BF9,Data_2017!BE9))</f>
        <v>5</v>
      </c>
      <c r="BG9" s="148">
        <f>IF(CHOOSE(uxb_works!$B$46,"-",Data_2014_N!BG9,Data_2017!BF9)="","",CHOOSE(uxb_works!$B$46,"-",Data_2014_N!BG9,Data_2017!BF9))</f>
        <v>4</v>
      </c>
      <c r="BH9" s="148">
        <f>IF(CHOOSE(uxb_works!$B$46,"-",Data_2014_N!BH9,Data_2017!BG9)="","",CHOOSE(uxb_works!$B$46,"-",Data_2014_N!BH9,Data_2017!BG9))</f>
        <v>4</v>
      </c>
      <c r="BI9" s="148">
        <f>IF(CHOOSE(uxb_works!$B$46,"-",Data_2014_N!BI9,Data_2017!BH9)="","",CHOOSE(uxb_works!$B$46,"-",Data_2014_N!BI9,Data_2017!BH9))</f>
        <v>4</v>
      </c>
      <c r="BJ9" s="148">
        <f>IF(CHOOSE(uxb_works!$B$46,"-",Data_2014_N!BJ9,Data_2017!BI9)="","",CHOOSE(uxb_works!$B$46,"-",Data_2014_N!BJ9,Data_2017!BI9))</f>
        <v>5</v>
      </c>
      <c r="BK9" s="148">
        <f>IF(CHOOSE(uxb_works!$B$46,"-",Data_2014_N!BK9,Data_2017!BJ9)="","",CHOOSE(uxb_works!$B$46,"-",Data_2014_N!BK9,Data_2017!BJ9))</f>
        <v>4</v>
      </c>
      <c r="BL9" s="148">
        <f>IF(CHOOSE(uxb_works!$B$46,"-",Data_2014_N!BL9,Data_2017!BK9)="","",CHOOSE(uxb_works!$B$46,"-",Data_2014_N!BL9,Data_2017!BK9))</f>
        <v>1</v>
      </c>
      <c r="BM9" s="148">
        <f>IF(CHOOSE(uxb_works!$B$46,"-",Data_2014_N!BM9,Data_2017!BL9)="","",CHOOSE(uxb_works!$B$46,"-",Data_2014_N!BM9,Data_2017!BL9))</f>
        <v>4</v>
      </c>
      <c r="BN9" s="148">
        <f>IF(CHOOSE(uxb_works!$B$46,"-",Data_2014_N!BN9,Data_2017!BM9)="","",CHOOSE(uxb_works!$B$46,"-",Data_2014_N!BN9,Data_2017!BM9))</f>
        <v>5</v>
      </c>
      <c r="BO9" s="148">
        <f>IF(CHOOSE(uxb_works!$B$46,"-",Data_2014_N!BO9,Data_2017!BN9)="","",CHOOSE(uxb_works!$B$46,"-",Data_2014_N!BO9,Data_2017!BN9))</f>
        <v>5</v>
      </c>
      <c r="BP9" s="148">
        <f>IF(CHOOSE(uxb_works!$B$46,"-",Data_2014_N!BP9,Data_2017!BO9)="","",CHOOSE(uxb_works!$B$46,"-",Data_2014_N!BP9,Data_2017!BO9))</f>
        <v>4</v>
      </c>
      <c r="BQ9" s="148">
        <f>IF(CHOOSE(uxb_works!$B$46,"-",Data_2014_N!BQ9,Data_2017!BP9)="","",CHOOSE(uxb_works!$B$46,"-",Data_2014_N!BQ9,Data_2017!BP9))</f>
        <v>1</v>
      </c>
      <c r="BR9" s="325">
        <f>IF(CHOOSE(uxb_works!$B$46,"-",Data_2014_N!BR9,Data_2017!BR9)="","",CHOOSE(uxb_works!$B$46,"-",Data_2014_N!BR9,Data_2017!BR9))</f>
        <v>4</v>
      </c>
      <c r="CC9" s="112">
        <v>2</v>
      </c>
      <c r="CD9" s="112">
        <v>2</v>
      </c>
      <c r="CE9" s="112">
        <v>2</v>
      </c>
      <c r="CF9" s="112">
        <v>3</v>
      </c>
      <c r="CG9" s="112">
        <v>2</v>
      </c>
    </row>
    <row r="10" s="112" customFormat="1" ht="22.5" customHeight="1" spans="1:85">
      <c r="A10"/>
      <c r="B10" s="133">
        <f>tblIndicators!A6</f>
        <v>5</v>
      </c>
      <c r="C10" s="133">
        <f>tblIndicators!B6</f>
        <v>0</v>
      </c>
      <c r="D10" s="310">
        <f>CHOOSE(uxb_works!$B$46,#REF!,Data_2014_N!D10,Data_2017!D10)</f>
        <v>3</v>
      </c>
      <c r="E10" s="133" t="str">
        <f>tblIndicators!E6</f>
        <v>DISE1.1</v>
      </c>
      <c r="F10" s="133" t="str">
        <f>tblIndicators!H6</f>
        <v>Citizen awareness of digital threats</v>
      </c>
      <c r="G10" s="133">
        <f>tblIndicators!Z6</f>
        <v>3</v>
      </c>
      <c r="H10" s="105" t="str">
        <f>REPT(" ",D10)&amp;CHOOSE(uxb_works!$B$46,#REF!,Data_2014_N!H10,Data_2017!H10)</f>
        <v>      1.1.2) Citizen awareness of digital threats</v>
      </c>
      <c r="I10" s="319" t="str">
        <f>IF(CHOOSE(uxb_works!$B$46,#REF!,Data_2014_N!I10,Data_2017!I10)="","",CHOOSE(uxb_works!$B$46,#REF!,Data_2014_N!I10,Data_2017!I10))</f>
        <v>Scale 0 - 3</v>
      </c>
      <c r="J10" s="148">
        <f>IF(CHOOSE(uxb_works!$B$46,"-",Data_2014_N!J10,Data_2017!J10)="","",CHOOSE(uxb_works!$B$46,"-",Data_2014_N!J10,Data_2017!J10))</f>
        <v>2</v>
      </c>
      <c r="K10" s="148">
        <f>IF(CHOOSE(uxb_works!$B$46,"-",Data_2014_N!K10,Data_2017!K10)="","",CHOOSE(uxb_works!$B$46,"-",Data_2014_N!K10,Data_2017!K10))</f>
        <v>3</v>
      </c>
      <c r="L10" s="148">
        <f>IF(CHOOSE(uxb_works!$B$46,"-",Data_2014_N!L10,Data_2017!L10)="","",CHOOSE(uxb_works!$B$46,"-",Data_2014_N!L10,Data_2017!L10))</f>
        <v>3</v>
      </c>
      <c r="M10" s="148">
        <f>IF(CHOOSE(uxb_works!$B$46,"-",Data_2014_N!M10,Data_2017!M10)="","",CHOOSE(uxb_works!$B$46,"-",Data_2014_N!M10,Data_2017!M10))</f>
        <v>2</v>
      </c>
      <c r="N10" s="148">
        <f>IF(CHOOSE(uxb_works!$B$46,"-",Data_2014_N!N10,Data_2017!N10)="","",CHOOSE(uxb_works!$B$46,"-",Data_2014_N!N10,Data_2017!N10))</f>
        <v>3</v>
      </c>
      <c r="O10" s="148">
        <f>IF(CHOOSE(uxb_works!$B$46,"-",Data_2014_N!O10,Data_2017!O10)="","",CHOOSE(uxb_works!$B$46,"-",Data_2014_N!O10,Data_2017!O10))</f>
        <v>2</v>
      </c>
      <c r="P10" s="148">
        <f>IF(CHOOSE(uxb_works!$B$46,"-",Data_2014_N!P10,Data_2017!P10)="","",CHOOSE(uxb_works!$B$46,"-",Data_2014_N!P10,Data_2017!P10))</f>
        <v>1</v>
      </c>
      <c r="Q10" s="148">
        <f>IF(CHOOSE(uxb_works!$B$46,"-",Data_2014_N!Q10,Data_2017!Q10)="","",CHOOSE(uxb_works!$B$46,"-",Data_2014_N!Q10,Data_2017!Q10))</f>
        <v>3</v>
      </c>
      <c r="R10" s="148">
        <f>IF(CHOOSE(uxb_works!$B$46,"-",Data_2014_N!R10,Data_2017!R10)="","",CHOOSE(uxb_works!$B$46,"-",Data_2014_N!R10,Data_2017!R10))</f>
        <v>1</v>
      </c>
      <c r="S10" s="148">
        <f>IF(CHOOSE(uxb_works!$B$46,"-",Data_2014_N!S10,Data_2017!S10)="","",CHOOSE(uxb_works!$B$46,"-",Data_2014_N!S10,Data_2017!S10))</f>
        <v>1</v>
      </c>
      <c r="T10" s="148">
        <f>IF(CHOOSE(uxb_works!$B$46,"-",Data_2014_N!T10,Data_2017!T10)="","",CHOOSE(uxb_works!$B$46,"-",Data_2014_N!T10,Data_2017!T10))</f>
        <v>1</v>
      </c>
      <c r="U10" s="148">
        <f>IF(CHOOSE(uxb_works!$B$46,"-",Data_2014_N!U10,Data_2017!U10)="","",CHOOSE(uxb_works!$B$46,"-",Data_2014_N!U10,Data_2017!U10))</f>
        <v>1</v>
      </c>
      <c r="V10" s="148">
        <f>IF(CHOOSE(uxb_works!$B$46,"-",Data_2014_N!V10,Data_2017!V10)="","",CHOOSE(uxb_works!$B$46,"-",Data_2014_N!V10,Data_2017!V10))</f>
        <v>3</v>
      </c>
      <c r="W10" s="148">
        <f>IF(CHOOSE(uxb_works!$B$46,"-",Data_2014_N!W10,Data_2017!W10)="","",CHOOSE(uxb_works!$B$46,"-",Data_2014_N!W10,Data_2017!W10))</f>
        <v>3</v>
      </c>
      <c r="X10" s="148">
        <f>IF(CHOOSE(uxb_works!$B$46,"-",Data_2014_N!X10,Data_2017!X10)="","",CHOOSE(uxb_works!$B$46,"-",Data_2014_N!X10,Data_2017!X10))</f>
        <v>2</v>
      </c>
      <c r="Y10" s="148">
        <f>IF(CHOOSE(uxb_works!$B$46,"-",Data_2014_N!Y10,Data_2017!Y10)="","",CHOOSE(uxb_works!$B$46,"-",Data_2014_N!Y10,Data_2017!Y10))</f>
        <v>1</v>
      </c>
      <c r="Z10" s="148">
        <f>IF(CHOOSE(uxb_works!$B$46,"-",Data_2014_N!Z10,Data_2017!Z10)="","",CHOOSE(uxb_works!$B$46,"-",Data_2014_N!Z10,Data_2017!Z10))</f>
        <v>2</v>
      </c>
      <c r="AA10" s="148">
        <f>IF(CHOOSE(uxb_works!$B$46,"-",Data_2014_N!AA10,Data_2017!AA10)="","",CHOOSE(uxb_works!$B$46,"-",Data_2014_N!AA10,Data_2017!AA10))</f>
        <v>3</v>
      </c>
      <c r="AB10" s="148">
        <f>IF(CHOOSE(uxb_works!$B$46,"-",Data_2014_N!AB10,Data_2017!AB10)="","",CHOOSE(uxb_works!$B$46,"-",Data_2014_N!AB10,Data_2017!AB10))</f>
        <v>1</v>
      </c>
      <c r="AC10" s="148">
        <f>IF(CHOOSE(uxb_works!$B$46,"-",Data_2014_N!AC10,Data_2017!AC10)="","",CHOOSE(uxb_works!$B$46,"-",Data_2014_N!AC10,Data_2017!AC10))</f>
        <v>3</v>
      </c>
      <c r="AD10" s="148">
        <f>IF(CHOOSE(uxb_works!$B$46,"-",Data_2014_N!AD10,Data_2017!AD10)="","",CHOOSE(uxb_works!$B$46,"-",Data_2014_N!AD10,Data_2017!AD10))</f>
        <v>3</v>
      </c>
      <c r="AE10" s="148">
        <f>IF(CHOOSE(uxb_works!$B$46,"-",Data_2014_N!AE10,Data_2017!AE10)="","",CHOOSE(uxb_works!$B$46,"-",Data_2014_N!AE10,Data_2017!AE10))</f>
        <v>2</v>
      </c>
      <c r="AF10" s="148">
        <f>IF(CHOOSE(uxb_works!$B$46,"-",Data_2014_N!AF10,Data_2017!AF10)="","",CHOOSE(uxb_works!$B$46,"-",Data_2014_N!AF10,Data_2017!AF10))</f>
        <v>2</v>
      </c>
      <c r="AG10" s="148">
        <f>IF(CHOOSE(uxb_works!$B$46,"-",Data_2014_N!AG10,Data_2017!AG10)="","",CHOOSE(uxb_works!$B$46,"-",Data_2014_N!AG10,Data_2017!AG10))</f>
        <v>2</v>
      </c>
      <c r="AH10" s="148">
        <f>IF(CHOOSE(uxb_works!$B$46,"-",Data_2014_N!AH10,Data_2017!AH10)="","",CHOOSE(uxb_works!$B$46,"-",Data_2014_N!AH10,Data_2017!AH10))</f>
        <v>3</v>
      </c>
      <c r="AI10" s="148">
        <f>IF(CHOOSE(uxb_works!$B$46,"-",Data_2014_N!AI10,Data_2017!AI10)="","",CHOOSE(uxb_works!$B$46,"-",Data_2014_N!AI10,Data_2017!AI10))</f>
        <v>2</v>
      </c>
      <c r="AJ10" s="148">
        <f>IF(CHOOSE(uxb_works!$B$46,"-",Data_2014_N!AJ10,Data_2017!AJ10)="","",CHOOSE(uxb_works!$B$46,"-",Data_2014_N!AJ10,Data_2017!AJ10))</f>
        <v>1</v>
      </c>
      <c r="AK10" s="148" t="e">
        <f>IF(CHOOSE(uxb_works!$B$46,"-",Data_2014_N!AK10,Data_2017!#REF!)="","",CHOOSE(uxb_works!$B$46,"-",Data_2014_N!AK10,Data_2017!#REF!))</f>
        <v>#REF!</v>
      </c>
      <c r="AL10" s="148">
        <f>IF(CHOOSE(uxb_works!$B$46,"-",Data_2014_N!AL10,Data_2017!AK10)="","",CHOOSE(uxb_works!$B$46,"-",Data_2014_N!AL10,Data_2017!AK10))</f>
        <v>2</v>
      </c>
      <c r="AM10" s="148">
        <f>IF(CHOOSE(uxb_works!$B$46,"-",Data_2014_N!AM10,Data_2017!AL10)="","",CHOOSE(uxb_works!$B$46,"-",Data_2014_N!AM10,Data_2017!AL10))</f>
        <v>3</v>
      </c>
      <c r="AN10" s="148">
        <f>IF(CHOOSE(uxb_works!$B$46,"-",Data_2014_N!AN10,Data_2017!AM10)="","",CHOOSE(uxb_works!$B$46,"-",Data_2014_N!AN10,Data_2017!AM10))</f>
        <v>3</v>
      </c>
      <c r="AO10" s="148">
        <f>IF(CHOOSE(uxb_works!$B$46,"-",Data_2014_N!AO10,Data_2017!AN10)="","",CHOOSE(uxb_works!$B$46,"-",Data_2014_N!AO10,Data_2017!AN10))</f>
        <v>3</v>
      </c>
      <c r="AP10" s="148">
        <f>IF(CHOOSE(uxb_works!$B$46,"-",Data_2014_N!AP10,Data_2017!AO10)="","",CHOOSE(uxb_works!$B$46,"-",Data_2014_N!AP10,Data_2017!AO10))</f>
        <v>1</v>
      </c>
      <c r="AQ10" s="148">
        <f>IF(CHOOSE(uxb_works!$B$46,"-",Data_2014_N!AQ10,Data_2017!AP10)="","",CHOOSE(uxb_works!$B$46,"-",Data_2014_N!AQ10,Data_2017!AP10))</f>
        <v>3</v>
      </c>
      <c r="AR10" s="148">
        <f>IF(CHOOSE(uxb_works!$B$46,"-",Data_2014_N!AR10,Data_2017!AQ10)="","",CHOOSE(uxb_works!$B$46,"-",Data_2014_N!AR10,Data_2017!AQ10))</f>
        <v>2</v>
      </c>
      <c r="AS10" s="148">
        <f>IF(CHOOSE(uxb_works!$B$46,"-",Data_2014_N!AS10,Data_2017!AR10)="","",CHOOSE(uxb_works!$B$46,"-",Data_2014_N!AS10,Data_2017!AR10))</f>
        <v>2</v>
      </c>
      <c r="AT10" s="148">
        <f>IF(CHOOSE(uxb_works!$B$46,"-",Data_2014_N!AT10,Data_2017!AS10)="","",CHOOSE(uxb_works!$B$46,"-",Data_2014_N!AT10,Data_2017!AS10))</f>
        <v>1</v>
      </c>
      <c r="AU10" s="148">
        <f>IF(CHOOSE(uxb_works!$B$46,"-",Data_2014_N!AU10,Data_2017!AT10)="","",CHOOSE(uxb_works!$B$46,"-",Data_2014_N!AU10,Data_2017!AT10))</f>
        <v>2</v>
      </c>
      <c r="AV10" s="148">
        <f>IF(CHOOSE(uxb_works!$B$46,"-",Data_2014_N!AV10,Data_2017!AU10)="","",CHOOSE(uxb_works!$B$46,"-",Data_2014_N!AV10,Data_2017!AU10))</f>
        <v>3</v>
      </c>
      <c r="AW10" s="148">
        <f>IF(CHOOSE(uxb_works!$B$46,"-",Data_2014_N!AW10,Data_2017!AV10)="","",CHOOSE(uxb_works!$B$46,"-",Data_2014_N!AW10,Data_2017!AV10))</f>
        <v>2</v>
      </c>
      <c r="AX10" s="148">
        <f>IF(CHOOSE(uxb_works!$B$46,"-",Data_2014_N!AX10,Data_2017!AW10)="","",CHOOSE(uxb_works!$B$46,"-",Data_2014_N!AX10,Data_2017!AW10))</f>
        <v>2</v>
      </c>
      <c r="AY10" s="148">
        <f>IF(CHOOSE(uxb_works!$B$46,"-",Data_2014_N!AY10,Data_2017!AX10)="","",CHOOSE(uxb_works!$B$46,"-",Data_2014_N!AY10,Data_2017!AX10))</f>
        <v>2</v>
      </c>
      <c r="AZ10" s="148">
        <f>IF(CHOOSE(uxb_works!$B$46,"-",Data_2014_N!AZ10,Data_2017!AY10)="","",CHOOSE(uxb_works!$B$46,"-",Data_2014_N!AZ10,Data_2017!AY10))</f>
        <v>2</v>
      </c>
      <c r="BA10" s="148">
        <f>IF(CHOOSE(uxb_works!$B$46,"-",Data_2014_N!BA10,Data_2017!AZ10)="","",CHOOSE(uxb_works!$B$46,"-",Data_2014_N!BA10,Data_2017!AZ10))</f>
        <v>2</v>
      </c>
      <c r="BB10" s="148">
        <f>IF(CHOOSE(uxb_works!$B$46,"-",Data_2014_N!BB10,Data_2017!BA10)="","",CHOOSE(uxb_works!$B$46,"-",Data_2014_N!BB10,Data_2017!BA10))</f>
        <v>3</v>
      </c>
      <c r="BC10" s="148">
        <f>IF(CHOOSE(uxb_works!$B$46,"-",Data_2014_N!BC10,Data_2017!BB10)="","",CHOOSE(uxb_works!$B$46,"-",Data_2014_N!BC10,Data_2017!BB10))</f>
        <v>3</v>
      </c>
      <c r="BD10" s="148">
        <f>IF(CHOOSE(uxb_works!$B$46,"-",Data_2014_N!BD10,Data_2017!BC10)="","",CHOOSE(uxb_works!$B$46,"-",Data_2014_N!BD10,Data_2017!BC10))</f>
        <v>2</v>
      </c>
      <c r="BE10" s="148">
        <f>IF(CHOOSE(uxb_works!$B$46,"-",Data_2014_N!BE10,Data_2017!BD10)="","",CHOOSE(uxb_works!$B$46,"-",Data_2014_N!BE10,Data_2017!BD10))</f>
        <v>2</v>
      </c>
      <c r="BF10" s="148">
        <f>IF(CHOOSE(uxb_works!$B$46,"-",Data_2014_N!BF10,Data_2017!BE10)="","",CHOOSE(uxb_works!$B$46,"-",Data_2014_N!BF10,Data_2017!BE10))</f>
        <v>1</v>
      </c>
      <c r="BG10" s="148">
        <f>IF(CHOOSE(uxb_works!$B$46,"-",Data_2014_N!BG10,Data_2017!BF10)="","",CHOOSE(uxb_works!$B$46,"-",Data_2014_N!BG10,Data_2017!BF10))</f>
        <v>2</v>
      </c>
      <c r="BH10" s="148">
        <f>IF(CHOOSE(uxb_works!$B$46,"-",Data_2014_N!BH10,Data_2017!BG10)="","",CHOOSE(uxb_works!$B$46,"-",Data_2014_N!BH10,Data_2017!BG10))</f>
        <v>3</v>
      </c>
      <c r="BI10" s="148">
        <f>IF(CHOOSE(uxb_works!$B$46,"-",Data_2014_N!BI10,Data_2017!BH10)="","",CHOOSE(uxb_works!$B$46,"-",Data_2014_N!BI10,Data_2017!BH10))</f>
        <v>3</v>
      </c>
      <c r="BJ10" s="148">
        <f>IF(CHOOSE(uxb_works!$B$46,"-",Data_2014_N!BJ10,Data_2017!BI10)="","",CHOOSE(uxb_works!$B$46,"-",Data_2014_N!BJ10,Data_2017!BI10))</f>
        <v>3</v>
      </c>
      <c r="BK10" s="148">
        <f>IF(CHOOSE(uxb_works!$B$46,"-",Data_2014_N!BK10,Data_2017!BJ10)="","",CHOOSE(uxb_works!$B$46,"-",Data_2014_N!BK10,Data_2017!BJ10))</f>
        <v>2</v>
      </c>
      <c r="BL10" s="148">
        <f>IF(CHOOSE(uxb_works!$B$46,"-",Data_2014_N!BL10,Data_2017!BK10)="","",CHOOSE(uxb_works!$B$46,"-",Data_2014_N!BL10,Data_2017!BK10))</f>
        <v>1</v>
      </c>
      <c r="BM10" s="148">
        <f>IF(CHOOSE(uxb_works!$B$46,"-",Data_2014_N!BM10,Data_2017!BL10)="","",CHOOSE(uxb_works!$B$46,"-",Data_2014_N!BM10,Data_2017!BL10))</f>
        <v>2</v>
      </c>
      <c r="BN10" s="148">
        <f>IF(CHOOSE(uxb_works!$B$46,"-",Data_2014_N!BN10,Data_2017!BM10)="","",CHOOSE(uxb_works!$B$46,"-",Data_2014_N!BN10,Data_2017!BM10))</f>
        <v>3</v>
      </c>
      <c r="BO10" s="148">
        <f>IF(CHOOSE(uxb_works!$B$46,"-",Data_2014_N!BO10,Data_2017!BN10)="","",CHOOSE(uxb_works!$B$46,"-",Data_2014_N!BO10,Data_2017!BN10))</f>
        <v>3</v>
      </c>
      <c r="BP10" s="148">
        <f>IF(CHOOSE(uxb_works!$B$46,"-",Data_2014_N!BP10,Data_2017!BO10)="","",CHOOSE(uxb_works!$B$46,"-",Data_2014_N!BP10,Data_2017!BO10))</f>
        <v>2</v>
      </c>
      <c r="BQ10" s="148">
        <f>IF(CHOOSE(uxb_works!$B$46,"-",Data_2014_N!BQ10,Data_2017!BP10)="","",CHOOSE(uxb_works!$B$46,"-",Data_2014_N!BQ10,Data_2017!BP10))</f>
        <v>1</v>
      </c>
      <c r="BR10" s="325">
        <f>IF(CHOOSE(uxb_works!$B$46,"-",Data_2014_N!BR10,Data_2017!BR10)="","",CHOOSE(uxb_works!$B$46,"-",Data_2014_N!BR10,Data_2017!BR10))</f>
        <v>2</v>
      </c>
      <c r="CC10" s="112">
        <v>2</v>
      </c>
      <c r="CD10" s="112">
        <v>2</v>
      </c>
      <c r="CE10" s="112">
        <v>2</v>
      </c>
      <c r="CF10" s="112">
        <v>2</v>
      </c>
      <c r="CG10" s="112">
        <v>2</v>
      </c>
    </row>
    <row r="11" s="112" customFormat="1" ht="22.5" customHeight="1" spans="1:85">
      <c r="A11"/>
      <c r="B11" s="133">
        <f>tblIndicators!A7</f>
        <v>6</v>
      </c>
      <c r="C11" s="133">
        <f>tblIndicators!B7</f>
        <v>0</v>
      </c>
      <c r="D11" s="310">
        <f>CHOOSE(uxb_works!$B$46,#REF!,Data_2014_N!D11,Data_2017!D11)</f>
        <v>3</v>
      </c>
      <c r="E11" s="133" t="str">
        <f>tblIndicators!E7</f>
        <v>DISE1.1</v>
      </c>
      <c r="F11" s="133" t="str">
        <f>tblIndicators!H7</f>
        <v>Public-private partnerships</v>
      </c>
      <c r="G11" s="133">
        <f>tblIndicators!Z7</f>
        <v>3</v>
      </c>
      <c r="H11" s="105" t="str">
        <f>REPT(" ",D11)&amp;CHOOSE(uxb_works!$B$46,#REF!,Data_2014_N!H11,Data_2017!H11)</f>
        <v>      1.1.3) Public-private partnerships</v>
      </c>
      <c r="I11" s="319" t="str">
        <f>IF(CHOOSE(uxb_works!$B$46,#REF!,Data_2014_N!I11,Data_2017!I11)="","",CHOOSE(uxb_works!$B$46,#REF!,Data_2014_N!I11,Data_2017!I11))</f>
        <v>Scale 0 - 2</v>
      </c>
      <c r="J11" s="148">
        <f>IF(CHOOSE(uxb_works!$B$46,"-",Data_2014_N!J11,Data_2017!J11)="","",CHOOSE(uxb_works!$B$46,"-",Data_2014_N!J11,Data_2017!J11))</f>
        <v>1</v>
      </c>
      <c r="K11" s="148">
        <f>IF(CHOOSE(uxb_works!$B$46,"-",Data_2014_N!K11,Data_2017!K11)="","",CHOOSE(uxb_works!$B$46,"-",Data_2014_N!K11,Data_2017!K11))</f>
        <v>1</v>
      </c>
      <c r="L11" s="148">
        <f>IF(CHOOSE(uxb_works!$B$46,"-",Data_2014_N!L11,Data_2017!L11)="","",CHOOSE(uxb_works!$B$46,"-",Data_2014_N!L11,Data_2017!L11))</f>
        <v>0</v>
      </c>
      <c r="M11" s="148">
        <f>IF(CHOOSE(uxb_works!$B$46,"-",Data_2014_N!M11,Data_2017!M11)="","",CHOOSE(uxb_works!$B$46,"-",Data_2014_N!M11,Data_2017!M11))</f>
        <v>0</v>
      </c>
      <c r="N11" s="148">
        <f>IF(CHOOSE(uxb_works!$B$46,"-",Data_2014_N!N11,Data_2017!N11)="","",CHOOSE(uxb_works!$B$46,"-",Data_2014_N!N11,Data_2017!N11))</f>
        <v>1</v>
      </c>
      <c r="O11" s="148">
        <f>IF(CHOOSE(uxb_works!$B$46,"-",Data_2014_N!O11,Data_2017!O11)="","",CHOOSE(uxb_works!$B$46,"-",Data_2014_N!O11,Data_2017!O11))</f>
        <v>0</v>
      </c>
      <c r="P11" s="148">
        <f>IF(CHOOSE(uxb_works!$B$46,"-",Data_2014_N!P11,Data_2017!P11)="","",CHOOSE(uxb_works!$B$46,"-",Data_2014_N!P11,Data_2017!P11))</f>
        <v>0</v>
      </c>
      <c r="Q11" s="148">
        <f>IF(CHOOSE(uxb_works!$B$46,"-",Data_2014_N!Q11,Data_2017!Q11)="","",CHOOSE(uxb_works!$B$46,"-",Data_2014_N!Q11,Data_2017!Q11))</f>
        <v>1</v>
      </c>
      <c r="R11" s="148">
        <f>IF(CHOOSE(uxb_works!$B$46,"-",Data_2014_N!R11,Data_2017!R11)="","",CHOOSE(uxb_works!$B$46,"-",Data_2014_N!R11,Data_2017!R11))</f>
        <v>1</v>
      </c>
      <c r="S11" s="148">
        <f>IF(CHOOSE(uxb_works!$B$46,"-",Data_2014_N!S11,Data_2017!S11)="","",CHOOSE(uxb_works!$B$46,"-",Data_2014_N!S11,Data_2017!S11))</f>
        <v>0</v>
      </c>
      <c r="T11" s="148">
        <f>IF(CHOOSE(uxb_works!$B$46,"-",Data_2014_N!T11,Data_2017!T11)="","",CHOOSE(uxb_works!$B$46,"-",Data_2014_N!T11,Data_2017!T11))</f>
        <v>1</v>
      </c>
      <c r="U11" s="148">
        <f>IF(CHOOSE(uxb_works!$B$46,"-",Data_2014_N!U11,Data_2017!U11)="","",CHOOSE(uxb_works!$B$46,"-",Data_2014_N!U11,Data_2017!U11))</f>
        <v>0</v>
      </c>
      <c r="V11" s="148">
        <f>IF(CHOOSE(uxb_works!$B$46,"-",Data_2014_N!V11,Data_2017!V11)="","",CHOOSE(uxb_works!$B$46,"-",Data_2014_N!V11,Data_2017!V11))</f>
        <v>2</v>
      </c>
      <c r="W11" s="148">
        <f>IF(CHOOSE(uxb_works!$B$46,"-",Data_2014_N!W11,Data_2017!W11)="","",CHOOSE(uxb_works!$B$46,"-",Data_2014_N!W11,Data_2017!W11))</f>
        <v>2</v>
      </c>
      <c r="X11" s="148">
        <f>IF(CHOOSE(uxb_works!$B$46,"-",Data_2014_N!X11,Data_2017!X11)="","",CHOOSE(uxb_works!$B$46,"-",Data_2014_N!X11,Data_2017!X11))</f>
        <v>1</v>
      </c>
      <c r="Y11" s="148">
        <f>IF(CHOOSE(uxb_works!$B$46,"-",Data_2014_N!Y11,Data_2017!Y11)="","",CHOOSE(uxb_works!$B$46,"-",Data_2014_N!Y11,Data_2017!Y11))</f>
        <v>1</v>
      </c>
      <c r="Z11" s="148">
        <f>IF(CHOOSE(uxb_works!$B$46,"-",Data_2014_N!Z11,Data_2017!Z11)="","",CHOOSE(uxb_works!$B$46,"-",Data_2014_N!Z11,Data_2017!Z11))</f>
        <v>1</v>
      </c>
      <c r="AA11" s="148">
        <f>IF(CHOOSE(uxb_works!$B$46,"-",Data_2014_N!AA11,Data_2017!AA11)="","",CHOOSE(uxb_works!$B$46,"-",Data_2014_N!AA11,Data_2017!AA11))</f>
        <v>1</v>
      </c>
      <c r="AB11" s="148">
        <f>IF(CHOOSE(uxb_works!$B$46,"-",Data_2014_N!AB11,Data_2017!AB11)="","",CHOOSE(uxb_works!$B$46,"-",Data_2014_N!AB11,Data_2017!AB11))</f>
        <v>0</v>
      </c>
      <c r="AC11" s="148">
        <f>IF(CHOOSE(uxb_works!$B$46,"-",Data_2014_N!AC11,Data_2017!AC11)="","",CHOOSE(uxb_works!$B$46,"-",Data_2014_N!AC11,Data_2017!AC11))</f>
        <v>2</v>
      </c>
      <c r="AD11" s="148">
        <f>IF(CHOOSE(uxb_works!$B$46,"-",Data_2014_N!AD11,Data_2017!AD11)="","",CHOOSE(uxb_works!$B$46,"-",Data_2014_N!AD11,Data_2017!AD11))</f>
        <v>1</v>
      </c>
      <c r="AE11" s="148">
        <f>IF(CHOOSE(uxb_works!$B$46,"-",Data_2014_N!AE11,Data_2017!AE11)="","",CHOOSE(uxb_works!$B$46,"-",Data_2014_N!AE11,Data_2017!AE11))</f>
        <v>0</v>
      </c>
      <c r="AF11" s="148">
        <f>IF(CHOOSE(uxb_works!$B$46,"-",Data_2014_N!AF11,Data_2017!AF11)="","",CHOOSE(uxb_works!$B$46,"-",Data_2014_N!AF11,Data_2017!AF11))</f>
        <v>0</v>
      </c>
      <c r="AG11" s="148">
        <f>IF(CHOOSE(uxb_works!$B$46,"-",Data_2014_N!AG11,Data_2017!AG11)="","",CHOOSE(uxb_works!$B$46,"-",Data_2014_N!AG11,Data_2017!AG11))</f>
        <v>1</v>
      </c>
      <c r="AH11" s="148">
        <f>IF(CHOOSE(uxb_works!$B$46,"-",Data_2014_N!AH11,Data_2017!AH11)="","",CHOOSE(uxb_works!$B$46,"-",Data_2014_N!AH11,Data_2017!AH11))</f>
        <v>0</v>
      </c>
      <c r="AI11" s="148">
        <f>IF(CHOOSE(uxb_works!$B$46,"-",Data_2014_N!AI11,Data_2017!AI11)="","",CHOOSE(uxb_works!$B$46,"-",Data_2014_N!AI11,Data_2017!AI11))</f>
        <v>1</v>
      </c>
      <c r="AJ11" s="148">
        <f>IF(CHOOSE(uxb_works!$B$46,"-",Data_2014_N!AJ11,Data_2017!AJ11)="","",CHOOSE(uxb_works!$B$46,"-",Data_2014_N!AJ11,Data_2017!AJ11))</f>
        <v>0</v>
      </c>
      <c r="AK11" s="148" t="e">
        <f>IF(CHOOSE(uxb_works!$B$46,"-",Data_2014_N!AK11,Data_2017!#REF!)="","",CHOOSE(uxb_works!$B$46,"-",Data_2014_N!AK11,Data_2017!#REF!))</f>
        <v>#REF!</v>
      </c>
      <c r="AL11" s="148">
        <f>IF(CHOOSE(uxb_works!$B$46,"-",Data_2014_N!AL11,Data_2017!AK11)="","",CHOOSE(uxb_works!$B$46,"-",Data_2014_N!AL11,Data_2017!AK11))</f>
        <v>1</v>
      </c>
      <c r="AM11" s="148">
        <f>IF(CHOOSE(uxb_works!$B$46,"-",Data_2014_N!AM11,Data_2017!AL11)="","",CHOOSE(uxb_works!$B$46,"-",Data_2014_N!AM11,Data_2017!AL11))</f>
        <v>1</v>
      </c>
      <c r="AN11" s="148">
        <f>IF(CHOOSE(uxb_works!$B$46,"-",Data_2014_N!AN11,Data_2017!AM11)="","",CHOOSE(uxb_works!$B$46,"-",Data_2014_N!AN11,Data_2017!AM11))</f>
        <v>2</v>
      </c>
      <c r="AO11" s="148">
        <f>IF(CHOOSE(uxb_works!$B$46,"-",Data_2014_N!AO11,Data_2017!AN11)="","",CHOOSE(uxb_works!$B$46,"-",Data_2014_N!AO11,Data_2017!AN11))</f>
        <v>1</v>
      </c>
      <c r="AP11" s="148">
        <f>IF(CHOOSE(uxb_works!$B$46,"-",Data_2014_N!AP11,Data_2017!AO11)="","",CHOOSE(uxb_works!$B$46,"-",Data_2014_N!AP11,Data_2017!AO11))</f>
        <v>1</v>
      </c>
      <c r="AQ11" s="148">
        <f>IF(CHOOSE(uxb_works!$B$46,"-",Data_2014_N!AQ11,Data_2017!AP11)="","",CHOOSE(uxb_works!$B$46,"-",Data_2014_N!AQ11,Data_2017!AP11))</f>
        <v>1</v>
      </c>
      <c r="AR11" s="148">
        <f>IF(CHOOSE(uxb_works!$B$46,"-",Data_2014_N!AR11,Data_2017!AQ11)="","",CHOOSE(uxb_works!$B$46,"-",Data_2014_N!AR11,Data_2017!AQ11))</f>
        <v>1</v>
      </c>
      <c r="AS11" s="148">
        <f>IF(CHOOSE(uxb_works!$B$46,"-",Data_2014_N!AS11,Data_2017!AR11)="","",CHOOSE(uxb_works!$B$46,"-",Data_2014_N!AS11,Data_2017!AR11))</f>
        <v>2</v>
      </c>
      <c r="AT11" s="148">
        <f>IF(CHOOSE(uxb_works!$B$46,"-",Data_2014_N!AT11,Data_2017!AS11)="","",CHOOSE(uxb_works!$B$46,"-",Data_2014_N!AT11,Data_2017!AS11))</f>
        <v>0</v>
      </c>
      <c r="AU11" s="148">
        <f>IF(CHOOSE(uxb_works!$B$46,"-",Data_2014_N!AU11,Data_2017!AT11)="","",CHOOSE(uxb_works!$B$46,"-",Data_2014_N!AU11,Data_2017!AT11))</f>
        <v>1</v>
      </c>
      <c r="AV11" s="148">
        <f>IF(CHOOSE(uxb_works!$B$46,"-",Data_2014_N!AV11,Data_2017!AU11)="","",CHOOSE(uxb_works!$B$46,"-",Data_2014_N!AV11,Data_2017!AU11))</f>
        <v>2</v>
      </c>
      <c r="AW11" s="148">
        <f>IF(CHOOSE(uxb_works!$B$46,"-",Data_2014_N!AW11,Data_2017!AV11)="","",CHOOSE(uxb_works!$B$46,"-",Data_2014_N!AW11,Data_2017!AV11))</f>
        <v>1</v>
      </c>
      <c r="AX11" s="148">
        <f>IF(CHOOSE(uxb_works!$B$46,"-",Data_2014_N!AX11,Data_2017!AW11)="","",CHOOSE(uxb_works!$B$46,"-",Data_2014_N!AX11,Data_2017!AW11))</f>
        <v>1</v>
      </c>
      <c r="AY11" s="148">
        <f>IF(CHOOSE(uxb_works!$B$46,"-",Data_2014_N!AY11,Data_2017!AX11)="","",CHOOSE(uxb_works!$B$46,"-",Data_2014_N!AY11,Data_2017!AX11))</f>
        <v>1</v>
      </c>
      <c r="AZ11" s="148">
        <f>IF(CHOOSE(uxb_works!$B$46,"-",Data_2014_N!AZ11,Data_2017!AY11)="","",CHOOSE(uxb_works!$B$46,"-",Data_2014_N!AZ11,Data_2017!AY11))</f>
        <v>0</v>
      </c>
      <c r="BA11" s="148">
        <f>IF(CHOOSE(uxb_works!$B$46,"-",Data_2014_N!BA11,Data_2017!AZ11)="","",CHOOSE(uxb_works!$B$46,"-",Data_2014_N!BA11,Data_2017!AZ11))</f>
        <v>0</v>
      </c>
      <c r="BB11" s="148">
        <f>IF(CHOOSE(uxb_works!$B$46,"-",Data_2014_N!BB11,Data_2017!BA11)="","",CHOOSE(uxb_works!$B$46,"-",Data_2014_N!BB11,Data_2017!BA11))</f>
        <v>1</v>
      </c>
      <c r="BC11" s="148">
        <f>IF(CHOOSE(uxb_works!$B$46,"-",Data_2014_N!BC11,Data_2017!BB11)="","",CHOOSE(uxb_works!$B$46,"-",Data_2014_N!BC11,Data_2017!BB11))</f>
        <v>2</v>
      </c>
      <c r="BD11" s="148">
        <f>IF(CHOOSE(uxb_works!$B$46,"-",Data_2014_N!BD11,Data_2017!BC11)="","",CHOOSE(uxb_works!$B$46,"-",Data_2014_N!BD11,Data_2017!BC11))</f>
        <v>1</v>
      </c>
      <c r="BE11" s="148">
        <f>IF(CHOOSE(uxb_works!$B$46,"-",Data_2014_N!BE11,Data_2017!BD11)="","",CHOOSE(uxb_works!$B$46,"-",Data_2014_N!BE11,Data_2017!BD11))</f>
        <v>0</v>
      </c>
      <c r="BF11" s="148">
        <f>IF(CHOOSE(uxb_works!$B$46,"-",Data_2014_N!BF11,Data_2017!BE11)="","",CHOOSE(uxb_works!$B$46,"-",Data_2014_N!BF11,Data_2017!BE11))</f>
        <v>1</v>
      </c>
      <c r="BG11" s="148">
        <f>IF(CHOOSE(uxb_works!$B$46,"-",Data_2014_N!BG11,Data_2017!BF11)="","",CHOOSE(uxb_works!$B$46,"-",Data_2014_N!BG11,Data_2017!BF11))</f>
        <v>0</v>
      </c>
      <c r="BH11" s="148">
        <f>IF(CHOOSE(uxb_works!$B$46,"-",Data_2014_N!BH11,Data_2017!BG11)="","",CHOOSE(uxb_works!$B$46,"-",Data_2014_N!BH11,Data_2017!BG11))</f>
        <v>2</v>
      </c>
      <c r="BI11" s="148">
        <f>IF(CHOOSE(uxb_works!$B$46,"-",Data_2014_N!BI11,Data_2017!BH11)="","",CHOOSE(uxb_works!$B$46,"-",Data_2014_N!BI11,Data_2017!BH11))</f>
        <v>1</v>
      </c>
      <c r="BJ11" s="148">
        <f>IF(CHOOSE(uxb_works!$B$46,"-",Data_2014_N!BJ11,Data_2017!BI11)="","",CHOOSE(uxb_works!$B$46,"-",Data_2014_N!BJ11,Data_2017!BI11))</f>
        <v>1</v>
      </c>
      <c r="BK11" s="148">
        <f>IF(CHOOSE(uxb_works!$B$46,"-",Data_2014_N!BK11,Data_2017!BJ11)="","",CHOOSE(uxb_works!$B$46,"-",Data_2014_N!BK11,Data_2017!BJ11))</f>
        <v>2</v>
      </c>
      <c r="BL11" s="148">
        <f>IF(CHOOSE(uxb_works!$B$46,"-",Data_2014_N!BL11,Data_2017!BK11)="","",CHOOSE(uxb_works!$B$46,"-",Data_2014_N!BL11,Data_2017!BK11))</f>
        <v>0</v>
      </c>
      <c r="BM11" s="148">
        <f>IF(CHOOSE(uxb_works!$B$46,"-",Data_2014_N!BM11,Data_2017!BL11)="","",CHOOSE(uxb_works!$B$46,"-",Data_2014_N!BM11,Data_2017!BL11))</f>
        <v>2</v>
      </c>
      <c r="BN11" s="148">
        <f>IF(CHOOSE(uxb_works!$B$46,"-",Data_2014_N!BN11,Data_2017!BM11)="","",CHOOSE(uxb_works!$B$46,"-",Data_2014_N!BN11,Data_2017!BM11))</f>
        <v>1</v>
      </c>
      <c r="BO11" s="148">
        <f>IF(CHOOSE(uxb_works!$B$46,"-",Data_2014_N!BO11,Data_2017!BN11)="","",CHOOSE(uxb_works!$B$46,"-",Data_2014_N!BO11,Data_2017!BN11))</f>
        <v>1</v>
      </c>
      <c r="BP11" s="148">
        <f>IF(CHOOSE(uxb_works!$B$46,"-",Data_2014_N!BP11,Data_2017!BO11)="","",CHOOSE(uxb_works!$B$46,"-",Data_2014_N!BP11,Data_2017!BO11))</f>
        <v>1</v>
      </c>
      <c r="BQ11" s="148">
        <f>IF(CHOOSE(uxb_works!$B$46,"-",Data_2014_N!BQ11,Data_2017!BP11)="","",CHOOSE(uxb_works!$B$46,"-",Data_2014_N!BQ11,Data_2017!BP11))</f>
        <v>0</v>
      </c>
      <c r="BR11" s="325">
        <f>IF(CHOOSE(uxb_works!$B$46,"-",Data_2014_N!BR11,Data_2017!BR11)="","",CHOOSE(uxb_works!$B$46,"-",Data_2014_N!BR11,Data_2017!BR11))</f>
        <v>1</v>
      </c>
      <c r="CC11" s="112">
        <v>1</v>
      </c>
      <c r="CD11" s="112">
        <v>2</v>
      </c>
      <c r="CE11" s="112">
        <v>1</v>
      </c>
      <c r="CF11" s="112">
        <v>1</v>
      </c>
      <c r="CG11" s="112">
        <v>1</v>
      </c>
    </row>
    <row r="12" s="112" customFormat="1" ht="22.5" customHeight="1" spans="1:85">
      <c r="A12"/>
      <c r="B12" s="133">
        <f>tblIndicators!A8</f>
        <v>7</v>
      </c>
      <c r="C12" s="133">
        <f>tblIndicators!B8</f>
        <v>0</v>
      </c>
      <c r="D12" s="310">
        <f>CHOOSE(uxb_works!$B$46,#REF!,Data_2014_N!D12,Data_2017!D12)</f>
        <v>3</v>
      </c>
      <c r="E12" s="133" t="str">
        <f>tblIndicators!E8</f>
        <v>DISE1.1</v>
      </c>
      <c r="F12" s="133" t="str">
        <f>tblIndicators!H8</f>
        <v>Level of technology employed</v>
      </c>
      <c r="G12" s="133">
        <f>tblIndicators!Z8</f>
        <v>3</v>
      </c>
      <c r="H12" s="105" t="str">
        <f>REPT(" ",D12)&amp;CHOOSE(uxb_works!$B$46,#REF!,Data_2014_N!H12,Data_2017!H12)</f>
        <v>      1.1.4) Level of technology employed</v>
      </c>
      <c r="I12" s="319" t="str">
        <f>IF(CHOOSE(uxb_works!$B$46,#REF!,Data_2014_N!I12,Data_2017!I12)="","",CHOOSE(uxb_works!$B$46,#REF!,Data_2014_N!I12,Data_2017!I12))</f>
        <v>Scale 0 - 100</v>
      </c>
      <c r="J12" s="148">
        <f>IF(CHOOSE(uxb_works!$B$46,"-",Data_2014_N!J12,Data_2017!J12)="","",CHOOSE(uxb_works!$B$46,"-",Data_2014_N!J12,Data_2017!J12))</f>
        <v>100</v>
      </c>
      <c r="K12" s="148">
        <f>IF(CHOOSE(uxb_works!$B$46,"-",Data_2014_N!K12,Data_2017!K12)="","",CHOOSE(uxb_works!$B$46,"-",Data_2014_N!K12,Data_2017!K12))</f>
        <v>100</v>
      </c>
      <c r="L12" s="148">
        <f>IF(CHOOSE(uxb_works!$B$46,"-",Data_2014_N!L12,Data_2017!L12)="","",CHOOSE(uxb_works!$B$46,"-",Data_2014_N!L12,Data_2017!L12))</f>
        <v>75</v>
      </c>
      <c r="M12" s="148">
        <f>IF(CHOOSE(uxb_works!$B$46,"-",Data_2014_N!M12,Data_2017!M12)="","",CHOOSE(uxb_works!$B$46,"-",Data_2014_N!M12,Data_2017!M12))</f>
        <v>0</v>
      </c>
      <c r="N12" s="148">
        <f>IF(CHOOSE(uxb_works!$B$46,"-",Data_2014_N!N12,Data_2017!N12)="","",CHOOSE(uxb_works!$B$46,"-",Data_2014_N!N12,Data_2017!N12))</f>
        <v>100</v>
      </c>
      <c r="O12" s="148">
        <f>IF(CHOOSE(uxb_works!$B$46,"-",Data_2014_N!O12,Data_2017!O12)="","",CHOOSE(uxb_works!$B$46,"-",Data_2014_N!O12,Data_2017!O12))</f>
        <v>75</v>
      </c>
      <c r="P12" s="148">
        <f>IF(CHOOSE(uxb_works!$B$46,"-",Data_2014_N!P12,Data_2017!P12)="","",CHOOSE(uxb_works!$B$46,"-",Data_2014_N!P12,Data_2017!P12))</f>
        <v>75</v>
      </c>
      <c r="Q12" s="148">
        <f>IF(CHOOSE(uxb_works!$B$46,"-",Data_2014_N!Q12,Data_2017!Q12)="","",CHOOSE(uxb_works!$B$46,"-",Data_2014_N!Q12,Data_2017!Q12))</f>
        <v>100</v>
      </c>
      <c r="R12" s="148">
        <f>IF(CHOOSE(uxb_works!$B$46,"-",Data_2014_N!R12,Data_2017!R12)="","",CHOOSE(uxb_works!$B$46,"-",Data_2014_N!R12,Data_2017!R12))</f>
        <v>75</v>
      </c>
      <c r="S12" s="148">
        <f>IF(CHOOSE(uxb_works!$B$46,"-",Data_2014_N!S12,Data_2017!S12)="","",CHOOSE(uxb_works!$B$46,"-",Data_2014_N!S12,Data_2017!S12))</f>
        <v>0</v>
      </c>
      <c r="T12" s="148">
        <f>IF(CHOOSE(uxb_works!$B$46,"-",Data_2014_N!T12,Data_2017!T12)="","",CHOOSE(uxb_works!$B$46,"-",Data_2014_N!T12,Data_2017!T12))</f>
        <v>75</v>
      </c>
      <c r="U12" s="148">
        <f>IF(CHOOSE(uxb_works!$B$46,"-",Data_2014_N!U12,Data_2017!U12)="","",CHOOSE(uxb_works!$B$46,"-",Data_2014_N!U12,Data_2017!U12))</f>
        <v>75</v>
      </c>
      <c r="V12" s="148">
        <f>IF(CHOOSE(uxb_works!$B$46,"-",Data_2014_N!V12,Data_2017!V12)="","",CHOOSE(uxb_works!$B$46,"-",Data_2014_N!V12,Data_2017!V12))</f>
        <v>100</v>
      </c>
      <c r="W12" s="148">
        <f>IF(CHOOSE(uxb_works!$B$46,"-",Data_2014_N!W12,Data_2017!W12)="","",CHOOSE(uxb_works!$B$46,"-",Data_2014_N!W12,Data_2017!W12))</f>
        <v>100</v>
      </c>
      <c r="X12" s="148">
        <f>IF(CHOOSE(uxb_works!$B$46,"-",Data_2014_N!X12,Data_2017!X12)="","",CHOOSE(uxb_works!$B$46,"-",Data_2014_N!X12,Data_2017!X12))</f>
        <v>75</v>
      </c>
      <c r="Y12" s="148">
        <f>IF(CHOOSE(uxb_works!$B$46,"-",Data_2014_N!Y12,Data_2017!Y12)="","",CHOOSE(uxb_works!$B$46,"-",Data_2014_N!Y12,Data_2017!Y12))</f>
        <v>0</v>
      </c>
      <c r="Z12" s="148">
        <f>IF(CHOOSE(uxb_works!$B$46,"-",Data_2014_N!Z12,Data_2017!Z12)="","",CHOOSE(uxb_works!$B$46,"-",Data_2014_N!Z12,Data_2017!Z12))</f>
        <v>75</v>
      </c>
      <c r="AA12" s="148">
        <f>IF(CHOOSE(uxb_works!$B$46,"-",Data_2014_N!AA12,Data_2017!AA12)="","",CHOOSE(uxb_works!$B$46,"-",Data_2014_N!AA12,Data_2017!AA12))</f>
        <v>100</v>
      </c>
      <c r="AB12" s="148">
        <f>IF(CHOOSE(uxb_works!$B$46,"-",Data_2014_N!AB12,Data_2017!AB12)="","",CHOOSE(uxb_works!$B$46,"-",Data_2014_N!AB12,Data_2017!AB12))</f>
        <v>0</v>
      </c>
      <c r="AC12" s="148">
        <f>IF(CHOOSE(uxb_works!$B$46,"-",Data_2014_N!AC12,Data_2017!AC12)="","",CHOOSE(uxb_works!$B$46,"-",Data_2014_N!AC12,Data_2017!AC12))</f>
        <v>100</v>
      </c>
      <c r="AD12" s="148">
        <f>IF(CHOOSE(uxb_works!$B$46,"-",Data_2014_N!AD12,Data_2017!AD12)="","",CHOOSE(uxb_works!$B$46,"-",Data_2014_N!AD12,Data_2017!AD12))</f>
        <v>75</v>
      </c>
      <c r="AE12" s="148">
        <f>IF(CHOOSE(uxb_works!$B$46,"-",Data_2014_N!AE12,Data_2017!AE12)="","",CHOOSE(uxb_works!$B$46,"-",Data_2014_N!AE12,Data_2017!AE12))</f>
        <v>0</v>
      </c>
      <c r="AF12" s="148">
        <f>IF(CHOOSE(uxb_works!$B$46,"-",Data_2014_N!AF12,Data_2017!AF12)="","",CHOOSE(uxb_works!$B$46,"-",Data_2014_N!AF12,Data_2017!AF12))</f>
        <v>75</v>
      </c>
      <c r="AG12" s="148">
        <f>IF(CHOOSE(uxb_works!$B$46,"-",Data_2014_N!AG12,Data_2017!AG12)="","",CHOOSE(uxb_works!$B$46,"-",Data_2014_N!AG12,Data_2017!AG12))</f>
        <v>75</v>
      </c>
      <c r="AH12" s="148">
        <f>IF(CHOOSE(uxb_works!$B$46,"-",Data_2014_N!AH12,Data_2017!AH12)="","",CHOOSE(uxb_works!$B$46,"-",Data_2014_N!AH12,Data_2017!AH12))</f>
        <v>0</v>
      </c>
      <c r="AI12" s="148">
        <f>IF(CHOOSE(uxb_works!$B$46,"-",Data_2014_N!AI12,Data_2017!AI12)="","",CHOOSE(uxb_works!$B$46,"-",Data_2014_N!AI12,Data_2017!AI12))</f>
        <v>75</v>
      </c>
      <c r="AJ12" s="148">
        <f>IF(CHOOSE(uxb_works!$B$46,"-",Data_2014_N!AJ12,Data_2017!AJ12)="","",CHOOSE(uxb_works!$B$46,"-",Data_2014_N!AJ12,Data_2017!AJ12))</f>
        <v>75</v>
      </c>
      <c r="AK12" s="148" t="e">
        <f>IF(CHOOSE(uxb_works!$B$46,"-",Data_2014_N!AK12,Data_2017!#REF!)="","",CHOOSE(uxb_works!$B$46,"-",Data_2014_N!AK12,Data_2017!#REF!))</f>
        <v>#REF!</v>
      </c>
      <c r="AL12" s="148">
        <f>IF(CHOOSE(uxb_works!$B$46,"-",Data_2014_N!AL12,Data_2017!AK12)="","",CHOOSE(uxb_works!$B$46,"-",Data_2014_N!AL12,Data_2017!AK12))</f>
        <v>75</v>
      </c>
      <c r="AM12" s="148">
        <f>IF(CHOOSE(uxb_works!$B$46,"-",Data_2014_N!AM12,Data_2017!AL12)="","",CHOOSE(uxb_works!$B$46,"-",Data_2014_N!AM12,Data_2017!AL12))</f>
        <v>100</v>
      </c>
      <c r="AN12" s="148">
        <f>IF(CHOOSE(uxb_works!$B$46,"-",Data_2014_N!AN12,Data_2017!AM12)="","",CHOOSE(uxb_works!$B$46,"-",Data_2014_N!AN12,Data_2017!AM12))</f>
        <v>100</v>
      </c>
      <c r="AO12" s="148">
        <f>IF(CHOOSE(uxb_works!$B$46,"-",Data_2014_N!AO12,Data_2017!AN12)="","",CHOOSE(uxb_works!$B$46,"-",Data_2014_N!AO12,Data_2017!AN12))</f>
        <v>100</v>
      </c>
      <c r="AP12" s="148">
        <f>IF(CHOOSE(uxb_works!$B$46,"-",Data_2014_N!AP12,Data_2017!AO12)="","",CHOOSE(uxb_works!$B$46,"-",Data_2014_N!AP12,Data_2017!AO12))</f>
        <v>0</v>
      </c>
      <c r="AQ12" s="148">
        <f>IF(CHOOSE(uxb_works!$B$46,"-",Data_2014_N!AQ12,Data_2017!AP12)="","",CHOOSE(uxb_works!$B$46,"-",Data_2014_N!AQ12,Data_2017!AP12))</f>
        <v>100</v>
      </c>
      <c r="AR12" s="148">
        <f>IF(CHOOSE(uxb_works!$B$46,"-",Data_2014_N!AR12,Data_2017!AQ12)="","",CHOOSE(uxb_works!$B$46,"-",Data_2014_N!AR12,Data_2017!AQ12))</f>
        <v>75</v>
      </c>
      <c r="AS12" s="148">
        <f>IF(CHOOSE(uxb_works!$B$46,"-",Data_2014_N!AS12,Data_2017!AR12)="","",CHOOSE(uxb_works!$B$46,"-",Data_2014_N!AS12,Data_2017!AR12))</f>
        <v>100</v>
      </c>
      <c r="AT12" s="148">
        <f>IF(CHOOSE(uxb_works!$B$46,"-",Data_2014_N!AT12,Data_2017!AS12)="","",CHOOSE(uxb_works!$B$46,"-",Data_2014_N!AT12,Data_2017!AS12))</f>
        <v>75</v>
      </c>
      <c r="AU12" s="148">
        <f>IF(CHOOSE(uxb_works!$B$46,"-",Data_2014_N!AU12,Data_2017!AT12)="","",CHOOSE(uxb_works!$B$46,"-",Data_2014_N!AU12,Data_2017!AT12))</f>
        <v>75</v>
      </c>
      <c r="AV12" s="148">
        <f>IF(CHOOSE(uxb_works!$B$46,"-",Data_2014_N!AV12,Data_2017!AU12)="","",CHOOSE(uxb_works!$B$46,"-",Data_2014_N!AV12,Data_2017!AU12))</f>
        <v>100</v>
      </c>
      <c r="AW12" s="148">
        <f>IF(CHOOSE(uxb_works!$B$46,"-",Data_2014_N!AW12,Data_2017!AV12)="","",CHOOSE(uxb_works!$B$46,"-",Data_2014_N!AW12,Data_2017!AV12))</f>
        <v>100</v>
      </c>
      <c r="AX12" s="148">
        <f>IF(CHOOSE(uxb_works!$B$46,"-",Data_2014_N!AX12,Data_2017!AW12)="","",CHOOSE(uxb_works!$B$46,"-",Data_2014_N!AX12,Data_2017!AW12))</f>
        <v>100</v>
      </c>
      <c r="AY12" s="148">
        <f>IF(CHOOSE(uxb_works!$B$46,"-",Data_2014_N!AY12,Data_2017!AX12)="","",CHOOSE(uxb_works!$B$46,"-",Data_2014_N!AY12,Data_2017!AX12))</f>
        <v>75</v>
      </c>
      <c r="AZ12" s="148">
        <f>IF(CHOOSE(uxb_works!$B$46,"-",Data_2014_N!AZ12,Data_2017!AY12)="","",CHOOSE(uxb_works!$B$46,"-",Data_2014_N!AZ12,Data_2017!AY12))</f>
        <v>75</v>
      </c>
      <c r="BA12" s="148">
        <f>IF(CHOOSE(uxb_works!$B$46,"-",Data_2014_N!BA12,Data_2017!AZ12)="","",CHOOSE(uxb_works!$B$46,"-",Data_2014_N!BA12,Data_2017!AZ12))</f>
        <v>75</v>
      </c>
      <c r="BB12" s="148">
        <f>IF(CHOOSE(uxb_works!$B$46,"-",Data_2014_N!BB12,Data_2017!BA12)="","",CHOOSE(uxb_works!$B$46,"-",Data_2014_N!BB12,Data_2017!BA12))</f>
        <v>100</v>
      </c>
      <c r="BC12" s="148">
        <f>IF(CHOOSE(uxb_works!$B$46,"-",Data_2014_N!BC12,Data_2017!BB12)="","",CHOOSE(uxb_works!$B$46,"-",Data_2014_N!BC12,Data_2017!BB12))</f>
        <v>100</v>
      </c>
      <c r="BD12" s="148">
        <f>IF(CHOOSE(uxb_works!$B$46,"-",Data_2014_N!BD12,Data_2017!BC12)="","",CHOOSE(uxb_works!$B$46,"-",Data_2014_N!BD12,Data_2017!BC12))</f>
        <v>75</v>
      </c>
      <c r="BE12" s="148">
        <f>IF(CHOOSE(uxb_works!$B$46,"-",Data_2014_N!BE12,Data_2017!BD12)="","",CHOOSE(uxb_works!$B$46,"-",Data_2014_N!BE12,Data_2017!BD12))</f>
        <v>75</v>
      </c>
      <c r="BF12" s="148">
        <f>IF(CHOOSE(uxb_works!$B$46,"-",Data_2014_N!BF12,Data_2017!BE12)="","",CHOOSE(uxb_works!$B$46,"-",Data_2014_N!BF12,Data_2017!BE12))</f>
        <v>100</v>
      </c>
      <c r="BG12" s="148">
        <f>IF(CHOOSE(uxb_works!$B$46,"-",Data_2014_N!BG12,Data_2017!BF12)="","",CHOOSE(uxb_works!$B$46,"-",Data_2014_N!BG12,Data_2017!BF12))</f>
        <v>75</v>
      </c>
      <c r="BH12" s="148">
        <f>IF(CHOOSE(uxb_works!$B$46,"-",Data_2014_N!BH12,Data_2017!BG12)="","",CHOOSE(uxb_works!$B$46,"-",Data_2014_N!BH12,Data_2017!BG12))</f>
        <v>100</v>
      </c>
      <c r="BI12" s="148">
        <f>IF(CHOOSE(uxb_works!$B$46,"-",Data_2014_N!BI12,Data_2017!BH12)="","",CHOOSE(uxb_works!$B$46,"-",Data_2014_N!BI12,Data_2017!BH12))</f>
        <v>100</v>
      </c>
      <c r="BJ12" s="148">
        <f>IF(CHOOSE(uxb_works!$B$46,"-",Data_2014_N!BJ12,Data_2017!BI12)="","",CHOOSE(uxb_works!$B$46,"-",Data_2014_N!BJ12,Data_2017!BI12))</f>
        <v>100</v>
      </c>
      <c r="BK12" s="148">
        <f>IF(CHOOSE(uxb_works!$B$46,"-",Data_2014_N!BK12,Data_2017!BJ12)="","",CHOOSE(uxb_works!$B$46,"-",Data_2014_N!BK12,Data_2017!BJ12))</f>
        <v>100</v>
      </c>
      <c r="BL12" s="148">
        <f>IF(CHOOSE(uxb_works!$B$46,"-",Data_2014_N!BL12,Data_2017!BK12)="","",CHOOSE(uxb_works!$B$46,"-",Data_2014_N!BL12,Data_2017!BK12))</f>
        <v>0</v>
      </c>
      <c r="BM12" s="148">
        <f>IF(CHOOSE(uxb_works!$B$46,"-",Data_2014_N!BM12,Data_2017!BL12)="","",CHOOSE(uxb_works!$B$46,"-",Data_2014_N!BM12,Data_2017!BL12))</f>
        <v>100</v>
      </c>
      <c r="BN12" s="148">
        <f>IF(CHOOSE(uxb_works!$B$46,"-",Data_2014_N!BN12,Data_2017!BM12)="","",CHOOSE(uxb_works!$B$46,"-",Data_2014_N!BN12,Data_2017!BM12))</f>
        <v>100</v>
      </c>
      <c r="BO12" s="148">
        <f>IF(CHOOSE(uxb_works!$B$46,"-",Data_2014_N!BO12,Data_2017!BN12)="","",CHOOSE(uxb_works!$B$46,"-",Data_2014_N!BO12,Data_2017!BN12))</f>
        <v>100</v>
      </c>
      <c r="BP12" s="148">
        <f>IF(CHOOSE(uxb_works!$B$46,"-",Data_2014_N!BP12,Data_2017!BO12)="","",CHOOSE(uxb_works!$B$46,"-",Data_2014_N!BP12,Data_2017!BO12))</f>
        <v>100</v>
      </c>
      <c r="BQ12" s="148">
        <f>IF(CHOOSE(uxb_works!$B$46,"-",Data_2014_N!BQ12,Data_2017!BP12)="","",CHOOSE(uxb_works!$B$46,"-",Data_2014_N!BQ12,Data_2017!BP12))</f>
        <v>0</v>
      </c>
      <c r="BR12" s="325">
        <f>IF(CHOOSE(uxb_works!$B$46,"-",Data_2014_N!BR12,Data_2017!BR12)="","",CHOOSE(uxb_works!$B$46,"-",Data_2014_N!BR12,Data_2017!BR12))</f>
        <v>100</v>
      </c>
      <c r="CC12" s="112">
        <v>100</v>
      </c>
      <c r="CD12" s="112">
        <v>100</v>
      </c>
      <c r="CE12" s="112">
        <v>100</v>
      </c>
      <c r="CF12" s="112">
        <v>100</v>
      </c>
      <c r="CG12" s="112">
        <v>100</v>
      </c>
    </row>
    <row r="13" s="112" customFormat="1" ht="22.5" customHeight="1" spans="1:85">
      <c r="A13"/>
      <c r="B13" s="133">
        <f>tblIndicators!A9</f>
        <v>8</v>
      </c>
      <c r="C13" s="133">
        <f>tblIndicators!B9</f>
        <v>0</v>
      </c>
      <c r="D13" s="310">
        <f>CHOOSE(uxb_works!$B$46,#REF!,Data_2014_N!D13,Data_2017!D13)</f>
        <v>3</v>
      </c>
      <c r="E13" s="133" t="str">
        <f>tblIndicators!E9</f>
        <v>DISE1.1</v>
      </c>
      <c r="F13" s="133" t="str">
        <f>tblIndicators!H9</f>
        <v>Dedicated cyber security teams</v>
      </c>
      <c r="G13" s="133">
        <f>tblIndicators!Z9</f>
        <v>3</v>
      </c>
      <c r="H13" s="105" t="str">
        <f>REPT(" ",D13)&amp;CHOOSE(uxb_works!$B$46,#REF!,Data_2014_N!H13,Data_2017!H13)</f>
        <v>      1.1.5) Dedicated cyber security teams</v>
      </c>
      <c r="I13" s="319" t="str">
        <f>IF(CHOOSE(uxb_works!$B$46,#REF!,Data_2014_N!I13,Data_2017!I13)="","",CHOOSE(uxb_works!$B$46,#REF!,Data_2014_N!I13,Data_2017!I13))</f>
        <v>Scale 0 - 2</v>
      </c>
      <c r="J13" s="148">
        <f>IF(CHOOSE(uxb_works!$B$46,"-",Data_2014_N!J13,Data_2017!J13)="","",CHOOSE(uxb_works!$B$46,"-",Data_2014_N!J13,Data_2017!J13))</f>
        <v>1</v>
      </c>
      <c r="K13" s="148">
        <f>IF(CHOOSE(uxb_works!$B$46,"-",Data_2014_N!K13,Data_2017!K13)="","",CHOOSE(uxb_works!$B$46,"-",Data_2014_N!K13,Data_2017!K13))</f>
        <v>1</v>
      </c>
      <c r="L13" s="148">
        <f>IF(CHOOSE(uxb_works!$B$46,"-",Data_2014_N!L13,Data_2017!L13)="","",CHOOSE(uxb_works!$B$46,"-",Data_2014_N!L13,Data_2017!L13))</f>
        <v>1</v>
      </c>
      <c r="M13" s="148">
        <f>IF(CHOOSE(uxb_works!$B$46,"-",Data_2014_N!M13,Data_2017!M13)="","",CHOOSE(uxb_works!$B$46,"-",Data_2014_N!M13,Data_2017!M13))</f>
        <v>1</v>
      </c>
      <c r="N13" s="148">
        <f>IF(CHOOSE(uxb_works!$B$46,"-",Data_2014_N!N13,Data_2017!N13)="","",CHOOSE(uxb_works!$B$46,"-",Data_2014_N!N13,Data_2017!N13))</f>
        <v>1</v>
      </c>
      <c r="O13" s="148">
        <f>IF(CHOOSE(uxb_works!$B$46,"-",Data_2014_N!O13,Data_2017!O13)="","",CHOOSE(uxb_works!$B$46,"-",Data_2014_N!O13,Data_2017!O13))</f>
        <v>2</v>
      </c>
      <c r="P13" s="148">
        <f>IF(CHOOSE(uxb_works!$B$46,"-",Data_2014_N!P13,Data_2017!P13)="","",CHOOSE(uxb_works!$B$46,"-",Data_2014_N!P13,Data_2017!P13))</f>
        <v>1</v>
      </c>
      <c r="Q13" s="148">
        <f>IF(CHOOSE(uxb_works!$B$46,"-",Data_2014_N!Q13,Data_2017!Q13)="","",CHOOSE(uxb_works!$B$46,"-",Data_2014_N!Q13,Data_2017!Q13))</f>
        <v>1</v>
      </c>
      <c r="R13" s="148">
        <f>IF(CHOOSE(uxb_works!$B$46,"-",Data_2014_N!R13,Data_2017!R13)="","",CHOOSE(uxb_works!$B$46,"-",Data_2014_N!R13,Data_2017!R13))</f>
        <v>2</v>
      </c>
      <c r="S13" s="148">
        <f>IF(CHOOSE(uxb_works!$B$46,"-",Data_2014_N!S13,Data_2017!S13)="","",CHOOSE(uxb_works!$B$46,"-",Data_2014_N!S13,Data_2017!S13))</f>
        <v>1</v>
      </c>
      <c r="T13" s="148">
        <f>IF(CHOOSE(uxb_works!$B$46,"-",Data_2014_N!T13,Data_2017!T13)="","",CHOOSE(uxb_works!$B$46,"-",Data_2014_N!T13,Data_2017!T13))</f>
        <v>1</v>
      </c>
      <c r="U13" s="148">
        <f>IF(CHOOSE(uxb_works!$B$46,"-",Data_2014_N!U13,Data_2017!U13)="","",CHOOSE(uxb_works!$B$46,"-",Data_2014_N!U13,Data_2017!U13))</f>
        <v>1</v>
      </c>
      <c r="V13" s="148">
        <f>IF(CHOOSE(uxb_works!$B$46,"-",Data_2014_N!V13,Data_2017!V13)="","",CHOOSE(uxb_works!$B$46,"-",Data_2014_N!V13,Data_2017!V13))</f>
        <v>2</v>
      </c>
      <c r="W13" s="148">
        <f>IF(CHOOSE(uxb_works!$B$46,"-",Data_2014_N!W13,Data_2017!W13)="","",CHOOSE(uxb_works!$B$46,"-",Data_2014_N!W13,Data_2017!W13))</f>
        <v>2</v>
      </c>
      <c r="X13" s="148">
        <f>IF(CHOOSE(uxb_works!$B$46,"-",Data_2014_N!X13,Data_2017!X13)="","",CHOOSE(uxb_works!$B$46,"-",Data_2014_N!X13,Data_2017!X13))</f>
        <v>2</v>
      </c>
      <c r="Y13" s="148">
        <f>IF(CHOOSE(uxb_works!$B$46,"-",Data_2014_N!Y13,Data_2017!Y13)="","",CHOOSE(uxb_works!$B$46,"-",Data_2014_N!Y13,Data_2017!Y13))</f>
        <v>1</v>
      </c>
      <c r="Z13" s="148">
        <f>IF(CHOOSE(uxb_works!$B$46,"-",Data_2014_N!Z13,Data_2017!Z13)="","",CHOOSE(uxb_works!$B$46,"-",Data_2014_N!Z13,Data_2017!Z13))</f>
        <v>1</v>
      </c>
      <c r="AA13" s="148">
        <f>IF(CHOOSE(uxb_works!$B$46,"-",Data_2014_N!AA13,Data_2017!AA13)="","",CHOOSE(uxb_works!$B$46,"-",Data_2014_N!AA13,Data_2017!AA13))</f>
        <v>1</v>
      </c>
      <c r="AB13" s="148">
        <f>IF(CHOOSE(uxb_works!$B$46,"-",Data_2014_N!AB13,Data_2017!AB13)="","",CHOOSE(uxb_works!$B$46,"-",Data_2014_N!AB13,Data_2017!AB13))</f>
        <v>1</v>
      </c>
      <c r="AC13" s="148">
        <f>IF(CHOOSE(uxb_works!$B$46,"-",Data_2014_N!AC13,Data_2017!AC13)="","",CHOOSE(uxb_works!$B$46,"-",Data_2014_N!AC13,Data_2017!AC13))</f>
        <v>2</v>
      </c>
      <c r="AD13" s="148">
        <f>IF(CHOOSE(uxb_works!$B$46,"-",Data_2014_N!AD13,Data_2017!AD13)="","",CHOOSE(uxb_works!$B$46,"-",Data_2014_N!AD13,Data_2017!AD13))</f>
        <v>1</v>
      </c>
      <c r="AE13" s="148">
        <f>IF(CHOOSE(uxb_works!$B$46,"-",Data_2014_N!AE13,Data_2017!AE13)="","",CHOOSE(uxb_works!$B$46,"-",Data_2014_N!AE13,Data_2017!AE13))</f>
        <v>1</v>
      </c>
      <c r="AF13" s="148">
        <f>IF(CHOOSE(uxb_works!$B$46,"-",Data_2014_N!AF13,Data_2017!AF13)="","",CHOOSE(uxb_works!$B$46,"-",Data_2014_N!AF13,Data_2017!AF13))</f>
        <v>2</v>
      </c>
      <c r="AG13" s="148">
        <f>IF(CHOOSE(uxb_works!$B$46,"-",Data_2014_N!AG13,Data_2017!AG13)="","",CHOOSE(uxb_works!$B$46,"-",Data_2014_N!AG13,Data_2017!AG13))</f>
        <v>1</v>
      </c>
      <c r="AH13" s="148">
        <f>IF(CHOOSE(uxb_works!$B$46,"-",Data_2014_N!AH13,Data_2017!AH13)="","",CHOOSE(uxb_works!$B$46,"-",Data_2014_N!AH13,Data_2017!AH13))</f>
        <v>1</v>
      </c>
      <c r="AI13" s="148">
        <f>IF(CHOOSE(uxb_works!$B$46,"-",Data_2014_N!AI13,Data_2017!AI13)="","",CHOOSE(uxb_works!$B$46,"-",Data_2014_N!AI13,Data_2017!AI13))</f>
        <v>1</v>
      </c>
      <c r="AJ13" s="148">
        <f>IF(CHOOSE(uxb_works!$B$46,"-",Data_2014_N!AJ13,Data_2017!AJ13)="","",CHOOSE(uxb_works!$B$46,"-",Data_2014_N!AJ13,Data_2017!AJ13))</f>
        <v>1</v>
      </c>
      <c r="AK13" s="148" t="e">
        <f>IF(CHOOSE(uxb_works!$B$46,"-",Data_2014_N!AK13,Data_2017!#REF!)="","",CHOOSE(uxb_works!$B$46,"-",Data_2014_N!AK13,Data_2017!#REF!))</f>
        <v>#REF!</v>
      </c>
      <c r="AL13" s="148">
        <f>IF(CHOOSE(uxb_works!$B$46,"-",Data_2014_N!AL13,Data_2017!AK13)="","",CHOOSE(uxb_works!$B$46,"-",Data_2014_N!AL13,Data_2017!AK13))</f>
        <v>1</v>
      </c>
      <c r="AM13" s="148">
        <f>IF(CHOOSE(uxb_works!$B$46,"-",Data_2014_N!AM13,Data_2017!AL13)="","",CHOOSE(uxb_works!$B$46,"-",Data_2014_N!AM13,Data_2017!AL13))</f>
        <v>1</v>
      </c>
      <c r="AN13" s="148">
        <f>IF(CHOOSE(uxb_works!$B$46,"-",Data_2014_N!AN13,Data_2017!AM13)="","",CHOOSE(uxb_works!$B$46,"-",Data_2014_N!AN13,Data_2017!AM13))</f>
        <v>2</v>
      </c>
      <c r="AO13" s="148">
        <f>IF(CHOOSE(uxb_works!$B$46,"-",Data_2014_N!AO13,Data_2017!AN13)="","",CHOOSE(uxb_works!$B$46,"-",Data_2014_N!AO13,Data_2017!AN13))</f>
        <v>1</v>
      </c>
      <c r="AP13" s="148">
        <f>IF(CHOOSE(uxb_works!$B$46,"-",Data_2014_N!AP13,Data_2017!AO13)="","",CHOOSE(uxb_works!$B$46,"-",Data_2014_N!AP13,Data_2017!AO13))</f>
        <v>1</v>
      </c>
      <c r="AQ13" s="148">
        <f>IF(CHOOSE(uxb_works!$B$46,"-",Data_2014_N!AQ13,Data_2017!AP13)="","",CHOOSE(uxb_works!$B$46,"-",Data_2014_N!AQ13,Data_2017!AP13))</f>
        <v>2</v>
      </c>
      <c r="AR13" s="148">
        <f>IF(CHOOSE(uxb_works!$B$46,"-",Data_2014_N!AR13,Data_2017!AQ13)="","",CHOOSE(uxb_works!$B$46,"-",Data_2014_N!AR13,Data_2017!AQ13))</f>
        <v>1</v>
      </c>
      <c r="AS13" s="148">
        <f>IF(CHOOSE(uxb_works!$B$46,"-",Data_2014_N!AS13,Data_2017!AR13)="","",CHOOSE(uxb_works!$B$46,"-",Data_2014_N!AS13,Data_2017!AR13))</f>
        <v>1</v>
      </c>
      <c r="AT13" s="148">
        <f>IF(CHOOSE(uxb_works!$B$46,"-",Data_2014_N!AT13,Data_2017!AS13)="","",CHOOSE(uxb_works!$B$46,"-",Data_2014_N!AT13,Data_2017!AS13))</f>
        <v>1</v>
      </c>
      <c r="AU13" s="148">
        <f>IF(CHOOSE(uxb_works!$B$46,"-",Data_2014_N!AU13,Data_2017!AT13)="","",CHOOSE(uxb_works!$B$46,"-",Data_2014_N!AU13,Data_2017!AT13))</f>
        <v>2</v>
      </c>
      <c r="AV13" s="148">
        <f>IF(CHOOSE(uxb_works!$B$46,"-",Data_2014_N!AV13,Data_2017!AU13)="","",CHOOSE(uxb_works!$B$46,"-",Data_2014_N!AV13,Data_2017!AU13))</f>
        <v>2</v>
      </c>
      <c r="AW13" s="148">
        <f>IF(CHOOSE(uxb_works!$B$46,"-",Data_2014_N!AW13,Data_2017!AV13)="","",CHOOSE(uxb_works!$B$46,"-",Data_2014_N!AW13,Data_2017!AV13))</f>
        <v>2</v>
      </c>
      <c r="AX13" s="148">
        <f>IF(CHOOSE(uxb_works!$B$46,"-",Data_2014_N!AX13,Data_2017!AW13)="","",CHOOSE(uxb_works!$B$46,"-",Data_2014_N!AX13,Data_2017!AW13))</f>
        <v>1</v>
      </c>
      <c r="AY13" s="148">
        <f>IF(CHOOSE(uxb_works!$B$46,"-",Data_2014_N!AY13,Data_2017!AX13)="","",CHOOSE(uxb_works!$B$46,"-",Data_2014_N!AY13,Data_2017!AX13))</f>
        <v>1</v>
      </c>
      <c r="AZ13" s="148">
        <f>IF(CHOOSE(uxb_works!$B$46,"-",Data_2014_N!AZ13,Data_2017!AY13)="","",CHOOSE(uxb_works!$B$46,"-",Data_2014_N!AZ13,Data_2017!AY13))</f>
        <v>1</v>
      </c>
      <c r="BA13" s="148">
        <f>IF(CHOOSE(uxb_works!$B$46,"-",Data_2014_N!BA13,Data_2017!AZ13)="","",CHOOSE(uxb_works!$B$46,"-",Data_2014_N!BA13,Data_2017!AZ13))</f>
        <v>1</v>
      </c>
      <c r="BB13" s="148">
        <f>IF(CHOOSE(uxb_works!$B$46,"-",Data_2014_N!BB13,Data_2017!BA13)="","",CHOOSE(uxb_works!$B$46,"-",Data_2014_N!BB13,Data_2017!BA13))</f>
        <v>1</v>
      </c>
      <c r="BC13" s="148">
        <f>IF(CHOOSE(uxb_works!$B$46,"-",Data_2014_N!BC13,Data_2017!BB13)="","",CHOOSE(uxb_works!$B$46,"-",Data_2014_N!BC13,Data_2017!BB13))</f>
        <v>2</v>
      </c>
      <c r="BD13" s="148">
        <f>IF(CHOOSE(uxb_works!$B$46,"-",Data_2014_N!BD13,Data_2017!BC13)="","",CHOOSE(uxb_works!$B$46,"-",Data_2014_N!BD13,Data_2017!BC13))</f>
        <v>1</v>
      </c>
      <c r="BE13" s="148">
        <f>IF(CHOOSE(uxb_works!$B$46,"-",Data_2014_N!BE13,Data_2017!BD13)="","",CHOOSE(uxb_works!$B$46,"-",Data_2014_N!BE13,Data_2017!BD13))</f>
        <v>1</v>
      </c>
      <c r="BF13" s="148">
        <f>IF(CHOOSE(uxb_works!$B$46,"-",Data_2014_N!BF13,Data_2017!BE13)="","",CHOOSE(uxb_works!$B$46,"-",Data_2014_N!BF13,Data_2017!BE13))</f>
        <v>1</v>
      </c>
      <c r="BG13" s="148">
        <f>IF(CHOOSE(uxb_works!$B$46,"-",Data_2014_N!BG13,Data_2017!BF13)="","",CHOOSE(uxb_works!$B$46,"-",Data_2014_N!BG13,Data_2017!BF13))</f>
        <v>1</v>
      </c>
      <c r="BH13" s="148">
        <f>IF(CHOOSE(uxb_works!$B$46,"-",Data_2014_N!BH13,Data_2017!BG13)="","",CHOOSE(uxb_works!$B$46,"-",Data_2014_N!BH13,Data_2017!BG13))</f>
        <v>2</v>
      </c>
      <c r="BI13" s="148">
        <f>IF(CHOOSE(uxb_works!$B$46,"-",Data_2014_N!BI13,Data_2017!BH13)="","",CHOOSE(uxb_works!$B$46,"-",Data_2014_N!BI13,Data_2017!BH13))</f>
        <v>1</v>
      </c>
      <c r="BJ13" s="148">
        <f>IF(CHOOSE(uxb_works!$B$46,"-",Data_2014_N!BJ13,Data_2017!BI13)="","",CHOOSE(uxb_works!$B$46,"-",Data_2014_N!BJ13,Data_2017!BI13))</f>
        <v>2</v>
      </c>
      <c r="BK13" s="148">
        <f>IF(CHOOSE(uxb_works!$B$46,"-",Data_2014_N!BK13,Data_2017!BJ13)="","",CHOOSE(uxb_works!$B$46,"-",Data_2014_N!BK13,Data_2017!BJ13))</f>
        <v>2</v>
      </c>
      <c r="BL13" s="148">
        <f>IF(CHOOSE(uxb_works!$B$46,"-",Data_2014_N!BL13,Data_2017!BK13)="","",CHOOSE(uxb_works!$B$46,"-",Data_2014_N!BL13,Data_2017!BK13))</f>
        <v>1</v>
      </c>
      <c r="BM13" s="148">
        <f>IF(CHOOSE(uxb_works!$B$46,"-",Data_2014_N!BM13,Data_2017!BL13)="","",CHOOSE(uxb_works!$B$46,"-",Data_2014_N!BM13,Data_2017!BL13))</f>
        <v>2</v>
      </c>
      <c r="BN13" s="148">
        <f>IF(CHOOSE(uxb_works!$B$46,"-",Data_2014_N!BN13,Data_2017!BM13)="","",CHOOSE(uxb_works!$B$46,"-",Data_2014_N!BN13,Data_2017!BM13))</f>
        <v>2</v>
      </c>
      <c r="BO13" s="148">
        <f>IF(CHOOSE(uxb_works!$B$46,"-",Data_2014_N!BO13,Data_2017!BN13)="","",CHOOSE(uxb_works!$B$46,"-",Data_2014_N!BO13,Data_2017!BN13))</f>
        <v>2</v>
      </c>
      <c r="BP13" s="148">
        <f>IF(CHOOSE(uxb_works!$B$46,"-",Data_2014_N!BP13,Data_2017!BO13)="","",CHOOSE(uxb_works!$B$46,"-",Data_2014_N!BP13,Data_2017!BO13))</f>
        <v>1</v>
      </c>
      <c r="BQ13" s="148">
        <f>IF(CHOOSE(uxb_works!$B$46,"-",Data_2014_N!BQ13,Data_2017!BP13)="","",CHOOSE(uxb_works!$B$46,"-",Data_2014_N!BQ13,Data_2017!BP13))</f>
        <v>1</v>
      </c>
      <c r="BR13" s="325">
        <f>IF(CHOOSE(uxb_works!$B$46,"-",Data_2014_N!BR13,Data_2017!BR13)="","",CHOOSE(uxb_works!$B$46,"-",Data_2014_N!BR13,Data_2017!BR13))</f>
        <v>2</v>
      </c>
      <c r="CC13" s="112">
        <v>2</v>
      </c>
      <c r="CD13" s="112">
        <v>2</v>
      </c>
      <c r="CE13" s="112">
        <v>2</v>
      </c>
      <c r="CF13" s="112">
        <v>2</v>
      </c>
      <c r="CG13" s="112">
        <v>1</v>
      </c>
    </row>
    <row r="14" s="112" customFormat="1" ht="22.5" customHeight="1" spans="1:70">
      <c r="A14"/>
      <c r="B14" s="133">
        <f>tblIndicators!A10</f>
        <v>9</v>
      </c>
      <c r="C14" s="133">
        <f>tblIndicators!B10</f>
        <v>0</v>
      </c>
      <c r="D14" s="310">
        <f>CHOOSE(uxb_works!$B$46,#REF!,Data_2014_N!D14,Data_2017!D14)</f>
        <v>2</v>
      </c>
      <c r="E14" s="133" t="str">
        <f>tblIndicators!E10</f>
        <v>DISE</v>
      </c>
      <c r="F14" s="133" t="str">
        <f>tblIndicators!H10</f>
        <v>Digital security (Outputs)</v>
      </c>
      <c r="G14" s="133">
        <f>tblIndicators!Z10</f>
        <v>1</v>
      </c>
      <c r="H14" s="105" t="str">
        <f>REPT(" ",D14)&amp;CHOOSE(uxb_works!$B$46,#REF!,Data_2014_N!H14,Data_2017!H14)</f>
        <v>    1.2) Digital security (Outputs)</v>
      </c>
      <c r="I14" s="319" t="str">
        <f>IF(CHOOSE(uxb_works!$B$46,#REF!,Data_2014_N!I14,Data_2017!I14)="","",CHOOSE(uxb_works!$B$46,#REF!,Data_2014_N!I14,Data_2017!I14))</f>
        <v/>
      </c>
      <c r="J14" s="148" t="str">
        <f>IF(CHOOSE(uxb_works!$B$46,"-",Data_2014_N!J14,Data_2017!J14)="","",CHOOSE(uxb_works!$B$46,"-",Data_2014_N!J14,Data_2017!J14))</f>
        <v/>
      </c>
      <c r="K14" s="148" t="str">
        <f>IF(CHOOSE(uxb_works!$B$46,"-",Data_2014_N!K14,Data_2017!K14)="","",CHOOSE(uxb_works!$B$46,"-",Data_2014_N!K14,Data_2017!K14))</f>
        <v/>
      </c>
      <c r="L14" s="148" t="str">
        <f>IF(CHOOSE(uxb_works!$B$46,"-",Data_2014_N!L14,Data_2017!L14)="","",CHOOSE(uxb_works!$B$46,"-",Data_2014_N!L14,Data_2017!L14))</f>
        <v/>
      </c>
      <c r="M14" s="148" t="str">
        <f>IF(CHOOSE(uxb_works!$B$46,"-",Data_2014_N!M14,Data_2017!M14)="","",CHOOSE(uxb_works!$B$46,"-",Data_2014_N!M14,Data_2017!M14))</f>
        <v/>
      </c>
      <c r="N14" s="148" t="str">
        <f>IF(CHOOSE(uxb_works!$B$46,"-",Data_2014_N!N14,Data_2017!N14)="","",CHOOSE(uxb_works!$B$46,"-",Data_2014_N!N14,Data_2017!N14))</f>
        <v/>
      </c>
      <c r="O14" s="148" t="str">
        <f>IF(CHOOSE(uxb_works!$B$46,"-",Data_2014_N!O14,Data_2017!O14)="","",CHOOSE(uxb_works!$B$46,"-",Data_2014_N!O14,Data_2017!O14))</f>
        <v/>
      </c>
      <c r="P14" s="148" t="str">
        <f>IF(CHOOSE(uxb_works!$B$46,"-",Data_2014_N!P14,Data_2017!P14)="","",CHOOSE(uxb_works!$B$46,"-",Data_2014_N!P14,Data_2017!P14))</f>
        <v/>
      </c>
      <c r="Q14" s="148" t="str">
        <f>IF(CHOOSE(uxb_works!$B$46,"-",Data_2014_N!Q14,Data_2017!Q14)="","",CHOOSE(uxb_works!$B$46,"-",Data_2014_N!Q14,Data_2017!Q14))</f>
        <v/>
      </c>
      <c r="R14" s="148" t="str">
        <f>IF(CHOOSE(uxb_works!$B$46,"-",Data_2014_N!R14,Data_2017!R14)="","",CHOOSE(uxb_works!$B$46,"-",Data_2014_N!R14,Data_2017!R14))</f>
        <v/>
      </c>
      <c r="S14" s="148" t="str">
        <f>IF(CHOOSE(uxb_works!$B$46,"-",Data_2014_N!S14,Data_2017!S14)="","",CHOOSE(uxb_works!$B$46,"-",Data_2014_N!S14,Data_2017!S14))</f>
        <v/>
      </c>
      <c r="T14" s="148" t="str">
        <f>IF(CHOOSE(uxb_works!$B$46,"-",Data_2014_N!T14,Data_2017!T14)="","",CHOOSE(uxb_works!$B$46,"-",Data_2014_N!T14,Data_2017!T14))</f>
        <v/>
      </c>
      <c r="U14" s="148" t="str">
        <f>IF(CHOOSE(uxb_works!$B$46,"-",Data_2014_N!U14,Data_2017!U14)="","",CHOOSE(uxb_works!$B$46,"-",Data_2014_N!U14,Data_2017!U14))</f>
        <v/>
      </c>
      <c r="V14" s="148" t="str">
        <f>IF(CHOOSE(uxb_works!$B$46,"-",Data_2014_N!V14,Data_2017!V14)="","",CHOOSE(uxb_works!$B$46,"-",Data_2014_N!V14,Data_2017!V14))</f>
        <v/>
      </c>
      <c r="W14" s="148" t="str">
        <f>IF(CHOOSE(uxb_works!$B$46,"-",Data_2014_N!W14,Data_2017!W14)="","",CHOOSE(uxb_works!$B$46,"-",Data_2014_N!W14,Data_2017!W14))</f>
        <v/>
      </c>
      <c r="X14" s="148" t="str">
        <f>IF(CHOOSE(uxb_works!$B$46,"-",Data_2014_N!X14,Data_2017!X14)="","",CHOOSE(uxb_works!$B$46,"-",Data_2014_N!X14,Data_2017!X14))</f>
        <v/>
      </c>
      <c r="Y14" s="148" t="str">
        <f>IF(CHOOSE(uxb_works!$B$46,"-",Data_2014_N!Y14,Data_2017!Y14)="","",CHOOSE(uxb_works!$B$46,"-",Data_2014_N!Y14,Data_2017!Y14))</f>
        <v/>
      </c>
      <c r="Z14" s="148" t="str">
        <f>IF(CHOOSE(uxb_works!$B$46,"-",Data_2014_N!Z14,Data_2017!Z14)="","",CHOOSE(uxb_works!$B$46,"-",Data_2014_N!Z14,Data_2017!Z14))</f>
        <v/>
      </c>
      <c r="AA14" s="148" t="str">
        <f>IF(CHOOSE(uxb_works!$B$46,"-",Data_2014_N!AA14,Data_2017!AA14)="","",CHOOSE(uxb_works!$B$46,"-",Data_2014_N!AA14,Data_2017!AA14))</f>
        <v/>
      </c>
      <c r="AB14" s="148" t="str">
        <f>IF(CHOOSE(uxb_works!$B$46,"-",Data_2014_N!AB14,Data_2017!AB14)="","",CHOOSE(uxb_works!$B$46,"-",Data_2014_N!AB14,Data_2017!AB14))</f>
        <v/>
      </c>
      <c r="AC14" s="148" t="str">
        <f>IF(CHOOSE(uxb_works!$B$46,"-",Data_2014_N!AC14,Data_2017!AC14)="","",CHOOSE(uxb_works!$B$46,"-",Data_2014_N!AC14,Data_2017!AC14))</f>
        <v/>
      </c>
      <c r="AD14" s="148" t="str">
        <f>IF(CHOOSE(uxb_works!$B$46,"-",Data_2014_N!AD14,Data_2017!AD14)="","",CHOOSE(uxb_works!$B$46,"-",Data_2014_N!AD14,Data_2017!AD14))</f>
        <v/>
      </c>
      <c r="AE14" s="148" t="str">
        <f>IF(CHOOSE(uxb_works!$B$46,"-",Data_2014_N!AE14,Data_2017!AE14)="","",CHOOSE(uxb_works!$B$46,"-",Data_2014_N!AE14,Data_2017!AE14))</f>
        <v/>
      </c>
      <c r="AF14" s="148" t="str">
        <f>IF(CHOOSE(uxb_works!$B$46,"-",Data_2014_N!AF14,Data_2017!AF14)="","",CHOOSE(uxb_works!$B$46,"-",Data_2014_N!AF14,Data_2017!AF14))</f>
        <v/>
      </c>
      <c r="AG14" s="148" t="str">
        <f>IF(CHOOSE(uxb_works!$B$46,"-",Data_2014_N!AG14,Data_2017!AG14)="","",CHOOSE(uxb_works!$B$46,"-",Data_2014_N!AG14,Data_2017!AG14))</f>
        <v/>
      </c>
      <c r="AH14" s="148" t="str">
        <f>IF(CHOOSE(uxb_works!$B$46,"-",Data_2014_N!AH14,Data_2017!AH14)="","",CHOOSE(uxb_works!$B$46,"-",Data_2014_N!AH14,Data_2017!AH14))</f>
        <v/>
      </c>
      <c r="AI14" s="148" t="str">
        <f>IF(CHOOSE(uxb_works!$B$46,"-",Data_2014_N!AI14,Data_2017!AI14)="","",CHOOSE(uxb_works!$B$46,"-",Data_2014_N!AI14,Data_2017!AI14))</f>
        <v/>
      </c>
      <c r="AJ14" s="148" t="str">
        <f>IF(CHOOSE(uxb_works!$B$46,"-",Data_2014_N!AJ14,Data_2017!AJ14)="","",CHOOSE(uxb_works!$B$46,"-",Data_2014_N!AJ14,Data_2017!AJ14))</f>
        <v/>
      </c>
      <c r="AK14" s="148" t="e">
        <f>IF(CHOOSE(uxb_works!$B$46,"-",Data_2014_N!AK14,Data_2017!#REF!)="","",CHOOSE(uxb_works!$B$46,"-",Data_2014_N!AK14,Data_2017!#REF!))</f>
        <v>#REF!</v>
      </c>
      <c r="AL14" s="148" t="str">
        <f>IF(CHOOSE(uxb_works!$B$46,"-",Data_2014_N!AL14,Data_2017!AK14)="","",CHOOSE(uxb_works!$B$46,"-",Data_2014_N!AL14,Data_2017!AK14))</f>
        <v/>
      </c>
      <c r="AM14" s="148" t="str">
        <f>IF(CHOOSE(uxb_works!$B$46,"-",Data_2014_N!AM14,Data_2017!AL14)="","",CHOOSE(uxb_works!$B$46,"-",Data_2014_N!AM14,Data_2017!AL14))</f>
        <v/>
      </c>
      <c r="AN14" s="148" t="str">
        <f>IF(CHOOSE(uxb_works!$B$46,"-",Data_2014_N!AN14,Data_2017!AM14)="","",CHOOSE(uxb_works!$B$46,"-",Data_2014_N!AN14,Data_2017!AM14))</f>
        <v/>
      </c>
      <c r="AO14" s="148" t="str">
        <f>IF(CHOOSE(uxb_works!$B$46,"-",Data_2014_N!AO14,Data_2017!AN14)="","",CHOOSE(uxb_works!$B$46,"-",Data_2014_N!AO14,Data_2017!AN14))</f>
        <v/>
      </c>
      <c r="AP14" s="148" t="str">
        <f>IF(CHOOSE(uxb_works!$B$46,"-",Data_2014_N!AP14,Data_2017!AO14)="","",CHOOSE(uxb_works!$B$46,"-",Data_2014_N!AP14,Data_2017!AO14))</f>
        <v/>
      </c>
      <c r="AQ14" s="148" t="str">
        <f>IF(CHOOSE(uxb_works!$B$46,"-",Data_2014_N!AQ14,Data_2017!AP14)="","",CHOOSE(uxb_works!$B$46,"-",Data_2014_N!AQ14,Data_2017!AP14))</f>
        <v/>
      </c>
      <c r="AR14" s="148" t="str">
        <f>IF(CHOOSE(uxb_works!$B$46,"-",Data_2014_N!AR14,Data_2017!AQ14)="","",CHOOSE(uxb_works!$B$46,"-",Data_2014_N!AR14,Data_2017!AQ14))</f>
        <v/>
      </c>
      <c r="AS14" s="148" t="str">
        <f>IF(CHOOSE(uxb_works!$B$46,"-",Data_2014_N!AS14,Data_2017!AR14)="","",CHOOSE(uxb_works!$B$46,"-",Data_2014_N!AS14,Data_2017!AR14))</f>
        <v/>
      </c>
      <c r="AT14" s="148" t="str">
        <f>IF(CHOOSE(uxb_works!$B$46,"-",Data_2014_N!AT14,Data_2017!AS14)="","",CHOOSE(uxb_works!$B$46,"-",Data_2014_N!AT14,Data_2017!AS14))</f>
        <v/>
      </c>
      <c r="AU14" s="148" t="str">
        <f>IF(CHOOSE(uxb_works!$B$46,"-",Data_2014_N!AU14,Data_2017!AT14)="","",CHOOSE(uxb_works!$B$46,"-",Data_2014_N!AU14,Data_2017!AT14))</f>
        <v/>
      </c>
      <c r="AV14" s="148" t="str">
        <f>IF(CHOOSE(uxb_works!$B$46,"-",Data_2014_N!AV14,Data_2017!AU14)="","",CHOOSE(uxb_works!$B$46,"-",Data_2014_N!AV14,Data_2017!AU14))</f>
        <v/>
      </c>
      <c r="AW14" s="148" t="str">
        <f>IF(CHOOSE(uxb_works!$B$46,"-",Data_2014_N!AW14,Data_2017!AV14)="","",CHOOSE(uxb_works!$B$46,"-",Data_2014_N!AW14,Data_2017!AV14))</f>
        <v/>
      </c>
      <c r="AX14" s="148" t="str">
        <f>IF(CHOOSE(uxb_works!$B$46,"-",Data_2014_N!AX14,Data_2017!AW14)="","",CHOOSE(uxb_works!$B$46,"-",Data_2014_N!AX14,Data_2017!AW14))</f>
        <v/>
      </c>
      <c r="AY14" s="148" t="str">
        <f>IF(CHOOSE(uxb_works!$B$46,"-",Data_2014_N!AY14,Data_2017!AX14)="","",CHOOSE(uxb_works!$B$46,"-",Data_2014_N!AY14,Data_2017!AX14))</f>
        <v/>
      </c>
      <c r="AZ14" s="148" t="str">
        <f>IF(CHOOSE(uxb_works!$B$46,"-",Data_2014_N!AZ14,Data_2017!AY14)="","",CHOOSE(uxb_works!$B$46,"-",Data_2014_N!AZ14,Data_2017!AY14))</f>
        <v/>
      </c>
      <c r="BA14" s="148" t="str">
        <f>IF(CHOOSE(uxb_works!$B$46,"-",Data_2014_N!BA14,Data_2017!AZ14)="","",CHOOSE(uxb_works!$B$46,"-",Data_2014_N!BA14,Data_2017!AZ14))</f>
        <v/>
      </c>
      <c r="BB14" s="148" t="str">
        <f>IF(CHOOSE(uxb_works!$B$46,"-",Data_2014_N!BB14,Data_2017!BA14)="","",CHOOSE(uxb_works!$B$46,"-",Data_2014_N!BB14,Data_2017!BA14))</f>
        <v/>
      </c>
      <c r="BC14" s="148" t="str">
        <f>IF(CHOOSE(uxb_works!$B$46,"-",Data_2014_N!BC14,Data_2017!BB14)="","",CHOOSE(uxb_works!$B$46,"-",Data_2014_N!BC14,Data_2017!BB14))</f>
        <v/>
      </c>
      <c r="BD14" s="148" t="str">
        <f>IF(CHOOSE(uxb_works!$B$46,"-",Data_2014_N!BD14,Data_2017!BC14)="","",CHOOSE(uxb_works!$B$46,"-",Data_2014_N!BD14,Data_2017!BC14))</f>
        <v/>
      </c>
      <c r="BE14" s="148" t="str">
        <f>IF(CHOOSE(uxb_works!$B$46,"-",Data_2014_N!BE14,Data_2017!BD14)="","",CHOOSE(uxb_works!$B$46,"-",Data_2014_N!BE14,Data_2017!BD14))</f>
        <v/>
      </c>
      <c r="BF14" s="148" t="str">
        <f>IF(CHOOSE(uxb_works!$B$46,"-",Data_2014_N!BF14,Data_2017!BE14)="","",CHOOSE(uxb_works!$B$46,"-",Data_2014_N!BF14,Data_2017!BE14))</f>
        <v/>
      </c>
      <c r="BG14" s="148" t="str">
        <f>IF(CHOOSE(uxb_works!$B$46,"-",Data_2014_N!BG14,Data_2017!BF14)="","",CHOOSE(uxb_works!$B$46,"-",Data_2014_N!BG14,Data_2017!BF14))</f>
        <v/>
      </c>
      <c r="BH14" s="148" t="str">
        <f>IF(CHOOSE(uxb_works!$B$46,"-",Data_2014_N!BH14,Data_2017!BG14)="","",CHOOSE(uxb_works!$B$46,"-",Data_2014_N!BH14,Data_2017!BG14))</f>
        <v/>
      </c>
      <c r="BI14" s="148" t="str">
        <f>IF(CHOOSE(uxb_works!$B$46,"-",Data_2014_N!BI14,Data_2017!BH14)="","",CHOOSE(uxb_works!$B$46,"-",Data_2014_N!BI14,Data_2017!BH14))</f>
        <v/>
      </c>
      <c r="BJ14" s="148" t="str">
        <f>IF(CHOOSE(uxb_works!$B$46,"-",Data_2014_N!BJ14,Data_2017!BI14)="","",CHOOSE(uxb_works!$B$46,"-",Data_2014_N!BJ14,Data_2017!BI14))</f>
        <v/>
      </c>
      <c r="BK14" s="148" t="str">
        <f>IF(CHOOSE(uxb_works!$B$46,"-",Data_2014_N!BK14,Data_2017!BJ14)="","",CHOOSE(uxb_works!$B$46,"-",Data_2014_N!BK14,Data_2017!BJ14))</f>
        <v/>
      </c>
      <c r="BL14" s="148" t="str">
        <f>IF(CHOOSE(uxb_works!$B$46,"-",Data_2014_N!BL14,Data_2017!BK14)="","",CHOOSE(uxb_works!$B$46,"-",Data_2014_N!BL14,Data_2017!BK14))</f>
        <v/>
      </c>
      <c r="BM14" s="148" t="str">
        <f>IF(CHOOSE(uxb_works!$B$46,"-",Data_2014_N!BM14,Data_2017!BL14)="","",CHOOSE(uxb_works!$B$46,"-",Data_2014_N!BM14,Data_2017!BL14))</f>
        <v/>
      </c>
      <c r="BN14" s="148" t="str">
        <f>IF(CHOOSE(uxb_works!$B$46,"-",Data_2014_N!BN14,Data_2017!BM14)="","",CHOOSE(uxb_works!$B$46,"-",Data_2014_N!BN14,Data_2017!BM14))</f>
        <v/>
      </c>
      <c r="BO14" s="148" t="str">
        <f>IF(CHOOSE(uxb_works!$B$46,"-",Data_2014_N!BO14,Data_2017!BN14)="","",CHOOSE(uxb_works!$B$46,"-",Data_2014_N!BO14,Data_2017!BN14))</f>
        <v/>
      </c>
      <c r="BP14" s="148" t="str">
        <f>IF(CHOOSE(uxb_works!$B$46,"-",Data_2014_N!BP14,Data_2017!BO14)="","",CHOOSE(uxb_works!$B$46,"-",Data_2014_N!BP14,Data_2017!BO14))</f>
        <v/>
      </c>
      <c r="BQ14" s="148" t="str">
        <f>IF(CHOOSE(uxb_works!$B$46,"-",Data_2014_N!BQ14,Data_2017!BP14)="","",CHOOSE(uxb_works!$B$46,"-",Data_2014_N!BQ14,Data_2017!BP14))</f>
        <v/>
      </c>
      <c r="BR14" s="325" t="str">
        <f>IF(CHOOSE(uxb_works!$B$46,"-",Data_2014_N!BR14,Data_2017!BR14)="","",CHOOSE(uxb_works!$B$46,"-",Data_2014_N!BR14,Data_2017!BR14))</f>
        <v/>
      </c>
    </row>
    <row r="15" s="112" customFormat="1" ht="22.5" customHeight="1" spans="1:85">
      <c r="A15"/>
      <c r="B15" s="133">
        <f>tblIndicators!A11</f>
        <v>10</v>
      </c>
      <c r="C15" s="133">
        <f>tblIndicators!B11</f>
        <v>0</v>
      </c>
      <c r="D15" s="310">
        <f>CHOOSE(uxb_works!$B$46,#REF!,Data_2014_N!D15,Data_2017!D15)</f>
        <v>3</v>
      </c>
      <c r="E15" s="133" t="str">
        <f>tblIndicators!E11</f>
        <v>DISE1.2</v>
      </c>
      <c r="F15" s="133" t="str">
        <f>tblIndicators!H11</f>
        <v>Frequency of identity theft</v>
      </c>
      <c r="G15" s="133">
        <f>tblIndicators!Z11</f>
        <v>2</v>
      </c>
      <c r="H15" s="105" t="str">
        <f>REPT(" ",D15)&amp;CHOOSE(uxb_works!$B$46,#REF!,Data_2014_N!H15,Data_2017!H15)</f>
        <v>      1.2.1) Frequency of identity theft</v>
      </c>
      <c r="I15" s="319" t="str">
        <f>IF(CHOOSE(uxb_works!$B$46,#REF!,Data_2014_N!I15,Data_2017!I15)="","",CHOOSE(uxb_works!$B$46,#REF!,Data_2014_N!I15,Data_2017!I15))</f>
        <v>%</v>
      </c>
      <c r="J15" s="148">
        <f>IF(CHOOSE(uxb_works!$B$46,"-",Data_2014_N!J15,Data_2017!J15)="","",CHOOSE(uxb_works!$B$46,"-",Data_2014_N!J15,Data_2017!J15))</f>
        <v>0</v>
      </c>
      <c r="K15" s="148">
        <f>IF(CHOOSE(uxb_works!$B$46,"-",Data_2014_N!K15,Data_2017!K15)="","",CHOOSE(uxb_works!$B$46,"-",Data_2014_N!K15,Data_2017!K15))</f>
        <v>0.0032592159157402</v>
      </c>
      <c r="L15" s="148">
        <f>IF(CHOOSE(uxb_works!$B$46,"-",Data_2014_N!L15,Data_2017!L15)="","",CHOOSE(uxb_works!$B$46,"-",Data_2014_N!L15,Data_2017!L15))</f>
        <v>0</v>
      </c>
      <c r="M15" s="148">
        <f>IF(CHOOSE(uxb_works!$B$46,"-",Data_2014_N!M15,Data_2017!M15)="","",CHOOSE(uxb_works!$B$46,"-",Data_2014_N!M15,Data_2017!M15))</f>
        <v>2.92825768667643e-5</v>
      </c>
      <c r="N15" s="148">
        <f>IF(CHOOSE(uxb_works!$B$46,"-",Data_2014_N!N15,Data_2017!N15)="","",CHOOSE(uxb_works!$B$46,"-",Data_2014_N!N15,Data_2017!N15))</f>
        <v>0.000564358584762318</v>
      </c>
      <c r="O15" s="148">
        <f>IF(CHOOSE(uxb_works!$B$46,"-",Data_2014_N!O15,Data_2017!O15)="","",CHOOSE(uxb_works!$B$46,"-",Data_2014_N!O15,Data_2017!O15))</f>
        <v>1.67900874635569e-5</v>
      </c>
      <c r="P15" s="148">
        <f>IF(CHOOSE(uxb_works!$B$46,"-",Data_2014_N!P15,Data_2017!P15)="","",CHOOSE(uxb_works!$B$46,"-",Data_2014_N!P15,Data_2017!P15))</f>
        <v>5.70613409415121e-5</v>
      </c>
      <c r="Q15" s="148">
        <f>IF(CHOOSE(uxb_works!$B$46,"-",Data_2014_N!Q15,Data_2017!Q15)="","",CHOOSE(uxb_works!$B$46,"-",Data_2014_N!Q15,Data_2017!Q15))</f>
        <v>0</v>
      </c>
      <c r="R15" s="148">
        <f>IF(CHOOSE(uxb_works!$B$46,"-",Data_2014_N!R15,Data_2017!R15)="","",CHOOSE(uxb_works!$B$46,"-",Data_2014_N!R15,Data_2017!R15))</f>
        <v>0.00040659588886379</v>
      </c>
      <c r="S15" s="148">
        <f>IF(CHOOSE(uxb_works!$B$46,"-",Data_2014_N!S15,Data_2017!S15)="","",CHOOSE(uxb_works!$B$46,"-",Data_2014_N!S15,Data_2017!S15))</f>
        <v>0</v>
      </c>
      <c r="T15" s="148">
        <f>IF(CHOOSE(uxb_works!$B$46,"-",Data_2014_N!T15,Data_2017!T15)="","",CHOOSE(uxb_works!$B$46,"-",Data_2014_N!T15,Data_2017!T15))</f>
        <v>0</v>
      </c>
      <c r="U15" s="148">
        <f>IF(CHOOSE(uxb_works!$B$46,"-",Data_2014_N!U15,Data_2017!U15)="","",CHOOSE(uxb_works!$B$46,"-",Data_2014_N!U15,Data_2017!U15))</f>
        <v>0</v>
      </c>
      <c r="V15" s="148">
        <f>IF(CHOOSE(uxb_works!$B$46,"-",Data_2014_N!V15,Data_2017!V15)="","",CHOOSE(uxb_works!$B$46,"-",Data_2014_N!V15,Data_2017!V15))</f>
        <v>0.184886774885145</v>
      </c>
      <c r="W15" s="148">
        <f>IF(CHOOSE(uxb_works!$B$46,"-",Data_2014_N!W15,Data_2017!W15)="","",CHOOSE(uxb_works!$B$46,"-",Data_2014_N!W15,Data_2017!W15))</f>
        <v>0.184886774885145</v>
      </c>
      <c r="X15" s="148">
        <f>IF(CHOOSE(uxb_works!$B$46,"-",Data_2014_N!X15,Data_2017!X15)="","",CHOOSE(uxb_works!$B$46,"-",Data_2014_N!X15,Data_2017!X15))</f>
        <v>0.026847617274758</v>
      </c>
      <c r="Y15" s="148">
        <f>IF(CHOOSE(uxb_works!$B$46,"-",Data_2014_N!Y15,Data_2017!Y15)="","",CHOOSE(uxb_works!$B$46,"-",Data_2014_N!Y15,Data_2017!Y15))</f>
        <v>0</v>
      </c>
      <c r="Z15" s="148">
        <f>IF(CHOOSE(uxb_works!$B$46,"-",Data_2014_N!Z15,Data_2017!Z15)="","",CHOOSE(uxb_works!$B$46,"-",Data_2014_N!Z15,Data_2017!Z15))</f>
        <v>0.199074850299401</v>
      </c>
      <c r="AA15" s="148">
        <f>IF(CHOOSE(uxb_works!$B$46,"-",Data_2014_N!AA15,Data_2017!AA15)="","",CHOOSE(uxb_works!$B$46,"-",Data_2014_N!AA15,Data_2017!AA15))</f>
        <v>0</v>
      </c>
      <c r="AB15" s="148">
        <f>IF(CHOOSE(uxb_works!$B$46,"-",Data_2014_N!AB15,Data_2017!AB15)="","",CHOOSE(uxb_works!$B$46,"-",Data_2014_N!AB15,Data_2017!AB15))</f>
        <v>0</v>
      </c>
      <c r="AC15" s="148">
        <f>IF(CHOOSE(uxb_works!$B$46,"-",Data_2014_N!AC15,Data_2017!AC15)="","",CHOOSE(uxb_works!$B$46,"-",Data_2014_N!AC15,Data_2017!AC15))</f>
        <v>0</v>
      </c>
      <c r="AD15" s="148">
        <f>IF(CHOOSE(uxb_works!$B$46,"-",Data_2014_N!AD15,Data_2017!AD15)="","",CHOOSE(uxb_works!$B$46,"-",Data_2014_N!AD15,Data_2017!AD15))</f>
        <v>0.124347177319075</v>
      </c>
      <c r="AE15" s="148">
        <f>IF(CHOOSE(uxb_works!$B$46,"-",Data_2014_N!AE15,Data_2017!AE15)="","",CHOOSE(uxb_works!$B$46,"-",Data_2014_N!AE15,Data_2017!AE15))</f>
        <v>0</v>
      </c>
      <c r="AF15" s="148">
        <f>IF(CHOOSE(uxb_works!$B$46,"-",Data_2014_N!AF15,Data_2017!AF15)="","",CHOOSE(uxb_works!$B$46,"-",Data_2014_N!AF15,Data_2017!AF15))</f>
        <v>0</v>
      </c>
      <c r="AG15" s="148">
        <f>IF(CHOOSE(uxb_works!$B$46,"-",Data_2014_N!AG15,Data_2017!AG15)="","",CHOOSE(uxb_works!$B$46,"-",Data_2014_N!AG15,Data_2017!AG15))</f>
        <v>0.000104636478441277</v>
      </c>
      <c r="AH15" s="148">
        <f>IF(CHOOSE(uxb_works!$B$46,"-",Data_2014_N!AH15,Data_2017!AH15)="","",CHOOSE(uxb_works!$B$46,"-",Data_2014_N!AH15,Data_2017!AH15))</f>
        <v>0.00343047788510422</v>
      </c>
      <c r="AI15" s="148">
        <f>IF(CHOOSE(uxb_works!$B$46,"-",Data_2014_N!AI15,Data_2017!AI15)="","",CHOOSE(uxb_works!$B$46,"-",Data_2014_N!AI15,Data_2017!AI15))</f>
        <v>0</v>
      </c>
      <c r="AJ15" s="148">
        <f>IF(CHOOSE(uxb_works!$B$46,"-",Data_2014_N!AJ15,Data_2017!AJ15)="","",CHOOSE(uxb_works!$B$46,"-",Data_2014_N!AJ15,Data_2017!AJ15))</f>
        <v>0</v>
      </c>
      <c r="AK15" s="148" t="e">
        <f>IF(CHOOSE(uxb_works!$B$46,"-",Data_2014_N!AK15,Data_2017!#REF!)="","",CHOOSE(uxb_works!$B$46,"-",Data_2014_N!AK15,Data_2017!#REF!))</f>
        <v>#REF!</v>
      </c>
      <c r="AL15" s="148">
        <f>IF(CHOOSE(uxb_works!$B$46,"-",Data_2014_N!AL15,Data_2017!AK15)="","",CHOOSE(uxb_works!$B$46,"-",Data_2014_N!AL15,Data_2017!AK15))</f>
        <v>0</v>
      </c>
      <c r="AM15" s="148">
        <f>IF(CHOOSE(uxb_works!$B$46,"-",Data_2014_N!AM15,Data_2017!AL15)="","",CHOOSE(uxb_works!$B$46,"-",Data_2014_N!AM15,Data_2017!AL15))</f>
        <v>0.617153839108533</v>
      </c>
      <c r="AN15" s="148">
        <f>IF(CHOOSE(uxb_works!$B$46,"-",Data_2014_N!AN15,Data_2017!AM15)="","",CHOOSE(uxb_works!$B$46,"-",Data_2014_N!AN15,Data_2017!AM15))</f>
        <v>0.184886774885145</v>
      </c>
      <c r="AO15" s="148">
        <f>IF(CHOOSE(uxb_works!$B$46,"-",Data_2014_N!AO15,Data_2017!AN15)="","",CHOOSE(uxb_works!$B$46,"-",Data_2014_N!AO15,Data_2017!AN15))</f>
        <v>0.000564358584762318</v>
      </c>
      <c r="AP15" s="148">
        <f>IF(CHOOSE(uxb_works!$B$46,"-",Data_2014_N!AP15,Data_2017!AO15)="","",CHOOSE(uxb_works!$B$46,"-",Data_2014_N!AP15,Data_2017!AO15))</f>
        <v>0.748909393063584</v>
      </c>
      <c r="AQ15" s="148">
        <f>IF(CHOOSE(uxb_works!$B$46,"-",Data_2014_N!AQ15,Data_2017!AP15)="","",CHOOSE(uxb_works!$B$46,"-",Data_2014_N!AQ15,Data_2017!AP15))</f>
        <v>0.129871387987013</v>
      </c>
      <c r="AR15" s="148">
        <f>IF(CHOOSE(uxb_works!$B$46,"-",Data_2014_N!AR15,Data_2017!AQ15)="","",CHOOSE(uxb_works!$B$46,"-",Data_2014_N!AR15,Data_2017!AQ15))</f>
        <v>0.733276382488479</v>
      </c>
      <c r="AS15" s="148">
        <f>IF(CHOOSE(uxb_works!$B$46,"-",Data_2014_N!AS15,Data_2017!AR15)="","",CHOOSE(uxb_works!$B$46,"-",Data_2014_N!AS15,Data_2017!AR15))</f>
        <v>0.00364548494983278</v>
      </c>
      <c r="AT15" s="148">
        <f>IF(CHOOSE(uxb_works!$B$46,"-",Data_2014_N!AT15,Data_2017!AS15)="","",CHOOSE(uxb_works!$B$46,"-",Data_2014_N!AT15,Data_2017!AS15))</f>
        <v>0.0205122950819672</v>
      </c>
      <c r="AU15" s="148">
        <f>IF(CHOOSE(uxb_works!$B$46,"-",Data_2014_N!AU15,Data_2017!AT15)="","",CHOOSE(uxb_works!$B$46,"-",Data_2014_N!AU15,Data_2017!AT15))</f>
        <v>0.026847617274758</v>
      </c>
      <c r="AV15" s="148">
        <f>IF(CHOOSE(uxb_works!$B$46,"-",Data_2014_N!AV15,Data_2017!AU15)="","",CHOOSE(uxb_works!$B$46,"-",Data_2014_N!AV15,Data_2017!AU15))</f>
        <v>0.184886774885145</v>
      </c>
      <c r="AW15" s="148">
        <f>IF(CHOOSE(uxb_works!$B$46,"-",Data_2014_N!AW15,Data_2017!AV15)="","",CHOOSE(uxb_works!$B$46,"-",Data_2014_N!AW15,Data_2017!AV15))</f>
        <v>0.0671244841269841</v>
      </c>
      <c r="AX15" s="148">
        <f>IF(CHOOSE(uxb_works!$B$46,"-",Data_2014_N!AX15,Data_2017!AW15)="","",CHOOSE(uxb_works!$B$46,"-",Data_2014_N!AX15,Data_2017!AW15))</f>
        <v>0.153988296889436</v>
      </c>
      <c r="AY15" s="148">
        <f>IF(CHOOSE(uxb_works!$B$46,"-",Data_2014_N!AY15,Data_2017!AX15)="","",CHOOSE(uxb_works!$B$46,"-",Data_2014_N!AY15,Data_2017!AX15))</f>
        <v>0</v>
      </c>
      <c r="AZ15" s="148">
        <f>IF(CHOOSE(uxb_works!$B$46,"-",Data_2014_N!AZ15,Data_2017!AY15)="","",CHOOSE(uxb_works!$B$46,"-",Data_2014_N!AZ15,Data_2017!AY15))</f>
        <v>0</v>
      </c>
      <c r="BA15" s="148">
        <f>IF(CHOOSE(uxb_works!$B$46,"-",Data_2014_N!BA15,Data_2017!AZ15)="","",CHOOSE(uxb_works!$B$46,"-",Data_2014_N!BA15,Data_2017!AZ15))</f>
        <v>0</v>
      </c>
      <c r="BB15" s="148">
        <f>IF(CHOOSE(uxb_works!$B$46,"-",Data_2014_N!BB15,Data_2017!BA15)="","",CHOOSE(uxb_works!$B$46,"-",Data_2014_N!BB15,Data_2017!BA15))</f>
        <v>0.00364548494983278</v>
      </c>
      <c r="BC15" s="148">
        <f>IF(CHOOSE(uxb_works!$B$46,"-",Data_2014_N!BC15,Data_2017!BB15)="","",CHOOSE(uxb_works!$B$46,"-",Data_2014_N!BC15,Data_2017!BB15))</f>
        <v>0.184886774885145</v>
      </c>
      <c r="BD15" s="148">
        <f>IF(CHOOSE(uxb_works!$B$46,"-",Data_2014_N!BD15,Data_2017!BC15)="","",CHOOSE(uxb_works!$B$46,"-",Data_2014_N!BD15,Data_2017!BC15))</f>
        <v>0</v>
      </c>
      <c r="BE15" s="148">
        <f>IF(CHOOSE(uxb_works!$B$46,"-",Data_2014_N!BE15,Data_2017!BD15)="","",CHOOSE(uxb_works!$B$46,"-",Data_2014_N!BE15,Data_2017!BD15))</f>
        <v>0</v>
      </c>
      <c r="BF15" s="148">
        <f>IF(CHOOSE(uxb_works!$B$46,"-",Data_2014_N!BF15,Data_2017!BE15)="","",CHOOSE(uxb_works!$B$46,"-",Data_2014_N!BF15,Data_2017!BE15))</f>
        <v>0.000927475345167653</v>
      </c>
      <c r="BG15" s="148">
        <f>IF(CHOOSE(uxb_works!$B$46,"-",Data_2014_N!BG15,Data_2017!BF15)="","",CHOOSE(uxb_works!$B$46,"-",Data_2014_N!BG15,Data_2017!BF15))</f>
        <v>1.67900874635569e-5</v>
      </c>
      <c r="BH15" s="148">
        <f>IF(CHOOSE(uxb_works!$B$46,"-",Data_2014_N!BH15,Data_2017!BG15)="","",CHOOSE(uxb_works!$B$46,"-",Data_2014_N!BH15,Data_2017!BG15))</f>
        <v>0</v>
      </c>
      <c r="BI15" s="148">
        <f>IF(CHOOSE(uxb_works!$B$46,"-",Data_2014_N!BI15,Data_2017!BH15)="","",CHOOSE(uxb_works!$B$46,"-",Data_2014_N!BI15,Data_2017!BH15))</f>
        <v>0</v>
      </c>
      <c r="BJ15" s="148">
        <f>IF(CHOOSE(uxb_works!$B$46,"-",Data_2014_N!BJ15,Data_2017!BI15)="","",CHOOSE(uxb_works!$B$46,"-",Data_2014_N!BJ15,Data_2017!BI15))</f>
        <v>0.129871387987013</v>
      </c>
      <c r="BK15" s="148">
        <f>IF(CHOOSE(uxb_works!$B$46,"-",Data_2014_N!BK15,Data_2017!BJ15)="","",CHOOSE(uxb_works!$B$46,"-",Data_2014_N!BK15,Data_2017!BJ15))</f>
        <v>1.27442650807137</v>
      </c>
      <c r="BL15" s="148">
        <f>IF(CHOOSE(uxb_works!$B$46,"-",Data_2014_N!BL15,Data_2017!BK15)="","",CHOOSE(uxb_works!$B$46,"-",Data_2014_N!BL15,Data_2017!BK15))</f>
        <v>0</v>
      </c>
      <c r="BM15" s="148">
        <f>IF(CHOOSE(uxb_works!$B$46,"-",Data_2014_N!BM15,Data_2017!BL15)="","",CHOOSE(uxb_works!$B$46,"-",Data_2014_N!BM15,Data_2017!BL15))</f>
        <v>0.0671244841269841</v>
      </c>
      <c r="BN15" s="148">
        <f>IF(CHOOSE(uxb_works!$B$46,"-",Data_2014_N!BN15,Data_2017!BM15)="","",CHOOSE(uxb_works!$B$46,"-",Data_2014_N!BN15,Data_2017!BM15))</f>
        <v>0.0271650286650287</v>
      </c>
      <c r="BO15" s="148">
        <f>IF(CHOOSE(uxb_works!$B$46,"-",Data_2014_N!BO15,Data_2017!BN15)="","",CHOOSE(uxb_works!$B$46,"-",Data_2014_N!BO15,Data_2017!BN15))</f>
        <v>0.184886774885145</v>
      </c>
      <c r="BP15" s="148">
        <f>IF(CHOOSE(uxb_works!$B$46,"-",Data_2014_N!BP15,Data_2017!BO15)="","",CHOOSE(uxb_works!$B$46,"-",Data_2014_N!BP15,Data_2017!BO15))</f>
        <v>1.21313532733738e-5</v>
      </c>
      <c r="BQ15" s="148">
        <f>IF(CHOOSE(uxb_works!$B$46,"-",Data_2014_N!BQ15,Data_2017!BP15)="","",CHOOSE(uxb_works!$B$46,"-",Data_2014_N!BQ15,Data_2017!BP15))</f>
        <v>0</v>
      </c>
      <c r="BR15" s="325">
        <f>IF(CHOOSE(uxb_works!$B$46,"-",Data_2014_N!BR15,Data_2017!BR15)="","",CHOOSE(uxb_works!$B$46,"-",Data_2014_N!BR15,Data_2017!BR15))</f>
        <v>0.0671244841269841</v>
      </c>
      <c r="CC15" s="112">
        <v>4</v>
      </c>
      <c r="CD15" s="112">
        <v>4</v>
      </c>
      <c r="CE15" s="112">
        <v>4</v>
      </c>
      <c r="CF15" s="112">
        <v>4</v>
      </c>
      <c r="CG15" s="112">
        <v>4</v>
      </c>
    </row>
    <row r="16" s="112" customFormat="1" ht="22.5" customHeight="1" spans="1:85">
      <c r="A16"/>
      <c r="B16" s="133">
        <f>tblIndicators!A12</f>
        <v>11</v>
      </c>
      <c r="C16" s="133">
        <f>tblIndicators!B12</f>
        <v>0</v>
      </c>
      <c r="D16" s="310">
        <f>CHOOSE(uxb_works!$B$46,#REF!,Data_2014_N!D16,Data_2017!D16)</f>
        <v>3</v>
      </c>
      <c r="E16" s="133" t="str">
        <f>tblIndicators!E12</f>
        <v>DISE1.2</v>
      </c>
      <c r="F16" s="133" t="str">
        <f>tblIndicators!H12</f>
        <v>Percentage of computers infected</v>
      </c>
      <c r="G16" s="133">
        <f>tblIndicators!Z12</f>
        <v>3</v>
      </c>
      <c r="H16" s="105" t="str">
        <f>REPT(" ",D16)&amp;CHOOSE(uxb_works!$B$46,#REF!,Data_2014_N!H16,Data_2017!H16)</f>
        <v>      1.2.2) Percentage of computers infected</v>
      </c>
      <c r="I16" s="319" t="str">
        <f>IF(CHOOSE(uxb_works!$B$46,#REF!,Data_2014_N!I16,Data_2017!I16)="","",CHOOSE(uxb_works!$B$46,#REF!,Data_2014_N!I16,Data_2017!I16))</f>
        <v>Scale 1-5 (1 best, 5 worst)</v>
      </c>
      <c r="J16" s="148">
        <f>IF(CHOOSE(uxb_works!$B$46,"-",Data_2014_N!J16,Data_2017!J16)="","",CHOOSE(uxb_works!$B$46,"-",Data_2014_N!J16,Data_2017!J16))</f>
        <v>4</v>
      </c>
      <c r="K16" s="148">
        <f>IF(CHOOSE(uxb_works!$B$46,"-",Data_2014_N!K16,Data_2017!K16)="","",CHOOSE(uxb_works!$B$46,"-",Data_2014_N!K16,Data_2017!K16))</f>
        <v>2</v>
      </c>
      <c r="L16" s="148">
        <f>IF(CHOOSE(uxb_works!$B$46,"-",Data_2014_N!L16,Data_2017!L16)="","",CHOOSE(uxb_works!$B$46,"-",Data_2014_N!L16,Data_2017!L16))</f>
        <v>4</v>
      </c>
      <c r="M16" s="148">
        <f>IF(CHOOSE(uxb_works!$B$46,"-",Data_2014_N!M16,Data_2017!M16)="","",CHOOSE(uxb_works!$B$46,"-",Data_2014_N!M16,Data_2017!M16))</f>
        <v>3</v>
      </c>
      <c r="N16" s="148">
        <f>IF(CHOOSE(uxb_works!$B$46,"-",Data_2014_N!N16,Data_2017!N16)="","",CHOOSE(uxb_works!$B$46,"-",Data_2014_N!N16,Data_2017!N16))</f>
        <v>4</v>
      </c>
      <c r="O16" s="148">
        <f>IF(CHOOSE(uxb_works!$B$46,"-",Data_2014_N!O16,Data_2017!O16)="","",CHOOSE(uxb_works!$B$46,"-",Data_2014_N!O16,Data_2017!O16))</f>
        <v>4</v>
      </c>
      <c r="P16" s="148">
        <f>IF(CHOOSE(uxb_works!$B$46,"-",Data_2014_N!P16,Data_2017!P16)="","",CHOOSE(uxb_works!$B$46,"-",Data_2014_N!P16,Data_2017!P16))</f>
        <v>3</v>
      </c>
      <c r="Q16" s="148">
        <f>IF(CHOOSE(uxb_works!$B$46,"-",Data_2014_N!Q16,Data_2017!Q16)="","",CHOOSE(uxb_works!$B$46,"-",Data_2014_N!Q16,Data_2017!Q16))</f>
        <v>3</v>
      </c>
      <c r="R16" s="148">
        <f>IF(CHOOSE(uxb_works!$B$46,"-",Data_2014_N!R16,Data_2017!R16)="","",CHOOSE(uxb_works!$B$46,"-",Data_2014_N!R16,Data_2017!R16))</f>
        <v>2</v>
      </c>
      <c r="S16" s="148">
        <f>IF(CHOOSE(uxb_works!$B$46,"-",Data_2014_N!S16,Data_2017!S16)="","",CHOOSE(uxb_works!$B$46,"-",Data_2014_N!S16,Data_2017!S16))</f>
        <v>3</v>
      </c>
      <c r="T16" s="148">
        <f>IF(CHOOSE(uxb_works!$B$46,"-",Data_2014_N!T16,Data_2017!T16)="","",CHOOSE(uxb_works!$B$46,"-",Data_2014_N!T16,Data_2017!T16))</f>
        <v>3</v>
      </c>
      <c r="U16" s="148">
        <f>IF(CHOOSE(uxb_works!$B$46,"-",Data_2014_N!U16,Data_2017!U16)="","",CHOOSE(uxb_works!$B$46,"-",Data_2014_N!U16,Data_2017!U16))</f>
        <v>3</v>
      </c>
      <c r="V16" s="148">
        <f>IF(CHOOSE(uxb_works!$B$46,"-",Data_2014_N!V16,Data_2017!V16)="","",CHOOSE(uxb_works!$B$46,"-",Data_2014_N!V16,Data_2017!V16))</f>
        <v>3</v>
      </c>
      <c r="W16" s="148">
        <f>IF(CHOOSE(uxb_works!$B$46,"-",Data_2014_N!W16,Data_2017!W16)="","",CHOOSE(uxb_works!$B$46,"-",Data_2014_N!W16,Data_2017!W16))</f>
        <v>3</v>
      </c>
      <c r="X16" s="148">
        <f>IF(CHOOSE(uxb_works!$B$46,"-",Data_2014_N!X16,Data_2017!X16)="","",CHOOSE(uxb_works!$B$46,"-",Data_2014_N!X16,Data_2017!X16))</f>
        <v>4</v>
      </c>
      <c r="Y16" s="148">
        <f>IF(CHOOSE(uxb_works!$B$46,"-",Data_2014_N!Y16,Data_2017!Y16)="","",CHOOSE(uxb_works!$B$46,"-",Data_2014_N!Y16,Data_2017!Y16))</f>
        <v>3</v>
      </c>
      <c r="Z16" s="148">
        <f>IF(CHOOSE(uxb_works!$B$46,"-",Data_2014_N!Z16,Data_2017!Z16)="","",CHOOSE(uxb_works!$B$46,"-",Data_2014_N!Z16,Data_2017!Z16))</f>
        <v>4</v>
      </c>
      <c r="AA16" s="148">
        <f>IF(CHOOSE(uxb_works!$B$46,"-",Data_2014_N!AA16,Data_2017!AA16)="","",CHOOSE(uxb_works!$B$46,"-",Data_2014_N!AA16,Data_2017!AA16))</f>
        <v>3</v>
      </c>
      <c r="AB16" s="148">
        <f>IF(CHOOSE(uxb_works!$B$46,"-",Data_2014_N!AB16,Data_2017!AB16)="","",CHOOSE(uxb_works!$B$46,"-",Data_2014_N!AB16,Data_2017!AB16))</f>
        <v>4</v>
      </c>
      <c r="AC16" s="148">
        <f>IF(CHOOSE(uxb_works!$B$46,"-",Data_2014_N!AC16,Data_2017!AC16)="","",CHOOSE(uxb_works!$B$46,"-",Data_2014_N!AC16,Data_2017!AC16))</f>
        <v>4</v>
      </c>
      <c r="AD16" s="148">
        <f>IF(CHOOSE(uxb_works!$B$46,"-",Data_2014_N!AD16,Data_2017!AD16)="","",CHOOSE(uxb_works!$B$46,"-",Data_2014_N!AD16,Data_2017!AD16))</f>
        <v>3</v>
      </c>
      <c r="AE16" s="148">
        <f>IF(CHOOSE(uxb_works!$B$46,"-",Data_2014_N!AE16,Data_2017!AE16)="","",CHOOSE(uxb_works!$B$46,"-",Data_2014_N!AE16,Data_2017!AE16))</f>
        <v>4</v>
      </c>
      <c r="AF16" s="148">
        <f>IF(CHOOSE(uxb_works!$B$46,"-",Data_2014_N!AF16,Data_2017!AF16)="","",CHOOSE(uxb_works!$B$46,"-",Data_2014_N!AF16,Data_2017!AF16))</f>
        <v>3</v>
      </c>
      <c r="AG16" s="148">
        <f>IF(CHOOSE(uxb_works!$B$46,"-",Data_2014_N!AG16,Data_2017!AG16)="","",CHOOSE(uxb_works!$B$46,"-",Data_2014_N!AG16,Data_2017!AG16))</f>
        <v>2</v>
      </c>
      <c r="AH16" s="148">
        <f>IF(CHOOSE(uxb_works!$B$46,"-",Data_2014_N!AH16,Data_2017!AH16)="","",CHOOSE(uxb_works!$B$46,"-",Data_2014_N!AH16,Data_2017!AH16))</f>
        <v>3</v>
      </c>
      <c r="AI16" s="148">
        <f>IF(CHOOSE(uxb_works!$B$46,"-",Data_2014_N!AI16,Data_2017!AI16)="","",CHOOSE(uxb_works!$B$46,"-",Data_2014_N!AI16,Data_2017!AI16))</f>
        <v>3</v>
      </c>
      <c r="AJ16" s="148">
        <f>IF(CHOOSE(uxb_works!$B$46,"-",Data_2014_N!AJ16,Data_2017!AJ16)="","",CHOOSE(uxb_works!$B$46,"-",Data_2014_N!AJ16,Data_2017!AJ16))</f>
        <v>3</v>
      </c>
      <c r="AK16" s="148" t="e">
        <f>IF(CHOOSE(uxb_works!$B$46,"-",Data_2014_N!AK16,Data_2017!#REF!)="","",CHOOSE(uxb_works!$B$46,"-",Data_2014_N!AK16,Data_2017!#REF!))</f>
        <v>#REF!</v>
      </c>
      <c r="AL16" s="148">
        <f>IF(CHOOSE(uxb_works!$B$46,"-",Data_2014_N!AL16,Data_2017!AK16)="","",CHOOSE(uxb_works!$B$46,"-",Data_2014_N!AL16,Data_2017!AK16))</f>
        <v>3</v>
      </c>
      <c r="AM16" s="148">
        <f>IF(CHOOSE(uxb_works!$B$46,"-",Data_2014_N!AM16,Data_2017!AL16)="","",CHOOSE(uxb_works!$B$46,"-",Data_2014_N!AM16,Data_2017!AL16))</f>
        <v>3</v>
      </c>
      <c r="AN16" s="148">
        <f>IF(CHOOSE(uxb_works!$B$46,"-",Data_2014_N!AN16,Data_2017!AM16)="","",CHOOSE(uxb_works!$B$46,"-",Data_2014_N!AN16,Data_2017!AM16))</f>
        <v>3</v>
      </c>
      <c r="AO16" s="148">
        <f>IF(CHOOSE(uxb_works!$B$46,"-",Data_2014_N!AO16,Data_2017!AN16)="","",CHOOSE(uxb_works!$B$46,"-",Data_2014_N!AO16,Data_2017!AN16))</f>
        <v>4</v>
      </c>
      <c r="AP16" s="148">
        <f>IF(CHOOSE(uxb_works!$B$46,"-",Data_2014_N!AP16,Data_2017!AO16)="","",CHOOSE(uxb_works!$B$46,"-",Data_2014_N!AP16,Data_2017!AO16))</f>
        <v>3</v>
      </c>
      <c r="AQ16" s="148">
        <f>IF(CHOOSE(uxb_works!$B$46,"-",Data_2014_N!AQ16,Data_2017!AP16)="","",CHOOSE(uxb_works!$B$46,"-",Data_2014_N!AQ16,Data_2017!AP16))</f>
        <v>3</v>
      </c>
      <c r="AR16" s="148">
        <f>IF(CHOOSE(uxb_works!$B$46,"-",Data_2014_N!AR16,Data_2017!AQ16)="","",CHOOSE(uxb_works!$B$46,"-",Data_2014_N!AR16,Data_2017!AQ16))</f>
        <v>3</v>
      </c>
      <c r="AS16" s="148">
        <f>IF(CHOOSE(uxb_works!$B$46,"-",Data_2014_N!AS16,Data_2017!AR16)="","",CHOOSE(uxb_works!$B$46,"-",Data_2014_N!AS16,Data_2017!AR16))</f>
        <v>4</v>
      </c>
      <c r="AT16" s="148">
        <f>IF(CHOOSE(uxb_works!$B$46,"-",Data_2014_N!AT16,Data_2017!AS16)="","",CHOOSE(uxb_works!$B$46,"-",Data_2014_N!AT16,Data_2017!AS16))</f>
        <v>5</v>
      </c>
      <c r="AU16" s="148">
        <f>IF(CHOOSE(uxb_works!$B$46,"-",Data_2014_N!AU16,Data_2017!AT16)="","",CHOOSE(uxb_works!$B$46,"-",Data_2014_N!AU16,Data_2017!AT16))</f>
        <v>4</v>
      </c>
      <c r="AV16" s="148">
        <f>IF(CHOOSE(uxb_works!$B$46,"-",Data_2014_N!AV16,Data_2017!AU16)="","",CHOOSE(uxb_works!$B$46,"-",Data_2014_N!AV16,Data_2017!AU16))</f>
        <v>3</v>
      </c>
      <c r="AW16" s="148">
        <f>IF(CHOOSE(uxb_works!$B$46,"-",Data_2014_N!AW16,Data_2017!AV16)="","",CHOOSE(uxb_works!$B$46,"-",Data_2014_N!AW16,Data_2017!AV16))</f>
        <v>2</v>
      </c>
      <c r="AX16" s="148">
        <f>IF(CHOOSE(uxb_works!$B$46,"-",Data_2014_N!AX16,Data_2017!AW16)="","",CHOOSE(uxb_works!$B$46,"-",Data_2014_N!AX16,Data_2017!AW16))</f>
        <v>4</v>
      </c>
      <c r="AY16" s="148">
        <f>IF(CHOOSE(uxb_works!$B$46,"-",Data_2014_N!AY16,Data_2017!AX16)="","",CHOOSE(uxb_works!$B$46,"-",Data_2014_N!AY16,Data_2017!AX16))</f>
        <v>2</v>
      </c>
      <c r="AZ16" s="148">
        <f>IF(CHOOSE(uxb_works!$B$46,"-",Data_2014_N!AZ16,Data_2017!AY16)="","",CHOOSE(uxb_works!$B$46,"-",Data_2014_N!AZ16,Data_2017!AY16))</f>
        <v>4</v>
      </c>
      <c r="BA16" s="148">
        <f>IF(CHOOSE(uxb_works!$B$46,"-",Data_2014_N!BA16,Data_2017!AZ16)="","",CHOOSE(uxb_works!$B$46,"-",Data_2014_N!BA16,Data_2017!AZ16))</f>
        <v>3</v>
      </c>
      <c r="BB16" s="148">
        <f>IF(CHOOSE(uxb_works!$B$46,"-",Data_2014_N!BB16,Data_2017!BA16)="","",CHOOSE(uxb_works!$B$46,"-",Data_2014_N!BB16,Data_2017!BA16))</f>
        <v>4</v>
      </c>
      <c r="BC16" s="148">
        <f>IF(CHOOSE(uxb_works!$B$46,"-",Data_2014_N!BC16,Data_2017!BB16)="","",CHOOSE(uxb_works!$B$46,"-",Data_2014_N!BC16,Data_2017!BB16))</f>
        <v>3</v>
      </c>
      <c r="BD16" s="148">
        <f>IF(CHOOSE(uxb_works!$B$46,"-",Data_2014_N!BD16,Data_2017!BC16)="","",CHOOSE(uxb_works!$B$46,"-",Data_2014_N!BD16,Data_2017!BC16))</f>
        <v>4</v>
      </c>
      <c r="BE16" s="148">
        <f>IF(CHOOSE(uxb_works!$B$46,"-",Data_2014_N!BE16,Data_2017!BD16)="","",CHOOSE(uxb_works!$B$46,"-",Data_2014_N!BE16,Data_2017!BD16))</f>
        <v>4</v>
      </c>
      <c r="BF16" s="148">
        <f>IF(CHOOSE(uxb_works!$B$46,"-",Data_2014_N!BF16,Data_2017!BE16)="","",CHOOSE(uxb_works!$B$46,"-",Data_2014_N!BF16,Data_2017!BE16))</f>
        <v>2</v>
      </c>
      <c r="BG16" s="148">
        <f>IF(CHOOSE(uxb_works!$B$46,"-",Data_2014_N!BG16,Data_2017!BF16)="","",CHOOSE(uxb_works!$B$46,"-",Data_2014_N!BG16,Data_2017!BF16))</f>
        <v>4</v>
      </c>
      <c r="BH16" s="148">
        <f>IF(CHOOSE(uxb_works!$B$46,"-",Data_2014_N!BH16,Data_2017!BG16)="","",CHOOSE(uxb_works!$B$46,"-",Data_2014_N!BH16,Data_2017!BG16))</f>
        <v>3</v>
      </c>
      <c r="BI16" s="148">
        <f>IF(CHOOSE(uxb_works!$B$46,"-",Data_2014_N!BI16,Data_2017!BH16)="","",CHOOSE(uxb_works!$B$46,"-",Data_2014_N!BI16,Data_2017!BH16))</f>
        <v>2</v>
      </c>
      <c r="BJ16" s="148">
        <f>IF(CHOOSE(uxb_works!$B$46,"-",Data_2014_N!BJ16,Data_2017!BI16)="","",CHOOSE(uxb_works!$B$46,"-",Data_2014_N!BJ16,Data_2017!BI16))</f>
        <v>3</v>
      </c>
      <c r="BK16" s="148">
        <f>IF(CHOOSE(uxb_works!$B$46,"-",Data_2014_N!BK16,Data_2017!BJ16)="","",CHOOSE(uxb_works!$B$46,"-",Data_2014_N!BK16,Data_2017!BJ16))</f>
        <v>3</v>
      </c>
      <c r="BL16" s="148">
        <f>IF(CHOOSE(uxb_works!$B$46,"-",Data_2014_N!BL16,Data_2017!BK16)="","",CHOOSE(uxb_works!$B$46,"-",Data_2014_N!BL16,Data_2017!BK16))</f>
        <v>3</v>
      </c>
      <c r="BM16" s="148">
        <f>IF(CHOOSE(uxb_works!$B$46,"-",Data_2014_N!BM16,Data_2017!BL16)="","",CHOOSE(uxb_works!$B$46,"-",Data_2014_N!BM16,Data_2017!BL16))</f>
        <v>2</v>
      </c>
      <c r="BN16" s="148">
        <f>IF(CHOOSE(uxb_works!$B$46,"-",Data_2014_N!BN16,Data_2017!BM16)="","",CHOOSE(uxb_works!$B$46,"-",Data_2014_N!BN16,Data_2017!BM16))</f>
        <v>3</v>
      </c>
      <c r="BO16" s="148">
        <f>IF(CHOOSE(uxb_works!$B$46,"-",Data_2014_N!BO16,Data_2017!BN16)="","",CHOOSE(uxb_works!$B$46,"-",Data_2014_N!BO16,Data_2017!BN16))</f>
        <v>3</v>
      </c>
      <c r="BP16" s="148">
        <f>IF(CHOOSE(uxb_works!$B$46,"-",Data_2014_N!BP16,Data_2017!BO16)="","",CHOOSE(uxb_works!$B$46,"-",Data_2014_N!BP16,Data_2017!BO16))</f>
        <v>3</v>
      </c>
      <c r="BQ16" s="148">
        <f>IF(CHOOSE(uxb_works!$B$46,"-",Data_2014_N!BQ16,Data_2017!BP16)="","",CHOOSE(uxb_works!$B$46,"-",Data_2014_N!BQ16,Data_2017!BP16))</f>
        <v>2</v>
      </c>
      <c r="BR16" s="325">
        <f>IF(CHOOSE(uxb_works!$B$46,"-",Data_2014_N!BR16,Data_2017!BR16)="","",CHOOSE(uxb_works!$B$46,"-",Data_2014_N!BR16,Data_2017!BR16))</f>
        <v>2</v>
      </c>
      <c r="CC16" s="112">
        <v>3</v>
      </c>
      <c r="CD16" s="112">
        <v>3</v>
      </c>
      <c r="CE16" s="112">
        <v>3</v>
      </c>
      <c r="CF16" s="112">
        <v>3</v>
      </c>
      <c r="CG16" s="112">
        <v>3</v>
      </c>
    </row>
    <row r="17" s="112" customFormat="1" ht="22.5" customHeight="1" spans="1:85">
      <c r="A17"/>
      <c r="B17" s="133">
        <f>tblIndicators!A13</f>
        <v>12</v>
      </c>
      <c r="C17" s="133">
        <f>tblIndicators!B13</f>
        <v>0</v>
      </c>
      <c r="D17" s="310">
        <f>CHOOSE(uxb_works!$B$46,#REF!,Data_2014_N!D17,Data_2017!D17)</f>
        <v>3</v>
      </c>
      <c r="E17" s="133" t="str">
        <f>tblIndicators!E13</f>
        <v>DISE1.2</v>
      </c>
      <c r="F17" s="133" t="str">
        <f>tblIndicators!H13</f>
        <v>Percentage with Internet access</v>
      </c>
      <c r="G17" s="133">
        <f>tblIndicators!Z13</f>
        <v>2</v>
      </c>
      <c r="H17" s="105" t="str">
        <f>REPT(" ",D17)&amp;CHOOSE(uxb_works!$B$46,#REF!,Data_2014_N!H17,Data_2017!H17)</f>
        <v>      1.2.3) Percentage with Internet access</v>
      </c>
      <c r="I17" s="319" t="str">
        <f>IF(CHOOSE(uxb_works!$B$46,#REF!,Data_2014_N!I17,Data_2017!I17)="","",CHOOSE(uxb_works!$B$46,#REF!,Data_2014_N!I17,Data_2017!I17))</f>
        <v>%</v>
      </c>
      <c r="J17" s="148">
        <f>IF(CHOOSE(uxb_works!$B$46,"-",Data_2014_N!J17,Data_2017!J17)="","",CHOOSE(uxb_works!$B$46,"-",Data_2014_N!J17,Data_2017!J17))</f>
        <v>0.912434057753709</v>
      </c>
      <c r="K17" s="148">
        <f>IF(CHOOSE(uxb_works!$B$46,"-",Data_2014_N!K17,Data_2017!K17)="","",CHOOSE(uxb_works!$B$46,"-",Data_2014_N!K17,Data_2017!K17))</f>
        <v>0.930965</v>
      </c>
      <c r="L17" s="148">
        <f>IF(CHOOSE(uxb_works!$B$46,"-",Data_2014_N!L17,Data_2017!L17)="","",CHOOSE(uxb_works!$B$46,"-",Data_2014_N!L17,Data_2017!L17))</f>
        <v>0.66835</v>
      </c>
      <c r="M17" s="148">
        <f>IF(CHOOSE(uxb_works!$B$46,"-",Data_2014_N!M17,Data_2017!M17)="","",CHOOSE(uxb_works!$B$46,"-",Data_2014_N!M17,Data_2017!M17))</f>
        <v>0.393161267365004</v>
      </c>
      <c r="N17" s="148">
        <f>IF(CHOOSE(uxb_works!$B$46,"-",Data_2014_N!N17,Data_2017!N17)="","",CHOOSE(uxb_works!$B$46,"-",Data_2014_N!N17,Data_2017!N17))</f>
        <v>0.786896</v>
      </c>
      <c r="O17" s="148">
        <f>IF(CHOOSE(uxb_works!$B$46,"-",Data_2014_N!O17,Data_2017!O17)="","",CHOOSE(uxb_works!$B$46,"-",Data_2014_N!O17,Data_2017!O17))</f>
        <v>0.752</v>
      </c>
      <c r="P17" s="148">
        <f>IF(CHOOSE(uxb_works!$B$46,"-",Data_2014_N!P17,Data_2017!P17)="","",CHOOSE(uxb_works!$B$46,"-",Data_2014_N!P17,Data_2017!P17))</f>
        <v>0.559049725142924</v>
      </c>
      <c r="Q17" s="148">
        <f>IF(CHOOSE(uxb_works!$B$46,"-",Data_2014_N!Q17,Data_2017!Q17)="","",CHOOSE(uxb_works!$B$46,"-",Data_2014_N!Q17,Data_2017!Q17))</f>
        <v>0.850529</v>
      </c>
      <c r="R17" s="148">
        <f>IF(CHOOSE(uxb_works!$B$46,"-",Data_2014_N!R17,Data_2017!R17)="","",CHOOSE(uxb_works!$B$46,"-",Data_2014_N!R17,Data_2017!R17))</f>
        <v>0.6940092102179</v>
      </c>
      <c r="S17" s="148">
        <f>IF(CHOOSE(uxb_works!$B$46,"-",Data_2014_N!S17,Data_2017!S17)="","",CHOOSE(uxb_works!$B$46,"-",Data_2014_N!S17,Data_2017!S17))</f>
        <v>0.378193834276939</v>
      </c>
      <c r="T17" s="148">
        <f>IF(CHOOSE(uxb_works!$B$46,"-",Data_2014_N!T17,Data_2017!T17)="","",CHOOSE(uxb_works!$B$46,"-",Data_2014_N!T17,Data_2017!T17))</f>
        <v>0.61869248094278</v>
      </c>
      <c r="U17" s="148">
        <f>IF(CHOOSE(uxb_works!$B$46,"-",Data_2014_N!U17,Data_2017!U17)="","",CHOOSE(uxb_works!$B$46,"-",Data_2014_N!U17,Data_2017!U17))</f>
        <v>0.5708</v>
      </c>
      <c r="V17" s="148">
        <f>IF(CHOOSE(uxb_works!$B$46,"-",Data_2014_N!V17,Data_2017!V17)="","",CHOOSE(uxb_works!$B$46,"-",Data_2014_N!V17,Data_2017!V17))</f>
        <v>0.813</v>
      </c>
      <c r="W17" s="148">
        <f>IF(CHOOSE(uxb_works!$B$46,"-",Data_2014_N!W17,Data_2017!W17)="","",CHOOSE(uxb_works!$B$46,"-",Data_2014_N!W17,Data_2017!W17))</f>
        <v>0.714</v>
      </c>
      <c r="X17" s="148">
        <f>IF(CHOOSE(uxb_works!$B$46,"-",Data_2014_N!X17,Data_2017!X17)="","",CHOOSE(uxb_works!$B$46,"-",Data_2014_N!X17,Data_2017!X17))</f>
        <v>0.26</v>
      </c>
      <c r="Y17" s="148">
        <f>IF(CHOOSE(uxb_works!$B$46,"-",Data_2014_N!Y17,Data_2017!Y17)="","",CHOOSE(uxb_works!$B$46,"-",Data_2014_N!Y17,Data_2017!Y17))</f>
        <v>0.144</v>
      </c>
      <c r="Z17" s="148">
        <f>IF(CHOOSE(uxb_works!$B$46,"-",Data_2014_N!Z17,Data_2017!Z17)="","",CHOOSE(uxb_works!$B$46,"-",Data_2014_N!Z17,Data_2017!Z17))</f>
        <v>0.928848264535481</v>
      </c>
      <c r="AA17" s="148">
        <f>IF(CHOOSE(uxb_works!$B$46,"-",Data_2014_N!AA17,Data_2017!AA17)="","",CHOOSE(uxb_works!$B$46,"-",Data_2014_N!AA17,Data_2017!AA17))</f>
        <v>0.875898</v>
      </c>
      <c r="AB17" s="148">
        <f>IF(CHOOSE(uxb_works!$B$46,"-",Data_2014_N!AB17,Data_2017!AB17)="","",CHOOSE(uxb_works!$B$46,"-",Data_2014_N!AB17,Data_2017!AB17))</f>
        <v>0.52720000000055</v>
      </c>
      <c r="AC17" s="148">
        <f>IF(CHOOSE(uxb_works!$B$46,"-",Data_2014_N!AC17,Data_2017!AC17)="","",CHOOSE(uxb_works!$B$46,"-",Data_2014_N!AC17,Data_2017!AC17))</f>
        <v>0.849483529634062</v>
      </c>
      <c r="AD17" s="148">
        <f>IF(CHOOSE(uxb_works!$B$46,"-",Data_2014_N!AD17,Data_2017!AD17)="","",CHOOSE(uxb_works!$B$46,"-",Data_2014_N!AD17,Data_2017!AD17))</f>
        <v>0.537449791423583</v>
      </c>
      <c r="AE17" s="148">
        <f>IF(CHOOSE(uxb_works!$B$46,"-",Data_2014_N!AE17,Data_2017!AE17)="","",CHOOSE(uxb_works!$B$46,"-",Data_2014_N!AE17,Data_2017!AE17))</f>
        <v>0.219760677113476</v>
      </c>
      <c r="AF17" s="148">
        <f>IF(CHOOSE(uxb_works!$B$46,"-",Data_2014_N!AF17,Data_2017!AF17)="","",CHOOSE(uxb_works!$B$46,"-",Data_2014_N!AF17,Data_2017!AF17))</f>
        <v>0.696162358014004</v>
      </c>
      <c r="AG17" s="148">
        <f>IF(CHOOSE(uxb_works!$B$46,"-",Data_2014_N!AG17,Data_2017!AG17)="","",CHOOSE(uxb_works!$B$46,"-",Data_2014_N!AG17,Data_2017!AG17))</f>
        <v>0.51919115722747</v>
      </c>
      <c r="AH17" s="148">
        <f>IF(CHOOSE(uxb_works!$B$46,"-",Data_2014_N!AH17,Data_2017!AH17)="","",CHOOSE(uxb_works!$B$46,"-",Data_2014_N!AH17,Data_2017!AH17))</f>
        <v>0.18</v>
      </c>
      <c r="AI17" s="148">
        <f>IF(CHOOSE(uxb_works!$B$46,"-",Data_2014_N!AI17,Data_2017!AI17)="","",CHOOSE(uxb_works!$B$46,"-",Data_2014_N!AI17,Data_2017!AI17))</f>
        <v>0.710640678111957</v>
      </c>
      <c r="AJ17" s="148">
        <f>IF(CHOOSE(uxb_works!$B$46,"-",Data_2014_N!AJ17,Data_2017!AJ17)="","",CHOOSE(uxb_works!$B$46,"-",Data_2014_N!AJ17,Data_2017!AJ17))</f>
        <v>0.820791147627883</v>
      </c>
      <c r="AK17" s="148" t="e">
        <f>IF(CHOOSE(uxb_works!$B$46,"-",Data_2014_N!AK17,Data_2017!#REF!)="","",CHOOSE(uxb_works!$B$46,"-",Data_2014_N!AK17,Data_2017!#REF!))</f>
        <v>#REF!</v>
      </c>
      <c r="AL17" s="148">
        <f>IF(CHOOSE(uxb_works!$B$46,"-",Data_2014_N!AL17,Data_2017!AK17)="","",CHOOSE(uxb_works!$B$46,"-",Data_2014_N!AL17,Data_2017!AK17))</f>
        <v>0.409</v>
      </c>
      <c r="AM17" s="148">
        <f>IF(CHOOSE(uxb_works!$B$46,"-",Data_2014_N!AM17,Data_2017!AL17)="","",CHOOSE(uxb_works!$B$46,"-",Data_2014_N!AM17,Data_2017!AL17))</f>
        <v>0.920003</v>
      </c>
      <c r="AN17" s="148">
        <f>IF(CHOOSE(uxb_works!$B$46,"-",Data_2014_N!AN17,Data_2017!AM17)="","",CHOOSE(uxb_works!$B$46,"-",Data_2014_N!AN17,Data_2017!AM17))</f>
        <v>0.736</v>
      </c>
      <c r="AO17" s="148">
        <f>IF(CHOOSE(uxb_works!$B$46,"-",Data_2014_N!AO17,Data_2017!AN17)="","",CHOOSE(uxb_works!$B$46,"-",Data_2014_N!AO17,Data_2017!AN17))</f>
        <v>0.786896</v>
      </c>
      <c r="AP17" s="148">
        <f>IF(CHOOSE(uxb_works!$B$46,"-",Data_2014_N!AP17,Data_2017!AO17)="","",CHOOSE(uxb_works!$B$46,"-",Data_2014_N!AP17,Data_2017!AO17))</f>
        <v>0.407</v>
      </c>
      <c r="AQ17" s="148">
        <f>IF(CHOOSE(uxb_works!$B$46,"-",Data_2014_N!AQ17,Data_2017!AP17)="","",CHOOSE(uxb_works!$B$46,"-",Data_2014_N!AQ17,Data_2017!AP17))</f>
        <v>0.853</v>
      </c>
      <c r="AR17" s="148">
        <f>IF(CHOOSE(uxb_works!$B$46,"-",Data_2014_N!AR17,Data_2017!AQ17)="","",CHOOSE(uxb_works!$B$46,"-",Data_2014_N!AR17,Data_2017!AQ17))</f>
        <v>0.574310429923633</v>
      </c>
      <c r="AS17" s="148">
        <f>IF(CHOOSE(uxb_works!$B$46,"-",Data_2014_N!AS17,Data_2017!AR17)="","",CHOOSE(uxb_works!$B$46,"-",Data_2014_N!AS17,Data_2017!AR17))</f>
        <v>0.655716</v>
      </c>
      <c r="AT17" s="148">
        <f>IF(CHOOSE(uxb_works!$B$46,"-",Data_2014_N!AT17,Data_2017!AS17)="","",CHOOSE(uxb_works!$B$46,"-",Data_2014_N!AT17,Data_2017!AS17))</f>
        <v>0.700992412263947</v>
      </c>
      <c r="AU17" s="148">
        <f>IF(CHOOSE(uxb_works!$B$46,"-",Data_2014_N!AU17,Data_2017!AT17)="","",CHOOSE(uxb_works!$B$46,"-",Data_2014_N!AU17,Data_2017!AT17))</f>
        <v>0.26</v>
      </c>
      <c r="AV17" s="148">
        <f>IF(CHOOSE(uxb_works!$B$46,"-",Data_2014_N!AV17,Data_2017!AU17)="","",CHOOSE(uxb_works!$B$46,"-",Data_2014_N!AV17,Data_2017!AU17))</f>
        <v>0.728</v>
      </c>
      <c r="AW17" s="148">
        <f>IF(CHOOSE(uxb_works!$B$46,"-",Data_2014_N!AW17,Data_2017!AV17)="","",CHOOSE(uxb_works!$B$46,"-",Data_2014_N!AW17,Data_2017!AV17))</f>
        <v>0.836</v>
      </c>
      <c r="AX17" s="148">
        <f>IF(CHOOSE(uxb_works!$B$46,"-",Data_2014_N!AX17,Data_2017!AW17)="","",CHOOSE(uxb_works!$B$46,"-",Data_2014_N!AX17,Data_2017!AW17))</f>
        <v>0.846945</v>
      </c>
      <c r="AY17" s="148">
        <f>IF(CHOOSE(uxb_works!$B$46,"-",Data_2014_N!AY17,Data_2017!AX17)="","",CHOOSE(uxb_works!$B$46,"-",Data_2014_N!AY17,Data_2017!AX17))</f>
        <v>0.489404337892669</v>
      </c>
      <c r="AZ17" s="148">
        <f>IF(CHOOSE(uxb_works!$B$46,"-",Data_2014_N!AZ17,Data_2017!AY17)="","",CHOOSE(uxb_works!$B$46,"-",Data_2014_N!AZ17,Data_2017!AY17))</f>
        <v>0.59079477910505</v>
      </c>
      <c r="BA17" s="148">
        <f>IF(CHOOSE(uxb_works!$B$46,"-",Data_2014_N!BA17,Data_2017!AZ17)="","",CHOOSE(uxb_works!$B$46,"-",Data_2014_N!BA17,Data_2017!AZ17))</f>
        <v>0.696162358014004</v>
      </c>
      <c r="BB17" s="148">
        <f>IF(CHOOSE(uxb_works!$B$46,"-",Data_2014_N!BB17,Data_2017!BA17)="","",CHOOSE(uxb_works!$B$46,"-",Data_2014_N!BB17,Data_2017!BA17))</f>
        <v>0.655716</v>
      </c>
      <c r="BC17" s="148">
        <f>IF(CHOOSE(uxb_works!$B$46,"-",Data_2014_N!BC17,Data_2017!BB17)="","",CHOOSE(uxb_works!$B$46,"-",Data_2014_N!BC17,Data_2017!BB17))</f>
        <v>0.736</v>
      </c>
      <c r="BD17" s="148">
        <f>IF(CHOOSE(uxb_works!$B$46,"-",Data_2014_N!BD17,Data_2017!BC17)="","",CHOOSE(uxb_works!$B$46,"-",Data_2014_N!BD17,Data_2017!BC17))</f>
        <v>0.64289</v>
      </c>
      <c r="BE17" s="148">
        <f>IF(CHOOSE(uxb_works!$B$46,"-",Data_2014_N!BE17,Data_2017!BD17)="","",CHOOSE(uxb_works!$B$46,"-",Data_2014_N!BE17,Data_2017!BD17))</f>
        <v>0.59079477910505</v>
      </c>
      <c r="BF17" s="148">
        <f>IF(CHOOSE(uxb_works!$B$46,"-",Data_2014_N!BF17,Data_2017!BE17)="","",CHOOSE(uxb_works!$B$46,"-",Data_2014_N!BF17,Data_2017!BE17))</f>
        <v>0.896486308572401</v>
      </c>
      <c r="BG17" s="148">
        <f>IF(CHOOSE(uxb_works!$B$46,"-",Data_2014_N!BG17,Data_2017!BF17)="","",CHOOSE(uxb_works!$B$46,"-",Data_2014_N!BG17,Data_2017!BF17))</f>
        <v>0.707</v>
      </c>
      <c r="BH17" s="148">
        <f>IF(CHOOSE(uxb_works!$B$46,"-",Data_2014_N!BH17,Data_2017!BG17)="","",CHOOSE(uxb_works!$B$46,"-",Data_2014_N!BH17,Data_2017!BG17))</f>
        <v>0.82103</v>
      </c>
      <c r="BI17" s="148">
        <f>IF(CHOOSE(uxb_works!$B$46,"-",Data_2014_N!BI17,Data_2017!BH17)="","",CHOOSE(uxb_works!$B$46,"-",Data_2014_N!BI17,Data_2017!BH17))</f>
        <v>0.906102</v>
      </c>
      <c r="BJ17" s="148">
        <f>IF(CHOOSE(uxb_works!$B$46,"-",Data_2014_N!BJ17,Data_2017!BI17)="","",CHOOSE(uxb_works!$B$46,"-",Data_2014_N!BJ17,Data_2017!BI17))</f>
        <v>0.836</v>
      </c>
      <c r="BK17" s="148">
        <f>IF(CHOOSE(uxb_works!$B$46,"-",Data_2014_N!BK17,Data_2017!BJ17)="","",CHOOSE(uxb_works!$B$46,"-",Data_2014_N!BK17,Data_2017!BJ17))</f>
        <v>0.780368731434196</v>
      </c>
      <c r="BL17" s="148">
        <f>IF(CHOOSE(uxb_works!$B$46,"-",Data_2014_N!BL17,Data_2017!BK17)="","",CHOOSE(uxb_works!$B$46,"-",Data_2014_N!BL17,Data_2017!BK17))</f>
        <v>0.453349758846986</v>
      </c>
      <c r="BM17" s="148">
        <f>IF(CHOOSE(uxb_works!$B$46,"-",Data_2014_N!BM17,Data_2017!BL17)="","",CHOOSE(uxb_works!$B$46,"-",Data_2014_N!BM17,Data_2017!BL17))</f>
        <v>0.897</v>
      </c>
      <c r="BN17" s="148">
        <f>IF(CHOOSE(uxb_works!$B$46,"-",Data_2014_N!BN17,Data_2017!BM17)="","",CHOOSE(uxb_works!$B$46,"-",Data_2014_N!BN17,Data_2017!BM17))</f>
        <v>0.8847</v>
      </c>
      <c r="BO17" s="148">
        <f>IF(CHOOSE(uxb_works!$B$46,"-",Data_2014_N!BO17,Data_2017!BN17)="","",CHOOSE(uxb_works!$B$46,"-",Data_2014_N!BO17,Data_2017!BN17))</f>
        <v>0.772</v>
      </c>
      <c r="BP17" s="148">
        <f>IF(CHOOSE(uxb_works!$B$46,"-",Data_2014_N!BP17,Data_2017!BO17)="","",CHOOSE(uxb_works!$B$46,"-",Data_2014_N!BP17,Data_2017!BO17))</f>
        <v>0.8822288881795</v>
      </c>
      <c r="BQ17" s="148">
        <f>IF(CHOOSE(uxb_works!$B$46,"-",Data_2014_N!BQ17,Data_2017!BP17)="","",CHOOSE(uxb_works!$B$46,"-",Data_2014_N!BQ17,Data_2017!BP17))</f>
        <v>0.218</v>
      </c>
      <c r="BR17" s="325">
        <f>IF(CHOOSE(uxb_works!$B$46,"-",Data_2014_N!BR17,Data_2017!BR17)="","",CHOOSE(uxb_works!$B$46,"-",Data_2014_N!BR17,Data_2017!BR17))</f>
        <v>0.856</v>
      </c>
      <c r="CC17" s="112">
        <v>0.86</v>
      </c>
      <c r="CD17" s="112">
        <v>0.83</v>
      </c>
      <c r="CE17" s="112">
        <v>0.8</v>
      </c>
      <c r="CF17" s="112">
        <v>0.81</v>
      </c>
      <c r="CG17" s="112">
        <v>0.86</v>
      </c>
    </row>
    <row r="18" s="112" customFormat="1" ht="22.5" customHeight="1" spans="1:70">
      <c r="A18"/>
      <c r="B18" s="133">
        <f>tblIndicators!A14</f>
        <v>13</v>
      </c>
      <c r="C18" s="133">
        <f>tblIndicators!B14</f>
        <v>0</v>
      </c>
      <c r="D18" s="310">
        <f>CHOOSE(uxb_works!$B$46,#REF!,Data_2014_N!D18,Data_2017!D18)</f>
        <v>1</v>
      </c>
      <c r="E18" s="133" t="str">
        <f>tblIndicators!E14</f>
        <v>OVERALL</v>
      </c>
      <c r="F18" s="133" t="str">
        <f>tblIndicators!H14</f>
        <v>HEALTH SECURITY</v>
      </c>
      <c r="G18" s="133">
        <f>tblIndicators!Z14</f>
        <v>1</v>
      </c>
      <c r="H18" s="105" t="str">
        <f>REPT(" ",D18)&amp;CHOOSE(uxb_works!$B$46,#REF!,Data_2014_N!H18,Data_2017!H18)</f>
        <v>  2) HEALTH SECURITY</v>
      </c>
      <c r="I18" s="319" t="str">
        <f>IF(CHOOSE(uxb_works!$B$46,#REF!,Data_2014_N!I18,Data_2017!I18)="","",CHOOSE(uxb_works!$B$46,#REF!,Data_2014_N!I18,Data_2017!I18))</f>
        <v/>
      </c>
      <c r="J18" s="148" t="str">
        <f>IF(CHOOSE(uxb_works!$B$46,"-",Data_2014_N!J18,Data_2017!J18)="","",CHOOSE(uxb_works!$B$46,"-",Data_2014_N!J18,Data_2017!J18))</f>
        <v/>
      </c>
      <c r="K18" s="148" t="str">
        <f>IF(CHOOSE(uxb_works!$B$46,"-",Data_2014_N!K18,Data_2017!K18)="","",CHOOSE(uxb_works!$B$46,"-",Data_2014_N!K18,Data_2017!K18))</f>
        <v/>
      </c>
      <c r="L18" s="148" t="str">
        <f>IF(CHOOSE(uxb_works!$B$46,"-",Data_2014_N!L18,Data_2017!L18)="","",CHOOSE(uxb_works!$B$46,"-",Data_2014_N!L18,Data_2017!L18))</f>
        <v/>
      </c>
      <c r="M18" s="148" t="str">
        <f>IF(CHOOSE(uxb_works!$B$46,"-",Data_2014_N!M18,Data_2017!M18)="","",CHOOSE(uxb_works!$B$46,"-",Data_2014_N!M18,Data_2017!M18))</f>
        <v/>
      </c>
      <c r="N18" s="148" t="str">
        <f>IF(CHOOSE(uxb_works!$B$46,"-",Data_2014_N!N18,Data_2017!N18)="","",CHOOSE(uxb_works!$B$46,"-",Data_2014_N!N18,Data_2017!N18))</f>
        <v/>
      </c>
      <c r="O18" s="148" t="str">
        <f>IF(CHOOSE(uxb_works!$B$46,"-",Data_2014_N!O18,Data_2017!O18)="","",CHOOSE(uxb_works!$B$46,"-",Data_2014_N!O18,Data_2017!O18))</f>
        <v/>
      </c>
      <c r="P18" s="148" t="str">
        <f>IF(CHOOSE(uxb_works!$B$46,"-",Data_2014_N!P18,Data_2017!P18)="","",CHOOSE(uxb_works!$B$46,"-",Data_2014_N!P18,Data_2017!P18))</f>
        <v/>
      </c>
      <c r="Q18" s="148" t="str">
        <f>IF(CHOOSE(uxb_works!$B$46,"-",Data_2014_N!Q18,Data_2017!Q18)="","",CHOOSE(uxb_works!$B$46,"-",Data_2014_N!Q18,Data_2017!Q18))</f>
        <v/>
      </c>
      <c r="R18" s="148" t="str">
        <f>IF(CHOOSE(uxb_works!$B$46,"-",Data_2014_N!R18,Data_2017!R18)="","",CHOOSE(uxb_works!$B$46,"-",Data_2014_N!R18,Data_2017!R18))</f>
        <v/>
      </c>
      <c r="S18" s="148" t="str">
        <f>IF(CHOOSE(uxb_works!$B$46,"-",Data_2014_N!S18,Data_2017!S18)="","",CHOOSE(uxb_works!$B$46,"-",Data_2014_N!S18,Data_2017!S18))</f>
        <v/>
      </c>
      <c r="T18" s="148" t="str">
        <f>IF(CHOOSE(uxb_works!$B$46,"-",Data_2014_N!T18,Data_2017!T18)="","",CHOOSE(uxb_works!$B$46,"-",Data_2014_N!T18,Data_2017!T18))</f>
        <v/>
      </c>
      <c r="U18" s="148" t="str">
        <f>IF(CHOOSE(uxb_works!$B$46,"-",Data_2014_N!U18,Data_2017!U18)="","",CHOOSE(uxb_works!$B$46,"-",Data_2014_N!U18,Data_2017!U18))</f>
        <v/>
      </c>
      <c r="V18" s="148" t="str">
        <f>IF(CHOOSE(uxb_works!$B$46,"-",Data_2014_N!V18,Data_2017!V18)="","",CHOOSE(uxb_works!$B$46,"-",Data_2014_N!V18,Data_2017!V18))</f>
        <v/>
      </c>
      <c r="W18" s="148" t="str">
        <f>IF(CHOOSE(uxb_works!$B$46,"-",Data_2014_N!W18,Data_2017!W18)="","",CHOOSE(uxb_works!$B$46,"-",Data_2014_N!W18,Data_2017!W18))</f>
        <v/>
      </c>
      <c r="X18" s="148" t="str">
        <f>IF(CHOOSE(uxb_works!$B$46,"-",Data_2014_N!X18,Data_2017!X18)="","",CHOOSE(uxb_works!$B$46,"-",Data_2014_N!X18,Data_2017!X18))</f>
        <v/>
      </c>
      <c r="Y18" s="148" t="str">
        <f>IF(CHOOSE(uxb_works!$B$46,"-",Data_2014_N!Y18,Data_2017!Y18)="","",CHOOSE(uxb_works!$B$46,"-",Data_2014_N!Y18,Data_2017!Y18))</f>
        <v/>
      </c>
      <c r="Z18" s="148" t="str">
        <f>IF(CHOOSE(uxb_works!$B$46,"-",Data_2014_N!Z18,Data_2017!Z18)="","",CHOOSE(uxb_works!$B$46,"-",Data_2014_N!Z18,Data_2017!Z18))</f>
        <v/>
      </c>
      <c r="AA18" s="148" t="str">
        <f>IF(CHOOSE(uxb_works!$B$46,"-",Data_2014_N!AA18,Data_2017!AA18)="","",CHOOSE(uxb_works!$B$46,"-",Data_2014_N!AA18,Data_2017!AA18))</f>
        <v/>
      </c>
      <c r="AB18" s="148" t="str">
        <f>IF(CHOOSE(uxb_works!$B$46,"-",Data_2014_N!AB18,Data_2017!AB18)="","",CHOOSE(uxb_works!$B$46,"-",Data_2014_N!AB18,Data_2017!AB18))</f>
        <v/>
      </c>
      <c r="AC18" s="148" t="str">
        <f>IF(CHOOSE(uxb_works!$B$46,"-",Data_2014_N!AC18,Data_2017!AC18)="","",CHOOSE(uxb_works!$B$46,"-",Data_2014_N!AC18,Data_2017!AC18))</f>
        <v/>
      </c>
      <c r="AD18" s="148" t="str">
        <f>IF(CHOOSE(uxb_works!$B$46,"-",Data_2014_N!AD18,Data_2017!AD18)="","",CHOOSE(uxb_works!$B$46,"-",Data_2014_N!AD18,Data_2017!AD18))</f>
        <v/>
      </c>
      <c r="AE18" s="148" t="str">
        <f>IF(CHOOSE(uxb_works!$B$46,"-",Data_2014_N!AE18,Data_2017!AE18)="","",CHOOSE(uxb_works!$B$46,"-",Data_2014_N!AE18,Data_2017!AE18))</f>
        <v/>
      </c>
      <c r="AF18" s="148" t="str">
        <f>IF(CHOOSE(uxb_works!$B$46,"-",Data_2014_N!AF18,Data_2017!AF18)="","",CHOOSE(uxb_works!$B$46,"-",Data_2014_N!AF18,Data_2017!AF18))</f>
        <v/>
      </c>
      <c r="AG18" s="148" t="str">
        <f>IF(CHOOSE(uxb_works!$B$46,"-",Data_2014_N!AG18,Data_2017!AG18)="","",CHOOSE(uxb_works!$B$46,"-",Data_2014_N!AG18,Data_2017!AG18))</f>
        <v/>
      </c>
      <c r="AH18" s="148" t="str">
        <f>IF(CHOOSE(uxb_works!$B$46,"-",Data_2014_N!AH18,Data_2017!AH18)="","",CHOOSE(uxb_works!$B$46,"-",Data_2014_N!AH18,Data_2017!AH18))</f>
        <v/>
      </c>
      <c r="AI18" s="148" t="str">
        <f>IF(CHOOSE(uxb_works!$B$46,"-",Data_2014_N!AI18,Data_2017!AI18)="","",CHOOSE(uxb_works!$B$46,"-",Data_2014_N!AI18,Data_2017!AI18))</f>
        <v/>
      </c>
      <c r="AJ18" s="148" t="str">
        <f>IF(CHOOSE(uxb_works!$B$46,"-",Data_2014_N!AJ18,Data_2017!AJ18)="","",CHOOSE(uxb_works!$B$46,"-",Data_2014_N!AJ18,Data_2017!AJ18))</f>
        <v/>
      </c>
      <c r="AK18" s="148" t="e">
        <f>IF(CHOOSE(uxb_works!$B$46,"-",Data_2014_N!AK18,Data_2017!#REF!)="","",CHOOSE(uxb_works!$B$46,"-",Data_2014_N!AK18,Data_2017!#REF!))</f>
        <v>#REF!</v>
      </c>
      <c r="AL18" s="148" t="str">
        <f>IF(CHOOSE(uxb_works!$B$46,"-",Data_2014_N!AL18,Data_2017!AK18)="","",CHOOSE(uxb_works!$B$46,"-",Data_2014_N!AL18,Data_2017!AK18))</f>
        <v/>
      </c>
      <c r="AM18" s="148" t="str">
        <f>IF(CHOOSE(uxb_works!$B$46,"-",Data_2014_N!AM18,Data_2017!AL18)="","",CHOOSE(uxb_works!$B$46,"-",Data_2014_N!AM18,Data_2017!AL18))</f>
        <v/>
      </c>
      <c r="AN18" s="148" t="str">
        <f>IF(CHOOSE(uxb_works!$B$46,"-",Data_2014_N!AN18,Data_2017!AM18)="","",CHOOSE(uxb_works!$B$46,"-",Data_2014_N!AN18,Data_2017!AM18))</f>
        <v/>
      </c>
      <c r="AO18" s="148" t="str">
        <f>IF(CHOOSE(uxb_works!$B$46,"-",Data_2014_N!AO18,Data_2017!AN18)="","",CHOOSE(uxb_works!$B$46,"-",Data_2014_N!AO18,Data_2017!AN18))</f>
        <v/>
      </c>
      <c r="AP18" s="148" t="str">
        <f>IF(CHOOSE(uxb_works!$B$46,"-",Data_2014_N!AP18,Data_2017!AO18)="","",CHOOSE(uxb_works!$B$46,"-",Data_2014_N!AP18,Data_2017!AO18))</f>
        <v/>
      </c>
      <c r="AQ18" s="148" t="str">
        <f>IF(CHOOSE(uxb_works!$B$46,"-",Data_2014_N!AQ18,Data_2017!AP18)="","",CHOOSE(uxb_works!$B$46,"-",Data_2014_N!AQ18,Data_2017!AP18))</f>
        <v/>
      </c>
      <c r="AR18" s="148" t="str">
        <f>IF(CHOOSE(uxb_works!$B$46,"-",Data_2014_N!AR18,Data_2017!AQ18)="","",CHOOSE(uxb_works!$B$46,"-",Data_2014_N!AR18,Data_2017!AQ18))</f>
        <v/>
      </c>
      <c r="AS18" s="148" t="str">
        <f>IF(CHOOSE(uxb_works!$B$46,"-",Data_2014_N!AS18,Data_2017!AR18)="","",CHOOSE(uxb_works!$B$46,"-",Data_2014_N!AS18,Data_2017!AR18))</f>
        <v/>
      </c>
      <c r="AT18" s="148" t="str">
        <f>IF(CHOOSE(uxb_works!$B$46,"-",Data_2014_N!AT18,Data_2017!AS18)="","",CHOOSE(uxb_works!$B$46,"-",Data_2014_N!AT18,Data_2017!AS18))</f>
        <v/>
      </c>
      <c r="AU18" s="148" t="str">
        <f>IF(CHOOSE(uxb_works!$B$46,"-",Data_2014_N!AU18,Data_2017!AT18)="","",CHOOSE(uxb_works!$B$46,"-",Data_2014_N!AU18,Data_2017!AT18))</f>
        <v/>
      </c>
      <c r="AV18" s="148" t="str">
        <f>IF(CHOOSE(uxb_works!$B$46,"-",Data_2014_N!AV18,Data_2017!AU18)="","",CHOOSE(uxb_works!$B$46,"-",Data_2014_N!AV18,Data_2017!AU18))</f>
        <v/>
      </c>
      <c r="AW18" s="148" t="str">
        <f>IF(CHOOSE(uxb_works!$B$46,"-",Data_2014_N!AW18,Data_2017!AV18)="","",CHOOSE(uxb_works!$B$46,"-",Data_2014_N!AW18,Data_2017!AV18))</f>
        <v/>
      </c>
      <c r="AX18" s="148" t="str">
        <f>IF(CHOOSE(uxb_works!$B$46,"-",Data_2014_N!AX18,Data_2017!AW18)="","",CHOOSE(uxb_works!$B$46,"-",Data_2014_N!AX18,Data_2017!AW18))</f>
        <v/>
      </c>
      <c r="AY18" s="148" t="str">
        <f>IF(CHOOSE(uxb_works!$B$46,"-",Data_2014_N!AY18,Data_2017!AX18)="","",CHOOSE(uxb_works!$B$46,"-",Data_2014_N!AY18,Data_2017!AX18))</f>
        <v/>
      </c>
      <c r="AZ18" s="148" t="str">
        <f>IF(CHOOSE(uxb_works!$B$46,"-",Data_2014_N!AZ18,Data_2017!AY18)="","",CHOOSE(uxb_works!$B$46,"-",Data_2014_N!AZ18,Data_2017!AY18))</f>
        <v/>
      </c>
      <c r="BA18" s="148" t="str">
        <f>IF(CHOOSE(uxb_works!$B$46,"-",Data_2014_N!BA18,Data_2017!AZ18)="","",CHOOSE(uxb_works!$B$46,"-",Data_2014_N!BA18,Data_2017!AZ18))</f>
        <v/>
      </c>
      <c r="BB18" s="148" t="str">
        <f>IF(CHOOSE(uxb_works!$B$46,"-",Data_2014_N!BB18,Data_2017!BA18)="","",CHOOSE(uxb_works!$B$46,"-",Data_2014_N!BB18,Data_2017!BA18))</f>
        <v/>
      </c>
      <c r="BC18" s="148" t="str">
        <f>IF(CHOOSE(uxb_works!$B$46,"-",Data_2014_N!BC18,Data_2017!BB18)="","",CHOOSE(uxb_works!$B$46,"-",Data_2014_N!BC18,Data_2017!BB18))</f>
        <v/>
      </c>
      <c r="BD18" s="148" t="str">
        <f>IF(CHOOSE(uxb_works!$B$46,"-",Data_2014_N!BD18,Data_2017!BC18)="","",CHOOSE(uxb_works!$B$46,"-",Data_2014_N!BD18,Data_2017!BC18))</f>
        <v/>
      </c>
      <c r="BE18" s="148" t="str">
        <f>IF(CHOOSE(uxb_works!$B$46,"-",Data_2014_N!BE18,Data_2017!BD18)="","",CHOOSE(uxb_works!$B$46,"-",Data_2014_N!BE18,Data_2017!BD18))</f>
        <v/>
      </c>
      <c r="BF18" s="148" t="str">
        <f>IF(CHOOSE(uxb_works!$B$46,"-",Data_2014_N!BF18,Data_2017!BE18)="","",CHOOSE(uxb_works!$B$46,"-",Data_2014_N!BF18,Data_2017!BE18))</f>
        <v/>
      </c>
      <c r="BG18" s="148" t="str">
        <f>IF(CHOOSE(uxb_works!$B$46,"-",Data_2014_N!BG18,Data_2017!BF18)="","",CHOOSE(uxb_works!$B$46,"-",Data_2014_N!BG18,Data_2017!BF18))</f>
        <v/>
      </c>
      <c r="BH18" s="148" t="str">
        <f>IF(CHOOSE(uxb_works!$B$46,"-",Data_2014_N!BH18,Data_2017!BG18)="","",CHOOSE(uxb_works!$B$46,"-",Data_2014_N!BH18,Data_2017!BG18))</f>
        <v/>
      </c>
      <c r="BI18" s="148" t="str">
        <f>IF(CHOOSE(uxb_works!$B$46,"-",Data_2014_N!BI18,Data_2017!BH18)="","",CHOOSE(uxb_works!$B$46,"-",Data_2014_N!BI18,Data_2017!BH18))</f>
        <v/>
      </c>
      <c r="BJ18" s="148" t="str">
        <f>IF(CHOOSE(uxb_works!$B$46,"-",Data_2014_N!BJ18,Data_2017!BI18)="","",CHOOSE(uxb_works!$B$46,"-",Data_2014_N!BJ18,Data_2017!BI18))</f>
        <v/>
      </c>
      <c r="BK18" s="148" t="str">
        <f>IF(CHOOSE(uxb_works!$B$46,"-",Data_2014_N!BK18,Data_2017!BJ18)="","",CHOOSE(uxb_works!$B$46,"-",Data_2014_N!BK18,Data_2017!BJ18))</f>
        <v/>
      </c>
      <c r="BL18" s="148" t="str">
        <f>IF(CHOOSE(uxb_works!$B$46,"-",Data_2014_N!BL18,Data_2017!BK18)="","",CHOOSE(uxb_works!$B$46,"-",Data_2014_N!BL18,Data_2017!BK18))</f>
        <v/>
      </c>
      <c r="BM18" s="148" t="str">
        <f>IF(CHOOSE(uxb_works!$B$46,"-",Data_2014_N!BM18,Data_2017!BL18)="","",CHOOSE(uxb_works!$B$46,"-",Data_2014_N!BM18,Data_2017!BL18))</f>
        <v/>
      </c>
      <c r="BN18" s="148" t="str">
        <f>IF(CHOOSE(uxb_works!$B$46,"-",Data_2014_N!BN18,Data_2017!BM18)="","",CHOOSE(uxb_works!$B$46,"-",Data_2014_N!BN18,Data_2017!BM18))</f>
        <v/>
      </c>
      <c r="BO18" s="148" t="str">
        <f>IF(CHOOSE(uxb_works!$B$46,"-",Data_2014_N!BO18,Data_2017!BN18)="","",CHOOSE(uxb_works!$B$46,"-",Data_2014_N!BO18,Data_2017!BN18))</f>
        <v/>
      </c>
      <c r="BP18" s="148" t="str">
        <f>IF(CHOOSE(uxb_works!$B$46,"-",Data_2014_N!BP18,Data_2017!BO18)="","",CHOOSE(uxb_works!$B$46,"-",Data_2014_N!BP18,Data_2017!BO18))</f>
        <v/>
      </c>
      <c r="BQ18" s="148" t="str">
        <f>IF(CHOOSE(uxb_works!$B$46,"-",Data_2014_N!BQ18,Data_2017!BP18)="","",CHOOSE(uxb_works!$B$46,"-",Data_2014_N!BQ18,Data_2017!BP18))</f>
        <v/>
      </c>
      <c r="BR18" s="325" t="str">
        <f>IF(CHOOSE(uxb_works!$B$46,"-",Data_2014_N!BR18,Data_2017!BR18)="","",CHOOSE(uxb_works!$B$46,"-",Data_2014_N!BR18,Data_2017!BR18))</f>
        <v/>
      </c>
    </row>
    <row r="19" s="112" customFormat="1" ht="22.5" customHeight="1" spans="1:70">
      <c r="A19"/>
      <c r="B19" s="133">
        <f>tblIndicators!A15</f>
        <v>14</v>
      </c>
      <c r="C19" s="133">
        <f>tblIndicators!B15</f>
        <v>0</v>
      </c>
      <c r="D19" s="310">
        <f>CHOOSE(uxb_works!$B$46,#REF!,Data_2014_N!D19,Data_2017!D19)</f>
        <v>2</v>
      </c>
      <c r="E19" s="133" t="str">
        <f>tblIndicators!E15</f>
        <v>HESE</v>
      </c>
      <c r="F19" s="133" t="str">
        <f>tblIndicators!H15</f>
        <v>Health security (Inputs)</v>
      </c>
      <c r="G19" s="133">
        <f>tblIndicators!Z15</f>
        <v>1</v>
      </c>
      <c r="H19" s="105" t="str">
        <f>REPT(" ",D19)&amp;CHOOSE(uxb_works!$B$46,#REF!,Data_2014_N!H19,Data_2017!H19)</f>
        <v>    2.1) Health security (Inputs)</v>
      </c>
      <c r="I19" s="319" t="str">
        <f>IF(CHOOSE(uxb_works!$B$46,#REF!,Data_2014_N!I19,Data_2017!I19)="","",CHOOSE(uxb_works!$B$46,#REF!,Data_2014_N!I19,Data_2017!I19))</f>
        <v/>
      </c>
      <c r="J19" s="148" t="str">
        <f>IF(CHOOSE(uxb_works!$B$46,"-",Data_2014_N!J19,Data_2017!J19)="","",CHOOSE(uxb_works!$B$46,"-",Data_2014_N!J19,Data_2017!J19))</f>
        <v/>
      </c>
      <c r="K19" s="148" t="str">
        <f>IF(CHOOSE(uxb_works!$B$46,"-",Data_2014_N!K19,Data_2017!K19)="","",CHOOSE(uxb_works!$B$46,"-",Data_2014_N!K19,Data_2017!K19))</f>
        <v/>
      </c>
      <c r="L19" s="148" t="str">
        <f>IF(CHOOSE(uxb_works!$B$46,"-",Data_2014_N!L19,Data_2017!L19)="","",CHOOSE(uxb_works!$B$46,"-",Data_2014_N!L19,Data_2017!L19))</f>
        <v/>
      </c>
      <c r="M19" s="148" t="str">
        <f>IF(CHOOSE(uxb_works!$B$46,"-",Data_2014_N!M19,Data_2017!M19)="","",CHOOSE(uxb_works!$B$46,"-",Data_2014_N!M19,Data_2017!M19))</f>
        <v/>
      </c>
      <c r="N19" s="148" t="str">
        <f>IF(CHOOSE(uxb_works!$B$46,"-",Data_2014_N!N19,Data_2017!N19)="","",CHOOSE(uxb_works!$B$46,"-",Data_2014_N!N19,Data_2017!N19))</f>
        <v/>
      </c>
      <c r="O19" s="148" t="str">
        <f>IF(CHOOSE(uxb_works!$B$46,"-",Data_2014_N!O19,Data_2017!O19)="","",CHOOSE(uxb_works!$B$46,"-",Data_2014_N!O19,Data_2017!O19))</f>
        <v/>
      </c>
      <c r="P19" s="148" t="str">
        <f>IF(CHOOSE(uxb_works!$B$46,"-",Data_2014_N!P19,Data_2017!P19)="","",CHOOSE(uxb_works!$B$46,"-",Data_2014_N!P19,Data_2017!P19))</f>
        <v/>
      </c>
      <c r="Q19" s="148" t="str">
        <f>IF(CHOOSE(uxb_works!$B$46,"-",Data_2014_N!Q19,Data_2017!Q19)="","",CHOOSE(uxb_works!$B$46,"-",Data_2014_N!Q19,Data_2017!Q19))</f>
        <v/>
      </c>
      <c r="R19" s="148" t="str">
        <f>IF(CHOOSE(uxb_works!$B$46,"-",Data_2014_N!R19,Data_2017!R19)="","",CHOOSE(uxb_works!$B$46,"-",Data_2014_N!R19,Data_2017!R19))</f>
        <v/>
      </c>
      <c r="S19" s="148" t="str">
        <f>IF(CHOOSE(uxb_works!$B$46,"-",Data_2014_N!S19,Data_2017!S19)="","",CHOOSE(uxb_works!$B$46,"-",Data_2014_N!S19,Data_2017!S19))</f>
        <v/>
      </c>
      <c r="T19" s="148" t="str">
        <f>IF(CHOOSE(uxb_works!$B$46,"-",Data_2014_N!T19,Data_2017!T19)="","",CHOOSE(uxb_works!$B$46,"-",Data_2014_N!T19,Data_2017!T19))</f>
        <v/>
      </c>
      <c r="U19" s="148" t="str">
        <f>IF(CHOOSE(uxb_works!$B$46,"-",Data_2014_N!U19,Data_2017!U19)="","",CHOOSE(uxb_works!$B$46,"-",Data_2014_N!U19,Data_2017!U19))</f>
        <v/>
      </c>
      <c r="V19" s="148" t="str">
        <f>IF(CHOOSE(uxb_works!$B$46,"-",Data_2014_N!V19,Data_2017!V19)="","",CHOOSE(uxb_works!$B$46,"-",Data_2014_N!V19,Data_2017!V19))</f>
        <v/>
      </c>
      <c r="W19" s="148" t="str">
        <f>IF(CHOOSE(uxb_works!$B$46,"-",Data_2014_N!W19,Data_2017!W19)="","",CHOOSE(uxb_works!$B$46,"-",Data_2014_N!W19,Data_2017!W19))</f>
        <v/>
      </c>
      <c r="X19" s="148" t="str">
        <f>IF(CHOOSE(uxb_works!$B$46,"-",Data_2014_N!X19,Data_2017!X19)="","",CHOOSE(uxb_works!$B$46,"-",Data_2014_N!X19,Data_2017!X19))</f>
        <v/>
      </c>
      <c r="Y19" s="148" t="str">
        <f>IF(CHOOSE(uxb_works!$B$46,"-",Data_2014_N!Y19,Data_2017!Y19)="","",CHOOSE(uxb_works!$B$46,"-",Data_2014_N!Y19,Data_2017!Y19))</f>
        <v/>
      </c>
      <c r="Z19" s="148" t="str">
        <f>IF(CHOOSE(uxb_works!$B$46,"-",Data_2014_N!Z19,Data_2017!Z19)="","",CHOOSE(uxb_works!$B$46,"-",Data_2014_N!Z19,Data_2017!Z19))</f>
        <v/>
      </c>
      <c r="AA19" s="148" t="str">
        <f>IF(CHOOSE(uxb_works!$B$46,"-",Data_2014_N!AA19,Data_2017!AA19)="","",CHOOSE(uxb_works!$B$46,"-",Data_2014_N!AA19,Data_2017!AA19))</f>
        <v/>
      </c>
      <c r="AB19" s="148" t="str">
        <f>IF(CHOOSE(uxb_works!$B$46,"-",Data_2014_N!AB19,Data_2017!AB19)="","",CHOOSE(uxb_works!$B$46,"-",Data_2014_N!AB19,Data_2017!AB19))</f>
        <v/>
      </c>
      <c r="AC19" s="148" t="str">
        <f>IF(CHOOSE(uxb_works!$B$46,"-",Data_2014_N!AC19,Data_2017!AC19)="","",CHOOSE(uxb_works!$B$46,"-",Data_2014_N!AC19,Data_2017!AC19))</f>
        <v/>
      </c>
      <c r="AD19" s="148" t="str">
        <f>IF(CHOOSE(uxb_works!$B$46,"-",Data_2014_N!AD19,Data_2017!AD19)="","",CHOOSE(uxb_works!$B$46,"-",Data_2014_N!AD19,Data_2017!AD19))</f>
        <v/>
      </c>
      <c r="AE19" s="148" t="str">
        <f>IF(CHOOSE(uxb_works!$B$46,"-",Data_2014_N!AE19,Data_2017!AE19)="","",CHOOSE(uxb_works!$B$46,"-",Data_2014_N!AE19,Data_2017!AE19))</f>
        <v/>
      </c>
      <c r="AF19" s="148" t="str">
        <f>IF(CHOOSE(uxb_works!$B$46,"-",Data_2014_N!AF19,Data_2017!AF19)="","",CHOOSE(uxb_works!$B$46,"-",Data_2014_N!AF19,Data_2017!AF19))</f>
        <v/>
      </c>
      <c r="AG19" s="148" t="str">
        <f>IF(CHOOSE(uxb_works!$B$46,"-",Data_2014_N!AG19,Data_2017!AG19)="","",CHOOSE(uxb_works!$B$46,"-",Data_2014_N!AG19,Data_2017!AG19))</f>
        <v/>
      </c>
      <c r="AH19" s="148" t="str">
        <f>IF(CHOOSE(uxb_works!$B$46,"-",Data_2014_N!AH19,Data_2017!AH19)="","",CHOOSE(uxb_works!$B$46,"-",Data_2014_N!AH19,Data_2017!AH19))</f>
        <v/>
      </c>
      <c r="AI19" s="148" t="str">
        <f>IF(CHOOSE(uxb_works!$B$46,"-",Data_2014_N!AI19,Data_2017!AI19)="","",CHOOSE(uxb_works!$B$46,"-",Data_2014_N!AI19,Data_2017!AI19))</f>
        <v/>
      </c>
      <c r="AJ19" s="148" t="str">
        <f>IF(CHOOSE(uxb_works!$B$46,"-",Data_2014_N!AJ19,Data_2017!AJ19)="","",CHOOSE(uxb_works!$B$46,"-",Data_2014_N!AJ19,Data_2017!AJ19))</f>
        <v/>
      </c>
      <c r="AK19" s="148" t="e">
        <f>IF(CHOOSE(uxb_works!$B$46,"-",Data_2014_N!AK19,Data_2017!#REF!)="","",CHOOSE(uxb_works!$B$46,"-",Data_2014_N!AK19,Data_2017!#REF!))</f>
        <v>#REF!</v>
      </c>
      <c r="AL19" s="148" t="str">
        <f>IF(CHOOSE(uxb_works!$B$46,"-",Data_2014_N!AL19,Data_2017!AK19)="","",CHOOSE(uxb_works!$B$46,"-",Data_2014_N!AL19,Data_2017!AK19))</f>
        <v/>
      </c>
      <c r="AM19" s="148" t="str">
        <f>IF(CHOOSE(uxb_works!$B$46,"-",Data_2014_N!AM19,Data_2017!AL19)="","",CHOOSE(uxb_works!$B$46,"-",Data_2014_N!AM19,Data_2017!AL19))</f>
        <v/>
      </c>
      <c r="AN19" s="148" t="str">
        <f>IF(CHOOSE(uxb_works!$B$46,"-",Data_2014_N!AN19,Data_2017!AM19)="","",CHOOSE(uxb_works!$B$46,"-",Data_2014_N!AN19,Data_2017!AM19))</f>
        <v/>
      </c>
      <c r="AO19" s="148" t="str">
        <f>IF(CHOOSE(uxb_works!$B$46,"-",Data_2014_N!AO19,Data_2017!AN19)="","",CHOOSE(uxb_works!$B$46,"-",Data_2014_N!AO19,Data_2017!AN19))</f>
        <v/>
      </c>
      <c r="AP19" s="148" t="str">
        <f>IF(CHOOSE(uxb_works!$B$46,"-",Data_2014_N!AP19,Data_2017!AO19)="","",CHOOSE(uxb_works!$B$46,"-",Data_2014_N!AP19,Data_2017!AO19))</f>
        <v/>
      </c>
      <c r="AQ19" s="148" t="str">
        <f>IF(CHOOSE(uxb_works!$B$46,"-",Data_2014_N!AQ19,Data_2017!AP19)="","",CHOOSE(uxb_works!$B$46,"-",Data_2014_N!AQ19,Data_2017!AP19))</f>
        <v/>
      </c>
      <c r="AR19" s="148" t="str">
        <f>IF(CHOOSE(uxb_works!$B$46,"-",Data_2014_N!AR19,Data_2017!AQ19)="","",CHOOSE(uxb_works!$B$46,"-",Data_2014_N!AR19,Data_2017!AQ19))</f>
        <v/>
      </c>
      <c r="AS19" s="148" t="str">
        <f>IF(CHOOSE(uxb_works!$B$46,"-",Data_2014_N!AS19,Data_2017!AR19)="","",CHOOSE(uxb_works!$B$46,"-",Data_2014_N!AS19,Data_2017!AR19))</f>
        <v/>
      </c>
      <c r="AT19" s="148" t="str">
        <f>IF(CHOOSE(uxb_works!$B$46,"-",Data_2014_N!AT19,Data_2017!AS19)="","",CHOOSE(uxb_works!$B$46,"-",Data_2014_N!AT19,Data_2017!AS19))</f>
        <v/>
      </c>
      <c r="AU19" s="148" t="str">
        <f>IF(CHOOSE(uxb_works!$B$46,"-",Data_2014_N!AU19,Data_2017!AT19)="","",CHOOSE(uxb_works!$B$46,"-",Data_2014_N!AU19,Data_2017!AT19))</f>
        <v/>
      </c>
      <c r="AV19" s="148" t="str">
        <f>IF(CHOOSE(uxb_works!$B$46,"-",Data_2014_N!AV19,Data_2017!AU19)="","",CHOOSE(uxb_works!$B$46,"-",Data_2014_N!AV19,Data_2017!AU19))</f>
        <v/>
      </c>
      <c r="AW19" s="148" t="str">
        <f>IF(CHOOSE(uxb_works!$B$46,"-",Data_2014_N!AW19,Data_2017!AV19)="","",CHOOSE(uxb_works!$B$46,"-",Data_2014_N!AW19,Data_2017!AV19))</f>
        <v/>
      </c>
      <c r="AX19" s="148" t="str">
        <f>IF(CHOOSE(uxb_works!$B$46,"-",Data_2014_N!AX19,Data_2017!AW19)="","",CHOOSE(uxb_works!$B$46,"-",Data_2014_N!AX19,Data_2017!AW19))</f>
        <v/>
      </c>
      <c r="AY19" s="148" t="str">
        <f>IF(CHOOSE(uxb_works!$B$46,"-",Data_2014_N!AY19,Data_2017!AX19)="","",CHOOSE(uxb_works!$B$46,"-",Data_2014_N!AY19,Data_2017!AX19))</f>
        <v/>
      </c>
      <c r="AZ19" s="148" t="str">
        <f>IF(CHOOSE(uxb_works!$B$46,"-",Data_2014_N!AZ19,Data_2017!AY19)="","",CHOOSE(uxb_works!$B$46,"-",Data_2014_N!AZ19,Data_2017!AY19))</f>
        <v/>
      </c>
      <c r="BA19" s="148" t="str">
        <f>IF(CHOOSE(uxb_works!$B$46,"-",Data_2014_N!BA19,Data_2017!AZ19)="","",CHOOSE(uxb_works!$B$46,"-",Data_2014_N!BA19,Data_2017!AZ19))</f>
        <v/>
      </c>
      <c r="BB19" s="148" t="str">
        <f>IF(CHOOSE(uxb_works!$B$46,"-",Data_2014_N!BB19,Data_2017!BA19)="","",CHOOSE(uxb_works!$B$46,"-",Data_2014_N!BB19,Data_2017!BA19))</f>
        <v/>
      </c>
      <c r="BC19" s="148" t="str">
        <f>IF(CHOOSE(uxb_works!$B$46,"-",Data_2014_N!BC19,Data_2017!BB19)="","",CHOOSE(uxb_works!$B$46,"-",Data_2014_N!BC19,Data_2017!BB19))</f>
        <v/>
      </c>
      <c r="BD19" s="148" t="str">
        <f>IF(CHOOSE(uxb_works!$B$46,"-",Data_2014_N!BD19,Data_2017!BC19)="","",CHOOSE(uxb_works!$B$46,"-",Data_2014_N!BD19,Data_2017!BC19))</f>
        <v/>
      </c>
      <c r="BE19" s="148" t="str">
        <f>IF(CHOOSE(uxb_works!$B$46,"-",Data_2014_N!BE19,Data_2017!BD19)="","",CHOOSE(uxb_works!$B$46,"-",Data_2014_N!BE19,Data_2017!BD19))</f>
        <v/>
      </c>
      <c r="BF19" s="148" t="str">
        <f>IF(CHOOSE(uxb_works!$B$46,"-",Data_2014_N!BF19,Data_2017!BE19)="","",CHOOSE(uxb_works!$B$46,"-",Data_2014_N!BF19,Data_2017!BE19))</f>
        <v/>
      </c>
      <c r="BG19" s="148" t="str">
        <f>IF(CHOOSE(uxb_works!$B$46,"-",Data_2014_N!BG19,Data_2017!BF19)="","",CHOOSE(uxb_works!$B$46,"-",Data_2014_N!BG19,Data_2017!BF19))</f>
        <v/>
      </c>
      <c r="BH19" s="148" t="str">
        <f>IF(CHOOSE(uxb_works!$B$46,"-",Data_2014_N!BH19,Data_2017!BG19)="","",CHOOSE(uxb_works!$B$46,"-",Data_2014_N!BH19,Data_2017!BG19))</f>
        <v/>
      </c>
      <c r="BI19" s="148" t="str">
        <f>IF(CHOOSE(uxb_works!$B$46,"-",Data_2014_N!BI19,Data_2017!BH19)="","",CHOOSE(uxb_works!$B$46,"-",Data_2014_N!BI19,Data_2017!BH19))</f>
        <v/>
      </c>
      <c r="BJ19" s="148" t="str">
        <f>IF(CHOOSE(uxb_works!$B$46,"-",Data_2014_N!BJ19,Data_2017!BI19)="","",CHOOSE(uxb_works!$B$46,"-",Data_2014_N!BJ19,Data_2017!BI19))</f>
        <v/>
      </c>
      <c r="BK19" s="148" t="str">
        <f>IF(CHOOSE(uxb_works!$B$46,"-",Data_2014_N!BK19,Data_2017!BJ19)="","",CHOOSE(uxb_works!$B$46,"-",Data_2014_N!BK19,Data_2017!BJ19))</f>
        <v/>
      </c>
      <c r="BL19" s="148" t="str">
        <f>IF(CHOOSE(uxb_works!$B$46,"-",Data_2014_N!BL19,Data_2017!BK19)="","",CHOOSE(uxb_works!$B$46,"-",Data_2014_N!BL19,Data_2017!BK19))</f>
        <v/>
      </c>
      <c r="BM19" s="148" t="str">
        <f>IF(CHOOSE(uxb_works!$B$46,"-",Data_2014_N!BM19,Data_2017!BL19)="","",CHOOSE(uxb_works!$B$46,"-",Data_2014_N!BM19,Data_2017!BL19))</f>
        <v/>
      </c>
      <c r="BN19" s="148" t="str">
        <f>IF(CHOOSE(uxb_works!$B$46,"-",Data_2014_N!BN19,Data_2017!BM19)="","",CHOOSE(uxb_works!$B$46,"-",Data_2014_N!BN19,Data_2017!BM19))</f>
        <v/>
      </c>
      <c r="BO19" s="148" t="str">
        <f>IF(CHOOSE(uxb_works!$B$46,"-",Data_2014_N!BO19,Data_2017!BN19)="","",CHOOSE(uxb_works!$B$46,"-",Data_2014_N!BO19,Data_2017!BN19))</f>
        <v/>
      </c>
      <c r="BP19" s="148" t="str">
        <f>IF(CHOOSE(uxb_works!$B$46,"-",Data_2014_N!BP19,Data_2017!BO19)="","",CHOOSE(uxb_works!$B$46,"-",Data_2014_N!BP19,Data_2017!BO19))</f>
        <v/>
      </c>
      <c r="BQ19" s="148" t="str">
        <f>IF(CHOOSE(uxb_works!$B$46,"-",Data_2014_N!BQ19,Data_2017!BP19)="","",CHOOSE(uxb_works!$B$46,"-",Data_2014_N!BQ19,Data_2017!BP19))</f>
        <v/>
      </c>
      <c r="BR19" s="325" t="str">
        <f>IF(CHOOSE(uxb_works!$B$46,"-",Data_2014_N!BR19,Data_2017!BR19)="","",CHOOSE(uxb_works!$B$46,"-",Data_2014_N!BR19,Data_2017!BR19))</f>
        <v/>
      </c>
    </row>
    <row r="20" s="112" customFormat="1" ht="22.5" customHeight="1" spans="1:85">
      <c r="A20"/>
      <c r="B20" s="133">
        <f>tblIndicators!A16</f>
        <v>15</v>
      </c>
      <c r="C20" s="133">
        <f>tblIndicators!B16</f>
        <v>0</v>
      </c>
      <c r="D20" s="310">
        <f>CHOOSE(uxb_works!$B$46,#REF!,Data_2014_N!D20,Data_2017!D20)</f>
        <v>3</v>
      </c>
      <c r="E20" s="133" t="str">
        <f>tblIndicators!E16</f>
        <v>HESE2.1</v>
      </c>
      <c r="F20" s="133" t="str">
        <f>tblIndicators!H16</f>
        <v>Environmental policies</v>
      </c>
      <c r="G20" s="133">
        <f>tblIndicators!Z16</f>
        <v>2</v>
      </c>
      <c r="H20" s="105" t="str">
        <f>REPT(" ",D20)&amp;CHOOSE(uxb_works!$B$46,#REF!,Data_2014_N!H20,Data_2017!H20)</f>
        <v>      2.1.1) Environmental policies</v>
      </c>
      <c r="I20" s="319" t="str">
        <f>IF(CHOOSE(uxb_works!$B$46,#REF!,Data_2014_N!I20,Data_2017!I20)="","",CHOOSE(uxb_works!$B$46,#REF!,Data_2014_N!I20,Data_2017!I20))</f>
        <v>Score 0 - 100</v>
      </c>
      <c r="J20" s="148">
        <f>IF(CHOOSE(uxb_works!$B$46,"-",Data_2014_N!J20,Data_2017!J20)="","",CHOOSE(uxb_works!$B$46,"-",Data_2014_N!J20,Data_2017!J20))</f>
        <v>66.6666666666667</v>
      </c>
      <c r="K20" s="148">
        <f>IF(CHOOSE(uxb_works!$B$46,"-",Data_2014_N!K20,Data_2017!K20)="","",CHOOSE(uxb_works!$B$46,"-",Data_2014_N!K20,Data_2017!K20))</f>
        <v>94.4444444444444</v>
      </c>
      <c r="L20" s="148">
        <f>IF(CHOOSE(uxb_works!$B$46,"-",Data_2014_N!L20,Data_2017!L20)="","",CHOOSE(uxb_works!$B$46,"-",Data_2014_N!L20,Data_2017!L20))</f>
        <v>50</v>
      </c>
      <c r="M20" s="148">
        <f>IF(CHOOSE(uxb_works!$B$46,"-",Data_2014_N!M20,Data_2017!M20)="","",CHOOSE(uxb_works!$B$46,"-",Data_2014_N!M20,Data_2017!M20))</f>
        <v>74.0740740740741</v>
      </c>
      <c r="N20" s="148">
        <f>IF(CHOOSE(uxb_works!$B$46,"-",Data_2014_N!N20,Data_2017!N20)="","",CHOOSE(uxb_works!$B$46,"-",Data_2014_N!N20,Data_2017!N20))</f>
        <v>81.4814814814815</v>
      </c>
      <c r="O20" s="148">
        <f>IF(CHOOSE(uxb_works!$B$46,"-",Data_2014_N!O20,Data_2017!O20)="","",CHOOSE(uxb_works!$B$46,"-",Data_2014_N!O20,Data_2017!O20))</f>
        <v>79.6296296296296</v>
      </c>
      <c r="P20" s="148">
        <f>IF(CHOOSE(uxb_works!$B$46,"-",Data_2014_N!P20,Data_2017!P20)="","",CHOOSE(uxb_works!$B$46,"-",Data_2014_N!P20,Data_2017!P20))</f>
        <v>66.6666666666667</v>
      </c>
      <c r="Q20" s="148">
        <f>IF(CHOOSE(uxb_works!$B$46,"-",Data_2014_N!Q20,Data_2017!Q20)="","",CHOOSE(uxb_works!$B$46,"-",Data_2014_N!Q20,Data_2017!Q20))</f>
        <v>94.4444444444444</v>
      </c>
      <c r="R20" s="148">
        <f>IF(CHOOSE(uxb_works!$B$46,"-",Data_2014_N!R20,Data_2017!R20)="","",CHOOSE(uxb_works!$B$46,"-",Data_2014_N!R20,Data_2017!R20))</f>
        <v>88.8888888888889</v>
      </c>
      <c r="S20" s="148">
        <f>IF(CHOOSE(uxb_works!$B$46,"-",Data_2014_N!S20,Data_2017!S20)="","",CHOOSE(uxb_works!$B$46,"-",Data_2014_N!S20,Data_2017!S20))</f>
        <v>53.7037037037037</v>
      </c>
      <c r="T20" s="148">
        <f>IF(CHOOSE(uxb_works!$B$46,"-",Data_2014_N!T20,Data_2017!T20)="","",CHOOSE(uxb_works!$B$46,"-",Data_2014_N!T20,Data_2017!T20))</f>
        <v>35.1851851851852</v>
      </c>
      <c r="U20" s="148">
        <f>IF(CHOOSE(uxb_works!$B$46,"-",Data_2014_N!U20,Data_2017!U20)="","",CHOOSE(uxb_works!$B$46,"-",Data_2014_N!U20,Data_2017!U20))</f>
        <v>66.6666666666667</v>
      </c>
      <c r="V20" s="148">
        <f>IF(CHOOSE(uxb_works!$B$46,"-",Data_2014_N!V20,Data_2017!V20)="","",CHOOSE(uxb_works!$B$46,"-",Data_2014_N!V20,Data_2017!V20))</f>
        <v>88.8888888888889</v>
      </c>
      <c r="W20" s="148">
        <f>IF(CHOOSE(uxb_works!$B$46,"-",Data_2014_N!W20,Data_2017!W20)="","",CHOOSE(uxb_works!$B$46,"-",Data_2014_N!W20,Data_2017!W20))</f>
        <v>75.9259259259259</v>
      </c>
      <c r="X20" s="148">
        <f>IF(CHOOSE(uxb_works!$B$46,"-",Data_2014_N!X20,Data_2017!X20)="","",CHOOSE(uxb_works!$B$46,"-",Data_2014_N!X20,Data_2017!X20))</f>
        <v>88.8888888888889</v>
      </c>
      <c r="Y20" s="148">
        <f>IF(CHOOSE(uxb_works!$B$46,"-",Data_2014_N!Y20,Data_2017!Y20)="","",CHOOSE(uxb_works!$B$46,"-",Data_2014_N!Y20,Data_2017!Y20))</f>
        <v>20.3703703703704</v>
      </c>
      <c r="Z20" s="148">
        <f>IF(CHOOSE(uxb_works!$B$46,"-",Data_2014_N!Z20,Data_2017!Z20)="","",CHOOSE(uxb_works!$B$46,"-",Data_2014_N!Z20,Data_2017!Z20))</f>
        <v>38.8888888888889</v>
      </c>
      <c r="AA20" s="148">
        <f>IF(CHOOSE(uxb_works!$B$46,"-",Data_2014_N!AA20,Data_2017!AA20)="","",CHOOSE(uxb_works!$B$46,"-",Data_2014_N!AA20,Data_2017!AA20))</f>
        <v>88.8888888888889</v>
      </c>
      <c r="AB20" s="148">
        <f>IF(CHOOSE(uxb_works!$B$46,"-",Data_2014_N!AB20,Data_2017!AB20)="","",CHOOSE(uxb_works!$B$46,"-",Data_2014_N!AB20,Data_2017!AB20))</f>
        <v>66.6666666666667</v>
      </c>
      <c r="AC20" s="148">
        <f>IF(CHOOSE(uxb_works!$B$46,"-",Data_2014_N!AC20,Data_2017!AC20)="","",CHOOSE(uxb_works!$B$46,"-",Data_2014_N!AC20,Data_2017!AC20))</f>
        <v>94.4444444444444</v>
      </c>
      <c r="AD20" s="148">
        <f>IF(CHOOSE(uxb_works!$B$46,"-",Data_2014_N!AD20,Data_2017!AD20)="","",CHOOSE(uxb_works!$B$46,"-",Data_2014_N!AD20,Data_2017!AD20))</f>
        <v>74.0740740740741</v>
      </c>
      <c r="AE20" s="148">
        <f>IF(CHOOSE(uxb_works!$B$46,"-",Data_2014_N!AE20,Data_2017!AE20)="","",CHOOSE(uxb_works!$B$46,"-",Data_2014_N!AE20,Data_2017!AE20))</f>
        <v>51.8518518518518</v>
      </c>
      <c r="AF20" s="148">
        <f>IF(CHOOSE(uxb_works!$B$46,"-",Data_2014_N!AF20,Data_2017!AF20)="","",CHOOSE(uxb_works!$B$46,"-",Data_2014_N!AF20,Data_2017!AF20))</f>
        <v>42.5925925925926</v>
      </c>
      <c r="AG20" s="148">
        <f>IF(CHOOSE(uxb_works!$B$46,"-",Data_2014_N!AG20,Data_2017!AG20)="","",CHOOSE(uxb_works!$B$46,"-",Data_2014_N!AG20,Data_2017!AG20))</f>
        <v>85.1851851851852</v>
      </c>
      <c r="AH20" s="148">
        <f>IF(CHOOSE(uxb_works!$B$46,"-",Data_2014_N!AH20,Data_2017!AH20)="","",CHOOSE(uxb_works!$B$46,"-",Data_2014_N!AH20,Data_2017!AH20))</f>
        <v>27.7777777777778</v>
      </c>
      <c r="AI20" s="148">
        <f>IF(CHOOSE(uxb_works!$B$46,"-",Data_2014_N!AI20,Data_2017!AI20)="","",CHOOSE(uxb_works!$B$46,"-",Data_2014_N!AI20,Data_2017!AI20))</f>
        <v>66.6666666666667</v>
      </c>
      <c r="AJ20" s="148">
        <f>IF(CHOOSE(uxb_works!$B$46,"-",Data_2014_N!AJ20,Data_2017!AJ20)="","",CHOOSE(uxb_works!$B$46,"-",Data_2014_N!AJ20,Data_2017!AJ20))</f>
        <v>16.6666666666667</v>
      </c>
      <c r="AK20" s="148" t="e">
        <f>IF(CHOOSE(uxb_works!$B$46,"-",Data_2014_N!AK20,Data_2017!#REF!)="","",CHOOSE(uxb_works!$B$46,"-",Data_2014_N!AK20,Data_2017!#REF!))</f>
        <v>#REF!</v>
      </c>
      <c r="AL20" s="148">
        <f>IF(CHOOSE(uxb_works!$B$46,"-",Data_2014_N!AL20,Data_2017!AK20)="","",CHOOSE(uxb_works!$B$46,"-",Data_2014_N!AL20,Data_2017!AK20))</f>
        <v>72.2222222222222</v>
      </c>
      <c r="AM20" s="148">
        <f>IF(CHOOSE(uxb_works!$B$46,"-",Data_2014_N!AM20,Data_2017!AL20)="","",CHOOSE(uxb_works!$B$46,"-",Data_2014_N!AM20,Data_2017!AL20))</f>
        <v>83.3333333333333</v>
      </c>
      <c r="AN20" s="148">
        <f>IF(CHOOSE(uxb_works!$B$46,"-",Data_2014_N!AN20,Data_2017!AM20)="","",CHOOSE(uxb_works!$B$46,"-",Data_2014_N!AN20,Data_2017!AM20))</f>
        <v>92.5925925925926</v>
      </c>
      <c r="AO20" s="148">
        <f>IF(CHOOSE(uxb_works!$B$46,"-",Data_2014_N!AO20,Data_2017!AN20)="","",CHOOSE(uxb_works!$B$46,"-",Data_2014_N!AO20,Data_2017!AN20))</f>
        <v>81.4814814814815</v>
      </c>
      <c r="AP20" s="148">
        <f>IF(CHOOSE(uxb_works!$B$46,"-",Data_2014_N!AP20,Data_2017!AO20)="","",CHOOSE(uxb_works!$B$46,"-",Data_2014_N!AP20,Data_2017!AO20))</f>
        <v>38.8888888888889</v>
      </c>
      <c r="AQ20" s="148">
        <f>IF(CHOOSE(uxb_works!$B$46,"-",Data_2014_N!AQ20,Data_2017!AP20)="","",CHOOSE(uxb_works!$B$46,"-",Data_2014_N!AQ20,Data_2017!AP20))</f>
        <v>81.4814814814815</v>
      </c>
      <c r="AR20" s="148">
        <f>IF(CHOOSE(uxb_works!$B$46,"-",Data_2014_N!AR20,Data_2017!AQ20)="","",CHOOSE(uxb_works!$B$46,"-",Data_2014_N!AR20,Data_2017!AQ20))</f>
        <v>85.1851851851852</v>
      </c>
      <c r="AS20" s="148">
        <f>IF(CHOOSE(uxb_works!$B$46,"-",Data_2014_N!AS20,Data_2017!AR20)="","",CHOOSE(uxb_works!$B$46,"-",Data_2014_N!AS20,Data_2017!AR20))</f>
        <v>83.3333333333333</v>
      </c>
      <c r="AT20" s="148">
        <f>IF(CHOOSE(uxb_works!$B$46,"-",Data_2014_N!AT20,Data_2017!AS20)="","",CHOOSE(uxb_works!$B$46,"-",Data_2014_N!AT20,Data_2017!AS20))</f>
        <v>68.5185185185185</v>
      </c>
      <c r="AU20" s="148">
        <f>IF(CHOOSE(uxb_works!$B$46,"-",Data_2014_N!AU20,Data_2017!AT20)="","",CHOOSE(uxb_works!$B$46,"-",Data_2014_N!AU20,Data_2017!AT20))</f>
        <v>42.5925925925926</v>
      </c>
      <c r="AV20" s="148">
        <f>IF(CHOOSE(uxb_works!$B$46,"-",Data_2014_N!AV20,Data_2017!AU20)="","",CHOOSE(uxb_works!$B$46,"-",Data_2014_N!AV20,Data_2017!AU20))</f>
        <v>92.5925925925926</v>
      </c>
      <c r="AW20" s="148">
        <f>IF(CHOOSE(uxb_works!$B$46,"-",Data_2014_N!AW20,Data_2017!AV20)="","",CHOOSE(uxb_works!$B$46,"-",Data_2014_N!AW20,Data_2017!AV20))</f>
        <v>88.8888888888889</v>
      </c>
      <c r="AX20" s="148">
        <f>IF(CHOOSE(uxb_works!$B$46,"-",Data_2014_N!AX20,Data_2017!AW20)="","",CHOOSE(uxb_works!$B$46,"-",Data_2014_N!AX20,Data_2017!AW20))</f>
        <v>94.4444444444444</v>
      </c>
      <c r="AY20" s="148">
        <f>IF(CHOOSE(uxb_works!$B$46,"-",Data_2014_N!AY20,Data_2017!AX20)="","",CHOOSE(uxb_works!$B$46,"-",Data_2014_N!AY20,Data_2017!AX20))</f>
        <v>35.1851851851852</v>
      </c>
      <c r="AZ20" s="148">
        <f>IF(CHOOSE(uxb_works!$B$46,"-",Data_2014_N!AZ20,Data_2017!AY20)="","",CHOOSE(uxb_works!$B$46,"-",Data_2014_N!AZ20,Data_2017!AY20))</f>
        <v>64.8148148148148</v>
      </c>
      <c r="BA20" s="148">
        <f>IF(CHOOSE(uxb_works!$B$46,"-",Data_2014_N!BA20,Data_2017!AZ20)="","",CHOOSE(uxb_works!$B$46,"-",Data_2014_N!BA20,Data_2017!AZ20))</f>
        <v>42.5925925925926</v>
      </c>
      <c r="BB20" s="148">
        <f>IF(CHOOSE(uxb_works!$B$46,"-",Data_2014_N!BB20,Data_2017!BA20)="","",CHOOSE(uxb_works!$B$46,"-",Data_2014_N!BB20,Data_2017!BA20))</f>
        <v>72.2222222222222</v>
      </c>
      <c r="BC20" s="148">
        <f>IF(CHOOSE(uxb_works!$B$46,"-",Data_2014_N!BC20,Data_2017!BB20)="","",CHOOSE(uxb_works!$B$46,"-",Data_2014_N!BC20,Data_2017!BB20))</f>
        <v>88.8888888888889</v>
      </c>
      <c r="BD20" s="148">
        <f>IF(CHOOSE(uxb_works!$B$46,"-",Data_2014_N!BD20,Data_2017!BC20)="","",CHOOSE(uxb_works!$B$46,"-",Data_2014_N!BD20,Data_2017!BC20))</f>
        <v>55.5555555555556</v>
      </c>
      <c r="BE20" s="148">
        <f>IF(CHOOSE(uxb_works!$B$46,"-",Data_2014_N!BE20,Data_2017!BD20)="","",CHOOSE(uxb_works!$B$46,"-",Data_2014_N!BE20,Data_2017!BD20))</f>
        <v>64.8148148148148</v>
      </c>
      <c r="BF20" s="148">
        <f>IF(CHOOSE(uxb_works!$B$46,"-",Data_2014_N!BF20,Data_2017!BE20)="","",CHOOSE(uxb_works!$B$46,"-",Data_2014_N!BF20,Data_2017!BE20))</f>
        <v>90.7407407407407</v>
      </c>
      <c r="BG20" s="148">
        <f>IF(CHOOSE(uxb_works!$B$46,"-",Data_2014_N!BG20,Data_2017!BF20)="","",CHOOSE(uxb_works!$B$46,"-",Data_2014_N!BG20,Data_2017!BF20))</f>
        <v>79.6296296296296</v>
      </c>
      <c r="BH20" s="148">
        <f>IF(CHOOSE(uxb_works!$B$46,"-",Data_2014_N!BH20,Data_2017!BG20)="","",CHOOSE(uxb_works!$B$46,"-",Data_2014_N!BH20,Data_2017!BG20))</f>
        <v>94.4444444444444</v>
      </c>
      <c r="BI20" s="148">
        <f>IF(CHOOSE(uxb_works!$B$46,"-",Data_2014_N!BI20,Data_2017!BH20)="","",CHOOSE(uxb_works!$B$46,"-",Data_2014_N!BI20,Data_2017!BH20))</f>
        <v>85.1851851851852</v>
      </c>
      <c r="BJ20" s="148">
        <f>IF(CHOOSE(uxb_works!$B$46,"-",Data_2014_N!BJ20,Data_2017!BI20)="","",CHOOSE(uxb_works!$B$46,"-",Data_2014_N!BJ20,Data_2017!BI20))</f>
        <v>85.1851851851852</v>
      </c>
      <c r="BK20" s="148">
        <f>IF(CHOOSE(uxb_works!$B$46,"-",Data_2014_N!BK20,Data_2017!BJ20)="","",CHOOSE(uxb_works!$B$46,"-",Data_2014_N!BK20,Data_2017!BJ20))</f>
        <v>94.4444444444444</v>
      </c>
      <c r="BL20" s="148">
        <f>IF(CHOOSE(uxb_works!$B$46,"-",Data_2014_N!BL20,Data_2017!BK20)="","",CHOOSE(uxb_works!$B$46,"-",Data_2014_N!BL20,Data_2017!BK20))</f>
        <v>66.6666666666667</v>
      </c>
      <c r="BM20" s="148">
        <f>IF(CHOOSE(uxb_works!$B$46,"-",Data_2014_N!BM20,Data_2017!BL20)="","",CHOOSE(uxb_works!$B$46,"-",Data_2014_N!BM20,Data_2017!BL20))</f>
        <v>85.1851851851852</v>
      </c>
      <c r="BN20" s="148">
        <f>IF(CHOOSE(uxb_works!$B$46,"-",Data_2014_N!BN20,Data_2017!BM20)="","",CHOOSE(uxb_works!$B$46,"-",Data_2014_N!BN20,Data_2017!BM20))</f>
        <v>92.5925925925926</v>
      </c>
      <c r="BO20" s="148">
        <f>IF(CHOOSE(uxb_works!$B$46,"-",Data_2014_N!BO20,Data_2017!BN20)="","",CHOOSE(uxb_works!$B$46,"-",Data_2014_N!BO20,Data_2017!BN20))</f>
        <v>96.2962962962963</v>
      </c>
      <c r="BP20" s="148">
        <f>IF(CHOOSE(uxb_works!$B$46,"-",Data_2014_N!BP20,Data_2017!BO20)="","",CHOOSE(uxb_works!$B$46,"-",Data_2014_N!BP20,Data_2017!BO20))</f>
        <v>85.1851851851852</v>
      </c>
      <c r="BQ20" s="148">
        <f>IF(CHOOSE(uxb_works!$B$46,"-",Data_2014_N!BQ20,Data_2017!BP20)="","",CHOOSE(uxb_works!$B$46,"-",Data_2014_N!BQ20,Data_2017!BP20))</f>
        <v>46.2962962962963</v>
      </c>
      <c r="BR20" s="325">
        <f>IF(CHOOSE(uxb_works!$B$46,"-",Data_2014_N!BR20,Data_2017!BR20)="","",CHOOSE(uxb_works!$B$46,"-",Data_2014_N!BR20,Data_2017!BR20))</f>
        <v>96.2962962962963</v>
      </c>
      <c r="CC20" s="112">
        <v>94.4</v>
      </c>
      <c r="CD20" s="112">
        <v>100</v>
      </c>
      <c r="CE20" s="112">
        <v>93.3</v>
      </c>
      <c r="CF20" s="112">
        <v>60</v>
      </c>
      <c r="CG20" s="112">
        <v>100</v>
      </c>
    </row>
    <row r="21" s="112" customFormat="1" ht="22.5" customHeight="1" spans="1:85">
      <c r="A21"/>
      <c r="B21" s="133">
        <f>tblIndicators!A17</f>
        <v>16</v>
      </c>
      <c r="C21" s="133">
        <f>tblIndicators!B17</f>
        <v>0</v>
      </c>
      <c r="D21" s="310">
        <f>CHOOSE(uxb_works!$B$46,#REF!,Data_2014_N!D21,Data_2017!D21)</f>
        <v>3</v>
      </c>
      <c r="E21" s="133" t="str">
        <f>tblIndicators!E17</f>
        <v>HESE2.1</v>
      </c>
      <c r="F21" s="133" t="str">
        <f>tblIndicators!H17</f>
        <v>Access to healthcare</v>
      </c>
      <c r="G21" s="133">
        <f>tblIndicators!Z17</f>
        <v>3</v>
      </c>
      <c r="H21" s="105" t="str">
        <f>REPT(" ",D21)&amp;CHOOSE(uxb_works!$B$46,#REF!,Data_2014_N!H21,Data_2017!H21)</f>
        <v>      2.1.2) Access to healthcare</v>
      </c>
      <c r="I21" s="319" t="str">
        <f>IF(CHOOSE(uxb_works!$B$46,#REF!,Data_2014_N!I21,Data_2017!I21)="","",CHOOSE(uxb_works!$B$46,#REF!,Data_2014_N!I21,Data_2017!I21))</f>
        <v>Score 0 - 100</v>
      </c>
      <c r="J21" s="148">
        <f>IF(CHOOSE(uxb_works!$B$46,"-",Data_2014_N!J21,Data_2017!J21)="","",CHOOSE(uxb_works!$B$46,"-",Data_2014_N!J21,Data_2017!J21))</f>
        <v>73.3333333333333</v>
      </c>
      <c r="K21" s="148">
        <f>IF(CHOOSE(uxb_works!$B$46,"-",Data_2014_N!K21,Data_2017!K21)="","",CHOOSE(uxb_works!$B$46,"-",Data_2014_N!K21,Data_2017!K21))</f>
        <v>100</v>
      </c>
      <c r="L21" s="148">
        <f>IF(CHOOSE(uxb_works!$B$46,"-",Data_2014_N!L21,Data_2017!L21)="","",CHOOSE(uxb_works!$B$46,"-",Data_2014_N!L21,Data_2017!L21))</f>
        <v>73.3333333333333</v>
      </c>
      <c r="M21" s="148">
        <f>IF(CHOOSE(uxb_works!$B$46,"-",Data_2014_N!M21,Data_2017!M21)="","",CHOOSE(uxb_works!$B$46,"-",Data_2014_N!M21,Data_2017!M21))</f>
        <v>80</v>
      </c>
      <c r="N21" s="148">
        <f>IF(CHOOSE(uxb_works!$B$46,"-",Data_2014_N!N21,Data_2017!N21)="","",CHOOSE(uxb_works!$B$46,"-",Data_2014_N!N21,Data_2017!N21))</f>
        <v>93.3333333333333</v>
      </c>
      <c r="O21" s="148">
        <f>IF(CHOOSE(uxb_works!$B$46,"-",Data_2014_N!O21,Data_2017!O21)="","",CHOOSE(uxb_works!$B$46,"-",Data_2014_N!O21,Data_2017!O21))</f>
        <v>86.6666666666667</v>
      </c>
      <c r="P21" s="148">
        <f>IF(CHOOSE(uxb_works!$B$46,"-",Data_2014_N!P21,Data_2017!P21)="","",CHOOSE(uxb_works!$B$46,"-",Data_2014_N!P21,Data_2017!P21))</f>
        <v>73.3333333333333</v>
      </c>
      <c r="Q21" s="148">
        <f>IF(CHOOSE(uxb_works!$B$46,"-",Data_2014_N!Q21,Data_2017!Q21)="","",CHOOSE(uxb_works!$B$46,"-",Data_2014_N!Q21,Data_2017!Q21))</f>
        <v>100</v>
      </c>
      <c r="R21" s="148">
        <f>IF(CHOOSE(uxb_works!$B$46,"-",Data_2014_N!R21,Data_2017!R21)="","",CHOOSE(uxb_works!$B$46,"-",Data_2014_N!R21,Data_2017!R21))</f>
        <v>93.3333333333333</v>
      </c>
      <c r="S21" s="148">
        <f>IF(CHOOSE(uxb_works!$B$46,"-",Data_2014_N!S21,Data_2017!S21)="","",CHOOSE(uxb_works!$B$46,"-",Data_2014_N!S21,Data_2017!S21))</f>
        <v>60</v>
      </c>
      <c r="T21" s="148">
        <f>IF(CHOOSE(uxb_works!$B$46,"-",Data_2014_N!T21,Data_2017!T21)="","",CHOOSE(uxb_works!$B$46,"-",Data_2014_N!T21,Data_2017!T21))</f>
        <v>53.3333333333333</v>
      </c>
      <c r="U21" s="148">
        <f>IF(CHOOSE(uxb_works!$B$46,"-",Data_2014_N!U21,Data_2017!U21)="","",CHOOSE(uxb_works!$B$46,"-",Data_2014_N!U21,Data_2017!U21))</f>
        <v>60</v>
      </c>
      <c r="V21" s="148">
        <f>IF(CHOOSE(uxb_works!$B$46,"-",Data_2014_N!V21,Data_2017!V21)="","",CHOOSE(uxb_works!$B$46,"-",Data_2014_N!V21,Data_2017!V21))</f>
        <v>93.3333333333333</v>
      </c>
      <c r="W21" s="148">
        <f>IF(CHOOSE(uxb_works!$B$46,"-",Data_2014_N!W21,Data_2017!W21)="","",CHOOSE(uxb_works!$B$46,"-",Data_2014_N!W21,Data_2017!W21))</f>
        <v>86.6666666666667</v>
      </c>
      <c r="X21" s="148">
        <f>IF(CHOOSE(uxb_works!$B$46,"-",Data_2014_N!X21,Data_2017!X21)="","",CHOOSE(uxb_works!$B$46,"-",Data_2014_N!X21,Data_2017!X21))</f>
        <v>80</v>
      </c>
      <c r="Y21" s="148">
        <f>IF(CHOOSE(uxb_works!$B$46,"-",Data_2014_N!Y21,Data_2017!Y21)="","",CHOOSE(uxb_works!$B$46,"-",Data_2014_N!Y21,Data_2017!Y21))</f>
        <v>46.6666666666667</v>
      </c>
      <c r="Z21" s="148">
        <f>IF(CHOOSE(uxb_works!$B$46,"-",Data_2014_N!Z21,Data_2017!Z21)="","",CHOOSE(uxb_works!$B$46,"-",Data_2014_N!Z21,Data_2017!Z21))</f>
        <v>80</v>
      </c>
      <c r="AA21" s="148">
        <f>IF(CHOOSE(uxb_works!$B$46,"-",Data_2014_N!AA21,Data_2017!AA21)="","",CHOOSE(uxb_works!$B$46,"-",Data_2014_N!AA21,Data_2017!AA21))</f>
        <v>100</v>
      </c>
      <c r="AB21" s="148">
        <f>IF(CHOOSE(uxb_works!$B$46,"-",Data_2014_N!AB21,Data_2017!AB21)="","",CHOOSE(uxb_works!$B$46,"-",Data_2014_N!AB21,Data_2017!AB21))</f>
        <v>73.3333333333333</v>
      </c>
      <c r="AC21" s="148">
        <f>IF(CHOOSE(uxb_works!$B$46,"-",Data_2014_N!AC21,Data_2017!AC21)="","",CHOOSE(uxb_works!$B$46,"-",Data_2014_N!AC21,Data_2017!AC21))</f>
        <v>93.3333333333333</v>
      </c>
      <c r="AD21" s="148">
        <f>IF(CHOOSE(uxb_works!$B$46,"-",Data_2014_N!AD21,Data_2017!AD21)="","",CHOOSE(uxb_works!$B$46,"-",Data_2014_N!AD21,Data_2017!AD21))</f>
        <v>60</v>
      </c>
      <c r="AE21" s="148">
        <f>IF(CHOOSE(uxb_works!$B$46,"-",Data_2014_N!AE21,Data_2017!AE21)="","",CHOOSE(uxb_works!$B$46,"-",Data_2014_N!AE21,Data_2017!AE21))</f>
        <v>73.3333333333333</v>
      </c>
      <c r="AF21" s="148">
        <f>IF(CHOOSE(uxb_works!$B$46,"-",Data_2014_N!AF21,Data_2017!AF21)="","",CHOOSE(uxb_works!$B$46,"-",Data_2014_N!AF21,Data_2017!AF21))</f>
        <v>73.3333333333333</v>
      </c>
      <c r="AG21" s="148">
        <f>IF(CHOOSE(uxb_works!$B$46,"-",Data_2014_N!AG21,Data_2017!AG21)="","",CHOOSE(uxb_works!$B$46,"-",Data_2014_N!AG21,Data_2017!AG21))</f>
        <v>80</v>
      </c>
      <c r="AH21" s="148">
        <f>IF(CHOOSE(uxb_works!$B$46,"-",Data_2014_N!AH21,Data_2017!AH21)="","",CHOOSE(uxb_works!$B$46,"-",Data_2014_N!AH21,Data_2017!AH21))</f>
        <v>66.6666666666667</v>
      </c>
      <c r="AI21" s="148">
        <f>IF(CHOOSE(uxb_works!$B$46,"-",Data_2014_N!AI21,Data_2017!AI21)="","",CHOOSE(uxb_works!$B$46,"-",Data_2014_N!AI21,Data_2017!AI21))</f>
        <v>73.3333333333333</v>
      </c>
      <c r="AJ21" s="148">
        <f>IF(CHOOSE(uxb_works!$B$46,"-",Data_2014_N!AJ21,Data_2017!AJ21)="","",CHOOSE(uxb_works!$B$46,"-",Data_2014_N!AJ21,Data_2017!AJ21))</f>
        <v>80</v>
      </c>
      <c r="AK21" s="148" t="e">
        <f>IF(CHOOSE(uxb_works!$B$46,"-",Data_2014_N!AK21,Data_2017!#REF!)="","",CHOOSE(uxb_works!$B$46,"-",Data_2014_N!AK21,Data_2017!#REF!))</f>
        <v>#REF!</v>
      </c>
      <c r="AL21" s="148">
        <f>IF(CHOOSE(uxb_works!$B$46,"-",Data_2014_N!AL21,Data_2017!AK21)="","",CHOOSE(uxb_works!$B$46,"-",Data_2014_N!AL21,Data_2017!AK21))</f>
        <v>86.6666666666667</v>
      </c>
      <c r="AM21" s="148">
        <f>IF(CHOOSE(uxb_works!$B$46,"-",Data_2014_N!AM21,Data_2017!AL21)="","",CHOOSE(uxb_works!$B$46,"-",Data_2014_N!AM21,Data_2017!AL21))</f>
        <v>86.6666666666667</v>
      </c>
      <c r="AN21" s="148">
        <f>IF(CHOOSE(uxb_works!$B$46,"-",Data_2014_N!AN21,Data_2017!AM21)="","",CHOOSE(uxb_works!$B$46,"-",Data_2014_N!AN21,Data_2017!AM21))</f>
        <v>93.3333333333333</v>
      </c>
      <c r="AO21" s="148">
        <f>IF(CHOOSE(uxb_works!$B$46,"-",Data_2014_N!AO21,Data_2017!AN21)="","",CHOOSE(uxb_works!$B$46,"-",Data_2014_N!AO21,Data_2017!AN21))</f>
        <v>93.3333333333333</v>
      </c>
      <c r="AP21" s="148">
        <f>IF(CHOOSE(uxb_works!$B$46,"-",Data_2014_N!AP21,Data_2017!AO21)="","",CHOOSE(uxb_works!$B$46,"-",Data_2014_N!AP21,Data_2017!AO21))</f>
        <v>73.3333333333333</v>
      </c>
      <c r="AQ21" s="148">
        <f>IF(CHOOSE(uxb_works!$B$46,"-",Data_2014_N!AQ21,Data_2017!AP21)="","",CHOOSE(uxb_works!$B$46,"-",Data_2014_N!AQ21,Data_2017!AP21))</f>
        <v>100</v>
      </c>
      <c r="AR21" s="148">
        <f>IF(CHOOSE(uxb_works!$B$46,"-",Data_2014_N!AR21,Data_2017!AQ21)="","",CHOOSE(uxb_works!$B$46,"-",Data_2014_N!AR21,Data_2017!AQ21))</f>
        <v>86.6666666666667</v>
      </c>
      <c r="AS21" s="148">
        <f>IF(CHOOSE(uxb_works!$B$46,"-",Data_2014_N!AS21,Data_2017!AR21)="","",CHOOSE(uxb_works!$B$46,"-",Data_2014_N!AS21,Data_2017!AR21))</f>
        <v>93.3333333333333</v>
      </c>
      <c r="AT21" s="148">
        <f>IF(CHOOSE(uxb_works!$B$46,"-",Data_2014_N!AT21,Data_2017!AS21)="","",CHOOSE(uxb_works!$B$46,"-",Data_2014_N!AT21,Data_2017!AS21))</f>
        <v>80</v>
      </c>
      <c r="AU21" s="148">
        <f>IF(CHOOSE(uxb_works!$B$46,"-",Data_2014_N!AU21,Data_2017!AT21)="","",CHOOSE(uxb_works!$B$46,"-",Data_2014_N!AU21,Data_2017!AT21))</f>
        <v>86.6666666666667</v>
      </c>
      <c r="AV21" s="148">
        <f>IF(CHOOSE(uxb_works!$B$46,"-",Data_2014_N!AV21,Data_2017!AU21)="","",CHOOSE(uxb_works!$B$46,"-",Data_2014_N!AV21,Data_2017!AU21))</f>
        <v>93.3333333333333</v>
      </c>
      <c r="AW21" s="148">
        <f>IF(CHOOSE(uxb_works!$B$46,"-",Data_2014_N!AW21,Data_2017!AV21)="","",CHOOSE(uxb_works!$B$46,"-",Data_2014_N!AW21,Data_2017!AV21))</f>
        <v>100</v>
      </c>
      <c r="AX21" s="148">
        <f>IF(CHOOSE(uxb_works!$B$46,"-",Data_2014_N!AX21,Data_2017!AW21)="","",CHOOSE(uxb_works!$B$46,"-",Data_2014_N!AX21,Data_2017!AW21))</f>
        <v>100</v>
      </c>
      <c r="AY21" s="148">
        <f>IF(CHOOSE(uxb_works!$B$46,"-",Data_2014_N!AY21,Data_2017!AX21)="","",CHOOSE(uxb_works!$B$46,"-",Data_2014_N!AY21,Data_2017!AX21))</f>
        <v>60</v>
      </c>
      <c r="AZ21" s="148">
        <f>IF(CHOOSE(uxb_works!$B$46,"-",Data_2014_N!AZ21,Data_2017!AY21)="","",CHOOSE(uxb_works!$B$46,"-",Data_2014_N!AZ21,Data_2017!AY21))</f>
        <v>73.3333333333333</v>
      </c>
      <c r="BA21" s="148">
        <f>IF(CHOOSE(uxb_works!$B$46,"-",Data_2014_N!BA21,Data_2017!AZ21)="","",CHOOSE(uxb_works!$B$46,"-",Data_2014_N!BA21,Data_2017!AZ21))</f>
        <v>80</v>
      </c>
      <c r="BB21" s="148">
        <f>IF(CHOOSE(uxb_works!$B$46,"-",Data_2014_N!BB21,Data_2017!BA21)="","",CHOOSE(uxb_works!$B$46,"-",Data_2014_N!BB21,Data_2017!BA21))</f>
        <v>93.3333333333333</v>
      </c>
      <c r="BC21" s="148">
        <f>IF(CHOOSE(uxb_works!$B$46,"-",Data_2014_N!BC21,Data_2017!BB21)="","",CHOOSE(uxb_works!$B$46,"-",Data_2014_N!BC21,Data_2017!BB21))</f>
        <v>93.3333333333333</v>
      </c>
      <c r="BD21" s="148">
        <f>IF(CHOOSE(uxb_works!$B$46,"-",Data_2014_N!BD21,Data_2017!BC21)="","",CHOOSE(uxb_works!$B$46,"-",Data_2014_N!BD21,Data_2017!BC21))</f>
        <v>80</v>
      </c>
      <c r="BE21" s="148">
        <f>IF(CHOOSE(uxb_works!$B$46,"-",Data_2014_N!BE21,Data_2017!BD21)="","",CHOOSE(uxb_works!$B$46,"-",Data_2014_N!BE21,Data_2017!BD21))</f>
        <v>80</v>
      </c>
      <c r="BF21" s="148">
        <f>IF(CHOOSE(uxb_works!$B$46,"-",Data_2014_N!BF21,Data_2017!BE21)="","",CHOOSE(uxb_works!$B$46,"-",Data_2014_N!BF21,Data_2017!BE21))</f>
        <v>93.3333333333333</v>
      </c>
      <c r="BG21" s="148">
        <f>IF(CHOOSE(uxb_works!$B$46,"-",Data_2014_N!BG21,Data_2017!BF21)="","",CHOOSE(uxb_works!$B$46,"-",Data_2014_N!BG21,Data_2017!BF21))</f>
        <v>86.6666666666667</v>
      </c>
      <c r="BH21" s="148">
        <f>IF(CHOOSE(uxb_works!$B$46,"-",Data_2014_N!BH21,Data_2017!BG21)="","",CHOOSE(uxb_works!$B$46,"-",Data_2014_N!BH21,Data_2017!BG21))</f>
        <v>93.3333333333333</v>
      </c>
      <c r="BI21" s="148">
        <f>IF(CHOOSE(uxb_works!$B$46,"-",Data_2014_N!BI21,Data_2017!BH21)="","",CHOOSE(uxb_works!$B$46,"-",Data_2014_N!BI21,Data_2017!BH21))</f>
        <v>86.6666666666667</v>
      </c>
      <c r="BJ21" s="148">
        <f>IF(CHOOSE(uxb_works!$B$46,"-",Data_2014_N!BJ21,Data_2017!BI21)="","",CHOOSE(uxb_works!$B$46,"-",Data_2014_N!BJ21,Data_2017!BI21))</f>
        <v>100</v>
      </c>
      <c r="BK21" s="148">
        <f>IF(CHOOSE(uxb_works!$B$46,"-",Data_2014_N!BK21,Data_2017!BJ21)="","",CHOOSE(uxb_works!$B$46,"-",Data_2014_N!BK21,Data_2017!BJ21))</f>
        <v>86.6666666666667</v>
      </c>
      <c r="BL21" s="148">
        <f>IF(CHOOSE(uxb_works!$B$46,"-",Data_2014_N!BL21,Data_2017!BK21)="","",CHOOSE(uxb_works!$B$46,"-",Data_2014_N!BL21,Data_2017!BK21))</f>
        <v>66.6666666666667</v>
      </c>
      <c r="BM21" s="148">
        <f>IF(CHOOSE(uxb_works!$B$46,"-",Data_2014_N!BM21,Data_2017!BL21)="","",CHOOSE(uxb_works!$B$46,"-",Data_2014_N!BM21,Data_2017!BL21))</f>
        <v>100</v>
      </c>
      <c r="BN21" s="148">
        <f>IF(CHOOSE(uxb_works!$B$46,"-",Data_2014_N!BN21,Data_2017!BM21)="","",CHOOSE(uxb_works!$B$46,"-",Data_2014_N!BN21,Data_2017!BM21))</f>
        <v>100</v>
      </c>
      <c r="BO21" s="148">
        <f>IF(CHOOSE(uxb_works!$B$46,"-",Data_2014_N!BO21,Data_2017!BN21)="","",CHOOSE(uxb_works!$B$46,"-",Data_2014_N!BO21,Data_2017!BN21))</f>
        <v>93.3333333333333</v>
      </c>
      <c r="BP21" s="148">
        <f>IF(CHOOSE(uxb_works!$B$46,"-",Data_2014_N!BP21,Data_2017!BO21)="","",CHOOSE(uxb_works!$B$46,"-",Data_2014_N!BP21,Data_2017!BO21))</f>
        <v>93.3333333333333</v>
      </c>
      <c r="BQ21" s="148">
        <f>IF(CHOOSE(uxb_works!$B$46,"-",Data_2014_N!BQ21,Data_2017!BP21)="","",CHOOSE(uxb_works!$B$46,"-",Data_2014_N!BQ21,Data_2017!BP21))</f>
        <v>60</v>
      </c>
      <c r="BR21" s="325">
        <f>IF(CHOOSE(uxb_works!$B$46,"-",Data_2014_N!BR21,Data_2017!BR21)="","",CHOOSE(uxb_works!$B$46,"-",Data_2014_N!BR21,Data_2017!BR21))</f>
        <v>100</v>
      </c>
      <c r="CC21" s="112">
        <v>91.6666666666667</v>
      </c>
      <c r="CD21" s="112">
        <v>91.6666666666667</v>
      </c>
      <c r="CE21" s="112">
        <v>91.6666666666667</v>
      </c>
      <c r="CF21" s="112">
        <v>100</v>
      </c>
      <c r="CG21" s="112">
        <v>91.6666666666667</v>
      </c>
    </row>
    <row r="22" s="112" customFormat="1" ht="22.5" customHeight="1" spans="1:85">
      <c r="A22"/>
      <c r="B22" s="133">
        <f>tblIndicators!A18</f>
        <v>17</v>
      </c>
      <c r="C22" s="133">
        <f>tblIndicators!B18</f>
        <v>0</v>
      </c>
      <c r="D22" s="310">
        <f>CHOOSE(uxb_works!$B$46,#REF!,Data_2014_N!D22,Data_2017!D22)</f>
        <v>3</v>
      </c>
      <c r="E22" s="133" t="str">
        <f>tblIndicators!E18</f>
        <v>HESE2.1</v>
      </c>
      <c r="F22" s="133" t="str">
        <f>tblIndicators!H18</f>
        <v>No. of beds per 1,000</v>
      </c>
      <c r="G22" s="133">
        <f>tblIndicators!Z18</f>
        <v>2</v>
      </c>
      <c r="H22" s="105" t="str">
        <f>REPT(" ",D22)&amp;CHOOSE(uxb_works!$B$46,#REF!,Data_2014_N!H22,Data_2017!H22)</f>
        <v>      2.1.3) No. of beds per 1,000</v>
      </c>
      <c r="I22" s="319" t="str">
        <f>IF(CHOOSE(uxb_works!$B$46,#REF!,Data_2014_N!I22,Data_2017!I22)="","",CHOOSE(uxb_works!$B$46,#REF!,Data_2014_N!I22,Data_2017!I22))</f>
        <v>#/1000</v>
      </c>
      <c r="J22" s="148">
        <f>IF(CHOOSE(uxb_works!$B$46,"-",Data_2014_N!J22,Data_2017!J22)="","",CHOOSE(uxb_works!$B$46,"-",Data_2014_N!J22,Data_2017!J22))</f>
        <v>1.1</v>
      </c>
      <c r="K22" s="148">
        <f>IF(CHOOSE(uxb_works!$B$46,"-",Data_2014_N!K22,Data_2017!K22)="","",CHOOSE(uxb_works!$B$46,"-",Data_2014_N!K22,Data_2017!K22))</f>
        <v>4.7</v>
      </c>
      <c r="L22" s="148">
        <f>IF(CHOOSE(uxb_works!$B$46,"-",Data_2014_N!L22,Data_2017!L22)="","",CHOOSE(uxb_works!$B$46,"-",Data_2014_N!L22,Data_2017!L22))</f>
        <v>4.8</v>
      </c>
      <c r="M22" s="148">
        <f>IF(CHOOSE(uxb_works!$B$46,"-",Data_2014_N!M22,Data_2017!M22)="","",CHOOSE(uxb_works!$B$46,"-",Data_2014_N!M22,Data_2017!M22))</f>
        <v>2.1</v>
      </c>
      <c r="N22" s="148">
        <f>IF(CHOOSE(uxb_works!$B$46,"-",Data_2014_N!N22,Data_2017!N22)="","",CHOOSE(uxb_works!$B$46,"-",Data_2014_N!N22,Data_2017!N22))</f>
        <v>3.1</v>
      </c>
      <c r="O22" s="148">
        <f>IF(CHOOSE(uxb_works!$B$46,"-",Data_2014_N!O22,Data_2017!O22)="","",CHOOSE(uxb_works!$B$46,"-",Data_2014_N!O22,Data_2017!O22))</f>
        <v>5.89540412044374</v>
      </c>
      <c r="P22" s="148">
        <f>IF(CHOOSE(uxb_works!$B$46,"-",Data_2014_N!P22,Data_2017!P22)="","",CHOOSE(uxb_works!$B$46,"-",Data_2014_N!P22,Data_2017!P22))</f>
        <v>1.5</v>
      </c>
      <c r="Q22" s="148">
        <f>IF(CHOOSE(uxb_works!$B$46,"-",Data_2014_N!Q22,Data_2017!Q22)="","",CHOOSE(uxb_works!$B$46,"-",Data_2014_N!Q22,Data_2017!Q22))</f>
        <v>6.5</v>
      </c>
      <c r="R22" s="148">
        <f>IF(CHOOSE(uxb_works!$B$46,"-",Data_2014_N!R22,Data_2017!R22)="","",CHOOSE(uxb_works!$B$46,"-",Data_2014_N!R22,Data_2017!R22))</f>
        <v>4.7</v>
      </c>
      <c r="S22" s="148">
        <f>IF(CHOOSE(uxb_works!$B$46,"-",Data_2014_N!S22,Data_2017!S22)="","",CHOOSE(uxb_works!$B$46,"-",Data_2014_N!S22,Data_2017!S22))</f>
        <v>0.5</v>
      </c>
      <c r="T22" s="148">
        <f>IF(CHOOSE(uxb_works!$B$46,"-",Data_2014_N!T22,Data_2017!T22)="","",CHOOSE(uxb_works!$B$46,"-",Data_2014_N!T22,Data_2017!T22))</f>
        <v>0.9</v>
      </c>
      <c r="U22" s="148">
        <f>IF(CHOOSE(uxb_works!$B$46,"-",Data_2014_N!U22,Data_2017!U22)="","",CHOOSE(uxb_works!$B$46,"-",Data_2014_N!U22,Data_2017!U22))</f>
        <v>0.9</v>
      </c>
      <c r="V22" s="148">
        <f>IF(CHOOSE(uxb_works!$B$46,"-",Data_2014_N!V22,Data_2017!V22)="","",CHOOSE(uxb_works!$B$46,"-",Data_2014_N!V22,Data_2017!V22))</f>
        <v>2.5</v>
      </c>
      <c r="W22" s="148">
        <f>IF(CHOOSE(uxb_works!$B$46,"-",Data_2014_N!W22,Data_2017!W22)="","",CHOOSE(uxb_works!$B$46,"-",Data_2014_N!W22,Data_2017!W22))</f>
        <v>2.3</v>
      </c>
      <c r="X22" s="148">
        <f>IF(CHOOSE(uxb_works!$B$46,"-",Data_2014_N!X22,Data_2017!X22)="","",CHOOSE(uxb_works!$B$46,"-",Data_2014_N!X22,Data_2017!X22))</f>
        <v>2.71</v>
      </c>
      <c r="Y22" s="148">
        <f>IF(CHOOSE(uxb_works!$B$46,"-",Data_2014_N!Y22,Data_2017!Y22)="","",CHOOSE(uxb_works!$B$46,"-",Data_2014_N!Y22,Data_2017!Y22))</f>
        <v>0.6</v>
      </c>
      <c r="Z22" s="148">
        <f>IF(CHOOSE(uxb_works!$B$46,"-",Data_2014_N!Z22,Data_2017!Z22)="","",CHOOSE(uxb_works!$B$46,"-",Data_2014_N!Z22,Data_2017!Z22))</f>
        <v>1.2</v>
      </c>
      <c r="AA22" s="148">
        <f>IF(CHOOSE(uxb_works!$B$46,"-",Data_2014_N!AA22,Data_2017!AA22)="","",CHOOSE(uxb_works!$B$46,"-",Data_2014_N!AA22,Data_2017!AA22))</f>
        <v>8.2</v>
      </c>
      <c r="AB22" s="148">
        <f>IF(CHOOSE(uxb_works!$B$46,"-",Data_2014_N!AB22,Data_2017!AB22)="","",CHOOSE(uxb_works!$B$46,"-",Data_2014_N!AB22,Data_2017!AB22))</f>
        <v>2</v>
      </c>
      <c r="AC22" s="148">
        <f>IF(CHOOSE(uxb_works!$B$46,"-",Data_2014_N!AC22,Data_2017!AC22)="","",CHOOSE(uxb_works!$B$46,"-",Data_2014_N!AC22,Data_2017!AC22))</f>
        <v>5.2</v>
      </c>
      <c r="AD22" s="148">
        <f>IF(CHOOSE(uxb_works!$B$46,"-",Data_2014_N!AD22,Data_2017!AD22)="","",CHOOSE(uxb_works!$B$46,"-",Data_2014_N!AD22,Data_2017!AD22))</f>
        <v>2.5</v>
      </c>
      <c r="AE22" s="148">
        <f>IF(CHOOSE(uxb_works!$B$46,"-",Data_2014_N!AE22,Data_2017!AE22)="","",CHOOSE(uxb_works!$B$46,"-",Data_2014_N!AE22,Data_2017!AE22))</f>
        <v>0.9</v>
      </c>
      <c r="AF22" s="148">
        <f>IF(CHOOSE(uxb_works!$B$46,"-",Data_2014_N!AF22,Data_2017!AF22)="","",CHOOSE(uxb_works!$B$46,"-",Data_2014_N!AF22,Data_2017!AF22))</f>
        <v>1.45369357930906</v>
      </c>
      <c r="AG22" s="148">
        <f>IF(CHOOSE(uxb_works!$B$46,"-",Data_2014_N!AG22,Data_2017!AG22)="","",CHOOSE(uxb_works!$B$46,"-",Data_2014_N!AG22,Data_2017!AG22))</f>
        <v>2.5</v>
      </c>
      <c r="AH22" s="148">
        <f>IF(CHOOSE(uxb_works!$B$46,"-",Data_2014_N!AH22,Data_2017!AH22)="","",CHOOSE(uxb_works!$B$46,"-",Data_2014_N!AH22,Data_2017!AH22))</f>
        <v>0.6</v>
      </c>
      <c r="AI22" s="148">
        <f>IF(CHOOSE(uxb_works!$B$46,"-",Data_2014_N!AI22,Data_2017!AI22)="","",CHOOSE(uxb_works!$B$46,"-",Data_2014_N!AI22,Data_2017!AI22))</f>
        <v>1.9</v>
      </c>
      <c r="AJ22" s="148">
        <f>IF(CHOOSE(uxb_works!$B$46,"-",Data_2014_N!AJ22,Data_2017!AJ22)="","",CHOOSE(uxb_works!$B$46,"-",Data_2014_N!AJ22,Data_2017!AJ22))</f>
        <v>2.2</v>
      </c>
      <c r="AK22" s="148" t="e">
        <f>IF(CHOOSE(uxb_works!$B$46,"-",Data_2014_N!AK22,Data_2017!#REF!)="","",CHOOSE(uxb_works!$B$46,"-",Data_2014_N!AK22,Data_2017!#REF!))</f>
        <v>#REF!</v>
      </c>
      <c r="AL22" s="148">
        <f>IF(CHOOSE(uxb_works!$B$46,"-",Data_2014_N!AL22,Data_2017!AK22)="","",CHOOSE(uxb_works!$B$46,"-",Data_2014_N!AL22,Data_2017!AK22))</f>
        <v>1.5</v>
      </c>
      <c r="AM22" s="148">
        <f>IF(CHOOSE(uxb_works!$B$46,"-",Data_2014_N!AM22,Data_2017!AL22)="","",CHOOSE(uxb_works!$B$46,"-",Data_2014_N!AM22,Data_2017!AL22))</f>
        <v>2.9</v>
      </c>
      <c r="AN22" s="148">
        <f>IF(CHOOSE(uxb_works!$B$46,"-",Data_2014_N!AN22,Data_2017!AM22)="","",CHOOSE(uxb_works!$B$46,"-",Data_2014_N!AN22,Data_2017!AM22))</f>
        <v>1.8</v>
      </c>
      <c r="AO22" s="148">
        <f>IF(CHOOSE(uxb_works!$B$46,"-",Data_2014_N!AO22,Data_2017!AN22)="","",CHOOSE(uxb_works!$B$46,"-",Data_2014_N!AO22,Data_2017!AN22))</f>
        <v>3.1</v>
      </c>
      <c r="AP22" s="148">
        <f>IF(CHOOSE(uxb_works!$B$46,"-",Data_2014_N!AP22,Data_2017!AO22)="","",CHOOSE(uxb_works!$B$46,"-",Data_2014_N!AP22,Data_2017!AO22))</f>
        <v>1</v>
      </c>
      <c r="AQ22" s="148">
        <f>IF(CHOOSE(uxb_works!$B$46,"-",Data_2014_N!AQ22,Data_2017!AP22)="","",CHOOSE(uxb_works!$B$46,"-",Data_2014_N!AQ22,Data_2017!AP22))</f>
        <v>3.9</v>
      </c>
      <c r="AR22" s="148">
        <f>IF(CHOOSE(uxb_works!$B$46,"-",Data_2014_N!AR22,Data_2017!AQ22)="","",CHOOSE(uxb_works!$B$46,"-",Data_2014_N!AR22,Data_2017!AQ22))</f>
        <v>1.5</v>
      </c>
      <c r="AS22" s="148">
        <f>IF(CHOOSE(uxb_works!$B$46,"-",Data_2014_N!AS22,Data_2017!AR22)="","",CHOOSE(uxb_works!$B$46,"-",Data_2014_N!AS22,Data_2017!AR22))</f>
        <v>3.4</v>
      </c>
      <c r="AT22" s="148">
        <f>IF(CHOOSE(uxb_works!$B$46,"-",Data_2014_N!AT22,Data_2017!AS22)="","",CHOOSE(uxb_works!$B$46,"-",Data_2014_N!AT22,Data_2017!AS22))</f>
        <v>10.8900003433</v>
      </c>
      <c r="AU22" s="148">
        <f>IF(CHOOSE(uxb_works!$B$46,"-",Data_2014_N!AU22,Data_2017!AT22)="","",CHOOSE(uxb_works!$B$46,"-",Data_2014_N!AU22,Data_2017!AT22))</f>
        <v>3.3</v>
      </c>
      <c r="AV22" s="148">
        <f>IF(CHOOSE(uxb_works!$B$46,"-",Data_2014_N!AV22,Data_2017!AU22)="","",CHOOSE(uxb_works!$B$46,"-",Data_2014_N!AV22,Data_2017!AU22))</f>
        <v>2.7</v>
      </c>
      <c r="AW22" s="148">
        <f>IF(CHOOSE(uxb_works!$B$46,"-",Data_2014_N!AW22,Data_2017!AV22)="","",CHOOSE(uxb_works!$B$46,"-",Data_2014_N!AW22,Data_2017!AV22))</f>
        <v>12.199</v>
      </c>
      <c r="AX22" s="148">
        <f>IF(CHOOSE(uxb_works!$B$46,"-",Data_2014_N!AX22,Data_2017!AW22)="","",CHOOSE(uxb_works!$B$46,"-",Data_2014_N!AX22,Data_2017!AW22))</f>
        <v>6.4</v>
      </c>
      <c r="AY22" s="148">
        <f>IF(CHOOSE(uxb_works!$B$46,"-",Data_2014_N!AY22,Data_2017!AX22)="","",CHOOSE(uxb_works!$B$46,"-",Data_2014_N!AY22,Data_2017!AX22))</f>
        <v>1.6</v>
      </c>
      <c r="AZ22" s="148">
        <f>IF(CHOOSE(uxb_works!$B$46,"-",Data_2014_N!AZ22,Data_2017!AY22)="","",CHOOSE(uxb_works!$B$46,"-",Data_2014_N!AZ22,Data_2017!AY22))</f>
        <v>2.3</v>
      </c>
      <c r="BA22" s="148">
        <f>IF(CHOOSE(uxb_works!$B$46,"-",Data_2014_N!BA22,Data_2017!AZ22)="","",CHOOSE(uxb_works!$B$46,"-",Data_2014_N!BA22,Data_2017!AZ22))</f>
        <v>1.63709819356471</v>
      </c>
      <c r="BB22" s="148">
        <f>IF(CHOOSE(uxb_works!$B$46,"-",Data_2014_N!BB22,Data_2017!BA22)="","",CHOOSE(uxb_works!$B$46,"-",Data_2014_N!BB22,Data_2017!BA22))</f>
        <v>3.4</v>
      </c>
      <c r="BC22" s="148">
        <f>IF(CHOOSE(uxb_works!$B$46,"-",Data_2014_N!BC22,Data_2017!BB22)="","",CHOOSE(uxb_works!$B$46,"-",Data_2014_N!BC22,Data_2017!BB22))</f>
        <v>1.8</v>
      </c>
      <c r="BD22" s="148">
        <f>IF(CHOOSE(uxb_works!$B$46,"-",Data_2014_N!BD22,Data_2017!BC22)="","",CHOOSE(uxb_works!$B$46,"-",Data_2014_N!BD22,Data_2017!BC22))</f>
        <v>2.1</v>
      </c>
      <c r="BE22" s="148">
        <f>IF(CHOOSE(uxb_works!$B$46,"-",Data_2014_N!BE22,Data_2017!BD22)="","",CHOOSE(uxb_works!$B$46,"-",Data_2014_N!BE22,Data_2017!BD22))</f>
        <v>2.3</v>
      </c>
      <c r="BF22" s="148">
        <f>IF(CHOOSE(uxb_works!$B$46,"-",Data_2014_N!BF22,Data_2017!BE22)="","",CHOOSE(uxb_works!$B$46,"-",Data_2014_N!BF22,Data_2017!BE22))</f>
        <v>10.3</v>
      </c>
      <c r="BG22" s="148">
        <f>IF(CHOOSE(uxb_works!$B$46,"-",Data_2014_N!BG22,Data_2017!BF22)="","",CHOOSE(uxb_works!$B$46,"-",Data_2014_N!BG22,Data_2017!BF22))</f>
        <v>5.48949485918641</v>
      </c>
      <c r="BH22" s="148">
        <f>IF(CHOOSE(uxb_works!$B$46,"-",Data_2014_N!BH22,Data_2017!BG22)="","",CHOOSE(uxb_works!$B$46,"-",Data_2014_N!BH22,Data_2017!BG22))</f>
        <v>2</v>
      </c>
      <c r="BI22" s="148">
        <f>IF(CHOOSE(uxb_works!$B$46,"-",Data_2014_N!BI22,Data_2017!BH22)="","",CHOOSE(uxb_works!$B$46,"-",Data_2014_N!BI22,Data_2017!BH22))</f>
        <v>2.7</v>
      </c>
      <c r="BJ22" s="148">
        <f>IF(CHOOSE(uxb_works!$B$46,"-",Data_2014_N!BJ22,Data_2017!BI22)="","",CHOOSE(uxb_works!$B$46,"-",Data_2014_N!BJ22,Data_2017!BI22))</f>
        <v>3.9</v>
      </c>
      <c r="BK22" s="148">
        <f>IF(CHOOSE(uxb_works!$B$46,"-",Data_2014_N!BK22,Data_2017!BJ22)="","",CHOOSE(uxb_works!$B$46,"-",Data_2014_N!BK22,Data_2017!BJ22))</f>
        <v>9.214</v>
      </c>
      <c r="BL22" s="148">
        <f>IF(CHOOSE(uxb_works!$B$46,"-",Data_2014_N!BL22,Data_2017!BK22)="","",CHOOSE(uxb_works!$B$46,"-",Data_2014_N!BL22,Data_2017!BK22))</f>
        <v>0.1</v>
      </c>
      <c r="BM22" s="148">
        <f>IF(CHOOSE(uxb_works!$B$46,"-",Data_2014_N!BM22,Data_2017!BL22)="","",CHOOSE(uxb_works!$B$46,"-",Data_2014_N!BM22,Data_2017!BL22))</f>
        <v>9.483</v>
      </c>
      <c r="BN22" s="148">
        <f>IF(CHOOSE(uxb_works!$B$46,"-",Data_2014_N!BN22,Data_2017!BM22)="","",CHOOSE(uxb_works!$B$46,"-",Data_2014_N!BN22,Data_2017!BM22))</f>
        <v>2.7</v>
      </c>
      <c r="BO22" s="148">
        <f>IF(CHOOSE(uxb_works!$B$46,"-",Data_2014_N!BO22,Data_2017!BN22)="","",CHOOSE(uxb_works!$B$46,"-",Data_2014_N!BO22,Data_2017!BN22))</f>
        <v>1.7</v>
      </c>
      <c r="BP22" s="148">
        <f>IF(CHOOSE(uxb_works!$B$46,"-",Data_2014_N!BP22,Data_2017!BO22)="","",CHOOSE(uxb_works!$B$46,"-",Data_2014_N!BP22,Data_2017!BO22))</f>
        <v>2.3</v>
      </c>
      <c r="BQ22" s="148">
        <f>IF(CHOOSE(uxb_works!$B$46,"-",Data_2014_N!BQ22,Data_2017!BP22)="","",CHOOSE(uxb_works!$B$46,"-",Data_2014_N!BQ22,Data_2017!BP22))</f>
        <v>0.7</v>
      </c>
      <c r="BR22" s="325">
        <f>IF(CHOOSE(uxb_works!$B$46,"-",Data_2014_N!BR22,Data_2017!BR22)="","",CHOOSE(uxb_works!$B$46,"-",Data_2014_N!BR22,Data_2017!BR22))</f>
        <v>13.773</v>
      </c>
      <c r="CC22" s="112">
        <v>1.23</v>
      </c>
      <c r="CD22" s="112">
        <v>3.1</v>
      </c>
      <c r="CE22" s="112">
        <v>3</v>
      </c>
      <c r="CF22" s="112">
        <v>2.5</v>
      </c>
      <c r="CG22" s="112">
        <v>5.9</v>
      </c>
    </row>
    <row r="23" s="112" customFormat="1" ht="22.5" customHeight="1" spans="1:85">
      <c r="A23"/>
      <c r="B23" s="133">
        <f>tblIndicators!A19</f>
        <v>18</v>
      </c>
      <c r="C23" s="133">
        <f>tblIndicators!B19</f>
        <v>0</v>
      </c>
      <c r="D23" s="310">
        <f>CHOOSE(uxb_works!$B$46,#REF!,Data_2014_N!D23,Data_2017!D23)</f>
        <v>3</v>
      </c>
      <c r="E23" s="133" t="str">
        <f>tblIndicators!E19</f>
        <v>HESE2.1</v>
      </c>
      <c r="F23" s="133" t="str">
        <f>tblIndicators!H19</f>
        <v>No. of doctors per 1,000</v>
      </c>
      <c r="G23" s="133">
        <f>tblIndicators!Z19</f>
        <v>2</v>
      </c>
      <c r="H23" s="105" t="str">
        <f>REPT(" ",D23)&amp;CHOOSE(uxb_works!$B$46,#REF!,Data_2014_N!H23,Data_2017!H23)</f>
        <v>      2.1.4) No. of doctors per 1,000</v>
      </c>
      <c r="I23" s="319" t="str">
        <f>IF(CHOOSE(uxb_works!$B$46,#REF!,Data_2014_N!I23,Data_2017!I23)="","",CHOOSE(uxb_works!$B$46,#REF!,Data_2014_N!I23,Data_2017!I23))</f>
        <v>#/1000</v>
      </c>
      <c r="J23" s="148">
        <f>IF(CHOOSE(uxb_works!$B$46,"-",Data_2014_N!J23,Data_2017!J23)="","",CHOOSE(uxb_works!$B$46,"-",Data_2014_N!J23,Data_2017!J23))</f>
        <v>1.558</v>
      </c>
      <c r="K23" s="148">
        <f>IF(CHOOSE(uxb_works!$B$46,"-",Data_2014_N!K23,Data_2017!K23)="","",CHOOSE(uxb_works!$B$46,"-",Data_2014_N!K23,Data_2017!K23))</f>
        <v>3.352</v>
      </c>
      <c r="L23" s="148">
        <f>IF(CHOOSE(uxb_works!$B$46,"-",Data_2014_N!L23,Data_2017!L23)="","",CHOOSE(uxb_works!$B$46,"-",Data_2014_N!L23,Data_2017!L23))</f>
        <v>6.255</v>
      </c>
      <c r="M23" s="148">
        <f>IF(CHOOSE(uxb_works!$B$46,"-",Data_2014_N!M23,Data_2017!M23)="","",CHOOSE(uxb_works!$B$46,"-",Data_2014_N!M23,Data_2017!M23))</f>
        <v>0.394</v>
      </c>
      <c r="N23" s="148">
        <f>IF(CHOOSE(uxb_works!$B$46,"-",Data_2014_N!N23,Data_2017!N23)="","",CHOOSE(uxb_works!$B$46,"-",Data_2014_N!N23,Data_2017!N23))</f>
        <v>3.819</v>
      </c>
      <c r="O23" s="148">
        <f>IF(CHOOSE(uxb_works!$B$46,"-",Data_2014_N!O23,Data_2017!O23)="","",CHOOSE(uxb_works!$B$46,"-",Data_2014_N!O23,Data_2017!O23))</f>
        <v>3.9</v>
      </c>
      <c r="P23" s="148">
        <f>IF(CHOOSE(uxb_works!$B$46,"-",Data_2014_N!P23,Data_2017!P23)="","",CHOOSE(uxb_works!$B$46,"-",Data_2014_N!P23,Data_2017!P23))</f>
        <v>1.568</v>
      </c>
      <c r="Q23" s="148">
        <f>IF(CHOOSE(uxb_works!$B$46,"-",Data_2014_N!Q23,Data_2017!Q23)="","",CHOOSE(uxb_works!$B$46,"-",Data_2014_N!Q23,Data_2017!Q23))</f>
        <v>2.971</v>
      </c>
      <c r="R23" s="148">
        <f>IF(CHOOSE(uxb_works!$B$46,"-",Data_2014_N!R23,Data_2017!R23)="","",CHOOSE(uxb_works!$B$46,"-",Data_2014_N!R23,Data_2017!R23))</f>
        <v>3.762</v>
      </c>
      <c r="S23" s="148">
        <f>IF(CHOOSE(uxb_works!$B$46,"-",Data_2014_N!S23,Data_2017!S23)="","",CHOOSE(uxb_works!$B$46,"-",Data_2014_N!S23,Data_2017!S23))</f>
        <v>0.814</v>
      </c>
      <c r="T23" s="148">
        <f>IF(CHOOSE(uxb_works!$B$46,"-",Data_2014_N!T23,Data_2017!T23)="","",CHOOSE(uxb_works!$B$46,"-",Data_2014_N!T23,Data_2017!T23))</f>
        <v>1.925</v>
      </c>
      <c r="U23" s="148">
        <f>IF(CHOOSE(uxb_works!$B$46,"-",Data_2014_N!U23,Data_2017!U23)="","",CHOOSE(uxb_works!$B$46,"-",Data_2014_N!U23,Data_2017!U23))</f>
        <v>0.618</v>
      </c>
      <c r="V23" s="148">
        <f>IF(CHOOSE(uxb_works!$B$46,"-",Data_2014_N!V23,Data_2017!V23)="","",CHOOSE(uxb_works!$B$46,"-",Data_2014_N!V23,Data_2017!V23))</f>
        <v>2.715</v>
      </c>
      <c r="W23" s="148">
        <f>IF(CHOOSE(uxb_works!$B$46,"-",Data_2014_N!W23,Data_2017!W23)="","",CHOOSE(uxb_works!$B$46,"-",Data_2014_N!W23,Data_2017!W23))</f>
        <v>2.133</v>
      </c>
      <c r="X23" s="148">
        <f>IF(CHOOSE(uxb_works!$B$46,"-",Data_2014_N!X23,Data_2017!X23)="","",CHOOSE(uxb_works!$B$46,"-",Data_2014_N!X23,Data_2017!X23))</f>
        <v>0.725</v>
      </c>
      <c r="Y23" s="148">
        <f>IF(CHOOSE(uxb_works!$B$46,"-",Data_2014_N!Y23,Data_2017!Y23)="","",CHOOSE(uxb_works!$B$46,"-",Data_2014_N!Y23,Data_2017!Y23))</f>
        <v>0.389</v>
      </c>
      <c r="Z23" s="148">
        <f>IF(CHOOSE(uxb_works!$B$46,"-",Data_2014_N!Z23,Data_2017!Z23)="","",CHOOSE(uxb_works!$B$46,"-",Data_2014_N!Z23,Data_2017!Z23))</f>
        <v>1.964</v>
      </c>
      <c r="AA23" s="148">
        <f>IF(CHOOSE(uxb_works!$B$46,"-",Data_2014_N!AA23,Data_2017!AA23)="","",CHOOSE(uxb_works!$B$46,"-",Data_2014_N!AA23,Data_2017!AA23))</f>
        <v>4.125</v>
      </c>
      <c r="AB23" s="148">
        <f>IF(CHOOSE(uxb_works!$B$46,"-",Data_2014_N!AB23,Data_2017!AB23)="","",CHOOSE(uxb_works!$B$46,"-",Data_2014_N!AB23,Data_2017!AB23))</f>
        <v>1.18</v>
      </c>
      <c r="AC23" s="148">
        <f>IF(CHOOSE(uxb_works!$B$46,"-",Data_2014_N!AC23,Data_2017!AC23)="","",CHOOSE(uxb_works!$B$46,"-",Data_2014_N!AC23,Data_2017!AC23))</f>
        <v>1.9</v>
      </c>
      <c r="AD23" s="148">
        <f>IF(CHOOSE(uxb_works!$B$46,"-",Data_2014_N!AD23,Data_2017!AD23)="","",CHOOSE(uxb_works!$B$46,"-",Data_2014_N!AD23,Data_2017!AD23))</f>
        <v>1.749</v>
      </c>
      <c r="AE23" s="148">
        <f>IF(CHOOSE(uxb_works!$B$46,"-",Data_2014_N!AE23,Data_2017!AE23)="","",CHOOSE(uxb_works!$B$46,"-",Data_2014_N!AE23,Data_2017!AE23))</f>
        <v>0.201</v>
      </c>
      <c r="AF23" s="148">
        <f>IF(CHOOSE(uxb_works!$B$46,"-",Data_2014_N!AF23,Data_2017!AF23)="","",CHOOSE(uxb_works!$B$46,"-",Data_2014_N!AF23,Data_2017!AF23))</f>
        <v>2.20877688189056</v>
      </c>
      <c r="AG23" s="148">
        <f>IF(CHOOSE(uxb_works!$B$46,"-",Data_2014_N!AG23,Data_2017!AG23)="","",CHOOSE(uxb_works!$B$46,"-",Data_2014_N!AG23,Data_2017!AG23))</f>
        <v>0.767</v>
      </c>
      <c r="AH23" s="148">
        <f>IF(CHOOSE(uxb_works!$B$46,"-",Data_2014_N!AH23,Data_2017!AH23)="","",CHOOSE(uxb_works!$B$46,"-",Data_2014_N!AH23,Data_2017!AH23))</f>
        <v>0.806</v>
      </c>
      <c r="AI23" s="148">
        <f>IF(CHOOSE(uxb_works!$B$46,"-",Data_2014_N!AI23,Data_2017!AI23)="","",CHOOSE(uxb_works!$B$46,"-",Data_2014_N!AI23,Data_2017!AI23))</f>
        <v>1.281</v>
      </c>
      <c r="AJ23" s="148">
        <f>IF(CHOOSE(uxb_works!$B$46,"-",Data_2014_N!AJ23,Data_2017!AJ23)="","",CHOOSE(uxb_works!$B$46,"-",Data_2014_N!AJ23,Data_2017!AJ23))</f>
        <v>1.949</v>
      </c>
      <c r="AK23" s="148" t="e">
        <f>IF(CHOOSE(uxb_works!$B$46,"-",Data_2014_N!AK23,Data_2017!#REF!)="","",CHOOSE(uxb_works!$B$46,"-",Data_2014_N!AK23,Data_2017!#REF!))</f>
        <v>#REF!</v>
      </c>
      <c r="AL23" s="148">
        <f>IF(CHOOSE(uxb_works!$B$46,"-",Data_2014_N!AL23,Data_2017!AK23)="","",CHOOSE(uxb_works!$B$46,"-",Data_2014_N!AL23,Data_2017!AK23))</f>
        <v>1.116</v>
      </c>
      <c r="AM23" s="148">
        <f>IF(CHOOSE(uxb_works!$B$46,"-",Data_2014_N!AM23,Data_2017!AL23)="","",CHOOSE(uxb_works!$B$46,"-",Data_2014_N!AM23,Data_2017!AL23))</f>
        <v>2.806</v>
      </c>
      <c r="AN23" s="148">
        <f>IF(CHOOSE(uxb_works!$B$46,"-",Data_2014_N!AN23,Data_2017!AM23)="","",CHOOSE(uxb_works!$B$46,"-",Data_2014_N!AN23,Data_2017!AM23))</f>
        <v>2.625</v>
      </c>
      <c r="AO23" s="148">
        <f>IF(CHOOSE(uxb_works!$B$46,"-",Data_2014_N!AO23,Data_2017!AN23)="","",CHOOSE(uxb_works!$B$46,"-",Data_2014_N!AO23,Data_2017!AN23))</f>
        <v>3.819</v>
      </c>
      <c r="AP23" s="148">
        <f>IF(CHOOSE(uxb_works!$B$46,"-",Data_2014_N!AP23,Data_2017!AO23)="","",CHOOSE(uxb_works!$B$46,"-",Data_2014_N!AP23,Data_2017!AO23))</f>
        <v>1.11</v>
      </c>
      <c r="AQ23" s="148">
        <f>IF(CHOOSE(uxb_works!$B$46,"-",Data_2014_N!AQ23,Data_2017!AP23)="","",CHOOSE(uxb_works!$B$46,"-",Data_2014_N!AQ23,Data_2017!AP23))</f>
        <v>3.374</v>
      </c>
      <c r="AR23" s="148">
        <f>IF(CHOOSE(uxb_works!$B$46,"-",Data_2014_N!AR23,Data_2017!AQ23)="","",CHOOSE(uxb_works!$B$46,"-",Data_2014_N!AR23,Data_2017!AQ23))</f>
        <v>2.071</v>
      </c>
      <c r="AS23" s="148">
        <f>IF(CHOOSE(uxb_works!$B$46,"-",Data_2014_N!AS23,Data_2017!AR23)="","",CHOOSE(uxb_works!$B$46,"-",Data_2014_N!AS23,Data_2017!AR23))</f>
        <v>3.945</v>
      </c>
      <c r="AT23" s="148">
        <f>IF(CHOOSE(uxb_works!$B$46,"-",Data_2014_N!AT23,Data_2017!AS23)="","",CHOOSE(uxb_works!$B$46,"-",Data_2014_N!AT23,Data_2017!AS23))</f>
        <v>3.306</v>
      </c>
      <c r="AU23" s="148">
        <f>IF(CHOOSE(uxb_works!$B$46,"-",Data_2014_N!AU23,Data_2017!AT23)="","",CHOOSE(uxb_works!$B$46,"-",Data_2014_N!AU23,Data_2017!AT23))</f>
        <v>0.725</v>
      </c>
      <c r="AV23" s="148">
        <f>IF(CHOOSE(uxb_works!$B$46,"-",Data_2014_N!AV23,Data_2017!AU23)="","",CHOOSE(uxb_works!$B$46,"-",Data_2014_N!AV23,Data_2017!AU23))</f>
        <v>3.538</v>
      </c>
      <c r="AW23" s="148">
        <f>IF(CHOOSE(uxb_works!$B$46,"-",Data_2014_N!AW23,Data_2017!AV23)="","",CHOOSE(uxb_works!$B$46,"-",Data_2014_N!AW23,Data_2017!AV23))</f>
        <v>2.746</v>
      </c>
      <c r="AX23" s="148">
        <f>IF(CHOOSE(uxb_works!$B$46,"-",Data_2014_N!AX23,Data_2017!AW23)="","",CHOOSE(uxb_works!$B$46,"-",Data_2014_N!AX23,Data_2017!AW23))</f>
        <v>3.227</v>
      </c>
      <c r="AY23" s="148">
        <f>IF(CHOOSE(uxb_works!$B$46,"-",Data_2014_N!AY23,Data_2017!AX23)="","",CHOOSE(uxb_works!$B$46,"-",Data_2014_N!AY23,Data_2017!AX23))</f>
        <v>1.665</v>
      </c>
      <c r="AZ23" s="148">
        <f>IF(CHOOSE(uxb_works!$B$46,"-",Data_2014_N!AZ23,Data_2017!AY23)="","",CHOOSE(uxb_works!$B$46,"-",Data_2014_N!AZ23,Data_2017!AY23))</f>
        <v>1.852</v>
      </c>
      <c r="BA23" s="148">
        <f>IF(CHOOSE(uxb_works!$B$46,"-",Data_2014_N!BA23,Data_2017!AZ23)="","",CHOOSE(uxb_works!$B$46,"-",Data_2014_N!BA23,Data_2017!AZ23))</f>
        <v>2.1249284451332</v>
      </c>
      <c r="BB23" s="148">
        <f>IF(CHOOSE(uxb_works!$B$46,"-",Data_2014_N!BB23,Data_2017!BA23)="","",CHOOSE(uxb_works!$B$46,"-",Data_2014_N!BB23,Data_2017!BA23))</f>
        <v>3.945</v>
      </c>
      <c r="BC23" s="148">
        <f>IF(CHOOSE(uxb_works!$B$46,"-",Data_2014_N!BC23,Data_2017!BB23)="","",CHOOSE(uxb_works!$B$46,"-",Data_2014_N!BC23,Data_2017!BB23))</f>
        <v>2.625</v>
      </c>
      <c r="BD23" s="148">
        <f>IF(CHOOSE(uxb_works!$B$46,"-",Data_2014_N!BD23,Data_2017!BC23)="","",CHOOSE(uxb_works!$B$46,"-",Data_2014_N!BD23,Data_2017!BC23))</f>
        <v>1.033</v>
      </c>
      <c r="BE23" s="148">
        <f>IF(CHOOSE(uxb_works!$B$46,"-",Data_2014_N!BE23,Data_2017!BD23)="","",CHOOSE(uxb_works!$B$46,"-",Data_2014_N!BE23,Data_2017!BD23))</f>
        <v>1.852</v>
      </c>
      <c r="BF23" s="148">
        <f>IF(CHOOSE(uxb_works!$B$46,"-",Data_2014_N!BF23,Data_2017!BE23)="","",CHOOSE(uxb_works!$B$46,"-",Data_2014_N!BF23,Data_2017!BE23))</f>
        <v>2.231</v>
      </c>
      <c r="BG23" s="148">
        <f>IF(CHOOSE(uxb_works!$B$46,"-",Data_2014_N!BG23,Data_2017!BF23)="","",CHOOSE(uxb_works!$B$46,"-",Data_2014_N!BG23,Data_2017!BF23))</f>
        <v>2.6</v>
      </c>
      <c r="BH23" s="148">
        <f>IF(CHOOSE(uxb_works!$B$46,"-",Data_2014_N!BH23,Data_2017!BG23)="","",CHOOSE(uxb_works!$B$46,"-",Data_2014_N!BH23,Data_2017!BG23))</f>
        <v>1.913</v>
      </c>
      <c r="BI23" s="148">
        <f>IF(CHOOSE(uxb_works!$B$46,"-",Data_2014_N!BI23,Data_2017!BH23)="","",CHOOSE(uxb_works!$B$46,"-",Data_2014_N!BI23,Data_2017!BH23))</f>
        <v>4.107</v>
      </c>
      <c r="BJ23" s="148">
        <f>IF(CHOOSE(uxb_works!$B$46,"-",Data_2014_N!BJ23,Data_2017!BI23)="","",CHOOSE(uxb_works!$B$46,"-",Data_2014_N!BJ23,Data_2017!BI23))</f>
        <v>3.374</v>
      </c>
      <c r="BK23" s="148">
        <f>IF(CHOOSE(uxb_works!$B$46,"-",Data_2014_N!BK23,Data_2017!BJ23)="","",CHOOSE(uxb_works!$B$46,"-",Data_2014_N!BK23,Data_2017!BJ23))</f>
        <v>1.36713479490806</v>
      </c>
      <c r="BL23" s="148">
        <f>IF(CHOOSE(uxb_works!$B$46,"-",Data_2014_N!BL23,Data_2017!BK23)="","",CHOOSE(uxb_works!$B$46,"-",Data_2014_N!BL23,Data_2017!BK23))</f>
        <v>1.491</v>
      </c>
      <c r="BM23" s="148">
        <f>IF(CHOOSE(uxb_works!$B$46,"-",Data_2014_N!BM23,Data_2017!BL23)="","",CHOOSE(uxb_works!$B$46,"-",Data_2014_N!BM23,Data_2017!BL23))</f>
        <v>3.234</v>
      </c>
      <c r="BN23" s="148">
        <f>IF(CHOOSE(uxb_works!$B$46,"-",Data_2014_N!BN23,Data_2017!BM23)="","",CHOOSE(uxb_works!$B$46,"-",Data_2014_N!BN23,Data_2017!BM23))</f>
        <v>2.477</v>
      </c>
      <c r="BO23" s="148">
        <f>IF(CHOOSE(uxb_works!$B$46,"-",Data_2014_N!BO23,Data_2017!BN23)="","",CHOOSE(uxb_works!$B$46,"-",Data_2014_N!BO23,Data_2017!BN23))</f>
        <v>8.493</v>
      </c>
      <c r="BP23" s="148">
        <f>IF(CHOOSE(uxb_works!$B$46,"-",Data_2014_N!BP23,Data_2017!BO23)="","",CHOOSE(uxb_works!$B$46,"-",Data_2014_N!BP23,Data_2017!BO23))</f>
        <v>2.852</v>
      </c>
      <c r="BQ23" s="148">
        <f>IF(CHOOSE(uxb_works!$B$46,"-",Data_2014_N!BQ23,Data_2017!BP23)="","",CHOOSE(uxb_works!$B$46,"-",Data_2014_N!BQ23,Data_2017!BP23))</f>
        <v>0.568</v>
      </c>
      <c r="BR23" s="325">
        <f>IF(CHOOSE(uxb_works!$B$46,"-",Data_2014_N!BR23,Data_2017!BR23)="","",CHOOSE(uxb_works!$B$46,"-",Data_2014_N!BR23,Data_2017!BR23))</f>
        <v>3.263</v>
      </c>
      <c r="CC23" s="112">
        <v>2.58</v>
      </c>
      <c r="CD23" s="112">
        <v>3.48</v>
      </c>
      <c r="CE23" s="112">
        <v>2.39</v>
      </c>
      <c r="CF23" s="112">
        <v>0.9</v>
      </c>
      <c r="CG23" s="112">
        <v>7.64</v>
      </c>
    </row>
    <row r="24" s="112" customFormat="1" ht="22.5" customHeight="1" spans="1:85">
      <c r="A24"/>
      <c r="B24" s="133">
        <f>tblIndicators!A20</f>
        <v>19</v>
      </c>
      <c r="C24" s="133">
        <f>tblIndicators!B20</f>
        <v>0</v>
      </c>
      <c r="D24" s="310">
        <f>CHOOSE(uxb_works!$B$46,#REF!,Data_2014_N!D24,Data_2017!D24)</f>
        <v>3</v>
      </c>
      <c r="E24" s="133" t="str">
        <f>tblIndicators!E20</f>
        <v>HESE2.1</v>
      </c>
      <c r="F24" s="133" t="str">
        <f>tblIndicators!H20</f>
        <v>Access to safe and quality food</v>
      </c>
      <c r="G24" s="133">
        <f>tblIndicators!Z20</f>
        <v>3</v>
      </c>
      <c r="H24" s="105" t="str">
        <f>REPT(" ",D24)&amp;CHOOSE(uxb_works!$B$46,#REF!,Data_2014_N!H24,Data_2017!H24)</f>
        <v>      2.1.5) Access to safe and quality food</v>
      </c>
      <c r="I24" s="319" t="str">
        <f>IF(CHOOSE(uxb_works!$B$46,#REF!,Data_2014_N!I24,Data_2017!I24)="","",CHOOSE(uxb_works!$B$46,#REF!,Data_2014_N!I24,Data_2017!I24))</f>
        <v>Scale 0 - 100</v>
      </c>
      <c r="J24" s="148">
        <f>IF(CHOOSE(uxb_works!$B$46,"-",Data_2014_N!J24,Data_2017!J24)="","",CHOOSE(uxb_works!$B$46,"-",Data_2014_N!J24,Data_2017!J24))</f>
        <v>99.7</v>
      </c>
      <c r="K24" s="148">
        <f>IF(CHOOSE(uxb_works!$B$46,"-",Data_2014_N!K24,Data_2017!K24)="","",CHOOSE(uxb_works!$B$46,"-",Data_2014_N!K24,Data_2017!K24))</f>
        <v>100</v>
      </c>
      <c r="L24" s="148">
        <f>IF(CHOOSE(uxb_works!$B$46,"-",Data_2014_N!L24,Data_2017!L24)="","",CHOOSE(uxb_works!$B$46,"-",Data_2014_N!L24,Data_2017!L24))</f>
        <v>100</v>
      </c>
      <c r="M24" s="148">
        <f>IF(CHOOSE(uxb_works!$B$46,"-",Data_2014_N!M24,Data_2017!M24)="","",CHOOSE(uxb_works!$B$46,"-",Data_2014_N!M24,Data_2017!M24))</f>
        <v>98.2</v>
      </c>
      <c r="N24" s="148">
        <f>IF(CHOOSE(uxb_works!$B$46,"-",Data_2014_N!N24,Data_2017!N24)="","",CHOOSE(uxb_works!$B$46,"-",Data_2014_N!N24,Data_2017!N24))</f>
        <v>100</v>
      </c>
      <c r="O24" s="148">
        <f>IF(CHOOSE(uxb_works!$B$46,"-",Data_2014_N!O24,Data_2017!O24)="","",CHOOSE(uxb_works!$B$46,"-",Data_2014_N!O24,Data_2017!O24))</f>
        <v>96.2</v>
      </c>
      <c r="P24" s="148">
        <f>IF(CHOOSE(uxb_works!$B$46,"-",Data_2014_N!P24,Data_2017!P24)="","",CHOOSE(uxb_works!$B$46,"-",Data_2014_N!P24,Data_2017!P24))</f>
        <v>92.8</v>
      </c>
      <c r="Q24" s="148">
        <f>IF(CHOOSE(uxb_works!$B$46,"-",Data_2014_N!Q24,Data_2017!Q24)="","",CHOOSE(uxb_works!$B$46,"-",Data_2014_N!Q24,Data_2017!Q24))</f>
        <v>100</v>
      </c>
      <c r="R24" s="148">
        <f>IF(CHOOSE(uxb_works!$B$46,"-",Data_2014_N!R24,Data_2017!R24)="","",CHOOSE(uxb_works!$B$46,"-",Data_2014_N!R24,Data_2017!R24))</f>
        <v>99.2</v>
      </c>
      <c r="S24" s="148">
        <f>IF(CHOOSE(uxb_works!$B$46,"-",Data_2014_N!S24,Data_2017!S24)="","",CHOOSE(uxb_works!$B$46,"-",Data_2014_N!S24,Data_2017!S24))</f>
        <v>99.5</v>
      </c>
      <c r="T24" s="148">
        <f>IF(CHOOSE(uxb_works!$B$46,"-",Data_2014_N!T24,Data_2017!T24)="","",CHOOSE(uxb_works!$B$46,"-",Data_2014_N!T24,Data_2017!T24))</f>
        <v>94.2</v>
      </c>
      <c r="U24" s="148">
        <f>IF(CHOOSE(uxb_works!$B$46,"-",Data_2014_N!U24,Data_2017!U24)="","",CHOOSE(uxb_works!$B$46,"-",Data_2014_N!U24,Data_2017!U24))</f>
        <v>87.7</v>
      </c>
      <c r="V24" s="148">
        <f>IF(CHOOSE(uxb_works!$B$46,"-",Data_2014_N!V24,Data_2017!V24)="","",CHOOSE(uxb_works!$B$46,"-",Data_2014_N!V24,Data_2017!V24))</f>
        <v>99.3</v>
      </c>
      <c r="W24" s="148">
        <f>IF(CHOOSE(uxb_works!$B$46,"-",Data_2014_N!W24,Data_2017!W24)="","",CHOOSE(uxb_works!$B$46,"-",Data_2014_N!W24,Data_2017!W24))</f>
        <v>99.3</v>
      </c>
      <c r="X24" s="148">
        <f>IF(CHOOSE(uxb_works!$B$46,"-",Data_2014_N!X24,Data_2017!X24)="","",CHOOSE(uxb_works!$B$46,"-",Data_2014_N!X24,Data_2017!X24))</f>
        <v>82.5</v>
      </c>
      <c r="Y24" s="148">
        <f>IF(CHOOSE(uxb_works!$B$46,"-",Data_2014_N!Y24,Data_2017!Y24)="","",CHOOSE(uxb_works!$B$46,"-",Data_2014_N!Y24,Data_2017!Y24))</f>
        <v>76.5</v>
      </c>
      <c r="Z24" s="148">
        <f>IF(CHOOSE(uxb_works!$B$46,"-",Data_2014_N!Z24,Data_2017!Z24)="","",CHOOSE(uxb_works!$B$46,"-",Data_2014_N!Z24,Data_2017!Z24))</f>
        <v>87.5</v>
      </c>
      <c r="AA24" s="148">
        <f>IF(CHOOSE(uxb_works!$B$46,"-",Data_2014_N!AA24,Data_2017!AA24)="","",CHOOSE(uxb_works!$B$46,"-",Data_2014_N!AA24,Data_2017!AA24))</f>
        <v>100</v>
      </c>
      <c r="AB24" s="148">
        <f>IF(CHOOSE(uxb_works!$B$46,"-",Data_2014_N!AB24,Data_2017!AB24)="","",CHOOSE(uxb_works!$B$46,"-",Data_2014_N!AB24,Data_2017!AB24))</f>
        <v>85.5</v>
      </c>
      <c r="AC24" s="148">
        <f>IF(CHOOSE(uxb_works!$B$46,"-",Data_2014_N!AC24,Data_2017!AC24)="","",CHOOSE(uxb_works!$B$46,"-",Data_2014_N!AC24,Data_2017!AC24))</f>
        <v>96.2</v>
      </c>
      <c r="AD24" s="148">
        <f>IF(CHOOSE(uxb_works!$B$46,"-",Data_2014_N!AD24,Data_2017!AD24)="","",CHOOSE(uxb_works!$B$46,"-",Data_2014_N!AD24,Data_2017!AD24))</f>
        <v>100</v>
      </c>
      <c r="AE24" s="148">
        <f>IF(CHOOSE(uxb_works!$B$46,"-",Data_2014_N!AE24,Data_2017!AE24)="","",CHOOSE(uxb_works!$B$46,"-",Data_2014_N!AE24,Data_2017!AE24))</f>
        <v>76.9</v>
      </c>
      <c r="AF24" s="148">
        <f>IF(CHOOSE(uxb_works!$B$46,"-",Data_2014_N!AF24,Data_2017!AF24)="","",CHOOSE(uxb_works!$B$46,"-",Data_2014_N!AF24,Data_2017!AF24))</f>
        <v>97.5</v>
      </c>
      <c r="AG24" s="148">
        <f>IF(CHOOSE(uxb_works!$B$46,"-",Data_2014_N!AG24,Data_2017!AG24)="","",CHOOSE(uxb_works!$B$46,"-",Data_2014_N!AG24,Data_2017!AG24))</f>
        <v>94.3</v>
      </c>
      <c r="AH24" s="148">
        <f>IF(CHOOSE(uxb_works!$B$46,"-",Data_2014_N!AH24,Data_2017!AH24)="","",CHOOSE(uxb_works!$B$46,"-",Data_2014_N!AH24,Data_2017!AH24))</f>
        <v>48.1</v>
      </c>
      <c r="AI24" s="148">
        <f>IF(CHOOSE(uxb_works!$B$46,"-",Data_2014_N!AI24,Data_2017!AI24)="","",CHOOSE(uxb_works!$B$46,"-",Data_2014_N!AI24,Data_2017!AI24))</f>
        <v>98.5</v>
      </c>
      <c r="AJ24" s="148">
        <f>IF(CHOOSE(uxb_works!$B$46,"-",Data_2014_N!AJ24,Data_2017!AJ24)="","",CHOOSE(uxb_works!$B$46,"-",Data_2014_N!AJ24,Data_2017!AJ24))</f>
        <v>99.2</v>
      </c>
      <c r="AK24" s="148" t="e">
        <f>IF(CHOOSE(uxb_works!$B$46,"-",Data_2014_N!AK24,Data_2017!#REF!)="","",CHOOSE(uxb_works!$B$46,"-",Data_2014_N!AK24,Data_2017!#REF!))</f>
        <v>#REF!</v>
      </c>
      <c r="AL24" s="148">
        <f>IF(CHOOSE(uxb_works!$B$46,"-",Data_2014_N!AL24,Data_2017!AK24)="","",CHOOSE(uxb_works!$B$46,"-",Data_2014_N!AL24,Data_2017!AK24))</f>
        <v>88.8</v>
      </c>
      <c r="AM24" s="148">
        <f>IF(CHOOSE(uxb_works!$B$46,"-",Data_2014_N!AM24,Data_2017!AL24)="","",CHOOSE(uxb_works!$B$46,"-",Data_2014_N!AM24,Data_2017!AL24))</f>
        <v>100</v>
      </c>
      <c r="AN24" s="148">
        <f>IF(CHOOSE(uxb_works!$B$46,"-",Data_2014_N!AN24,Data_2017!AM24)="","",CHOOSE(uxb_works!$B$46,"-",Data_2014_N!AN24,Data_2017!AM24))</f>
        <v>99.3</v>
      </c>
      <c r="AO24" s="148">
        <f>IF(CHOOSE(uxb_works!$B$46,"-",Data_2014_N!AO24,Data_2017!AN24)="","",CHOOSE(uxb_works!$B$46,"-",Data_2014_N!AO24,Data_2017!AN24))</f>
        <v>100</v>
      </c>
      <c r="AP24" s="148">
        <f>IF(CHOOSE(uxb_works!$B$46,"-",Data_2014_N!AP24,Data_2017!AO24)="","",CHOOSE(uxb_works!$B$46,"-",Data_2014_N!AP24,Data_2017!AO24))</f>
        <v>93.1</v>
      </c>
      <c r="AQ24" s="148">
        <f>IF(CHOOSE(uxb_works!$B$46,"-",Data_2014_N!AQ24,Data_2017!AP24)="","",CHOOSE(uxb_works!$B$46,"-",Data_2014_N!AQ24,Data_2017!AP24))</f>
        <v>100</v>
      </c>
      <c r="AR24" s="148">
        <f>IF(CHOOSE(uxb_works!$B$46,"-",Data_2014_N!AR24,Data_2017!AQ24)="","",CHOOSE(uxb_works!$B$46,"-",Data_2014_N!AR24,Data_2017!AQ24))</f>
        <v>96.7</v>
      </c>
      <c r="AS24" s="148">
        <f>IF(CHOOSE(uxb_works!$B$46,"-",Data_2014_N!AS24,Data_2017!AR24)="","",CHOOSE(uxb_works!$B$46,"-",Data_2014_N!AS24,Data_2017!AR24))</f>
        <v>100</v>
      </c>
      <c r="AT24" s="148">
        <f>IF(CHOOSE(uxb_works!$B$46,"-",Data_2014_N!AT24,Data_2017!AS24)="","",CHOOSE(uxb_works!$B$46,"-",Data_2014_N!AT24,Data_2017!AS24))</f>
        <v>97.4</v>
      </c>
      <c r="AU24" s="148">
        <f>IF(CHOOSE(uxb_works!$B$46,"-",Data_2014_N!AU24,Data_2017!AT24)="","",CHOOSE(uxb_works!$B$46,"-",Data_2014_N!AU24,Data_2017!AT24))</f>
        <v>82.5</v>
      </c>
      <c r="AV24" s="148">
        <f>IF(CHOOSE(uxb_works!$B$46,"-",Data_2014_N!AV24,Data_2017!AU24)="","",CHOOSE(uxb_works!$B$46,"-",Data_2014_N!AV24,Data_2017!AU24))</f>
        <v>99.3</v>
      </c>
      <c r="AW24" s="148">
        <f>IF(CHOOSE(uxb_works!$B$46,"-",Data_2014_N!AW24,Data_2017!AV24)="","",CHOOSE(uxb_works!$B$46,"-",Data_2014_N!AW24,Data_2017!AV24))</f>
        <v>100</v>
      </c>
      <c r="AX24" s="148">
        <f>IF(CHOOSE(uxb_works!$B$46,"-",Data_2014_N!AX24,Data_2017!AW24)="","",CHOOSE(uxb_works!$B$46,"-",Data_2014_N!AX24,Data_2017!AW24))</f>
        <v>100</v>
      </c>
      <c r="AY24" s="148">
        <f>IF(CHOOSE(uxb_works!$B$46,"-",Data_2014_N!AY24,Data_2017!AX24)="","",CHOOSE(uxb_works!$B$46,"-",Data_2014_N!AY24,Data_2017!AX24))</f>
        <v>89</v>
      </c>
      <c r="AZ24" s="148">
        <f>IF(CHOOSE(uxb_works!$B$46,"-",Data_2014_N!AZ24,Data_2017!AY24)="","",CHOOSE(uxb_works!$B$46,"-",Data_2014_N!AZ24,Data_2017!AY24))</f>
        <v>98.4</v>
      </c>
      <c r="BA24" s="148">
        <f>IF(CHOOSE(uxb_works!$B$46,"-",Data_2014_N!BA24,Data_2017!AZ24)="","",CHOOSE(uxb_works!$B$46,"-",Data_2014_N!BA24,Data_2017!AZ24))</f>
        <v>97.5</v>
      </c>
      <c r="BB24" s="148">
        <f>IF(CHOOSE(uxb_works!$B$46,"-",Data_2014_N!BB24,Data_2017!BA24)="","",CHOOSE(uxb_works!$B$46,"-",Data_2014_N!BB24,Data_2017!BA24))</f>
        <v>100</v>
      </c>
      <c r="BC24" s="148">
        <f>IF(CHOOSE(uxb_works!$B$46,"-",Data_2014_N!BC24,Data_2017!BB24)="","",CHOOSE(uxb_works!$B$46,"-",Data_2014_N!BC24,Data_2017!BB24))</f>
        <v>99.3</v>
      </c>
      <c r="BD24" s="148">
        <f>IF(CHOOSE(uxb_works!$B$46,"-",Data_2014_N!BD24,Data_2017!BC24)="","",CHOOSE(uxb_works!$B$46,"-",Data_2014_N!BD24,Data_2017!BC24))</f>
        <v>99.2</v>
      </c>
      <c r="BE24" s="148">
        <f>IF(CHOOSE(uxb_works!$B$46,"-",Data_2014_N!BE24,Data_2017!BD24)="","",CHOOSE(uxb_works!$B$46,"-",Data_2014_N!BE24,Data_2017!BD24))</f>
        <v>98.4</v>
      </c>
      <c r="BF24" s="148">
        <f>IF(CHOOSE(uxb_works!$B$46,"-",Data_2014_N!BF24,Data_2017!BE24)="","",CHOOSE(uxb_works!$B$46,"-",Data_2014_N!BF24,Data_2017!BE24))</f>
        <v>99.7</v>
      </c>
      <c r="BG24" s="148">
        <f>IF(CHOOSE(uxb_works!$B$46,"-",Data_2014_N!BG24,Data_2017!BF24)="","",CHOOSE(uxb_works!$B$46,"-",Data_2014_N!BG24,Data_2017!BF24))</f>
        <v>96.2</v>
      </c>
      <c r="BH24" s="148">
        <f>IF(CHOOSE(uxb_works!$B$46,"-",Data_2014_N!BH24,Data_2017!BG24)="","",CHOOSE(uxb_works!$B$46,"-",Data_2014_N!BH24,Data_2017!BG24))</f>
        <v>100</v>
      </c>
      <c r="BI24" s="148">
        <f>IF(CHOOSE(uxb_works!$B$46,"-",Data_2014_N!BI24,Data_2017!BH24)="","",CHOOSE(uxb_works!$B$46,"-",Data_2014_N!BI24,Data_2017!BH24))</f>
        <v>100</v>
      </c>
      <c r="BJ24" s="148">
        <f>IF(CHOOSE(uxb_works!$B$46,"-",Data_2014_N!BJ24,Data_2017!BI24)="","",CHOOSE(uxb_works!$B$46,"-",Data_2014_N!BJ24,Data_2017!BI24))</f>
        <v>100</v>
      </c>
      <c r="BK24" s="148">
        <f>IF(CHOOSE(uxb_works!$B$46,"-",Data_2014_N!BK24,Data_2017!BJ24)="","",CHOOSE(uxb_works!$B$46,"-",Data_2014_N!BK24,Data_2017!BJ24))</f>
        <v>96.2</v>
      </c>
      <c r="BL24" s="148">
        <f>IF(CHOOSE(uxb_works!$B$46,"-",Data_2014_N!BL24,Data_2017!BK24)="","",CHOOSE(uxb_works!$B$46,"-",Data_2014_N!BL24,Data_2017!BK24))</f>
        <v>84.9</v>
      </c>
      <c r="BM24" s="148">
        <f>IF(CHOOSE(uxb_works!$B$46,"-",Data_2014_N!BM24,Data_2017!BL24)="","",CHOOSE(uxb_works!$B$46,"-",Data_2014_N!BM24,Data_2017!BL24))</f>
        <v>100</v>
      </c>
      <c r="BN24" s="148">
        <f>IF(CHOOSE(uxb_works!$B$46,"-",Data_2014_N!BN24,Data_2017!BM24)="","",CHOOSE(uxb_works!$B$46,"-",Data_2014_N!BN24,Data_2017!BM24))</f>
        <v>99.8</v>
      </c>
      <c r="BO24" s="148">
        <f>IF(CHOOSE(uxb_works!$B$46,"-",Data_2014_N!BO24,Data_2017!BN24)="","",CHOOSE(uxb_works!$B$46,"-",Data_2014_N!BO24,Data_2017!BN24))</f>
        <v>99.3</v>
      </c>
      <c r="BP24" s="148">
        <f>IF(CHOOSE(uxb_works!$B$46,"-",Data_2014_N!BP24,Data_2017!BO24)="","",CHOOSE(uxb_works!$B$46,"-",Data_2014_N!BP24,Data_2017!BO24))</f>
        <v>100</v>
      </c>
      <c r="BQ24" s="148">
        <f>IF(CHOOSE(uxb_works!$B$46,"-",Data_2014_N!BQ24,Data_2017!BP24)="","",CHOOSE(uxb_works!$B$46,"-",Data_2014_N!BQ24,Data_2017!BP24))</f>
        <v>71.2</v>
      </c>
      <c r="BR24" s="325">
        <f>IF(CHOOSE(uxb_works!$B$46,"-",Data_2014_N!BR24,Data_2017!BR24)="","",CHOOSE(uxb_works!$B$46,"-",Data_2014_N!BR24,Data_2017!BR24))</f>
        <v>100</v>
      </c>
      <c r="CC24" s="112">
        <v>86.9</v>
      </c>
      <c r="CD24" s="112">
        <v>86.9</v>
      </c>
      <c r="CE24" s="112">
        <v>86.9</v>
      </c>
      <c r="CF24" s="112">
        <v>83.8</v>
      </c>
      <c r="CG24" s="112">
        <v>86.9</v>
      </c>
    </row>
    <row r="25" s="112" customFormat="1" ht="22.5" customHeight="1" spans="1:85">
      <c r="A25"/>
      <c r="B25" s="133">
        <f>tblIndicators!A21</f>
        <v>20</v>
      </c>
      <c r="C25" s="133">
        <f>tblIndicators!B21</f>
        <v>0</v>
      </c>
      <c r="D25" s="310">
        <f>CHOOSE(uxb_works!$B$46,#REF!,Data_2014_N!D25,Data_2017!D25)</f>
        <v>3</v>
      </c>
      <c r="E25" s="133" t="str">
        <f>tblIndicators!E21</f>
        <v>HESE2.1</v>
      </c>
      <c r="F25" s="133" t="str">
        <f>tblIndicators!H21</f>
        <v>Quality of health services</v>
      </c>
      <c r="G25" s="133">
        <f>tblIndicators!Z21</f>
        <v>3</v>
      </c>
      <c r="H25" s="105" t="str">
        <f>REPT(" ",D25)&amp;CHOOSE(uxb_works!$B$46,#REF!,Data_2014_N!H25,Data_2017!H25)</f>
        <v>      2.1.6) Quality of health services</v>
      </c>
      <c r="I25" s="319" t="str">
        <f>IF(CHOOSE(uxb_works!$B$46,#REF!,Data_2014_N!I25,Data_2017!I25)="","",CHOOSE(uxb_works!$B$46,#REF!,Data_2014_N!I25,Data_2017!I25))</f>
        <v>Scale 1 - 5</v>
      </c>
      <c r="J25" s="148">
        <f>IF(CHOOSE(uxb_works!$B$46,"-",Data_2014_N!J25,Data_2017!J25)="","",CHOOSE(uxb_works!$B$46,"-",Data_2014_N!J25,Data_2017!J25))</f>
        <v>4</v>
      </c>
      <c r="K25" s="148">
        <f>IF(CHOOSE(uxb_works!$B$46,"-",Data_2014_N!K25,Data_2017!K25)="","",CHOOSE(uxb_works!$B$46,"-",Data_2014_N!K25,Data_2017!K25))</f>
        <v>5</v>
      </c>
      <c r="L25" s="148">
        <f>IF(CHOOSE(uxb_works!$B$46,"-",Data_2014_N!L25,Data_2017!L25)="","",CHOOSE(uxb_works!$B$46,"-",Data_2014_N!L25,Data_2017!L25))</f>
        <v>3.5</v>
      </c>
      <c r="M25" s="148">
        <f>IF(CHOOSE(uxb_works!$B$46,"-",Data_2014_N!M25,Data_2017!M25)="","",CHOOSE(uxb_works!$B$46,"-",Data_2014_N!M25,Data_2017!M25))</f>
        <v>3.5</v>
      </c>
      <c r="N25" s="148">
        <f>IF(CHOOSE(uxb_works!$B$46,"-",Data_2014_N!N25,Data_2017!N25)="","",CHOOSE(uxb_works!$B$46,"-",Data_2014_N!N25,Data_2017!N25))</f>
        <v>5</v>
      </c>
      <c r="O25" s="148">
        <f>IF(CHOOSE(uxb_works!$B$46,"-",Data_2014_N!O25,Data_2017!O25)="","",CHOOSE(uxb_works!$B$46,"-",Data_2014_N!O25,Data_2017!O25))</f>
        <v>3.5</v>
      </c>
      <c r="P25" s="148">
        <f>IF(CHOOSE(uxb_works!$B$46,"-",Data_2014_N!P25,Data_2017!P25)="","",CHOOSE(uxb_works!$B$46,"-",Data_2014_N!P25,Data_2017!P25))</f>
        <v>3.5</v>
      </c>
      <c r="Q25" s="148">
        <f>IF(CHOOSE(uxb_works!$B$46,"-",Data_2014_N!Q25,Data_2017!Q25)="","",CHOOSE(uxb_works!$B$46,"-",Data_2014_N!Q25,Data_2017!Q25))</f>
        <v>5</v>
      </c>
      <c r="R25" s="148">
        <f>IF(CHOOSE(uxb_works!$B$46,"-",Data_2014_N!R25,Data_2017!R25)="","",CHOOSE(uxb_works!$B$46,"-",Data_2014_N!R25,Data_2017!R25))</f>
        <v>4</v>
      </c>
      <c r="S25" s="148">
        <f>IF(CHOOSE(uxb_works!$B$46,"-",Data_2014_N!S25,Data_2017!S25)="","",CHOOSE(uxb_works!$B$46,"-",Data_2014_N!S25,Data_2017!S25))</f>
        <v>2.5</v>
      </c>
      <c r="T25" s="148">
        <f>IF(CHOOSE(uxb_works!$B$46,"-",Data_2014_N!T25,Data_2017!T25)="","",CHOOSE(uxb_works!$B$46,"-",Data_2014_N!T25,Data_2017!T25))</f>
        <v>2.5</v>
      </c>
      <c r="U25" s="148">
        <f>IF(CHOOSE(uxb_works!$B$46,"-",Data_2014_N!U25,Data_2017!U25)="","",CHOOSE(uxb_works!$B$46,"-",Data_2014_N!U25,Data_2017!U25))</f>
        <v>2.5</v>
      </c>
      <c r="V25" s="148">
        <f>IF(CHOOSE(uxb_works!$B$46,"-",Data_2014_N!V25,Data_2017!V25)="","",CHOOSE(uxb_works!$B$46,"-",Data_2014_N!V25,Data_2017!V25))</f>
        <v>4.5</v>
      </c>
      <c r="W25" s="148">
        <f>IF(CHOOSE(uxb_works!$B$46,"-",Data_2014_N!W25,Data_2017!W25)="","",CHOOSE(uxb_works!$B$46,"-",Data_2014_N!W25,Data_2017!W25))</f>
        <v>4.5</v>
      </c>
      <c r="X25" s="148">
        <f>IF(CHOOSE(uxb_works!$B$46,"-",Data_2014_N!X25,Data_2017!X25)="","",CHOOSE(uxb_works!$B$46,"-",Data_2014_N!X25,Data_2017!X25))</f>
        <v>3.5</v>
      </c>
      <c r="Y25" s="148">
        <f>IF(CHOOSE(uxb_works!$B$46,"-",Data_2014_N!Y25,Data_2017!Y25)="","",CHOOSE(uxb_works!$B$46,"-",Data_2014_N!Y25,Data_2017!Y25))</f>
        <v>2.5</v>
      </c>
      <c r="Z25" s="148">
        <f>IF(CHOOSE(uxb_works!$B$46,"-",Data_2014_N!Z25,Data_2017!Z25)="","",CHOOSE(uxb_works!$B$46,"-",Data_2014_N!Z25,Data_2017!Z25))</f>
        <v>4</v>
      </c>
      <c r="AA25" s="148">
        <f>IF(CHOOSE(uxb_works!$B$46,"-",Data_2014_N!AA25,Data_2017!AA25)="","",CHOOSE(uxb_works!$B$46,"-",Data_2014_N!AA25,Data_2017!AA25))</f>
        <v>5</v>
      </c>
      <c r="AB25" s="148">
        <f>IF(CHOOSE(uxb_works!$B$46,"-",Data_2014_N!AB25,Data_2017!AB25)="","",CHOOSE(uxb_works!$B$46,"-",Data_2014_N!AB25,Data_2017!AB25))</f>
        <v>2.5</v>
      </c>
      <c r="AC25" s="148">
        <f>IF(CHOOSE(uxb_works!$B$46,"-",Data_2014_N!AC25,Data_2017!AC25)="","",CHOOSE(uxb_works!$B$46,"-",Data_2014_N!AC25,Data_2017!AC25))</f>
        <v>4.5</v>
      </c>
      <c r="AD25" s="148">
        <f>IF(CHOOSE(uxb_works!$B$46,"-",Data_2014_N!AD25,Data_2017!AD25)="","",CHOOSE(uxb_works!$B$46,"-",Data_2014_N!AD25,Data_2017!AD25))</f>
        <v>3</v>
      </c>
      <c r="AE25" s="148">
        <f>IF(CHOOSE(uxb_works!$B$46,"-",Data_2014_N!AE25,Data_2017!AE25)="","",CHOOSE(uxb_works!$B$46,"-",Data_2014_N!AE25,Data_2017!AE25))</f>
        <v>2.5</v>
      </c>
      <c r="AF25" s="148">
        <f>IF(CHOOSE(uxb_works!$B$46,"-",Data_2014_N!AF25,Data_2017!AF25)="","",CHOOSE(uxb_works!$B$46,"-",Data_2014_N!AF25,Data_2017!AF25))</f>
        <v>3.5</v>
      </c>
      <c r="AG25" s="148">
        <f>IF(CHOOSE(uxb_works!$B$46,"-",Data_2014_N!AG25,Data_2017!AG25)="","",CHOOSE(uxb_works!$B$46,"-",Data_2014_N!AG25,Data_2017!AG25))</f>
        <v>3</v>
      </c>
      <c r="AH25" s="148">
        <f>IF(CHOOSE(uxb_works!$B$46,"-",Data_2014_N!AH25,Data_2017!AH25)="","",CHOOSE(uxb_works!$B$46,"-",Data_2014_N!AH25,Data_2017!AH25))</f>
        <v>3</v>
      </c>
      <c r="AI25" s="148">
        <f>IF(CHOOSE(uxb_works!$B$46,"-",Data_2014_N!AI25,Data_2017!AI25)="","",CHOOSE(uxb_works!$B$46,"-",Data_2014_N!AI25,Data_2017!AI25))</f>
        <v>3.5</v>
      </c>
      <c r="AJ25" s="148">
        <f>IF(CHOOSE(uxb_works!$B$46,"-",Data_2014_N!AJ25,Data_2017!AJ25)="","",CHOOSE(uxb_works!$B$46,"-",Data_2014_N!AJ25,Data_2017!AJ25))</f>
        <v>4.5</v>
      </c>
      <c r="AK25" s="148" t="e">
        <f>IF(CHOOSE(uxb_works!$B$46,"-",Data_2014_N!AK25,Data_2017!#REF!)="","",CHOOSE(uxb_works!$B$46,"-",Data_2014_N!AK25,Data_2017!#REF!))</f>
        <v>#REF!</v>
      </c>
      <c r="AL25" s="148">
        <f>IF(CHOOSE(uxb_works!$B$46,"-",Data_2014_N!AL25,Data_2017!AK25)="","",CHOOSE(uxb_works!$B$46,"-",Data_2014_N!AL25,Data_2017!AK25))</f>
        <v>3.5</v>
      </c>
      <c r="AM25" s="148">
        <f>IF(CHOOSE(uxb_works!$B$46,"-",Data_2014_N!AM25,Data_2017!AL25)="","",CHOOSE(uxb_works!$B$46,"-",Data_2014_N!AM25,Data_2017!AL25))</f>
        <v>4.5</v>
      </c>
      <c r="AN25" s="148">
        <f>IF(CHOOSE(uxb_works!$B$46,"-",Data_2014_N!AN25,Data_2017!AM25)="","",CHOOSE(uxb_works!$B$46,"-",Data_2014_N!AN25,Data_2017!AM25))</f>
        <v>4.5</v>
      </c>
      <c r="AO25" s="148">
        <f>IF(CHOOSE(uxb_works!$B$46,"-",Data_2014_N!AO25,Data_2017!AN25)="","",CHOOSE(uxb_works!$B$46,"-",Data_2014_N!AO25,Data_2017!AN25))</f>
        <v>4.5</v>
      </c>
      <c r="AP25" s="148">
        <f>IF(CHOOSE(uxb_works!$B$46,"-",Data_2014_N!AP25,Data_2017!AO25)="","",CHOOSE(uxb_works!$B$46,"-",Data_2014_N!AP25,Data_2017!AO25))</f>
        <v>3.5</v>
      </c>
      <c r="AQ25" s="148">
        <f>IF(CHOOSE(uxb_works!$B$46,"-",Data_2014_N!AQ25,Data_2017!AP25)="","",CHOOSE(uxb_works!$B$46,"-",Data_2014_N!AQ25,Data_2017!AP25))</f>
        <v>5</v>
      </c>
      <c r="AR25" s="148">
        <f>IF(CHOOSE(uxb_works!$B$46,"-",Data_2014_N!AR25,Data_2017!AQ25)="","",CHOOSE(uxb_works!$B$46,"-",Data_2014_N!AR25,Data_2017!AQ25))</f>
        <v>3</v>
      </c>
      <c r="AS25" s="148">
        <f>IF(CHOOSE(uxb_works!$B$46,"-",Data_2014_N!AS25,Data_2017!AR25)="","",CHOOSE(uxb_works!$B$46,"-",Data_2014_N!AS25,Data_2017!AR25))</f>
        <v>4</v>
      </c>
      <c r="AT25" s="148">
        <f>IF(CHOOSE(uxb_works!$B$46,"-",Data_2014_N!AT25,Data_2017!AS25)="","",CHOOSE(uxb_works!$B$46,"-",Data_2014_N!AT25,Data_2017!AS25))</f>
        <v>4</v>
      </c>
      <c r="AU25" s="148">
        <f>IF(CHOOSE(uxb_works!$B$46,"-",Data_2014_N!AU25,Data_2017!AT25)="","",CHOOSE(uxb_works!$B$46,"-",Data_2014_N!AU25,Data_2017!AT25))</f>
        <v>2.5</v>
      </c>
      <c r="AV25" s="148">
        <f>IF(CHOOSE(uxb_works!$B$46,"-",Data_2014_N!AV25,Data_2017!AU25)="","",CHOOSE(uxb_works!$B$46,"-",Data_2014_N!AV25,Data_2017!AU25))</f>
        <v>4.5</v>
      </c>
      <c r="AW25" s="148">
        <f>IF(CHOOSE(uxb_works!$B$46,"-",Data_2014_N!AW25,Data_2017!AV25)="","",CHOOSE(uxb_works!$B$46,"-",Data_2014_N!AW25,Data_2017!AV25))</f>
        <v>5</v>
      </c>
      <c r="AX25" s="148">
        <f>IF(CHOOSE(uxb_works!$B$46,"-",Data_2014_N!AX25,Data_2017!AW25)="","",CHOOSE(uxb_works!$B$46,"-",Data_2014_N!AX25,Data_2017!AW25))</f>
        <v>5</v>
      </c>
      <c r="AY25" s="148">
        <f>IF(CHOOSE(uxb_works!$B$46,"-",Data_2014_N!AY25,Data_2017!AX25)="","",CHOOSE(uxb_works!$B$46,"-",Data_2014_N!AY25,Data_2017!AX25))</f>
        <v>2.5</v>
      </c>
      <c r="AZ25" s="148">
        <f>IF(CHOOSE(uxb_works!$B$46,"-",Data_2014_N!AZ25,Data_2017!AY25)="","",CHOOSE(uxb_works!$B$46,"-",Data_2014_N!AZ25,Data_2017!AY25))</f>
        <v>3.5</v>
      </c>
      <c r="BA25" s="148">
        <f>IF(CHOOSE(uxb_works!$B$46,"-",Data_2014_N!BA25,Data_2017!AZ25)="","",CHOOSE(uxb_works!$B$46,"-",Data_2014_N!BA25,Data_2017!AZ25))</f>
        <v>3.5</v>
      </c>
      <c r="BB25" s="148">
        <f>IF(CHOOSE(uxb_works!$B$46,"-",Data_2014_N!BB25,Data_2017!BA25)="","",CHOOSE(uxb_works!$B$46,"-",Data_2014_N!BB25,Data_2017!BA25))</f>
        <v>4</v>
      </c>
      <c r="BC25" s="148">
        <f>IF(CHOOSE(uxb_works!$B$46,"-",Data_2014_N!BC25,Data_2017!BB25)="","",CHOOSE(uxb_works!$B$46,"-",Data_2014_N!BC25,Data_2017!BB25))</f>
        <v>4.5</v>
      </c>
      <c r="BD25" s="148">
        <f>IF(CHOOSE(uxb_works!$B$46,"-",Data_2014_N!BD25,Data_2017!BC25)="","",CHOOSE(uxb_works!$B$46,"-",Data_2014_N!BD25,Data_2017!BC25))</f>
        <v>3.5</v>
      </c>
      <c r="BE25" s="148">
        <f>IF(CHOOSE(uxb_works!$B$46,"-",Data_2014_N!BE25,Data_2017!BD25)="","",CHOOSE(uxb_works!$B$46,"-",Data_2014_N!BE25,Data_2017!BD25))</f>
        <v>3.5</v>
      </c>
      <c r="BF25" s="148">
        <f>IF(CHOOSE(uxb_works!$B$46,"-",Data_2014_N!BF25,Data_2017!BE25)="","",CHOOSE(uxb_works!$B$46,"-",Data_2014_N!BF25,Data_2017!BE25))</f>
        <v>4.5</v>
      </c>
      <c r="BG25" s="148">
        <f>IF(CHOOSE(uxb_works!$B$46,"-",Data_2014_N!BG25,Data_2017!BF25)="","",CHOOSE(uxb_works!$B$46,"-",Data_2014_N!BG25,Data_2017!BF25))</f>
        <v>3.5</v>
      </c>
      <c r="BH25" s="148">
        <f>IF(CHOOSE(uxb_works!$B$46,"-",Data_2014_N!BH25,Data_2017!BG25)="","",CHOOSE(uxb_works!$B$46,"-",Data_2014_N!BH25,Data_2017!BG25))</f>
        <v>5</v>
      </c>
      <c r="BI25" s="148">
        <f>IF(CHOOSE(uxb_works!$B$46,"-",Data_2014_N!BI25,Data_2017!BH25)="","",CHOOSE(uxb_works!$B$46,"-",Data_2014_N!BI25,Data_2017!BH25))</f>
        <v>4.5</v>
      </c>
      <c r="BJ25" s="148">
        <f>IF(CHOOSE(uxb_works!$B$46,"-",Data_2014_N!BJ25,Data_2017!BI25)="","",CHOOSE(uxb_works!$B$46,"-",Data_2014_N!BJ25,Data_2017!BI25))</f>
        <v>5</v>
      </c>
      <c r="BK25" s="148">
        <f>IF(CHOOSE(uxb_works!$B$46,"-",Data_2014_N!BK25,Data_2017!BJ25)="","",CHOOSE(uxb_works!$B$46,"-",Data_2014_N!BK25,Data_2017!BJ25))</f>
        <v>4.5</v>
      </c>
      <c r="BL25" s="148">
        <f>IF(CHOOSE(uxb_works!$B$46,"-",Data_2014_N!BL25,Data_2017!BK25)="","",CHOOSE(uxb_works!$B$46,"-",Data_2014_N!BL25,Data_2017!BK25))</f>
        <v>3.5</v>
      </c>
      <c r="BM25" s="148">
        <f>IF(CHOOSE(uxb_works!$B$46,"-",Data_2014_N!BM25,Data_2017!BL25)="","",CHOOSE(uxb_works!$B$46,"-",Data_2014_N!BM25,Data_2017!BL25))</f>
        <v>5</v>
      </c>
      <c r="BN25" s="148">
        <f>IF(CHOOSE(uxb_works!$B$46,"-",Data_2014_N!BN25,Data_2017!BM25)="","",CHOOSE(uxb_works!$B$46,"-",Data_2014_N!BN25,Data_2017!BM25))</f>
        <v>5</v>
      </c>
      <c r="BO25" s="148">
        <f>IF(CHOOSE(uxb_works!$B$46,"-",Data_2014_N!BO25,Data_2017!BN25)="","",CHOOSE(uxb_works!$B$46,"-",Data_2014_N!BO25,Data_2017!BN25))</f>
        <v>4.5</v>
      </c>
      <c r="BP25" s="148">
        <f>IF(CHOOSE(uxb_works!$B$46,"-",Data_2014_N!BP25,Data_2017!BO25)="","",CHOOSE(uxb_works!$B$46,"-",Data_2014_N!BP25,Data_2017!BO25))</f>
        <v>4.5</v>
      </c>
      <c r="BQ25" s="148">
        <f>IF(CHOOSE(uxb_works!$B$46,"-",Data_2014_N!BQ25,Data_2017!BP25)="","",CHOOSE(uxb_works!$B$46,"-",Data_2014_N!BQ25,Data_2017!BP25))</f>
        <v>2.5</v>
      </c>
      <c r="BR25" s="325">
        <f>IF(CHOOSE(uxb_works!$B$46,"-",Data_2014_N!BR25,Data_2017!BR25)="","",CHOOSE(uxb_works!$B$46,"-",Data_2014_N!BR25,Data_2017!BR25))</f>
        <v>5</v>
      </c>
      <c r="CC25" s="112">
        <v>1.5</v>
      </c>
      <c r="CD25" s="112">
        <v>1.5</v>
      </c>
      <c r="CE25" s="112">
        <v>1.5</v>
      </c>
      <c r="CF25" s="112">
        <v>1</v>
      </c>
      <c r="CG25" s="112">
        <v>1.5</v>
      </c>
    </row>
    <row r="26" s="112" customFormat="1" ht="22.5" customHeight="1" spans="1:70">
      <c r="A26"/>
      <c r="B26" s="133">
        <f>tblIndicators!A22</f>
        <v>21</v>
      </c>
      <c r="C26" s="133">
        <f>tblIndicators!B22</f>
        <v>0</v>
      </c>
      <c r="D26" s="310">
        <f>CHOOSE(uxb_works!$B$46,#REF!,Data_2014_N!D26,Data_2017!D26)</f>
        <v>2</v>
      </c>
      <c r="E26" s="133" t="str">
        <f>tblIndicators!E22</f>
        <v>HESE</v>
      </c>
      <c r="F26" s="133" t="str">
        <f>tblIndicators!H22</f>
        <v>Health security (Outputs)</v>
      </c>
      <c r="G26" s="133">
        <f>tblIndicators!Z22</f>
        <v>1</v>
      </c>
      <c r="H26" s="105" t="str">
        <f>REPT(" ",D26)&amp;CHOOSE(uxb_works!$B$46,#REF!,Data_2014_N!H26,Data_2017!H26)</f>
        <v>    2.2) Health security (Outputs)</v>
      </c>
      <c r="I26" s="319" t="str">
        <f>IF(CHOOSE(uxb_works!$B$46,#REF!,Data_2014_N!I26,Data_2017!I26)="","",CHOOSE(uxb_works!$B$46,#REF!,Data_2014_N!I26,Data_2017!I26))</f>
        <v/>
      </c>
      <c r="J26" s="148" t="str">
        <f>IF(CHOOSE(uxb_works!$B$46,"-",Data_2014_N!J26,Data_2017!J26)="","",CHOOSE(uxb_works!$B$46,"-",Data_2014_N!J26,Data_2017!J26))</f>
        <v/>
      </c>
      <c r="K26" s="148" t="str">
        <f>IF(CHOOSE(uxb_works!$B$46,"-",Data_2014_N!K26,Data_2017!K26)="","",CHOOSE(uxb_works!$B$46,"-",Data_2014_N!K26,Data_2017!K26))</f>
        <v/>
      </c>
      <c r="L26" s="148" t="str">
        <f>IF(CHOOSE(uxb_works!$B$46,"-",Data_2014_N!L26,Data_2017!L26)="","",CHOOSE(uxb_works!$B$46,"-",Data_2014_N!L26,Data_2017!L26))</f>
        <v/>
      </c>
      <c r="M26" s="148" t="str">
        <f>IF(CHOOSE(uxb_works!$B$46,"-",Data_2014_N!M26,Data_2017!M26)="","",CHOOSE(uxb_works!$B$46,"-",Data_2014_N!M26,Data_2017!M26))</f>
        <v/>
      </c>
      <c r="N26" s="148" t="str">
        <f>IF(CHOOSE(uxb_works!$B$46,"-",Data_2014_N!N26,Data_2017!N26)="","",CHOOSE(uxb_works!$B$46,"-",Data_2014_N!N26,Data_2017!N26))</f>
        <v/>
      </c>
      <c r="O26" s="148" t="str">
        <f>IF(CHOOSE(uxb_works!$B$46,"-",Data_2014_N!O26,Data_2017!O26)="","",CHOOSE(uxb_works!$B$46,"-",Data_2014_N!O26,Data_2017!O26))</f>
        <v/>
      </c>
      <c r="P26" s="148" t="str">
        <f>IF(CHOOSE(uxb_works!$B$46,"-",Data_2014_N!P26,Data_2017!P26)="","",CHOOSE(uxb_works!$B$46,"-",Data_2014_N!P26,Data_2017!P26))</f>
        <v/>
      </c>
      <c r="Q26" s="148" t="str">
        <f>IF(CHOOSE(uxb_works!$B$46,"-",Data_2014_N!Q26,Data_2017!Q26)="","",CHOOSE(uxb_works!$B$46,"-",Data_2014_N!Q26,Data_2017!Q26))</f>
        <v/>
      </c>
      <c r="R26" s="148" t="str">
        <f>IF(CHOOSE(uxb_works!$B$46,"-",Data_2014_N!R26,Data_2017!R26)="","",CHOOSE(uxb_works!$B$46,"-",Data_2014_N!R26,Data_2017!R26))</f>
        <v/>
      </c>
      <c r="S26" s="148" t="str">
        <f>IF(CHOOSE(uxb_works!$B$46,"-",Data_2014_N!S26,Data_2017!S26)="","",CHOOSE(uxb_works!$B$46,"-",Data_2014_N!S26,Data_2017!S26))</f>
        <v/>
      </c>
      <c r="T26" s="148" t="str">
        <f>IF(CHOOSE(uxb_works!$B$46,"-",Data_2014_N!T26,Data_2017!T26)="","",CHOOSE(uxb_works!$B$46,"-",Data_2014_N!T26,Data_2017!T26))</f>
        <v/>
      </c>
      <c r="U26" s="148" t="str">
        <f>IF(CHOOSE(uxb_works!$B$46,"-",Data_2014_N!U26,Data_2017!U26)="","",CHOOSE(uxb_works!$B$46,"-",Data_2014_N!U26,Data_2017!U26))</f>
        <v/>
      </c>
      <c r="V26" s="148" t="str">
        <f>IF(CHOOSE(uxb_works!$B$46,"-",Data_2014_N!V26,Data_2017!V26)="","",CHOOSE(uxb_works!$B$46,"-",Data_2014_N!V26,Data_2017!V26))</f>
        <v/>
      </c>
      <c r="W26" s="148" t="str">
        <f>IF(CHOOSE(uxb_works!$B$46,"-",Data_2014_N!W26,Data_2017!W26)="","",CHOOSE(uxb_works!$B$46,"-",Data_2014_N!W26,Data_2017!W26))</f>
        <v/>
      </c>
      <c r="X26" s="148" t="str">
        <f>IF(CHOOSE(uxb_works!$B$46,"-",Data_2014_N!X26,Data_2017!X26)="","",CHOOSE(uxb_works!$B$46,"-",Data_2014_N!X26,Data_2017!X26))</f>
        <v/>
      </c>
      <c r="Y26" s="148" t="str">
        <f>IF(CHOOSE(uxb_works!$B$46,"-",Data_2014_N!Y26,Data_2017!Y26)="","",CHOOSE(uxb_works!$B$46,"-",Data_2014_N!Y26,Data_2017!Y26))</f>
        <v/>
      </c>
      <c r="Z26" s="148" t="str">
        <f>IF(CHOOSE(uxb_works!$B$46,"-",Data_2014_N!Z26,Data_2017!Z26)="","",CHOOSE(uxb_works!$B$46,"-",Data_2014_N!Z26,Data_2017!Z26))</f>
        <v/>
      </c>
      <c r="AA26" s="148" t="str">
        <f>IF(CHOOSE(uxb_works!$B$46,"-",Data_2014_N!AA26,Data_2017!AA26)="","",CHOOSE(uxb_works!$B$46,"-",Data_2014_N!AA26,Data_2017!AA26))</f>
        <v/>
      </c>
      <c r="AB26" s="148" t="str">
        <f>IF(CHOOSE(uxb_works!$B$46,"-",Data_2014_N!AB26,Data_2017!AB26)="","",CHOOSE(uxb_works!$B$46,"-",Data_2014_N!AB26,Data_2017!AB26))</f>
        <v/>
      </c>
      <c r="AC26" s="148" t="str">
        <f>IF(CHOOSE(uxb_works!$B$46,"-",Data_2014_N!AC26,Data_2017!AC26)="","",CHOOSE(uxb_works!$B$46,"-",Data_2014_N!AC26,Data_2017!AC26))</f>
        <v/>
      </c>
      <c r="AD26" s="148" t="str">
        <f>IF(CHOOSE(uxb_works!$B$46,"-",Data_2014_N!AD26,Data_2017!AD26)="","",CHOOSE(uxb_works!$B$46,"-",Data_2014_N!AD26,Data_2017!AD26))</f>
        <v/>
      </c>
      <c r="AE26" s="148" t="str">
        <f>IF(CHOOSE(uxb_works!$B$46,"-",Data_2014_N!AE26,Data_2017!AE26)="","",CHOOSE(uxb_works!$B$46,"-",Data_2014_N!AE26,Data_2017!AE26))</f>
        <v/>
      </c>
      <c r="AF26" s="148" t="str">
        <f>IF(CHOOSE(uxb_works!$B$46,"-",Data_2014_N!AF26,Data_2017!AF26)="","",CHOOSE(uxb_works!$B$46,"-",Data_2014_N!AF26,Data_2017!AF26))</f>
        <v/>
      </c>
      <c r="AG26" s="148" t="str">
        <f>IF(CHOOSE(uxb_works!$B$46,"-",Data_2014_N!AG26,Data_2017!AG26)="","",CHOOSE(uxb_works!$B$46,"-",Data_2014_N!AG26,Data_2017!AG26))</f>
        <v/>
      </c>
      <c r="AH26" s="148" t="str">
        <f>IF(CHOOSE(uxb_works!$B$46,"-",Data_2014_N!AH26,Data_2017!AH26)="","",CHOOSE(uxb_works!$B$46,"-",Data_2014_N!AH26,Data_2017!AH26))</f>
        <v/>
      </c>
      <c r="AI26" s="148" t="str">
        <f>IF(CHOOSE(uxb_works!$B$46,"-",Data_2014_N!AI26,Data_2017!AI26)="","",CHOOSE(uxb_works!$B$46,"-",Data_2014_N!AI26,Data_2017!AI26))</f>
        <v/>
      </c>
      <c r="AJ26" s="148" t="str">
        <f>IF(CHOOSE(uxb_works!$B$46,"-",Data_2014_N!AJ26,Data_2017!AJ26)="","",CHOOSE(uxb_works!$B$46,"-",Data_2014_N!AJ26,Data_2017!AJ26))</f>
        <v/>
      </c>
      <c r="AK26" s="148" t="e">
        <f>IF(CHOOSE(uxb_works!$B$46,"-",Data_2014_N!AK26,Data_2017!#REF!)="","",CHOOSE(uxb_works!$B$46,"-",Data_2014_N!AK26,Data_2017!#REF!))</f>
        <v>#REF!</v>
      </c>
      <c r="AL26" s="148" t="str">
        <f>IF(CHOOSE(uxb_works!$B$46,"-",Data_2014_N!AL26,Data_2017!AK26)="","",CHOOSE(uxb_works!$B$46,"-",Data_2014_N!AL26,Data_2017!AK26))</f>
        <v/>
      </c>
      <c r="AM26" s="148" t="str">
        <f>IF(CHOOSE(uxb_works!$B$46,"-",Data_2014_N!AM26,Data_2017!AL26)="","",CHOOSE(uxb_works!$B$46,"-",Data_2014_N!AM26,Data_2017!AL26))</f>
        <v/>
      </c>
      <c r="AN26" s="148" t="str">
        <f>IF(CHOOSE(uxb_works!$B$46,"-",Data_2014_N!AN26,Data_2017!AM26)="","",CHOOSE(uxb_works!$B$46,"-",Data_2014_N!AN26,Data_2017!AM26))</f>
        <v/>
      </c>
      <c r="AO26" s="148" t="str">
        <f>IF(CHOOSE(uxb_works!$B$46,"-",Data_2014_N!AO26,Data_2017!AN26)="","",CHOOSE(uxb_works!$B$46,"-",Data_2014_N!AO26,Data_2017!AN26))</f>
        <v/>
      </c>
      <c r="AP26" s="148" t="str">
        <f>IF(CHOOSE(uxb_works!$B$46,"-",Data_2014_N!AP26,Data_2017!AO26)="","",CHOOSE(uxb_works!$B$46,"-",Data_2014_N!AP26,Data_2017!AO26))</f>
        <v/>
      </c>
      <c r="AQ26" s="148" t="str">
        <f>IF(CHOOSE(uxb_works!$B$46,"-",Data_2014_N!AQ26,Data_2017!AP26)="","",CHOOSE(uxb_works!$B$46,"-",Data_2014_N!AQ26,Data_2017!AP26))</f>
        <v/>
      </c>
      <c r="AR26" s="148" t="str">
        <f>IF(CHOOSE(uxb_works!$B$46,"-",Data_2014_N!AR26,Data_2017!AQ26)="","",CHOOSE(uxb_works!$B$46,"-",Data_2014_N!AR26,Data_2017!AQ26))</f>
        <v/>
      </c>
      <c r="AS26" s="148" t="str">
        <f>IF(CHOOSE(uxb_works!$B$46,"-",Data_2014_N!AS26,Data_2017!AR26)="","",CHOOSE(uxb_works!$B$46,"-",Data_2014_N!AS26,Data_2017!AR26))</f>
        <v/>
      </c>
      <c r="AT26" s="148" t="str">
        <f>IF(CHOOSE(uxb_works!$B$46,"-",Data_2014_N!AT26,Data_2017!AS26)="","",CHOOSE(uxb_works!$B$46,"-",Data_2014_N!AT26,Data_2017!AS26))</f>
        <v/>
      </c>
      <c r="AU26" s="148" t="str">
        <f>IF(CHOOSE(uxb_works!$B$46,"-",Data_2014_N!AU26,Data_2017!AT26)="","",CHOOSE(uxb_works!$B$46,"-",Data_2014_N!AU26,Data_2017!AT26))</f>
        <v/>
      </c>
      <c r="AV26" s="148" t="str">
        <f>IF(CHOOSE(uxb_works!$B$46,"-",Data_2014_N!AV26,Data_2017!AU26)="","",CHOOSE(uxb_works!$B$46,"-",Data_2014_N!AV26,Data_2017!AU26))</f>
        <v/>
      </c>
      <c r="AW26" s="148" t="str">
        <f>IF(CHOOSE(uxb_works!$B$46,"-",Data_2014_N!AW26,Data_2017!AV26)="","",CHOOSE(uxb_works!$B$46,"-",Data_2014_N!AW26,Data_2017!AV26))</f>
        <v/>
      </c>
      <c r="AX26" s="148" t="str">
        <f>IF(CHOOSE(uxb_works!$B$46,"-",Data_2014_N!AX26,Data_2017!AW26)="","",CHOOSE(uxb_works!$B$46,"-",Data_2014_N!AX26,Data_2017!AW26))</f>
        <v/>
      </c>
      <c r="AY26" s="148" t="str">
        <f>IF(CHOOSE(uxb_works!$B$46,"-",Data_2014_N!AY26,Data_2017!AX26)="","",CHOOSE(uxb_works!$B$46,"-",Data_2014_N!AY26,Data_2017!AX26))</f>
        <v/>
      </c>
      <c r="AZ26" s="148" t="str">
        <f>IF(CHOOSE(uxb_works!$B$46,"-",Data_2014_N!AZ26,Data_2017!AY26)="","",CHOOSE(uxb_works!$B$46,"-",Data_2014_N!AZ26,Data_2017!AY26))</f>
        <v/>
      </c>
      <c r="BA26" s="148" t="str">
        <f>IF(CHOOSE(uxb_works!$B$46,"-",Data_2014_N!BA26,Data_2017!AZ26)="","",CHOOSE(uxb_works!$B$46,"-",Data_2014_N!BA26,Data_2017!AZ26))</f>
        <v/>
      </c>
      <c r="BB26" s="148" t="str">
        <f>IF(CHOOSE(uxb_works!$B$46,"-",Data_2014_N!BB26,Data_2017!BA26)="","",CHOOSE(uxb_works!$B$46,"-",Data_2014_N!BB26,Data_2017!BA26))</f>
        <v/>
      </c>
      <c r="BC26" s="148" t="str">
        <f>IF(CHOOSE(uxb_works!$B$46,"-",Data_2014_N!BC26,Data_2017!BB26)="","",CHOOSE(uxb_works!$B$46,"-",Data_2014_N!BC26,Data_2017!BB26))</f>
        <v/>
      </c>
      <c r="BD26" s="148" t="str">
        <f>IF(CHOOSE(uxb_works!$B$46,"-",Data_2014_N!BD26,Data_2017!BC26)="","",CHOOSE(uxb_works!$B$46,"-",Data_2014_N!BD26,Data_2017!BC26))</f>
        <v/>
      </c>
      <c r="BE26" s="148" t="str">
        <f>IF(CHOOSE(uxb_works!$B$46,"-",Data_2014_N!BE26,Data_2017!BD26)="","",CHOOSE(uxb_works!$B$46,"-",Data_2014_N!BE26,Data_2017!BD26))</f>
        <v/>
      </c>
      <c r="BF26" s="148" t="str">
        <f>IF(CHOOSE(uxb_works!$B$46,"-",Data_2014_N!BF26,Data_2017!BE26)="","",CHOOSE(uxb_works!$B$46,"-",Data_2014_N!BF26,Data_2017!BE26))</f>
        <v/>
      </c>
      <c r="BG26" s="148" t="str">
        <f>IF(CHOOSE(uxb_works!$B$46,"-",Data_2014_N!BG26,Data_2017!BF26)="","",CHOOSE(uxb_works!$B$46,"-",Data_2014_N!BG26,Data_2017!BF26))</f>
        <v/>
      </c>
      <c r="BH26" s="148" t="str">
        <f>IF(CHOOSE(uxb_works!$B$46,"-",Data_2014_N!BH26,Data_2017!BG26)="","",CHOOSE(uxb_works!$B$46,"-",Data_2014_N!BH26,Data_2017!BG26))</f>
        <v/>
      </c>
      <c r="BI26" s="148" t="str">
        <f>IF(CHOOSE(uxb_works!$B$46,"-",Data_2014_N!BI26,Data_2017!BH26)="","",CHOOSE(uxb_works!$B$46,"-",Data_2014_N!BI26,Data_2017!BH26))</f>
        <v/>
      </c>
      <c r="BJ26" s="148" t="str">
        <f>IF(CHOOSE(uxb_works!$B$46,"-",Data_2014_N!BJ26,Data_2017!BI26)="","",CHOOSE(uxb_works!$B$46,"-",Data_2014_N!BJ26,Data_2017!BI26))</f>
        <v/>
      </c>
      <c r="BK26" s="148" t="str">
        <f>IF(CHOOSE(uxb_works!$B$46,"-",Data_2014_N!BK26,Data_2017!BJ26)="","",CHOOSE(uxb_works!$B$46,"-",Data_2014_N!BK26,Data_2017!BJ26))</f>
        <v/>
      </c>
      <c r="BL26" s="148" t="str">
        <f>IF(CHOOSE(uxb_works!$B$46,"-",Data_2014_N!BL26,Data_2017!BK26)="","",CHOOSE(uxb_works!$B$46,"-",Data_2014_N!BL26,Data_2017!BK26))</f>
        <v/>
      </c>
      <c r="BM26" s="148" t="str">
        <f>IF(CHOOSE(uxb_works!$B$46,"-",Data_2014_N!BM26,Data_2017!BL26)="","",CHOOSE(uxb_works!$B$46,"-",Data_2014_N!BM26,Data_2017!BL26))</f>
        <v/>
      </c>
      <c r="BN26" s="148" t="str">
        <f>IF(CHOOSE(uxb_works!$B$46,"-",Data_2014_N!BN26,Data_2017!BM26)="","",CHOOSE(uxb_works!$B$46,"-",Data_2014_N!BN26,Data_2017!BM26))</f>
        <v/>
      </c>
      <c r="BO26" s="148" t="str">
        <f>IF(CHOOSE(uxb_works!$B$46,"-",Data_2014_N!BO26,Data_2017!BN26)="","",CHOOSE(uxb_works!$B$46,"-",Data_2014_N!BO26,Data_2017!BN26))</f>
        <v/>
      </c>
      <c r="BP26" s="148" t="str">
        <f>IF(CHOOSE(uxb_works!$B$46,"-",Data_2014_N!BP26,Data_2017!BO26)="","",CHOOSE(uxb_works!$B$46,"-",Data_2014_N!BP26,Data_2017!BO26))</f>
        <v/>
      </c>
      <c r="BQ26" s="148" t="str">
        <f>IF(CHOOSE(uxb_works!$B$46,"-",Data_2014_N!BQ26,Data_2017!BP26)="","",CHOOSE(uxb_works!$B$46,"-",Data_2014_N!BQ26,Data_2017!BP26))</f>
        <v/>
      </c>
      <c r="BR26" s="325" t="str">
        <f>IF(CHOOSE(uxb_works!$B$46,"-",Data_2014_N!BR26,Data_2017!BR26)="","",CHOOSE(uxb_works!$B$46,"-",Data_2014_N!BR26,Data_2017!BR26))</f>
        <v/>
      </c>
    </row>
    <row r="27" s="112" customFormat="1" ht="22.5" customHeight="1" spans="1:85">
      <c r="A27"/>
      <c r="B27" s="133">
        <f>tblIndicators!A23</f>
        <v>22</v>
      </c>
      <c r="C27" s="133">
        <f>tblIndicators!B23</f>
        <v>0</v>
      </c>
      <c r="D27" s="310">
        <f>CHOOSE(uxb_works!$B$46,#REF!,Data_2014_N!D27,Data_2017!D27)</f>
        <v>3</v>
      </c>
      <c r="E27" s="133" t="str">
        <f>tblIndicators!E23</f>
        <v>HESE2.2</v>
      </c>
      <c r="F27" s="133" t="str">
        <f>tblIndicators!H23</f>
        <v>Air quality (PM 2.5 levels)</v>
      </c>
      <c r="G27" s="133">
        <f>tblIndicators!Z23</f>
        <v>3</v>
      </c>
      <c r="H27" s="105" t="str">
        <f>REPT(" ",D27)&amp;CHOOSE(uxb_works!$B$46,#REF!,Data_2014_N!H27,Data_2017!H27)</f>
        <v>      2.2.1) Air quality (PM 2.5 levels)</v>
      </c>
      <c r="I27" s="319" t="str">
        <f>IF(CHOOSE(uxb_works!$B$46,#REF!,Data_2014_N!I27,Data_2017!I27)="","",CHOOSE(uxb_works!$B$46,#REF!,Data_2014_N!I27,Data_2017!I27))</f>
        <v>PM 2.5 levels</v>
      </c>
      <c r="J27" s="148">
        <f>IF(CHOOSE(uxb_works!$B$46,"-",Data_2014_N!J27,Data_2017!J27)="","",CHOOSE(uxb_works!$B$46,"-",Data_2014_N!J27,Data_2017!J27))</f>
        <v>55.7811786420668</v>
      </c>
      <c r="K27" s="148">
        <f>IF(CHOOSE(uxb_works!$B$46,"-",Data_2014_N!K27,Data_2017!K27)="","",CHOOSE(uxb_works!$B$46,"-",Data_2014_N!K27,Data_2017!K27))</f>
        <v>15.5574063128571</v>
      </c>
      <c r="L27" s="148">
        <f>IF(CHOOSE(uxb_works!$B$46,"-",Data_2014_N!L27,Data_2017!L27)="","",CHOOSE(uxb_works!$B$46,"-",Data_2014_N!L27,Data_2017!L27))</f>
        <v>14.9984123566746</v>
      </c>
      <c r="M27" s="148">
        <f>IF(CHOOSE(uxb_works!$B$46,"-",Data_2014_N!M27,Data_2017!M27)="","",CHOOSE(uxb_works!$B$46,"-",Data_2014_N!M27,Data_2017!M27))</f>
        <v>23.5189248240994</v>
      </c>
      <c r="N27" s="148">
        <f>IF(CHOOSE(uxb_works!$B$46,"-",Data_2014_N!N27,Data_2017!N27)="","",CHOOSE(uxb_works!$B$46,"-",Data_2014_N!N27,Data_2017!N27))</f>
        <v>15.2506366116667</v>
      </c>
      <c r="O27" s="148">
        <f>IF(CHOOSE(uxb_works!$B$46,"-",Data_2014_N!O27,Data_2017!O27)="","",CHOOSE(uxb_works!$B$46,"-",Data_2014_N!O27,Data_2017!O27))</f>
        <v>85.2385355512068</v>
      </c>
      <c r="P27" s="148">
        <f>IF(CHOOSE(uxb_works!$B$46,"-",Data_2014_N!P27,Data_2017!P27)="","",CHOOSE(uxb_works!$B$46,"-",Data_2014_N!P27,Data_2017!P27))</f>
        <v>24</v>
      </c>
      <c r="Q27" s="148">
        <f>IF(CHOOSE(uxb_works!$B$46,"-",Data_2014_N!Q27,Data_2017!Q27)="","",CHOOSE(uxb_works!$B$46,"-",Data_2014_N!Q27,Data_2017!Q27))</f>
        <v>18.247265666</v>
      </c>
      <c r="R27" s="148">
        <f>IF(CHOOSE(uxb_works!$B$46,"-",Data_2014_N!R27,Data_2017!R27)="","",CHOOSE(uxb_works!$B$46,"-",Data_2014_N!R27,Data_2017!R27))</f>
        <v>14.1595930493704</v>
      </c>
      <c r="S27" s="148">
        <f>IF(CHOOSE(uxb_works!$B$46,"-",Data_2014_N!S27,Data_2017!S27)="","",CHOOSE(uxb_works!$B$46,"-",Data_2014_N!S27,Data_2017!S27))</f>
        <v>75.6426589161361</v>
      </c>
      <c r="T27" s="148">
        <f>IF(CHOOSE(uxb_works!$B$46,"-",Data_2014_N!T27,Data_2017!T27)="","",CHOOSE(uxb_works!$B$46,"-",Data_2014_N!T27,Data_2017!T27))</f>
        <v>25.4477422721461</v>
      </c>
      <c r="U27" s="148">
        <f>IF(CHOOSE(uxb_works!$B$46,"-",Data_2014_N!U27,Data_2017!U27)="","",CHOOSE(uxb_works!$B$46,"-",Data_2014_N!U27,Data_2017!U27))</f>
        <v>25.5663735442806</v>
      </c>
      <c r="V27" s="148">
        <f>IF(CHOOSE(uxb_works!$B$46,"-",Data_2014_N!V27,Data_2017!V27)="","",CHOOSE(uxb_works!$B$46,"-",Data_2014_N!V27,Data_2017!V27))</f>
        <v>11.66</v>
      </c>
      <c r="W27" s="148">
        <f>IF(CHOOSE(uxb_works!$B$46,"-",Data_2014_N!W27,Data_2017!W27)="","",CHOOSE(uxb_works!$B$46,"-",Data_2014_N!W27,Data_2017!W27))</f>
        <v>10</v>
      </c>
      <c r="X27" s="148">
        <f>IF(CHOOSE(uxb_works!$B$46,"-",Data_2014_N!X27,Data_2017!X27)="","",CHOOSE(uxb_works!$B$46,"-",Data_2014_N!X27,Data_2017!X27))</f>
        <v>122.105666</v>
      </c>
      <c r="Y27" s="148">
        <f>IF(CHOOSE(uxb_works!$B$46,"-",Data_2014_N!Y27,Data_2017!Y27)="","",CHOOSE(uxb_works!$B$46,"-",Data_2014_N!Y27,Data_2017!Y27))</f>
        <v>89.6960227272727</v>
      </c>
      <c r="Z27" s="148">
        <f>IF(CHOOSE(uxb_works!$B$46,"-",Data_2014_N!Z27,Data_2017!Z27)="","",CHOOSE(uxb_works!$B$46,"-",Data_2014_N!Z27,Data_2017!Z27))</f>
        <v>93.4333333333333</v>
      </c>
      <c r="AA27" s="148">
        <f>IF(CHOOSE(uxb_works!$B$46,"-",Data_2014_N!AA27,Data_2017!AA27)="","",CHOOSE(uxb_works!$B$46,"-",Data_2014_N!AA27,Data_2017!AA27))</f>
        <v>18.25526867</v>
      </c>
      <c r="AB27" s="148">
        <f>IF(CHOOSE(uxb_works!$B$46,"-",Data_2014_N!AB27,Data_2017!AB27)="","",CHOOSE(uxb_works!$B$46,"-",Data_2014_N!AB27,Data_2017!AB27))</f>
        <v>28.2516555</v>
      </c>
      <c r="AC27" s="148">
        <f>IF(CHOOSE(uxb_works!$B$46,"-",Data_2014_N!AC27,Data_2017!AC27)="","",CHOOSE(uxb_works!$B$46,"-",Data_2014_N!AC27,Data_2017!AC27))</f>
        <v>29.4666666666667</v>
      </c>
      <c r="AD27" s="148">
        <f>IF(CHOOSE(uxb_works!$B$46,"-",Data_2014_N!AD27,Data_2017!AD27)="","",CHOOSE(uxb_works!$B$46,"-",Data_2014_N!AD27,Data_2017!AD27))</f>
        <v>32.5427768089074</v>
      </c>
      <c r="AE27" s="148">
        <f>IF(CHOOSE(uxb_works!$B$46,"-",Data_2014_N!AE27,Data_2017!AE27)="","",CHOOSE(uxb_works!$B$46,"-",Data_2014_N!AE27,Data_2017!AE27))</f>
        <v>15.40820407</v>
      </c>
      <c r="AF27" s="148">
        <f>IF(CHOOSE(uxb_works!$B$46,"-",Data_2014_N!AF27,Data_2017!AF27)="","",CHOOSE(uxb_works!$B$46,"-",Data_2014_N!AF27,Data_2017!AF27))</f>
        <v>68.0361345558542</v>
      </c>
      <c r="AG27" s="148">
        <f>IF(CHOOSE(uxb_works!$B$46,"-",Data_2014_N!AG27,Data_2017!AG27)="","",CHOOSE(uxb_works!$B$46,"-",Data_2014_N!AG27,Data_2017!AG27))</f>
        <v>40.61695872</v>
      </c>
      <c r="AH27" s="148">
        <f>IF(CHOOSE(uxb_works!$B$46,"-",Data_2014_N!AH27,Data_2017!AH27)="","",CHOOSE(uxb_works!$B$46,"-",Data_2014_N!AH27,Data_2017!AH27))</f>
        <v>88.35</v>
      </c>
      <c r="AI27" s="148">
        <f>IF(CHOOSE(uxb_works!$B$46,"-",Data_2014_N!AI27,Data_2017!AI27)="","",CHOOSE(uxb_works!$B$46,"-",Data_2014_N!AI27,Data_2017!AI27))</f>
        <v>24.8708519369426</v>
      </c>
      <c r="AJ27" s="148">
        <f>IF(CHOOSE(uxb_works!$B$46,"-",Data_2014_N!AJ27,Data_2017!AJ27)="","",CHOOSE(uxb_works!$B$46,"-",Data_2014_N!AJ27,Data_2017!AJ27))</f>
        <v>67.43349003</v>
      </c>
      <c r="AK27" s="148" t="e">
        <f>IF(CHOOSE(uxb_works!$B$46,"-",Data_2014_N!AK27,Data_2017!#REF!)="","",CHOOSE(uxb_works!$B$46,"-",Data_2014_N!AK27,Data_2017!#REF!))</f>
        <v>#REF!</v>
      </c>
      <c r="AL27" s="148">
        <f>IF(CHOOSE(uxb_works!$B$46,"-",Data_2014_N!AL27,Data_2017!AK27)="","",CHOOSE(uxb_works!$B$46,"-",Data_2014_N!AL27,Data_2017!AK27))</f>
        <v>47.5364814299626</v>
      </c>
      <c r="AM27" s="148">
        <f>IF(CHOOSE(uxb_works!$B$46,"-",Data_2014_N!AM27,Data_2017!AL27)="","",CHOOSE(uxb_works!$B$46,"-",Data_2014_N!AM27,Data_2017!AL27))</f>
        <v>9</v>
      </c>
      <c r="AN27" s="148">
        <f>IF(CHOOSE(uxb_works!$B$46,"-",Data_2014_N!AN27,Data_2017!AM27)="","",CHOOSE(uxb_works!$B$46,"-",Data_2014_N!AN27,Data_2017!AM27))</f>
        <v>10.7888888888889</v>
      </c>
      <c r="AO27" s="148">
        <f>IF(CHOOSE(uxb_works!$B$46,"-",Data_2014_N!AO27,Data_2017!AN27)="","",CHOOSE(uxb_works!$B$46,"-",Data_2014_N!AO27,Data_2017!AN27))</f>
        <v>9.94610258166667</v>
      </c>
      <c r="AP27" s="148">
        <f>IF(CHOOSE(uxb_works!$B$46,"-",Data_2014_N!AP27,Data_2017!AO27)="","",CHOOSE(uxb_works!$B$46,"-",Data_2014_N!AP27,Data_2017!AO27))</f>
        <v>17.2</v>
      </c>
      <c r="AQ27" s="148">
        <f>IF(CHOOSE(uxb_works!$B$46,"-",Data_2014_N!AQ27,Data_2017!AP27)="","",CHOOSE(uxb_works!$B$46,"-",Data_2014_N!AQ27,Data_2017!AP27))</f>
        <v>7.7</v>
      </c>
      <c r="AR27" s="148">
        <f>IF(CHOOSE(uxb_works!$B$46,"-",Data_2014_N!AR27,Data_2017!AQ27)="","",CHOOSE(uxb_works!$B$46,"-",Data_2014_N!AR27,Data_2017!AQ27))</f>
        <v>19.7765390013448</v>
      </c>
      <c r="AS27" s="148">
        <f>IF(CHOOSE(uxb_works!$B$46,"-",Data_2014_N!AS27,Data_2017!AR27)="","",CHOOSE(uxb_works!$B$46,"-",Data_2014_N!AS27,Data_2017!AR27))</f>
        <v>30.181780245</v>
      </c>
      <c r="AT27" s="148">
        <f>IF(CHOOSE(uxb_works!$B$46,"-",Data_2014_N!AT27,Data_2017!AS27)="","",CHOOSE(uxb_works!$B$46,"-",Data_2014_N!AT27,Data_2017!AS27))</f>
        <v>19.8175016636904</v>
      </c>
      <c r="AU27" s="148">
        <f>IF(CHOOSE(uxb_works!$B$46,"-",Data_2014_N!AU27,Data_2017!AT27)="","",CHOOSE(uxb_works!$B$46,"-",Data_2014_N!AU27,Data_2017!AT27))</f>
        <v>62.9375</v>
      </c>
      <c r="AV27" s="148">
        <f>IF(CHOOSE(uxb_works!$B$46,"-",Data_2014_N!AV27,Data_2017!AU27)="","",CHOOSE(uxb_works!$B$46,"-",Data_2014_N!AV27,Data_2017!AU27))</f>
        <v>8.81111111111111</v>
      </c>
      <c r="AW27" s="148">
        <f>IF(CHOOSE(uxb_works!$B$46,"-",Data_2014_N!AW27,Data_2017!AV27)="","",CHOOSE(uxb_works!$B$46,"-",Data_2014_N!AW27,Data_2017!AV27))</f>
        <v>16.84</v>
      </c>
      <c r="AX27" s="148">
        <f>IF(CHOOSE(uxb_works!$B$46,"-",Data_2014_N!AX27,Data_2017!AW27)="","",CHOOSE(uxb_works!$B$46,"-",Data_2014_N!AX27,Data_2017!AW27))</f>
        <v>17.5</v>
      </c>
      <c r="AY27" s="148">
        <f>IF(CHOOSE(uxb_works!$B$46,"-",Data_2014_N!AY27,Data_2017!AX27)="","",CHOOSE(uxb_works!$B$46,"-",Data_2014_N!AY27,Data_2017!AX27))</f>
        <v>18.446</v>
      </c>
      <c r="AZ27" s="148">
        <f>IF(CHOOSE(uxb_works!$B$46,"-",Data_2014_N!AZ27,Data_2017!AY27)="","",CHOOSE(uxb_works!$B$46,"-",Data_2014_N!AZ27,Data_2017!AY27))</f>
        <v>15.8823529411765</v>
      </c>
      <c r="BA27" s="148">
        <f>IF(CHOOSE(uxb_works!$B$46,"-",Data_2014_N!BA27,Data_2017!AZ27)="","",CHOOSE(uxb_works!$B$46,"-",Data_2014_N!BA27,Data_2017!AZ27))</f>
        <v>155.511164699095</v>
      </c>
      <c r="BB27" s="148">
        <f>IF(CHOOSE(uxb_works!$B$46,"-",Data_2014_N!BB27,Data_2017!BA27)="","",CHOOSE(uxb_works!$B$46,"-",Data_2014_N!BB27,Data_2017!BA27))</f>
        <v>17.017341975</v>
      </c>
      <c r="BC27" s="148">
        <f>IF(CHOOSE(uxb_works!$B$46,"-",Data_2014_N!BC27,Data_2017!BB27)="","",CHOOSE(uxb_works!$B$46,"-",Data_2014_N!BC27,Data_2017!BB27))</f>
        <v>8.5375</v>
      </c>
      <c r="BD27" s="148">
        <f>IF(CHOOSE(uxb_works!$B$46,"-",Data_2014_N!BD27,Data_2017!BC27)="","",CHOOSE(uxb_works!$B$46,"-",Data_2014_N!BD27,Data_2017!BC27))</f>
        <v>28.771</v>
      </c>
      <c r="BE27" s="148">
        <f>IF(CHOOSE(uxb_works!$B$46,"-",Data_2014_N!BE27,Data_2017!BD27)="","",CHOOSE(uxb_works!$B$46,"-",Data_2014_N!BE27,Data_2017!BD27))</f>
        <v>18.625</v>
      </c>
      <c r="BF27" s="148">
        <f>IF(CHOOSE(uxb_works!$B$46,"-",Data_2014_N!BF27,Data_2017!BE27)="","",CHOOSE(uxb_works!$B$46,"-",Data_2014_N!BF27,Data_2017!BE27))</f>
        <v>24.233407945337</v>
      </c>
      <c r="BG27" s="148">
        <f>IF(CHOOSE(uxb_works!$B$46,"-",Data_2014_N!BG27,Data_2017!BF27)="","",CHOOSE(uxb_works!$B$46,"-",Data_2014_N!BG27,Data_2017!BF27))</f>
        <v>51.6</v>
      </c>
      <c r="BH27" s="148">
        <f>IF(CHOOSE(uxb_works!$B$46,"-",Data_2014_N!BH27,Data_2017!BG27)="","",CHOOSE(uxb_works!$B$46,"-",Data_2014_N!BH27,Data_2017!BG27))</f>
        <v>18</v>
      </c>
      <c r="BI27" s="148">
        <f>IF(CHOOSE(uxb_works!$B$46,"-",Data_2014_N!BI27,Data_2017!BH27)="","",CHOOSE(uxb_works!$B$46,"-",Data_2014_N!BI27,Data_2017!BH27))</f>
        <v>5.5145110025</v>
      </c>
      <c r="BJ27" s="148">
        <f>IF(CHOOSE(uxb_works!$B$46,"-",Data_2014_N!BJ27,Data_2017!BI27)="","",CHOOSE(uxb_works!$B$46,"-",Data_2014_N!BJ27,Data_2017!BI27))</f>
        <v>7.68</v>
      </c>
      <c r="BK27" s="148">
        <f>IF(CHOOSE(uxb_works!$B$46,"-",Data_2014_N!BK27,Data_2017!BJ27)="","",CHOOSE(uxb_works!$B$46,"-",Data_2014_N!BK27,Data_2017!BJ27))</f>
        <v>18.7142857142857</v>
      </c>
      <c r="BL27" s="148">
        <f>IF(CHOOSE(uxb_works!$B$46,"-",Data_2014_N!BL27,Data_2017!BK27)="","",CHOOSE(uxb_works!$B$46,"-",Data_2014_N!BL27,Data_2017!BK27))</f>
        <v>31.66</v>
      </c>
      <c r="BM27" s="148">
        <f>IF(CHOOSE(uxb_works!$B$46,"-",Data_2014_N!BM27,Data_2017!BL27)="","",CHOOSE(uxb_works!$B$46,"-",Data_2014_N!BM27,Data_2017!BL27))</f>
        <v>14.9</v>
      </c>
      <c r="BN27" s="148">
        <f>IF(CHOOSE(uxb_works!$B$46,"-",Data_2014_N!BN27,Data_2017!BM27)="","",CHOOSE(uxb_works!$B$46,"-",Data_2014_N!BN27,Data_2017!BM27))</f>
        <v>8.4</v>
      </c>
      <c r="BO27" s="148">
        <f>IF(CHOOSE(uxb_works!$B$46,"-",Data_2014_N!BO27,Data_2017!BN27)="","",CHOOSE(uxb_works!$B$46,"-",Data_2014_N!BO27,Data_2017!BN27))</f>
        <v>8.8875</v>
      </c>
      <c r="BP27" s="148">
        <f>IF(CHOOSE(uxb_works!$B$46,"-",Data_2014_N!BP27,Data_2017!BO27)="","",CHOOSE(uxb_works!$B$46,"-",Data_2014_N!BP27,Data_2017!BO27))</f>
        <v>6.28740067246045</v>
      </c>
      <c r="BQ27" s="148">
        <f>IF(CHOOSE(uxb_works!$B$46,"-",Data_2014_N!BQ27,Data_2017!BP27)="","",CHOOSE(uxb_works!$B$46,"-",Data_2014_N!BQ27,Data_2017!BP27))</f>
        <v>54.38812189</v>
      </c>
      <c r="BR27" s="325">
        <f>IF(CHOOSE(uxb_works!$B$46,"-",Data_2014_N!BR27,Data_2017!BR27)="","",CHOOSE(uxb_works!$B$46,"-",Data_2014_N!BR27,Data_2017!BR27))</f>
        <v>14.9666666666667</v>
      </c>
      <c r="CC27" s="112">
        <v>20</v>
      </c>
      <c r="CD27" s="112">
        <v>14</v>
      </c>
      <c r="CE27" s="112">
        <v>10</v>
      </c>
      <c r="CF27" s="112">
        <v>8</v>
      </c>
      <c r="CG27" s="112">
        <v>12</v>
      </c>
    </row>
    <row r="28" s="112" customFormat="1" ht="22.5" customHeight="1" spans="1:85">
      <c r="A28"/>
      <c r="B28" s="133">
        <f>tblIndicators!A24</f>
        <v>23</v>
      </c>
      <c r="C28" s="133">
        <f>tblIndicators!B24</f>
        <v>0</v>
      </c>
      <c r="D28" s="310">
        <f>CHOOSE(uxb_works!$B$46,#REF!,Data_2014_N!D28,Data_2017!D28)</f>
        <v>3</v>
      </c>
      <c r="E28" s="133" t="str">
        <f>tblIndicators!E24</f>
        <v>HESE2.2</v>
      </c>
      <c r="F28" s="133" t="str">
        <f>tblIndicators!H24</f>
        <v>Water quality</v>
      </c>
      <c r="G28" s="133">
        <f>tblIndicators!Z24</f>
        <v>3</v>
      </c>
      <c r="H28" s="105" t="str">
        <f>REPT(" ",D28)&amp;CHOOSE(uxb_works!$B$46,#REF!,Data_2014_N!H28,Data_2017!H28)</f>
        <v>      2.2.2) Water quality</v>
      </c>
      <c r="I28" s="319" t="str">
        <f>IF(CHOOSE(uxb_works!$B$46,#REF!,Data_2014_N!I28,Data_2017!I28)="","",CHOOSE(uxb_works!$B$46,#REF!,Data_2014_N!I28,Data_2017!I28))</f>
        <v>Scale 0 - 100</v>
      </c>
      <c r="J28" s="148">
        <f>IF(CHOOSE(uxb_works!$B$46,"-",Data_2014_N!J28,Data_2017!J28)="","",CHOOSE(uxb_works!$B$46,"-",Data_2014_N!J28,Data_2017!J28))</f>
        <v>91.3447138534964</v>
      </c>
      <c r="K28" s="148">
        <f>IF(CHOOSE(uxb_works!$B$46,"-",Data_2014_N!K28,Data_2017!K28)="","",CHOOSE(uxb_works!$B$46,"-",Data_2014_N!K28,Data_2017!K28))</f>
        <v>94.4980184940555</v>
      </c>
      <c r="L28" s="148">
        <f>IF(CHOOSE(uxb_works!$B$46,"-",Data_2014_N!L28,Data_2017!L28)="","",CHOOSE(uxb_works!$B$46,"-",Data_2014_N!L28,Data_2017!L28))</f>
        <v>87.6489240209656</v>
      </c>
      <c r="M28" s="148">
        <f>IF(CHOOSE(uxb_works!$B$46,"-",Data_2014_N!M28,Data_2017!M28)="","",CHOOSE(uxb_works!$B$46,"-",Data_2014_N!M28,Data_2017!M28))</f>
        <v>79.3330165764691</v>
      </c>
      <c r="N28" s="148">
        <f>IF(CHOOSE(uxb_works!$B$46,"-",Data_2014_N!N28,Data_2017!N28)="","",CHOOSE(uxb_works!$B$46,"-",Data_2014_N!N28,Data_2017!N28))</f>
        <v>78.2850769165211</v>
      </c>
      <c r="O28" s="148">
        <f>IF(CHOOSE(uxb_works!$B$46,"-",Data_2014_N!O28,Data_2017!O28)="","",CHOOSE(uxb_works!$B$46,"-",Data_2014_N!O28,Data_2017!O28))</f>
        <v>85.9515234158606</v>
      </c>
      <c r="P28" s="148">
        <f>IF(CHOOSE(uxb_works!$B$46,"-",Data_2014_N!P28,Data_2017!P28)="","",CHOOSE(uxb_works!$B$46,"-",Data_2014_N!P28,Data_2017!P28))</f>
        <v>71.4101853666851</v>
      </c>
      <c r="Q28" s="148">
        <f>IF(CHOOSE(uxb_works!$B$46,"-",Data_2014_N!Q28,Data_2017!Q28)="","",CHOOSE(uxb_works!$B$46,"-",Data_2014_N!Q28,Data_2017!Q28))</f>
        <v>94.8823667277453</v>
      </c>
      <c r="R28" s="148">
        <f>IF(CHOOSE(uxb_works!$B$46,"-",Data_2014_N!R28,Data_2017!R28)="","",CHOOSE(uxb_works!$B$46,"-",Data_2014_N!R28,Data_2017!R28))</f>
        <v>80.5849763497678</v>
      </c>
      <c r="S28" s="148">
        <f>IF(CHOOSE(uxb_works!$B$46,"-",Data_2014_N!S28,Data_2017!S28)="","",CHOOSE(uxb_works!$B$46,"-",Data_2014_N!S28,Data_2017!S28))</f>
        <v>74.477965653897</v>
      </c>
      <c r="T28" s="148">
        <f>IF(CHOOSE(uxb_works!$B$46,"-",Data_2014_N!T28,Data_2017!T28)="","",CHOOSE(uxb_works!$B$46,"-",Data_2014_N!T28,Data_2017!T28))</f>
        <v>51.4702169003281</v>
      </c>
      <c r="U28" s="148">
        <f>IF(CHOOSE(uxb_works!$B$46,"-",Data_2014_N!U28,Data_2017!U28)="","",CHOOSE(uxb_works!$B$46,"-",Data_2014_N!U28,Data_2017!U28))</f>
        <v>68.918064516129</v>
      </c>
      <c r="V28" s="148">
        <f>IF(CHOOSE(uxb_works!$B$46,"-",Data_2014_N!V28,Data_2017!V28)="","",CHOOSE(uxb_works!$B$46,"-",Data_2014_N!V28,Data_2017!V28))</f>
        <v>74.68</v>
      </c>
      <c r="W28" s="148">
        <f>IF(CHOOSE(uxb_works!$B$46,"-",Data_2014_N!W28,Data_2017!W28)="","",CHOOSE(uxb_works!$B$46,"-",Data_2014_N!W28,Data_2017!W28))</f>
        <v>74.5977355435292</v>
      </c>
      <c r="X28" s="148">
        <f>IF(CHOOSE(uxb_works!$B$46,"-",Data_2014_N!X28,Data_2017!X28)="","",CHOOSE(uxb_works!$B$46,"-",Data_2014_N!X28,Data_2017!X28))</f>
        <v>74.6005667533132</v>
      </c>
      <c r="Y28" s="148">
        <f>IF(CHOOSE(uxb_works!$B$46,"-",Data_2014_N!Y28,Data_2017!Y28)="","",CHOOSE(uxb_works!$B$46,"-",Data_2014_N!Y28,Data_2017!Y28))</f>
        <v>75.6312234201219</v>
      </c>
      <c r="Z28" s="148">
        <f>IF(CHOOSE(uxb_works!$B$46,"-",Data_2014_N!Z28,Data_2017!Z28)="","",CHOOSE(uxb_works!$B$46,"-",Data_2014_N!Z28,Data_2017!Z28))</f>
        <v>86.3282694848085</v>
      </c>
      <c r="AA28" s="148">
        <f>IF(CHOOSE(uxb_works!$B$46,"-",Data_2014_N!AA28,Data_2017!AA28)="","",CHOOSE(uxb_works!$B$46,"-",Data_2014_N!AA28,Data_2017!AA28))</f>
        <v>96.9922018153151</v>
      </c>
      <c r="AB28" s="148">
        <f>IF(CHOOSE(uxb_works!$B$46,"-",Data_2014_N!AB28,Data_2017!AB28)="","",CHOOSE(uxb_works!$B$46,"-",Data_2014_N!AB28,Data_2017!AB28))</f>
        <v>75.8059359952273</v>
      </c>
      <c r="AC28" s="148">
        <f>IF(CHOOSE(uxb_works!$B$46,"-",Data_2014_N!AC28,Data_2017!AC28)="","",CHOOSE(uxb_works!$B$46,"-",Data_2014_N!AC28,Data_2017!AC28))</f>
        <v>83.1285166403886</v>
      </c>
      <c r="AD28" s="148">
        <f>IF(CHOOSE(uxb_works!$B$46,"-",Data_2014_N!AD28,Data_2017!AD28)="","",CHOOSE(uxb_works!$B$46,"-",Data_2014_N!AD28,Data_2017!AD28))</f>
        <v>72.8538884390847</v>
      </c>
      <c r="AE28" s="148">
        <f>IF(CHOOSE(uxb_works!$B$46,"-",Data_2014_N!AE28,Data_2017!AE28)="","",CHOOSE(uxb_works!$B$46,"-",Data_2014_N!AE28,Data_2017!AE28))</f>
        <v>58.8163847104445</v>
      </c>
      <c r="AF28" s="148">
        <f>IF(CHOOSE(uxb_works!$B$46,"-",Data_2014_N!AF28,Data_2017!AF28)="","",CHOOSE(uxb_works!$B$46,"-",Data_2014_N!AF28,Data_2017!AF28))</f>
        <v>83.0237823326373</v>
      </c>
      <c r="AG28" s="148">
        <f>IF(CHOOSE(uxb_works!$B$46,"-",Data_2014_N!AG28,Data_2017!AG28)="","",CHOOSE(uxb_works!$B$46,"-",Data_2014_N!AG28,Data_2017!AG28))</f>
        <v>85.1482771551541</v>
      </c>
      <c r="AH28" s="148">
        <f>IF(CHOOSE(uxb_works!$B$46,"-",Data_2014_N!AH28,Data_2017!AH28)="","",CHOOSE(uxb_works!$B$46,"-",Data_2014_N!AH28,Data_2017!AH28))</f>
        <v>64.843312737035</v>
      </c>
      <c r="AI28" s="148">
        <f>IF(CHOOSE(uxb_works!$B$46,"-",Data_2014_N!AI28,Data_2017!AI28)="","",CHOOSE(uxb_works!$B$46,"-",Data_2014_N!AI28,Data_2017!AI28))</f>
        <v>77.8593667703584</v>
      </c>
      <c r="AJ28" s="148">
        <f>IF(CHOOSE(uxb_works!$B$46,"-",Data_2014_N!AJ28,Data_2017!AJ28)="","",CHOOSE(uxb_works!$B$46,"-",Data_2014_N!AJ28,Data_2017!AJ28))</f>
        <v>79.0954190991605</v>
      </c>
      <c r="AK28" s="148" t="e">
        <f>IF(CHOOSE(uxb_works!$B$46,"-",Data_2014_N!AK28,Data_2017!#REF!)="","",CHOOSE(uxb_works!$B$46,"-",Data_2014_N!AK28,Data_2017!#REF!))</f>
        <v>#REF!</v>
      </c>
      <c r="AL28" s="148">
        <f>IF(CHOOSE(uxb_works!$B$46,"-",Data_2014_N!AL28,Data_2017!AK28)="","",CHOOSE(uxb_works!$B$46,"-",Data_2014_N!AL28,Data_2017!AK28))</f>
        <v>61.2459445178336</v>
      </c>
      <c r="AM28" s="148">
        <f>IF(CHOOSE(uxb_works!$B$46,"-",Data_2014_N!AM28,Data_2017!AL28)="","",CHOOSE(uxb_works!$B$46,"-",Data_2014_N!AM28,Data_2017!AL28))</f>
        <v>90.3712234201219</v>
      </c>
      <c r="AN28" s="148">
        <f>IF(CHOOSE(uxb_works!$B$46,"-",Data_2014_N!AN28,Data_2017!AM28)="","",CHOOSE(uxb_works!$B$46,"-",Data_2014_N!AN28,Data_2017!AM28))</f>
        <v>75.1299509950143</v>
      </c>
      <c r="AO28" s="148">
        <f>IF(CHOOSE(uxb_works!$B$46,"-",Data_2014_N!AO28,Data_2017!AN28)="","",CHOOSE(uxb_works!$B$46,"-",Data_2014_N!AO28,Data_2017!AN28))</f>
        <v>87.2850769165211</v>
      </c>
      <c r="AP28" s="148">
        <f>IF(CHOOSE(uxb_works!$B$46,"-",Data_2014_N!AP28,Data_2017!AO28)="","",CHOOSE(uxb_works!$B$46,"-",Data_2014_N!AP28,Data_2017!AO28))</f>
        <v>83.0867703583756</v>
      </c>
      <c r="AQ28" s="148">
        <f>IF(CHOOSE(uxb_works!$B$46,"-",Data_2014_N!AQ28,Data_2017!AP28)="","",CHOOSE(uxb_works!$B$46,"-",Data_2014_N!AQ28,Data_2017!AP28))</f>
        <v>92.3350662632633</v>
      </c>
      <c r="AR28" s="148">
        <f>IF(CHOOSE(uxb_works!$B$46,"-",Data_2014_N!AR28,Data_2017!AQ28)="","",CHOOSE(uxb_works!$B$46,"-",Data_2014_N!AR28,Data_2017!AQ28))</f>
        <v>68.1903217283845</v>
      </c>
      <c r="AS28" s="148">
        <f>IF(CHOOSE(uxb_works!$B$46,"-",Data_2014_N!AS28,Data_2017!AR28)="","",CHOOSE(uxb_works!$B$46,"-",Data_2014_N!AS28,Data_2017!AR28))</f>
        <v>86.3978352580219</v>
      </c>
      <c r="AT28" s="148">
        <f>IF(CHOOSE(uxb_works!$B$46,"-",Data_2014_N!AT28,Data_2017!AS28)="","",CHOOSE(uxb_works!$B$46,"-",Data_2014_N!AT28,Data_2017!AS28))</f>
        <v>87.9379469041633</v>
      </c>
      <c r="AU28" s="148">
        <f>IF(CHOOSE(uxb_works!$B$46,"-",Data_2014_N!AU28,Data_2017!AT28)="","",CHOOSE(uxb_works!$B$46,"-",Data_2014_N!AU28,Data_2017!AT28))</f>
        <v>84.3588315506882</v>
      </c>
      <c r="AV28" s="148">
        <f>IF(CHOOSE(uxb_works!$B$46,"-",Data_2014_N!AV28,Data_2017!AU28)="","",CHOOSE(uxb_works!$B$46,"-",Data_2014_N!AV28,Data_2017!AU28))</f>
        <v>83.4326100481527</v>
      </c>
      <c r="AW28" s="148">
        <f>IF(CHOOSE(uxb_works!$B$46,"-",Data_2014_N!AW28,Data_2017!AV28)="","",CHOOSE(uxb_works!$B$46,"-",Data_2014_N!AW28,Data_2017!AV28))</f>
        <v>89.1403460178122</v>
      </c>
      <c r="AX28" s="148">
        <f>IF(CHOOSE(uxb_works!$B$46,"-",Data_2014_N!AX28,Data_2017!AW28)="","",CHOOSE(uxb_works!$B$46,"-",Data_2014_N!AX28,Data_2017!AW28))</f>
        <v>90.2805855030468</v>
      </c>
      <c r="AY28" s="148">
        <f>IF(CHOOSE(uxb_works!$B$46,"-",Data_2014_N!AY28,Data_2017!AX28)="","",CHOOSE(uxb_works!$B$46,"-",Data_2014_N!AY28,Data_2017!AX28))</f>
        <v>65.9302049686794</v>
      </c>
      <c r="AZ28" s="148">
        <f>IF(CHOOSE(uxb_works!$B$46,"-",Data_2014_N!AZ28,Data_2017!AY28)="","",CHOOSE(uxb_works!$B$46,"-",Data_2014_N!AZ28,Data_2017!AY28))</f>
        <v>66.8841752247837</v>
      </c>
      <c r="BA28" s="148">
        <f>IF(CHOOSE(uxb_works!$B$46,"-",Data_2014_N!BA28,Data_2017!AZ28)="","",CHOOSE(uxb_works!$B$46,"-",Data_2014_N!BA28,Data_2017!AZ28))</f>
        <v>83.208722887459</v>
      </c>
      <c r="BB28" s="148">
        <f>IF(CHOOSE(uxb_works!$B$46,"-",Data_2014_N!BB28,Data_2017!BA28)="","",CHOOSE(uxb_works!$B$46,"-",Data_2014_N!BB28,Data_2017!BA28))</f>
        <v>83.0591255806026</v>
      </c>
      <c r="BC28" s="148">
        <f>IF(CHOOSE(uxb_works!$B$46,"-",Data_2014_N!BC28,Data_2017!BB28)="","",CHOOSE(uxb_works!$B$46,"-",Data_2014_N!BC28,Data_2017!BB28))</f>
        <v>75.1299509950143</v>
      </c>
      <c r="BD28" s="148">
        <f>IF(CHOOSE(uxb_works!$B$46,"-",Data_2014_N!BD28,Data_2017!BC28)="","",CHOOSE(uxb_works!$B$46,"-",Data_2014_N!BD28,Data_2017!BC28))</f>
        <v>86.1620019601994</v>
      </c>
      <c r="BE28" s="148">
        <f>IF(CHOOSE(uxb_works!$B$46,"-",Data_2014_N!BE28,Data_2017!BD28)="","",CHOOSE(uxb_works!$B$46,"-",Data_2014_N!BE28,Data_2017!BD28))</f>
        <v>50.1841752247837</v>
      </c>
      <c r="BF28" s="148">
        <f>IF(CHOOSE(uxb_works!$B$46,"-",Data_2014_N!BF28,Data_2017!BE28)="","",CHOOSE(uxb_works!$B$46,"-",Data_2014_N!BF28,Data_2017!BE28))</f>
        <v>93.8108194485874</v>
      </c>
      <c r="BG28" s="148">
        <f>IF(CHOOSE(uxb_works!$B$46,"-",Data_2014_N!BG28,Data_2017!BF28)="","",CHOOSE(uxb_works!$B$46,"-",Data_2014_N!BG28,Data_2017!BF28))</f>
        <v>82.7680103975796</v>
      </c>
      <c r="BH28" s="148">
        <f>IF(CHOOSE(uxb_works!$B$46,"-",Data_2014_N!BH28,Data_2017!BG28)="","",CHOOSE(uxb_works!$B$46,"-",Data_2014_N!BH28,Data_2017!BG28))</f>
        <v>94.8656624195679</v>
      </c>
      <c r="BI28" s="148">
        <f>IF(CHOOSE(uxb_works!$B$46,"-",Data_2014_N!BI28,Data_2017!BH28)="","",CHOOSE(uxb_works!$B$46,"-",Data_2014_N!BI28,Data_2017!BH28))</f>
        <v>94.5553117143222</v>
      </c>
      <c r="BJ28" s="148">
        <f>IF(CHOOSE(uxb_works!$B$46,"-",Data_2014_N!BJ28,Data_2017!BI28)="","",CHOOSE(uxb_works!$B$46,"-",Data_2014_N!BJ28,Data_2017!BI28))</f>
        <v>93.1768994758597</v>
      </c>
      <c r="BK28" s="148">
        <f>IF(CHOOSE(uxb_works!$B$46,"-",Data_2014_N!BK28,Data_2017!BJ28)="","",CHOOSE(uxb_works!$B$46,"-",Data_2014_N!BK28,Data_2017!BJ28))</f>
        <v>87.916005454468</v>
      </c>
      <c r="BL28" s="148">
        <f>IF(CHOOSE(uxb_works!$B$46,"-",Data_2014_N!BL28,Data_2017!BK28)="","",CHOOSE(uxb_works!$B$46,"-",Data_2014_N!BL28,Data_2017!BK28))</f>
        <v>73.3695742958197</v>
      </c>
      <c r="BM28" s="148">
        <f>IF(CHOOSE(uxb_works!$B$46,"-",Data_2014_N!BM28,Data_2017!BL28)="","",CHOOSE(uxb_works!$B$46,"-",Data_2014_N!BM28,Data_2017!BL28))</f>
        <v>90.1403460178122</v>
      </c>
      <c r="BN28" s="148">
        <f>IF(CHOOSE(uxb_works!$B$46,"-",Data_2014_N!BN28,Data_2017!BM28)="","",CHOOSE(uxb_works!$B$46,"-",Data_2014_N!BN28,Data_2017!BM28))</f>
        <v>93.4071308646184</v>
      </c>
      <c r="BO28" s="148">
        <f>IF(CHOOSE(uxb_works!$B$46,"-",Data_2014_N!BO28,Data_2017!BN28)="","",CHOOSE(uxb_works!$B$46,"-",Data_2014_N!BO28,Data_2017!BN28))</f>
        <v>79.5964145395662</v>
      </c>
      <c r="BP28" s="148">
        <f>IF(CHOOSE(uxb_works!$B$46,"-",Data_2014_N!BP28,Data_2017!BO28)="","",CHOOSE(uxb_works!$B$46,"-",Data_2014_N!BP28,Data_2017!BO28))</f>
        <v>90.0277410832233</v>
      </c>
      <c r="BQ28" s="148">
        <f>IF(CHOOSE(uxb_works!$B$46,"-",Data_2014_N!BQ28,Data_2017!BP28)="","",CHOOSE(uxb_works!$B$46,"-",Data_2014_N!BQ28,Data_2017!BP28))</f>
        <v>64.4896274768824</v>
      </c>
      <c r="BR28" s="325">
        <f>IF(CHOOSE(uxb_works!$B$46,"-",Data_2014_N!BR28,Data_2017!BR28)="","",CHOOSE(uxb_works!$B$46,"-",Data_2014_N!BR28,Data_2017!BR28))</f>
        <v>87.1403460178122</v>
      </c>
      <c r="CC28" s="112">
        <v>81.7</v>
      </c>
      <c r="CD28" s="112">
        <v>88.8</v>
      </c>
      <c r="CE28" s="112">
        <v>87.4</v>
      </c>
      <c r="CF28" s="112">
        <v>83.5</v>
      </c>
      <c r="CG28" s="112">
        <v>67.3</v>
      </c>
    </row>
    <row r="29" s="112" customFormat="1" ht="22.5" customHeight="1" spans="1:85">
      <c r="A29"/>
      <c r="B29" s="133">
        <f>tblIndicators!A25</f>
        <v>24</v>
      </c>
      <c r="C29" s="133">
        <f>tblIndicators!B25</f>
        <v>0</v>
      </c>
      <c r="D29" s="310">
        <f>CHOOSE(uxb_works!$B$46,#REF!,Data_2014_N!D29,Data_2017!D29)</f>
        <v>3</v>
      </c>
      <c r="E29" s="133" t="str">
        <f>tblIndicators!E25</f>
        <v>HESE2.2</v>
      </c>
      <c r="F29" s="133" t="str">
        <f>tblIndicators!H25</f>
        <v>Life expectancy years</v>
      </c>
      <c r="G29" s="133">
        <f>tblIndicators!Z25</f>
        <v>2</v>
      </c>
      <c r="H29" s="105" t="str">
        <f>REPT(" ",D29)&amp;CHOOSE(uxb_works!$B$46,#REF!,Data_2014_N!H29,Data_2017!H29)</f>
        <v>      2.2.3) Life expectancy years</v>
      </c>
      <c r="I29" s="319" t="str">
        <f>IF(CHOOSE(uxb_works!$B$46,#REF!,Data_2014_N!I29,Data_2017!I29)="","",CHOOSE(uxb_works!$B$46,#REF!,Data_2014_N!I29,Data_2017!I29))</f>
        <v>Years (the longer, the better)</v>
      </c>
      <c r="J29" s="148">
        <f>IF(CHOOSE(uxb_works!$B$46,"-",Data_2014_N!J29,Data_2017!J29)="","",CHOOSE(uxb_works!$B$46,"-",Data_2014_N!J29,Data_2017!J29))</f>
        <v>77.541243902439</v>
      </c>
      <c r="K29" s="148">
        <f>IF(CHOOSE(uxb_works!$B$46,"-",Data_2014_N!K29,Data_2017!K29)="","",CHOOSE(uxb_works!$B$46,"-",Data_2014_N!K29,Data_2017!K29))</f>
        <v>81.7073170731707</v>
      </c>
      <c r="L29" s="148">
        <f>IF(CHOOSE(uxb_works!$B$46,"-",Data_2014_N!L29,Data_2017!L29)="","",CHOOSE(uxb_works!$B$46,"-",Data_2014_N!L29,Data_2017!L29))</f>
        <v>81.5878048780488</v>
      </c>
      <c r="M29" s="148">
        <f>IF(CHOOSE(uxb_works!$B$46,"-",Data_2014_N!M29,Data_2017!M29)="","",CHOOSE(uxb_works!$B$46,"-",Data_2014_N!M29,Data_2017!M29))</f>
        <v>74.6011951219512</v>
      </c>
      <c r="N29" s="148">
        <f>IF(CHOOSE(uxb_works!$B$46,"-",Data_2014_N!N29,Data_2017!N29)="","",CHOOSE(uxb_works!$B$46,"-",Data_2014_N!N29,Data_2017!N29))</f>
        <v>83.3804878048781</v>
      </c>
      <c r="O29" s="148">
        <f>IF(CHOOSE(uxb_works!$B$46,"-",Data_2014_N!O29,Data_2017!O29)="","",CHOOSE(uxb_works!$B$46,"-",Data_2014_N!O29,Data_2017!O29))</f>
        <v>75.9863414634146</v>
      </c>
      <c r="P29" s="148">
        <f>IF(CHOOSE(uxb_works!$B$46,"-",Data_2014_N!P29,Data_2017!P29)="","",CHOOSE(uxb_works!$B$46,"-",Data_2014_N!P29,Data_2017!P29))</f>
        <v>74.1820243902439</v>
      </c>
      <c r="Q29" s="148">
        <f>IF(CHOOSE(uxb_works!$B$46,"-",Data_2014_N!Q29,Data_2017!Q29)="","",CHOOSE(uxb_works!$B$46,"-",Data_2014_N!Q29,Data_2017!Q29))</f>
        <v>81.2878048780488</v>
      </c>
      <c r="R29" s="148">
        <f>IF(CHOOSE(uxb_works!$B$46,"-",Data_2014_N!R29,Data_2017!R29)="","",CHOOSE(uxb_works!$B$46,"-",Data_2014_N!R29,Data_2017!R29))</f>
        <v>76.3342195121951</v>
      </c>
      <c r="S29" s="148">
        <f>IF(CHOOSE(uxb_works!$B$46,"-",Data_2014_N!S29,Data_2017!S29)="","",CHOOSE(uxb_works!$B$46,"-",Data_2014_N!S29,Data_2017!S29))</f>
        <v>71.3169512195122</v>
      </c>
      <c r="T29" s="148">
        <f>IF(CHOOSE(uxb_works!$B$46,"-",Data_2014_N!T29,Data_2017!T29)="","",CHOOSE(uxb_works!$B$46,"-",Data_2014_N!T29,Data_2017!T29))</f>
        <v>74.4096097560976</v>
      </c>
      <c r="U29" s="148">
        <f>IF(CHOOSE(uxb_works!$B$46,"-",Data_2014_N!U29,Data_2017!U29)="","",CHOOSE(uxb_works!$B$46,"-",Data_2014_N!U29,Data_2017!U29))</f>
        <v>74.2893170731707</v>
      </c>
      <c r="V29" s="148">
        <f>IF(CHOOSE(uxb_works!$B$46,"-",Data_2014_N!V29,Data_2017!V29)="","",CHOOSE(uxb_works!$B$46,"-",Data_2014_N!V29,Data_2017!V29))</f>
        <v>78.9614478220395</v>
      </c>
      <c r="W29" s="148">
        <f>IF(CHOOSE(uxb_works!$B$46,"-",Data_2014_N!W29,Data_2017!W29)="","",CHOOSE(uxb_works!$B$46,"-",Data_2014_N!W29,Data_2017!W29))</f>
        <v>78.4541429859455</v>
      </c>
      <c r="X29" s="148">
        <f>IF(CHOOSE(uxb_works!$B$46,"-",Data_2014_N!X29,Data_2017!X29)="","",CHOOSE(uxb_works!$B$46,"-",Data_2014_N!X29,Data_2017!X29))</f>
        <v>68.3485609756098</v>
      </c>
      <c r="Y29" s="148">
        <f>IF(CHOOSE(uxb_works!$B$46,"-",Data_2014_N!Y29,Data_2017!Y29)="","",CHOOSE(uxb_works!$B$46,"-",Data_2014_N!Y29,Data_2017!Y29))</f>
        <v>72.0011951219512</v>
      </c>
      <c r="Z29" s="148">
        <f>IF(CHOOSE(uxb_works!$B$46,"-",Data_2014_N!Z29,Data_2017!Z29)="","",CHOOSE(uxb_works!$B$46,"-",Data_2014_N!Z29,Data_2017!Z29))</f>
        <v>78.7625853658537</v>
      </c>
      <c r="AA29" s="148">
        <f>IF(CHOOSE(uxb_works!$B$46,"-",Data_2014_N!AA29,Data_2017!AA29)="","",CHOOSE(uxb_works!$B$46,"-",Data_2014_N!AA29,Data_2017!AA29))</f>
        <v>81.090243902439</v>
      </c>
      <c r="AB29" s="148">
        <f>IF(CHOOSE(uxb_works!$B$46,"-",Data_2014_N!AB29,Data_2017!AB29)="","",CHOOSE(uxb_works!$B$46,"-",Data_2014_N!AB29,Data_2017!AB29))</f>
        <v>75.7777317073171</v>
      </c>
      <c r="AC29" s="148">
        <f>IF(CHOOSE(uxb_works!$B$46,"-",Data_2014_N!AC29,Data_2017!AC29)="","",CHOOSE(uxb_works!$B$46,"-",Data_2014_N!AC29,Data_2017!AC29))</f>
        <v>84.2780487804878</v>
      </c>
      <c r="AD29" s="148">
        <f>IF(CHOOSE(uxb_works!$B$46,"-",Data_2014_N!AD29,Data_2017!AD29)="","",CHOOSE(uxb_works!$B$46,"-",Data_2014_N!AD29,Data_2017!AD29))</f>
        <v>75.4262195121951</v>
      </c>
      <c r="AE29" s="148">
        <f>IF(CHOOSE(uxb_works!$B$46,"-",Data_2014_N!AE29,Data_2017!AE29)="","",CHOOSE(uxb_works!$B$46,"-",Data_2014_N!AE29,Data_2017!AE29))</f>
        <v>69.0716829268293</v>
      </c>
      <c r="AF29" s="148">
        <f>IF(CHOOSE(uxb_works!$B$46,"-",Data_2014_N!AF29,Data_2017!AF29)="","",CHOOSE(uxb_works!$B$46,"-",Data_2014_N!AF29,Data_2017!AF29))</f>
        <v>74.4933414634146</v>
      </c>
      <c r="AG29" s="148">
        <f>IF(CHOOSE(uxb_works!$B$46,"-",Data_2014_N!AG29,Data_2017!AG29)="","",CHOOSE(uxb_works!$B$46,"-",Data_2014_N!AG29,Data_2017!AG29))</f>
        <v>57.4409024390244</v>
      </c>
      <c r="AH29" s="148">
        <f>IF(CHOOSE(uxb_works!$B$46,"-",Data_2014_N!AH29,Data_2017!AH29)="","",CHOOSE(uxb_works!$B$46,"-",Data_2014_N!AH29,Data_2017!AH29))</f>
        <v>66.3769756097561</v>
      </c>
      <c r="AI29" s="148">
        <f>IF(CHOOSE(uxb_works!$B$46,"-",Data_2014_N!AI29,Data_2017!AI29)="","",CHOOSE(uxb_works!$B$46,"-",Data_2014_N!AI29,Data_2017!AI29))</f>
        <v>74.8751707317073</v>
      </c>
      <c r="AJ29" s="148">
        <f>IF(CHOOSE(uxb_works!$B$46,"-",Data_2014_N!AJ29,Data_2017!AJ29)="","",CHOOSE(uxb_works!$B$46,"-",Data_2014_N!AJ29,Data_2017!AJ29))</f>
        <v>74.6979024390244</v>
      </c>
      <c r="AK29" s="148" t="e">
        <f>IF(CHOOSE(uxb_works!$B$46,"-",Data_2014_N!AK29,Data_2017!#REF!)="","",CHOOSE(uxb_works!$B$46,"-",Data_2014_N!AK29,Data_2017!#REF!))</f>
        <v>#REF!</v>
      </c>
      <c r="AL29" s="148">
        <f>IF(CHOOSE(uxb_works!$B$46,"-",Data_2014_N!AL29,Data_2017!AK29)="","",CHOOSE(uxb_works!$B$46,"-",Data_2014_N!AL29,Data_2017!AK29))</f>
        <v>74.7807317073171</v>
      </c>
      <c r="AM29" s="148">
        <f>IF(CHOOSE(uxb_works!$B$46,"-",Data_2014_N!AM29,Data_2017!AL29)="","",CHOOSE(uxb_works!$B$46,"-",Data_2014_N!AM29,Data_2017!AL29))</f>
        <v>81.6048780487805</v>
      </c>
      <c r="AN29" s="148">
        <f>IF(CHOOSE(uxb_works!$B$46,"-",Data_2014_N!AN29,Data_2017!AM29)="","",CHOOSE(uxb_works!$B$46,"-",Data_2014_N!AN29,Data_2017!AM29))</f>
        <v>80.7740231455822</v>
      </c>
      <c r="AO29" s="148">
        <f>IF(CHOOSE(uxb_works!$B$46,"-",Data_2014_N!AO29,Data_2017!AN29)="","",CHOOSE(uxb_works!$B$46,"-",Data_2014_N!AO29,Data_2017!AN29))</f>
        <v>83.3804878048781</v>
      </c>
      <c r="AP29" s="148">
        <f>IF(CHOOSE(uxb_works!$B$46,"-",Data_2014_N!AP29,Data_2017!AO29)="","",CHOOSE(uxb_works!$B$46,"-",Data_2014_N!AP29,Data_2017!AO29))</f>
        <v>68.406756097561</v>
      </c>
      <c r="AQ29" s="148">
        <f>IF(CHOOSE(uxb_works!$B$46,"-",Data_2014_N!AQ29,Data_2017!AP29)="","",CHOOSE(uxb_works!$B$46,"-",Data_2014_N!AQ29,Data_2017!AP29))</f>
        <v>82.4512195121951</v>
      </c>
      <c r="AR29" s="148">
        <f>IF(CHOOSE(uxb_works!$B$46,"-",Data_2014_N!AR29,Data_2017!AQ29)="","",CHOOSE(uxb_works!$B$46,"-",Data_2014_N!AR29,Data_2017!AQ29))</f>
        <v>76.9206829268293</v>
      </c>
      <c r="AS29" s="148">
        <f>IF(CHOOSE(uxb_works!$B$46,"-",Data_2014_N!AS29,Data_2017!AR29)="","",CHOOSE(uxb_works!$B$46,"-",Data_2014_N!AS29,Data_2017!AR29))</f>
        <v>83.490243902439</v>
      </c>
      <c r="AT29" s="148">
        <f>IF(CHOOSE(uxb_works!$B$46,"-",Data_2014_N!AT29,Data_2017!AS29)="","",CHOOSE(uxb_works!$B$46,"-",Data_2014_N!AT29,Data_2017!AS29))</f>
        <v>70.9085365853659</v>
      </c>
      <c r="AU29" s="148">
        <f>IF(CHOOSE(uxb_works!$B$46,"-",Data_2014_N!AU29,Data_2017!AT29)="","",CHOOSE(uxb_works!$B$46,"-",Data_2014_N!AU29,Data_2017!AT29))</f>
        <v>68.3485609756098</v>
      </c>
      <c r="AV29" s="148">
        <f>IF(CHOOSE(uxb_works!$B$46,"-",Data_2014_N!AV29,Data_2017!AU29)="","",CHOOSE(uxb_works!$B$46,"-",Data_2014_N!AV29,Data_2017!AU29))</f>
        <v>80.4809072461301</v>
      </c>
      <c r="AW29" s="148">
        <f>IF(CHOOSE(uxb_works!$B$46,"-",Data_2014_N!AW29,Data_2017!AV29)="","",CHOOSE(uxb_works!$B$46,"-",Data_2014_N!AW29,Data_2017!AV29))</f>
        <v>83.8436585365854</v>
      </c>
      <c r="AX29" s="148">
        <f>IF(CHOOSE(uxb_works!$B$46,"-",Data_2014_N!AX29,Data_2017!AW29)="","",CHOOSE(uxb_works!$B$46,"-",Data_2014_N!AX29,Data_2017!AW29))</f>
        <v>82.6707317073171</v>
      </c>
      <c r="AY29" s="148">
        <f>IF(CHOOSE(uxb_works!$B$46,"-",Data_2014_N!AY29,Data_2017!AX29)="","",CHOOSE(uxb_works!$B$46,"-",Data_2014_N!AY29,Data_2017!AX29))</f>
        <v>76.1029268292683</v>
      </c>
      <c r="AZ29" s="148">
        <f>IF(CHOOSE(uxb_works!$B$46,"-",Data_2014_N!AZ29,Data_2017!AY29)="","",CHOOSE(uxb_works!$B$46,"-",Data_2014_N!AZ29,Data_2017!AY29))</f>
        <v>74.6758780487805</v>
      </c>
      <c r="BA29" s="148">
        <f>IF(CHOOSE(uxb_works!$B$46,"-",Data_2014_N!BA29,Data_2017!AZ29)="","",CHOOSE(uxb_works!$B$46,"-",Data_2014_N!BA29,Data_2017!AZ29))</f>
        <v>74.4933414634146</v>
      </c>
      <c r="BB29" s="148">
        <f>IF(CHOOSE(uxb_works!$B$46,"-",Data_2014_N!BB29,Data_2017!BA29)="","",CHOOSE(uxb_works!$B$46,"-",Data_2014_N!BB29,Data_2017!BA29))</f>
        <v>83.490243902439</v>
      </c>
      <c r="BC29" s="148">
        <f>IF(CHOOSE(uxb_works!$B$46,"-",Data_2014_N!BC29,Data_2017!BB29)="","",CHOOSE(uxb_works!$B$46,"-",Data_2014_N!BC29,Data_2017!BB29))</f>
        <v>80.7740231455822</v>
      </c>
      <c r="BD29" s="148">
        <f>IF(CHOOSE(uxb_works!$B$46,"-",Data_2014_N!BD29,Data_2017!BC29)="","",CHOOSE(uxb_works!$B$46,"-",Data_2014_N!BD29,Data_2017!BC29))</f>
        <v>81.7875609756098</v>
      </c>
      <c r="BE29" s="148">
        <f>IF(CHOOSE(uxb_works!$B$46,"-",Data_2014_N!BE29,Data_2017!BD29)="","",CHOOSE(uxb_works!$B$46,"-",Data_2014_N!BE29,Data_2017!BD29))</f>
        <v>74.6758780487805</v>
      </c>
      <c r="BF29" s="148">
        <f>IF(CHOOSE(uxb_works!$B$46,"-",Data_2014_N!BF29,Data_2017!BE29)="","",CHOOSE(uxb_works!$B$46,"-",Data_2014_N!BF29,Data_2017!BE29))</f>
        <v>82.1558536585366</v>
      </c>
      <c r="BG29" s="148">
        <f>IF(CHOOSE(uxb_works!$B$46,"-",Data_2014_N!BG29,Data_2017!BF29)="","",CHOOSE(uxb_works!$B$46,"-",Data_2014_N!BG29,Data_2017!BF29))</f>
        <v>75.9863414634146</v>
      </c>
      <c r="BH29" s="148">
        <f>IF(CHOOSE(uxb_works!$B$46,"-",Data_2014_N!BH29,Data_2017!BG29)="","",CHOOSE(uxb_works!$B$46,"-",Data_2014_N!BH29,Data_2017!BG29))</f>
        <v>82.5951219512195</v>
      </c>
      <c r="BI29" s="148">
        <f>IF(CHOOSE(uxb_works!$B$46,"-",Data_2014_N!BI29,Data_2017!BH29)="","",CHOOSE(uxb_works!$B$46,"-",Data_2014_N!BI29,Data_2017!BH29))</f>
        <v>82.5512195121951</v>
      </c>
      <c r="BJ29" s="148">
        <f>IF(CHOOSE(uxb_works!$B$46,"-",Data_2014_N!BJ29,Data_2017!BI29)="","",CHOOSE(uxb_works!$B$46,"-",Data_2014_N!BJ29,Data_2017!BI29))</f>
        <v>82.4512195121951</v>
      </c>
      <c r="BK29" s="148">
        <f>IF(CHOOSE(uxb_works!$B$46,"-",Data_2014_N!BK29,Data_2017!BJ29)="","",CHOOSE(uxb_works!$B$46,"-",Data_2014_N!BK29,Data_2017!BJ29))</f>
        <v>80.2</v>
      </c>
      <c r="BL29" s="148">
        <f>IF(CHOOSE(uxb_works!$B$46,"-",Data_2014_N!BL29,Data_2017!BK29)="","",CHOOSE(uxb_works!$B$46,"-",Data_2014_N!BL29,Data_2017!BK29))</f>
        <v>75.5913414634147</v>
      </c>
      <c r="BM29" s="148">
        <f>IF(CHOOSE(uxb_works!$B$46,"-",Data_2014_N!BM29,Data_2017!BL29)="","",CHOOSE(uxb_works!$B$46,"-",Data_2014_N!BM29,Data_2017!BL29))</f>
        <v>83.8436585365854</v>
      </c>
      <c r="BN29" s="148">
        <f>IF(CHOOSE(uxb_works!$B$46,"-",Data_2014_N!BN29,Data_2017!BM29)="","",CHOOSE(uxb_works!$B$46,"-",Data_2014_N!BN29,Data_2017!BM29))</f>
        <v>82.1376341463415</v>
      </c>
      <c r="BO29" s="148">
        <f>IF(CHOOSE(uxb_works!$B$46,"-",Data_2014_N!BO29,Data_2017!BN29)="","",CHOOSE(uxb_works!$B$46,"-",Data_2014_N!BO29,Data_2017!BN29))</f>
        <v>76.5328925495123</v>
      </c>
      <c r="BP29" s="148">
        <f>IF(CHOOSE(uxb_works!$B$46,"-",Data_2014_N!BP29,Data_2017!BO29)="","",CHOOSE(uxb_works!$B$46,"-",Data_2014_N!BP29,Data_2017!BO29))</f>
        <v>81.4568292682927</v>
      </c>
      <c r="BQ29" s="148">
        <f>IF(CHOOSE(uxb_works!$B$46,"-",Data_2014_N!BQ29,Data_2017!BP29)="","",CHOOSE(uxb_works!$B$46,"-",Data_2014_N!BQ29,Data_2017!BP29))</f>
        <v>66.0420731707317</v>
      </c>
      <c r="BR29" s="325">
        <f>IF(CHOOSE(uxb_works!$B$46,"-",Data_2014_N!BR29,Data_2017!BR29)="","",CHOOSE(uxb_works!$B$46,"-",Data_2014_N!BR29,Data_2017!BR29))</f>
        <v>83.8436585365854</v>
      </c>
      <c r="CC29" s="112">
        <v>80.3</v>
      </c>
      <c r="CD29" s="112">
        <v>80.9</v>
      </c>
      <c r="CE29" s="112">
        <v>79.9</v>
      </c>
      <c r="CF29" s="112">
        <v>80.6</v>
      </c>
      <c r="CG29" s="112">
        <v>75.61</v>
      </c>
    </row>
    <row r="30" s="112" customFormat="1" ht="22.5" customHeight="1" spans="1:85">
      <c r="A30"/>
      <c r="B30" s="133">
        <f>tblIndicators!A26</f>
        <v>25</v>
      </c>
      <c r="C30" s="133">
        <f>tblIndicators!B26</f>
        <v>0</v>
      </c>
      <c r="D30" s="310">
        <f>CHOOSE(uxb_works!$B$46,#REF!,Data_2014_N!D30,Data_2017!D30)</f>
        <v>3</v>
      </c>
      <c r="E30" s="133" t="str">
        <f>tblIndicators!E26</f>
        <v>HESE2.2</v>
      </c>
      <c r="F30" s="133" t="str">
        <f>tblIndicators!H26</f>
        <v>Infant mortality</v>
      </c>
      <c r="G30" s="133">
        <f>tblIndicators!Z26</f>
        <v>2</v>
      </c>
      <c r="H30" s="105" t="str">
        <f>REPT(" ",D30)&amp;CHOOSE(uxb_works!$B$46,#REF!,Data_2014_N!H30,Data_2017!H30)</f>
        <v>      2.2.4) Infant mortality</v>
      </c>
      <c r="I30" s="319" t="str">
        <f>IF(CHOOSE(uxb_works!$B$46,#REF!,Data_2014_N!I30,Data_2017!I30)="","",CHOOSE(uxb_works!$B$46,#REF!,Data_2014_N!I30,Data_2017!I30))</f>
        <v>Deaths per 1,000 births</v>
      </c>
      <c r="J30" s="148">
        <f>IF(CHOOSE(uxb_works!$B$46,"-",Data_2014_N!J30,Data_2017!J30)="","",CHOOSE(uxb_works!$B$46,"-",Data_2014_N!J30,Data_2017!J30))</f>
        <v>5.9</v>
      </c>
      <c r="K30" s="148">
        <f>IF(CHOOSE(uxb_works!$B$46,"-",Data_2014_N!K30,Data_2017!K30)="","",CHOOSE(uxb_works!$B$46,"-",Data_2014_N!K30,Data_2017!K30))</f>
        <v>3.2</v>
      </c>
      <c r="L30" s="148">
        <f>IF(CHOOSE(uxb_works!$B$46,"-",Data_2014_N!L30,Data_2017!L30)="","",CHOOSE(uxb_works!$B$46,"-",Data_2014_N!L30,Data_2017!L30))</f>
        <v>3.6</v>
      </c>
      <c r="M30" s="148">
        <f>IF(CHOOSE(uxb_works!$B$46,"-",Data_2014_N!M30,Data_2017!M30)="","",CHOOSE(uxb_works!$B$46,"-",Data_2014_N!M30,Data_2017!M30))</f>
        <v>10.5</v>
      </c>
      <c r="N30" s="148">
        <f>IF(CHOOSE(uxb_works!$B$46,"-",Data_2014_N!N30,Data_2017!N30)="","",CHOOSE(uxb_works!$B$46,"-",Data_2014_N!N30,Data_2017!N30))</f>
        <v>3.5</v>
      </c>
      <c r="O30" s="148">
        <f>IF(CHOOSE(uxb_works!$B$46,"-",Data_2014_N!O30,Data_2017!O30)="","",CHOOSE(uxb_works!$B$46,"-",Data_2014_N!O30,Data_2017!O30))</f>
        <v>9.2</v>
      </c>
      <c r="P30" s="148">
        <f>IF(CHOOSE(uxb_works!$B$46,"-",Data_2014_N!P30,Data_2017!P30)="","",CHOOSE(uxb_works!$B$46,"-",Data_2014_N!P30,Data_2017!P30))</f>
        <v>13.6</v>
      </c>
      <c r="Q30" s="148">
        <f>IF(CHOOSE(uxb_works!$B$46,"-",Data_2014_N!Q30,Data_2017!Q30)="","",CHOOSE(uxb_works!$B$46,"-",Data_2014_N!Q30,Data_2017!Q30))</f>
        <v>3.3</v>
      </c>
      <c r="R30" s="148">
        <f>IF(CHOOSE(uxb_works!$B$46,"-",Data_2014_N!R30,Data_2017!R30)="","",CHOOSE(uxb_works!$B$46,"-",Data_2014_N!R30,Data_2017!R30))</f>
        <v>11.1</v>
      </c>
      <c r="S30" s="148">
        <f>IF(CHOOSE(uxb_works!$B$46,"-",Data_2014_N!S30,Data_2017!S30)="","",CHOOSE(uxb_works!$B$46,"-",Data_2014_N!S30,Data_2017!S30))</f>
        <v>20.3</v>
      </c>
      <c r="T30" s="148">
        <f>IF(CHOOSE(uxb_works!$B$46,"-",Data_2014_N!T30,Data_2017!T30)="","",CHOOSE(uxb_works!$B$46,"-",Data_2014_N!T30,Data_2017!T30))</f>
        <v>12.9</v>
      </c>
      <c r="U30" s="148">
        <f>IF(CHOOSE(uxb_works!$B$46,"-",Data_2014_N!U30,Data_2017!U30)="","",CHOOSE(uxb_works!$B$46,"-",Data_2014_N!U30,Data_2017!U30))</f>
        <v>23.7</v>
      </c>
      <c r="V30" s="148">
        <f>IF(CHOOSE(uxb_works!$B$46,"-",Data_2014_N!V30,Data_2017!V30)="","",CHOOSE(uxb_works!$B$46,"-",Data_2014_N!V30,Data_2017!V30))</f>
        <v>6.6</v>
      </c>
      <c r="W30" s="148">
        <f>IF(CHOOSE(uxb_works!$B$46,"-",Data_2014_N!W30,Data_2017!W30)="","",CHOOSE(uxb_works!$B$46,"-",Data_2014_N!W30,Data_2017!W30))</f>
        <v>5.8</v>
      </c>
      <c r="X30" s="148">
        <f>IF(CHOOSE(uxb_works!$B$46,"-",Data_2014_N!X30,Data_2017!X30)="","",CHOOSE(uxb_works!$B$46,"-",Data_2014_N!X30,Data_2017!X30))</f>
        <v>37.9</v>
      </c>
      <c r="Y30" s="148">
        <f>IF(CHOOSE(uxb_works!$B$46,"-",Data_2014_N!Y30,Data_2017!Y30)="","",CHOOSE(uxb_works!$B$46,"-",Data_2014_N!Y30,Data_2017!Y30))</f>
        <v>30.7</v>
      </c>
      <c r="Z30" s="148">
        <f>IF(CHOOSE(uxb_works!$B$46,"-",Data_2014_N!Z30,Data_2017!Z30)="","",CHOOSE(uxb_works!$B$46,"-",Data_2014_N!Z30,Data_2017!Z30))</f>
        <v>6.8</v>
      </c>
      <c r="AA30" s="148">
        <f>IF(CHOOSE(uxb_works!$B$46,"-",Data_2014_N!AA30,Data_2017!AA30)="","",CHOOSE(uxb_works!$B$46,"-",Data_2014_N!AA30,Data_2017!AA30))</f>
        <v>3.1</v>
      </c>
      <c r="AB30" s="148">
        <f>IF(CHOOSE(uxb_works!$B$46,"-",Data_2014_N!AB30,Data_2017!AB30)="","",CHOOSE(uxb_works!$B$46,"-",Data_2014_N!AB30,Data_2017!AB30))</f>
        <v>17.3</v>
      </c>
      <c r="AC30" s="148">
        <f>IF(CHOOSE(uxb_works!$B$46,"-",Data_2014_N!AC30,Data_2017!AC30)="","",CHOOSE(uxb_works!$B$46,"-",Data_2014_N!AC30,Data_2017!AC30))</f>
        <v>1.5</v>
      </c>
      <c r="AD30" s="148">
        <f>IF(CHOOSE(uxb_works!$B$46,"-",Data_2014_N!AD30,Data_2017!AD30)="","",CHOOSE(uxb_works!$B$46,"-",Data_2014_N!AD30,Data_2017!AD30))</f>
        <v>11.6</v>
      </c>
      <c r="AE30" s="148">
        <f>IF(CHOOSE(uxb_works!$B$46,"-",Data_2014_N!AE30,Data_2017!AE30)="","",CHOOSE(uxb_works!$B$46,"-",Data_2014_N!AE30,Data_2017!AE30))</f>
        <v>22.8</v>
      </c>
      <c r="AF30" s="148">
        <f>IF(CHOOSE(uxb_works!$B$46,"-",Data_2014_N!AF30,Data_2017!AF30)="","",CHOOSE(uxb_works!$B$46,"-",Data_2014_N!AF30,Data_2017!AF30))</f>
        <v>12.5</v>
      </c>
      <c r="AG30" s="148">
        <f>IF(CHOOSE(uxb_works!$B$46,"-",Data_2014_N!AG30,Data_2017!AG30)="","",CHOOSE(uxb_works!$B$46,"-",Data_2014_N!AG30,Data_2017!AG30))</f>
        <v>33.6</v>
      </c>
      <c r="AH30" s="148">
        <f>IF(CHOOSE(uxb_works!$B$46,"-",Data_2014_N!AH30,Data_2017!AH30)="","",CHOOSE(uxb_works!$B$46,"-",Data_2014_N!AH30,Data_2017!AH30))</f>
        <v>65.8</v>
      </c>
      <c r="AI30" s="148">
        <f>IF(CHOOSE(uxb_works!$B$46,"-",Data_2014_N!AI30,Data_2017!AI30)="","",CHOOSE(uxb_works!$B$46,"-",Data_2014_N!AI30,Data_2017!AI30))</f>
        <v>6</v>
      </c>
      <c r="AJ30" s="148">
        <f>IF(CHOOSE(uxb_works!$B$46,"-",Data_2014_N!AJ30,Data_2017!AJ30)="","",CHOOSE(uxb_works!$B$46,"-",Data_2014_N!AJ30,Data_2017!AJ30))</f>
        <v>7.3</v>
      </c>
      <c r="AK30" s="148" t="e">
        <f>IF(CHOOSE(uxb_works!$B$46,"-",Data_2014_N!AK30,Data_2017!#REF!)="","",CHOOSE(uxb_works!$B$46,"-",Data_2014_N!AK30,Data_2017!#REF!))</f>
        <v>#REF!</v>
      </c>
      <c r="AL30" s="148">
        <f>IF(CHOOSE(uxb_works!$B$46,"-",Data_2014_N!AL30,Data_2017!AK30)="","",CHOOSE(uxb_works!$B$46,"-",Data_2014_N!AL30,Data_2017!AK30))</f>
        <v>13.1</v>
      </c>
      <c r="AM30" s="148">
        <f>IF(CHOOSE(uxb_works!$B$46,"-",Data_2014_N!AM30,Data_2017!AL30)="","",CHOOSE(uxb_works!$B$46,"-",Data_2014_N!AM30,Data_2017!AL30))</f>
        <v>3.5</v>
      </c>
      <c r="AN30" s="148">
        <f>IF(CHOOSE(uxb_works!$B$46,"-",Data_2014_N!AN30,Data_2017!AM30)="","",CHOOSE(uxb_works!$B$46,"-",Data_2014_N!AN30,Data_2017!AM30))</f>
        <v>4.3</v>
      </c>
      <c r="AO30" s="148">
        <f>IF(CHOOSE(uxb_works!$B$46,"-",Data_2014_N!AO30,Data_2017!AN30)="","",CHOOSE(uxb_works!$B$46,"-",Data_2014_N!AO30,Data_2017!AN30))</f>
        <v>3.5</v>
      </c>
      <c r="AP30" s="148">
        <f>IF(CHOOSE(uxb_works!$B$46,"-",Data_2014_N!AP30,Data_2017!AO30)="","",CHOOSE(uxb_works!$B$46,"-",Data_2014_N!AP30,Data_2017!AO30))</f>
        <v>22.2</v>
      </c>
      <c r="AQ30" s="148">
        <f>IF(CHOOSE(uxb_works!$B$46,"-",Data_2014_N!AQ30,Data_2017!AP30)="","",CHOOSE(uxb_works!$B$46,"-",Data_2014_N!AQ30,Data_2017!AP30))</f>
        <v>3</v>
      </c>
      <c r="AR30" s="148">
        <f>IF(CHOOSE(uxb_works!$B$46,"-",Data_2014_N!AR30,Data_2017!AQ30)="","",CHOOSE(uxb_works!$B$46,"-",Data_2014_N!AR30,Data_2017!AQ30))</f>
        <v>11.3</v>
      </c>
      <c r="AS30" s="148">
        <f>IF(CHOOSE(uxb_works!$B$46,"-",Data_2014_N!AS30,Data_2017!AR30)="","",CHOOSE(uxb_works!$B$46,"-",Data_2014_N!AS30,Data_2017!AR30))</f>
        <v>2.9</v>
      </c>
      <c r="AT30" s="148">
        <f>IF(CHOOSE(uxb_works!$B$46,"-",Data_2014_N!AT30,Data_2017!AS30)="","",CHOOSE(uxb_works!$B$46,"-",Data_2014_N!AT30,Data_2017!AS30))</f>
        <v>8.2</v>
      </c>
      <c r="AU30" s="148">
        <f>IF(CHOOSE(uxb_works!$B$46,"-",Data_2014_N!AU30,Data_2017!AT30)="","",CHOOSE(uxb_works!$B$46,"-",Data_2014_N!AU30,Data_2017!AT30))</f>
        <v>37.9</v>
      </c>
      <c r="AV30" s="148">
        <f>IF(CHOOSE(uxb_works!$B$46,"-",Data_2014_N!AV30,Data_2017!AU30)="","",CHOOSE(uxb_works!$B$46,"-",Data_2014_N!AV30,Data_2017!AU30))</f>
        <v>4.6</v>
      </c>
      <c r="AW30" s="148">
        <f>IF(CHOOSE(uxb_works!$B$46,"-",Data_2014_N!AW30,Data_2017!AV30)="","",CHOOSE(uxb_works!$B$46,"-",Data_2014_N!AW30,Data_2017!AV30))</f>
        <v>2</v>
      </c>
      <c r="AX30" s="148">
        <f>IF(CHOOSE(uxb_works!$B$46,"-",Data_2014_N!AX30,Data_2017!AW30)="","",CHOOSE(uxb_works!$B$46,"-",Data_2014_N!AX30,Data_2017!AW30))</f>
        <v>3.5</v>
      </c>
      <c r="AY30" s="148">
        <f>IF(CHOOSE(uxb_works!$B$46,"-",Data_2014_N!AY30,Data_2017!AX30)="","",CHOOSE(uxb_works!$B$46,"-",Data_2014_N!AY30,Data_2017!AX30))</f>
        <v>18.4</v>
      </c>
      <c r="AZ30" s="148">
        <f>IF(CHOOSE(uxb_works!$B$46,"-",Data_2014_N!AZ30,Data_2017!AY30)="","",CHOOSE(uxb_works!$B$46,"-",Data_2014_N!AZ30,Data_2017!AY30))</f>
        <v>14.6</v>
      </c>
      <c r="BA30" s="148">
        <f>IF(CHOOSE(uxb_works!$B$46,"-",Data_2014_N!BA30,Data_2017!AZ30)="","",CHOOSE(uxb_works!$B$46,"-",Data_2014_N!BA30,Data_2017!AZ30))</f>
        <v>12.5</v>
      </c>
      <c r="BB30" s="148">
        <f>IF(CHOOSE(uxb_works!$B$46,"-",Data_2014_N!BB30,Data_2017!BA30)="","",CHOOSE(uxb_works!$B$46,"-",Data_2014_N!BB30,Data_2017!BA30))</f>
        <v>2.9</v>
      </c>
      <c r="BC30" s="148">
        <f>IF(CHOOSE(uxb_works!$B$46,"-",Data_2014_N!BC30,Data_2017!BB30)="","",CHOOSE(uxb_works!$B$46,"-",Data_2014_N!BC30,Data_2017!BB30))</f>
        <v>4.3</v>
      </c>
      <c r="BD30" s="148">
        <f>IF(CHOOSE(uxb_works!$B$46,"-",Data_2014_N!BD30,Data_2017!BC30)="","",CHOOSE(uxb_works!$B$46,"-",Data_2014_N!BD30,Data_2017!BC30))</f>
        <v>7</v>
      </c>
      <c r="BE30" s="148">
        <f>IF(CHOOSE(uxb_works!$B$46,"-",Data_2014_N!BE30,Data_2017!BD30)="","",CHOOSE(uxb_works!$B$46,"-",Data_2014_N!BE30,Data_2017!BD30))</f>
        <v>14.6</v>
      </c>
      <c r="BF30" s="148">
        <f>IF(CHOOSE(uxb_works!$B$46,"-",Data_2014_N!BF30,Data_2017!BE30)="","",CHOOSE(uxb_works!$B$46,"-",Data_2014_N!BF30,Data_2017!BE30))</f>
        <v>2.9</v>
      </c>
      <c r="BG30" s="148">
        <f>IF(CHOOSE(uxb_works!$B$46,"-",Data_2014_N!BG30,Data_2017!BF30)="","",CHOOSE(uxb_works!$B$46,"-",Data_2014_N!BG30,Data_2017!BF30))</f>
        <v>9.2</v>
      </c>
      <c r="BH30" s="148">
        <f>IF(CHOOSE(uxb_works!$B$46,"-",Data_2014_N!BH30,Data_2017!BG30)="","",CHOOSE(uxb_works!$B$46,"-",Data_2014_N!BH30,Data_2017!BG30))</f>
        <v>2.1</v>
      </c>
      <c r="BI30" s="148">
        <f>IF(CHOOSE(uxb_works!$B$46,"-",Data_2014_N!BI30,Data_2017!BH30)="","",CHOOSE(uxb_works!$B$46,"-",Data_2014_N!BI30,Data_2017!BH30))</f>
        <v>2.4</v>
      </c>
      <c r="BJ30" s="148">
        <f>IF(CHOOSE(uxb_works!$B$46,"-",Data_2014_N!BJ30,Data_2017!BI30)="","",CHOOSE(uxb_works!$B$46,"-",Data_2014_N!BJ30,Data_2017!BI30))</f>
        <v>3</v>
      </c>
      <c r="BK30" s="148">
        <f>IF(CHOOSE(uxb_works!$B$46,"-",Data_2014_N!BK30,Data_2017!BJ30)="","",CHOOSE(uxb_works!$B$46,"-",Data_2014_N!BK30,Data_2017!BJ30))</f>
        <v>4.1</v>
      </c>
      <c r="BL30" s="148">
        <f>IF(CHOOSE(uxb_works!$B$46,"-",Data_2014_N!BL30,Data_2017!BK30)="","",CHOOSE(uxb_works!$B$46,"-",Data_2014_N!BL30,Data_2017!BK30))</f>
        <v>13.4</v>
      </c>
      <c r="BM30" s="148">
        <f>IF(CHOOSE(uxb_works!$B$46,"-",Data_2014_N!BM30,Data_2017!BL30)="","",CHOOSE(uxb_works!$B$46,"-",Data_2014_N!BM30,Data_2017!BL30))</f>
        <v>2</v>
      </c>
      <c r="BN30" s="148">
        <f>IF(CHOOSE(uxb_works!$B$46,"-",Data_2014_N!BN30,Data_2017!BM30)="","",CHOOSE(uxb_works!$B$46,"-",Data_2014_N!BN30,Data_2017!BM30))</f>
        <v>4.3</v>
      </c>
      <c r="BO30" s="148">
        <f>IF(CHOOSE(uxb_works!$B$46,"-",Data_2014_N!BO30,Data_2017!BN30)="","",CHOOSE(uxb_works!$B$46,"-",Data_2014_N!BO30,Data_2017!BN30))</f>
        <v>4.5</v>
      </c>
      <c r="BP30" s="148">
        <f>IF(CHOOSE(uxb_works!$B$46,"-",Data_2014_N!BP30,Data_2017!BO30)="","",CHOOSE(uxb_works!$B$46,"-",Data_2014_N!BP30,Data_2017!BO30))</f>
        <v>4.7</v>
      </c>
      <c r="BQ30" s="148">
        <f>IF(CHOOSE(uxb_works!$B$46,"-",Data_2014_N!BQ30,Data_2017!BP30)="","",CHOOSE(uxb_works!$B$46,"-",Data_2014_N!BQ30,Data_2017!BP30))</f>
        <v>39.5</v>
      </c>
      <c r="BR30" s="325">
        <f>IF(CHOOSE(uxb_works!$B$46,"-",Data_2014_N!BR30,Data_2017!BR30)="","",CHOOSE(uxb_works!$B$46,"-",Data_2014_N!BR30,Data_2017!BR30))</f>
        <v>2</v>
      </c>
      <c r="CC30" s="112">
        <v>4.7</v>
      </c>
      <c r="CD30" s="112">
        <v>4.7</v>
      </c>
      <c r="CE30" s="112">
        <v>2.9</v>
      </c>
      <c r="CF30" s="112">
        <v>6.4</v>
      </c>
      <c r="CG30" s="112">
        <v>5.1</v>
      </c>
    </row>
    <row r="31" s="112" customFormat="1" ht="22.5" customHeight="1" spans="1:85">
      <c r="A31"/>
      <c r="B31" s="133">
        <f>tblIndicators!A27</f>
        <v>26</v>
      </c>
      <c r="C31" s="133">
        <f>tblIndicators!B27</f>
        <v>0</v>
      </c>
      <c r="D31" s="310">
        <f>CHOOSE(uxb_works!$B$46,#REF!,Data_2014_N!D31,Data_2017!D31)</f>
        <v>3</v>
      </c>
      <c r="E31" s="133" t="str">
        <f>tblIndicators!E27</f>
        <v>HESE2.2</v>
      </c>
      <c r="F31" s="133" t="str">
        <f>tblIndicators!H27</f>
        <v>Cancer mortality rate</v>
      </c>
      <c r="G31" s="133">
        <f>tblIndicators!Z27</f>
        <v>2</v>
      </c>
      <c r="H31" s="105" t="str">
        <f>REPT(" ",D31)&amp;CHOOSE(uxb_works!$B$46,#REF!,Data_2014_N!H31,Data_2017!H31)</f>
        <v>      2.2.5) Cancer mortality rate</v>
      </c>
      <c r="I31" s="319" t="str">
        <f>IF(CHOOSE(uxb_works!$B$46,#REF!,Data_2014_N!I31,Data_2017!I31)="","",CHOOSE(uxb_works!$B$46,#REF!,Data_2014_N!I31,Data_2017!I31))</f>
        <v>Cancer deaths per 100,000</v>
      </c>
      <c r="J31" s="148">
        <f>IF(CHOOSE(uxb_works!$B$46,"-",Data_2014_N!J31,Data_2017!J31)="","",CHOOSE(uxb_works!$B$46,"-",Data_2014_N!J31,Data_2017!J31))</f>
        <v>79.69</v>
      </c>
      <c r="K31" s="148">
        <f>IF(CHOOSE(uxb_works!$B$46,"-",Data_2014_N!K31,Data_2017!K31)="","",CHOOSE(uxb_works!$B$46,"-",Data_2014_N!K31,Data_2017!K31))</f>
        <v>157.6</v>
      </c>
      <c r="L31" s="148">
        <f>IF(CHOOSE(uxb_works!$B$46,"-",Data_2014_N!L31,Data_2017!L31)="","",CHOOSE(uxb_works!$B$46,"-",Data_2014_N!L31,Data_2017!L31))</f>
        <v>123.71</v>
      </c>
      <c r="M31" s="148">
        <f>IF(CHOOSE(uxb_works!$B$46,"-",Data_2014_N!M31,Data_2017!M31)="","",CHOOSE(uxb_works!$B$46,"-",Data_2014_N!M31,Data_2017!M31))</f>
        <v>104.57</v>
      </c>
      <c r="N31" s="148">
        <f>IF(CHOOSE(uxb_works!$B$46,"-",Data_2014_N!N31,Data_2017!N31)="","",CHOOSE(uxb_works!$B$46,"-",Data_2014_N!N31,Data_2017!N31))</f>
        <v>127.46</v>
      </c>
      <c r="O31" s="148">
        <f>IF(CHOOSE(uxb_works!$B$46,"-",Data_2014_N!O31,Data_2017!O31)="","",CHOOSE(uxb_works!$B$46,"-",Data_2014_N!O31,Data_2017!O31))</f>
        <v>134.5</v>
      </c>
      <c r="P31" s="148">
        <f>IF(CHOOSE(uxb_works!$B$46,"-",Data_2014_N!P31,Data_2017!P31)="","",CHOOSE(uxb_works!$B$46,"-",Data_2014_N!P31,Data_2017!P31))</f>
        <v>90.71</v>
      </c>
      <c r="Q31" s="148">
        <f>IF(CHOOSE(uxb_works!$B$46,"-",Data_2014_N!Q31,Data_2017!Q31)="","",CHOOSE(uxb_works!$B$46,"-",Data_2014_N!Q31,Data_2017!Q31))</f>
        <v>142.12</v>
      </c>
      <c r="R31" s="148">
        <f>IF(CHOOSE(uxb_works!$B$46,"-",Data_2014_N!R31,Data_2017!R31)="","",CHOOSE(uxb_works!$B$46,"-",Data_2014_N!R31,Data_2017!R31))</f>
        <v>134.18</v>
      </c>
      <c r="S31" s="148">
        <f>IF(CHOOSE(uxb_works!$B$46,"-",Data_2014_N!S31,Data_2017!S31)="","",CHOOSE(uxb_works!$B$46,"-",Data_2014_N!S31,Data_2017!S31))</f>
        <v>116.77</v>
      </c>
      <c r="T31" s="148">
        <f>IF(CHOOSE(uxb_works!$B$46,"-",Data_2014_N!T31,Data_2017!T31)="","",CHOOSE(uxb_works!$B$46,"-",Data_2014_N!T31,Data_2017!T31))</f>
        <v>91.39</v>
      </c>
      <c r="U31" s="148">
        <f>IF(CHOOSE(uxb_works!$B$46,"-",Data_2014_N!U31,Data_2017!U31)="","",CHOOSE(uxb_works!$B$46,"-",Data_2014_N!U31,Data_2017!U31))</f>
        <v>94.25</v>
      </c>
      <c r="V31" s="148">
        <f>IF(CHOOSE(uxb_works!$B$46,"-",Data_2014_N!V31,Data_2017!V31)="","",CHOOSE(uxb_works!$B$46,"-",Data_2014_N!V31,Data_2017!V31))</f>
        <v>171.7</v>
      </c>
      <c r="W31" s="148">
        <f>IF(CHOOSE(uxb_works!$B$46,"-",Data_2014_N!W31,Data_2017!W31)="","",CHOOSE(uxb_works!$B$46,"-",Data_2014_N!W31,Data_2017!W31))</f>
        <v>156.9</v>
      </c>
      <c r="X31" s="148">
        <f>IF(CHOOSE(uxb_works!$B$46,"-",Data_2014_N!X31,Data_2017!X31)="","",CHOOSE(uxb_works!$B$46,"-",Data_2014_N!X31,Data_2017!X31))</f>
        <v>70.23</v>
      </c>
      <c r="Y31" s="148">
        <f>IF(CHOOSE(uxb_works!$B$46,"-",Data_2014_N!Y31,Data_2017!Y31)="","",CHOOSE(uxb_works!$B$46,"-",Data_2014_N!Y31,Data_2017!Y31))</f>
        <v>83.07</v>
      </c>
      <c r="Z31" s="148">
        <f>IF(CHOOSE(uxb_works!$B$46,"-",Data_2014_N!Z31,Data_2017!Z31)="","",CHOOSE(uxb_works!$B$46,"-",Data_2014_N!Z31,Data_2017!Z31))</f>
        <v>76.22</v>
      </c>
      <c r="AA31" s="148">
        <f>IF(CHOOSE(uxb_works!$B$46,"-",Data_2014_N!AA31,Data_2017!AA31)="","",CHOOSE(uxb_works!$B$46,"-",Data_2014_N!AA31,Data_2017!AA31))</f>
        <v>131.38</v>
      </c>
      <c r="AB31" s="148">
        <f>IF(CHOOSE(uxb_works!$B$46,"-",Data_2014_N!AB31,Data_2017!AB31)="","",CHOOSE(uxb_works!$B$46,"-",Data_2014_N!AB31,Data_2017!AB31))</f>
        <v>110.13</v>
      </c>
      <c r="AC31" s="148">
        <f>IF(CHOOSE(uxb_works!$B$46,"-",Data_2014_N!AC31,Data_2017!AC31)="","",CHOOSE(uxb_works!$B$46,"-",Data_2014_N!AC31,Data_2017!AC31))</f>
        <v>103.1</v>
      </c>
      <c r="AD31" s="148">
        <f>IF(CHOOSE(uxb_works!$B$46,"-",Data_2014_N!AD31,Data_2017!AD31)="","",CHOOSE(uxb_works!$B$46,"-",Data_2014_N!AD31,Data_2017!AD31))</f>
        <v>131.92</v>
      </c>
      <c r="AE31" s="148">
        <f>IF(CHOOSE(uxb_works!$B$46,"-",Data_2014_N!AE31,Data_2017!AE31)="","",CHOOSE(uxb_works!$B$46,"-",Data_2014_N!AE31,Data_2017!AE31))</f>
        <v>106.37</v>
      </c>
      <c r="AF31" s="148">
        <f>IF(CHOOSE(uxb_works!$B$46,"-",Data_2014_N!AF31,Data_2017!AF31)="","",CHOOSE(uxb_works!$B$46,"-",Data_2014_N!AF31,Data_2017!AF31))</f>
        <v>60.2</v>
      </c>
      <c r="AG31" s="148">
        <f>IF(CHOOSE(uxb_works!$B$46,"-",Data_2014_N!AG31,Data_2017!AG31)="","",CHOOSE(uxb_works!$B$46,"-",Data_2014_N!AG31,Data_2017!AG31))</f>
        <v>106.16</v>
      </c>
      <c r="AH31" s="148">
        <f>IF(CHOOSE(uxb_works!$B$46,"-",Data_2014_N!AH31,Data_2017!AH31)="","",CHOOSE(uxb_works!$B$46,"-",Data_2014_N!AH31,Data_2017!AH31))</f>
        <v>84.74</v>
      </c>
      <c r="AI31" s="148">
        <f>IF(CHOOSE(uxb_works!$B$46,"-",Data_2014_N!AI31,Data_2017!AI31)="","",CHOOSE(uxb_works!$B$46,"-",Data_2014_N!AI31,Data_2017!AI31))</f>
        <v>95.67</v>
      </c>
      <c r="AJ31" s="148">
        <f>IF(CHOOSE(uxb_works!$B$46,"-",Data_2014_N!AJ31,Data_2017!AJ31)="","",CHOOSE(uxb_works!$B$46,"-",Data_2014_N!AJ31,Data_2017!AJ31))</f>
        <v>67.67</v>
      </c>
      <c r="AK31" s="148" t="e">
        <f>IF(CHOOSE(uxb_works!$B$46,"-",Data_2014_N!AK31,Data_2017!#REF!)="","",CHOOSE(uxb_works!$B$46,"-",Data_2014_N!AK31,Data_2017!#REF!))</f>
        <v>#REF!</v>
      </c>
      <c r="AL31" s="148">
        <f>IF(CHOOSE(uxb_works!$B$46,"-",Data_2014_N!AL31,Data_2017!AK31)="","",CHOOSE(uxb_works!$B$46,"-",Data_2014_N!AL31,Data_2017!AK31))</f>
        <v>108.21</v>
      </c>
      <c r="AM31" s="148">
        <f>IF(CHOOSE(uxb_works!$B$46,"-",Data_2014_N!AM31,Data_2017!AL31)="","",CHOOSE(uxb_works!$B$46,"-",Data_2014_N!AM31,Data_2017!AL31))</f>
        <v>140.07</v>
      </c>
      <c r="AN31" s="148">
        <f>IF(CHOOSE(uxb_works!$B$46,"-",Data_2014_N!AN31,Data_2017!AM31)="","",CHOOSE(uxb_works!$B$46,"-",Data_2014_N!AN31,Data_2017!AM31))</f>
        <v>146.6</v>
      </c>
      <c r="AO31" s="148">
        <f>IF(CHOOSE(uxb_works!$B$46,"-",Data_2014_N!AO31,Data_2017!AN31)="","",CHOOSE(uxb_works!$B$46,"-",Data_2014_N!AO31,Data_2017!AN31))</f>
        <v>127.46</v>
      </c>
      <c r="AP31" s="148">
        <f>IF(CHOOSE(uxb_works!$B$46,"-",Data_2014_N!AP31,Data_2017!AO31)="","",CHOOSE(uxb_works!$B$46,"-",Data_2014_N!AP31,Data_2017!AO31))</f>
        <v>93.53</v>
      </c>
      <c r="AQ31" s="148">
        <f>IF(CHOOSE(uxb_works!$B$46,"-",Data_2014_N!AQ31,Data_2017!AP31)="","",CHOOSE(uxb_works!$B$46,"-",Data_2014_N!AQ31,Data_2017!AP31))</f>
        <v>119.53</v>
      </c>
      <c r="AR31" s="148">
        <f>IF(CHOOSE(uxb_works!$B$46,"-",Data_2014_N!AR31,Data_2017!AQ31)="","",CHOOSE(uxb_works!$B$46,"-",Data_2014_N!AR31,Data_2017!AQ31))</f>
        <v>71.75</v>
      </c>
      <c r="AS31" s="148">
        <f>IF(CHOOSE(uxb_works!$B$46,"-",Data_2014_N!AS31,Data_2017!AR31)="","",CHOOSE(uxb_works!$B$46,"-",Data_2014_N!AS31,Data_2017!AR31))</f>
        <v>124.73</v>
      </c>
      <c r="AT31" s="148">
        <f>IF(CHOOSE(uxb_works!$B$46,"-",Data_2014_N!AT31,Data_2017!AS31)="","",CHOOSE(uxb_works!$B$46,"-",Data_2014_N!AT31,Data_2017!AS31))</f>
        <v>155.28</v>
      </c>
      <c r="AU31" s="148">
        <f>IF(CHOOSE(uxb_works!$B$46,"-",Data_2014_N!AU31,Data_2017!AT31)="","",CHOOSE(uxb_works!$B$46,"-",Data_2014_N!AU31,Data_2017!AT31))</f>
        <v>70.23</v>
      </c>
      <c r="AV31" s="148">
        <f>IF(CHOOSE(uxb_works!$B$46,"-",Data_2014_N!AV31,Data_2017!AU31)="","",CHOOSE(uxb_works!$B$46,"-",Data_2014_N!AV31,Data_2017!AU31))</f>
        <v>155.5</v>
      </c>
      <c r="AW31" s="148">
        <f>IF(CHOOSE(uxb_works!$B$46,"-",Data_2014_N!AW31,Data_2017!AV31)="","",CHOOSE(uxb_works!$B$46,"-",Data_2014_N!AW31,Data_2017!AV31))</f>
        <v>113.68</v>
      </c>
      <c r="AX31" s="148">
        <f>IF(CHOOSE(uxb_works!$B$46,"-",Data_2014_N!AX31,Data_2017!AW31)="","",CHOOSE(uxb_works!$B$46,"-",Data_2014_N!AX31,Data_2017!AW31))</f>
        <v>146.8</v>
      </c>
      <c r="AY31" s="148">
        <f>IF(CHOOSE(uxb_works!$B$46,"-",Data_2014_N!AY31,Data_2017!AX31)="","",CHOOSE(uxb_works!$B$46,"-",Data_2014_N!AY31,Data_2017!AX31))</f>
        <v>108.35</v>
      </c>
      <c r="AZ31" s="148">
        <f>IF(CHOOSE(uxb_works!$B$46,"-",Data_2014_N!AZ31,Data_2017!AY31)="","",CHOOSE(uxb_works!$B$46,"-",Data_2014_N!AZ31,Data_2017!AY31))</f>
        <v>118.94</v>
      </c>
      <c r="BA31" s="148">
        <f>IF(CHOOSE(uxb_works!$B$46,"-",Data_2014_N!BA31,Data_2017!AZ31)="","",CHOOSE(uxb_works!$B$46,"-",Data_2014_N!BA31,Data_2017!AZ31))</f>
        <v>60.2</v>
      </c>
      <c r="BB31" s="148">
        <f>IF(CHOOSE(uxb_works!$B$46,"-",Data_2014_N!BB31,Data_2017!BA31)="","",CHOOSE(uxb_works!$B$46,"-",Data_2014_N!BB31,Data_2017!BA31))</f>
        <v>124.73</v>
      </c>
      <c r="BC31" s="148">
        <f>IF(CHOOSE(uxb_works!$B$46,"-",Data_2014_N!BC31,Data_2017!BB31)="","",CHOOSE(uxb_works!$B$46,"-",Data_2014_N!BC31,Data_2017!BB31))</f>
        <v>146.6</v>
      </c>
      <c r="BD31" s="148">
        <f>IF(CHOOSE(uxb_works!$B$46,"-",Data_2014_N!BD31,Data_2017!BC31)="","",CHOOSE(uxb_works!$B$46,"-",Data_2014_N!BD31,Data_2017!BC31))</f>
        <v>119.73</v>
      </c>
      <c r="BE31" s="148">
        <f>IF(CHOOSE(uxb_works!$B$46,"-",Data_2014_N!BE31,Data_2017!BD31)="","",CHOOSE(uxb_works!$B$46,"-",Data_2014_N!BE31,Data_2017!BD31))</f>
        <v>118.94</v>
      </c>
      <c r="BF31" s="148">
        <f>IF(CHOOSE(uxb_works!$B$46,"-",Data_2014_N!BF31,Data_2017!BE31)="","",CHOOSE(uxb_works!$B$46,"-",Data_2014_N!BF31,Data_2017!BE31))</f>
        <v>117.97</v>
      </c>
      <c r="BG31" s="148">
        <f>IF(CHOOSE(uxb_works!$B$46,"-",Data_2014_N!BG31,Data_2017!BF31)="","",CHOOSE(uxb_works!$B$46,"-",Data_2014_N!BG31,Data_2017!BF31))</f>
        <v>115.6</v>
      </c>
      <c r="BH31" s="148">
        <f>IF(CHOOSE(uxb_works!$B$46,"-",Data_2014_N!BH31,Data_2017!BG31)="","",CHOOSE(uxb_works!$B$46,"-",Data_2014_N!BH31,Data_2017!BG31))</f>
        <v>107.64</v>
      </c>
      <c r="BI31" s="148">
        <f>IF(CHOOSE(uxb_works!$B$46,"-",Data_2014_N!BI31,Data_2017!BH31)="","",CHOOSE(uxb_works!$B$46,"-",Data_2014_N!BI31,Data_2017!BH31))</f>
        <v>119.77</v>
      </c>
      <c r="BJ31" s="148">
        <f>IF(CHOOSE(uxb_works!$B$46,"-",Data_2014_N!BJ31,Data_2017!BI31)="","",CHOOSE(uxb_works!$B$46,"-",Data_2014_N!BJ31,Data_2017!BI31))</f>
        <v>119.53</v>
      </c>
      <c r="BK31" s="148">
        <f>IF(CHOOSE(uxb_works!$B$46,"-",Data_2014_N!BK31,Data_2017!BJ31)="","",CHOOSE(uxb_works!$B$46,"-",Data_2014_N!BK31,Data_2017!BJ31))</f>
        <v>126.8</v>
      </c>
      <c r="BL31" s="148">
        <f>IF(CHOOSE(uxb_works!$B$46,"-",Data_2014_N!BL31,Data_2017!BK31)="","",CHOOSE(uxb_works!$B$46,"-",Data_2014_N!BL31,Data_2017!BK31))</f>
        <v>92.75</v>
      </c>
      <c r="BM31" s="148">
        <f>IF(CHOOSE(uxb_works!$B$46,"-",Data_2014_N!BM31,Data_2017!BL31)="","",CHOOSE(uxb_works!$B$46,"-",Data_2014_N!BM31,Data_2017!BL31))</f>
        <v>113.68</v>
      </c>
      <c r="BN31" s="148">
        <f>IF(CHOOSE(uxb_works!$B$46,"-",Data_2014_N!BN31,Data_2017!BM31)="","",CHOOSE(uxb_works!$B$46,"-",Data_2014_N!BN31,Data_2017!BM31))</f>
        <v>129.21</v>
      </c>
      <c r="BO31" s="148">
        <f>IF(CHOOSE(uxb_works!$B$46,"-",Data_2014_N!BO31,Data_2017!BN31)="","",CHOOSE(uxb_works!$B$46,"-",Data_2014_N!BO31,Data_2017!BN31))</f>
        <v>177.7</v>
      </c>
      <c r="BP31" s="148">
        <f>IF(CHOOSE(uxb_works!$B$46,"-",Data_2014_N!BP31,Data_2017!BO31)="","",CHOOSE(uxb_works!$B$46,"-",Data_2014_N!BP31,Data_2017!BO31))</f>
        <v>120.28</v>
      </c>
      <c r="BQ31" s="148">
        <f>IF(CHOOSE(uxb_works!$B$46,"-",Data_2014_N!BQ31,Data_2017!BP31)="","",CHOOSE(uxb_works!$B$46,"-",Data_2014_N!BQ31,Data_2017!BP31))</f>
        <v>117.63</v>
      </c>
      <c r="BR31" s="325">
        <f>IF(CHOOSE(uxb_works!$B$46,"-",Data_2014_N!BR31,Data_2017!BR31)="","",CHOOSE(uxb_works!$B$46,"-",Data_2014_N!BR31,Data_2017!BR31))</f>
        <v>113.68</v>
      </c>
      <c r="CC31" s="112">
        <v>354.01</v>
      </c>
      <c r="CD31" s="112">
        <v>1.63</v>
      </c>
      <c r="CE31" s="112">
        <v>166.04</v>
      </c>
      <c r="CF31" s="112">
        <v>143.2</v>
      </c>
      <c r="CG31" s="112">
        <v>198.41</v>
      </c>
    </row>
    <row r="32" s="112" customFormat="1" ht="22.5" customHeight="1" spans="1:85">
      <c r="A32"/>
      <c r="B32" s="133">
        <f>tblIndicators!A28</f>
        <v>27</v>
      </c>
      <c r="C32" s="133">
        <f>tblIndicators!B28</f>
        <v>0</v>
      </c>
      <c r="D32" s="310">
        <f>CHOOSE(uxb_works!$B$46,#REF!,Data_2014_N!D32,Data_2017!D32)</f>
        <v>3</v>
      </c>
      <c r="E32" s="133" t="str">
        <f>tblIndicators!E28</f>
        <v>HESE2.2</v>
      </c>
      <c r="F32" s="133" t="str">
        <f>tblIndicators!H28</f>
        <v>Number of attacks using biological, chemical and/or radiological weapons</v>
      </c>
      <c r="G32" s="133">
        <f>tblIndicators!Z28</f>
        <v>2</v>
      </c>
      <c r="H32" s="105" t="str">
        <f>REPT(" ",D32)&amp;CHOOSE(uxb_works!$B$46,#REF!,Data_2014_N!H32,Data_2017!H32)</f>
        <v>      2.2.6) Number of attacks using biological, chemical and/or radiological weapons</v>
      </c>
      <c r="I32" s="319" t="str">
        <f>IF(CHOOSE(uxb_works!$B$46,#REF!,Data_2014_N!I32,Data_2017!I32)="","",CHOOSE(uxb_works!$B$46,#REF!,Data_2014_N!I32,Data_2017!I32))</f>
        <v>#/year</v>
      </c>
      <c r="J32" s="148">
        <f>IF(CHOOSE(uxb_works!$B$46,"-",Data_2014_N!J32,Data_2017!J32)="","",CHOOSE(uxb_works!$B$46,"-",Data_2014_N!J32,Data_2017!J32))</f>
        <v>0</v>
      </c>
      <c r="K32" s="148">
        <f>IF(CHOOSE(uxb_works!$B$46,"-",Data_2014_N!K32,Data_2017!K32)="","",CHOOSE(uxb_works!$B$46,"-",Data_2014_N!K32,Data_2017!K32))</f>
        <v>0</v>
      </c>
      <c r="L32" s="148">
        <f>IF(CHOOSE(uxb_works!$B$46,"-",Data_2014_N!L32,Data_2017!L32)="","",CHOOSE(uxb_works!$B$46,"-",Data_2014_N!L32,Data_2017!L32))</f>
        <v>0</v>
      </c>
      <c r="M32" s="148">
        <f>IF(CHOOSE(uxb_works!$B$46,"-",Data_2014_N!M32,Data_2017!M32)="","",CHOOSE(uxb_works!$B$46,"-",Data_2014_N!M32,Data_2017!M32))</f>
        <v>0</v>
      </c>
      <c r="N32" s="148">
        <f>IF(CHOOSE(uxb_works!$B$46,"-",Data_2014_N!N32,Data_2017!N32)="","",CHOOSE(uxb_works!$B$46,"-",Data_2014_N!N32,Data_2017!N32))</f>
        <v>0</v>
      </c>
      <c r="O32" s="148">
        <f>IF(CHOOSE(uxb_works!$B$46,"-",Data_2014_N!O32,Data_2017!O32)="","",CHOOSE(uxb_works!$B$46,"-",Data_2014_N!O32,Data_2017!O32))</f>
        <v>0</v>
      </c>
      <c r="P32" s="148">
        <f>IF(CHOOSE(uxb_works!$B$46,"-",Data_2014_N!P32,Data_2017!P32)="","",CHOOSE(uxb_works!$B$46,"-",Data_2014_N!P32,Data_2017!P32))</f>
        <v>0</v>
      </c>
      <c r="Q32" s="148">
        <f>IF(CHOOSE(uxb_works!$B$46,"-",Data_2014_N!Q32,Data_2017!Q32)="","",CHOOSE(uxb_works!$B$46,"-",Data_2014_N!Q32,Data_2017!Q32))</f>
        <v>0</v>
      </c>
      <c r="R32" s="148">
        <f>IF(CHOOSE(uxb_works!$B$46,"-",Data_2014_N!R32,Data_2017!R32)="","",CHOOSE(uxb_works!$B$46,"-",Data_2014_N!R32,Data_2017!R32))</f>
        <v>0</v>
      </c>
      <c r="S32" s="148">
        <f>IF(CHOOSE(uxb_works!$B$46,"-",Data_2014_N!S32,Data_2017!S32)="","",CHOOSE(uxb_works!$B$46,"-",Data_2014_N!S32,Data_2017!S32))</f>
        <v>0</v>
      </c>
      <c r="T32" s="148">
        <f>IF(CHOOSE(uxb_works!$B$46,"-",Data_2014_N!T32,Data_2017!T32)="","",CHOOSE(uxb_works!$B$46,"-",Data_2014_N!T32,Data_2017!T32))</f>
        <v>0</v>
      </c>
      <c r="U32" s="148">
        <f>IF(CHOOSE(uxb_works!$B$46,"-",Data_2014_N!U32,Data_2017!U32)="","",CHOOSE(uxb_works!$B$46,"-",Data_2014_N!U32,Data_2017!U32))</f>
        <v>0</v>
      </c>
      <c r="V32" s="148">
        <f>IF(CHOOSE(uxb_works!$B$46,"-",Data_2014_N!V32,Data_2017!V32)="","",CHOOSE(uxb_works!$B$46,"-",Data_2014_N!V32,Data_2017!V32))</f>
        <v>0</v>
      </c>
      <c r="W32" s="148">
        <f>IF(CHOOSE(uxb_works!$B$46,"-",Data_2014_N!W32,Data_2017!W32)="","",CHOOSE(uxb_works!$B$46,"-",Data_2014_N!W32,Data_2017!W32))</f>
        <v>0</v>
      </c>
      <c r="X32" s="148">
        <f>IF(CHOOSE(uxb_works!$B$46,"-",Data_2014_N!X32,Data_2017!X32)="","",CHOOSE(uxb_works!$B$46,"-",Data_2014_N!X32,Data_2017!X32))</f>
        <v>0</v>
      </c>
      <c r="Y32" s="148">
        <f>IF(CHOOSE(uxb_works!$B$46,"-",Data_2014_N!Y32,Data_2017!Y32)="","",CHOOSE(uxb_works!$B$46,"-",Data_2014_N!Y32,Data_2017!Y32))</f>
        <v>0</v>
      </c>
      <c r="Z32" s="148">
        <f>IF(CHOOSE(uxb_works!$B$46,"-",Data_2014_N!Z32,Data_2017!Z32)="","",CHOOSE(uxb_works!$B$46,"-",Data_2014_N!Z32,Data_2017!Z32))</f>
        <v>0</v>
      </c>
      <c r="AA32" s="148">
        <f>IF(CHOOSE(uxb_works!$B$46,"-",Data_2014_N!AA32,Data_2017!AA32)="","",CHOOSE(uxb_works!$B$46,"-",Data_2014_N!AA32,Data_2017!AA32))</f>
        <v>0</v>
      </c>
      <c r="AB32" s="148">
        <f>IF(CHOOSE(uxb_works!$B$46,"-",Data_2014_N!AB32,Data_2017!AB32)="","",CHOOSE(uxb_works!$B$46,"-",Data_2014_N!AB32,Data_2017!AB32))</f>
        <v>0</v>
      </c>
      <c r="AC32" s="148">
        <f>IF(CHOOSE(uxb_works!$B$46,"-",Data_2014_N!AC32,Data_2017!AC32)="","",CHOOSE(uxb_works!$B$46,"-",Data_2014_N!AC32,Data_2017!AC32))</f>
        <v>0.3</v>
      </c>
      <c r="AD32" s="148">
        <f>IF(CHOOSE(uxb_works!$B$46,"-",Data_2014_N!AD32,Data_2017!AD32)="","",CHOOSE(uxb_works!$B$46,"-",Data_2014_N!AD32,Data_2017!AD32))</f>
        <v>0</v>
      </c>
      <c r="AE32" s="148">
        <f>IF(CHOOSE(uxb_works!$B$46,"-",Data_2014_N!AE32,Data_2017!AE32)="","",CHOOSE(uxb_works!$B$46,"-",Data_2014_N!AE32,Data_2017!AE32))</f>
        <v>0</v>
      </c>
      <c r="AF32" s="148">
        <f>IF(CHOOSE(uxb_works!$B$46,"-",Data_2014_N!AF32,Data_2017!AF32)="","",CHOOSE(uxb_works!$B$46,"-",Data_2014_N!AF32,Data_2017!AF32))</f>
        <v>0</v>
      </c>
      <c r="AG32" s="148">
        <f>IF(CHOOSE(uxb_works!$B$46,"-",Data_2014_N!AG32,Data_2017!AG32)="","",CHOOSE(uxb_works!$B$46,"-",Data_2014_N!AG32,Data_2017!AG32))</f>
        <v>0</v>
      </c>
      <c r="AH32" s="148">
        <f>IF(CHOOSE(uxb_works!$B$46,"-",Data_2014_N!AH32,Data_2017!AH32)="","",CHOOSE(uxb_works!$B$46,"-",Data_2014_N!AH32,Data_2017!AH32))</f>
        <v>0</v>
      </c>
      <c r="AI32" s="148">
        <f>IF(CHOOSE(uxb_works!$B$46,"-",Data_2014_N!AI32,Data_2017!AI32)="","",CHOOSE(uxb_works!$B$46,"-",Data_2014_N!AI32,Data_2017!AI32))</f>
        <v>0</v>
      </c>
      <c r="AJ32" s="148">
        <f>IF(CHOOSE(uxb_works!$B$46,"-",Data_2014_N!AJ32,Data_2017!AJ32)="","",CHOOSE(uxb_works!$B$46,"-",Data_2014_N!AJ32,Data_2017!AJ32))</f>
        <v>0</v>
      </c>
      <c r="AK32" s="148" t="e">
        <f>IF(CHOOSE(uxb_works!$B$46,"-",Data_2014_N!AK32,Data_2017!#REF!)="","",CHOOSE(uxb_works!$B$46,"-",Data_2014_N!AK32,Data_2017!#REF!))</f>
        <v>#REF!</v>
      </c>
      <c r="AL32" s="148">
        <f>IF(CHOOSE(uxb_works!$B$46,"-",Data_2014_N!AL32,Data_2017!AK32)="","",CHOOSE(uxb_works!$B$46,"-",Data_2014_N!AL32,Data_2017!AK32))</f>
        <v>0</v>
      </c>
      <c r="AM32" s="148">
        <f>IF(CHOOSE(uxb_works!$B$46,"-",Data_2014_N!AM32,Data_2017!AL32)="","",CHOOSE(uxb_works!$B$46,"-",Data_2014_N!AM32,Data_2017!AL32))</f>
        <v>0</v>
      </c>
      <c r="AN32" s="148">
        <f>IF(CHOOSE(uxb_works!$B$46,"-",Data_2014_N!AN32,Data_2017!AM32)="","",CHOOSE(uxb_works!$B$46,"-",Data_2014_N!AN32,Data_2017!AM32))</f>
        <v>0.1</v>
      </c>
      <c r="AO32" s="148">
        <f>IF(CHOOSE(uxb_works!$B$46,"-",Data_2014_N!AO32,Data_2017!AN32)="","",CHOOSE(uxb_works!$B$46,"-",Data_2014_N!AO32,Data_2017!AN32))</f>
        <v>0</v>
      </c>
      <c r="AP32" s="148">
        <f>IF(CHOOSE(uxb_works!$B$46,"-",Data_2014_N!AP32,Data_2017!AO32)="","",CHOOSE(uxb_works!$B$46,"-",Data_2014_N!AP32,Data_2017!AO32))</f>
        <v>0</v>
      </c>
      <c r="AQ32" s="148">
        <f>IF(CHOOSE(uxb_works!$B$46,"-",Data_2014_N!AQ32,Data_2017!AP32)="","",CHOOSE(uxb_works!$B$46,"-",Data_2014_N!AQ32,Data_2017!AP32))</f>
        <v>0</v>
      </c>
      <c r="AR32" s="148">
        <f>IF(CHOOSE(uxb_works!$B$46,"-",Data_2014_N!AR32,Data_2017!AQ32)="","",CHOOSE(uxb_works!$B$46,"-",Data_2014_N!AR32,Data_2017!AQ32))</f>
        <v>0</v>
      </c>
      <c r="AS32" s="148">
        <f>IF(CHOOSE(uxb_works!$B$46,"-",Data_2014_N!AS32,Data_2017!AR32)="","",CHOOSE(uxb_works!$B$46,"-",Data_2014_N!AS32,Data_2017!AR32))</f>
        <v>0</v>
      </c>
      <c r="AT32" s="148">
        <f>IF(CHOOSE(uxb_works!$B$46,"-",Data_2014_N!AT32,Data_2017!AS32)="","",CHOOSE(uxb_works!$B$46,"-",Data_2014_N!AT32,Data_2017!AS32))</f>
        <v>0</v>
      </c>
      <c r="AU32" s="148">
        <f>IF(CHOOSE(uxb_works!$B$46,"-",Data_2014_N!AU32,Data_2017!AT32)="","",CHOOSE(uxb_works!$B$46,"-",Data_2014_N!AU32,Data_2017!AT32))</f>
        <v>0</v>
      </c>
      <c r="AV32" s="148">
        <f>IF(CHOOSE(uxb_works!$B$46,"-",Data_2014_N!AV32,Data_2017!AU32)="","",CHOOSE(uxb_works!$B$46,"-",Data_2014_N!AV32,Data_2017!AU32))</f>
        <v>0.3</v>
      </c>
      <c r="AW32" s="148">
        <f>IF(CHOOSE(uxb_works!$B$46,"-",Data_2014_N!AW32,Data_2017!AV32)="","",CHOOSE(uxb_works!$B$46,"-",Data_2014_N!AW32,Data_2017!AV32))</f>
        <v>0</v>
      </c>
      <c r="AX32" s="148">
        <f>IF(CHOOSE(uxb_works!$B$46,"-",Data_2014_N!AX32,Data_2017!AW32)="","",CHOOSE(uxb_works!$B$46,"-",Data_2014_N!AX32,Data_2017!AW32))</f>
        <v>0</v>
      </c>
      <c r="AY32" s="148">
        <f>IF(CHOOSE(uxb_works!$B$46,"-",Data_2014_N!AY32,Data_2017!AX32)="","",CHOOSE(uxb_works!$B$46,"-",Data_2014_N!AY32,Data_2017!AX32))</f>
        <v>0</v>
      </c>
      <c r="AZ32" s="148">
        <f>IF(CHOOSE(uxb_works!$B$46,"-",Data_2014_N!AZ32,Data_2017!AY32)="","",CHOOSE(uxb_works!$B$46,"-",Data_2014_N!AZ32,Data_2017!AY32))</f>
        <v>0</v>
      </c>
      <c r="BA32" s="148">
        <f>IF(CHOOSE(uxb_works!$B$46,"-",Data_2014_N!BA32,Data_2017!AZ32)="","",CHOOSE(uxb_works!$B$46,"-",Data_2014_N!BA32,Data_2017!AZ32))</f>
        <v>0</v>
      </c>
      <c r="BB32" s="148">
        <f>IF(CHOOSE(uxb_works!$B$46,"-",Data_2014_N!BB32,Data_2017!BA32)="","",CHOOSE(uxb_works!$B$46,"-",Data_2014_N!BB32,Data_2017!BA32))</f>
        <v>0</v>
      </c>
      <c r="BC32" s="148">
        <f>IF(CHOOSE(uxb_works!$B$46,"-",Data_2014_N!BC32,Data_2017!BB32)="","",CHOOSE(uxb_works!$B$46,"-",Data_2014_N!BC32,Data_2017!BB32))</f>
        <v>0</v>
      </c>
      <c r="BD32" s="148">
        <f>IF(CHOOSE(uxb_works!$B$46,"-",Data_2014_N!BD32,Data_2017!BC32)="","",CHOOSE(uxb_works!$B$46,"-",Data_2014_N!BD32,Data_2017!BC32))</f>
        <v>0</v>
      </c>
      <c r="BE32" s="148">
        <f>IF(CHOOSE(uxb_works!$B$46,"-",Data_2014_N!BE32,Data_2017!BD32)="","",CHOOSE(uxb_works!$B$46,"-",Data_2014_N!BE32,Data_2017!BD32))</f>
        <v>0</v>
      </c>
      <c r="BF32" s="148">
        <f>IF(CHOOSE(uxb_works!$B$46,"-",Data_2014_N!BF32,Data_2017!BE32)="","",CHOOSE(uxb_works!$B$46,"-",Data_2014_N!BF32,Data_2017!BE32))</f>
        <v>0</v>
      </c>
      <c r="BG32" s="148">
        <f>IF(CHOOSE(uxb_works!$B$46,"-",Data_2014_N!BG32,Data_2017!BF32)="","",CHOOSE(uxb_works!$B$46,"-",Data_2014_N!BG32,Data_2017!BF32))</f>
        <v>0</v>
      </c>
      <c r="BH32" s="148">
        <f>IF(CHOOSE(uxb_works!$B$46,"-",Data_2014_N!BH32,Data_2017!BG32)="","",CHOOSE(uxb_works!$B$46,"-",Data_2014_N!BH32,Data_2017!BG32))</f>
        <v>0</v>
      </c>
      <c r="BI32" s="148">
        <f>IF(CHOOSE(uxb_works!$B$46,"-",Data_2014_N!BI32,Data_2017!BH32)="","",CHOOSE(uxb_works!$B$46,"-",Data_2014_N!BI32,Data_2017!BH32))</f>
        <v>0</v>
      </c>
      <c r="BJ32" s="148">
        <f>IF(CHOOSE(uxb_works!$B$46,"-",Data_2014_N!BJ32,Data_2017!BI32)="","",CHOOSE(uxb_works!$B$46,"-",Data_2014_N!BJ32,Data_2017!BI32))</f>
        <v>0</v>
      </c>
      <c r="BK32" s="148">
        <f>IF(CHOOSE(uxb_works!$B$46,"-",Data_2014_N!BK32,Data_2017!BJ32)="","",CHOOSE(uxb_works!$B$46,"-",Data_2014_N!BK32,Data_2017!BJ32))</f>
        <v>0</v>
      </c>
      <c r="BL32" s="148">
        <f>IF(CHOOSE(uxb_works!$B$46,"-",Data_2014_N!BL32,Data_2017!BK32)="","",CHOOSE(uxb_works!$B$46,"-",Data_2014_N!BL32,Data_2017!BK32))</f>
        <v>0</v>
      </c>
      <c r="BM32" s="148">
        <f>IF(CHOOSE(uxb_works!$B$46,"-",Data_2014_N!BM32,Data_2017!BL32)="","",CHOOSE(uxb_works!$B$46,"-",Data_2014_N!BM32,Data_2017!BL32))</f>
        <v>0</v>
      </c>
      <c r="BN32" s="148">
        <f>IF(CHOOSE(uxb_works!$B$46,"-",Data_2014_N!BN32,Data_2017!BM32)="","",CHOOSE(uxb_works!$B$46,"-",Data_2014_N!BN32,Data_2017!BM32))</f>
        <v>0</v>
      </c>
      <c r="BO32" s="148">
        <f>IF(CHOOSE(uxb_works!$B$46,"-",Data_2014_N!BO32,Data_2017!BN32)="","",CHOOSE(uxb_works!$B$46,"-",Data_2014_N!BO32,Data_2017!BN32))</f>
        <v>0.2</v>
      </c>
      <c r="BP32" s="148">
        <f>IF(CHOOSE(uxb_works!$B$46,"-",Data_2014_N!BP32,Data_2017!BO32)="","",CHOOSE(uxb_works!$B$46,"-",Data_2014_N!BP32,Data_2017!BO32))</f>
        <v>0.4</v>
      </c>
      <c r="BQ32" s="148">
        <f>IF(CHOOSE(uxb_works!$B$46,"-",Data_2014_N!BQ32,Data_2017!BP32)="","",CHOOSE(uxb_works!$B$46,"-",Data_2014_N!BQ32,Data_2017!BP32))</f>
        <v>0</v>
      </c>
      <c r="BR32" s="325">
        <f>IF(CHOOSE(uxb_works!$B$46,"-",Data_2014_N!BR32,Data_2017!BR32)="","",CHOOSE(uxb_works!$B$46,"-",Data_2014_N!BR32,Data_2017!BR32))</f>
        <v>0</v>
      </c>
      <c r="CC32" s="112">
        <v>0.1</v>
      </c>
      <c r="CD32" s="112">
        <v>0.1</v>
      </c>
      <c r="CE32" s="112">
        <v>0</v>
      </c>
      <c r="CF32" s="112">
        <v>0</v>
      </c>
      <c r="CG32" s="112">
        <v>0.3</v>
      </c>
    </row>
    <row r="33" s="112" customFormat="1" ht="22.5" customHeight="1" spans="1:70">
      <c r="A33"/>
      <c r="B33" s="133">
        <f>tblIndicators!A29</f>
        <v>28</v>
      </c>
      <c r="C33" s="133">
        <f>tblIndicators!B29</f>
        <v>0</v>
      </c>
      <c r="D33" s="310">
        <f>CHOOSE(uxb_works!$B$46,#REF!,Data_2014_N!D33,Data_2017!D33)</f>
        <v>1</v>
      </c>
      <c r="E33" s="133" t="str">
        <f>tblIndicators!E29</f>
        <v>OVERALL</v>
      </c>
      <c r="F33" s="133" t="str">
        <f>tblIndicators!H29</f>
        <v>INFRASTRUCTURE SECURITY</v>
      </c>
      <c r="G33" s="133">
        <f>tblIndicators!Z29</f>
        <v>1</v>
      </c>
      <c r="H33" s="105" t="str">
        <f>REPT(" ",D33)&amp;CHOOSE(uxb_works!$B$46,#REF!,Data_2014_N!H33,Data_2017!H33)</f>
        <v>  3) INFRASTRUCTURE SECURITY</v>
      </c>
      <c r="I33" s="319" t="str">
        <f>IF(CHOOSE(uxb_works!$B$46,#REF!,Data_2014_N!I33,Data_2017!I33)="","",CHOOSE(uxb_works!$B$46,#REF!,Data_2014_N!I33,Data_2017!I33))</f>
        <v/>
      </c>
      <c r="J33" s="148" t="str">
        <f>IF(CHOOSE(uxb_works!$B$46,"-",Data_2014_N!J33,Data_2017!J33)="","",CHOOSE(uxb_works!$B$46,"-",Data_2014_N!J33,Data_2017!J33))</f>
        <v/>
      </c>
      <c r="K33" s="148" t="str">
        <f>IF(CHOOSE(uxb_works!$B$46,"-",Data_2014_N!K33,Data_2017!K33)="","",CHOOSE(uxb_works!$B$46,"-",Data_2014_N!K33,Data_2017!K33))</f>
        <v/>
      </c>
      <c r="L33" s="148" t="str">
        <f>IF(CHOOSE(uxb_works!$B$46,"-",Data_2014_N!L33,Data_2017!L33)="","",CHOOSE(uxb_works!$B$46,"-",Data_2014_N!L33,Data_2017!L33))</f>
        <v/>
      </c>
      <c r="M33" s="148" t="str">
        <f>IF(CHOOSE(uxb_works!$B$46,"-",Data_2014_N!M33,Data_2017!M33)="","",CHOOSE(uxb_works!$B$46,"-",Data_2014_N!M33,Data_2017!M33))</f>
        <v/>
      </c>
      <c r="N33" s="148" t="str">
        <f>IF(CHOOSE(uxb_works!$B$46,"-",Data_2014_N!N33,Data_2017!N33)="","",CHOOSE(uxb_works!$B$46,"-",Data_2014_N!N33,Data_2017!N33))</f>
        <v/>
      </c>
      <c r="O33" s="148" t="str">
        <f>IF(CHOOSE(uxb_works!$B$46,"-",Data_2014_N!O33,Data_2017!O33)="","",CHOOSE(uxb_works!$B$46,"-",Data_2014_N!O33,Data_2017!O33))</f>
        <v/>
      </c>
      <c r="P33" s="148" t="str">
        <f>IF(CHOOSE(uxb_works!$B$46,"-",Data_2014_N!P33,Data_2017!P33)="","",CHOOSE(uxb_works!$B$46,"-",Data_2014_N!P33,Data_2017!P33))</f>
        <v/>
      </c>
      <c r="Q33" s="148" t="str">
        <f>IF(CHOOSE(uxb_works!$B$46,"-",Data_2014_N!Q33,Data_2017!Q33)="","",CHOOSE(uxb_works!$B$46,"-",Data_2014_N!Q33,Data_2017!Q33))</f>
        <v/>
      </c>
      <c r="R33" s="148" t="str">
        <f>IF(CHOOSE(uxb_works!$B$46,"-",Data_2014_N!R33,Data_2017!R33)="","",CHOOSE(uxb_works!$B$46,"-",Data_2014_N!R33,Data_2017!R33))</f>
        <v/>
      </c>
      <c r="S33" s="148" t="str">
        <f>IF(CHOOSE(uxb_works!$B$46,"-",Data_2014_N!S33,Data_2017!S33)="","",CHOOSE(uxb_works!$B$46,"-",Data_2014_N!S33,Data_2017!S33))</f>
        <v/>
      </c>
      <c r="T33" s="148" t="str">
        <f>IF(CHOOSE(uxb_works!$B$46,"-",Data_2014_N!T33,Data_2017!T33)="","",CHOOSE(uxb_works!$B$46,"-",Data_2014_N!T33,Data_2017!T33))</f>
        <v/>
      </c>
      <c r="U33" s="148" t="str">
        <f>IF(CHOOSE(uxb_works!$B$46,"-",Data_2014_N!U33,Data_2017!U33)="","",CHOOSE(uxb_works!$B$46,"-",Data_2014_N!U33,Data_2017!U33))</f>
        <v/>
      </c>
      <c r="V33" s="148" t="str">
        <f>IF(CHOOSE(uxb_works!$B$46,"-",Data_2014_N!V33,Data_2017!V33)="","",CHOOSE(uxb_works!$B$46,"-",Data_2014_N!V33,Data_2017!V33))</f>
        <v/>
      </c>
      <c r="W33" s="148" t="str">
        <f>IF(CHOOSE(uxb_works!$B$46,"-",Data_2014_N!W33,Data_2017!W33)="","",CHOOSE(uxb_works!$B$46,"-",Data_2014_N!W33,Data_2017!W33))</f>
        <v/>
      </c>
      <c r="X33" s="148" t="str">
        <f>IF(CHOOSE(uxb_works!$B$46,"-",Data_2014_N!X33,Data_2017!X33)="","",CHOOSE(uxb_works!$B$46,"-",Data_2014_N!X33,Data_2017!X33))</f>
        <v/>
      </c>
      <c r="Y33" s="148" t="str">
        <f>IF(CHOOSE(uxb_works!$B$46,"-",Data_2014_N!Y33,Data_2017!Y33)="","",CHOOSE(uxb_works!$B$46,"-",Data_2014_N!Y33,Data_2017!Y33))</f>
        <v/>
      </c>
      <c r="Z33" s="148" t="str">
        <f>IF(CHOOSE(uxb_works!$B$46,"-",Data_2014_N!Z33,Data_2017!Z33)="","",CHOOSE(uxb_works!$B$46,"-",Data_2014_N!Z33,Data_2017!Z33))</f>
        <v/>
      </c>
      <c r="AA33" s="148" t="str">
        <f>IF(CHOOSE(uxb_works!$B$46,"-",Data_2014_N!AA33,Data_2017!AA33)="","",CHOOSE(uxb_works!$B$46,"-",Data_2014_N!AA33,Data_2017!AA33))</f>
        <v/>
      </c>
      <c r="AB33" s="148" t="str">
        <f>IF(CHOOSE(uxb_works!$B$46,"-",Data_2014_N!AB33,Data_2017!AB33)="","",CHOOSE(uxb_works!$B$46,"-",Data_2014_N!AB33,Data_2017!AB33))</f>
        <v/>
      </c>
      <c r="AC33" s="148" t="str">
        <f>IF(CHOOSE(uxb_works!$B$46,"-",Data_2014_N!AC33,Data_2017!AC33)="","",CHOOSE(uxb_works!$B$46,"-",Data_2014_N!AC33,Data_2017!AC33))</f>
        <v/>
      </c>
      <c r="AD33" s="148" t="str">
        <f>IF(CHOOSE(uxb_works!$B$46,"-",Data_2014_N!AD33,Data_2017!AD33)="","",CHOOSE(uxb_works!$B$46,"-",Data_2014_N!AD33,Data_2017!AD33))</f>
        <v/>
      </c>
      <c r="AE33" s="148" t="str">
        <f>IF(CHOOSE(uxb_works!$B$46,"-",Data_2014_N!AE33,Data_2017!AE33)="","",CHOOSE(uxb_works!$B$46,"-",Data_2014_N!AE33,Data_2017!AE33))</f>
        <v/>
      </c>
      <c r="AF33" s="148" t="str">
        <f>IF(CHOOSE(uxb_works!$B$46,"-",Data_2014_N!AF33,Data_2017!AF33)="","",CHOOSE(uxb_works!$B$46,"-",Data_2014_N!AF33,Data_2017!AF33))</f>
        <v/>
      </c>
      <c r="AG33" s="148" t="str">
        <f>IF(CHOOSE(uxb_works!$B$46,"-",Data_2014_N!AG33,Data_2017!AG33)="","",CHOOSE(uxb_works!$B$46,"-",Data_2014_N!AG33,Data_2017!AG33))</f>
        <v/>
      </c>
      <c r="AH33" s="148" t="str">
        <f>IF(CHOOSE(uxb_works!$B$46,"-",Data_2014_N!AH33,Data_2017!AH33)="","",CHOOSE(uxb_works!$B$46,"-",Data_2014_N!AH33,Data_2017!AH33))</f>
        <v/>
      </c>
      <c r="AI33" s="148" t="str">
        <f>IF(CHOOSE(uxb_works!$B$46,"-",Data_2014_N!AI33,Data_2017!AI33)="","",CHOOSE(uxb_works!$B$46,"-",Data_2014_N!AI33,Data_2017!AI33))</f>
        <v/>
      </c>
      <c r="AJ33" s="148" t="str">
        <f>IF(CHOOSE(uxb_works!$B$46,"-",Data_2014_N!AJ33,Data_2017!AJ33)="","",CHOOSE(uxb_works!$B$46,"-",Data_2014_N!AJ33,Data_2017!AJ33))</f>
        <v/>
      </c>
      <c r="AK33" s="148" t="e">
        <f>IF(CHOOSE(uxb_works!$B$46,"-",Data_2014_N!AK33,Data_2017!#REF!)="","",CHOOSE(uxb_works!$B$46,"-",Data_2014_N!AK33,Data_2017!#REF!))</f>
        <v>#REF!</v>
      </c>
      <c r="AL33" s="148" t="str">
        <f>IF(CHOOSE(uxb_works!$B$46,"-",Data_2014_N!AL33,Data_2017!AK33)="","",CHOOSE(uxb_works!$B$46,"-",Data_2014_N!AL33,Data_2017!AK33))</f>
        <v/>
      </c>
      <c r="AM33" s="148" t="str">
        <f>IF(CHOOSE(uxb_works!$B$46,"-",Data_2014_N!AM33,Data_2017!AL33)="","",CHOOSE(uxb_works!$B$46,"-",Data_2014_N!AM33,Data_2017!AL33))</f>
        <v/>
      </c>
      <c r="AN33" s="148" t="str">
        <f>IF(CHOOSE(uxb_works!$B$46,"-",Data_2014_N!AN33,Data_2017!AM33)="","",CHOOSE(uxb_works!$B$46,"-",Data_2014_N!AN33,Data_2017!AM33))</f>
        <v/>
      </c>
      <c r="AO33" s="148" t="str">
        <f>IF(CHOOSE(uxb_works!$B$46,"-",Data_2014_N!AO33,Data_2017!AN33)="","",CHOOSE(uxb_works!$B$46,"-",Data_2014_N!AO33,Data_2017!AN33))</f>
        <v/>
      </c>
      <c r="AP33" s="148" t="str">
        <f>IF(CHOOSE(uxb_works!$B$46,"-",Data_2014_N!AP33,Data_2017!AO33)="","",CHOOSE(uxb_works!$B$46,"-",Data_2014_N!AP33,Data_2017!AO33))</f>
        <v/>
      </c>
      <c r="AQ33" s="148" t="str">
        <f>IF(CHOOSE(uxb_works!$B$46,"-",Data_2014_N!AQ33,Data_2017!AP33)="","",CHOOSE(uxb_works!$B$46,"-",Data_2014_N!AQ33,Data_2017!AP33))</f>
        <v/>
      </c>
      <c r="AR33" s="148" t="str">
        <f>IF(CHOOSE(uxb_works!$B$46,"-",Data_2014_N!AR33,Data_2017!AQ33)="","",CHOOSE(uxb_works!$B$46,"-",Data_2014_N!AR33,Data_2017!AQ33))</f>
        <v/>
      </c>
      <c r="AS33" s="148" t="str">
        <f>IF(CHOOSE(uxb_works!$B$46,"-",Data_2014_N!AS33,Data_2017!AR33)="","",CHOOSE(uxb_works!$B$46,"-",Data_2014_N!AS33,Data_2017!AR33))</f>
        <v/>
      </c>
      <c r="AT33" s="148" t="str">
        <f>IF(CHOOSE(uxb_works!$B$46,"-",Data_2014_N!AT33,Data_2017!AS33)="","",CHOOSE(uxb_works!$B$46,"-",Data_2014_N!AT33,Data_2017!AS33))</f>
        <v/>
      </c>
      <c r="AU33" s="148" t="str">
        <f>IF(CHOOSE(uxb_works!$B$46,"-",Data_2014_N!AU33,Data_2017!AT33)="","",CHOOSE(uxb_works!$B$46,"-",Data_2014_N!AU33,Data_2017!AT33))</f>
        <v/>
      </c>
      <c r="AV33" s="148" t="str">
        <f>IF(CHOOSE(uxb_works!$B$46,"-",Data_2014_N!AV33,Data_2017!AU33)="","",CHOOSE(uxb_works!$B$46,"-",Data_2014_N!AV33,Data_2017!AU33))</f>
        <v/>
      </c>
      <c r="AW33" s="148" t="str">
        <f>IF(CHOOSE(uxb_works!$B$46,"-",Data_2014_N!AW33,Data_2017!AV33)="","",CHOOSE(uxb_works!$B$46,"-",Data_2014_N!AW33,Data_2017!AV33))</f>
        <v/>
      </c>
      <c r="AX33" s="148" t="str">
        <f>IF(CHOOSE(uxb_works!$B$46,"-",Data_2014_N!AX33,Data_2017!AW33)="","",CHOOSE(uxb_works!$B$46,"-",Data_2014_N!AX33,Data_2017!AW33))</f>
        <v/>
      </c>
      <c r="AY33" s="148" t="str">
        <f>IF(CHOOSE(uxb_works!$B$46,"-",Data_2014_N!AY33,Data_2017!AX33)="","",CHOOSE(uxb_works!$B$46,"-",Data_2014_N!AY33,Data_2017!AX33))</f>
        <v/>
      </c>
      <c r="AZ33" s="148" t="str">
        <f>IF(CHOOSE(uxb_works!$B$46,"-",Data_2014_N!AZ33,Data_2017!AY33)="","",CHOOSE(uxb_works!$B$46,"-",Data_2014_N!AZ33,Data_2017!AY33))</f>
        <v/>
      </c>
      <c r="BA33" s="148" t="str">
        <f>IF(CHOOSE(uxb_works!$B$46,"-",Data_2014_N!BA33,Data_2017!AZ33)="","",CHOOSE(uxb_works!$B$46,"-",Data_2014_N!BA33,Data_2017!AZ33))</f>
        <v/>
      </c>
      <c r="BB33" s="148" t="str">
        <f>IF(CHOOSE(uxb_works!$B$46,"-",Data_2014_N!BB33,Data_2017!BA33)="","",CHOOSE(uxb_works!$B$46,"-",Data_2014_N!BB33,Data_2017!BA33))</f>
        <v/>
      </c>
      <c r="BC33" s="148" t="str">
        <f>IF(CHOOSE(uxb_works!$B$46,"-",Data_2014_N!BC33,Data_2017!BB33)="","",CHOOSE(uxb_works!$B$46,"-",Data_2014_N!BC33,Data_2017!BB33))</f>
        <v/>
      </c>
      <c r="BD33" s="148" t="str">
        <f>IF(CHOOSE(uxb_works!$B$46,"-",Data_2014_N!BD33,Data_2017!BC33)="","",CHOOSE(uxb_works!$B$46,"-",Data_2014_N!BD33,Data_2017!BC33))</f>
        <v/>
      </c>
      <c r="BE33" s="148" t="str">
        <f>IF(CHOOSE(uxb_works!$B$46,"-",Data_2014_N!BE33,Data_2017!BD33)="","",CHOOSE(uxb_works!$B$46,"-",Data_2014_N!BE33,Data_2017!BD33))</f>
        <v/>
      </c>
      <c r="BF33" s="148" t="str">
        <f>IF(CHOOSE(uxb_works!$B$46,"-",Data_2014_N!BF33,Data_2017!BE33)="","",CHOOSE(uxb_works!$B$46,"-",Data_2014_N!BF33,Data_2017!BE33))</f>
        <v/>
      </c>
      <c r="BG33" s="148" t="str">
        <f>IF(CHOOSE(uxb_works!$B$46,"-",Data_2014_N!BG33,Data_2017!BF33)="","",CHOOSE(uxb_works!$B$46,"-",Data_2014_N!BG33,Data_2017!BF33))</f>
        <v/>
      </c>
      <c r="BH33" s="148" t="str">
        <f>IF(CHOOSE(uxb_works!$B$46,"-",Data_2014_N!BH33,Data_2017!BG33)="","",CHOOSE(uxb_works!$B$46,"-",Data_2014_N!BH33,Data_2017!BG33))</f>
        <v/>
      </c>
      <c r="BI33" s="148" t="str">
        <f>IF(CHOOSE(uxb_works!$B$46,"-",Data_2014_N!BI33,Data_2017!BH33)="","",CHOOSE(uxb_works!$B$46,"-",Data_2014_N!BI33,Data_2017!BH33))</f>
        <v/>
      </c>
      <c r="BJ33" s="148" t="str">
        <f>IF(CHOOSE(uxb_works!$B$46,"-",Data_2014_N!BJ33,Data_2017!BI33)="","",CHOOSE(uxb_works!$B$46,"-",Data_2014_N!BJ33,Data_2017!BI33))</f>
        <v/>
      </c>
      <c r="BK33" s="148" t="str">
        <f>IF(CHOOSE(uxb_works!$B$46,"-",Data_2014_N!BK33,Data_2017!BJ33)="","",CHOOSE(uxb_works!$B$46,"-",Data_2014_N!BK33,Data_2017!BJ33))</f>
        <v/>
      </c>
      <c r="BL33" s="148" t="str">
        <f>IF(CHOOSE(uxb_works!$B$46,"-",Data_2014_N!BL33,Data_2017!BK33)="","",CHOOSE(uxb_works!$B$46,"-",Data_2014_N!BL33,Data_2017!BK33))</f>
        <v/>
      </c>
      <c r="BM33" s="148" t="str">
        <f>IF(CHOOSE(uxb_works!$B$46,"-",Data_2014_N!BM33,Data_2017!BL33)="","",CHOOSE(uxb_works!$B$46,"-",Data_2014_N!BM33,Data_2017!BL33))</f>
        <v/>
      </c>
      <c r="BN33" s="148" t="str">
        <f>IF(CHOOSE(uxb_works!$B$46,"-",Data_2014_N!BN33,Data_2017!BM33)="","",CHOOSE(uxb_works!$B$46,"-",Data_2014_N!BN33,Data_2017!BM33))</f>
        <v/>
      </c>
      <c r="BO33" s="148" t="str">
        <f>IF(CHOOSE(uxb_works!$B$46,"-",Data_2014_N!BO33,Data_2017!BN33)="","",CHOOSE(uxb_works!$B$46,"-",Data_2014_N!BO33,Data_2017!BN33))</f>
        <v/>
      </c>
      <c r="BP33" s="148" t="str">
        <f>IF(CHOOSE(uxb_works!$B$46,"-",Data_2014_N!BP33,Data_2017!BO33)="","",CHOOSE(uxb_works!$B$46,"-",Data_2014_N!BP33,Data_2017!BO33))</f>
        <v/>
      </c>
      <c r="BQ33" s="148" t="str">
        <f>IF(CHOOSE(uxb_works!$B$46,"-",Data_2014_N!BQ33,Data_2017!BP33)="","",CHOOSE(uxb_works!$B$46,"-",Data_2014_N!BQ33,Data_2017!BP33))</f>
        <v/>
      </c>
      <c r="BR33" s="325" t="str">
        <f>IF(CHOOSE(uxb_works!$B$46,"-",Data_2014_N!BR33,Data_2017!BR33)="","",CHOOSE(uxb_works!$B$46,"-",Data_2014_N!BR33,Data_2017!BR33))</f>
        <v/>
      </c>
    </row>
    <row r="34" s="112" customFormat="1" ht="22.5" customHeight="1" spans="1:70">
      <c r="A34"/>
      <c r="B34" s="133">
        <f>tblIndicators!A30</f>
        <v>29</v>
      </c>
      <c r="C34" s="133">
        <f>tblIndicators!B30</f>
        <v>0</v>
      </c>
      <c r="D34" s="310">
        <f>CHOOSE(uxb_works!$B$46,#REF!,Data_2014_N!D34,Data_2017!D34)</f>
        <v>2</v>
      </c>
      <c r="E34" s="133" t="str">
        <f>tblIndicators!E30</f>
        <v>INSE</v>
      </c>
      <c r="F34" s="133" t="str">
        <f>tblIndicators!H30</f>
        <v>Infrastructure security (Inputs)</v>
      </c>
      <c r="G34" s="133">
        <f>tblIndicators!Z30</f>
        <v>1</v>
      </c>
      <c r="H34" s="105" t="str">
        <f>REPT(" ",D34)&amp;CHOOSE(uxb_works!$B$46,#REF!,Data_2014_N!H34,Data_2017!H34)</f>
        <v>    3.1) Infrastructure security (Inputs)</v>
      </c>
      <c r="I34" s="319" t="str">
        <f>IF(CHOOSE(uxb_works!$B$46,#REF!,Data_2014_N!I34,Data_2017!I34)="","",CHOOSE(uxb_works!$B$46,#REF!,Data_2014_N!I34,Data_2017!I34))</f>
        <v/>
      </c>
      <c r="J34" s="148" t="str">
        <f>IF(CHOOSE(uxb_works!$B$46,"-",Data_2014_N!J34,Data_2017!J34)="","",CHOOSE(uxb_works!$B$46,"-",Data_2014_N!J34,Data_2017!J34))</f>
        <v/>
      </c>
      <c r="K34" s="148" t="str">
        <f>IF(CHOOSE(uxb_works!$B$46,"-",Data_2014_N!K34,Data_2017!K34)="","",CHOOSE(uxb_works!$B$46,"-",Data_2014_N!K34,Data_2017!K34))</f>
        <v/>
      </c>
      <c r="L34" s="148" t="str">
        <f>IF(CHOOSE(uxb_works!$B$46,"-",Data_2014_N!L34,Data_2017!L34)="","",CHOOSE(uxb_works!$B$46,"-",Data_2014_N!L34,Data_2017!L34))</f>
        <v/>
      </c>
      <c r="M34" s="148" t="str">
        <f>IF(CHOOSE(uxb_works!$B$46,"-",Data_2014_N!M34,Data_2017!M34)="","",CHOOSE(uxb_works!$B$46,"-",Data_2014_N!M34,Data_2017!M34))</f>
        <v/>
      </c>
      <c r="N34" s="148" t="str">
        <f>IF(CHOOSE(uxb_works!$B$46,"-",Data_2014_N!N34,Data_2017!N34)="","",CHOOSE(uxb_works!$B$46,"-",Data_2014_N!N34,Data_2017!N34))</f>
        <v/>
      </c>
      <c r="O34" s="148" t="str">
        <f>IF(CHOOSE(uxb_works!$B$46,"-",Data_2014_N!O34,Data_2017!O34)="","",CHOOSE(uxb_works!$B$46,"-",Data_2014_N!O34,Data_2017!O34))</f>
        <v/>
      </c>
      <c r="P34" s="148" t="str">
        <f>IF(CHOOSE(uxb_works!$B$46,"-",Data_2014_N!P34,Data_2017!P34)="","",CHOOSE(uxb_works!$B$46,"-",Data_2014_N!P34,Data_2017!P34))</f>
        <v/>
      </c>
      <c r="Q34" s="148" t="str">
        <f>IF(CHOOSE(uxb_works!$B$46,"-",Data_2014_N!Q34,Data_2017!Q34)="","",CHOOSE(uxb_works!$B$46,"-",Data_2014_N!Q34,Data_2017!Q34))</f>
        <v/>
      </c>
      <c r="R34" s="148" t="str">
        <f>IF(CHOOSE(uxb_works!$B$46,"-",Data_2014_N!R34,Data_2017!R34)="","",CHOOSE(uxb_works!$B$46,"-",Data_2014_N!R34,Data_2017!R34))</f>
        <v/>
      </c>
      <c r="S34" s="148" t="str">
        <f>IF(CHOOSE(uxb_works!$B$46,"-",Data_2014_N!S34,Data_2017!S34)="","",CHOOSE(uxb_works!$B$46,"-",Data_2014_N!S34,Data_2017!S34))</f>
        <v/>
      </c>
      <c r="T34" s="148" t="str">
        <f>IF(CHOOSE(uxb_works!$B$46,"-",Data_2014_N!T34,Data_2017!T34)="","",CHOOSE(uxb_works!$B$46,"-",Data_2014_N!T34,Data_2017!T34))</f>
        <v/>
      </c>
      <c r="U34" s="148" t="str">
        <f>IF(CHOOSE(uxb_works!$B$46,"-",Data_2014_N!U34,Data_2017!U34)="","",CHOOSE(uxb_works!$B$46,"-",Data_2014_N!U34,Data_2017!U34))</f>
        <v/>
      </c>
      <c r="V34" s="148" t="str">
        <f>IF(CHOOSE(uxb_works!$B$46,"-",Data_2014_N!V34,Data_2017!V34)="","",CHOOSE(uxb_works!$B$46,"-",Data_2014_N!V34,Data_2017!V34))</f>
        <v/>
      </c>
      <c r="W34" s="148" t="str">
        <f>IF(CHOOSE(uxb_works!$B$46,"-",Data_2014_N!W34,Data_2017!W34)="","",CHOOSE(uxb_works!$B$46,"-",Data_2014_N!W34,Data_2017!W34))</f>
        <v/>
      </c>
      <c r="X34" s="148" t="str">
        <f>IF(CHOOSE(uxb_works!$B$46,"-",Data_2014_N!X34,Data_2017!X34)="","",CHOOSE(uxb_works!$B$46,"-",Data_2014_N!X34,Data_2017!X34))</f>
        <v/>
      </c>
      <c r="Y34" s="148" t="str">
        <f>IF(CHOOSE(uxb_works!$B$46,"-",Data_2014_N!Y34,Data_2017!Y34)="","",CHOOSE(uxb_works!$B$46,"-",Data_2014_N!Y34,Data_2017!Y34))</f>
        <v/>
      </c>
      <c r="Z34" s="148" t="str">
        <f>IF(CHOOSE(uxb_works!$B$46,"-",Data_2014_N!Z34,Data_2017!Z34)="","",CHOOSE(uxb_works!$B$46,"-",Data_2014_N!Z34,Data_2017!Z34))</f>
        <v/>
      </c>
      <c r="AA34" s="148" t="str">
        <f>IF(CHOOSE(uxb_works!$B$46,"-",Data_2014_N!AA34,Data_2017!AA34)="","",CHOOSE(uxb_works!$B$46,"-",Data_2014_N!AA34,Data_2017!AA34))</f>
        <v/>
      </c>
      <c r="AB34" s="148" t="str">
        <f>IF(CHOOSE(uxb_works!$B$46,"-",Data_2014_N!AB34,Data_2017!AB34)="","",CHOOSE(uxb_works!$B$46,"-",Data_2014_N!AB34,Data_2017!AB34))</f>
        <v/>
      </c>
      <c r="AC34" s="148" t="str">
        <f>IF(CHOOSE(uxb_works!$B$46,"-",Data_2014_N!AC34,Data_2017!AC34)="","",CHOOSE(uxb_works!$B$46,"-",Data_2014_N!AC34,Data_2017!AC34))</f>
        <v/>
      </c>
      <c r="AD34" s="148" t="str">
        <f>IF(CHOOSE(uxb_works!$B$46,"-",Data_2014_N!AD34,Data_2017!AD34)="","",CHOOSE(uxb_works!$B$46,"-",Data_2014_N!AD34,Data_2017!AD34))</f>
        <v/>
      </c>
      <c r="AE34" s="148" t="str">
        <f>IF(CHOOSE(uxb_works!$B$46,"-",Data_2014_N!AE34,Data_2017!AE34)="","",CHOOSE(uxb_works!$B$46,"-",Data_2014_N!AE34,Data_2017!AE34))</f>
        <v/>
      </c>
      <c r="AF34" s="148" t="str">
        <f>IF(CHOOSE(uxb_works!$B$46,"-",Data_2014_N!AF34,Data_2017!AF34)="","",CHOOSE(uxb_works!$B$46,"-",Data_2014_N!AF34,Data_2017!AF34))</f>
        <v/>
      </c>
      <c r="AG34" s="148" t="str">
        <f>IF(CHOOSE(uxb_works!$B$46,"-",Data_2014_N!AG34,Data_2017!AG34)="","",CHOOSE(uxb_works!$B$46,"-",Data_2014_N!AG34,Data_2017!AG34))</f>
        <v/>
      </c>
      <c r="AH34" s="148" t="str">
        <f>IF(CHOOSE(uxb_works!$B$46,"-",Data_2014_N!AH34,Data_2017!AH34)="","",CHOOSE(uxb_works!$B$46,"-",Data_2014_N!AH34,Data_2017!AH34))</f>
        <v/>
      </c>
      <c r="AI34" s="148" t="str">
        <f>IF(CHOOSE(uxb_works!$B$46,"-",Data_2014_N!AI34,Data_2017!AI34)="","",CHOOSE(uxb_works!$B$46,"-",Data_2014_N!AI34,Data_2017!AI34))</f>
        <v/>
      </c>
      <c r="AJ34" s="148" t="str">
        <f>IF(CHOOSE(uxb_works!$B$46,"-",Data_2014_N!AJ34,Data_2017!AJ34)="","",CHOOSE(uxb_works!$B$46,"-",Data_2014_N!AJ34,Data_2017!AJ34))</f>
        <v/>
      </c>
      <c r="AK34" s="148" t="e">
        <f>IF(CHOOSE(uxb_works!$B$46,"-",Data_2014_N!AK34,Data_2017!#REF!)="","",CHOOSE(uxb_works!$B$46,"-",Data_2014_N!AK34,Data_2017!#REF!))</f>
        <v>#REF!</v>
      </c>
      <c r="AL34" s="148" t="str">
        <f>IF(CHOOSE(uxb_works!$B$46,"-",Data_2014_N!AL34,Data_2017!AK34)="","",CHOOSE(uxb_works!$B$46,"-",Data_2014_N!AL34,Data_2017!AK34))</f>
        <v/>
      </c>
      <c r="AM34" s="148" t="str">
        <f>IF(CHOOSE(uxb_works!$B$46,"-",Data_2014_N!AM34,Data_2017!AL34)="","",CHOOSE(uxb_works!$B$46,"-",Data_2014_N!AM34,Data_2017!AL34))</f>
        <v/>
      </c>
      <c r="AN34" s="148" t="str">
        <f>IF(CHOOSE(uxb_works!$B$46,"-",Data_2014_N!AN34,Data_2017!AM34)="","",CHOOSE(uxb_works!$B$46,"-",Data_2014_N!AN34,Data_2017!AM34))</f>
        <v/>
      </c>
      <c r="AO34" s="148" t="str">
        <f>IF(CHOOSE(uxb_works!$B$46,"-",Data_2014_N!AO34,Data_2017!AN34)="","",CHOOSE(uxb_works!$B$46,"-",Data_2014_N!AO34,Data_2017!AN34))</f>
        <v/>
      </c>
      <c r="AP34" s="148" t="str">
        <f>IF(CHOOSE(uxb_works!$B$46,"-",Data_2014_N!AP34,Data_2017!AO34)="","",CHOOSE(uxb_works!$B$46,"-",Data_2014_N!AP34,Data_2017!AO34))</f>
        <v/>
      </c>
      <c r="AQ34" s="148" t="str">
        <f>IF(CHOOSE(uxb_works!$B$46,"-",Data_2014_N!AQ34,Data_2017!AP34)="","",CHOOSE(uxb_works!$B$46,"-",Data_2014_N!AQ34,Data_2017!AP34))</f>
        <v/>
      </c>
      <c r="AR34" s="148" t="str">
        <f>IF(CHOOSE(uxb_works!$B$46,"-",Data_2014_N!AR34,Data_2017!AQ34)="","",CHOOSE(uxb_works!$B$46,"-",Data_2014_N!AR34,Data_2017!AQ34))</f>
        <v/>
      </c>
      <c r="AS34" s="148" t="str">
        <f>IF(CHOOSE(uxb_works!$B$46,"-",Data_2014_N!AS34,Data_2017!AR34)="","",CHOOSE(uxb_works!$B$46,"-",Data_2014_N!AS34,Data_2017!AR34))</f>
        <v/>
      </c>
      <c r="AT34" s="148" t="str">
        <f>IF(CHOOSE(uxb_works!$B$46,"-",Data_2014_N!AT34,Data_2017!AS34)="","",CHOOSE(uxb_works!$B$46,"-",Data_2014_N!AT34,Data_2017!AS34))</f>
        <v/>
      </c>
      <c r="AU34" s="148" t="str">
        <f>IF(CHOOSE(uxb_works!$B$46,"-",Data_2014_N!AU34,Data_2017!AT34)="","",CHOOSE(uxb_works!$B$46,"-",Data_2014_N!AU34,Data_2017!AT34))</f>
        <v/>
      </c>
      <c r="AV34" s="148" t="str">
        <f>IF(CHOOSE(uxb_works!$B$46,"-",Data_2014_N!AV34,Data_2017!AU34)="","",CHOOSE(uxb_works!$B$46,"-",Data_2014_N!AV34,Data_2017!AU34))</f>
        <v/>
      </c>
      <c r="AW34" s="148" t="str">
        <f>IF(CHOOSE(uxb_works!$B$46,"-",Data_2014_N!AW34,Data_2017!AV34)="","",CHOOSE(uxb_works!$B$46,"-",Data_2014_N!AW34,Data_2017!AV34))</f>
        <v/>
      </c>
      <c r="AX34" s="148" t="str">
        <f>IF(CHOOSE(uxb_works!$B$46,"-",Data_2014_N!AX34,Data_2017!AW34)="","",CHOOSE(uxb_works!$B$46,"-",Data_2014_N!AX34,Data_2017!AW34))</f>
        <v/>
      </c>
      <c r="AY34" s="148" t="str">
        <f>IF(CHOOSE(uxb_works!$B$46,"-",Data_2014_N!AY34,Data_2017!AX34)="","",CHOOSE(uxb_works!$B$46,"-",Data_2014_N!AY34,Data_2017!AX34))</f>
        <v/>
      </c>
      <c r="AZ34" s="148" t="str">
        <f>IF(CHOOSE(uxb_works!$B$46,"-",Data_2014_N!AZ34,Data_2017!AY34)="","",CHOOSE(uxb_works!$B$46,"-",Data_2014_N!AZ34,Data_2017!AY34))</f>
        <v/>
      </c>
      <c r="BA34" s="148" t="str">
        <f>IF(CHOOSE(uxb_works!$B$46,"-",Data_2014_N!BA34,Data_2017!AZ34)="","",CHOOSE(uxb_works!$B$46,"-",Data_2014_N!BA34,Data_2017!AZ34))</f>
        <v/>
      </c>
      <c r="BB34" s="148" t="str">
        <f>IF(CHOOSE(uxb_works!$B$46,"-",Data_2014_N!BB34,Data_2017!BA34)="","",CHOOSE(uxb_works!$B$46,"-",Data_2014_N!BB34,Data_2017!BA34))</f>
        <v/>
      </c>
      <c r="BC34" s="148" t="str">
        <f>IF(CHOOSE(uxb_works!$B$46,"-",Data_2014_N!BC34,Data_2017!BB34)="","",CHOOSE(uxb_works!$B$46,"-",Data_2014_N!BC34,Data_2017!BB34))</f>
        <v/>
      </c>
      <c r="BD34" s="148" t="str">
        <f>IF(CHOOSE(uxb_works!$B$46,"-",Data_2014_N!BD34,Data_2017!BC34)="","",CHOOSE(uxb_works!$B$46,"-",Data_2014_N!BD34,Data_2017!BC34))</f>
        <v/>
      </c>
      <c r="BE34" s="148" t="str">
        <f>IF(CHOOSE(uxb_works!$B$46,"-",Data_2014_N!BE34,Data_2017!BD34)="","",CHOOSE(uxb_works!$B$46,"-",Data_2014_N!BE34,Data_2017!BD34))</f>
        <v/>
      </c>
      <c r="BF34" s="148" t="str">
        <f>IF(CHOOSE(uxb_works!$B$46,"-",Data_2014_N!BF34,Data_2017!BE34)="","",CHOOSE(uxb_works!$B$46,"-",Data_2014_N!BF34,Data_2017!BE34))</f>
        <v/>
      </c>
      <c r="BG34" s="148" t="str">
        <f>IF(CHOOSE(uxb_works!$B$46,"-",Data_2014_N!BG34,Data_2017!BF34)="","",CHOOSE(uxb_works!$B$46,"-",Data_2014_N!BG34,Data_2017!BF34))</f>
        <v/>
      </c>
      <c r="BH34" s="148" t="str">
        <f>IF(CHOOSE(uxb_works!$B$46,"-",Data_2014_N!BH34,Data_2017!BG34)="","",CHOOSE(uxb_works!$B$46,"-",Data_2014_N!BH34,Data_2017!BG34))</f>
        <v/>
      </c>
      <c r="BI34" s="148" t="str">
        <f>IF(CHOOSE(uxb_works!$B$46,"-",Data_2014_N!BI34,Data_2017!BH34)="","",CHOOSE(uxb_works!$B$46,"-",Data_2014_N!BI34,Data_2017!BH34))</f>
        <v/>
      </c>
      <c r="BJ34" s="148" t="str">
        <f>IF(CHOOSE(uxb_works!$B$46,"-",Data_2014_N!BJ34,Data_2017!BI34)="","",CHOOSE(uxb_works!$B$46,"-",Data_2014_N!BJ34,Data_2017!BI34))</f>
        <v/>
      </c>
      <c r="BK34" s="148" t="str">
        <f>IF(CHOOSE(uxb_works!$B$46,"-",Data_2014_N!BK34,Data_2017!BJ34)="","",CHOOSE(uxb_works!$B$46,"-",Data_2014_N!BK34,Data_2017!BJ34))</f>
        <v/>
      </c>
      <c r="BL34" s="148" t="str">
        <f>IF(CHOOSE(uxb_works!$B$46,"-",Data_2014_N!BL34,Data_2017!BK34)="","",CHOOSE(uxb_works!$B$46,"-",Data_2014_N!BL34,Data_2017!BK34))</f>
        <v/>
      </c>
      <c r="BM34" s="148" t="str">
        <f>IF(CHOOSE(uxb_works!$B$46,"-",Data_2014_N!BM34,Data_2017!BL34)="","",CHOOSE(uxb_works!$B$46,"-",Data_2014_N!BM34,Data_2017!BL34))</f>
        <v/>
      </c>
      <c r="BN34" s="148" t="str">
        <f>IF(CHOOSE(uxb_works!$B$46,"-",Data_2014_N!BN34,Data_2017!BM34)="","",CHOOSE(uxb_works!$B$46,"-",Data_2014_N!BN34,Data_2017!BM34))</f>
        <v/>
      </c>
      <c r="BO34" s="148" t="str">
        <f>IF(CHOOSE(uxb_works!$B$46,"-",Data_2014_N!BO34,Data_2017!BN34)="","",CHOOSE(uxb_works!$B$46,"-",Data_2014_N!BO34,Data_2017!BN34))</f>
        <v/>
      </c>
      <c r="BP34" s="148" t="str">
        <f>IF(CHOOSE(uxb_works!$B$46,"-",Data_2014_N!BP34,Data_2017!BO34)="","",CHOOSE(uxb_works!$B$46,"-",Data_2014_N!BP34,Data_2017!BO34))</f>
        <v/>
      </c>
      <c r="BQ34" s="148" t="str">
        <f>IF(CHOOSE(uxb_works!$B$46,"-",Data_2014_N!BQ34,Data_2017!BP34)="","",CHOOSE(uxb_works!$B$46,"-",Data_2014_N!BQ34,Data_2017!BP34))</f>
        <v/>
      </c>
      <c r="BR34" s="325" t="str">
        <f>IF(CHOOSE(uxb_works!$B$46,"-",Data_2014_N!BR34,Data_2017!BR34)="","",CHOOSE(uxb_works!$B$46,"-",Data_2014_N!BR34,Data_2017!BR34))</f>
        <v/>
      </c>
    </row>
    <row r="35" s="112" customFormat="1" ht="22.5" customHeight="1" spans="1:85">
      <c r="A35"/>
      <c r="B35" s="133">
        <f>tblIndicators!A31</f>
        <v>30</v>
      </c>
      <c r="C35" s="133">
        <f>tblIndicators!B31</f>
        <v>0</v>
      </c>
      <c r="D35" s="310">
        <f>CHOOSE(uxb_works!$B$46,#REF!,Data_2014_N!D35,Data_2017!D35)</f>
        <v>3</v>
      </c>
      <c r="E35" s="133" t="str">
        <f>tblIndicators!E31</f>
        <v>INSE3.1</v>
      </c>
      <c r="F35" s="133" t="str">
        <f>tblIndicators!H31</f>
        <v>Enforcement of transport safety</v>
      </c>
      <c r="G35" s="133">
        <f>tblIndicators!Z31</f>
        <v>3</v>
      </c>
      <c r="H35" s="105" t="str">
        <f>REPT(" ",D35)&amp;CHOOSE(uxb_works!$B$46,#REF!,Data_2014_N!H35,Data_2017!H35)</f>
        <v>      3.1.1) Enforcement of transport safety</v>
      </c>
      <c r="I35" s="319" t="str">
        <f>IF(CHOOSE(uxb_works!$B$46,#REF!,Data_2014_N!I35,Data_2017!I35)="","",CHOOSE(uxb_works!$B$46,#REF!,Data_2014_N!I35,Data_2017!I35))</f>
        <v>Scale 0 - 10, 10 = best</v>
      </c>
      <c r="J35" s="148">
        <f>IF(CHOOSE(uxb_works!$B$46,"-",Data_2014_N!J35,Data_2017!J35)="","",CHOOSE(uxb_works!$B$46,"-",Data_2014_N!J35,Data_2017!J35))</f>
        <v>10</v>
      </c>
      <c r="K35" s="148">
        <f>IF(CHOOSE(uxb_works!$B$46,"-",Data_2014_N!K35,Data_2017!K35)="","",CHOOSE(uxb_works!$B$46,"-",Data_2014_N!K35,Data_2017!K35))</f>
        <v>7</v>
      </c>
      <c r="L35" s="148">
        <f>IF(CHOOSE(uxb_works!$B$46,"-",Data_2014_N!L35,Data_2017!L35)="","",CHOOSE(uxb_works!$B$46,"-",Data_2014_N!L35,Data_2017!L35))</f>
        <v>6</v>
      </c>
      <c r="M35" s="148">
        <f>IF(CHOOSE(uxb_works!$B$46,"-",Data_2014_N!M35,Data_2017!M35)="","",CHOOSE(uxb_works!$B$46,"-",Data_2014_N!M35,Data_2017!M35))</f>
        <v>5.25</v>
      </c>
      <c r="N35" s="148">
        <f>IF(CHOOSE(uxb_works!$B$46,"-",Data_2014_N!N35,Data_2017!N35)="","",CHOOSE(uxb_works!$B$46,"-",Data_2014_N!N35,Data_2017!N35))</f>
        <v>8.25</v>
      </c>
      <c r="O35" s="148">
        <f>IF(CHOOSE(uxb_works!$B$46,"-",Data_2014_N!O35,Data_2017!O35)="","",CHOOSE(uxb_works!$B$46,"-",Data_2014_N!O35,Data_2017!O35))</f>
        <v>7.75</v>
      </c>
      <c r="P35" s="148">
        <f>IF(CHOOSE(uxb_works!$B$46,"-",Data_2014_N!P35,Data_2017!P35)="","",CHOOSE(uxb_works!$B$46,"-",Data_2014_N!P35,Data_2017!P35))</f>
        <v>4</v>
      </c>
      <c r="Q35" s="148">
        <f>IF(CHOOSE(uxb_works!$B$46,"-",Data_2014_N!Q35,Data_2017!Q35)="","",CHOOSE(uxb_works!$B$46,"-",Data_2014_N!Q35,Data_2017!Q35))</f>
        <v>6.75</v>
      </c>
      <c r="R35" s="148">
        <f>IF(CHOOSE(uxb_works!$B$46,"-",Data_2014_N!R35,Data_2017!R35)="","",CHOOSE(uxb_works!$B$46,"-",Data_2014_N!R35,Data_2017!R35))</f>
        <v>6.25</v>
      </c>
      <c r="S35" s="148">
        <f>IF(CHOOSE(uxb_works!$B$46,"-",Data_2014_N!S35,Data_2017!S35)="","",CHOOSE(uxb_works!$B$46,"-",Data_2014_N!S35,Data_2017!S35))</f>
        <v>6</v>
      </c>
      <c r="T35" s="148">
        <f>IF(CHOOSE(uxb_works!$B$46,"-",Data_2014_N!T35,Data_2017!T35)="","",CHOOSE(uxb_works!$B$46,"-",Data_2014_N!T35,Data_2017!T35))</f>
        <v>4</v>
      </c>
      <c r="U35" s="148">
        <f>IF(CHOOSE(uxb_works!$B$46,"-",Data_2014_N!U35,Data_2017!U35)="","",CHOOSE(uxb_works!$B$46,"-",Data_2014_N!U35,Data_2017!U35))</f>
        <v>5.75</v>
      </c>
      <c r="V35" s="148">
        <f>IF(CHOOSE(uxb_works!$B$46,"-",Data_2014_N!V35,Data_2017!V35)="","",CHOOSE(uxb_works!$B$46,"-",Data_2014_N!V35,Data_2017!V35))</f>
        <v>7.75</v>
      </c>
      <c r="W35" s="148">
        <f>IF(CHOOSE(uxb_works!$B$46,"-",Data_2014_N!W35,Data_2017!W35)="","",CHOOSE(uxb_works!$B$46,"-",Data_2014_N!W35,Data_2017!W35))</f>
        <v>7.75</v>
      </c>
      <c r="X35" s="148">
        <f>IF(CHOOSE(uxb_works!$B$46,"-",Data_2014_N!X35,Data_2017!X35)="","",CHOOSE(uxb_works!$B$46,"-",Data_2014_N!X35,Data_2017!X35))</f>
        <v>3.75</v>
      </c>
      <c r="Y35" s="148">
        <f>IF(CHOOSE(uxb_works!$B$46,"-",Data_2014_N!Y35,Data_2017!Y35)="","",CHOOSE(uxb_works!$B$46,"-",Data_2014_N!Y35,Data_2017!Y35))</f>
        <v>3</v>
      </c>
      <c r="Z35" s="148">
        <f>IF(CHOOSE(uxb_works!$B$46,"-",Data_2014_N!Z35,Data_2017!Z35)="","",CHOOSE(uxb_works!$B$46,"-",Data_2014_N!Z35,Data_2017!Z35))</f>
        <v>7.75</v>
      </c>
      <c r="AA35" s="148">
        <f>IF(CHOOSE(uxb_works!$B$46,"-",Data_2014_N!AA35,Data_2017!AA35)="","",CHOOSE(uxb_works!$B$46,"-",Data_2014_N!AA35,Data_2017!AA35))</f>
        <v>7.5</v>
      </c>
      <c r="AB35" s="148">
        <f>IF(CHOOSE(uxb_works!$B$46,"-",Data_2014_N!AB35,Data_2017!AB35)="","",CHOOSE(uxb_works!$B$46,"-",Data_2014_N!AB35,Data_2017!AB35))</f>
        <v>6.5</v>
      </c>
      <c r="AC35" s="148">
        <f>IF(CHOOSE(uxb_works!$B$46,"-",Data_2014_N!AC35,Data_2017!AC35)="","",CHOOSE(uxb_works!$B$46,"-",Data_2014_N!AC35,Data_2017!AC35))</f>
        <v>7.75</v>
      </c>
      <c r="AD35" s="148">
        <f>IF(CHOOSE(uxb_works!$B$46,"-",Data_2014_N!AD35,Data_2017!AD35)="","",CHOOSE(uxb_works!$B$46,"-",Data_2014_N!AD35,Data_2017!AD35))</f>
        <v>3</v>
      </c>
      <c r="AE35" s="148">
        <f>IF(CHOOSE(uxb_works!$B$46,"-",Data_2014_N!AE35,Data_2017!AE35)="","",CHOOSE(uxb_works!$B$46,"-",Data_2014_N!AE35,Data_2017!AE35))</f>
        <v>6.5</v>
      </c>
      <c r="AF35" s="148">
        <f>IF(CHOOSE(uxb_works!$B$46,"-",Data_2014_N!AF35,Data_2017!AF35)="","",CHOOSE(uxb_works!$B$46,"-",Data_2014_N!AF35,Data_2017!AF35))</f>
        <v>6</v>
      </c>
      <c r="AG35" s="148">
        <f>IF(CHOOSE(uxb_works!$B$46,"-",Data_2014_N!AG35,Data_2017!AG35)="","",CHOOSE(uxb_works!$B$46,"-",Data_2014_N!AG35,Data_2017!AG35))</f>
        <v>3.5</v>
      </c>
      <c r="AH35" s="148">
        <f>IF(CHOOSE(uxb_works!$B$46,"-",Data_2014_N!AH35,Data_2017!AH35)="","",CHOOSE(uxb_works!$B$46,"-",Data_2014_N!AH35,Data_2017!AH35))</f>
        <v>3</v>
      </c>
      <c r="AI35" s="148">
        <f>IF(CHOOSE(uxb_works!$B$46,"-",Data_2014_N!AI35,Data_2017!AI35)="","",CHOOSE(uxb_works!$B$46,"-",Data_2014_N!AI35,Data_2017!AI35))</f>
        <v>5</v>
      </c>
      <c r="AJ35" s="148">
        <f>IF(CHOOSE(uxb_works!$B$46,"-",Data_2014_N!AJ35,Data_2017!AJ35)="","",CHOOSE(uxb_works!$B$46,"-",Data_2014_N!AJ35,Data_2017!AJ35))</f>
        <v>6.25</v>
      </c>
      <c r="AK35" s="148" t="e">
        <f>IF(CHOOSE(uxb_works!$B$46,"-",Data_2014_N!AK35,Data_2017!#REF!)="","",CHOOSE(uxb_works!$B$46,"-",Data_2014_N!AK35,Data_2017!#REF!))</f>
        <v>#REF!</v>
      </c>
      <c r="AL35" s="148">
        <f>IF(CHOOSE(uxb_works!$B$46,"-",Data_2014_N!AL35,Data_2017!AK35)="","",CHOOSE(uxb_works!$B$46,"-",Data_2014_N!AL35,Data_2017!AK35))</f>
        <v>3.75</v>
      </c>
      <c r="AM35" s="148">
        <f>IF(CHOOSE(uxb_works!$B$46,"-",Data_2014_N!AM35,Data_2017!AL35)="","",CHOOSE(uxb_works!$B$46,"-",Data_2014_N!AM35,Data_2017!AL35))</f>
        <v>8.75</v>
      </c>
      <c r="AN35" s="148">
        <f>IF(CHOOSE(uxb_works!$B$46,"-",Data_2014_N!AN35,Data_2017!AM35)="","",CHOOSE(uxb_works!$B$46,"-",Data_2014_N!AN35,Data_2017!AM35))</f>
        <v>7.75</v>
      </c>
      <c r="AO35" s="148">
        <f>IF(CHOOSE(uxb_works!$B$46,"-",Data_2014_N!AO35,Data_2017!AN35)="","",CHOOSE(uxb_works!$B$46,"-",Data_2014_N!AO35,Data_2017!AN35))</f>
        <v>8.25</v>
      </c>
      <c r="AP35" s="148">
        <f>IF(CHOOSE(uxb_works!$B$46,"-",Data_2014_N!AP35,Data_2017!AO35)="","",CHOOSE(uxb_works!$B$46,"-",Data_2014_N!AP35,Data_2017!AO35))</f>
        <v>4.25</v>
      </c>
      <c r="AQ35" s="148">
        <f>IF(CHOOSE(uxb_works!$B$46,"-",Data_2014_N!AQ35,Data_2017!AP35)="","",CHOOSE(uxb_works!$B$46,"-",Data_2014_N!AQ35,Data_2017!AP35))</f>
        <v>7.75</v>
      </c>
      <c r="AR35" s="148">
        <f>IF(CHOOSE(uxb_works!$B$46,"-",Data_2014_N!AR35,Data_2017!AQ35)="","",CHOOSE(uxb_works!$B$46,"-",Data_2014_N!AR35,Data_2017!AQ35))</f>
        <v>4.25</v>
      </c>
      <c r="AS35" s="148">
        <f>IF(CHOOSE(uxb_works!$B$46,"-",Data_2014_N!AS35,Data_2017!AR35)="","",CHOOSE(uxb_works!$B$46,"-",Data_2014_N!AS35,Data_2017!AR35))</f>
        <v>7.25</v>
      </c>
      <c r="AT35" s="148">
        <f>IF(CHOOSE(uxb_works!$B$46,"-",Data_2014_N!AT35,Data_2017!AS35)="","",CHOOSE(uxb_works!$B$46,"-",Data_2014_N!AT35,Data_2017!AS35))</f>
        <v>6.75</v>
      </c>
      <c r="AU35" s="148">
        <f>IF(CHOOSE(uxb_works!$B$46,"-",Data_2014_N!AU35,Data_2017!AT35)="","",CHOOSE(uxb_works!$B$46,"-",Data_2014_N!AU35,Data_2017!AT35))</f>
        <v>3.75</v>
      </c>
      <c r="AV35" s="148">
        <f>IF(CHOOSE(uxb_works!$B$46,"-",Data_2014_N!AV35,Data_2017!AU35)="","",CHOOSE(uxb_works!$B$46,"-",Data_2014_N!AV35,Data_2017!AU35))</f>
        <v>7.75</v>
      </c>
      <c r="AW35" s="148">
        <f>IF(CHOOSE(uxb_works!$B$46,"-",Data_2014_N!AW35,Data_2017!AV35)="","",CHOOSE(uxb_works!$B$46,"-",Data_2014_N!AW35,Data_2017!AV35))</f>
        <v>8.25</v>
      </c>
      <c r="AX35" s="148">
        <f>IF(CHOOSE(uxb_works!$B$46,"-",Data_2014_N!AX35,Data_2017!AW35)="","",CHOOSE(uxb_works!$B$46,"-",Data_2014_N!AX35,Data_2017!AW35))</f>
        <v>8.75</v>
      </c>
      <c r="AY35" s="148">
        <f>IF(CHOOSE(uxb_works!$B$46,"-",Data_2014_N!AY35,Data_2017!AX35)="","",CHOOSE(uxb_works!$B$46,"-",Data_2014_N!AY35,Data_2017!AX35))</f>
        <v>5.5</v>
      </c>
      <c r="AZ35" s="148">
        <f>IF(CHOOSE(uxb_works!$B$46,"-",Data_2014_N!AZ35,Data_2017!AY35)="","",CHOOSE(uxb_works!$B$46,"-",Data_2014_N!AZ35,Data_2017!AY35))</f>
        <v>7</v>
      </c>
      <c r="BA35" s="148">
        <f>IF(CHOOSE(uxb_works!$B$46,"-",Data_2014_N!BA35,Data_2017!AZ35)="","",CHOOSE(uxb_works!$B$46,"-",Data_2014_N!BA35,Data_2017!AZ35))</f>
        <v>6</v>
      </c>
      <c r="BB35" s="148">
        <f>IF(CHOOSE(uxb_works!$B$46,"-",Data_2014_N!BB35,Data_2017!BA35)="","",CHOOSE(uxb_works!$B$46,"-",Data_2014_N!BB35,Data_2017!BA35))</f>
        <v>7.25</v>
      </c>
      <c r="BC35" s="148">
        <f>IF(CHOOSE(uxb_works!$B$46,"-",Data_2014_N!BC35,Data_2017!BB35)="","",CHOOSE(uxb_works!$B$46,"-",Data_2014_N!BC35,Data_2017!BB35))</f>
        <v>7.75</v>
      </c>
      <c r="BD35" s="148">
        <f>IF(CHOOSE(uxb_works!$B$46,"-",Data_2014_N!BD35,Data_2017!BC35)="","",CHOOSE(uxb_works!$B$46,"-",Data_2014_N!BD35,Data_2017!BC35))</f>
        <v>4.5</v>
      </c>
      <c r="BE35" s="148">
        <f>IF(CHOOSE(uxb_works!$B$46,"-",Data_2014_N!BE35,Data_2017!BD35)="","",CHOOSE(uxb_works!$B$46,"-",Data_2014_N!BE35,Data_2017!BD35))</f>
        <v>7</v>
      </c>
      <c r="BF35" s="148">
        <f>IF(CHOOSE(uxb_works!$B$46,"-",Data_2014_N!BF35,Data_2017!BE35)="","",CHOOSE(uxb_works!$B$46,"-",Data_2014_N!BF35,Data_2017!BE35))</f>
        <v>7.25</v>
      </c>
      <c r="BG35" s="148">
        <f>IF(CHOOSE(uxb_works!$B$46,"-",Data_2014_N!BG35,Data_2017!BF35)="","",CHOOSE(uxb_works!$B$46,"-",Data_2014_N!BG35,Data_2017!BF35))</f>
        <v>7.75</v>
      </c>
      <c r="BH35" s="148">
        <f>IF(CHOOSE(uxb_works!$B$46,"-",Data_2014_N!BH35,Data_2017!BG35)="","",CHOOSE(uxb_works!$B$46,"-",Data_2014_N!BH35,Data_2017!BG35))</f>
        <v>8.25</v>
      </c>
      <c r="BI35" s="148">
        <f>IF(CHOOSE(uxb_works!$B$46,"-",Data_2014_N!BI35,Data_2017!BH35)="","",CHOOSE(uxb_works!$B$46,"-",Data_2014_N!BI35,Data_2017!BH35))</f>
        <v>7.5</v>
      </c>
      <c r="BJ35" s="148">
        <f>IF(CHOOSE(uxb_works!$B$46,"-",Data_2014_N!BJ35,Data_2017!BI35)="","",CHOOSE(uxb_works!$B$46,"-",Data_2014_N!BJ35,Data_2017!BI35))</f>
        <v>7.75</v>
      </c>
      <c r="BK35" s="148">
        <f>IF(CHOOSE(uxb_works!$B$46,"-",Data_2014_N!BK35,Data_2017!BJ35)="","",CHOOSE(uxb_works!$B$46,"-",Data_2014_N!BK35,Data_2017!BJ35))</f>
        <v>7.75</v>
      </c>
      <c r="BL35" s="148">
        <f>IF(CHOOSE(uxb_works!$B$46,"-",Data_2014_N!BL35,Data_2017!BK35)="","",CHOOSE(uxb_works!$B$46,"-",Data_2014_N!BL35,Data_2017!BK35))</f>
        <v>6.75</v>
      </c>
      <c r="BM35" s="148">
        <f>IF(CHOOSE(uxb_works!$B$46,"-",Data_2014_N!BM35,Data_2017!BL35)="","",CHOOSE(uxb_works!$B$46,"-",Data_2014_N!BM35,Data_2017!BL35))</f>
        <v>8.25</v>
      </c>
      <c r="BN35" s="148">
        <f>IF(CHOOSE(uxb_works!$B$46,"-",Data_2014_N!BN35,Data_2017!BM35)="","",CHOOSE(uxb_works!$B$46,"-",Data_2014_N!BN35,Data_2017!BM35))</f>
        <v>7.75</v>
      </c>
      <c r="BO35" s="148">
        <f>IF(CHOOSE(uxb_works!$B$46,"-",Data_2014_N!BO35,Data_2017!BN35)="","",CHOOSE(uxb_works!$B$46,"-",Data_2014_N!BO35,Data_2017!BN35))</f>
        <v>7.75</v>
      </c>
      <c r="BP35" s="148">
        <f>IF(CHOOSE(uxb_works!$B$46,"-",Data_2014_N!BP35,Data_2017!BO35)="","",CHOOSE(uxb_works!$B$46,"-",Data_2014_N!BP35,Data_2017!BO35))</f>
        <v>8.75</v>
      </c>
      <c r="BQ35" s="148">
        <f>IF(CHOOSE(uxb_works!$B$46,"-",Data_2014_N!BQ35,Data_2017!BP35)="","",CHOOSE(uxb_works!$B$46,"-",Data_2014_N!BQ35,Data_2017!BP35))</f>
        <v>5</v>
      </c>
      <c r="BR35" s="325">
        <f>IF(CHOOSE(uxb_works!$B$46,"-",Data_2014_N!BR35,Data_2017!BR35)="","",CHOOSE(uxb_works!$B$46,"-",Data_2014_N!BR35,Data_2017!BR35))</f>
        <v>8.25</v>
      </c>
      <c r="CC35" s="112">
        <v>7.5</v>
      </c>
      <c r="CD35" s="112">
        <v>7.5</v>
      </c>
      <c r="CE35" s="112">
        <v>7.5</v>
      </c>
      <c r="CF35" s="112">
        <v>7.5</v>
      </c>
      <c r="CG35" s="112">
        <v>7.5</v>
      </c>
    </row>
    <row r="36" s="112" customFormat="1" ht="22.5" customHeight="1" spans="1:85">
      <c r="A36"/>
      <c r="B36" s="133">
        <f>tblIndicators!A32</f>
        <v>31</v>
      </c>
      <c r="C36" s="133">
        <f>tblIndicators!B32</f>
        <v>0</v>
      </c>
      <c r="D36" s="310">
        <f>CHOOSE(uxb_works!$B$46,#REF!,Data_2014_N!D36,Data_2017!D36)</f>
        <v>3</v>
      </c>
      <c r="E36" s="133" t="str">
        <f>tblIndicators!E32</f>
        <v>INSE3.1</v>
      </c>
      <c r="F36" s="133" t="str">
        <f>tblIndicators!H32</f>
        <v>Pedestrian friendliness</v>
      </c>
      <c r="G36" s="133">
        <f>tblIndicators!Z32</f>
        <v>3</v>
      </c>
      <c r="H36" s="105" t="str">
        <f>REPT(" ",D36)&amp;CHOOSE(uxb_works!$B$46,#REF!,Data_2014_N!H36,Data_2017!H36)</f>
        <v>      3.1.2) Pedestrian friendliness</v>
      </c>
      <c r="I36" s="319" t="str">
        <f>IF(CHOOSE(uxb_works!$B$46,#REF!,Data_2014_N!I36,Data_2017!I36)="","",CHOOSE(uxb_works!$B$46,#REF!,Data_2014_N!I36,Data_2017!I36))</f>
        <v>Scale 0-5, 5 = best</v>
      </c>
      <c r="J36" s="148">
        <f>IF(CHOOSE(uxb_works!$B$46,"-",Data_2014_N!J36,Data_2017!J36)="","",CHOOSE(uxb_works!$B$46,"-",Data_2014_N!J36,Data_2017!J36))</f>
        <v>5</v>
      </c>
      <c r="K36" s="148">
        <f>IF(CHOOSE(uxb_works!$B$46,"-",Data_2014_N!K36,Data_2017!K36)="","",CHOOSE(uxb_works!$B$46,"-",Data_2014_N!K36,Data_2017!K36))</f>
        <v>5</v>
      </c>
      <c r="L36" s="148">
        <f>IF(CHOOSE(uxb_works!$B$46,"-",Data_2014_N!L36,Data_2017!L36)="","",CHOOSE(uxb_works!$B$46,"-",Data_2014_N!L36,Data_2017!L36))</f>
        <v>5</v>
      </c>
      <c r="M36" s="148">
        <f>IF(CHOOSE(uxb_works!$B$46,"-",Data_2014_N!M36,Data_2017!M36)="","",CHOOSE(uxb_works!$B$46,"-",Data_2014_N!M36,Data_2017!M36))</f>
        <v>2.5</v>
      </c>
      <c r="N36" s="148">
        <f>IF(CHOOSE(uxb_works!$B$46,"-",Data_2014_N!N36,Data_2017!N36)="","",CHOOSE(uxb_works!$B$46,"-",Data_2014_N!N36,Data_2017!N36))</f>
        <v>5</v>
      </c>
      <c r="O36" s="148">
        <f>IF(CHOOSE(uxb_works!$B$46,"-",Data_2014_N!O36,Data_2017!O36)="","",CHOOSE(uxb_works!$B$46,"-",Data_2014_N!O36,Data_2017!O36))</f>
        <v>2.5</v>
      </c>
      <c r="P36" s="148">
        <f>IF(CHOOSE(uxb_works!$B$46,"-",Data_2014_N!P36,Data_2017!P36)="","",CHOOSE(uxb_works!$B$46,"-",Data_2014_N!P36,Data_2017!P36))</f>
        <v>5</v>
      </c>
      <c r="Q36" s="148">
        <f>IF(CHOOSE(uxb_works!$B$46,"-",Data_2014_N!Q36,Data_2017!Q36)="","",CHOOSE(uxb_works!$B$46,"-",Data_2014_N!Q36,Data_2017!Q36))</f>
        <v>5</v>
      </c>
      <c r="R36" s="148">
        <f>IF(CHOOSE(uxb_works!$B$46,"-",Data_2014_N!R36,Data_2017!R36)="","",CHOOSE(uxb_works!$B$46,"-",Data_2014_N!R36,Data_2017!R36))</f>
        <v>5</v>
      </c>
      <c r="S36" s="148">
        <f>IF(CHOOSE(uxb_works!$B$46,"-",Data_2014_N!S36,Data_2017!S36)="","",CHOOSE(uxb_works!$B$46,"-",Data_2014_N!S36,Data_2017!S36))</f>
        <v>2.5</v>
      </c>
      <c r="T36" s="148">
        <f>IF(CHOOSE(uxb_works!$B$46,"-",Data_2014_N!T36,Data_2017!T36)="","",CHOOSE(uxb_works!$B$46,"-",Data_2014_N!T36,Data_2017!T36))</f>
        <v>0</v>
      </c>
      <c r="U36" s="148">
        <f>IF(CHOOSE(uxb_works!$B$46,"-",Data_2014_N!U36,Data_2017!U36)="","",CHOOSE(uxb_works!$B$46,"-",Data_2014_N!U36,Data_2017!U36))</f>
        <v>0</v>
      </c>
      <c r="V36" s="148">
        <f>IF(CHOOSE(uxb_works!$B$46,"-",Data_2014_N!V36,Data_2017!V36)="","",CHOOSE(uxb_works!$B$46,"-",Data_2014_N!V36,Data_2017!V36))</f>
        <v>5</v>
      </c>
      <c r="W36" s="148">
        <f>IF(CHOOSE(uxb_works!$B$46,"-",Data_2014_N!W36,Data_2017!W36)="","",CHOOSE(uxb_works!$B$46,"-",Data_2014_N!W36,Data_2017!W36))</f>
        <v>2.5</v>
      </c>
      <c r="X36" s="148">
        <f>IF(CHOOSE(uxb_works!$B$46,"-",Data_2014_N!X36,Data_2017!X36)="","",CHOOSE(uxb_works!$B$46,"-",Data_2014_N!X36,Data_2017!X36))</f>
        <v>0</v>
      </c>
      <c r="Y36" s="148">
        <f>IF(CHOOSE(uxb_works!$B$46,"-",Data_2014_N!Y36,Data_2017!Y36)="","",CHOOSE(uxb_works!$B$46,"-",Data_2014_N!Y36,Data_2017!Y36))</f>
        <v>0</v>
      </c>
      <c r="Z36" s="148">
        <f>IF(CHOOSE(uxb_works!$B$46,"-",Data_2014_N!Z36,Data_2017!Z36)="","",CHOOSE(uxb_works!$B$46,"-",Data_2014_N!Z36,Data_2017!Z36))</f>
        <v>2.5</v>
      </c>
      <c r="AA36" s="148">
        <f>IF(CHOOSE(uxb_works!$B$46,"-",Data_2014_N!AA36,Data_2017!AA36)="","",CHOOSE(uxb_works!$B$46,"-",Data_2014_N!AA36,Data_2017!AA36))</f>
        <v>5</v>
      </c>
      <c r="AB36" s="148">
        <f>IF(CHOOSE(uxb_works!$B$46,"-",Data_2014_N!AB36,Data_2017!AB36)="","",CHOOSE(uxb_works!$B$46,"-",Data_2014_N!AB36,Data_2017!AB36))</f>
        <v>2.5</v>
      </c>
      <c r="AC36" s="148">
        <f>IF(CHOOSE(uxb_works!$B$46,"-",Data_2014_N!AC36,Data_2017!AC36)="","",CHOOSE(uxb_works!$B$46,"-",Data_2014_N!AC36,Data_2017!AC36))</f>
        <v>5</v>
      </c>
      <c r="AD36" s="148">
        <f>IF(CHOOSE(uxb_works!$B$46,"-",Data_2014_N!AD36,Data_2017!AD36)="","",CHOOSE(uxb_works!$B$46,"-",Data_2014_N!AD36,Data_2017!AD36))</f>
        <v>5</v>
      </c>
      <c r="AE36" s="148">
        <f>IF(CHOOSE(uxb_works!$B$46,"-",Data_2014_N!AE36,Data_2017!AE36)="","",CHOOSE(uxb_works!$B$46,"-",Data_2014_N!AE36,Data_2017!AE36))</f>
        <v>0</v>
      </c>
      <c r="AF36" s="148">
        <f>IF(CHOOSE(uxb_works!$B$46,"-",Data_2014_N!AF36,Data_2017!AF36)="","",CHOOSE(uxb_works!$B$46,"-",Data_2014_N!AF36,Data_2017!AF36))</f>
        <v>0</v>
      </c>
      <c r="AG36" s="148">
        <f>IF(CHOOSE(uxb_works!$B$46,"-",Data_2014_N!AG36,Data_2017!AG36)="","",CHOOSE(uxb_works!$B$46,"-",Data_2014_N!AG36,Data_2017!AG36))</f>
        <v>2.5</v>
      </c>
      <c r="AH36" s="148">
        <f>IF(CHOOSE(uxb_works!$B$46,"-",Data_2014_N!AH36,Data_2017!AH36)="","",CHOOSE(uxb_works!$B$46,"-",Data_2014_N!AH36,Data_2017!AH36))</f>
        <v>2.5</v>
      </c>
      <c r="AI36" s="148">
        <f>IF(CHOOSE(uxb_works!$B$46,"-",Data_2014_N!AI36,Data_2017!AI36)="","",CHOOSE(uxb_works!$B$46,"-",Data_2014_N!AI36,Data_2017!AI36))</f>
        <v>2.5</v>
      </c>
      <c r="AJ36" s="148">
        <f>IF(CHOOSE(uxb_works!$B$46,"-",Data_2014_N!AJ36,Data_2017!AJ36)="","",CHOOSE(uxb_works!$B$46,"-",Data_2014_N!AJ36,Data_2017!AJ36))</f>
        <v>2.5</v>
      </c>
      <c r="AK36" s="148" t="e">
        <f>IF(CHOOSE(uxb_works!$B$46,"-",Data_2014_N!AK36,Data_2017!#REF!)="","",CHOOSE(uxb_works!$B$46,"-",Data_2014_N!AK36,Data_2017!#REF!))</f>
        <v>#REF!</v>
      </c>
      <c r="AL36" s="148">
        <f>IF(CHOOSE(uxb_works!$B$46,"-",Data_2014_N!AL36,Data_2017!AK36)="","",CHOOSE(uxb_works!$B$46,"-",Data_2014_N!AL36,Data_2017!AK36))</f>
        <v>0</v>
      </c>
      <c r="AM36" s="148">
        <f>IF(CHOOSE(uxb_works!$B$46,"-",Data_2014_N!AM36,Data_2017!AL36)="","",CHOOSE(uxb_works!$B$46,"-",Data_2014_N!AM36,Data_2017!AL36))</f>
        <v>5</v>
      </c>
      <c r="AN36" s="148">
        <f>IF(CHOOSE(uxb_works!$B$46,"-",Data_2014_N!AN36,Data_2017!AM36)="","",CHOOSE(uxb_works!$B$46,"-",Data_2014_N!AN36,Data_2017!AM36))</f>
        <v>5</v>
      </c>
      <c r="AO36" s="148">
        <f>IF(CHOOSE(uxb_works!$B$46,"-",Data_2014_N!AO36,Data_2017!AN36)="","",CHOOSE(uxb_works!$B$46,"-",Data_2014_N!AO36,Data_2017!AN36))</f>
        <v>5</v>
      </c>
      <c r="AP36" s="148">
        <f>IF(CHOOSE(uxb_works!$B$46,"-",Data_2014_N!AP36,Data_2017!AO36)="","",CHOOSE(uxb_works!$B$46,"-",Data_2014_N!AP36,Data_2017!AO36))</f>
        <v>2.5</v>
      </c>
      <c r="AQ36" s="148">
        <f>IF(CHOOSE(uxb_works!$B$46,"-",Data_2014_N!AQ36,Data_2017!AP36)="","",CHOOSE(uxb_works!$B$46,"-",Data_2014_N!AQ36,Data_2017!AP36))</f>
        <v>5</v>
      </c>
      <c r="AR36" s="148">
        <f>IF(CHOOSE(uxb_works!$B$46,"-",Data_2014_N!AR36,Data_2017!AQ36)="","",CHOOSE(uxb_works!$B$46,"-",Data_2014_N!AR36,Data_2017!AQ36))</f>
        <v>5</v>
      </c>
      <c r="AS36" s="148">
        <f>IF(CHOOSE(uxb_works!$B$46,"-",Data_2014_N!AS36,Data_2017!AR36)="","",CHOOSE(uxb_works!$B$46,"-",Data_2014_N!AS36,Data_2017!AR36))</f>
        <v>5</v>
      </c>
      <c r="AT36" s="148">
        <f>IF(CHOOSE(uxb_works!$B$46,"-",Data_2014_N!AT36,Data_2017!AS36)="","",CHOOSE(uxb_works!$B$46,"-",Data_2014_N!AT36,Data_2017!AS36))</f>
        <v>5</v>
      </c>
      <c r="AU36" s="148">
        <f>IF(CHOOSE(uxb_works!$B$46,"-",Data_2014_N!AU36,Data_2017!AT36)="","",CHOOSE(uxb_works!$B$46,"-",Data_2014_N!AU36,Data_2017!AT36))</f>
        <v>0</v>
      </c>
      <c r="AV36" s="148">
        <f>IF(CHOOSE(uxb_works!$B$46,"-",Data_2014_N!AV36,Data_2017!AU36)="","",CHOOSE(uxb_works!$B$46,"-",Data_2014_N!AV36,Data_2017!AU36))</f>
        <v>5</v>
      </c>
      <c r="AW36" s="148">
        <f>IF(CHOOSE(uxb_works!$B$46,"-",Data_2014_N!AW36,Data_2017!AV36)="","",CHOOSE(uxb_works!$B$46,"-",Data_2014_N!AW36,Data_2017!AV36))</f>
        <v>5</v>
      </c>
      <c r="AX36" s="148">
        <f>IF(CHOOSE(uxb_works!$B$46,"-",Data_2014_N!AX36,Data_2017!AW36)="","",CHOOSE(uxb_works!$B$46,"-",Data_2014_N!AX36,Data_2017!AW36))</f>
        <v>5</v>
      </c>
      <c r="AY36" s="148">
        <f>IF(CHOOSE(uxb_works!$B$46,"-",Data_2014_N!AY36,Data_2017!AX36)="","",CHOOSE(uxb_works!$B$46,"-",Data_2014_N!AY36,Data_2017!AX36))</f>
        <v>0</v>
      </c>
      <c r="AZ36" s="148">
        <f>IF(CHOOSE(uxb_works!$B$46,"-",Data_2014_N!AZ36,Data_2017!AY36)="","",CHOOSE(uxb_works!$B$46,"-",Data_2014_N!AZ36,Data_2017!AY36))</f>
        <v>5</v>
      </c>
      <c r="BA36" s="148">
        <f>IF(CHOOSE(uxb_works!$B$46,"-",Data_2014_N!BA36,Data_2017!AZ36)="","",CHOOSE(uxb_works!$B$46,"-",Data_2014_N!BA36,Data_2017!AZ36))</f>
        <v>0</v>
      </c>
      <c r="BB36" s="148">
        <f>IF(CHOOSE(uxb_works!$B$46,"-",Data_2014_N!BB36,Data_2017!BA36)="","",CHOOSE(uxb_works!$B$46,"-",Data_2014_N!BB36,Data_2017!BA36))</f>
        <v>5</v>
      </c>
      <c r="BC36" s="148">
        <f>IF(CHOOSE(uxb_works!$B$46,"-",Data_2014_N!BC36,Data_2017!BB36)="","",CHOOSE(uxb_works!$B$46,"-",Data_2014_N!BC36,Data_2017!BB36))</f>
        <v>5</v>
      </c>
      <c r="BD36" s="148">
        <f>IF(CHOOSE(uxb_works!$B$46,"-",Data_2014_N!BD36,Data_2017!BC36)="","",CHOOSE(uxb_works!$B$46,"-",Data_2014_N!BD36,Data_2017!BC36))</f>
        <v>5</v>
      </c>
      <c r="BE36" s="148">
        <f>IF(CHOOSE(uxb_works!$B$46,"-",Data_2014_N!BE36,Data_2017!BD36)="","",CHOOSE(uxb_works!$B$46,"-",Data_2014_N!BE36,Data_2017!BD36))</f>
        <v>5</v>
      </c>
      <c r="BF36" s="148">
        <f>IF(CHOOSE(uxb_works!$B$46,"-",Data_2014_N!BF36,Data_2017!BE36)="","",CHOOSE(uxb_works!$B$46,"-",Data_2014_N!BF36,Data_2017!BE36))</f>
        <v>5</v>
      </c>
      <c r="BG36" s="148">
        <f>IF(CHOOSE(uxb_works!$B$46,"-",Data_2014_N!BG36,Data_2017!BF36)="","",CHOOSE(uxb_works!$B$46,"-",Data_2014_N!BG36,Data_2017!BF36))</f>
        <v>2.5</v>
      </c>
      <c r="BH36" s="148">
        <f>IF(CHOOSE(uxb_works!$B$46,"-",Data_2014_N!BH36,Data_2017!BG36)="","",CHOOSE(uxb_works!$B$46,"-",Data_2014_N!BH36,Data_2017!BG36))</f>
        <v>5</v>
      </c>
      <c r="BI36" s="148">
        <f>IF(CHOOSE(uxb_works!$B$46,"-",Data_2014_N!BI36,Data_2017!BH36)="","",CHOOSE(uxb_works!$B$46,"-",Data_2014_N!BI36,Data_2017!BH36))</f>
        <v>5</v>
      </c>
      <c r="BJ36" s="148">
        <f>IF(CHOOSE(uxb_works!$B$46,"-",Data_2014_N!BJ36,Data_2017!BI36)="","",CHOOSE(uxb_works!$B$46,"-",Data_2014_N!BJ36,Data_2017!BI36))</f>
        <v>5</v>
      </c>
      <c r="BK36" s="148">
        <f>IF(CHOOSE(uxb_works!$B$46,"-",Data_2014_N!BK36,Data_2017!BJ36)="","",CHOOSE(uxb_works!$B$46,"-",Data_2014_N!BK36,Data_2017!BJ36))</f>
        <v>5</v>
      </c>
      <c r="BL36" s="148">
        <f>IF(CHOOSE(uxb_works!$B$46,"-",Data_2014_N!BL36,Data_2017!BK36)="","",CHOOSE(uxb_works!$B$46,"-",Data_2014_N!BL36,Data_2017!BK36))</f>
        <v>5</v>
      </c>
      <c r="BM36" s="148">
        <f>IF(CHOOSE(uxb_works!$B$46,"-",Data_2014_N!BM36,Data_2017!BL36)="","",CHOOSE(uxb_works!$B$46,"-",Data_2014_N!BM36,Data_2017!BL36))</f>
        <v>5</v>
      </c>
      <c r="BN36" s="148">
        <f>IF(CHOOSE(uxb_works!$B$46,"-",Data_2014_N!BN36,Data_2017!BM36)="","",CHOOSE(uxb_works!$B$46,"-",Data_2014_N!BN36,Data_2017!BM36))</f>
        <v>5</v>
      </c>
      <c r="BO36" s="148">
        <f>IF(CHOOSE(uxb_works!$B$46,"-",Data_2014_N!BO36,Data_2017!BN36)="","",CHOOSE(uxb_works!$B$46,"-",Data_2014_N!BO36,Data_2017!BN36))</f>
        <v>5</v>
      </c>
      <c r="BP36" s="148">
        <f>IF(CHOOSE(uxb_works!$B$46,"-",Data_2014_N!BP36,Data_2017!BO36)="","",CHOOSE(uxb_works!$B$46,"-",Data_2014_N!BP36,Data_2017!BO36))</f>
        <v>5</v>
      </c>
      <c r="BQ36" s="148">
        <f>IF(CHOOSE(uxb_works!$B$46,"-",Data_2014_N!BQ36,Data_2017!BP36)="","",CHOOSE(uxb_works!$B$46,"-",Data_2014_N!BQ36,Data_2017!BP36))</f>
        <v>0</v>
      </c>
      <c r="BR36" s="325">
        <f>IF(CHOOSE(uxb_works!$B$46,"-",Data_2014_N!BR36,Data_2017!BR36)="","",CHOOSE(uxb_works!$B$46,"-",Data_2014_N!BR36,Data_2017!BR36))</f>
        <v>5</v>
      </c>
      <c r="CC36" s="112">
        <v>5</v>
      </c>
      <c r="CD36" s="112">
        <v>5</v>
      </c>
      <c r="CE36" s="112">
        <v>5</v>
      </c>
      <c r="CF36" s="112">
        <v>5</v>
      </c>
      <c r="CG36" s="112">
        <v>5</v>
      </c>
    </row>
    <row r="37" s="112" customFormat="1" ht="22.5" customHeight="1" spans="1:85">
      <c r="A37"/>
      <c r="B37" s="133">
        <f>tblIndicators!A33</f>
        <v>32</v>
      </c>
      <c r="C37" s="133">
        <f>tblIndicators!B33</f>
        <v>0</v>
      </c>
      <c r="D37" s="310">
        <f>CHOOSE(uxb_works!$B$46,#REF!,Data_2014_N!D37,Data_2017!D37)</f>
        <v>3</v>
      </c>
      <c r="E37" s="133" t="str">
        <f>tblIndicators!E33</f>
        <v>INSE3.1</v>
      </c>
      <c r="F37" s="133" t="str">
        <f>tblIndicators!H33</f>
        <v>Quality of road infrastructure</v>
      </c>
      <c r="G37" s="133">
        <f>tblIndicators!Z33</f>
        <v>3</v>
      </c>
      <c r="H37" s="105" t="str">
        <f>REPT(" ",D37)&amp;CHOOSE(uxb_works!$B$46,#REF!,Data_2014_N!H37,Data_2017!H37)</f>
        <v>      3.1.3) Quality of road infrastructure</v>
      </c>
      <c r="I37" s="319" t="str">
        <f>IF(CHOOSE(uxb_works!$B$46,#REF!,Data_2014_N!I37,Data_2017!I37)="","",CHOOSE(uxb_works!$B$46,#REF!,Data_2014_N!I37,Data_2017!I37))</f>
        <v>Scale 1-5, 5 = best</v>
      </c>
      <c r="J37" s="148">
        <f>IF(CHOOSE(uxb_works!$B$46,"-",Data_2014_N!J37,Data_2017!J37)="","",CHOOSE(uxb_works!$B$46,"-",Data_2014_N!J37,Data_2017!J37))</f>
        <v>1</v>
      </c>
      <c r="K37" s="148">
        <f>IF(CHOOSE(uxb_works!$B$46,"-",Data_2014_N!K37,Data_2017!K37)="","",CHOOSE(uxb_works!$B$46,"-",Data_2014_N!K37,Data_2017!K37))</f>
        <v>1</v>
      </c>
      <c r="L37" s="148">
        <f>IF(CHOOSE(uxb_works!$B$46,"-",Data_2014_N!L37,Data_2017!L37)="","",CHOOSE(uxb_works!$B$46,"-",Data_2014_N!L37,Data_2017!L37))</f>
        <v>3</v>
      </c>
      <c r="M37" s="148">
        <f>IF(CHOOSE(uxb_works!$B$46,"-",Data_2014_N!M37,Data_2017!M37)="","",CHOOSE(uxb_works!$B$46,"-",Data_2014_N!M37,Data_2017!M37))</f>
        <v>4</v>
      </c>
      <c r="N37" s="148">
        <f>IF(CHOOSE(uxb_works!$B$46,"-",Data_2014_N!N37,Data_2017!N37)="","",CHOOSE(uxb_works!$B$46,"-",Data_2014_N!N37,Data_2017!N37))</f>
        <v>1</v>
      </c>
      <c r="O37" s="148">
        <f>IF(CHOOSE(uxb_works!$B$46,"-",Data_2014_N!O37,Data_2017!O37)="","",CHOOSE(uxb_works!$B$46,"-",Data_2014_N!O37,Data_2017!O37))</f>
        <v>2</v>
      </c>
      <c r="P37" s="148">
        <f>IF(CHOOSE(uxb_works!$B$46,"-",Data_2014_N!P37,Data_2017!P37)="","",CHOOSE(uxb_works!$B$46,"-",Data_2014_N!P37,Data_2017!P37))</f>
        <v>3</v>
      </c>
      <c r="Q37" s="148">
        <f>IF(CHOOSE(uxb_works!$B$46,"-",Data_2014_N!Q37,Data_2017!Q37)="","",CHOOSE(uxb_works!$B$46,"-",Data_2014_N!Q37,Data_2017!Q37))</f>
        <v>2</v>
      </c>
      <c r="R37" s="148">
        <f>IF(CHOOSE(uxb_works!$B$46,"-",Data_2014_N!R37,Data_2017!R37)="","",CHOOSE(uxb_works!$B$46,"-",Data_2014_N!R37,Data_2017!R37))</f>
        <v>2</v>
      </c>
      <c r="S37" s="148">
        <f>IF(CHOOSE(uxb_works!$B$46,"-",Data_2014_N!S37,Data_2017!S37)="","",CHOOSE(uxb_works!$B$46,"-",Data_2014_N!S37,Data_2017!S37))</f>
        <v>3</v>
      </c>
      <c r="T37" s="148">
        <f>IF(CHOOSE(uxb_works!$B$46,"-",Data_2014_N!T37,Data_2017!T37)="","",CHOOSE(uxb_works!$B$46,"-",Data_2014_N!T37,Data_2017!T37))</f>
        <v>3</v>
      </c>
      <c r="U37" s="148">
        <f>IF(CHOOSE(uxb_works!$B$46,"-",Data_2014_N!U37,Data_2017!U37)="","",CHOOSE(uxb_works!$B$46,"-",Data_2014_N!U37,Data_2017!U37))</f>
        <v>3</v>
      </c>
      <c r="V37" s="148">
        <f>IF(CHOOSE(uxb_works!$B$46,"-",Data_2014_N!V37,Data_2017!V37)="","",CHOOSE(uxb_works!$B$46,"-",Data_2014_N!V37,Data_2017!V37))</f>
        <v>2</v>
      </c>
      <c r="W37" s="148">
        <f>IF(CHOOSE(uxb_works!$B$46,"-",Data_2014_N!W37,Data_2017!W37)="","",CHOOSE(uxb_works!$B$46,"-",Data_2014_N!W37,Data_2017!W37))</f>
        <v>2</v>
      </c>
      <c r="X37" s="148">
        <f>IF(CHOOSE(uxb_works!$B$46,"-",Data_2014_N!X37,Data_2017!X37)="","",CHOOSE(uxb_works!$B$46,"-",Data_2014_N!X37,Data_2017!X37))</f>
        <v>3</v>
      </c>
      <c r="Y37" s="148">
        <f>IF(CHOOSE(uxb_works!$B$46,"-",Data_2014_N!Y37,Data_2017!Y37)="","",CHOOSE(uxb_works!$B$46,"-",Data_2014_N!Y37,Data_2017!Y37))</f>
        <v>5</v>
      </c>
      <c r="Z37" s="148">
        <f>IF(CHOOSE(uxb_works!$B$46,"-",Data_2014_N!Z37,Data_2017!Z37)="","",CHOOSE(uxb_works!$B$46,"-",Data_2014_N!Z37,Data_2017!Z37))</f>
        <v>2</v>
      </c>
      <c r="AA37" s="148">
        <f>IF(CHOOSE(uxb_works!$B$46,"-",Data_2014_N!AA37,Data_2017!AA37)="","",CHOOSE(uxb_works!$B$46,"-",Data_2014_N!AA37,Data_2017!AA37))</f>
        <v>1</v>
      </c>
      <c r="AB37" s="148">
        <f>IF(CHOOSE(uxb_works!$B$46,"-",Data_2014_N!AB37,Data_2017!AB37)="","",CHOOSE(uxb_works!$B$46,"-",Data_2014_N!AB37,Data_2017!AB37))</f>
        <v>4</v>
      </c>
      <c r="AC37" s="148">
        <f>IF(CHOOSE(uxb_works!$B$46,"-",Data_2014_N!AC37,Data_2017!AC37)="","",CHOOSE(uxb_works!$B$46,"-",Data_2014_N!AC37,Data_2017!AC37))</f>
        <v>1</v>
      </c>
      <c r="AD37" s="148">
        <f>IF(CHOOSE(uxb_works!$B$46,"-",Data_2014_N!AD37,Data_2017!AD37)="","",CHOOSE(uxb_works!$B$46,"-",Data_2014_N!AD37,Data_2017!AD37))</f>
        <v>3</v>
      </c>
      <c r="AE37" s="148">
        <f>IF(CHOOSE(uxb_works!$B$46,"-",Data_2014_N!AE37,Data_2017!AE37)="","",CHOOSE(uxb_works!$B$46,"-",Data_2014_N!AE37,Data_2017!AE37))</f>
        <v>3</v>
      </c>
      <c r="AF37" s="148">
        <f>IF(CHOOSE(uxb_works!$B$46,"-",Data_2014_N!AF37,Data_2017!AF37)="","",CHOOSE(uxb_works!$B$46,"-",Data_2014_N!AF37,Data_2017!AF37))</f>
        <v>2</v>
      </c>
      <c r="AG37" s="148">
        <f>IF(CHOOSE(uxb_works!$B$46,"-",Data_2014_N!AG37,Data_2017!AG37)="","",CHOOSE(uxb_works!$B$46,"-",Data_2014_N!AG37,Data_2017!AG37))</f>
        <v>3</v>
      </c>
      <c r="AH37" s="148">
        <f>IF(CHOOSE(uxb_works!$B$46,"-",Data_2014_N!AH37,Data_2017!AH37)="","",CHOOSE(uxb_works!$B$46,"-",Data_2014_N!AH37,Data_2017!AH37))</f>
        <v>4</v>
      </c>
      <c r="AI37" s="148">
        <f>IF(CHOOSE(uxb_works!$B$46,"-",Data_2014_N!AI37,Data_2017!AI37)="","",CHOOSE(uxb_works!$B$46,"-",Data_2014_N!AI37,Data_2017!AI37))</f>
        <v>2</v>
      </c>
      <c r="AJ37" s="148">
        <f>IF(CHOOSE(uxb_works!$B$46,"-",Data_2014_N!AJ37,Data_2017!AJ37)="","",CHOOSE(uxb_works!$B$46,"-",Data_2014_N!AJ37,Data_2017!AJ37))</f>
        <v>2</v>
      </c>
      <c r="AK37" s="148" t="e">
        <f>IF(CHOOSE(uxb_works!$B$46,"-",Data_2014_N!AK37,Data_2017!#REF!)="","",CHOOSE(uxb_works!$B$46,"-",Data_2014_N!AK37,Data_2017!#REF!))</f>
        <v>#REF!</v>
      </c>
      <c r="AL37" s="148">
        <f>IF(CHOOSE(uxb_works!$B$46,"-",Data_2014_N!AL37,Data_2017!AK37)="","",CHOOSE(uxb_works!$B$46,"-",Data_2014_N!AL37,Data_2017!AK37))</f>
        <v>2</v>
      </c>
      <c r="AM37" s="148">
        <f>IF(CHOOSE(uxb_works!$B$46,"-",Data_2014_N!AM37,Data_2017!AL37)="","",CHOOSE(uxb_works!$B$46,"-",Data_2014_N!AM37,Data_2017!AL37))</f>
        <v>2</v>
      </c>
      <c r="AN37" s="148">
        <f>IF(CHOOSE(uxb_works!$B$46,"-",Data_2014_N!AN37,Data_2017!AM37)="","",CHOOSE(uxb_works!$B$46,"-",Data_2014_N!AN37,Data_2017!AM37))</f>
        <v>2</v>
      </c>
      <c r="AO37" s="148">
        <f>IF(CHOOSE(uxb_works!$B$46,"-",Data_2014_N!AO37,Data_2017!AN37)="","",CHOOSE(uxb_works!$B$46,"-",Data_2014_N!AO37,Data_2017!AN37))</f>
        <v>1</v>
      </c>
      <c r="AP37" s="148">
        <f>IF(CHOOSE(uxb_works!$B$46,"-",Data_2014_N!AP37,Data_2017!AO37)="","",CHOOSE(uxb_works!$B$46,"-",Data_2014_N!AP37,Data_2017!AO37))</f>
        <v>3</v>
      </c>
      <c r="AQ37" s="148">
        <f>IF(CHOOSE(uxb_works!$B$46,"-",Data_2014_N!AQ37,Data_2017!AP37)="","",CHOOSE(uxb_works!$B$46,"-",Data_2014_N!AQ37,Data_2017!AP37))</f>
        <v>1</v>
      </c>
      <c r="AR37" s="148">
        <f>IF(CHOOSE(uxb_works!$B$46,"-",Data_2014_N!AR37,Data_2017!AQ37)="","",CHOOSE(uxb_works!$B$46,"-",Data_2014_N!AR37,Data_2017!AQ37))</f>
        <v>3</v>
      </c>
      <c r="AS37" s="148">
        <f>IF(CHOOSE(uxb_works!$B$46,"-",Data_2014_N!AS37,Data_2017!AR37)="","",CHOOSE(uxb_works!$B$46,"-",Data_2014_N!AS37,Data_2017!AR37))</f>
        <v>2</v>
      </c>
      <c r="AT37" s="148">
        <f>IF(CHOOSE(uxb_works!$B$46,"-",Data_2014_N!AT37,Data_2017!AS37)="","",CHOOSE(uxb_works!$B$46,"-",Data_2014_N!AT37,Data_2017!AS37))</f>
        <v>2</v>
      </c>
      <c r="AU37" s="148">
        <f>IF(CHOOSE(uxb_works!$B$46,"-",Data_2014_N!AU37,Data_2017!AT37)="","",CHOOSE(uxb_works!$B$46,"-",Data_2014_N!AU37,Data_2017!AT37))</f>
        <v>5</v>
      </c>
      <c r="AV37" s="148">
        <f>IF(CHOOSE(uxb_works!$B$46,"-",Data_2014_N!AV37,Data_2017!AU37)="","",CHOOSE(uxb_works!$B$46,"-",Data_2014_N!AV37,Data_2017!AU37))</f>
        <v>2</v>
      </c>
      <c r="AW37" s="148">
        <f>IF(CHOOSE(uxb_works!$B$46,"-",Data_2014_N!AW37,Data_2017!AV37)="","",CHOOSE(uxb_works!$B$46,"-",Data_2014_N!AW37,Data_2017!AV37))</f>
        <v>1</v>
      </c>
      <c r="AX37" s="148">
        <f>IF(CHOOSE(uxb_works!$B$46,"-",Data_2014_N!AX37,Data_2017!AW37)="","",CHOOSE(uxb_works!$B$46,"-",Data_2014_N!AX37,Data_2017!AW37))</f>
        <v>2</v>
      </c>
      <c r="AY37" s="148">
        <f>IF(CHOOSE(uxb_works!$B$46,"-",Data_2014_N!AY37,Data_2017!AX37)="","",CHOOSE(uxb_works!$B$46,"-",Data_2014_N!AY37,Data_2017!AX37))</f>
        <v>3</v>
      </c>
      <c r="AZ37" s="148">
        <f>IF(CHOOSE(uxb_works!$B$46,"-",Data_2014_N!AZ37,Data_2017!AY37)="","",CHOOSE(uxb_works!$B$46,"-",Data_2014_N!AZ37,Data_2017!AY37))</f>
        <v>3</v>
      </c>
      <c r="BA37" s="148">
        <f>IF(CHOOSE(uxb_works!$B$46,"-",Data_2014_N!BA37,Data_2017!AZ37)="","",CHOOSE(uxb_works!$B$46,"-",Data_2014_N!BA37,Data_2017!AZ37))</f>
        <v>3</v>
      </c>
      <c r="BB37" s="148">
        <f>IF(CHOOSE(uxb_works!$B$46,"-",Data_2014_N!BB37,Data_2017!BA37)="","",CHOOSE(uxb_works!$B$46,"-",Data_2014_N!BB37,Data_2017!BA37))</f>
        <v>1</v>
      </c>
      <c r="BC37" s="148">
        <f>IF(CHOOSE(uxb_works!$B$46,"-",Data_2014_N!BC37,Data_2017!BB37)="","",CHOOSE(uxb_works!$B$46,"-",Data_2014_N!BC37,Data_2017!BB37))</f>
        <v>2</v>
      </c>
      <c r="BD37" s="148">
        <f>IF(CHOOSE(uxb_works!$B$46,"-",Data_2014_N!BD37,Data_2017!BC37)="","",CHOOSE(uxb_works!$B$46,"-",Data_2014_N!BD37,Data_2017!BC37))</f>
        <v>2</v>
      </c>
      <c r="BE37" s="148">
        <f>IF(CHOOSE(uxb_works!$B$46,"-",Data_2014_N!BE37,Data_2017!BD37)="","",CHOOSE(uxb_works!$B$46,"-",Data_2014_N!BE37,Data_2017!BD37))</f>
        <v>2</v>
      </c>
      <c r="BF37" s="148">
        <f>IF(CHOOSE(uxb_works!$B$46,"-",Data_2014_N!BF37,Data_2017!BE37)="","",CHOOSE(uxb_works!$B$46,"-",Data_2014_N!BF37,Data_2017!BE37))</f>
        <v>2</v>
      </c>
      <c r="BG37" s="148">
        <f>IF(CHOOSE(uxb_works!$B$46,"-",Data_2014_N!BG37,Data_2017!BF37)="","",CHOOSE(uxb_works!$B$46,"-",Data_2014_N!BG37,Data_2017!BF37))</f>
        <v>2</v>
      </c>
      <c r="BH37" s="148">
        <f>IF(CHOOSE(uxb_works!$B$46,"-",Data_2014_N!BH37,Data_2017!BG37)="","",CHOOSE(uxb_works!$B$46,"-",Data_2014_N!BH37,Data_2017!BG37))</f>
        <v>1</v>
      </c>
      <c r="BI37" s="148">
        <f>IF(CHOOSE(uxb_works!$B$46,"-",Data_2014_N!BI37,Data_2017!BH37)="","",CHOOSE(uxb_works!$B$46,"-",Data_2014_N!BI37,Data_2017!BH37))</f>
        <v>1</v>
      </c>
      <c r="BJ37" s="148">
        <f>IF(CHOOSE(uxb_works!$B$46,"-",Data_2014_N!BJ37,Data_2017!BI37)="","",CHOOSE(uxb_works!$B$46,"-",Data_2014_N!BJ37,Data_2017!BI37))</f>
        <v>1</v>
      </c>
      <c r="BK37" s="148">
        <f>IF(CHOOSE(uxb_works!$B$46,"-",Data_2014_N!BK37,Data_2017!BJ37)="","",CHOOSE(uxb_works!$B$46,"-",Data_2014_N!BK37,Data_2017!BJ37))</f>
        <v>2</v>
      </c>
      <c r="BL37" s="148">
        <f>IF(CHOOSE(uxb_works!$B$46,"-",Data_2014_N!BL37,Data_2017!BK37)="","",CHOOSE(uxb_works!$B$46,"-",Data_2014_N!BL37,Data_2017!BK37))</f>
        <v>3</v>
      </c>
      <c r="BM37" s="148">
        <f>IF(CHOOSE(uxb_works!$B$46,"-",Data_2014_N!BM37,Data_2017!BL37)="","",CHOOSE(uxb_works!$B$46,"-",Data_2014_N!BM37,Data_2017!BL37))</f>
        <v>1</v>
      </c>
      <c r="BN37" s="148">
        <f>IF(CHOOSE(uxb_works!$B$46,"-",Data_2014_N!BN37,Data_2017!BM37)="","",CHOOSE(uxb_works!$B$46,"-",Data_2014_N!BN37,Data_2017!BM37))</f>
        <v>2</v>
      </c>
      <c r="BO37" s="148">
        <f>IF(CHOOSE(uxb_works!$B$46,"-",Data_2014_N!BO37,Data_2017!BN37)="","",CHOOSE(uxb_works!$B$46,"-",Data_2014_N!BO37,Data_2017!BN37))</f>
        <v>2</v>
      </c>
      <c r="BP37" s="148">
        <f>IF(CHOOSE(uxb_works!$B$46,"-",Data_2014_N!BP37,Data_2017!BO37)="","",CHOOSE(uxb_works!$B$46,"-",Data_2014_N!BP37,Data_2017!BO37))</f>
        <v>1</v>
      </c>
      <c r="BQ37" s="148">
        <f>IF(CHOOSE(uxb_works!$B$46,"-",Data_2014_N!BQ37,Data_2017!BP37)="","",CHOOSE(uxb_works!$B$46,"-",Data_2014_N!BQ37,Data_2017!BP37))</f>
        <v>4</v>
      </c>
      <c r="BR37" s="325">
        <f>IF(CHOOSE(uxb_works!$B$46,"-",Data_2014_N!BR37,Data_2017!BR37)="","",CHOOSE(uxb_works!$B$46,"-",Data_2014_N!BR37,Data_2017!BR37))</f>
        <v>1</v>
      </c>
      <c r="CC37" s="112">
        <v>2</v>
      </c>
      <c r="CD37" s="112">
        <v>2</v>
      </c>
      <c r="CE37" s="112">
        <v>2</v>
      </c>
      <c r="CF37" s="112">
        <v>2</v>
      </c>
      <c r="CG37" s="112">
        <v>2</v>
      </c>
    </row>
    <row r="38" s="112" customFormat="1" ht="22.5" customHeight="1" spans="1:85">
      <c r="A38"/>
      <c r="B38" s="133">
        <f>tblIndicators!A34</f>
        <v>33</v>
      </c>
      <c r="C38" s="133">
        <f>tblIndicators!B34</f>
        <v>0</v>
      </c>
      <c r="D38" s="310">
        <f>CHOOSE(uxb_works!$B$46,#REF!,Data_2014_N!D38,Data_2017!D38)</f>
        <v>3</v>
      </c>
      <c r="E38" s="133" t="str">
        <f>tblIndicators!E34</f>
        <v>INSE3.1</v>
      </c>
      <c r="F38" s="133" t="str">
        <f>tblIndicators!H34</f>
        <v>Quality of electricity infrastructure</v>
      </c>
      <c r="G38" s="133">
        <f>tblIndicators!Z34</f>
        <v>3</v>
      </c>
      <c r="H38" s="105" t="str">
        <f>REPT(" ",D38)&amp;CHOOSE(uxb_works!$B$46,#REF!,Data_2014_N!H38,Data_2017!H38)</f>
        <v>      3.1.4) Quality of electricity infrastructure</v>
      </c>
      <c r="I38" s="319" t="str">
        <f>IF(CHOOSE(uxb_works!$B$46,#REF!,Data_2014_N!I38,Data_2017!I38)="","",CHOOSE(uxb_works!$B$46,#REF!,Data_2014_N!I38,Data_2017!I38))</f>
        <v>Scale 1-5, 5 = best</v>
      </c>
      <c r="J38" s="148">
        <f>IF(CHOOSE(uxb_works!$B$46,"-",Data_2014_N!J38,Data_2017!J38)="","",CHOOSE(uxb_works!$B$46,"-",Data_2014_N!J38,Data_2017!J38))</f>
        <v>2</v>
      </c>
      <c r="K38" s="148">
        <f>IF(CHOOSE(uxb_works!$B$46,"-",Data_2014_N!K38,Data_2017!K38)="","",CHOOSE(uxb_works!$B$46,"-",Data_2014_N!K38,Data_2017!K38))</f>
        <v>1</v>
      </c>
      <c r="L38" s="148">
        <f>IF(CHOOSE(uxb_works!$B$46,"-",Data_2014_N!L38,Data_2017!L38)="","",CHOOSE(uxb_works!$B$46,"-",Data_2014_N!L38,Data_2017!L38))</f>
        <v>2</v>
      </c>
      <c r="M38" s="148">
        <f>IF(CHOOSE(uxb_works!$B$46,"-",Data_2014_N!M38,Data_2017!M38)="","",CHOOSE(uxb_works!$B$46,"-",Data_2014_N!M38,Data_2017!M38))</f>
        <v>1</v>
      </c>
      <c r="N38" s="148">
        <f>IF(CHOOSE(uxb_works!$B$46,"-",Data_2014_N!N38,Data_2017!N38)="","",CHOOSE(uxb_works!$B$46,"-",Data_2014_N!N38,Data_2017!N38))</f>
        <v>1</v>
      </c>
      <c r="O38" s="148">
        <f>IF(CHOOSE(uxb_works!$B$46,"-",Data_2014_N!O38,Data_2017!O38)="","",CHOOSE(uxb_works!$B$46,"-",Data_2014_N!O38,Data_2017!O38))</f>
        <v>1</v>
      </c>
      <c r="P38" s="148">
        <f>IF(CHOOSE(uxb_works!$B$46,"-",Data_2014_N!P38,Data_2017!P38)="","",CHOOSE(uxb_works!$B$46,"-",Data_2014_N!P38,Data_2017!P38))</f>
        <v>2</v>
      </c>
      <c r="Q38" s="148">
        <f>IF(CHOOSE(uxb_works!$B$46,"-",Data_2014_N!Q38,Data_2017!Q38)="","",CHOOSE(uxb_works!$B$46,"-",Data_2014_N!Q38,Data_2017!Q38))</f>
        <v>1</v>
      </c>
      <c r="R38" s="148">
        <f>IF(CHOOSE(uxb_works!$B$46,"-",Data_2014_N!R38,Data_2017!R38)="","",CHOOSE(uxb_works!$B$46,"-",Data_2014_N!R38,Data_2017!R38))</f>
        <v>1</v>
      </c>
      <c r="S38" s="148">
        <f>IF(CHOOSE(uxb_works!$B$46,"-",Data_2014_N!S38,Data_2017!S38)="","",CHOOSE(uxb_works!$B$46,"-",Data_2014_N!S38,Data_2017!S38))</f>
        <v>2</v>
      </c>
      <c r="T38" s="148">
        <f>IF(CHOOSE(uxb_works!$B$46,"-",Data_2014_N!T38,Data_2017!T38)="","",CHOOSE(uxb_works!$B$46,"-",Data_2014_N!T38,Data_2017!T38))</f>
        <v>3</v>
      </c>
      <c r="U38" s="148">
        <f>IF(CHOOSE(uxb_works!$B$46,"-",Data_2014_N!U38,Data_2017!U38)="","",CHOOSE(uxb_works!$B$46,"-",Data_2014_N!U38,Data_2017!U38))</f>
        <v>2</v>
      </c>
      <c r="V38" s="148">
        <f>IF(CHOOSE(uxb_works!$B$46,"-",Data_2014_N!V38,Data_2017!V38)="","",CHOOSE(uxb_works!$B$46,"-",Data_2014_N!V38,Data_2017!V38))</f>
        <v>1</v>
      </c>
      <c r="W38" s="148">
        <f>IF(CHOOSE(uxb_works!$B$46,"-",Data_2014_N!W38,Data_2017!W38)="","",CHOOSE(uxb_works!$B$46,"-",Data_2014_N!W38,Data_2017!W38))</f>
        <v>1</v>
      </c>
      <c r="X38" s="148">
        <f>IF(CHOOSE(uxb_works!$B$46,"-",Data_2014_N!X38,Data_2017!X38)="","",CHOOSE(uxb_works!$B$46,"-",Data_2014_N!X38,Data_2017!X38))</f>
        <v>3</v>
      </c>
      <c r="Y38" s="148">
        <f>IF(CHOOSE(uxb_works!$B$46,"-",Data_2014_N!Y38,Data_2017!Y38)="","",CHOOSE(uxb_works!$B$46,"-",Data_2014_N!Y38,Data_2017!Y38))</f>
        <v>3</v>
      </c>
      <c r="Z38" s="148">
        <f>IF(CHOOSE(uxb_works!$B$46,"-",Data_2014_N!Z38,Data_2017!Z38)="","",CHOOSE(uxb_works!$B$46,"-",Data_2014_N!Z38,Data_2017!Z38))</f>
        <v>2</v>
      </c>
      <c r="AA38" s="148">
        <f>IF(CHOOSE(uxb_works!$B$46,"-",Data_2014_N!AA38,Data_2017!AA38)="","",CHOOSE(uxb_works!$B$46,"-",Data_2014_N!AA38,Data_2017!AA38))</f>
        <v>1</v>
      </c>
      <c r="AB38" s="148">
        <f>IF(CHOOSE(uxb_works!$B$46,"-",Data_2014_N!AB38,Data_2017!AB38)="","",CHOOSE(uxb_works!$B$46,"-",Data_2014_N!AB38,Data_2017!AB38))</f>
        <v>3</v>
      </c>
      <c r="AC38" s="148">
        <f>IF(CHOOSE(uxb_works!$B$46,"-",Data_2014_N!AC38,Data_2017!AC38)="","",CHOOSE(uxb_works!$B$46,"-",Data_2014_N!AC38,Data_2017!AC38))</f>
        <v>1</v>
      </c>
      <c r="AD38" s="148">
        <f>IF(CHOOSE(uxb_works!$B$46,"-",Data_2014_N!AD38,Data_2017!AD38)="","",CHOOSE(uxb_works!$B$46,"-",Data_2014_N!AD38,Data_2017!AD38))</f>
        <v>2</v>
      </c>
      <c r="AE38" s="148">
        <f>IF(CHOOSE(uxb_works!$B$46,"-",Data_2014_N!AE38,Data_2017!AE38)="","",CHOOSE(uxb_works!$B$46,"-",Data_2014_N!AE38,Data_2017!AE38))</f>
        <v>3</v>
      </c>
      <c r="AF38" s="148">
        <f>IF(CHOOSE(uxb_works!$B$46,"-",Data_2014_N!AF38,Data_2017!AF38)="","",CHOOSE(uxb_works!$B$46,"-",Data_2014_N!AF38,Data_2017!AF38))</f>
        <v>1</v>
      </c>
      <c r="AG38" s="148">
        <f>IF(CHOOSE(uxb_works!$B$46,"-",Data_2014_N!AG38,Data_2017!AG38)="","",CHOOSE(uxb_works!$B$46,"-",Data_2014_N!AG38,Data_2017!AG38))</f>
        <v>3</v>
      </c>
      <c r="AH38" s="148">
        <f>IF(CHOOSE(uxb_works!$B$46,"-",Data_2014_N!AH38,Data_2017!AH38)="","",CHOOSE(uxb_works!$B$46,"-",Data_2014_N!AH38,Data_2017!AH38))</f>
        <v>4</v>
      </c>
      <c r="AI38" s="148">
        <f>IF(CHOOSE(uxb_works!$B$46,"-",Data_2014_N!AI38,Data_2017!AI38)="","",CHOOSE(uxb_works!$B$46,"-",Data_2014_N!AI38,Data_2017!AI38))</f>
        <v>1</v>
      </c>
      <c r="AJ38" s="148">
        <f>IF(CHOOSE(uxb_works!$B$46,"-",Data_2014_N!AJ38,Data_2017!AJ38)="","",CHOOSE(uxb_works!$B$46,"-",Data_2014_N!AJ38,Data_2017!AJ38))</f>
        <v>1</v>
      </c>
      <c r="AK38" s="148" t="e">
        <f>IF(CHOOSE(uxb_works!$B$46,"-",Data_2014_N!AK38,Data_2017!#REF!)="","",CHOOSE(uxb_works!$B$46,"-",Data_2014_N!AK38,Data_2017!#REF!))</f>
        <v>#REF!</v>
      </c>
      <c r="AL38" s="148">
        <f>IF(CHOOSE(uxb_works!$B$46,"-",Data_2014_N!AL38,Data_2017!AK38)="","",CHOOSE(uxb_works!$B$46,"-",Data_2014_N!AL38,Data_2017!AK38))</f>
        <v>1</v>
      </c>
      <c r="AM38" s="148">
        <f>IF(CHOOSE(uxb_works!$B$46,"-",Data_2014_N!AM38,Data_2017!AL38)="","",CHOOSE(uxb_works!$B$46,"-",Data_2014_N!AM38,Data_2017!AL38))</f>
        <v>1</v>
      </c>
      <c r="AN38" s="148">
        <f>IF(CHOOSE(uxb_works!$B$46,"-",Data_2014_N!AN38,Data_2017!AM38)="","",CHOOSE(uxb_works!$B$46,"-",Data_2014_N!AN38,Data_2017!AM38))</f>
        <v>1</v>
      </c>
      <c r="AO38" s="148">
        <f>IF(CHOOSE(uxb_works!$B$46,"-",Data_2014_N!AO38,Data_2017!AN38)="","",CHOOSE(uxb_works!$B$46,"-",Data_2014_N!AO38,Data_2017!AN38))</f>
        <v>1</v>
      </c>
      <c r="AP38" s="148">
        <f>IF(CHOOSE(uxb_works!$B$46,"-",Data_2014_N!AP38,Data_2017!AO38)="","",CHOOSE(uxb_works!$B$46,"-",Data_2014_N!AP38,Data_2017!AO38))</f>
        <v>2</v>
      </c>
      <c r="AQ38" s="148">
        <f>IF(CHOOSE(uxb_works!$B$46,"-",Data_2014_N!AQ38,Data_2017!AP38)="","",CHOOSE(uxb_works!$B$46,"-",Data_2014_N!AQ38,Data_2017!AP38))</f>
        <v>1</v>
      </c>
      <c r="AR38" s="148">
        <f>IF(CHOOSE(uxb_works!$B$46,"-",Data_2014_N!AR38,Data_2017!AQ38)="","",CHOOSE(uxb_works!$B$46,"-",Data_2014_N!AR38,Data_2017!AQ38))</f>
        <v>3</v>
      </c>
      <c r="AS38" s="148">
        <f>IF(CHOOSE(uxb_works!$B$46,"-",Data_2014_N!AS38,Data_2017!AR38)="","",CHOOSE(uxb_works!$B$46,"-",Data_2014_N!AS38,Data_2017!AR38))</f>
        <v>1</v>
      </c>
      <c r="AT38" s="148">
        <f>IF(CHOOSE(uxb_works!$B$46,"-",Data_2014_N!AT38,Data_2017!AS38)="","",CHOOSE(uxb_works!$B$46,"-",Data_2014_N!AT38,Data_2017!AS38))</f>
        <v>1</v>
      </c>
      <c r="AU38" s="148">
        <f>IF(CHOOSE(uxb_works!$B$46,"-",Data_2014_N!AU38,Data_2017!AT38)="","",CHOOSE(uxb_works!$B$46,"-",Data_2014_N!AU38,Data_2017!AT38))</f>
        <v>2</v>
      </c>
      <c r="AV38" s="148">
        <f>IF(CHOOSE(uxb_works!$B$46,"-",Data_2014_N!AV38,Data_2017!AU38)="","",CHOOSE(uxb_works!$B$46,"-",Data_2014_N!AV38,Data_2017!AU38))</f>
        <v>1</v>
      </c>
      <c r="AW38" s="148">
        <f>IF(CHOOSE(uxb_works!$B$46,"-",Data_2014_N!AW38,Data_2017!AV38)="","",CHOOSE(uxb_works!$B$46,"-",Data_2014_N!AW38,Data_2017!AV38))</f>
        <v>1</v>
      </c>
      <c r="AX38" s="148">
        <f>IF(CHOOSE(uxb_works!$B$46,"-",Data_2014_N!AX38,Data_2017!AW38)="","",CHOOSE(uxb_works!$B$46,"-",Data_2014_N!AX38,Data_2017!AW38))</f>
        <v>1</v>
      </c>
      <c r="AY38" s="148">
        <f>IF(CHOOSE(uxb_works!$B$46,"-",Data_2014_N!AY38,Data_2017!AX38)="","",CHOOSE(uxb_works!$B$46,"-",Data_2014_N!AY38,Data_2017!AX38))</f>
        <v>2</v>
      </c>
      <c r="AZ38" s="148">
        <f>IF(CHOOSE(uxb_works!$B$46,"-",Data_2014_N!AZ38,Data_2017!AY38)="","",CHOOSE(uxb_works!$B$46,"-",Data_2014_N!AZ38,Data_2017!AY38))</f>
        <v>1</v>
      </c>
      <c r="BA38" s="148">
        <f>IF(CHOOSE(uxb_works!$B$46,"-",Data_2014_N!BA38,Data_2017!AZ38)="","",CHOOSE(uxb_works!$B$46,"-",Data_2014_N!BA38,Data_2017!AZ38))</f>
        <v>2</v>
      </c>
      <c r="BB38" s="148">
        <f>IF(CHOOSE(uxb_works!$B$46,"-",Data_2014_N!BB38,Data_2017!BA38)="","",CHOOSE(uxb_works!$B$46,"-",Data_2014_N!BB38,Data_2017!BA38))</f>
        <v>1</v>
      </c>
      <c r="BC38" s="148">
        <f>IF(CHOOSE(uxb_works!$B$46,"-",Data_2014_N!BC38,Data_2017!BB38)="","",CHOOSE(uxb_works!$B$46,"-",Data_2014_N!BC38,Data_2017!BB38))</f>
        <v>1</v>
      </c>
      <c r="BD38" s="148">
        <f>IF(CHOOSE(uxb_works!$B$46,"-",Data_2014_N!BD38,Data_2017!BC38)="","",CHOOSE(uxb_works!$B$46,"-",Data_2014_N!BD38,Data_2017!BC38))</f>
        <v>1</v>
      </c>
      <c r="BE38" s="148">
        <f>IF(CHOOSE(uxb_works!$B$46,"-",Data_2014_N!BE38,Data_2017!BD38)="","",CHOOSE(uxb_works!$B$46,"-",Data_2014_N!BE38,Data_2017!BD38))</f>
        <v>2</v>
      </c>
      <c r="BF38" s="148">
        <f>IF(CHOOSE(uxb_works!$B$46,"-",Data_2014_N!BF38,Data_2017!BE38)="","",CHOOSE(uxb_works!$B$46,"-",Data_2014_N!BF38,Data_2017!BE38))</f>
        <v>1</v>
      </c>
      <c r="BG38" s="148">
        <f>IF(CHOOSE(uxb_works!$B$46,"-",Data_2014_N!BG38,Data_2017!BF38)="","",CHOOSE(uxb_works!$B$46,"-",Data_2014_N!BG38,Data_2017!BF38))</f>
        <v>1</v>
      </c>
      <c r="BH38" s="148">
        <f>IF(CHOOSE(uxb_works!$B$46,"-",Data_2014_N!BH38,Data_2017!BG38)="","",CHOOSE(uxb_works!$B$46,"-",Data_2014_N!BH38,Data_2017!BG38))</f>
        <v>1</v>
      </c>
      <c r="BI38" s="148">
        <f>IF(CHOOSE(uxb_works!$B$46,"-",Data_2014_N!BI38,Data_2017!BH38)="","",CHOOSE(uxb_works!$B$46,"-",Data_2014_N!BI38,Data_2017!BH38))</f>
        <v>1</v>
      </c>
      <c r="BJ38" s="148">
        <f>IF(CHOOSE(uxb_works!$B$46,"-",Data_2014_N!BJ38,Data_2017!BI38)="","",CHOOSE(uxb_works!$B$46,"-",Data_2014_N!BJ38,Data_2017!BI38))</f>
        <v>1</v>
      </c>
      <c r="BK38" s="148">
        <f>IF(CHOOSE(uxb_works!$B$46,"-",Data_2014_N!BK38,Data_2017!BJ38)="","",CHOOSE(uxb_works!$B$46,"-",Data_2014_N!BK38,Data_2017!BJ38))</f>
        <v>2</v>
      </c>
      <c r="BL38" s="148">
        <f>IF(CHOOSE(uxb_works!$B$46,"-",Data_2014_N!BL38,Data_2017!BK38)="","",CHOOSE(uxb_works!$B$46,"-",Data_2014_N!BL38,Data_2017!BK38))</f>
        <v>3</v>
      </c>
      <c r="BM38" s="148">
        <f>IF(CHOOSE(uxb_works!$B$46,"-",Data_2014_N!BM38,Data_2017!BL38)="","",CHOOSE(uxb_works!$B$46,"-",Data_2014_N!BM38,Data_2017!BL38))</f>
        <v>1</v>
      </c>
      <c r="BN38" s="148">
        <f>IF(CHOOSE(uxb_works!$B$46,"-",Data_2014_N!BN38,Data_2017!BM38)="","",CHOOSE(uxb_works!$B$46,"-",Data_2014_N!BN38,Data_2017!BM38))</f>
        <v>1</v>
      </c>
      <c r="BO38" s="148">
        <f>IF(CHOOSE(uxb_works!$B$46,"-",Data_2014_N!BO38,Data_2017!BN38)="","",CHOOSE(uxb_works!$B$46,"-",Data_2014_N!BO38,Data_2017!BN38))</f>
        <v>1</v>
      </c>
      <c r="BP38" s="148">
        <f>IF(CHOOSE(uxb_works!$B$46,"-",Data_2014_N!BP38,Data_2017!BO38)="","",CHOOSE(uxb_works!$B$46,"-",Data_2014_N!BP38,Data_2017!BO38))</f>
        <v>1</v>
      </c>
      <c r="BQ38" s="148">
        <f>IF(CHOOSE(uxb_works!$B$46,"-",Data_2014_N!BQ38,Data_2017!BP38)="","",CHOOSE(uxb_works!$B$46,"-",Data_2014_N!BQ38,Data_2017!BP38))</f>
        <v>3</v>
      </c>
      <c r="BR38" s="325">
        <f>IF(CHOOSE(uxb_works!$B$46,"-",Data_2014_N!BR38,Data_2017!BR38)="","",CHOOSE(uxb_works!$B$46,"-",Data_2014_N!BR38,Data_2017!BR38))</f>
        <v>1</v>
      </c>
      <c r="CC38" s="112">
        <v>1</v>
      </c>
      <c r="CD38" s="112">
        <v>1</v>
      </c>
      <c r="CE38" s="112">
        <v>1</v>
      </c>
      <c r="CF38" s="112">
        <v>1</v>
      </c>
      <c r="CG38" s="112">
        <v>1</v>
      </c>
    </row>
    <row r="39" s="112" customFormat="1" ht="22.5" customHeight="1" spans="1:85">
      <c r="A39"/>
      <c r="B39" s="133">
        <f>tblIndicators!A35</f>
        <v>34</v>
      </c>
      <c r="C39" s="133">
        <f>tblIndicators!B35</f>
        <v>0</v>
      </c>
      <c r="D39" s="310">
        <f>CHOOSE(uxb_works!$B$46,#REF!,Data_2014_N!D39,Data_2017!D39)</f>
        <v>3</v>
      </c>
      <c r="E39" s="133" t="str">
        <f>tblIndicators!E35</f>
        <v>INSE3.1</v>
      </c>
      <c r="F39" s="133" t="str">
        <f>tblIndicators!H35</f>
        <v>Disaster management/business continuity plan</v>
      </c>
      <c r="G39" s="133">
        <f>tblIndicators!Z35</f>
        <v>3</v>
      </c>
      <c r="H39" s="105" t="str">
        <f>REPT(" ",D39)&amp;CHOOSE(uxb_works!$B$46,#REF!,Data_2014_N!H39,Data_2017!H39)</f>
        <v>      3.1.5) Disaster management/business continuity plan</v>
      </c>
      <c r="I39" s="319" t="str">
        <f>IF(CHOOSE(uxb_works!$B$46,#REF!,Data_2014_N!I39,Data_2017!I39)="","",CHOOSE(uxb_works!$B$46,#REF!,Data_2014_N!I39,Data_2017!I39))</f>
        <v>Scale 1-5, 5 = best</v>
      </c>
      <c r="J39" s="148">
        <f>IF(CHOOSE(uxb_works!$B$46,"-",Data_2014_N!J39,Data_2017!J39)="","",CHOOSE(uxb_works!$B$46,"-",Data_2014_N!J39,Data_2017!J39))</f>
        <v>2</v>
      </c>
      <c r="K39" s="148">
        <f>IF(CHOOSE(uxb_works!$B$46,"-",Data_2014_N!K39,Data_2017!K39)="","",CHOOSE(uxb_works!$B$46,"-",Data_2014_N!K39,Data_2017!K39))</f>
        <v>1</v>
      </c>
      <c r="L39" s="148">
        <f>IF(CHOOSE(uxb_works!$B$46,"-",Data_2014_N!L39,Data_2017!L39)="","",CHOOSE(uxb_works!$B$46,"-",Data_2014_N!L39,Data_2017!L39))</f>
        <v>2</v>
      </c>
      <c r="M39" s="148">
        <f>IF(CHOOSE(uxb_works!$B$46,"-",Data_2014_N!M39,Data_2017!M39)="","",CHOOSE(uxb_works!$B$46,"-",Data_2014_N!M39,Data_2017!M39))</f>
        <v>2</v>
      </c>
      <c r="N39" s="148">
        <f>IF(CHOOSE(uxb_works!$B$46,"-",Data_2014_N!N39,Data_2017!N39)="","",CHOOSE(uxb_works!$B$46,"-",Data_2014_N!N39,Data_2017!N39))</f>
        <v>1</v>
      </c>
      <c r="O39" s="148">
        <f>IF(CHOOSE(uxb_works!$B$46,"-",Data_2014_N!O39,Data_2017!O39)="","",CHOOSE(uxb_works!$B$46,"-",Data_2014_N!O39,Data_2017!O39))</f>
        <v>3</v>
      </c>
      <c r="P39" s="148">
        <f>IF(CHOOSE(uxb_works!$B$46,"-",Data_2014_N!P39,Data_2017!P39)="","",CHOOSE(uxb_works!$B$46,"-",Data_2014_N!P39,Data_2017!P39))</f>
        <v>3</v>
      </c>
      <c r="Q39" s="148">
        <f>IF(CHOOSE(uxb_works!$B$46,"-",Data_2014_N!Q39,Data_2017!Q39)="","",CHOOSE(uxb_works!$B$46,"-",Data_2014_N!Q39,Data_2017!Q39))</f>
        <v>1</v>
      </c>
      <c r="R39" s="148">
        <f>IF(CHOOSE(uxb_works!$B$46,"-",Data_2014_N!R39,Data_2017!R39)="","",CHOOSE(uxb_works!$B$46,"-",Data_2014_N!R39,Data_2017!R39))</f>
        <v>1</v>
      </c>
      <c r="S39" s="148">
        <f>IF(CHOOSE(uxb_works!$B$46,"-",Data_2014_N!S39,Data_2017!S39)="","",CHOOSE(uxb_works!$B$46,"-",Data_2014_N!S39,Data_2017!S39))</f>
        <v>3</v>
      </c>
      <c r="T39" s="148">
        <f>IF(CHOOSE(uxb_works!$B$46,"-",Data_2014_N!T39,Data_2017!T39)="","",CHOOSE(uxb_works!$B$46,"-",Data_2014_N!T39,Data_2017!T39))</f>
        <v>3</v>
      </c>
      <c r="U39" s="148">
        <f>IF(CHOOSE(uxb_works!$B$46,"-",Data_2014_N!U39,Data_2017!U39)="","",CHOOSE(uxb_works!$B$46,"-",Data_2014_N!U39,Data_2017!U39))</f>
        <v>2</v>
      </c>
      <c r="V39" s="148">
        <f>IF(CHOOSE(uxb_works!$B$46,"-",Data_2014_N!V39,Data_2017!V39)="","",CHOOSE(uxb_works!$B$46,"-",Data_2014_N!V39,Data_2017!V39))</f>
        <v>1</v>
      </c>
      <c r="W39" s="148">
        <f>IF(CHOOSE(uxb_works!$B$46,"-",Data_2014_N!W39,Data_2017!W39)="","",CHOOSE(uxb_works!$B$46,"-",Data_2014_N!W39,Data_2017!W39))</f>
        <v>1</v>
      </c>
      <c r="X39" s="148">
        <f>IF(CHOOSE(uxb_works!$B$46,"-",Data_2014_N!X39,Data_2017!X39)="","",CHOOSE(uxb_works!$B$46,"-",Data_2014_N!X39,Data_2017!X39))</f>
        <v>3</v>
      </c>
      <c r="Y39" s="148">
        <f>IF(CHOOSE(uxb_works!$B$46,"-",Data_2014_N!Y39,Data_2017!Y39)="","",CHOOSE(uxb_works!$B$46,"-",Data_2014_N!Y39,Data_2017!Y39))</f>
        <v>4</v>
      </c>
      <c r="Z39" s="148">
        <f>IF(CHOOSE(uxb_works!$B$46,"-",Data_2014_N!Z39,Data_2017!Z39)="","",CHOOSE(uxb_works!$B$46,"-",Data_2014_N!Z39,Data_2017!Z39))</f>
        <v>1</v>
      </c>
      <c r="AA39" s="148">
        <f>IF(CHOOSE(uxb_works!$B$46,"-",Data_2014_N!AA39,Data_2017!AA39)="","",CHOOSE(uxb_works!$B$46,"-",Data_2014_N!AA39,Data_2017!AA39))</f>
        <v>1</v>
      </c>
      <c r="AB39" s="148">
        <f>IF(CHOOSE(uxb_works!$B$46,"-",Data_2014_N!AB39,Data_2017!AB39)="","",CHOOSE(uxb_works!$B$46,"-",Data_2014_N!AB39,Data_2017!AB39))</f>
        <v>4</v>
      </c>
      <c r="AC39" s="148">
        <f>IF(CHOOSE(uxb_works!$B$46,"-",Data_2014_N!AC39,Data_2017!AC39)="","",CHOOSE(uxb_works!$B$46,"-",Data_2014_N!AC39,Data_2017!AC39))</f>
        <v>1</v>
      </c>
      <c r="AD39" s="148">
        <f>IF(CHOOSE(uxb_works!$B$46,"-",Data_2014_N!AD39,Data_2017!AD39)="","",CHOOSE(uxb_works!$B$46,"-",Data_2014_N!AD39,Data_2017!AD39))</f>
        <v>2</v>
      </c>
      <c r="AE39" s="148">
        <f>IF(CHOOSE(uxb_works!$B$46,"-",Data_2014_N!AE39,Data_2017!AE39)="","",CHOOSE(uxb_works!$B$46,"-",Data_2014_N!AE39,Data_2017!AE39))</f>
        <v>3</v>
      </c>
      <c r="AF39" s="148">
        <f>IF(CHOOSE(uxb_works!$B$46,"-",Data_2014_N!AF39,Data_2017!AF39)="","",CHOOSE(uxb_works!$B$46,"-",Data_2014_N!AF39,Data_2017!AF39))</f>
        <v>5</v>
      </c>
      <c r="AG39" s="148">
        <f>IF(CHOOSE(uxb_works!$B$46,"-",Data_2014_N!AG39,Data_2017!AG39)="","",CHOOSE(uxb_works!$B$46,"-",Data_2014_N!AG39,Data_2017!AG39))</f>
        <v>2</v>
      </c>
      <c r="AH39" s="148">
        <f>IF(CHOOSE(uxb_works!$B$46,"-",Data_2014_N!AH39,Data_2017!AH39)="","",CHOOSE(uxb_works!$B$46,"-",Data_2014_N!AH39,Data_2017!AH39))</f>
        <v>5</v>
      </c>
      <c r="AI39" s="148">
        <f>IF(CHOOSE(uxb_works!$B$46,"-",Data_2014_N!AI39,Data_2017!AI39)="","",CHOOSE(uxb_works!$B$46,"-",Data_2014_N!AI39,Data_2017!AI39))</f>
        <v>2</v>
      </c>
      <c r="AJ39" s="148">
        <f>IF(CHOOSE(uxb_works!$B$46,"-",Data_2014_N!AJ39,Data_2017!AJ39)="","",CHOOSE(uxb_works!$B$46,"-",Data_2014_N!AJ39,Data_2017!AJ39))</f>
        <v>2</v>
      </c>
      <c r="AK39" s="148" t="e">
        <f>IF(CHOOSE(uxb_works!$B$46,"-",Data_2014_N!AK39,Data_2017!#REF!)="","",CHOOSE(uxb_works!$B$46,"-",Data_2014_N!AK39,Data_2017!#REF!))</f>
        <v>#REF!</v>
      </c>
      <c r="AL39" s="148">
        <f>IF(CHOOSE(uxb_works!$B$46,"-",Data_2014_N!AL39,Data_2017!AK39)="","",CHOOSE(uxb_works!$B$46,"-",Data_2014_N!AL39,Data_2017!AK39))</f>
        <v>2</v>
      </c>
      <c r="AM39" s="148">
        <f>IF(CHOOSE(uxb_works!$B$46,"-",Data_2014_N!AM39,Data_2017!AL39)="","",CHOOSE(uxb_works!$B$46,"-",Data_2014_N!AM39,Data_2017!AL39))</f>
        <v>1</v>
      </c>
      <c r="AN39" s="148">
        <f>IF(CHOOSE(uxb_works!$B$46,"-",Data_2014_N!AN39,Data_2017!AM39)="","",CHOOSE(uxb_works!$B$46,"-",Data_2014_N!AN39,Data_2017!AM39))</f>
        <v>1</v>
      </c>
      <c r="AO39" s="148">
        <f>IF(CHOOSE(uxb_works!$B$46,"-",Data_2014_N!AO39,Data_2017!AN39)="","",CHOOSE(uxb_works!$B$46,"-",Data_2014_N!AO39,Data_2017!AN39))</f>
        <v>1</v>
      </c>
      <c r="AP39" s="148">
        <f>IF(CHOOSE(uxb_works!$B$46,"-",Data_2014_N!AP39,Data_2017!AO39)="","",CHOOSE(uxb_works!$B$46,"-",Data_2014_N!AP39,Data_2017!AO39))</f>
        <v>4</v>
      </c>
      <c r="AQ39" s="148">
        <f>IF(CHOOSE(uxb_works!$B$46,"-",Data_2014_N!AQ39,Data_2017!AP39)="","",CHOOSE(uxb_works!$B$46,"-",Data_2014_N!AQ39,Data_2017!AP39))</f>
        <v>1</v>
      </c>
      <c r="AR39" s="148">
        <f>IF(CHOOSE(uxb_works!$B$46,"-",Data_2014_N!AR39,Data_2017!AQ39)="","",CHOOSE(uxb_works!$B$46,"-",Data_2014_N!AR39,Data_2017!AQ39))</f>
        <v>2</v>
      </c>
      <c r="AS39" s="148">
        <f>IF(CHOOSE(uxb_works!$B$46,"-",Data_2014_N!AS39,Data_2017!AR39)="","",CHOOSE(uxb_works!$B$46,"-",Data_2014_N!AS39,Data_2017!AR39))</f>
        <v>1</v>
      </c>
      <c r="AT39" s="148">
        <f>IF(CHOOSE(uxb_works!$B$46,"-",Data_2014_N!AT39,Data_2017!AS39)="","",CHOOSE(uxb_works!$B$46,"-",Data_2014_N!AT39,Data_2017!AS39))</f>
        <v>2</v>
      </c>
      <c r="AU39" s="148">
        <f>IF(CHOOSE(uxb_works!$B$46,"-",Data_2014_N!AU39,Data_2017!AT39)="","",CHOOSE(uxb_works!$B$46,"-",Data_2014_N!AU39,Data_2017!AT39))</f>
        <v>3</v>
      </c>
      <c r="AV39" s="148">
        <f>IF(CHOOSE(uxb_works!$B$46,"-",Data_2014_N!AV39,Data_2017!AU39)="","",CHOOSE(uxb_works!$B$46,"-",Data_2014_N!AV39,Data_2017!AU39))</f>
        <v>1</v>
      </c>
      <c r="AW39" s="148">
        <f>IF(CHOOSE(uxb_works!$B$46,"-",Data_2014_N!AW39,Data_2017!AV39)="","",CHOOSE(uxb_works!$B$46,"-",Data_2014_N!AW39,Data_2017!AV39))</f>
        <v>1</v>
      </c>
      <c r="AX39" s="148">
        <f>IF(CHOOSE(uxb_works!$B$46,"-",Data_2014_N!AX39,Data_2017!AW39)="","",CHOOSE(uxb_works!$B$46,"-",Data_2014_N!AX39,Data_2017!AW39))</f>
        <v>1</v>
      </c>
      <c r="AY39" s="148">
        <f>IF(CHOOSE(uxb_works!$B$46,"-",Data_2014_N!AY39,Data_2017!AX39)="","",CHOOSE(uxb_works!$B$46,"-",Data_2014_N!AY39,Data_2017!AX39))</f>
        <v>4</v>
      </c>
      <c r="AZ39" s="148">
        <f>IF(CHOOSE(uxb_works!$B$46,"-",Data_2014_N!AZ39,Data_2017!AY39)="","",CHOOSE(uxb_works!$B$46,"-",Data_2014_N!AZ39,Data_2017!AY39))</f>
        <v>2</v>
      </c>
      <c r="BA39" s="148">
        <f>IF(CHOOSE(uxb_works!$B$46,"-",Data_2014_N!BA39,Data_2017!AZ39)="","",CHOOSE(uxb_works!$B$46,"-",Data_2014_N!BA39,Data_2017!AZ39))</f>
        <v>5</v>
      </c>
      <c r="BB39" s="148">
        <f>IF(CHOOSE(uxb_works!$B$46,"-",Data_2014_N!BB39,Data_2017!BA39)="","",CHOOSE(uxb_works!$B$46,"-",Data_2014_N!BB39,Data_2017!BA39))</f>
        <v>1</v>
      </c>
      <c r="BC39" s="148">
        <f>IF(CHOOSE(uxb_works!$B$46,"-",Data_2014_N!BC39,Data_2017!BB39)="","",CHOOSE(uxb_works!$B$46,"-",Data_2014_N!BC39,Data_2017!BB39))</f>
        <v>1</v>
      </c>
      <c r="BD39" s="148">
        <f>IF(CHOOSE(uxb_works!$B$46,"-",Data_2014_N!BD39,Data_2017!BC39)="","",CHOOSE(uxb_works!$B$46,"-",Data_2014_N!BD39,Data_2017!BC39))</f>
        <v>1</v>
      </c>
      <c r="BE39" s="148">
        <f>IF(CHOOSE(uxb_works!$B$46,"-",Data_2014_N!BE39,Data_2017!BD39)="","",CHOOSE(uxb_works!$B$46,"-",Data_2014_N!BE39,Data_2017!BD39))</f>
        <v>2</v>
      </c>
      <c r="BF39" s="148">
        <f>IF(CHOOSE(uxb_works!$B$46,"-",Data_2014_N!BF39,Data_2017!BE39)="","",CHOOSE(uxb_works!$B$46,"-",Data_2014_N!BF39,Data_2017!BE39))</f>
        <v>1</v>
      </c>
      <c r="BG39" s="148">
        <f>IF(CHOOSE(uxb_works!$B$46,"-",Data_2014_N!BG39,Data_2017!BF39)="","",CHOOSE(uxb_works!$B$46,"-",Data_2014_N!BG39,Data_2017!BF39))</f>
        <v>3</v>
      </c>
      <c r="BH39" s="148">
        <f>IF(CHOOSE(uxb_works!$B$46,"-",Data_2014_N!BH39,Data_2017!BG39)="","",CHOOSE(uxb_works!$B$46,"-",Data_2014_N!BH39,Data_2017!BG39))</f>
        <v>1</v>
      </c>
      <c r="BI39" s="148">
        <f>IF(CHOOSE(uxb_works!$B$46,"-",Data_2014_N!BI39,Data_2017!BH39)="","",CHOOSE(uxb_works!$B$46,"-",Data_2014_N!BI39,Data_2017!BH39))</f>
        <v>1</v>
      </c>
      <c r="BJ39" s="148">
        <f>IF(CHOOSE(uxb_works!$B$46,"-",Data_2014_N!BJ39,Data_2017!BI39)="","",CHOOSE(uxb_works!$B$46,"-",Data_2014_N!BJ39,Data_2017!BI39))</f>
        <v>1</v>
      </c>
      <c r="BK39" s="148">
        <f>IF(CHOOSE(uxb_works!$B$46,"-",Data_2014_N!BK39,Data_2017!BJ39)="","",CHOOSE(uxb_works!$B$46,"-",Data_2014_N!BK39,Data_2017!BJ39))</f>
        <v>2</v>
      </c>
      <c r="BL39" s="148">
        <f>IF(CHOOSE(uxb_works!$B$46,"-",Data_2014_N!BL39,Data_2017!BK39)="","",CHOOSE(uxb_works!$B$46,"-",Data_2014_N!BL39,Data_2017!BK39))</f>
        <v>2</v>
      </c>
      <c r="BM39" s="148">
        <f>IF(CHOOSE(uxb_works!$B$46,"-",Data_2014_N!BM39,Data_2017!BL39)="","",CHOOSE(uxb_works!$B$46,"-",Data_2014_N!BM39,Data_2017!BL39))</f>
        <v>1</v>
      </c>
      <c r="BN39" s="148">
        <f>IF(CHOOSE(uxb_works!$B$46,"-",Data_2014_N!BN39,Data_2017!BM39)="","",CHOOSE(uxb_works!$B$46,"-",Data_2014_N!BN39,Data_2017!BM39))</f>
        <v>1</v>
      </c>
      <c r="BO39" s="148">
        <f>IF(CHOOSE(uxb_works!$B$46,"-",Data_2014_N!BO39,Data_2017!BN39)="","",CHOOSE(uxb_works!$B$46,"-",Data_2014_N!BO39,Data_2017!BN39))</f>
        <v>1</v>
      </c>
      <c r="BP39" s="148">
        <f>IF(CHOOSE(uxb_works!$B$46,"-",Data_2014_N!BP39,Data_2017!BO39)="","",CHOOSE(uxb_works!$B$46,"-",Data_2014_N!BP39,Data_2017!BO39))</f>
        <v>1</v>
      </c>
      <c r="BQ39" s="148">
        <f>IF(CHOOSE(uxb_works!$B$46,"-",Data_2014_N!BQ39,Data_2017!BP39)="","",CHOOSE(uxb_works!$B$46,"-",Data_2014_N!BQ39,Data_2017!BP39))</f>
        <v>4</v>
      </c>
      <c r="BR39" s="325">
        <f>IF(CHOOSE(uxb_works!$B$46,"-",Data_2014_N!BR39,Data_2017!BR39)="","",CHOOSE(uxb_works!$B$46,"-",Data_2014_N!BR39,Data_2017!BR39))</f>
        <v>1</v>
      </c>
      <c r="CC39" s="112">
        <v>2</v>
      </c>
      <c r="CD39" s="112">
        <v>1</v>
      </c>
      <c r="CE39" s="112">
        <v>1</v>
      </c>
      <c r="CF39" s="112">
        <v>1</v>
      </c>
      <c r="CG39" s="112">
        <v>1</v>
      </c>
    </row>
    <row r="40" s="112" customFormat="1" ht="22.5" customHeight="1" spans="1:70">
      <c r="A40"/>
      <c r="B40" s="133">
        <f>tblIndicators!A36</f>
        <v>35</v>
      </c>
      <c r="C40" s="133">
        <f>tblIndicators!B36</f>
        <v>0</v>
      </c>
      <c r="D40" s="310">
        <f>CHOOSE(uxb_works!$B$46,#REF!,Data_2014_N!D40,Data_2017!D40)</f>
        <v>2</v>
      </c>
      <c r="E40" s="133" t="str">
        <f>tblIndicators!E36</f>
        <v>INSE</v>
      </c>
      <c r="F40" s="133" t="str">
        <f>tblIndicators!H36</f>
        <v>Infrastructure security (Outputs)</v>
      </c>
      <c r="G40" s="133">
        <f>tblIndicators!Z36</f>
        <v>1</v>
      </c>
      <c r="H40" s="105" t="str">
        <f>REPT(" ",D40)&amp;CHOOSE(uxb_works!$B$46,#REF!,Data_2014_N!H40,Data_2017!H40)</f>
        <v>    3.2) Infrastructure security (Outputs)</v>
      </c>
      <c r="I40" s="319" t="str">
        <f>IF(CHOOSE(uxb_works!$B$46,#REF!,Data_2014_N!I40,Data_2017!I40)="","",CHOOSE(uxb_works!$B$46,#REF!,Data_2014_N!I40,Data_2017!I40))</f>
        <v/>
      </c>
      <c r="J40" s="148" t="str">
        <f>IF(CHOOSE(uxb_works!$B$46,"-",Data_2014_N!J40,Data_2017!J40)="","",CHOOSE(uxb_works!$B$46,"-",Data_2014_N!J40,Data_2017!J40))</f>
        <v/>
      </c>
      <c r="K40" s="148" t="str">
        <f>IF(CHOOSE(uxb_works!$B$46,"-",Data_2014_N!K40,Data_2017!K40)="","",CHOOSE(uxb_works!$B$46,"-",Data_2014_N!K40,Data_2017!K40))</f>
        <v/>
      </c>
      <c r="L40" s="148" t="str">
        <f>IF(CHOOSE(uxb_works!$B$46,"-",Data_2014_N!L40,Data_2017!L40)="","",CHOOSE(uxb_works!$B$46,"-",Data_2014_N!L40,Data_2017!L40))</f>
        <v/>
      </c>
      <c r="M40" s="148" t="str">
        <f>IF(CHOOSE(uxb_works!$B$46,"-",Data_2014_N!M40,Data_2017!M40)="","",CHOOSE(uxb_works!$B$46,"-",Data_2014_N!M40,Data_2017!M40))</f>
        <v/>
      </c>
      <c r="N40" s="148" t="str">
        <f>IF(CHOOSE(uxb_works!$B$46,"-",Data_2014_N!N40,Data_2017!N40)="","",CHOOSE(uxb_works!$B$46,"-",Data_2014_N!N40,Data_2017!N40))</f>
        <v/>
      </c>
      <c r="O40" s="148" t="str">
        <f>IF(CHOOSE(uxb_works!$B$46,"-",Data_2014_N!O40,Data_2017!O40)="","",CHOOSE(uxb_works!$B$46,"-",Data_2014_N!O40,Data_2017!O40))</f>
        <v/>
      </c>
      <c r="P40" s="148" t="str">
        <f>IF(CHOOSE(uxb_works!$B$46,"-",Data_2014_N!P40,Data_2017!P40)="","",CHOOSE(uxb_works!$B$46,"-",Data_2014_N!P40,Data_2017!P40))</f>
        <v/>
      </c>
      <c r="Q40" s="148" t="str">
        <f>IF(CHOOSE(uxb_works!$B$46,"-",Data_2014_N!Q40,Data_2017!Q40)="","",CHOOSE(uxb_works!$B$46,"-",Data_2014_N!Q40,Data_2017!Q40))</f>
        <v/>
      </c>
      <c r="R40" s="148" t="str">
        <f>IF(CHOOSE(uxb_works!$B$46,"-",Data_2014_N!R40,Data_2017!R40)="","",CHOOSE(uxb_works!$B$46,"-",Data_2014_N!R40,Data_2017!R40))</f>
        <v/>
      </c>
      <c r="S40" s="148" t="str">
        <f>IF(CHOOSE(uxb_works!$B$46,"-",Data_2014_N!S40,Data_2017!S40)="","",CHOOSE(uxb_works!$B$46,"-",Data_2014_N!S40,Data_2017!S40))</f>
        <v/>
      </c>
      <c r="T40" s="148" t="str">
        <f>IF(CHOOSE(uxb_works!$B$46,"-",Data_2014_N!T40,Data_2017!T40)="","",CHOOSE(uxb_works!$B$46,"-",Data_2014_N!T40,Data_2017!T40))</f>
        <v/>
      </c>
      <c r="U40" s="148" t="str">
        <f>IF(CHOOSE(uxb_works!$B$46,"-",Data_2014_N!U40,Data_2017!U40)="","",CHOOSE(uxb_works!$B$46,"-",Data_2014_N!U40,Data_2017!U40))</f>
        <v/>
      </c>
      <c r="V40" s="148" t="str">
        <f>IF(CHOOSE(uxb_works!$B$46,"-",Data_2014_N!V40,Data_2017!V40)="","",CHOOSE(uxb_works!$B$46,"-",Data_2014_N!V40,Data_2017!V40))</f>
        <v/>
      </c>
      <c r="W40" s="148" t="str">
        <f>IF(CHOOSE(uxb_works!$B$46,"-",Data_2014_N!W40,Data_2017!W40)="","",CHOOSE(uxb_works!$B$46,"-",Data_2014_N!W40,Data_2017!W40))</f>
        <v/>
      </c>
      <c r="X40" s="148" t="str">
        <f>IF(CHOOSE(uxb_works!$B$46,"-",Data_2014_N!X40,Data_2017!X40)="","",CHOOSE(uxb_works!$B$46,"-",Data_2014_N!X40,Data_2017!X40))</f>
        <v/>
      </c>
      <c r="Y40" s="148" t="str">
        <f>IF(CHOOSE(uxb_works!$B$46,"-",Data_2014_N!Y40,Data_2017!Y40)="","",CHOOSE(uxb_works!$B$46,"-",Data_2014_N!Y40,Data_2017!Y40))</f>
        <v/>
      </c>
      <c r="Z40" s="148" t="str">
        <f>IF(CHOOSE(uxb_works!$B$46,"-",Data_2014_N!Z40,Data_2017!Z40)="","",CHOOSE(uxb_works!$B$46,"-",Data_2014_N!Z40,Data_2017!Z40))</f>
        <v/>
      </c>
      <c r="AA40" s="148" t="str">
        <f>IF(CHOOSE(uxb_works!$B$46,"-",Data_2014_N!AA40,Data_2017!AA40)="","",CHOOSE(uxb_works!$B$46,"-",Data_2014_N!AA40,Data_2017!AA40))</f>
        <v/>
      </c>
      <c r="AB40" s="148" t="str">
        <f>IF(CHOOSE(uxb_works!$B$46,"-",Data_2014_N!AB40,Data_2017!AB40)="","",CHOOSE(uxb_works!$B$46,"-",Data_2014_N!AB40,Data_2017!AB40))</f>
        <v/>
      </c>
      <c r="AC40" s="148" t="str">
        <f>IF(CHOOSE(uxb_works!$B$46,"-",Data_2014_N!AC40,Data_2017!AC40)="","",CHOOSE(uxb_works!$B$46,"-",Data_2014_N!AC40,Data_2017!AC40))</f>
        <v/>
      </c>
      <c r="AD40" s="148" t="str">
        <f>IF(CHOOSE(uxb_works!$B$46,"-",Data_2014_N!AD40,Data_2017!AD40)="","",CHOOSE(uxb_works!$B$46,"-",Data_2014_N!AD40,Data_2017!AD40))</f>
        <v/>
      </c>
      <c r="AE40" s="148" t="str">
        <f>IF(CHOOSE(uxb_works!$B$46,"-",Data_2014_N!AE40,Data_2017!AE40)="","",CHOOSE(uxb_works!$B$46,"-",Data_2014_N!AE40,Data_2017!AE40))</f>
        <v/>
      </c>
      <c r="AF40" s="148" t="str">
        <f>IF(CHOOSE(uxb_works!$B$46,"-",Data_2014_N!AF40,Data_2017!AF40)="","",CHOOSE(uxb_works!$B$46,"-",Data_2014_N!AF40,Data_2017!AF40))</f>
        <v/>
      </c>
      <c r="AG40" s="148" t="str">
        <f>IF(CHOOSE(uxb_works!$B$46,"-",Data_2014_N!AG40,Data_2017!AG40)="","",CHOOSE(uxb_works!$B$46,"-",Data_2014_N!AG40,Data_2017!AG40))</f>
        <v/>
      </c>
      <c r="AH40" s="148" t="str">
        <f>IF(CHOOSE(uxb_works!$B$46,"-",Data_2014_N!AH40,Data_2017!AH40)="","",CHOOSE(uxb_works!$B$46,"-",Data_2014_N!AH40,Data_2017!AH40))</f>
        <v/>
      </c>
      <c r="AI40" s="148" t="str">
        <f>IF(CHOOSE(uxb_works!$B$46,"-",Data_2014_N!AI40,Data_2017!AI40)="","",CHOOSE(uxb_works!$B$46,"-",Data_2014_N!AI40,Data_2017!AI40))</f>
        <v/>
      </c>
      <c r="AJ40" s="148" t="str">
        <f>IF(CHOOSE(uxb_works!$B$46,"-",Data_2014_N!AJ40,Data_2017!AJ40)="","",CHOOSE(uxb_works!$B$46,"-",Data_2014_N!AJ40,Data_2017!AJ40))</f>
        <v/>
      </c>
      <c r="AK40" s="148" t="e">
        <f>IF(CHOOSE(uxb_works!$B$46,"-",Data_2014_N!AK40,Data_2017!#REF!)="","",CHOOSE(uxb_works!$B$46,"-",Data_2014_N!AK40,Data_2017!#REF!))</f>
        <v>#REF!</v>
      </c>
      <c r="AL40" s="148" t="str">
        <f>IF(CHOOSE(uxb_works!$B$46,"-",Data_2014_N!AL40,Data_2017!AK40)="","",CHOOSE(uxb_works!$B$46,"-",Data_2014_N!AL40,Data_2017!AK40))</f>
        <v/>
      </c>
      <c r="AM40" s="148" t="str">
        <f>IF(CHOOSE(uxb_works!$B$46,"-",Data_2014_N!AM40,Data_2017!AL40)="","",CHOOSE(uxb_works!$B$46,"-",Data_2014_N!AM40,Data_2017!AL40))</f>
        <v/>
      </c>
      <c r="AN40" s="148" t="str">
        <f>IF(CHOOSE(uxb_works!$B$46,"-",Data_2014_N!AN40,Data_2017!AM40)="","",CHOOSE(uxb_works!$B$46,"-",Data_2014_N!AN40,Data_2017!AM40))</f>
        <v/>
      </c>
      <c r="AO40" s="148" t="str">
        <f>IF(CHOOSE(uxb_works!$B$46,"-",Data_2014_N!AO40,Data_2017!AN40)="","",CHOOSE(uxb_works!$B$46,"-",Data_2014_N!AO40,Data_2017!AN40))</f>
        <v/>
      </c>
      <c r="AP40" s="148" t="str">
        <f>IF(CHOOSE(uxb_works!$B$46,"-",Data_2014_N!AP40,Data_2017!AO40)="","",CHOOSE(uxb_works!$B$46,"-",Data_2014_N!AP40,Data_2017!AO40))</f>
        <v/>
      </c>
      <c r="AQ40" s="148" t="str">
        <f>IF(CHOOSE(uxb_works!$B$46,"-",Data_2014_N!AQ40,Data_2017!AP40)="","",CHOOSE(uxb_works!$B$46,"-",Data_2014_N!AQ40,Data_2017!AP40))</f>
        <v/>
      </c>
      <c r="AR40" s="148" t="str">
        <f>IF(CHOOSE(uxb_works!$B$46,"-",Data_2014_N!AR40,Data_2017!AQ40)="","",CHOOSE(uxb_works!$B$46,"-",Data_2014_N!AR40,Data_2017!AQ40))</f>
        <v/>
      </c>
      <c r="AS40" s="148" t="str">
        <f>IF(CHOOSE(uxb_works!$B$46,"-",Data_2014_N!AS40,Data_2017!AR40)="","",CHOOSE(uxb_works!$B$46,"-",Data_2014_N!AS40,Data_2017!AR40))</f>
        <v/>
      </c>
      <c r="AT40" s="148" t="str">
        <f>IF(CHOOSE(uxb_works!$B$46,"-",Data_2014_N!AT40,Data_2017!AS40)="","",CHOOSE(uxb_works!$B$46,"-",Data_2014_N!AT40,Data_2017!AS40))</f>
        <v/>
      </c>
      <c r="AU40" s="148" t="str">
        <f>IF(CHOOSE(uxb_works!$B$46,"-",Data_2014_N!AU40,Data_2017!AT40)="","",CHOOSE(uxb_works!$B$46,"-",Data_2014_N!AU40,Data_2017!AT40))</f>
        <v/>
      </c>
      <c r="AV40" s="148" t="str">
        <f>IF(CHOOSE(uxb_works!$B$46,"-",Data_2014_N!AV40,Data_2017!AU40)="","",CHOOSE(uxb_works!$B$46,"-",Data_2014_N!AV40,Data_2017!AU40))</f>
        <v/>
      </c>
      <c r="AW40" s="148" t="str">
        <f>IF(CHOOSE(uxb_works!$B$46,"-",Data_2014_N!AW40,Data_2017!AV40)="","",CHOOSE(uxb_works!$B$46,"-",Data_2014_N!AW40,Data_2017!AV40))</f>
        <v/>
      </c>
      <c r="AX40" s="148" t="str">
        <f>IF(CHOOSE(uxb_works!$B$46,"-",Data_2014_N!AX40,Data_2017!AW40)="","",CHOOSE(uxb_works!$B$46,"-",Data_2014_N!AX40,Data_2017!AW40))</f>
        <v/>
      </c>
      <c r="AY40" s="148" t="str">
        <f>IF(CHOOSE(uxb_works!$B$46,"-",Data_2014_N!AY40,Data_2017!AX40)="","",CHOOSE(uxb_works!$B$46,"-",Data_2014_N!AY40,Data_2017!AX40))</f>
        <v/>
      </c>
      <c r="AZ40" s="148" t="str">
        <f>IF(CHOOSE(uxb_works!$B$46,"-",Data_2014_N!AZ40,Data_2017!AY40)="","",CHOOSE(uxb_works!$B$46,"-",Data_2014_N!AZ40,Data_2017!AY40))</f>
        <v/>
      </c>
      <c r="BA40" s="148" t="str">
        <f>IF(CHOOSE(uxb_works!$B$46,"-",Data_2014_N!BA40,Data_2017!AZ40)="","",CHOOSE(uxb_works!$B$46,"-",Data_2014_N!BA40,Data_2017!AZ40))</f>
        <v/>
      </c>
      <c r="BB40" s="148" t="str">
        <f>IF(CHOOSE(uxb_works!$B$46,"-",Data_2014_N!BB40,Data_2017!BA40)="","",CHOOSE(uxb_works!$B$46,"-",Data_2014_N!BB40,Data_2017!BA40))</f>
        <v/>
      </c>
      <c r="BC40" s="148" t="str">
        <f>IF(CHOOSE(uxb_works!$B$46,"-",Data_2014_N!BC40,Data_2017!BB40)="","",CHOOSE(uxb_works!$B$46,"-",Data_2014_N!BC40,Data_2017!BB40))</f>
        <v/>
      </c>
      <c r="BD40" s="148" t="str">
        <f>IF(CHOOSE(uxb_works!$B$46,"-",Data_2014_N!BD40,Data_2017!BC40)="","",CHOOSE(uxb_works!$B$46,"-",Data_2014_N!BD40,Data_2017!BC40))</f>
        <v/>
      </c>
      <c r="BE40" s="148" t="str">
        <f>IF(CHOOSE(uxb_works!$B$46,"-",Data_2014_N!BE40,Data_2017!BD40)="","",CHOOSE(uxb_works!$B$46,"-",Data_2014_N!BE40,Data_2017!BD40))</f>
        <v/>
      </c>
      <c r="BF40" s="148" t="str">
        <f>IF(CHOOSE(uxb_works!$B$46,"-",Data_2014_N!BF40,Data_2017!BE40)="","",CHOOSE(uxb_works!$B$46,"-",Data_2014_N!BF40,Data_2017!BE40))</f>
        <v/>
      </c>
      <c r="BG40" s="148" t="str">
        <f>IF(CHOOSE(uxb_works!$B$46,"-",Data_2014_N!BG40,Data_2017!BF40)="","",CHOOSE(uxb_works!$B$46,"-",Data_2014_N!BG40,Data_2017!BF40))</f>
        <v/>
      </c>
      <c r="BH40" s="148" t="str">
        <f>IF(CHOOSE(uxb_works!$B$46,"-",Data_2014_N!BH40,Data_2017!BG40)="","",CHOOSE(uxb_works!$B$46,"-",Data_2014_N!BH40,Data_2017!BG40))</f>
        <v/>
      </c>
      <c r="BI40" s="148" t="str">
        <f>IF(CHOOSE(uxb_works!$B$46,"-",Data_2014_N!BI40,Data_2017!BH40)="","",CHOOSE(uxb_works!$B$46,"-",Data_2014_N!BI40,Data_2017!BH40))</f>
        <v/>
      </c>
      <c r="BJ40" s="148" t="str">
        <f>IF(CHOOSE(uxb_works!$B$46,"-",Data_2014_N!BJ40,Data_2017!BI40)="","",CHOOSE(uxb_works!$B$46,"-",Data_2014_N!BJ40,Data_2017!BI40))</f>
        <v/>
      </c>
      <c r="BK40" s="148" t="str">
        <f>IF(CHOOSE(uxb_works!$B$46,"-",Data_2014_N!BK40,Data_2017!BJ40)="","",CHOOSE(uxb_works!$B$46,"-",Data_2014_N!BK40,Data_2017!BJ40))</f>
        <v/>
      </c>
      <c r="BL40" s="148" t="str">
        <f>IF(CHOOSE(uxb_works!$B$46,"-",Data_2014_N!BL40,Data_2017!BK40)="","",CHOOSE(uxb_works!$B$46,"-",Data_2014_N!BL40,Data_2017!BK40))</f>
        <v/>
      </c>
      <c r="BM40" s="148" t="str">
        <f>IF(CHOOSE(uxb_works!$B$46,"-",Data_2014_N!BM40,Data_2017!BL40)="","",CHOOSE(uxb_works!$B$46,"-",Data_2014_N!BM40,Data_2017!BL40))</f>
        <v/>
      </c>
      <c r="BN40" s="148" t="str">
        <f>IF(CHOOSE(uxb_works!$B$46,"-",Data_2014_N!BN40,Data_2017!BM40)="","",CHOOSE(uxb_works!$B$46,"-",Data_2014_N!BN40,Data_2017!BM40))</f>
        <v/>
      </c>
      <c r="BO40" s="148" t="str">
        <f>IF(CHOOSE(uxb_works!$B$46,"-",Data_2014_N!BO40,Data_2017!BN40)="","",CHOOSE(uxb_works!$B$46,"-",Data_2014_N!BO40,Data_2017!BN40))</f>
        <v/>
      </c>
      <c r="BP40" s="148" t="str">
        <f>IF(CHOOSE(uxb_works!$B$46,"-",Data_2014_N!BP40,Data_2017!BO40)="","",CHOOSE(uxb_works!$B$46,"-",Data_2014_N!BP40,Data_2017!BO40))</f>
        <v/>
      </c>
      <c r="BQ40" s="148" t="str">
        <f>IF(CHOOSE(uxb_works!$B$46,"-",Data_2014_N!BQ40,Data_2017!BP40)="","",CHOOSE(uxb_works!$B$46,"-",Data_2014_N!BQ40,Data_2017!BP40))</f>
        <v/>
      </c>
      <c r="BR40" s="325" t="str">
        <f>IF(CHOOSE(uxb_works!$B$46,"-",Data_2014_N!BR40,Data_2017!BR40)="","",CHOOSE(uxb_works!$B$46,"-",Data_2014_N!BR40,Data_2017!BR40))</f>
        <v/>
      </c>
    </row>
    <row r="41" s="112" customFormat="1" ht="22.5" customHeight="1" spans="1:85">
      <c r="A41"/>
      <c r="B41" s="133">
        <f>tblIndicators!A37</f>
        <v>36</v>
      </c>
      <c r="C41" s="133">
        <f>tblIndicators!B37</f>
        <v>0</v>
      </c>
      <c r="D41" s="310">
        <f>CHOOSE(uxb_works!$B$46,#REF!,Data_2014_N!D41,Data_2017!D41)</f>
        <v>3</v>
      </c>
      <c r="E41" s="133" t="str">
        <f>tblIndicators!E37</f>
        <v>INSE3.2</v>
      </c>
      <c r="F41" s="133" t="str">
        <f>tblIndicators!H37</f>
        <v>Deaths from natural disaster</v>
      </c>
      <c r="G41" s="133">
        <f>tblIndicators!Z37</f>
        <v>2</v>
      </c>
      <c r="H41" s="105" t="str">
        <f>REPT(" ",D41)&amp;CHOOSE(uxb_works!$B$46,#REF!,Data_2014_N!H41,Data_2017!H41)</f>
        <v>      3.2.1) Deaths from natural disaster</v>
      </c>
      <c r="I41" s="319" t="str">
        <f>IF(CHOOSE(uxb_works!$B$46,#REF!,Data_2014_N!I41,Data_2017!I41)="","",CHOOSE(uxb_works!$B$46,#REF!,Data_2014_N!I41,Data_2017!I41))</f>
        <v>#/million/year, average of the last five years</v>
      </c>
      <c r="J41" s="148">
        <f>IF(CHOOSE(uxb_works!$B$46,"-",Data_2014_N!J41,Data_2017!J41)="","",CHOOSE(uxb_works!$B$46,"-",Data_2014_N!J41,Data_2017!J41))</f>
        <v>0</v>
      </c>
      <c r="K41" s="148">
        <f>IF(CHOOSE(uxb_works!$B$46,"-",Data_2014_N!K41,Data_2017!K41)="","",CHOOSE(uxb_works!$B$46,"-",Data_2014_N!K41,Data_2017!K41))</f>
        <v>0.0596541248143823</v>
      </c>
      <c r="L41" s="148">
        <f>IF(CHOOSE(uxb_works!$B$46,"-",Data_2014_N!L41,Data_2017!L41)="","",CHOOSE(uxb_works!$B$46,"-",Data_2014_N!L41,Data_2017!L41))</f>
        <v>0.36321985406817</v>
      </c>
      <c r="M41" s="148">
        <f>IF(CHOOSE(uxb_works!$B$46,"-",Data_2014_N!M41,Data_2017!M41)="","",CHOOSE(uxb_works!$B$46,"-",Data_2014_N!M41,Data_2017!M41))</f>
        <v>0.626424850364945</v>
      </c>
      <c r="N41" s="148">
        <f>IF(CHOOSE(uxb_works!$B$46,"-",Data_2014_N!N41,Data_2017!N41)="","",CHOOSE(uxb_works!$B$46,"-",Data_2014_N!N41,Data_2017!N41))</f>
        <v>0.129406424176869</v>
      </c>
      <c r="O41" s="148">
        <f>IF(CHOOSE(uxb_works!$B$46,"-",Data_2014_N!O41,Data_2017!O41)="","",CHOOSE(uxb_works!$B$46,"-",Data_2014_N!O41,Data_2017!O41))</f>
        <v>0.807095573911158</v>
      </c>
      <c r="P41" s="148">
        <f>IF(CHOOSE(uxb_works!$B$46,"-",Data_2014_N!P41,Data_2017!P41)="","",CHOOSE(uxb_works!$B$46,"-",Data_2014_N!P41,Data_2017!P41))</f>
        <v>1.51287288126297</v>
      </c>
      <c r="Q41" s="148">
        <f>IF(CHOOSE(uxb_works!$B$46,"-",Data_2014_N!Q41,Data_2017!Q41)="","",CHOOSE(uxb_works!$B$46,"-",Data_2014_N!Q41,Data_2017!Q41))</f>
        <v>7.34597268097017</v>
      </c>
      <c r="R41" s="148">
        <f>IF(CHOOSE(uxb_works!$B$46,"-",Data_2014_N!R41,Data_2017!R41)="","",CHOOSE(uxb_works!$B$46,"-",Data_2014_N!R41,Data_2017!R41))</f>
        <v>0.595206186029177</v>
      </c>
      <c r="S41" s="148">
        <f>IF(CHOOSE(uxb_works!$B$46,"-",Data_2014_N!S41,Data_2017!S41)="","",CHOOSE(uxb_works!$B$46,"-",Data_2014_N!S41,Data_2017!S41))</f>
        <v>0.90928165764368</v>
      </c>
      <c r="T41" s="148">
        <f>IF(CHOOSE(uxb_works!$B$46,"-",Data_2014_N!T41,Data_2017!T41)="","",CHOOSE(uxb_works!$B$46,"-",Data_2014_N!T41,Data_2017!T41))</f>
        <v>0</v>
      </c>
      <c r="U41" s="148">
        <f>IF(CHOOSE(uxb_works!$B$46,"-",Data_2014_N!U41,Data_2017!U41)="","",CHOOSE(uxb_works!$B$46,"-",Data_2014_N!U41,Data_2017!U41))</f>
        <v>0.589605259278913</v>
      </c>
      <c r="V41" s="148">
        <f>IF(CHOOSE(uxb_works!$B$46,"-",Data_2014_N!V41,Data_2017!V41)="","",CHOOSE(uxb_works!$B$46,"-",Data_2014_N!V41,Data_2017!V41))</f>
        <v>0.821207581363325</v>
      </c>
      <c r="W41" s="148">
        <f>IF(CHOOSE(uxb_works!$B$46,"-",Data_2014_N!W41,Data_2017!W41)="","",CHOOSE(uxb_works!$B$46,"-",Data_2014_N!W41,Data_2017!W41))</f>
        <v>0.821207581363325</v>
      </c>
      <c r="X41" s="148">
        <f>IF(CHOOSE(uxb_works!$B$46,"-",Data_2014_N!X41,Data_2017!X41)="","",CHOOSE(uxb_works!$B$46,"-",Data_2014_N!X41,Data_2017!X41))</f>
        <v>2.06494857761394</v>
      </c>
      <c r="Y41" s="148">
        <f>IF(CHOOSE(uxb_works!$B$46,"-",Data_2014_N!Y41,Data_2017!Y41)="","",CHOOSE(uxb_works!$B$46,"-",Data_2014_N!Y41,Data_2017!Y41))</f>
        <v>1.04668714506171</v>
      </c>
      <c r="Z41" s="148">
        <f>IF(CHOOSE(uxb_works!$B$46,"-",Data_2014_N!Z41,Data_2017!Z41)="","",CHOOSE(uxb_works!$B$46,"-",Data_2014_N!Z41,Data_2017!Z41))</f>
        <v>0</v>
      </c>
      <c r="AA41" s="148">
        <f>IF(CHOOSE(uxb_works!$B$46,"-",Data_2014_N!AA41,Data_2017!AA41)="","",CHOOSE(uxb_works!$B$46,"-",Data_2014_N!AA41,Data_2017!AA41))</f>
        <v>0.0985687808118311</v>
      </c>
      <c r="AB41" s="148">
        <f>IF(CHOOSE(uxb_works!$B$46,"-",Data_2014_N!AB41,Data_2017!AB41)="","",CHOOSE(uxb_works!$B$46,"-",Data_2014_N!AB41,Data_2017!AB41))</f>
        <v>1.27678045315975</v>
      </c>
      <c r="AC41" s="148">
        <f>IF(CHOOSE(uxb_works!$B$46,"-",Data_2014_N!AC41,Data_2017!AC41)="","",CHOOSE(uxb_works!$B$46,"-",Data_2014_N!AC41,Data_2017!AC41))</f>
        <v>0</v>
      </c>
      <c r="AD41" s="148">
        <f>IF(CHOOSE(uxb_works!$B$46,"-",Data_2014_N!AD41,Data_2017!AD41)="","",CHOOSE(uxb_works!$B$46,"-",Data_2014_N!AD41,Data_2017!AD41))</f>
        <v>0.120403715488207</v>
      </c>
      <c r="AE41" s="148">
        <f>IF(CHOOSE(uxb_works!$B$46,"-",Data_2014_N!AE41,Data_2017!AE41)="","",CHOOSE(uxb_works!$B$46,"-",Data_2014_N!AE41,Data_2017!AE41))</f>
        <v>0.690898653363541</v>
      </c>
      <c r="AF41" s="148">
        <f>IF(CHOOSE(uxb_works!$B$46,"-",Data_2014_N!AF41,Data_2017!AF41)="","",CHOOSE(uxb_works!$B$46,"-",Data_2014_N!AF41,Data_2017!AF41))</f>
        <v>0.845846947081921</v>
      </c>
      <c r="AG41" s="148">
        <f>IF(CHOOSE(uxb_works!$B$46,"-",Data_2014_N!AG41,Data_2017!AG41)="","",CHOOSE(uxb_works!$B$46,"-",Data_2014_N!AG41,Data_2017!AG41))</f>
        <v>0.270036290799891</v>
      </c>
      <c r="AH41" s="148">
        <f>IF(CHOOSE(uxb_works!$B$46,"-",Data_2014_N!AH41,Data_2017!AH41)="","",CHOOSE(uxb_works!$B$46,"-",Data_2014_N!AH41,Data_2017!AH41))</f>
        <v>4.49581993920035</v>
      </c>
      <c r="AI41" s="148">
        <f>IF(CHOOSE(uxb_works!$B$46,"-",Data_2014_N!AI41,Data_2017!AI41)="","",CHOOSE(uxb_works!$B$46,"-",Data_2014_N!AI41,Data_2017!AI41))</f>
        <v>0.382118944443895</v>
      </c>
      <c r="AJ41" s="148">
        <f>IF(CHOOSE(uxb_works!$B$46,"-",Data_2014_N!AJ41,Data_2017!AJ41)="","",CHOOSE(uxb_works!$B$46,"-",Data_2014_N!AJ41,Data_2017!AJ41))</f>
        <v>0</v>
      </c>
      <c r="AK41" s="148" t="e">
        <f>IF(CHOOSE(uxb_works!$B$46,"-",Data_2014_N!AK41,Data_2017!#REF!)="","",CHOOSE(uxb_works!$B$46,"-",Data_2014_N!AK41,Data_2017!#REF!))</f>
        <v>#REF!</v>
      </c>
      <c r="AL41" s="148">
        <f>IF(CHOOSE(uxb_works!$B$46,"-",Data_2014_N!AL41,Data_2017!AK41)="","",CHOOSE(uxb_works!$B$46,"-",Data_2014_N!AL41,Data_2017!AK41))</f>
        <v>6.43586506920762</v>
      </c>
      <c r="AM41" s="148">
        <f>IF(CHOOSE(uxb_works!$B$46,"-",Data_2014_N!AM41,Data_2017!AL41)="","",CHOOSE(uxb_works!$B$46,"-",Data_2014_N!AM41,Data_2017!AL41))</f>
        <v>3.08408933194446</v>
      </c>
      <c r="AN41" s="148">
        <f>IF(CHOOSE(uxb_works!$B$46,"-",Data_2014_N!AN41,Data_2017!AM41)="","",CHOOSE(uxb_works!$B$46,"-",Data_2014_N!AN41,Data_2017!AM41))</f>
        <v>0.821207581363325</v>
      </c>
      <c r="AO41" s="148">
        <f>IF(CHOOSE(uxb_works!$B$46,"-",Data_2014_N!AO41,Data_2017!AN41)="","",CHOOSE(uxb_works!$B$46,"-",Data_2014_N!AO41,Data_2017!AN41))</f>
        <v>0.129406424176869</v>
      </c>
      <c r="AP41" s="148">
        <f>IF(CHOOSE(uxb_works!$B$46,"-",Data_2014_N!AP41,Data_2017!AO41)="","",CHOOSE(uxb_works!$B$46,"-",Data_2014_N!AP41,Data_2017!AO41))</f>
        <v>22.1160303046084</v>
      </c>
      <c r="AQ41" s="148">
        <f>IF(CHOOSE(uxb_works!$B$46,"-",Data_2014_N!AQ41,Data_2017!AP41)="","",CHOOSE(uxb_works!$B$46,"-",Data_2014_N!AQ41,Data_2017!AP41))</f>
        <v>1.50539794969637</v>
      </c>
      <c r="AR41" s="148">
        <f>IF(CHOOSE(uxb_works!$B$46,"-",Data_2014_N!AR41,Data_2017!AQ41)="","",CHOOSE(uxb_works!$B$46,"-",Data_2014_N!AR41,Data_2017!AQ41))</f>
        <v>0.631313726418851</v>
      </c>
      <c r="AS41" s="148">
        <f>IF(CHOOSE(uxb_works!$B$46,"-",Data_2014_N!AS41,Data_2017!AR41)="","",CHOOSE(uxb_works!$B$46,"-",Data_2014_N!AS41,Data_2017!AR41))</f>
        <v>1.38490822147425</v>
      </c>
      <c r="AT41" s="148">
        <f>IF(CHOOSE(uxb_works!$B$46,"-",Data_2014_N!AT41,Data_2017!AS41)="","",CHOOSE(uxb_works!$B$46,"-",Data_2014_N!AT41,Data_2017!AS41))</f>
        <v>0.635351407697074</v>
      </c>
      <c r="AU41" s="148">
        <f>IF(CHOOSE(uxb_works!$B$46,"-",Data_2014_N!AU41,Data_2017!AT41)="","",CHOOSE(uxb_works!$B$46,"-",Data_2014_N!AU41,Data_2017!AT41))</f>
        <v>2.06494857761394</v>
      </c>
      <c r="AV41" s="148">
        <f>IF(CHOOSE(uxb_works!$B$46,"-",Data_2014_N!AV41,Data_2017!AU41)="","",CHOOSE(uxb_works!$B$46,"-",Data_2014_N!AV41,Data_2017!AU41))</f>
        <v>0.821207581363325</v>
      </c>
      <c r="AW41" s="148">
        <f>IF(CHOOSE(uxb_works!$B$46,"-",Data_2014_N!AW41,Data_2017!AV41)="","",CHOOSE(uxb_works!$B$46,"-",Data_2014_N!AW41,Data_2017!AV41))</f>
        <v>1.64109620209418</v>
      </c>
      <c r="AX41" s="148">
        <f>IF(CHOOSE(uxb_works!$B$46,"-",Data_2014_N!AX41,Data_2017!AW41)="","",CHOOSE(uxb_works!$B$46,"-",Data_2014_N!AX41,Data_2017!AW41))</f>
        <v>10.3774019667913</v>
      </c>
      <c r="AY41" s="148">
        <f>IF(CHOOSE(uxb_works!$B$46,"-",Data_2014_N!AY41,Data_2017!AX41)="","",CHOOSE(uxb_works!$B$46,"-",Data_2014_N!AY41,Data_2017!AX41))</f>
        <v>9.37920113059634</v>
      </c>
      <c r="AZ41" s="148">
        <f>IF(CHOOSE(uxb_works!$B$46,"-",Data_2014_N!AZ41,Data_2017!AY41)="","",CHOOSE(uxb_works!$B$46,"-",Data_2014_N!AZ41,Data_2017!AY41))</f>
        <v>0.351351402947519</v>
      </c>
      <c r="BA41" s="148">
        <f>IF(CHOOSE(uxb_works!$B$46,"-",Data_2014_N!BA41,Data_2017!AZ41)="","",CHOOSE(uxb_works!$B$46,"-",Data_2014_N!BA41,Data_2017!AZ41))</f>
        <v>0.845846947081921</v>
      </c>
      <c r="BB41" s="148">
        <f>IF(CHOOSE(uxb_works!$B$46,"-",Data_2014_N!BB41,Data_2017!BA41)="","",CHOOSE(uxb_works!$B$46,"-",Data_2014_N!BB41,Data_2017!BA41))</f>
        <v>1.38490822147425</v>
      </c>
      <c r="BC41" s="148">
        <f>IF(CHOOSE(uxb_works!$B$46,"-",Data_2014_N!BC41,Data_2017!BB41)="","",CHOOSE(uxb_works!$B$46,"-",Data_2014_N!BC41,Data_2017!BB41))</f>
        <v>0.821207581363325</v>
      </c>
      <c r="BD41" s="148">
        <f>IF(CHOOSE(uxb_works!$B$46,"-",Data_2014_N!BD41,Data_2017!BC41)="","",CHOOSE(uxb_works!$B$46,"-",Data_2014_N!BD41,Data_2017!BC41))</f>
        <v>2.70029701321473</v>
      </c>
      <c r="BE41" s="148">
        <f>IF(CHOOSE(uxb_works!$B$46,"-",Data_2014_N!BE41,Data_2017!BD41)="","",CHOOSE(uxb_works!$B$46,"-",Data_2014_N!BE41,Data_2017!BD41))</f>
        <v>0.351351402947519</v>
      </c>
      <c r="BF41" s="148">
        <f>IF(CHOOSE(uxb_works!$B$46,"-",Data_2014_N!BF41,Data_2017!BE41)="","",CHOOSE(uxb_works!$B$46,"-",Data_2014_N!BF41,Data_2017!BE41))</f>
        <v>0.573725528920904</v>
      </c>
      <c r="BG41" s="148">
        <f>IF(CHOOSE(uxb_works!$B$46,"-",Data_2014_N!BG41,Data_2017!BF41)="","",CHOOSE(uxb_works!$B$46,"-",Data_2014_N!BG41,Data_2017!BF41))</f>
        <v>0.807095573911158</v>
      </c>
      <c r="BH41" s="148">
        <f>IF(CHOOSE(uxb_works!$B$46,"-",Data_2014_N!BH41,Data_2017!BG41)="","",CHOOSE(uxb_works!$B$46,"-",Data_2014_N!BH41,Data_2017!BG41))</f>
        <v>0</v>
      </c>
      <c r="BI41" s="148">
        <f>IF(CHOOSE(uxb_works!$B$46,"-",Data_2014_N!BI41,Data_2017!BH41)="","",CHOOSE(uxb_works!$B$46,"-",Data_2014_N!BI41,Data_2017!BH41))</f>
        <v>0.725772169747742</v>
      </c>
      <c r="BJ41" s="148">
        <f>IF(CHOOSE(uxb_works!$B$46,"-",Data_2014_N!BJ41,Data_2017!BI41)="","",CHOOSE(uxb_works!$B$46,"-",Data_2014_N!BJ41,Data_2017!BI41))</f>
        <v>1.50539794969637</v>
      </c>
      <c r="BK41" s="148">
        <f>IF(CHOOSE(uxb_works!$B$46,"-",Data_2014_N!BK41,Data_2017!BJ41)="","",CHOOSE(uxb_works!$B$46,"-",Data_2014_N!BK41,Data_2017!BJ41))</f>
        <v>2.13493246435449</v>
      </c>
      <c r="BL41" s="148">
        <f>IF(CHOOSE(uxb_works!$B$46,"-",Data_2014_N!BL41,Data_2017!BK41)="","",CHOOSE(uxb_works!$B$46,"-",Data_2014_N!BL41,Data_2017!BK41))</f>
        <v>1.18311479230937</v>
      </c>
      <c r="BM41" s="148">
        <f>IF(CHOOSE(uxb_works!$B$46,"-",Data_2014_N!BM41,Data_2017!BL41)="","",CHOOSE(uxb_works!$B$46,"-",Data_2014_N!BM41,Data_2017!BL41))</f>
        <v>1.64109620209418</v>
      </c>
      <c r="BN41" s="148">
        <f>IF(CHOOSE(uxb_works!$B$46,"-",Data_2014_N!BN41,Data_2017!BM41)="","",CHOOSE(uxb_works!$B$46,"-",Data_2014_N!BN41,Data_2017!BM41))</f>
        <v>0.0794754619511226</v>
      </c>
      <c r="BO41" s="148">
        <f>IF(CHOOSE(uxb_works!$B$46,"-",Data_2014_N!BO41,Data_2017!BN41)="","",CHOOSE(uxb_works!$B$46,"-",Data_2014_N!BO41,Data_2017!BN41))</f>
        <v>0.821207581363325</v>
      </c>
      <c r="BP41" s="148">
        <f>IF(CHOOSE(uxb_works!$B$46,"-",Data_2014_N!BP41,Data_2017!BO41)="","",CHOOSE(uxb_works!$B$46,"-",Data_2014_N!BP41,Data_2017!BO41))</f>
        <v>0.330995577899918</v>
      </c>
      <c r="BQ41" s="148">
        <f>IF(CHOOSE(uxb_works!$B$46,"-",Data_2014_N!BQ41,Data_2017!BP41)="","",CHOOSE(uxb_works!$B$46,"-",Data_2014_N!BQ41,Data_2017!BP41))</f>
        <v>1.51141394966636</v>
      </c>
      <c r="BR41" s="325">
        <f>IF(CHOOSE(uxb_works!$B$46,"-",Data_2014_N!BR41,Data_2017!BR41)="","",CHOOSE(uxb_works!$B$46,"-",Data_2014_N!BR41,Data_2017!BR41))</f>
        <v>1.64109620209418</v>
      </c>
      <c r="CC41" s="112">
        <v>3.5</v>
      </c>
      <c r="CD41" s="112">
        <v>2.61904761904762</v>
      </c>
      <c r="CE41" s="112">
        <v>17.5</v>
      </c>
      <c r="CF41" s="112">
        <v>1.42857142857143</v>
      </c>
      <c r="CG41" s="112">
        <v>0.579710144927536</v>
      </c>
    </row>
    <row r="42" s="112" customFormat="1" ht="22.5" customHeight="1" spans="1:85">
      <c r="A42"/>
      <c r="B42" s="133">
        <f>tblIndicators!A38</f>
        <v>37</v>
      </c>
      <c r="C42" s="133">
        <f>tblIndicators!B38</f>
        <v>0</v>
      </c>
      <c r="D42" s="310">
        <f>CHOOSE(uxb_works!$B$46,#REF!,Data_2014_N!D42,Data_2017!D42)</f>
        <v>3</v>
      </c>
      <c r="E42" s="133" t="str">
        <f>tblIndicators!E38</f>
        <v>INSE3.2</v>
      </c>
      <c r="F42" s="133" t="str">
        <f>tblIndicators!H38</f>
        <v>Frequency of vehicular accidents</v>
      </c>
      <c r="G42" s="133">
        <f>tblIndicators!Z38</f>
        <v>2</v>
      </c>
      <c r="H42" s="105" t="str">
        <f>REPT(" ",D42)&amp;CHOOSE(uxb_works!$B$46,#REF!,Data_2014_N!H42,Data_2017!H42)</f>
        <v>      3.2.2) Frequency of vehicular accidents</v>
      </c>
      <c r="I42" s="319" t="str">
        <f>IF(CHOOSE(uxb_works!$B$46,#REF!,Data_2014_N!I42,Data_2017!I42)="","",CHOOSE(uxb_works!$B$46,#REF!,Data_2014_N!I42,Data_2017!I42))</f>
        <v>#/million/year</v>
      </c>
      <c r="J42" s="148">
        <f>IF(CHOOSE(uxb_works!$B$46,"-",Data_2014_N!J42,Data_2017!J42)="","",CHOOSE(uxb_works!$B$46,"-",Data_2014_N!J42,Data_2017!J42))</f>
        <v>1574.67248908297</v>
      </c>
      <c r="K42" s="148">
        <f>IF(CHOOSE(uxb_works!$B$46,"-",Data_2014_N!K42,Data_2017!K42)="","",CHOOSE(uxb_works!$B$46,"-",Data_2014_N!K42,Data_2017!K42))</f>
        <v>1258.6186540732</v>
      </c>
      <c r="L42" s="148">
        <f>IF(CHOOSE(uxb_works!$B$46,"-",Data_2014_N!L42,Data_2017!L42)="","",CHOOSE(uxb_works!$B$46,"-",Data_2014_N!L42,Data_2017!L42))</f>
        <v>1041.57509157509</v>
      </c>
      <c r="M42" s="148">
        <f>IF(CHOOSE(uxb_works!$B$46,"-",Data_2014_N!M42,Data_2017!M42)="","",CHOOSE(uxb_works!$B$46,"-",Data_2014_N!M42,Data_2017!M42))</f>
        <v>3432.5</v>
      </c>
      <c r="N42" s="148">
        <f>IF(CHOOSE(uxb_works!$B$46,"-",Data_2014_N!N42,Data_2017!N42)="","",CHOOSE(uxb_works!$B$46,"-",Data_2014_N!N42,Data_2017!N42))</f>
        <v>3568.18181818182</v>
      </c>
      <c r="O42" s="148">
        <f>IF(CHOOSE(uxb_works!$B$46,"-",Data_2014_N!O42,Data_2017!O42)="","",CHOOSE(uxb_works!$B$46,"-",Data_2014_N!O42,Data_2017!O42))</f>
        <v>139.302694136292</v>
      </c>
      <c r="P42" s="148">
        <f>IF(CHOOSE(uxb_works!$B$46,"-",Data_2014_N!P42,Data_2017!P42)="","",CHOOSE(uxb_works!$B$46,"-",Data_2014_N!P42,Data_2017!P42))</f>
        <v>1304.831</v>
      </c>
      <c r="Q42" s="148">
        <f>IF(CHOOSE(uxb_works!$B$46,"-",Data_2014_N!Q42,Data_2017!Q42)="","",CHOOSE(uxb_works!$B$46,"-",Data_2014_N!Q42,Data_2017!Q42))</f>
        <v>3983.14556106354</v>
      </c>
      <c r="R42" s="148">
        <f>IF(CHOOSE(uxb_works!$B$46,"-",Data_2014_N!R42,Data_2017!R42)="","",CHOOSE(uxb_works!$B$46,"-",Data_2014_N!R42,Data_2017!R42))</f>
        <v>2936.06557377049</v>
      </c>
      <c r="S42" s="148">
        <f>IF(CHOOSE(uxb_works!$B$46,"-",Data_2014_N!S42,Data_2017!S42)="","",CHOOSE(uxb_works!$B$46,"-",Data_2014_N!S42,Data_2017!S42))</f>
        <v>159.370560594471</v>
      </c>
      <c r="T42" s="148">
        <f>IF(CHOOSE(uxb_works!$B$46,"-",Data_2014_N!T42,Data_2017!T42)="","",CHOOSE(uxb_works!$B$46,"-",Data_2014_N!T42,Data_2017!T42))</f>
        <v>1058.16360601002</v>
      </c>
      <c r="U42" s="148">
        <f>IF(CHOOSE(uxb_works!$B$46,"-",Data_2014_N!U42,Data_2017!U42)="","",CHOOSE(uxb_works!$B$46,"-",Data_2014_N!U42,Data_2017!U42))</f>
        <v>2350</v>
      </c>
      <c r="V42" s="148">
        <f>IF(CHOOSE(uxb_works!$B$46,"-",Data_2014_N!V42,Data_2017!V42)="","",CHOOSE(uxb_works!$B$46,"-",Data_2014_N!V42,Data_2017!V42))</f>
        <v>22299.21875</v>
      </c>
      <c r="W42" s="148">
        <f>IF(CHOOSE(uxb_works!$B$46,"-",Data_2014_N!W42,Data_2017!W42)="","",CHOOSE(uxb_works!$B$46,"-",Data_2014_N!W42,Data_2017!W42))</f>
        <v>27254.2250856093</v>
      </c>
      <c r="X42" s="148">
        <f>IF(CHOOSE(uxb_works!$B$46,"-",Data_2014_N!X42,Data_2017!X42)="","",CHOOSE(uxb_works!$B$46,"-",Data_2014_N!X42,Data_2017!X42))</f>
        <v>425.974710221286</v>
      </c>
      <c r="Y42" s="148">
        <f>IF(CHOOSE(uxb_works!$B$46,"-",Data_2014_N!Y42,Data_2017!Y42)="","",CHOOSE(uxb_works!$B$46,"-",Data_2014_N!Y42,Data_2017!Y42))</f>
        <v>14.8695652173913</v>
      </c>
      <c r="Z42" s="148">
        <f>IF(CHOOSE(uxb_works!$B$46,"-",Data_2014_N!Z42,Data_2017!Z42)="","",CHOOSE(uxb_works!$B$46,"-",Data_2014_N!Z42,Data_2017!Z42))</f>
        <v>2682.096069869</v>
      </c>
      <c r="AA42" s="148">
        <f>IF(CHOOSE(uxb_works!$B$46,"-",Data_2014_N!AA42,Data_2017!AA42)="","",CHOOSE(uxb_works!$B$46,"-",Data_2014_N!AA42,Data_2017!AA42))</f>
        <v>30726.7854962764</v>
      </c>
      <c r="AB42" s="148">
        <f>IF(CHOOSE(uxb_works!$B$46,"-",Data_2014_N!AB42,Data_2017!AB42)="","",CHOOSE(uxb_works!$B$46,"-",Data_2014_N!AB42,Data_2017!AB42))</f>
        <v>244.515783841627</v>
      </c>
      <c r="AC42" s="148">
        <f>IF(CHOOSE(uxb_works!$B$46,"-",Data_2014_N!AC42,Data_2017!AC42)="","",CHOOSE(uxb_works!$B$46,"-",Data_2014_N!AC42,Data_2017!AC42))</f>
        <v>2190.34013605442</v>
      </c>
      <c r="AD42" s="148">
        <f>IF(CHOOSE(uxb_works!$B$46,"-",Data_2014_N!AD42,Data_2017!AD42)="","",CHOOSE(uxb_works!$B$46,"-",Data_2014_N!AD42,Data_2017!AD42))</f>
        <v>16694.5341299097</v>
      </c>
      <c r="AE42" s="148">
        <f>IF(CHOOSE(uxb_works!$B$46,"-",Data_2014_N!AE42,Data_2017!AE42)="","",CHOOSE(uxb_works!$B$46,"-",Data_2014_N!AE42,Data_2017!AE42))</f>
        <v>202.889034799737</v>
      </c>
      <c r="AF42" s="148">
        <f>IF(CHOOSE(uxb_works!$B$46,"-",Data_2014_N!AF42,Data_2017!AF42)="","",CHOOSE(uxb_works!$B$46,"-",Data_2014_N!AF42,Data_2017!AF42))</f>
        <v>18422.9392946581</v>
      </c>
      <c r="AG42" s="148">
        <f>IF(CHOOSE(uxb_works!$B$46,"-",Data_2014_N!AG42,Data_2017!AG42)="","",CHOOSE(uxb_works!$B$46,"-",Data_2014_N!AG42,Data_2017!AG42))</f>
        <v>24070.0218818381</v>
      </c>
      <c r="AH42" s="148">
        <f>IF(CHOOSE(uxb_works!$B$46,"-",Data_2014_N!AH42,Data_2017!AH42)="","",CHOOSE(uxb_works!$B$46,"-",Data_2014_N!AH42,Data_2017!AH42))</f>
        <v>50.0274876305662</v>
      </c>
      <c r="AI42" s="148">
        <f>IF(CHOOSE(uxb_works!$B$46,"-",Data_2014_N!AI42,Data_2017!AI42)="","",CHOOSE(uxb_works!$B$46,"-",Data_2014_N!AI42,Data_2017!AI42))</f>
        <v>17382.2</v>
      </c>
      <c r="AJ42" s="148">
        <f>IF(CHOOSE(uxb_works!$B$46,"-",Data_2014_N!AJ42,Data_2017!AJ42)="","",CHOOSE(uxb_works!$B$46,"-",Data_2014_N!AJ42,Data_2017!AJ42))</f>
        <v>27932.4937027708</v>
      </c>
      <c r="AK42" s="148" t="e">
        <f>IF(CHOOSE(uxb_works!$B$46,"-",Data_2014_N!AK42,Data_2017!#REF!)="","",CHOOSE(uxb_works!$B$46,"-",Data_2014_N!AK42,Data_2017!#REF!))</f>
        <v>#REF!</v>
      </c>
      <c r="AL42" s="148">
        <f>IF(CHOOSE(uxb_works!$B$46,"-",Data_2014_N!AL42,Data_2017!AK42)="","",CHOOSE(uxb_works!$B$46,"-",Data_2014_N!AL42,Data_2017!AK42))</f>
        <v>4891.26984126984</v>
      </c>
      <c r="AM42" s="148">
        <f>IF(CHOOSE(uxb_works!$B$46,"-",Data_2014_N!AM42,Data_2017!AL42)="","",CHOOSE(uxb_works!$B$46,"-",Data_2014_N!AM42,Data_2017!AL42))</f>
        <v>1954.4608223429</v>
      </c>
      <c r="AN42" s="148">
        <f>IF(CHOOSE(uxb_works!$B$46,"-",Data_2014_N!AN42,Data_2017!AM42)="","",CHOOSE(uxb_works!$B$46,"-",Data_2014_N!AN42,Data_2017!AM42))</f>
        <v>13919.8988411904</v>
      </c>
      <c r="AO42" s="148">
        <f>IF(CHOOSE(uxb_works!$B$46,"-",Data_2014_N!AO42,Data_2017!AN42)="","",CHOOSE(uxb_works!$B$46,"-",Data_2014_N!AO42,Data_2017!AN42))</f>
        <v>2409.6875</v>
      </c>
      <c r="AP42" s="148">
        <f>IF(CHOOSE(uxb_works!$B$46,"-",Data_2014_N!AP42,Data_2017!AO42)="","",CHOOSE(uxb_works!$B$46,"-",Data_2014_N!AP42,Data_2017!AO42))</f>
        <v>8489.5435385171</v>
      </c>
      <c r="AQ42" s="148">
        <f>IF(CHOOSE(uxb_works!$B$46,"-",Data_2014_N!AQ42,Data_2017!AP42)="","",CHOOSE(uxb_works!$B$46,"-",Data_2014_N!AQ42,Data_2017!AP42))</f>
        <v>2398</v>
      </c>
      <c r="AR42" s="148">
        <f>IF(CHOOSE(uxb_works!$B$46,"-",Data_2014_N!AR42,Data_2017!AQ42)="","",CHOOSE(uxb_works!$B$46,"-",Data_2014_N!AR42,Data_2017!AQ42))</f>
        <v>1401.93181818182</v>
      </c>
      <c r="AS42" s="148">
        <f>IF(CHOOSE(uxb_works!$B$46,"-",Data_2014_N!AS42,Data_2017!AR42)="","",CHOOSE(uxb_works!$B$46,"-",Data_2014_N!AS42,Data_2017!AR42))</f>
        <v>4389.0625</v>
      </c>
      <c r="AT42" s="148">
        <f>IF(CHOOSE(uxb_works!$B$46,"-",Data_2014_N!AT42,Data_2017!AS42)="","",CHOOSE(uxb_works!$B$46,"-",Data_2014_N!AT42,Data_2017!AS42))</f>
        <v>26813.3659331703</v>
      </c>
      <c r="AU42" s="148">
        <f>IF(CHOOSE(uxb_works!$B$46,"-",Data_2014_N!AU42,Data_2017!AT42)="","",CHOOSE(uxb_works!$B$46,"-",Data_2014_N!AU42,Data_2017!AT42))</f>
        <v>1274.74198804997</v>
      </c>
      <c r="AV42" s="148">
        <f>IF(CHOOSE(uxb_works!$B$46,"-",Data_2014_N!AV42,Data_2017!AU42)="","",CHOOSE(uxb_works!$B$46,"-",Data_2014_N!AV42,Data_2017!AU42))</f>
        <v>14920.3786746388</v>
      </c>
      <c r="AW42" s="148">
        <f>IF(CHOOSE(uxb_works!$B$46,"-",Data_2014_N!AW42,Data_2017!AV42)="","",CHOOSE(uxb_works!$B$46,"-",Data_2014_N!AW42,Data_2017!AV42))</f>
        <v>4241.91356561587</v>
      </c>
      <c r="AX42" s="148">
        <f>IF(CHOOSE(uxb_works!$B$46,"-",Data_2014_N!AX42,Data_2017!AW42)="","",CHOOSE(uxb_works!$B$46,"-",Data_2014_N!AX42,Data_2017!AW42))</f>
        <v>2760</v>
      </c>
      <c r="AY42" s="148">
        <f>IF(CHOOSE(uxb_works!$B$46,"-",Data_2014_N!AY42,Data_2017!AX42)="","",CHOOSE(uxb_works!$B$46,"-",Data_2014_N!AY42,Data_2017!AX42))</f>
        <v>2211.957868</v>
      </c>
      <c r="AZ42" s="148">
        <f>IF(CHOOSE(uxb_works!$B$46,"-",Data_2014_N!AZ42,Data_2017!AY42)="","",CHOOSE(uxb_works!$B$46,"-",Data_2014_N!AZ42,Data_2017!AY42))</f>
        <v>1746.03174603175</v>
      </c>
      <c r="BA42" s="148">
        <f>IF(CHOOSE(uxb_works!$B$46,"-",Data_2014_N!BA42,Data_2017!AZ42)="","",CHOOSE(uxb_works!$B$46,"-",Data_2014_N!BA42,Data_2017!AZ42))</f>
        <v>17933.0376235372</v>
      </c>
      <c r="BB42" s="148">
        <f>IF(CHOOSE(uxb_works!$B$46,"-",Data_2014_N!BB42,Data_2017!BA42)="","",CHOOSE(uxb_works!$B$46,"-",Data_2014_N!BB42,Data_2017!BA42))</f>
        <v>3817.97235023042</v>
      </c>
      <c r="BC42" s="148">
        <f>IF(CHOOSE(uxb_works!$B$46,"-",Data_2014_N!BC42,Data_2017!BB42)="","",CHOOSE(uxb_works!$B$46,"-",Data_2014_N!BC42,Data_2017!BB42))</f>
        <v>3659.77094615248</v>
      </c>
      <c r="BD42" s="148">
        <f>IF(CHOOSE(uxb_works!$B$46,"-",Data_2014_N!BD42,Data_2017!BC42)="","",CHOOSE(uxb_works!$B$46,"-",Data_2014_N!BD42,Data_2017!BC42))</f>
        <v>4457.75577557756</v>
      </c>
      <c r="BE42" s="148">
        <f>IF(CHOOSE(uxb_works!$B$46,"-",Data_2014_N!BE42,Data_2017!BD42)="","",CHOOSE(uxb_works!$B$46,"-",Data_2014_N!BE42,Data_2017!BD42))</f>
        <v>1329.57839807836</v>
      </c>
      <c r="BF42" s="148">
        <f>IF(CHOOSE(uxb_works!$B$46,"-",Data_2014_N!BF42,Data_2017!BE42)="","",CHOOSE(uxb_works!$B$46,"-",Data_2014_N!BF42,Data_2017!BE42))</f>
        <v>4676.83399988062</v>
      </c>
      <c r="BG42" s="148">
        <f>IF(CHOOSE(uxb_works!$B$46,"-",Data_2014_N!BG42,Data_2017!BF42)="","",CHOOSE(uxb_works!$B$46,"-",Data_2014_N!BG42,Data_2017!BF42))</f>
        <v>47.8319177469826</v>
      </c>
      <c r="BH42" s="148">
        <f>IF(CHOOSE(uxb_works!$B$46,"-",Data_2014_N!BH42,Data_2017!BG42)="","",CHOOSE(uxb_works!$B$46,"-",Data_2014_N!BH42,Data_2017!BG42))</f>
        <v>1500.35650623886</v>
      </c>
      <c r="BI42" s="148">
        <f>IF(CHOOSE(uxb_works!$B$46,"-",Data_2014_N!BI42,Data_2017!BH42)="","",CHOOSE(uxb_works!$B$46,"-",Data_2014_N!BI42,Data_2017!BH42))</f>
        <v>1742.33930453109</v>
      </c>
      <c r="BJ42" s="148">
        <f>IF(CHOOSE(uxb_works!$B$46,"-",Data_2014_N!BJ42,Data_2017!BI42)="","",CHOOSE(uxb_works!$B$46,"-",Data_2014_N!BJ42,Data_2017!BI42))</f>
        <v>2404.6052631579</v>
      </c>
      <c r="BK42" s="148">
        <f>IF(CHOOSE(uxb_works!$B$46,"-",Data_2014_N!BK42,Data_2017!BJ42)="","",CHOOSE(uxb_works!$B$46,"-",Data_2014_N!BK42,Data_2017!BJ42))</f>
        <v>2920.65063649222</v>
      </c>
      <c r="BL42" s="148">
        <f>IF(CHOOSE(uxb_works!$B$46,"-",Data_2014_N!BL42,Data_2017!BK42)="","",CHOOSE(uxb_works!$B$46,"-",Data_2014_N!BL42,Data_2017!BK42))</f>
        <v>6132.94392523364</v>
      </c>
      <c r="BM42" s="148">
        <f>IF(CHOOSE(uxb_works!$B$46,"-",Data_2014_N!BM42,Data_2017!BL42)="","",CHOOSE(uxb_works!$B$46,"-",Data_2014_N!BM42,Data_2017!BL42))</f>
        <v>4241.91356561587</v>
      </c>
      <c r="BN42" s="148">
        <f>IF(CHOOSE(uxb_works!$B$46,"-",Data_2014_N!BN42,Data_2017!BM42)="","",CHOOSE(uxb_works!$B$46,"-",Data_2014_N!BN42,Data_2017!BM42))</f>
        <v>4899.9555459693</v>
      </c>
      <c r="BO42" s="148">
        <f>IF(CHOOSE(uxb_works!$B$46,"-",Data_2014_N!BO42,Data_2017!BN42)="","",CHOOSE(uxb_works!$B$46,"-",Data_2014_N!BO42,Data_2017!BN42))</f>
        <v>36216.4179104478</v>
      </c>
      <c r="BP42" s="148">
        <f>IF(CHOOSE(uxb_works!$B$46,"-",Data_2014_N!BP42,Data_2017!BO42)="","",CHOOSE(uxb_works!$B$46,"-",Data_2014_N!BP42,Data_2017!BO42))</f>
        <v>6771.81456262101</v>
      </c>
      <c r="BQ42" s="148">
        <f>IF(CHOOSE(uxb_works!$B$46,"-",Data_2014_N!BQ42,Data_2017!BP42)="","",CHOOSE(uxb_works!$B$46,"-",Data_2014_N!BQ42,Data_2017!BP42))</f>
        <v>3564.37925531273</v>
      </c>
      <c r="BR42" s="325">
        <f>IF(CHOOSE(uxb_works!$B$46,"-",Data_2014_N!BR42,Data_2017!BR42)="","",CHOOSE(uxb_works!$B$46,"-",Data_2014_N!BR42,Data_2017!BR42))</f>
        <v>4241.91356561587</v>
      </c>
      <c r="CC42" s="112">
        <v>427</v>
      </c>
      <c r="CD42" s="112">
        <v>825</v>
      </c>
      <c r="CE42" s="112">
        <v>457</v>
      </c>
      <c r="CF42" s="112">
        <v>863</v>
      </c>
      <c r="CG42" s="112">
        <v>2914</v>
      </c>
    </row>
    <row r="43" s="112" customFormat="1" ht="22.5" customHeight="1" spans="1:85">
      <c r="A43"/>
      <c r="B43" s="133">
        <f>tblIndicators!A39</f>
        <v>38</v>
      </c>
      <c r="C43" s="133">
        <f>tblIndicators!B39</f>
        <v>0</v>
      </c>
      <c r="D43" s="310">
        <f>CHOOSE(uxb_works!$B$46,#REF!,Data_2014_N!D43,Data_2017!D43)</f>
        <v>3</v>
      </c>
      <c r="E43" s="133" t="str">
        <f>tblIndicators!E39</f>
        <v>INSE3.2</v>
      </c>
      <c r="F43" s="133" t="str">
        <f>tblIndicators!H39</f>
        <v>Frequency of pedestrian deaths</v>
      </c>
      <c r="G43" s="133">
        <f>tblIndicators!Z39</f>
        <v>2</v>
      </c>
      <c r="H43" s="105" t="str">
        <f>REPT(" ",D43)&amp;CHOOSE(uxb_works!$B$46,#REF!,Data_2014_N!H43,Data_2017!H43)</f>
        <v>      3.2.3) Frequency of pedestrian deaths</v>
      </c>
      <c r="I43" s="319" t="str">
        <f>IF(CHOOSE(uxb_works!$B$46,#REF!,Data_2014_N!I43,Data_2017!I43)="","",CHOOSE(uxb_works!$B$46,#REF!,Data_2014_N!I43,Data_2017!I43))</f>
        <v>#/million/year</v>
      </c>
      <c r="J43" s="148">
        <f>IF(CHOOSE(uxb_works!$B$46,"-",Data_2014_N!J43,Data_2017!J43)="","",CHOOSE(uxb_works!$B$46,"-",Data_2014_N!J43,Data_2017!J43))</f>
        <v>29.4779867256637</v>
      </c>
      <c r="K43" s="148">
        <f>IF(CHOOSE(uxb_works!$B$46,"-",Data_2014_N!K43,Data_2017!K43)="","",CHOOSE(uxb_works!$B$46,"-",Data_2014_N!K43,Data_2017!K43))</f>
        <v>3.3523241954708</v>
      </c>
      <c r="L43" s="148">
        <f>IF(CHOOSE(uxb_works!$B$46,"-",Data_2014_N!L43,Data_2017!L43)="","",CHOOSE(uxb_works!$B$46,"-",Data_2014_N!L43,Data_2017!L43))</f>
        <v>15.6828082808281</v>
      </c>
      <c r="M43" s="148">
        <f>IF(CHOOSE(uxb_works!$B$46,"-",Data_2014_N!M43,Data_2017!M43)="","",CHOOSE(uxb_works!$B$46,"-",Data_2014_N!M43,Data_2017!M43))</f>
        <v>29.2298999463999</v>
      </c>
      <c r="N43" s="148">
        <f>IF(CHOOSE(uxb_works!$B$46,"-",Data_2014_N!N43,Data_2017!N43)="","",CHOOSE(uxb_works!$B$46,"-",Data_2014_N!N43,Data_2017!N43))</f>
        <v>8.37907652567</v>
      </c>
      <c r="O43" s="148">
        <f>IF(CHOOSE(uxb_works!$B$46,"-",Data_2014_N!O43,Data_2017!O43)="","",CHOOSE(uxb_works!$B$46,"-",Data_2014_N!O43,Data_2017!O43))</f>
        <v>50.5309533333333</v>
      </c>
      <c r="P43" s="148">
        <f>IF(CHOOSE(uxb_works!$B$46,"-",Data_2014_N!P43,Data_2017!P43)="","",CHOOSE(uxb_works!$B$46,"-",Data_2014_N!P43,Data_2017!P43))</f>
        <v>50.1742849900722</v>
      </c>
      <c r="Q43" s="148">
        <f>IF(CHOOSE(uxb_works!$B$46,"-",Data_2014_N!Q43,Data_2017!Q43)="","",CHOOSE(uxb_works!$B$46,"-",Data_2014_N!Q43,Data_2017!Q43))</f>
        <v>9.16281154742693</v>
      </c>
      <c r="R43" s="148">
        <f>IF(CHOOSE(uxb_works!$B$46,"-",Data_2014_N!R43,Data_2017!R43)="","",CHOOSE(uxb_works!$B$46,"-",Data_2014_N!R43,Data_2017!R43))</f>
        <v>13.340832157969</v>
      </c>
      <c r="S43" s="148">
        <f>IF(CHOOSE(uxb_works!$B$46,"-",Data_2014_N!S43,Data_2017!S43)="","",CHOOSE(uxb_works!$B$46,"-",Data_2014_N!S43,Data_2017!S43))</f>
        <v>34.8826846250428</v>
      </c>
      <c r="T43" s="148">
        <f>IF(CHOOSE(uxb_works!$B$46,"-",Data_2014_N!T43,Data_2017!T43)="","",CHOOSE(uxb_works!$B$46,"-",Data_2014_N!T43,Data_2017!T43))</f>
        <v>39.92773325279</v>
      </c>
      <c r="U43" s="148">
        <f>IF(CHOOSE(uxb_works!$B$46,"-",Data_2014_N!U43,Data_2017!U43)="","",CHOOSE(uxb_works!$B$46,"-",Data_2014_N!U43,Data_2017!U43))</f>
        <v>53.8050399067348</v>
      </c>
      <c r="V43" s="148">
        <f>IF(CHOOSE(uxb_works!$B$46,"-",Data_2014_N!V43,Data_2017!V43)="","",CHOOSE(uxb_works!$B$46,"-",Data_2014_N!V43,Data_2017!V43))</f>
        <v>11.7</v>
      </c>
      <c r="W43" s="148">
        <f>IF(CHOOSE(uxb_works!$B$46,"-",Data_2014_N!W43,Data_2017!W43)="","",CHOOSE(uxb_works!$B$46,"-",Data_2014_N!W43,Data_2017!W43))</f>
        <v>27.8</v>
      </c>
      <c r="X43" s="148">
        <f>IF(CHOOSE(uxb_works!$B$46,"-",Data_2014_N!X43,Data_2017!X43)="","",CHOOSE(uxb_works!$B$46,"-",Data_2014_N!X43,Data_2017!X43))</f>
        <v>36.0379346680717</v>
      </c>
      <c r="Y43" s="148">
        <f>IF(CHOOSE(uxb_works!$B$46,"-",Data_2014_N!Y43,Data_2017!Y43)="","",CHOOSE(uxb_works!$B$46,"-",Data_2014_N!Y43,Data_2017!Y43))</f>
        <v>44.2089696438808</v>
      </c>
      <c r="Z43" s="148">
        <f>IF(CHOOSE(uxb_works!$B$46,"-",Data_2014_N!Z43,Data_2017!Z43)="","",CHOOSE(uxb_works!$B$46,"-",Data_2014_N!Z43,Data_2017!Z43))</f>
        <v>46.4973208970034</v>
      </c>
      <c r="AA43" s="148">
        <f>IF(CHOOSE(uxb_works!$B$46,"-",Data_2014_N!AA43,Data_2017!AA43)="","",CHOOSE(uxb_works!$B$46,"-",Data_2014_N!AA43,Data_2017!AA43))</f>
        <v>7.31957358822291</v>
      </c>
      <c r="AB43" s="148">
        <f>IF(CHOOSE(uxb_works!$B$46,"-",Data_2014_N!AB43,Data_2017!AB43)="","",CHOOSE(uxb_works!$B$46,"-",Data_2014_N!AB43,Data_2017!AB43))</f>
        <v>4.94315373208107</v>
      </c>
      <c r="AC43" s="148">
        <f>IF(CHOOSE(uxb_works!$B$46,"-",Data_2014_N!AC43,Data_2017!AC43)="","",CHOOSE(uxb_works!$B$46,"-",Data_2014_N!AC43,Data_2017!AC43))</f>
        <v>11.45</v>
      </c>
      <c r="AD43" s="148">
        <f>IF(CHOOSE(uxb_works!$B$46,"-",Data_2014_N!AD43,Data_2017!AD43)="","",CHOOSE(uxb_works!$B$46,"-",Data_2014_N!AD43,Data_2017!AD43))</f>
        <v>22.9845063955395</v>
      </c>
      <c r="AE43" s="148">
        <f>IF(CHOOSE(uxb_works!$B$46,"-",Data_2014_N!AE43,Data_2017!AE43)="","",CHOOSE(uxb_works!$B$46,"-",Data_2014_N!AE43,Data_2017!AE43))</f>
        <v>33.0849741529749</v>
      </c>
      <c r="AF43" s="148">
        <f>IF(CHOOSE(uxb_works!$B$46,"-",Data_2014_N!AF43,Data_2017!AF43)="","",CHOOSE(uxb_works!$B$46,"-",Data_2014_N!AF43,Data_2017!AF43))</f>
        <v>28</v>
      </c>
      <c r="AG43" s="148">
        <f>IF(CHOOSE(uxb_works!$B$46,"-",Data_2014_N!AG43,Data_2017!AG43)="","",CHOOSE(uxb_works!$B$46,"-",Data_2014_N!AG43,Data_2017!AG43))</f>
        <v>84.8683283559231</v>
      </c>
      <c r="AH43" s="148">
        <f>IF(CHOOSE(uxb_works!$B$46,"-",Data_2014_N!AH43,Data_2017!AH43)="","",CHOOSE(uxb_works!$B$46,"-",Data_2014_N!AH43,Data_2017!AH43))</f>
        <v>24.4529962</v>
      </c>
      <c r="AI43" s="148">
        <f>IF(CHOOSE(uxb_works!$B$46,"-",Data_2014_N!AI43,Data_2017!AI43)="","",CHOOSE(uxb_works!$B$46,"-",Data_2014_N!AI43,Data_2017!AI43))</f>
        <v>15.9691148520228</v>
      </c>
      <c r="AJ43" s="148">
        <f>IF(CHOOSE(uxb_works!$B$46,"-",Data_2014_N!AJ43,Data_2017!AJ43)="","",CHOOSE(uxb_works!$B$46,"-",Data_2014_N!AJ43,Data_2017!AJ43))</f>
        <v>59.4332493702771</v>
      </c>
      <c r="AK43" s="148" t="e">
        <f>IF(CHOOSE(uxb_works!$B$46,"-",Data_2014_N!AK43,Data_2017!#REF!)="","",CHOOSE(uxb_works!$B$46,"-",Data_2014_N!AK43,Data_2017!#REF!))</f>
        <v>#REF!</v>
      </c>
      <c r="AL43" s="148">
        <f>IF(CHOOSE(uxb_works!$B$46,"-",Data_2014_N!AL43,Data_2017!AK43)="","",CHOOSE(uxb_works!$B$46,"-",Data_2014_N!AL43,Data_2017!AK43))</f>
        <v>32.7356649853995</v>
      </c>
      <c r="AM43" s="148">
        <f>IF(CHOOSE(uxb_works!$B$46,"-",Data_2014_N!AM43,Data_2017!AL43)="","",CHOOSE(uxb_works!$B$46,"-",Data_2014_N!AM43,Data_2017!AL43))</f>
        <v>6.54173181562324</v>
      </c>
      <c r="AN43" s="148">
        <f>IF(CHOOSE(uxb_works!$B$46,"-",Data_2014_N!AN43,Data_2017!AM43)="","",CHOOSE(uxb_works!$B$46,"-",Data_2014_N!AN43,Data_2017!AM43))</f>
        <v>21.8</v>
      </c>
      <c r="AO43" s="148">
        <f>IF(CHOOSE(uxb_works!$B$46,"-",Data_2014_N!AO43,Data_2017!AN43)="","",CHOOSE(uxb_works!$B$46,"-",Data_2014_N!AO43,Data_2017!AN43))</f>
        <v>8.37907652567</v>
      </c>
      <c r="AP43" s="148">
        <f>IF(CHOOSE(uxb_works!$B$46,"-",Data_2014_N!AP43,Data_2017!AO43)="","",CHOOSE(uxb_works!$B$46,"-",Data_2014_N!AP43,Data_2017!AO43))</f>
        <v>20.2108186774894</v>
      </c>
      <c r="AQ43" s="148">
        <f>IF(CHOOSE(uxb_works!$B$46,"-",Data_2014_N!AQ43,Data_2017!AP43)="","",CHOOSE(uxb_works!$B$46,"-",Data_2014_N!AQ43,Data_2017!AP43))</f>
        <v>5.5</v>
      </c>
      <c r="AR43" s="148">
        <f>IF(CHOOSE(uxb_works!$B$46,"-",Data_2014_N!AR43,Data_2017!AQ43)="","",CHOOSE(uxb_works!$B$46,"-",Data_2014_N!AR43,Data_2017!AQ43))</f>
        <v>37.3863243522213</v>
      </c>
      <c r="AS43" s="148">
        <f>IF(CHOOSE(uxb_works!$B$46,"-",Data_2014_N!AS43,Data_2017!AR43)="","",CHOOSE(uxb_works!$B$46,"-",Data_2014_N!AS43,Data_2017!AR43))</f>
        <v>10</v>
      </c>
      <c r="AT43" s="148">
        <f>IF(CHOOSE(uxb_works!$B$46,"-",Data_2014_N!AT43,Data_2017!AS43)="","",CHOOSE(uxb_works!$B$46,"-",Data_2014_N!AT43,Data_2017!AS43))</f>
        <v>54.476386108573</v>
      </c>
      <c r="AU43" s="148">
        <f>IF(CHOOSE(uxb_works!$B$46,"-",Data_2014_N!AU43,Data_2017!AT43)="","",CHOOSE(uxb_works!$B$46,"-",Data_2014_N!AU43,Data_2017!AT43))</f>
        <v>10.3404702155303</v>
      </c>
      <c r="AV43" s="148">
        <f>IF(CHOOSE(uxb_works!$B$46,"-",Data_2014_N!AV43,Data_2017!AU43)="","",CHOOSE(uxb_works!$B$46,"-",Data_2014_N!AV43,Data_2017!AU43))</f>
        <v>16.2</v>
      </c>
      <c r="AW43" s="148">
        <f>IF(CHOOSE(uxb_works!$B$46,"-",Data_2014_N!AW43,Data_2017!AV43)="","",CHOOSE(uxb_works!$B$46,"-",Data_2014_N!AW43,Data_2017!AV43))</f>
        <v>17.0217112257353</v>
      </c>
      <c r="AX43" s="148">
        <f>IF(CHOOSE(uxb_works!$B$46,"-",Data_2014_N!AX43,Data_2017!AW43)="","",CHOOSE(uxb_works!$B$46,"-",Data_2014_N!AX43,Data_2017!AW43))</f>
        <v>7.26859219347159</v>
      </c>
      <c r="AY43" s="148">
        <f>IF(CHOOSE(uxb_works!$B$46,"-",Data_2014_N!AY43,Data_2017!AX43)="","",CHOOSE(uxb_works!$B$46,"-",Data_2014_N!AY43,Data_2017!AX43))</f>
        <v>61.1558533599639</v>
      </c>
      <c r="AZ43" s="148">
        <f>IF(CHOOSE(uxb_works!$B$46,"-",Data_2014_N!AZ43,Data_2017!AY43)="","",CHOOSE(uxb_works!$B$46,"-",Data_2014_N!AZ43,Data_2017!AY43))</f>
        <v>46.4068569879845</v>
      </c>
      <c r="BA43" s="148">
        <f>IF(CHOOSE(uxb_works!$B$46,"-",Data_2014_N!BA43,Data_2017!AZ43)="","",CHOOSE(uxb_works!$B$46,"-",Data_2014_N!BA43,Data_2017!AZ43))</f>
        <v>28</v>
      </c>
      <c r="BB43" s="148">
        <f>IF(CHOOSE(uxb_works!$B$46,"-",Data_2014_N!BB43,Data_2017!BA43)="","",CHOOSE(uxb_works!$B$46,"-",Data_2014_N!BB43,Data_2017!BA43))</f>
        <v>14.0552995391705</v>
      </c>
      <c r="BC43" s="148">
        <f>IF(CHOOSE(uxb_works!$B$46,"-",Data_2014_N!BC43,Data_2017!BB43)="","",CHOOSE(uxb_works!$B$46,"-",Data_2014_N!BC43,Data_2017!BB43))</f>
        <v>21.8</v>
      </c>
      <c r="BD43" s="148">
        <f>IF(CHOOSE(uxb_works!$B$46,"-",Data_2014_N!BD43,Data_2017!BC43)="","",CHOOSE(uxb_works!$B$46,"-",Data_2014_N!BD43,Data_2017!BC43))</f>
        <v>48.2266158397815</v>
      </c>
      <c r="BE43" s="148">
        <f>IF(CHOOSE(uxb_works!$B$46,"-",Data_2014_N!BE43,Data_2017!BD43)="","",CHOOSE(uxb_works!$B$46,"-",Data_2014_N!BE43,Data_2017!BD43))</f>
        <v>46.4068569879845</v>
      </c>
      <c r="BF43" s="148">
        <f>IF(CHOOSE(uxb_works!$B$46,"-",Data_2014_N!BF43,Data_2017!BE43)="","",CHOOSE(uxb_works!$B$46,"-",Data_2014_N!BF43,Data_2017!BE43))</f>
        <v>46.2848115232612</v>
      </c>
      <c r="BG43" s="148">
        <f>IF(CHOOSE(uxb_works!$B$46,"-",Data_2014_N!BG43,Data_2017!BF43)="","",CHOOSE(uxb_works!$B$46,"-",Data_2014_N!BG43,Data_2017!BF43))</f>
        <v>50.5309533333333</v>
      </c>
      <c r="BH43" s="148">
        <f>IF(CHOOSE(uxb_works!$B$46,"-",Data_2014_N!BH43,Data_2017!BG43)="","",CHOOSE(uxb_works!$B$46,"-",Data_2014_N!BH43,Data_2017!BG43))</f>
        <v>9.81497258853163</v>
      </c>
      <c r="BI43" s="148">
        <f>IF(CHOOSE(uxb_works!$B$46,"-",Data_2014_N!BI43,Data_2017!BH43)="","",CHOOSE(uxb_works!$B$46,"-",Data_2014_N!BI43,Data_2017!BH43))</f>
        <v>4.5686321268235</v>
      </c>
      <c r="BJ43" s="148">
        <f>IF(CHOOSE(uxb_works!$B$46,"-",Data_2014_N!BJ43,Data_2017!BI43)="","",CHOOSE(uxb_works!$B$46,"-",Data_2014_N!BJ43,Data_2017!BI43))</f>
        <v>8.00524934383202</v>
      </c>
      <c r="BK43" s="148">
        <f>IF(CHOOSE(uxb_works!$B$46,"-",Data_2014_N!BK43,Data_2017!BJ43)="","",CHOOSE(uxb_works!$B$46,"-",Data_2014_N!BK43,Data_2017!BJ43))</f>
        <v>10.6546854942234</v>
      </c>
      <c r="BL43" s="148">
        <f>IF(CHOOSE(uxb_works!$B$46,"-",Data_2014_N!BL43,Data_2017!BK43)="","",CHOOSE(uxb_works!$B$46,"-",Data_2014_N!BL43,Data_2017!BK43))</f>
        <v>73.9131859131859</v>
      </c>
      <c r="BM43" s="148">
        <f>IF(CHOOSE(uxb_works!$B$46,"-",Data_2014_N!BM43,Data_2017!BL43)="","",CHOOSE(uxb_works!$B$46,"-",Data_2014_N!BM43,Data_2017!BL43))</f>
        <v>17.0217112257353</v>
      </c>
      <c r="BN43" s="148">
        <f>IF(CHOOSE(uxb_works!$B$46,"-",Data_2014_N!BN43,Data_2017!BM43)="","",CHOOSE(uxb_works!$B$46,"-",Data_2014_N!BN43,Data_2017!BM43))</f>
        <v>9.5186990937249</v>
      </c>
      <c r="BO43" s="148">
        <f>IF(CHOOSE(uxb_works!$B$46,"-",Data_2014_N!BO43,Data_2017!BN43)="","",CHOOSE(uxb_works!$B$46,"-",Data_2014_N!BO43,Data_2017!BN43))</f>
        <v>22.3</v>
      </c>
      <c r="BP43" s="148">
        <f>IF(CHOOSE(uxb_works!$B$46,"-",Data_2014_N!BP43,Data_2017!BO43)="","",CHOOSE(uxb_works!$B$46,"-",Data_2014_N!BP43,Data_2017!BO43))</f>
        <v>7.21793689702476</v>
      </c>
      <c r="BQ43" s="148">
        <f>IF(CHOOSE(uxb_works!$B$46,"-",Data_2014_N!BQ43,Data_2017!BP43)="","",CHOOSE(uxb_works!$B$46,"-",Data_2014_N!BQ43,Data_2017!BP43))</f>
        <v>54.3239324995651</v>
      </c>
      <c r="BR43" s="325">
        <f>IF(CHOOSE(uxb_works!$B$46,"-",Data_2014_N!BR43,Data_2017!BR43)="","",CHOOSE(uxb_works!$B$46,"-",Data_2014_N!BR43,Data_2017!BR43))</f>
        <v>17.0217112257353</v>
      </c>
      <c r="CC43" s="112">
        <v>2.6</v>
      </c>
      <c r="CD43" s="112">
        <v>1.6</v>
      </c>
      <c r="CE43" s="112">
        <v>2</v>
      </c>
      <c r="CF43" s="112">
        <v>0.4</v>
      </c>
      <c r="CG43" s="112">
        <v>1.3</v>
      </c>
    </row>
    <row r="44" s="112" customFormat="1" ht="22.5" customHeight="1" spans="1:85">
      <c r="A44"/>
      <c r="B44" s="133">
        <f>tblIndicators!A40</f>
        <v>39</v>
      </c>
      <c r="C44" s="133">
        <f>tblIndicators!B40</f>
        <v>0</v>
      </c>
      <c r="D44" s="310">
        <f>CHOOSE(uxb_works!$B$46,#REF!,Data_2014_N!D44,Data_2017!D44)</f>
        <v>3</v>
      </c>
      <c r="E44" s="133" t="str">
        <f>tblIndicators!E40</f>
        <v>INSE3.2</v>
      </c>
      <c r="F44" s="133" t="str">
        <f>tblIndicators!H40</f>
        <v>Percentage living in slums</v>
      </c>
      <c r="G44" s="133">
        <f>tblIndicators!Z40</f>
        <v>2</v>
      </c>
      <c r="H44" s="105" t="str">
        <f>REPT(" ",D44)&amp;CHOOSE(uxb_works!$B$46,#REF!,Data_2014_N!H44,Data_2017!H44)</f>
        <v>      3.2.4) Percentage living in slums</v>
      </c>
      <c r="I44" s="319" t="str">
        <f>IF(CHOOSE(uxb_works!$B$46,#REF!,Data_2014_N!I44,Data_2017!I44)="","",CHOOSE(uxb_works!$B$46,#REF!,Data_2014_N!I44,Data_2017!I44))</f>
        <v>%</v>
      </c>
      <c r="J44" s="148">
        <f>IF(CHOOSE(uxb_works!$B$46,"-",Data_2014_N!J44,Data_2017!J44)="","",CHOOSE(uxb_works!$B$46,"-",Data_2014_N!J44,Data_2017!J44))</f>
        <v>0</v>
      </c>
      <c r="K44" s="148">
        <f>IF(CHOOSE(uxb_works!$B$46,"-",Data_2014_N!K44,Data_2017!K44)="","",CHOOSE(uxb_works!$B$46,"-",Data_2014_N!K44,Data_2017!K44))</f>
        <v>0.032</v>
      </c>
      <c r="L44" s="148">
        <f>IF(CHOOSE(uxb_works!$B$46,"-",Data_2014_N!L44,Data_2017!L44)="","",CHOOSE(uxb_works!$B$46,"-",Data_2014_N!L44,Data_2017!L44))</f>
        <v>0.063</v>
      </c>
      <c r="M44" s="148">
        <f>IF(CHOOSE(uxb_works!$B$46,"-",Data_2014_N!M44,Data_2017!M44)="","",CHOOSE(uxb_works!$B$46,"-",Data_2014_N!M44,Data_2017!M44))</f>
        <v>0.25</v>
      </c>
      <c r="N44" s="148">
        <f>IF(CHOOSE(uxb_works!$B$46,"-",Data_2014_N!N44,Data_2017!N44)="","",CHOOSE(uxb_works!$B$46,"-",Data_2014_N!N44,Data_2017!N44))</f>
        <v>0</v>
      </c>
      <c r="O44" s="148">
        <f>IF(CHOOSE(uxb_works!$B$46,"-",Data_2014_N!O44,Data_2017!O44)="","",CHOOSE(uxb_works!$B$46,"-",Data_2014_N!O44,Data_2017!O44))</f>
        <v>0.252</v>
      </c>
      <c r="P44" s="148">
        <f>IF(CHOOSE(uxb_works!$B$46,"-",Data_2014_N!P44,Data_2017!P44)="","",CHOOSE(uxb_works!$B$46,"-",Data_2014_N!P44,Data_2017!P44))</f>
        <v>0.131</v>
      </c>
      <c r="Q44" s="148">
        <f>IF(CHOOSE(uxb_works!$B$46,"-",Data_2014_N!Q44,Data_2017!Q44)="","",CHOOSE(uxb_works!$B$46,"-",Data_2014_N!Q44,Data_2017!Q44))</f>
        <v>0.019</v>
      </c>
      <c r="R44" s="148">
        <f>IF(CHOOSE(uxb_works!$B$46,"-",Data_2014_N!R44,Data_2017!R44)="","",CHOOSE(uxb_works!$B$46,"-",Data_2014_N!R44,Data_2017!R44))</f>
        <v>0.167</v>
      </c>
      <c r="S44" s="148">
        <f>IF(CHOOSE(uxb_works!$B$46,"-",Data_2014_N!S44,Data_2017!S44)="","",CHOOSE(uxb_works!$B$46,"-",Data_2014_N!S44,Data_2017!S44))</f>
        <v>0.106</v>
      </c>
      <c r="T44" s="148">
        <f>IF(CHOOSE(uxb_works!$B$46,"-",Data_2014_N!T44,Data_2017!T44)="","",CHOOSE(uxb_works!$B$46,"-",Data_2014_N!T44,Data_2017!T44))</f>
        <v>0.32</v>
      </c>
      <c r="U44" s="148">
        <f>IF(CHOOSE(uxb_works!$B$46,"-",Data_2014_N!U44,Data_2017!U44)="","",CHOOSE(uxb_works!$B$46,"-",Data_2014_N!U44,Data_2017!U44))</f>
        <v>0.131</v>
      </c>
      <c r="V44" s="148">
        <f>IF(CHOOSE(uxb_works!$B$46,"-",Data_2014_N!V44,Data_2017!V44)="","",CHOOSE(uxb_works!$B$46,"-",Data_2014_N!V44,Data_2017!V44))</f>
        <v>0.0128267950306978</v>
      </c>
      <c r="W44" s="148">
        <f>IF(CHOOSE(uxb_works!$B$46,"-",Data_2014_N!W44,Data_2017!W44)="","",CHOOSE(uxb_works!$B$46,"-",Data_2014_N!W44,Data_2017!W44))</f>
        <v>0.00700064745872451</v>
      </c>
      <c r="X44" s="148">
        <f>IF(CHOOSE(uxb_works!$B$46,"-",Data_2014_N!X44,Data_2017!X44)="","",CHOOSE(uxb_works!$B$46,"-",Data_2014_N!X44,Data_2017!X44))</f>
        <v>0.24</v>
      </c>
      <c r="Y44" s="148">
        <f>IF(CHOOSE(uxb_works!$B$46,"-",Data_2014_N!Y44,Data_2017!Y44)="","",CHOOSE(uxb_works!$B$46,"-",Data_2014_N!Y44,Data_2017!Y44))</f>
        <v>0.551</v>
      </c>
      <c r="Z44" s="148">
        <f>IF(CHOOSE(uxb_works!$B$46,"-",Data_2014_N!Z44,Data_2017!Z44)="","",CHOOSE(uxb_works!$B$46,"-",Data_2014_N!Z44,Data_2017!Z44))</f>
        <v>0</v>
      </c>
      <c r="AA44" s="148">
        <f>IF(CHOOSE(uxb_works!$B$46,"-",Data_2014_N!AA44,Data_2017!AA44)="","",CHOOSE(uxb_works!$B$46,"-",Data_2014_N!AA44,Data_2017!AA44))</f>
        <v>0.018</v>
      </c>
      <c r="AB44" s="148">
        <f>IF(CHOOSE(uxb_works!$B$46,"-",Data_2014_N!AB44,Data_2017!AB44)="","",CHOOSE(uxb_works!$B$46,"-",Data_2014_N!AB44,Data_2017!AB44))</f>
        <v>0.272</v>
      </c>
      <c r="AC44" s="148">
        <f>IF(CHOOSE(uxb_works!$B$46,"-",Data_2014_N!AC44,Data_2017!AC44)="","",CHOOSE(uxb_works!$B$46,"-",Data_2014_N!AC44,Data_2017!AC44))</f>
        <v>0.00636488340192044</v>
      </c>
      <c r="AD44" s="148">
        <f>IF(CHOOSE(uxb_works!$B$46,"-",Data_2014_N!AD44,Data_2017!AD44)="","",CHOOSE(uxb_works!$B$46,"-",Data_2014_N!AD44,Data_2017!AD44))</f>
        <v>0.119</v>
      </c>
      <c r="AE44" s="148">
        <f>IF(CHOOSE(uxb_works!$B$46,"-",Data_2014_N!AE44,Data_2017!AE44)="","",CHOOSE(uxb_works!$B$46,"-",Data_2014_N!AE44,Data_2017!AE44))</f>
        <v>0.218</v>
      </c>
      <c r="AF44" s="148">
        <f>IF(CHOOSE(uxb_works!$B$46,"-",Data_2014_N!AF44,Data_2017!AF44)="","",CHOOSE(uxb_works!$B$46,"-",Data_2014_N!AF44,Data_2017!AF44))</f>
        <v>0.18</v>
      </c>
      <c r="AG44" s="148">
        <f>IF(CHOOSE(uxb_works!$B$46,"-",Data_2014_N!AG44,Data_2017!AG44)="","",CHOOSE(uxb_works!$B$46,"-",Data_2014_N!AG44,Data_2017!AG44))</f>
        <v>0.23</v>
      </c>
      <c r="AH44" s="148">
        <f>IF(CHOOSE(uxb_works!$B$46,"-",Data_2014_N!AH44,Data_2017!AH44)="","",CHOOSE(uxb_works!$B$46,"-",Data_2014_N!AH44,Data_2017!AH44))</f>
        <v>0.455</v>
      </c>
      <c r="AI44" s="148">
        <f>IF(CHOOSE(uxb_works!$B$46,"-",Data_2014_N!AI44,Data_2017!AI44)="","",CHOOSE(uxb_works!$B$46,"-",Data_2014_N!AI44,Data_2017!AI44))</f>
        <v>0.02</v>
      </c>
      <c r="AJ44" s="148">
        <f>IF(CHOOSE(uxb_works!$B$46,"-",Data_2014_N!AJ44,Data_2017!AJ44)="","",CHOOSE(uxb_works!$B$46,"-",Data_2014_N!AJ44,Data_2017!AJ44))</f>
        <v>0</v>
      </c>
      <c r="AK44" s="148" t="e">
        <f>IF(CHOOSE(uxb_works!$B$46,"-",Data_2014_N!AK44,Data_2017!#REF!)="","",CHOOSE(uxb_works!$B$46,"-",Data_2014_N!AK44,Data_2017!#REF!))</f>
        <v>#REF!</v>
      </c>
      <c r="AL44" s="148">
        <f>IF(CHOOSE(uxb_works!$B$46,"-",Data_2014_N!AL44,Data_2017!AK44)="","",CHOOSE(uxb_works!$B$46,"-",Data_2014_N!AL44,Data_2017!AK44))</f>
        <v>0.342</v>
      </c>
      <c r="AM44" s="148">
        <f>IF(CHOOSE(uxb_works!$B$46,"-",Data_2014_N!AM44,Data_2017!AL44)="","",CHOOSE(uxb_works!$B$46,"-",Data_2014_N!AM44,Data_2017!AL44))</f>
        <v>0.0035</v>
      </c>
      <c r="AN44" s="148">
        <f>IF(CHOOSE(uxb_works!$B$46,"-",Data_2014_N!AN44,Data_2017!AM44)="","",CHOOSE(uxb_works!$B$46,"-",Data_2014_N!AN44,Data_2017!AM44))</f>
        <v>0.0163340639058715</v>
      </c>
      <c r="AO44" s="148">
        <f>IF(CHOOSE(uxb_works!$B$46,"-",Data_2014_N!AO44,Data_2017!AN44)="","",CHOOSE(uxb_works!$B$46,"-",Data_2014_N!AO44,Data_2017!AN44))</f>
        <v>0.00821917808219178</v>
      </c>
      <c r="AP44" s="148">
        <f>IF(CHOOSE(uxb_works!$B$46,"-",Data_2014_N!AP44,Data_2017!AO44)="","",CHOOSE(uxb_works!$B$46,"-",Data_2014_N!AP44,Data_2017!AO44))</f>
        <v>0.383</v>
      </c>
      <c r="AQ44" s="148">
        <f>IF(CHOOSE(uxb_works!$B$46,"-",Data_2014_N!AQ44,Data_2017!AP44)="","",CHOOSE(uxb_works!$B$46,"-",Data_2014_N!AQ44,Data_2017!AP44))</f>
        <v>0.0062</v>
      </c>
      <c r="AR44" s="148">
        <f>IF(CHOOSE(uxb_works!$B$46,"-",Data_2014_N!AR44,Data_2017!AQ44)="","",CHOOSE(uxb_works!$B$46,"-",Data_2014_N!AR44,Data_2017!AQ44))</f>
        <v>0.111</v>
      </c>
      <c r="AS44" s="148">
        <f>IF(CHOOSE(uxb_works!$B$46,"-",Data_2014_N!AS44,Data_2017!AR44)="","",CHOOSE(uxb_works!$B$46,"-",Data_2014_N!AS44,Data_2017!AR44))</f>
        <v>0.096</v>
      </c>
      <c r="AT44" s="148">
        <f>IF(CHOOSE(uxb_works!$B$46,"-",Data_2014_N!AT44,Data_2017!AS44)="","",CHOOSE(uxb_works!$B$46,"-",Data_2014_N!AT44,Data_2017!AS44))</f>
        <v>0.032</v>
      </c>
      <c r="AU44" s="148">
        <f>IF(CHOOSE(uxb_works!$B$46,"-",Data_2014_N!AU44,Data_2017!AT44)="","",CHOOSE(uxb_works!$B$46,"-",Data_2014_N!AU44,Data_2017!AT44))</f>
        <v>0.24</v>
      </c>
      <c r="AV44" s="148">
        <f>IF(CHOOSE(uxb_works!$B$46,"-",Data_2014_N!AV44,Data_2017!AU44)="","",CHOOSE(uxb_works!$B$46,"-",Data_2014_N!AV44,Data_2017!AU44))</f>
        <v>0.0320627924692567</v>
      </c>
      <c r="AW44" s="148">
        <f>IF(CHOOSE(uxb_works!$B$46,"-",Data_2014_N!AW44,Data_2017!AV44)="","",CHOOSE(uxb_works!$B$46,"-",Data_2014_N!AW44,Data_2017!AV44))</f>
        <v>0.00282167042889391</v>
      </c>
      <c r="AX44" s="148">
        <f>IF(CHOOSE(uxb_works!$B$46,"-",Data_2014_N!AX44,Data_2017!AW44)="","",CHOOSE(uxb_works!$B$46,"-",Data_2014_N!AX44,Data_2017!AW44))</f>
        <v>0.023</v>
      </c>
      <c r="AY44" s="148">
        <f>IF(CHOOSE(uxb_works!$B$46,"-",Data_2014_N!AY44,Data_2017!AX44)="","",CHOOSE(uxb_works!$B$46,"-",Data_2014_N!AY44,Data_2017!AX44))</f>
        <v>0.36</v>
      </c>
      <c r="AZ44" s="148">
        <f>IF(CHOOSE(uxb_works!$B$46,"-",Data_2014_N!AZ44,Data_2017!AY44)="","",CHOOSE(uxb_works!$B$46,"-",Data_2014_N!AZ44,Data_2017!AY44))</f>
        <v>0.223</v>
      </c>
      <c r="BA44" s="148">
        <f>IF(CHOOSE(uxb_works!$B$46,"-",Data_2014_N!BA44,Data_2017!AZ44)="","",CHOOSE(uxb_works!$B$46,"-",Data_2014_N!BA44,Data_2017!AZ44))</f>
        <v>0.18</v>
      </c>
      <c r="BB44" s="148">
        <f>IF(CHOOSE(uxb_works!$B$46,"-",Data_2014_N!BB44,Data_2017!BA44)="","",CHOOSE(uxb_works!$B$46,"-",Data_2014_N!BB44,Data_2017!BA44))</f>
        <v>0.096</v>
      </c>
      <c r="BC44" s="148">
        <f>IF(CHOOSE(uxb_works!$B$46,"-",Data_2014_N!BC44,Data_2017!BB44)="","",CHOOSE(uxb_works!$B$46,"-",Data_2014_N!BC44,Data_2017!BB44))</f>
        <v>0.0220522852569803</v>
      </c>
      <c r="BD44" s="148">
        <f>IF(CHOOSE(uxb_works!$B$46,"-",Data_2014_N!BD44,Data_2017!BC44)="","",CHOOSE(uxb_works!$B$46,"-",Data_2014_N!BD44,Data_2017!BC44))</f>
        <v>0.09</v>
      </c>
      <c r="BE44" s="148">
        <f>IF(CHOOSE(uxb_works!$B$46,"-",Data_2014_N!BE44,Data_2017!BD44)="","",CHOOSE(uxb_works!$B$46,"-",Data_2014_N!BE44,Data_2017!BD44))</f>
        <v>0.223</v>
      </c>
      <c r="BF44" s="148">
        <f>IF(CHOOSE(uxb_works!$B$46,"-",Data_2014_N!BF44,Data_2017!BE44)="","",CHOOSE(uxb_works!$B$46,"-",Data_2014_N!BF44,Data_2017!BE44))</f>
        <v>0.000131761268781302</v>
      </c>
      <c r="BG44" s="148">
        <f>IF(CHOOSE(uxb_works!$B$46,"-",Data_2014_N!BG44,Data_2017!BF44)="","",CHOOSE(uxb_works!$B$46,"-",Data_2014_N!BG44,Data_2017!BF44))</f>
        <v>0.252</v>
      </c>
      <c r="BH44" s="148">
        <f>IF(CHOOSE(uxb_works!$B$46,"-",Data_2014_N!BH44,Data_2017!BG44)="","",CHOOSE(uxb_works!$B$46,"-",Data_2014_N!BH44,Data_2017!BG44))</f>
        <v>0</v>
      </c>
      <c r="BI44" s="148">
        <f>IF(CHOOSE(uxb_works!$B$46,"-",Data_2014_N!BI44,Data_2017!BH44)="","",CHOOSE(uxb_works!$B$46,"-",Data_2014_N!BI44,Data_2017!BH44))</f>
        <v>0.02</v>
      </c>
      <c r="BJ44" s="148">
        <f>IF(CHOOSE(uxb_works!$B$46,"-",Data_2014_N!BJ44,Data_2017!BI44)="","",CHOOSE(uxb_works!$B$46,"-",Data_2014_N!BJ44,Data_2017!BI44))</f>
        <v>0.0062</v>
      </c>
      <c r="BK44" s="148">
        <f>IF(CHOOSE(uxb_works!$B$46,"-",Data_2014_N!BK44,Data_2017!BJ44)="","",CHOOSE(uxb_works!$B$46,"-",Data_2014_N!BK44,Data_2017!BJ44))</f>
        <v>0</v>
      </c>
      <c r="BL44" s="148">
        <f>IF(CHOOSE(uxb_works!$B$46,"-",Data_2014_N!BL44,Data_2017!BK44)="","",CHOOSE(uxb_works!$B$46,"-",Data_2014_N!BL44,Data_2017!BK44))</f>
        <v>0.519</v>
      </c>
      <c r="BM44" s="148">
        <f>IF(CHOOSE(uxb_works!$B$46,"-",Data_2014_N!BM44,Data_2017!BL44)="","",CHOOSE(uxb_works!$B$46,"-",Data_2014_N!BM44,Data_2017!BL44))</f>
        <v>0.000417594654788419</v>
      </c>
      <c r="BN44" s="148">
        <f>IF(CHOOSE(uxb_works!$B$46,"-",Data_2014_N!BN44,Data_2017!BM44)="","",CHOOSE(uxb_works!$B$46,"-",Data_2014_N!BN44,Data_2017!BM44))</f>
        <v>0.0195</v>
      </c>
      <c r="BO44" s="148">
        <f>IF(CHOOSE(uxb_works!$B$46,"-",Data_2014_N!BO44,Data_2017!BN44)="","",CHOOSE(uxb_works!$B$46,"-",Data_2014_N!BO44,Data_2017!BN44))</f>
        <v>0.00960776083205074</v>
      </c>
      <c r="BP44" s="148">
        <f>IF(CHOOSE(uxb_works!$B$46,"-",Data_2014_N!BP44,Data_2017!BO44)="","",CHOOSE(uxb_works!$B$46,"-",Data_2014_N!BP44,Data_2017!BO44))</f>
        <v>0.007</v>
      </c>
      <c r="BQ44" s="148">
        <f>IF(CHOOSE(uxb_works!$B$46,"-",Data_2014_N!BQ44,Data_2017!BP44)="","",CHOOSE(uxb_works!$B$46,"-",Data_2014_N!BQ44,Data_2017!BP44))</f>
        <v>0.41</v>
      </c>
      <c r="BR44" s="325">
        <f>IF(CHOOSE(uxb_works!$B$46,"-",Data_2014_N!BR44,Data_2017!BR44)="","",CHOOSE(uxb_works!$B$46,"-",Data_2014_N!BR44,Data_2017!BR44))</f>
        <v>0</v>
      </c>
      <c r="CC44" s="112">
        <v>20</v>
      </c>
      <c r="CD44" s="112">
        <v>20</v>
      </c>
      <c r="CE44" s="112">
        <v>20</v>
      </c>
      <c r="CF44" s="112">
        <v>13.2</v>
      </c>
      <c r="CG44" s="112">
        <v>20</v>
      </c>
    </row>
    <row r="45" s="112" customFormat="1" ht="22.5" customHeight="1" spans="1:85">
      <c r="A45"/>
      <c r="B45" s="133">
        <f>tblIndicators!A41</f>
        <v>40</v>
      </c>
      <c r="C45" s="133">
        <f>tblIndicators!B41</f>
        <v>0</v>
      </c>
      <c r="D45" s="310">
        <f>CHOOSE(uxb_works!$B$46,#REF!,Data_2014_N!D45,Data_2017!D45)</f>
        <v>3</v>
      </c>
      <c r="E45" s="133" t="str">
        <f>tblIndicators!E41</f>
        <v>INSE3.2</v>
      </c>
      <c r="F45" s="133" t="str">
        <f>tblIndicators!H41</f>
        <v>Number of attacks on facilities/infrastructure</v>
      </c>
      <c r="G45" s="133">
        <f>tblIndicators!Z41</f>
        <v>2</v>
      </c>
      <c r="H45" s="105" t="str">
        <f>REPT(" ",D45)&amp;CHOOSE(uxb_works!$B$46,#REF!,Data_2014_N!H45,Data_2017!H45)</f>
        <v>      3.2.5) Number of attacks on facilities/infrastructure</v>
      </c>
      <c r="I45" s="319" t="str">
        <f>IF(CHOOSE(uxb_works!$B$46,#REF!,Data_2014_N!I45,Data_2017!I45)="","",CHOOSE(uxb_works!$B$46,#REF!,Data_2014_N!I45,Data_2017!I45))</f>
        <v>#/year</v>
      </c>
      <c r="J45" s="148">
        <f>IF(CHOOSE(uxb_works!$B$46,"-",Data_2014_N!J45,Data_2017!J45)="","",CHOOSE(uxb_works!$B$46,"-",Data_2014_N!J45,Data_2017!J45))</f>
        <v>0</v>
      </c>
      <c r="K45" s="148">
        <f>IF(CHOOSE(uxb_works!$B$46,"-",Data_2014_N!K45,Data_2017!K45)="","",CHOOSE(uxb_works!$B$46,"-",Data_2014_N!K45,Data_2017!K45))</f>
        <v>0</v>
      </c>
      <c r="L45" s="148">
        <f>IF(CHOOSE(uxb_works!$B$46,"-",Data_2014_N!L45,Data_2017!L45)="","",CHOOSE(uxb_works!$B$46,"-",Data_2014_N!L45,Data_2017!L45))</f>
        <v>0.4</v>
      </c>
      <c r="M45" s="148">
        <f>IF(CHOOSE(uxb_works!$B$46,"-",Data_2014_N!M45,Data_2017!M45)="","",CHOOSE(uxb_works!$B$46,"-",Data_2014_N!M45,Data_2017!M45))</f>
        <v>1.4</v>
      </c>
      <c r="N45" s="148">
        <f>IF(CHOOSE(uxb_works!$B$46,"-",Data_2014_N!N45,Data_2017!N45)="","",CHOOSE(uxb_works!$B$46,"-",Data_2014_N!N45,Data_2017!N45))</f>
        <v>0</v>
      </c>
      <c r="O45" s="148">
        <f>IF(CHOOSE(uxb_works!$B$46,"-",Data_2014_N!O45,Data_2017!O45)="","",CHOOSE(uxb_works!$B$46,"-",Data_2014_N!O45,Data_2017!O45))</f>
        <v>0</v>
      </c>
      <c r="P45" s="148">
        <f>IF(CHOOSE(uxb_works!$B$46,"-",Data_2014_N!P45,Data_2017!P45)="","",CHOOSE(uxb_works!$B$46,"-",Data_2014_N!P45,Data_2017!P45))</f>
        <v>1.2</v>
      </c>
      <c r="Q45" s="148">
        <f>IF(CHOOSE(uxb_works!$B$46,"-",Data_2014_N!Q45,Data_2017!Q45)="","",CHOOSE(uxb_works!$B$46,"-",Data_2014_N!Q45,Data_2017!Q45))</f>
        <v>0.1</v>
      </c>
      <c r="R45" s="148">
        <f>IF(CHOOSE(uxb_works!$B$46,"-",Data_2014_N!R45,Data_2017!R45)="","",CHOOSE(uxb_works!$B$46,"-",Data_2014_N!R45,Data_2017!R45))</f>
        <v>0.2</v>
      </c>
      <c r="S45" s="148">
        <f>IF(CHOOSE(uxb_works!$B$46,"-",Data_2014_N!S45,Data_2017!S45)="","",CHOOSE(uxb_works!$B$46,"-",Data_2014_N!S45,Data_2017!S45))</f>
        <v>2</v>
      </c>
      <c r="T45" s="148">
        <f>IF(CHOOSE(uxb_works!$B$46,"-",Data_2014_N!T45,Data_2017!T45)="","",CHOOSE(uxb_works!$B$46,"-",Data_2014_N!T45,Data_2017!T45))</f>
        <v>0</v>
      </c>
      <c r="U45" s="148">
        <f>IF(CHOOSE(uxb_works!$B$46,"-",Data_2014_N!U45,Data_2017!U45)="","",CHOOSE(uxb_works!$B$46,"-",Data_2014_N!U45,Data_2017!U45))</f>
        <v>0</v>
      </c>
      <c r="V45" s="148">
        <f>IF(CHOOSE(uxb_works!$B$46,"-",Data_2014_N!V45,Data_2017!V45)="","",CHOOSE(uxb_works!$B$46,"-",Data_2014_N!V45,Data_2017!V45))</f>
        <v>0</v>
      </c>
      <c r="W45" s="148">
        <f>IF(CHOOSE(uxb_works!$B$46,"-",Data_2014_N!W45,Data_2017!W45)="","",CHOOSE(uxb_works!$B$46,"-",Data_2014_N!W45,Data_2017!W45))</f>
        <v>0</v>
      </c>
      <c r="X45" s="148">
        <f>IF(CHOOSE(uxb_works!$B$46,"-",Data_2014_N!X45,Data_2017!X45)="","",CHOOSE(uxb_works!$B$46,"-",Data_2014_N!X45,Data_2017!X45))</f>
        <v>0.4</v>
      </c>
      <c r="Y45" s="148">
        <f>IF(CHOOSE(uxb_works!$B$46,"-",Data_2014_N!Y45,Data_2017!Y45)="","",CHOOSE(uxb_works!$B$46,"-",Data_2014_N!Y45,Data_2017!Y45))</f>
        <v>3.1</v>
      </c>
      <c r="Z45" s="148">
        <f>IF(CHOOSE(uxb_works!$B$46,"-",Data_2014_N!Z45,Data_2017!Z45)="","",CHOOSE(uxb_works!$B$46,"-",Data_2014_N!Z45,Data_2017!Z45))</f>
        <v>0</v>
      </c>
      <c r="AA45" s="148">
        <f>IF(CHOOSE(uxb_works!$B$46,"-",Data_2014_N!AA45,Data_2017!AA45)="","",CHOOSE(uxb_works!$B$46,"-",Data_2014_N!AA45,Data_2017!AA45))</f>
        <v>0</v>
      </c>
      <c r="AB45" s="148">
        <f>IF(CHOOSE(uxb_works!$B$46,"-",Data_2014_N!AB45,Data_2017!AB45)="","",CHOOSE(uxb_works!$B$46,"-",Data_2014_N!AB45,Data_2017!AB45))</f>
        <v>0</v>
      </c>
      <c r="AC45" s="148">
        <f>IF(CHOOSE(uxb_works!$B$46,"-",Data_2014_N!AC45,Data_2017!AC45)="","",CHOOSE(uxb_works!$B$46,"-",Data_2014_N!AC45,Data_2017!AC45))</f>
        <v>0</v>
      </c>
      <c r="AD45" s="148">
        <f>IF(CHOOSE(uxb_works!$B$46,"-",Data_2014_N!AD45,Data_2017!AD45)="","",CHOOSE(uxb_works!$B$46,"-",Data_2014_N!AD45,Data_2017!AD45))</f>
        <v>1.4</v>
      </c>
      <c r="AE45" s="148">
        <f>IF(CHOOSE(uxb_works!$B$46,"-",Data_2014_N!AE45,Data_2017!AE45)="","",CHOOSE(uxb_works!$B$46,"-",Data_2014_N!AE45,Data_2017!AE45))</f>
        <v>0.1</v>
      </c>
      <c r="AF45" s="148">
        <f>IF(CHOOSE(uxb_works!$B$46,"-",Data_2014_N!AF45,Data_2017!AF45)="","",CHOOSE(uxb_works!$B$46,"-",Data_2014_N!AF45,Data_2017!AF45))</f>
        <v>0</v>
      </c>
      <c r="AG45" s="148">
        <f>IF(CHOOSE(uxb_works!$B$46,"-",Data_2014_N!AG45,Data_2017!AG45)="","",CHOOSE(uxb_works!$B$46,"-",Data_2014_N!AG45,Data_2017!AG45))</f>
        <v>0</v>
      </c>
      <c r="AH45" s="148">
        <f>IF(CHOOSE(uxb_works!$B$46,"-",Data_2014_N!AH45,Data_2017!AH45)="","",CHOOSE(uxb_works!$B$46,"-",Data_2014_N!AH45,Data_2017!AH45))</f>
        <v>4.7</v>
      </c>
      <c r="AI45" s="148">
        <f>IF(CHOOSE(uxb_works!$B$46,"-",Data_2014_N!AI45,Data_2017!AI45)="","",CHOOSE(uxb_works!$B$46,"-",Data_2014_N!AI45,Data_2017!AI45))</f>
        <v>0</v>
      </c>
      <c r="AJ45" s="148">
        <f>IF(CHOOSE(uxb_works!$B$46,"-",Data_2014_N!AJ45,Data_2017!AJ45)="","",CHOOSE(uxb_works!$B$46,"-",Data_2014_N!AJ45,Data_2017!AJ45))</f>
        <v>0</v>
      </c>
      <c r="AK45" s="148" t="e">
        <f>IF(CHOOSE(uxb_works!$B$46,"-",Data_2014_N!AK45,Data_2017!#REF!)="","",CHOOSE(uxb_works!$B$46,"-",Data_2014_N!AK45,Data_2017!#REF!))</f>
        <v>#REF!</v>
      </c>
      <c r="AL45" s="148">
        <f>IF(CHOOSE(uxb_works!$B$46,"-",Data_2014_N!AL45,Data_2017!AK45)="","",CHOOSE(uxb_works!$B$46,"-",Data_2014_N!AL45,Data_2017!AK45))</f>
        <v>0.1</v>
      </c>
      <c r="AM45" s="148">
        <f>IF(CHOOSE(uxb_works!$B$46,"-",Data_2014_N!AM45,Data_2017!AL45)="","",CHOOSE(uxb_works!$B$46,"-",Data_2014_N!AM45,Data_2017!AL45))</f>
        <v>0.2</v>
      </c>
      <c r="AN45" s="148">
        <f>IF(CHOOSE(uxb_works!$B$46,"-",Data_2014_N!AN45,Data_2017!AM45)="","",CHOOSE(uxb_works!$B$46,"-",Data_2014_N!AN45,Data_2017!AM45))</f>
        <v>0.1</v>
      </c>
      <c r="AO45" s="148">
        <f>IF(CHOOSE(uxb_works!$B$46,"-",Data_2014_N!AO45,Data_2017!AN45)="","",CHOOSE(uxb_works!$B$46,"-",Data_2014_N!AO45,Data_2017!AN45))</f>
        <v>0</v>
      </c>
      <c r="AP45" s="148">
        <f>IF(CHOOSE(uxb_works!$B$46,"-",Data_2014_N!AP45,Data_2017!AO45)="","",CHOOSE(uxb_works!$B$46,"-",Data_2014_N!AP45,Data_2017!AO45))</f>
        <v>0</v>
      </c>
      <c r="AQ45" s="148">
        <f>IF(CHOOSE(uxb_works!$B$46,"-",Data_2014_N!AQ45,Data_2017!AP45)="","",CHOOSE(uxb_works!$B$46,"-",Data_2014_N!AQ45,Data_2017!AP45))</f>
        <v>0</v>
      </c>
      <c r="AR45" s="148">
        <f>IF(CHOOSE(uxb_works!$B$46,"-",Data_2014_N!AR45,Data_2017!AQ45)="","",CHOOSE(uxb_works!$B$46,"-",Data_2014_N!AR45,Data_2017!AQ45))</f>
        <v>0.9</v>
      </c>
      <c r="AS45" s="148">
        <f>IF(CHOOSE(uxb_works!$B$46,"-",Data_2014_N!AS45,Data_2017!AR45)="","",CHOOSE(uxb_works!$B$46,"-",Data_2014_N!AS45,Data_2017!AR45))</f>
        <v>0</v>
      </c>
      <c r="AT45" s="148">
        <f>IF(CHOOSE(uxb_works!$B$46,"-",Data_2014_N!AT45,Data_2017!AS45)="","",CHOOSE(uxb_works!$B$46,"-",Data_2014_N!AT45,Data_2017!AS45))</f>
        <v>0.4</v>
      </c>
      <c r="AU45" s="148">
        <f>IF(CHOOSE(uxb_works!$B$46,"-",Data_2014_N!AU45,Data_2017!AT45)="","",CHOOSE(uxb_works!$B$46,"-",Data_2014_N!AU45,Data_2017!AT45))</f>
        <v>0.3</v>
      </c>
      <c r="AV45" s="148">
        <f>IF(CHOOSE(uxb_works!$B$46,"-",Data_2014_N!AV45,Data_2017!AU45)="","",CHOOSE(uxb_works!$B$46,"-",Data_2014_N!AV45,Data_2017!AU45))</f>
        <v>0.1</v>
      </c>
      <c r="AW45" s="148">
        <f>IF(CHOOSE(uxb_works!$B$46,"-",Data_2014_N!AW45,Data_2017!AV45)="","",CHOOSE(uxb_works!$B$46,"-",Data_2014_N!AW45,Data_2017!AV45))</f>
        <v>0</v>
      </c>
      <c r="AX45" s="148">
        <f>IF(CHOOSE(uxb_works!$B$46,"-",Data_2014_N!AX45,Data_2017!AW45)="","",CHOOSE(uxb_works!$B$46,"-",Data_2014_N!AX45,Data_2017!AW45))</f>
        <v>0</v>
      </c>
      <c r="AY45" s="148">
        <f>IF(CHOOSE(uxb_works!$B$46,"-",Data_2014_N!AY45,Data_2017!AX45)="","",CHOOSE(uxb_works!$B$46,"-",Data_2014_N!AY45,Data_2017!AX45))</f>
        <v>0</v>
      </c>
      <c r="AZ45" s="148">
        <f>IF(CHOOSE(uxb_works!$B$46,"-",Data_2014_N!AZ45,Data_2017!AY45)="","",CHOOSE(uxb_works!$B$46,"-",Data_2014_N!AZ45,Data_2017!AY45))</f>
        <v>0</v>
      </c>
      <c r="BA45" s="148">
        <f>IF(CHOOSE(uxb_works!$B$46,"-",Data_2014_N!BA45,Data_2017!AZ45)="","",CHOOSE(uxb_works!$B$46,"-",Data_2014_N!BA45,Data_2017!AZ45))</f>
        <v>0</v>
      </c>
      <c r="BB45" s="148">
        <f>IF(CHOOSE(uxb_works!$B$46,"-",Data_2014_N!BB45,Data_2017!BA45)="","",CHOOSE(uxb_works!$B$46,"-",Data_2014_N!BB45,Data_2017!BA45))</f>
        <v>0.1</v>
      </c>
      <c r="BC45" s="148">
        <f>IF(CHOOSE(uxb_works!$B$46,"-",Data_2014_N!BC45,Data_2017!BB45)="","",CHOOSE(uxb_works!$B$46,"-",Data_2014_N!BC45,Data_2017!BB45))</f>
        <v>0</v>
      </c>
      <c r="BD45" s="148">
        <f>IF(CHOOSE(uxb_works!$B$46,"-",Data_2014_N!BD45,Data_2017!BC45)="","",CHOOSE(uxb_works!$B$46,"-",Data_2014_N!BD45,Data_2017!BC45))</f>
        <v>0.5</v>
      </c>
      <c r="BE45" s="148">
        <f>IF(CHOOSE(uxb_works!$B$46,"-",Data_2014_N!BE45,Data_2017!BD45)="","",CHOOSE(uxb_works!$B$46,"-",Data_2014_N!BE45,Data_2017!BD45))</f>
        <v>0.1</v>
      </c>
      <c r="BF45" s="148">
        <f>IF(CHOOSE(uxb_works!$B$46,"-",Data_2014_N!BF45,Data_2017!BE45)="","",CHOOSE(uxb_works!$B$46,"-",Data_2014_N!BF45,Data_2017!BE45))</f>
        <v>0</v>
      </c>
      <c r="BG45" s="148">
        <f>IF(CHOOSE(uxb_works!$B$46,"-",Data_2014_N!BG45,Data_2017!BF45)="","",CHOOSE(uxb_works!$B$46,"-",Data_2014_N!BG45,Data_2017!BF45))</f>
        <v>0.1</v>
      </c>
      <c r="BH45" s="148">
        <f>IF(CHOOSE(uxb_works!$B$46,"-",Data_2014_N!BH45,Data_2017!BG45)="","",CHOOSE(uxb_works!$B$46,"-",Data_2014_N!BH45,Data_2017!BG45))</f>
        <v>0</v>
      </c>
      <c r="BI45" s="148">
        <f>IF(CHOOSE(uxb_works!$B$46,"-",Data_2014_N!BI45,Data_2017!BH45)="","",CHOOSE(uxb_works!$B$46,"-",Data_2014_N!BI45,Data_2017!BH45))</f>
        <v>0</v>
      </c>
      <c r="BJ45" s="148">
        <f>IF(CHOOSE(uxb_works!$B$46,"-",Data_2014_N!BJ45,Data_2017!BI45)="","",CHOOSE(uxb_works!$B$46,"-",Data_2014_N!BJ45,Data_2017!BI45))</f>
        <v>0</v>
      </c>
      <c r="BK45" s="148">
        <f>IF(CHOOSE(uxb_works!$B$46,"-",Data_2014_N!BK45,Data_2017!BJ45)="","",CHOOSE(uxb_works!$B$46,"-",Data_2014_N!BK45,Data_2017!BJ45))</f>
        <v>0</v>
      </c>
      <c r="BL45" s="148">
        <f>IF(CHOOSE(uxb_works!$B$46,"-",Data_2014_N!BL45,Data_2017!BK45)="","",CHOOSE(uxb_works!$B$46,"-",Data_2014_N!BL45,Data_2017!BK45))</f>
        <v>0</v>
      </c>
      <c r="BM45" s="148">
        <f>IF(CHOOSE(uxb_works!$B$46,"-",Data_2014_N!BM45,Data_2017!BL45)="","",CHOOSE(uxb_works!$B$46,"-",Data_2014_N!BM45,Data_2017!BL45))</f>
        <v>0.5</v>
      </c>
      <c r="BN45" s="148">
        <f>IF(CHOOSE(uxb_works!$B$46,"-",Data_2014_N!BN45,Data_2017!BM45)="","",CHOOSE(uxb_works!$B$46,"-",Data_2014_N!BN45,Data_2017!BM45))</f>
        <v>0</v>
      </c>
      <c r="BO45" s="148">
        <f>IF(CHOOSE(uxb_works!$B$46,"-",Data_2014_N!BO45,Data_2017!BN45)="","",CHOOSE(uxb_works!$B$46,"-",Data_2014_N!BO45,Data_2017!BN45))</f>
        <v>0</v>
      </c>
      <c r="BP45" s="148">
        <f>IF(CHOOSE(uxb_works!$B$46,"-",Data_2014_N!BP45,Data_2017!BO45)="","",CHOOSE(uxb_works!$B$46,"-",Data_2014_N!BP45,Data_2017!BO45))</f>
        <v>0</v>
      </c>
      <c r="BQ45" s="148">
        <f>IF(CHOOSE(uxb_works!$B$46,"-",Data_2014_N!BQ45,Data_2017!BP45)="","",CHOOSE(uxb_works!$B$46,"-",Data_2014_N!BQ45,Data_2017!BP45))</f>
        <v>0.5</v>
      </c>
      <c r="BR45" s="325">
        <f>IF(CHOOSE(uxb_works!$B$46,"-",Data_2014_N!BR45,Data_2017!BR45)="","",CHOOSE(uxb_works!$B$46,"-",Data_2014_N!BR45,Data_2017!BR45))</f>
        <v>0</v>
      </c>
      <c r="CC45" s="112">
        <v>0.5</v>
      </c>
      <c r="CD45" s="112">
        <v>0.4</v>
      </c>
      <c r="CE45" s="112">
        <v>0</v>
      </c>
      <c r="CF45" s="112">
        <v>0</v>
      </c>
      <c r="CG45" s="112">
        <v>0.1</v>
      </c>
    </row>
    <row r="46" s="112" customFormat="1" ht="22.5" customHeight="1" spans="1:70">
      <c r="A46"/>
      <c r="B46" s="133">
        <f>tblIndicators!A42</f>
        <v>41</v>
      </c>
      <c r="C46" s="133">
        <f>tblIndicators!B42</f>
        <v>0</v>
      </c>
      <c r="D46" s="310">
        <f>CHOOSE(uxb_works!$B$46,#REF!,Data_2014_N!D46,Data_2017!D46)</f>
        <v>1</v>
      </c>
      <c r="E46" s="133" t="str">
        <f>tblIndicators!E42</f>
        <v>OVERALL</v>
      </c>
      <c r="F46" s="133" t="str">
        <f>tblIndicators!H42</f>
        <v>PERSONAL SECURITY</v>
      </c>
      <c r="G46" s="133">
        <f>tblIndicators!Z42</f>
        <v>1</v>
      </c>
      <c r="H46" s="105" t="str">
        <f>REPT(" ",D46)&amp;CHOOSE(uxb_works!$B$46,#REF!,Data_2014_N!H46,Data_2017!H46)</f>
        <v>  4) PERSONAL SECURITY</v>
      </c>
      <c r="I46" s="319" t="str">
        <f>IF(CHOOSE(uxb_works!$B$46,#REF!,Data_2014_N!I46,Data_2017!I46)="","",CHOOSE(uxb_works!$B$46,#REF!,Data_2014_N!I46,Data_2017!I46))</f>
        <v/>
      </c>
      <c r="J46" s="148" t="str">
        <f>IF(CHOOSE(uxb_works!$B$46,"-",Data_2014_N!J46,Data_2017!J46)="","",CHOOSE(uxb_works!$B$46,"-",Data_2014_N!J46,Data_2017!J46))</f>
        <v/>
      </c>
      <c r="K46" s="148" t="str">
        <f>IF(CHOOSE(uxb_works!$B$46,"-",Data_2014_N!K46,Data_2017!K46)="","",CHOOSE(uxb_works!$B$46,"-",Data_2014_N!K46,Data_2017!K46))</f>
        <v/>
      </c>
      <c r="L46" s="148" t="str">
        <f>IF(CHOOSE(uxb_works!$B$46,"-",Data_2014_N!L46,Data_2017!L46)="","",CHOOSE(uxb_works!$B$46,"-",Data_2014_N!L46,Data_2017!L46))</f>
        <v/>
      </c>
      <c r="M46" s="148" t="str">
        <f>IF(CHOOSE(uxb_works!$B$46,"-",Data_2014_N!M46,Data_2017!M46)="","",CHOOSE(uxb_works!$B$46,"-",Data_2014_N!M46,Data_2017!M46))</f>
        <v/>
      </c>
      <c r="N46" s="148" t="str">
        <f>IF(CHOOSE(uxb_works!$B$46,"-",Data_2014_N!N46,Data_2017!N46)="","",CHOOSE(uxb_works!$B$46,"-",Data_2014_N!N46,Data_2017!N46))</f>
        <v/>
      </c>
      <c r="O46" s="148" t="str">
        <f>IF(CHOOSE(uxb_works!$B$46,"-",Data_2014_N!O46,Data_2017!O46)="","",CHOOSE(uxb_works!$B$46,"-",Data_2014_N!O46,Data_2017!O46))</f>
        <v/>
      </c>
      <c r="P46" s="148" t="str">
        <f>IF(CHOOSE(uxb_works!$B$46,"-",Data_2014_N!P46,Data_2017!P46)="","",CHOOSE(uxb_works!$B$46,"-",Data_2014_N!P46,Data_2017!P46))</f>
        <v/>
      </c>
      <c r="Q46" s="148" t="str">
        <f>IF(CHOOSE(uxb_works!$B$46,"-",Data_2014_N!Q46,Data_2017!Q46)="","",CHOOSE(uxb_works!$B$46,"-",Data_2014_N!Q46,Data_2017!Q46))</f>
        <v/>
      </c>
      <c r="R46" s="148" t="str">
        <f>IF(CHOOSE(uxb_works!$B$46,"-",Data_2014_N!R46,Data_2017!R46)="","",CHOOSE(uxb_works!$B$46,"-",Data_2014_N!R46,Data_2017!R46))</f>
        <v/>
      </c>
      <c r="S46" s="148" t="str">
        <f>IF(CHOOSE(uxb_works!$B$46,"-",Data_2014_N!S46,Data_2017!S46)="","",CHOOSE(uxb_works!$B$46,"-",Data_2014_N!S46,Data_2017!S46))</f>
        <v/>
      </c>
      <c r="T46" s="148" t="str">
        <f>IF(CHOOSE(uxb_works!$B$46,"-",Data_2014_N!T46,Data_2017!T46)="","",CHOOSE(uxb_works!$B$46,"-",Data_2014_N!T46,Data_2017!T46))</f>
        <v/>
      </c>
      <c r="U46" s="148" t="str">
        <f>IF(CHOOSE(uxb_works!$B$46,"-",Data_2014_N!U46,Data_2017!U46)="","",CHOOSE(uxb_works!$B$46,"-",Data_2014_N!U46,Data_2017!U46))</f>
        <v/>
      </c>
      <c r="V46" s="148" t="str">
        <f>IF(CHOOSE(uxb_works!$B$46,"-",Data_2014_N!V46,Data_2017!V46)="","",CHOOSE(uxb_works!$B$46,"-",Data_2014_N!V46,Data_2017!V46))</f>
        <v/>
      </c>
      <c r="W46" s="148" t="str">
        <f>IF(CHOOSE(uxb_works!$B$46,"-",Data_2014_N!W46,Data_2017!W46)="","",CHOOSE(uxb_works!$B$46,"-",Data_2014_N!W46,Data_2017!W46))</f>
        <v/>
      </c>
      <c r="X46" s="148" t="str">
        <f>IF(CHOOSE(uxb_works!$B$46,"-",Data_2014_N!X46,Data_2017!X46)="","",CHOOSE(uxb_works!$B$46,"-",Data_2014_N!X46,Data_2017!X46))</f>
        <v/>
      </c>
      <c r="Y46" s="148" t="str">
        <f>IF(CHOOSE(uxb_works!$B$46,"-",Data_2014_N!Y46,Data_2017!Y46)="","",CHOOSE(uxb_works!$B$46,"-",Data_2014_N!Y46,Data_2017!Y46))</f>
        <v/>
      </c>
      <c r="Z46" s="148" t="str">
        <f>IF(CHOOSE(uxb_works!$B$46,"-",Data_2014_N!Z46,Data_2017!Z46)="","",CHOOSE(uxb_works!$B$46,"-",Data_2014_N!Z46,Data_2017!Z46))</f>
        <v/>
      </c>
      <c r="AA46" s="148" t="str">
        <f>IF(CHOOSE(uxb_works!$B$46,"-",Data_2014_N!AA46,Data_2017!AA46)="","",CHOOSE(uxb_works!$B$46,"-",Data_2014_N!AA46,Data_2017!AA46))</f>
        <v/>
      </c>
      <c r="AB46" s="148" t="str">
        <f>IF(CHOOSE(uxb_works!$B$46,"-",Data_2014_N!AB46,Data_2017!AB46)="","",CHOOSE(uxb_works!$B$46,"-",Data_2014_N!AB46,Data_2017!AB46))</f>
        <v/>
      </c>
      <c r="AC46" s="148" t="str">
        <f>IF(CHOOSE(uxb_works!$B$46,"-",Data_2014_N!AC46,Data_2017!AC46)="","",CHOOSE(uxb_works!$B$46,"-",Data_2014_N!AC46,Data_2017!AC46))</f>
        <v/>
      </c>
      <c r="AD46" s="148" t="str">
        <f>IF(CHOOSE(uxb_works!$B$46,"-",Data_2014_N!AD46,Data_2017!AD46)="","",CHOOSE(uxb_works!$B$46,"-",Data_2014_N!AD46,Data_2017!AD46))</f>
        <v/>
      </c>
      <c r="AE46" s="148" t="str">
        <f>IF(CHOOSE(uxb_works!$B$46,"-",Data_2014_N!AE46,Data_2017!AE46)="","",CHOOSE(uxb_works!$B$46,"-",Data_2014_N!AE46,Data_2017!AE46))</f>
        <v/>
      </c>
      <c r="AF46" s="148" t="str">
        <f>IF(CHOOSE(uxb_works!$B$46,"-",Data_2014_N!AF46,Data_2017!AF46)="","",CHOOSE(uxb_works!$B$46,"-",Data_2014_N!AF46,Data_2017!AF46))</f>
        <v/>
      </c>
      <c r="AG46" s="148" t="str">
        <f>IF(CHOOSE(uxb_works!$B$46,"-",Data_2014_N!AG46,Data_2017!AG46)="","",CHOOSE(uxb_works!$B$46,"-",Data_2014_N!AG46,Data_2017!AG46))</f>
        <v/>
      </c>
      <c r="AH46" s="148" t="str">
        <f>IF(CHOOSE(uxb_works!$B$46,"-",Data_2014_N!AH46,Data_2017!AH46)="","",CHOOSE(uxb_works!$B$46,"-",Data_2014_N!AH46,Data_2017!AH46))</f>
        <v/>
      </c>
      <c r="AI46" s="148" t="str">
        <f>IF(CHOOSE(uxb_works!$B$46,"-",Data_2014_N!AI46,Data_2017!AI46)="","",CHOOSE(uxb_works!$B$46,"-",Data_2014_N!AI46,Data_2017!AI46))</f>
        <v/>
      </c>
      <c r="AJ46" s="148" t="str">
        <f>IF(CHOOSE(uxb_works!$B$46,"-",Data_2014_N!AJ46,Data_2017!AJ46)="","",CHOOSE(uxb_works!$B$46,"-",Data_2014_N!AJ46,Data_2017!AJ46))</f>
        <v/>
      </c>
      <c r="AK46" s="148" t="e">
        <f>IF(CHOOSE(uxb_works!$B$46,"-",Data_2014_N!AK46,Data_2017!#REF!)="","",CHOOSE(uxb_works!$B$46,"-",Data_2014_N!AK46,Data_2017!#REF!))</f>
        <v>#REF!</v>
      </c>
      <c r="AL46" s="148" t="str">
        <f>IF(CHOOSE(uxb_works!$B$46,"-",Data_2014_N!AL46,Data_2017!AK46)="","",CHOOSE(uxb_works!$B$46,"-",Data_2014_N!AL46,Data_2017!AK46))</f>
        <v/>
      </c>
      <c r="AM46" s="148" t="str">
        <f>IF(CHOOSE(uxb_works!$B$46,"-",Data_2014_N!AM46,Data_2017!AL46)="","",CHOOSE(uxb_works!$B$46,"-",Data_2014_N!AM46,Data_2017!AL46))</f>
        <v/>
      </c>
      <c r="AN46" s="148" t="str">
        <f>IF(CHOOSE(uxb_works!$B$46,"-",Data_2014_N!AN46,Data_2017!AM46)="","",CHOOSE(uxb_works!$B$46,"-",Data_2014_N!AN46,Data_2017!AM46))</f>
        <v/>
      </c>
      <c r="AO46" s="148" t="str">
        <f>IF(CHOOSE(uxb_works!$B$46,"-",Data_2014_N!AO46,Data_2017!AN46)="","",CHOOSE(uxb_works!$B$46,"-",Data_2014_N!AO46,Data_2017!AN46))</f>
        <v/>
      </c>
      <c r="AP46" s="148" t="str">
        <f>IF(CHOOSE(uxb_works!$B$46,"-",Data_2014_N!AP46,Data_2017!AO46)="","",CHOOSE(uxb_works!$B$46,"-",Data_2014_N!AP46,Data_2017!AO46))</f>
        <v/>
      </c>
      <c r="AQ46" s="148" t="str">
        <f>IF(CHOOSE(uxb_works!$B$46,"-",Data_2014_N!AQ46,Data_2017!AP46)="","",CHOOSE(uxb_works!$B$46,"-",Data_2014_N!AQ46,Data_2017!AP46))</f>
        <v/>
      </c>
      <c r="AR46" s="148" t="str">
        <f>IF(CHOOSE(uxb_works!$B$46,"-",Data_2014_N!AR46,Data_2017!AQ46)="","",CHOOSE(uxb_works!$B$46,"-",Data_2014_N!AR46,Data_2017!AQ46))</f>
        <v/>
      </c>
      <c r="AS46" s="148" t="str">
        <f>IF(CHOOSE(uxb_works!$B$46,"-",Data_2014_N!AS46,Data_2017!AR46)="","",CHOOSE(uxb_works!$B$46,"-",Data_2014_N!AS46,Data_2017!AR46))</f>
        <v/>
      </c>
      <c r="AT46" s="148" t="str">
        <f>IF(CHOOSE(uxb_works!$B$46,"-",Data_2014_N!AT46,Data_2017!AS46)="","",CHOOSE(uxb_works!$B$46,"-",Data_2014_N!AT46,Data_2017!AS46))</f>
        <v/>
      </c>
      <c r="AU46" s="148" t="str">
        <f>IF(CHOOSE(uxb_works!$B$46,"-",Data_2014_N!AU46,Data_2017!AT46)="","",CHOOSE(uxb_works!$B$46,"-",Data_2014_N!AU46,Data_2017!AT46))</f>
        <v/>
      </c>
      <c r="AV46" s="148" t="str">
        <f>IF(CHOOSE(uxb_works!$B$46,"-",Data_2014_N!AV46,Data_2017!AU46)="","",CHOOSE(uxb_works!$B$46,"-",Data_2014_N!AV46,Data_2017!AU46))</f>
        <v/>
      </c>
      <c r="AW46" s="148" t="str">
        <f>IF(CHOOSE(uxb_works!$B$46,"-",Data_2014_N!AW46,Data_2017!AV46)="","",CHOOSE(uxb_works!$B$46,"-",Data_2014_N!AW46,Data_2017!AV46))</f>
        <v/>
      </c>
      <c r="AX46" s="148" t="str">
        <f>IF(CHOOSE(uxb_works!$B$46,"-",Data_2014_N!AX46,Data_2017!AW46)="","",CHOOSE(uxb_works!$B$46,"-",Data_2014_N!AX46,Data_2017!AW46))</f>
        <v/>
      </c>
      <c r="AY46" s="148" t="str">
        <f>IF(CHOOSE(uxb_works!$B$46,"-",Data_2014_N!AY46,Data_2017!AX46)="","",CHOOSE(uxb_works!$B$46,"-",Data_2014_N!AY46,Data_2017!AX46))</f>
        <v/>
      </c>
      <c r="AZ46" s="148" t="str">
        <f>IF(CHOOSE(uxb_works!$B$46,"-",Data_2014_N!AZ46,Data_2017!AY46)="","",CHOOSE(uxb_works!$B$46,"-",Data_2014_N!AZ46,Data_2017!AY46))</f>
        <v/>
      </c>
      <c r="BA46" s="148" t="str">
        <f>IF(CHOOSE(uxb_works!$B$46,"-",Data_2014_N!BA46,Data_2017!AZ46)="","",CHOOSE(uxb_works!$B$46,"-",Data_2014_N!BA46,Data_2017!AZ46))</f>
        <v/>
      </c>
      <c r="BB46" s="148" t="str">
        <f>IF(CHOOSE(uxb_works!$B$46,"-",Data_2014_N!BB46,Data_2017!BA46)="","",CHOOSE(uxb_works!$B$46,"-",Data_2014_N!BB46,Data_2017!BA46))</f>
        <v/>
      </c>
      <c r="BC46" s="148" t="str">
        <f>IF(CHOOSE(uxb_works!$B$46,"-",Data_2014_N!BC46,Data_2017!BB46)="","",CHOOSE(uxb_works!$B$46,"-",Data_2014_N!BC46,Data_2017!BB46))</f>
        <v/>
      </c>
      <c r="BD46" s="148" t="str">
        <f>IF(CHOOSE(uxb_works!$B$46,"-",Data_2014_N!BD46,Data_2017!BC46)="","",CHOOSE(uxb_works!$B$46,"-",Data_2014_N!BD46,Data_2017!BC46))</f>
        <v/>
      </c>
      <c r="BE46" s="148" t="str">
        <f>IF(CHOOSE(uxb_works!$B$46,"-",Data_2014_N!BE46,Data_2017!BD46)="","",CHOOSE(uxb_works!$B$46,"-",Data_2014_N!BE46,Data_2017!BD46))</f>
        <v/>
      </c>
      <c r="BF46" s="148" t="str">
        <f>IF(CHOOSE(uxb_works!$B$46,"-",Data_2014_N!BF46,Data_2017!BE46)="","",CHOOSE(uxb_works!$B$46,"-",Data_2014_N!BF46,Data_2017!BE46))</f>
        <v/>
      </c>
      <c r="BG46" s="148" t="str">
        <f>IF(CHOOSE(uxb_works!$B$46,"-",Data_2014_N!BG46,Data_2017!BF46)="","",CHOOSE(uxb_works!$B$46,"-",Data_2014_N!BG46,Data_2017!BF46))</f>
        <v/>
      </c>
      <c r="BH46" s="148" t="str">
        <f>IF(CHOOSE(uxb_works!$B$46,"-",Data_2014_N!BH46,Data_2017!BG46)="","",CHOOSE(uxb_works!$B$46,"-",Data_2014_N!BH46,Data_2017!BG46))</f>
        <v/>
      </c>
      <c r="BI46" s="148" t="str">
        <f>IF(CHOOSE(uxb_works!$B$46,"-",Data_2014_N!BI46,Data_2017!BH46)="","",CHOOSE(uxb_works!$B$46,"-",Data_2014_N!BI46,Data_2017!BH46))</f>
        <v/>
      </c>
      <c r="BJ46" s="148" t="str">
        <f>IF(CHOOSE(uxb_works!$B$46,"-",Data_2014_N!BJ46,Data_2017!BI46)="","",CHOOSE(uxb_works!$B$46,"-",Data_2014_N!BJ46,Data_2017!BI46))</f>
        <v/>
      </c>
      <c r="BK46" s="148" t="str">
        <f>IF(CHOOSE(uxb_works!$B$46,"-",Data_2014_N!BK46,Data_2017!BJ46)="","",CHOOSE(uxb_works!$B$46,"-",Data_2014_N!BK46,Data_2017!BJ46))</f>
        <v/>
      </c>
      <c r="BL46" s="148" t="str">
        <f>IF(CHOOSE(uxb_works!$B$46,"-",Data_2014_N!BL46,Data_2017!BK46)="","",CHOOSE(uxb_works!$B$46,"-",Data_2014_N!BL46,Data_2017!BK46))</f>
        <v/>
      </c>
      <c r="BM46" s="148" t="str">
        <f>IF(CHOOSE(uxb_works!$B$46,"-",Data_2014_N!BM46,Data_2017!BL46)="","",CHOOSE(uxb_works!$B$46,"-",Data_2014_N!BM46,Data_2017!BL46))</f>
        <v/>
      </c>
      <c r="BN46" s="148" t="str">
        <f>IF(CHOOSE(uxb_works!$B$46,"-",Data_2014_N!BN46,Data_2017!BM46)="","",CHOOSE(uxb_works!$B$46,"-",Data_2014_N!BN46,Data_2017!BM46))</f>
        <v/>
      </c>
      <c r="BO46" s="148" t="str">
        <f>IF(CHOOSE(uxb_works!$B$46,"-",Data_2014_N!BO46,Data_2017!BN46)="","",CHOOSE(uxb_works!$B$46,"-",Data_2014_N!BO46,Data_2017!BN46))</f>
        <v/>
      </c>
      <c r="BP46" s="148" t="str">
        <f>IF(CHOOSE(uxb_works!$B$46,"-",Data_2014_N!BP46,Data_2017!BO46)="","",CHOOSE(uxb_works!$B$46,"-",Data_2014_N!BP46,Data_2017!BO46))</f>
        <v/>
      </c>
      <c r="BQ46" s="148" t="str">
        <f>IF(CHOOSE(uxb_works!$B$46,"-",Data_2014_N!BQ46,Data_2017!BP46)="","",CHOOSE(uxb_works!$B$46,"-",Data_2014_N!BQ46,Data_2017!BP46))</f>
        <v/>
      </c>
      <c r="BR46" s="325" t="str">
        <f>IF(CHOOSE(uxb_works!$B$46,"-",Data_2014_N!BR46,Data_2017!BR46)="","",CHOOSE(uxb_works!$B$46,"-",Data_2014_N!BR46,Data_2017!BR46))</f>
        <v/>
      </c>
    </row>
    <row r="47" s="112" customFormat="1" ht="22.5" customHeight="1" spans="1:70">
      <c r="A47"/>
      <c r="B47" s="133">
        <f>tblIndicators!A43</f>
        <v>42</v>
      </c>
      <c r="C47" s="133">
        <f>tblIndicators!B43</f>
        <v>0</v>
      </c>
      <c r="D47" s="310">
        <f>CHOOSE(uxb_works!$B$46,#REF!,Data_2014_N!D47,Data_2017!D47)</f>
        <v>2</v>
      </c>
      <c r="E47" s="133" t="str">
        <f>tblIndicators!E43</f>
        <v>PESE</v>
      </c>
      <c r="F47" s="133" t="str">
        <f>tblIndicators!H43</f>
        <v>Personal security (Inputs)</v>
      </c>
      <c r="G47" s="133">
        <f>tblIndicators!Z43</f>
        <v>1</v>
      </c>
      <c r="H47" s="105" t="str">
        <f>REPT(" ",D47)&amp;CHOOSE(uxb_works!$B$46,#REF!,Data_2014_N!H47,Data_2017!H47)</f>
        <v>    4.1) Personal security (Inputs)</v>
      </c>
      <c r="I47" s="319" t="str">
        <f>IF(CHOOSE(uxb_works!$B$46,#REF!,Data_2014_N!I47,Data_2017!I47)="","",CHOOSE(uxb_works!$B$46,#REF!,Data_2014_N!I47,Data_2017!I47))</f>
        <v/>
      </c>
      <c r="J47" s="148" t="str">
        <f>IF(CHOOSE(uxb_works!$B$46,"-",Data_2014_N!J47,Data_2017!J47)="","",CHOOSE(uxb_works!$B$46,"-",Data_2014_N!J47,Data_2017!J47))</f>
        <v/>
      </c>
      <c r="K47" s="148" t="str">
        <f>IF(CHOOSE(uxb_works!$B$46,"-",Data_2014_N!K47,Data_2017!K47)="","",CHOOSE(uxb_works!$B$46,"-",Data_2014_N!K47,Data_2017!K47))</f>
        <v/>
      </c>
      <c r="L47" s="148" t="str">
        <f>IF(CHOOSE(uxb_works!$B$46,"-",Data_2014_N!L47,Data_2017!L47)="","",CHOOSE(uxb_works!$B$46,"-",Data_2014_N!L47,Data_2017!L47))</f>
        <v/>
      </c>
      <c r="M47" s="148" t="str">
        <f>IF(CHOOSE(uxb_works!$B$46,"-",Data_2014_N!M47,Data_2017!M47)="","",CHOOSE(uxb_works!$B$46,"-",Data_2014_N!M47,Data_2017!M47))</f>
        <v/>
      </c>
      <c r="N47" s="148" t="str">
        <f>IF(CHOOSE(uxb_works!$B$46,"-",Data_2014_N!N47,Data_2017!N47)="","",CHOOSE(uxb_works!$B$46,"-",Data_2014_N!N47,Data_2017!N47))</f>
        <v/>
      </c>
      <c r="O47" s="148" t="str">
        <f>IF(CHOOSE(uxb_works!$B$46,"-",Data_2014_N!O47,Data_2017!O47)="","",CHOOSE(uxb_works!$B$46,"-",Data_2014_N!O47,Data_2017!O47))</f>
        <v/>
      </c>
      <c r="P47" s="148" t="str">
        <f>IF(CHOOSE(uxb_works!$B$46,"-",Data_2014_N!P47,Data_2017!P47)="","",CHOOSE(uxb_works!$B$46,"-",Data_2014_N!P47,Data_2017!P47))</f>
        <v/>
      </c>
      <c r="Q47" s="148" t="str">
        <f>IF(CHOOSE(uxb_works!$B$46,"-",Data_2014_N!Q47,Data_2017!Q47)="","",CHOOSE(uxb_works!$B$46,"-",Data_2014_N!Q47,Data_2017!Q47))</f>
        <v/>
      </c>
      <c r="R47" s="148" t="str">
        <f>IF(CHOOSE(uxb_works!$B$46,"-",Data_2014_N!R47,Data_2017!R47)="","",CHOOSE(uxb_works!$B$46,"-",Data_2014_N!R47,Data_2017!R47))</f>
        <v/>
      </c>
      <c r="S47" s="148" t="str">
        <f>IF(CHOOSE(uxb_works!$B$46,"-",Data_2014_N!S47,Data_2017!S47)="","",CHOOSE(uxb_works!$B$46,"-",Data_2014_N!S47,Data_2017!S47))</f>
        <v/>
      </c>
      <c r="T47" s="148" t="str">
        <f>IF(CHOOSE(uxb_works!$B$46,"-",Data_2014_N!T47,Data_2017!T47)="","",CHOOSE(uxb_works!$B$46,"-",Data_2014_N!T47,Data_2017!T47))</f>
        <v/>
      </c>
      <c r="U47" s="148" t="str">
        <f>IF(CHOOSE(uxb_works!$B$46,"-",Data_2014_N!U47,Data_2017!U47)="","",CHOOSE(uxb_works!$B$46,"-",Data_2014_N!U47,Data_2017!U47))</f>
        <v/>
      </c>
      <c r="V47" s="148" t="str">
        <f>IF(CHOOSE(uxb_works!$B$46,"-",Data_2014_N!V47,Data_2017!V47)="","",CHOOSE(uxb_works!$B$46,"-",Data_2014_N!V47,Data_2017!V47))</f>
        <v/>
      </c>
      <c r="W47" s="148" t="str">
        <f>IF(CHOOSE(uxb_works!$B$46,"-",Data_2014_N!W47,Data_2017!W47)="","",CHOOSE(uxb_works!$B$46,"-",Data_2014_N!W47,Data_2017!W47))</f>
        <v/>
      </c>
      <c r="X47" s="148" t="str">
        <f>IF(CHOOSE(uxb_works!$B$46,"-",Data_2014_N!X47,Data_2017!X47)="","",CHOOSE(uxb_works!$B$46,"-",Data_2014_N!X47,Data_2017!X47))</f>
        <v/>
      </c>
      <c r="Y47" s="148" t="str">
        <f>IF(CHOOSE(uxb_works!$B$46,"-",Data_2014_N!Y47,Data_2017!Y47)="","",CHOOSE(uxb_works!$B$46,"-",Data_2014_N!Y47,Data_2017!Y47))</f>
        <v/>
      </c>
      <c r="Z47" s="148" t="str">
        <f>IF(CHOOSE(uxb_works!$B$46,"-",Data_2014_N!Z47,Data_2017!Z47)="","",CHOOSE(uxb_works!$B$46,"-",Data_2014_N!Z47,Data_2017!Z47))</f>
        <v/>
      </c>
      <c r="AA47" s="148" t="str">
        <f>IF(CHOOSE(uxb_works!$B$46,"-",Data_2014_N!AA47,Data_2017!AA47)="","",CHOOSE(uxb_works!$B$46,"-",Data_2014_N!AA47,Data_2017!AA47))</f>
        <v/>
      </c>
      <c r="AB47" s="148" t="str">
        <f>IF(CHOOSE(uxb_works!$B$46,"-",Data_2014_N!AB47,Data_2017!AB47)="","",CHOOSE(uxb_works!$B$46,"-",Data_2014_N!AB47,Data_2017!AB47))</f>
        <v/>
      </c>
      <c r="AC47" s="148" t="str">
        <f>IF(CHOOSE(uxb_works!$B$46,"-",Data_2014_N!AC47,Data_2017!AC47)="","",CHOOSE(uxb_works!$B$46,"-",Data_2014_N!AC47,Data_2017!AC47))</f>
        <v/>
      </c>
      <c r="AD47" s="148" t="str">
        <f>IF(CHOOSE(uxb_works!$B$46,"-",Data_2014_N!AD47,Data_2017!AD47)="","",CHOOSE(uxb_works!$B$46,"-",Data_2014_N!AD47,Data_2017!AD47))</f>
        <v/>
      </c>
      <c r="AE47" s="148" t="str">
        <f>IF(CHOOSE(uxb_works!$B$46,"-",Data_2014_N!AE47,Data_2017!AE47)="","",CHOOSE(uxb_works!$B$46,"-",Data_2014_N!AE47,Data_2017!AE47))</f>
        <v/>
      </c>
      <c r="AF47" s="148" t="str">
        <f>IF(CHOOSE(uxb_works!$B$46,"-",Data_2014_N!AF47,Data_2017!AF47)="","",CHOOSE(uxb_works!$B$46,"-",Data_2014_N!AF47,Data_2017!AF47))</f>
        <v/>
      </c>
      <c r="AG47" s="148" t="str">
        <f>IF(CHOOSE(uxb_works!$B$46,"-",Data_2014_N!AG47,Data_2017!AG47)="","",CHOOSE(uxb_works!$B$46,"-",Data_2014_N!AG47,Data_2017!AG47))</f>
        <v/>
      </c>
      <c r="AH47" s="148" t="str">
        <f>IF(CHOOSE(uxb_works!$B$46,"-",Data_2014_N!AH47,Data_2017!AH47)="","",CHOOSE(uxb_works!$B$46,"-",Data_2014_N!AH47,Data_2017!AH47))</f>
        <v/>
      </c>
      <c r="AI47" s="148" t="str">
        <f>IF(CHOOSE(uxb_works!$B$46,"-",Data_2014_N!AI47,Data_2017!AI47)="","",CHOOSE(uxb_works!$B$46,"-",Data_2014_N!AI47,Data_2017!AI47))</f>
        <v/>
      </c>
      <c r="AJ47" s="148" t="str">
        <f>IF(CHOOSE(uxb_works!$B$46,"-",Data_2014_N!AJ47,Data_2017!AJ47)="","",CHOOSE(uxb_works!$B$46,"-",Data_2014_N!AJ47,Data_2017!AJ47))</f>
        <v/>
      </c>
      <c r="AK47" s="148" t="e">
        <f>IF(CHOOSE(uxb_works!$B$46,"-",Data_2014_N!AK47,Data_2017!#REF!)="","",CHOOSE(uxb_works!$B$46,"-",Data_2014_N!AK47,Data_2017!#REF!))</f>
        <v>#REF!</v>
      </c>
      <c r="AL47" s="148" t="str">
        <f>IF(CHOOSE(uxb_works!$B$46,"-",Data_2014_N!AL47,Data_2017!AK47)="","",CHOOSE(uxb_works!$B$46,"-",Data_2014_N!AL47,Data_2017!AK47))</f>
        <v/>
      </c>
      <c r="AM47" s="148" t="str">
        <f>IF(CHOOSE(uxb_works!$B$46,"-",Data_2014_N!AM47,Data_2017!AL47)="","",CHOOSE(uxb_works!$B$46,"-",Data_2014_N!AM47,Data_2017!AL47))</f>
        <v/>
      </c>
      <c r="AN47" s="148" t="str">
        <f>IF(CHOOSE(uxb_works!$B$46,"-",Data_2014_N!AN47,Data_2017!AM47)="","",CHOOSE(uxb_works!$B$46,"-",Data_2014_N!AN47,Data_2017!AM47))</f>
        <v/>
      </c>
      <c r="AO47" s="148" t="str">
        <f>IF(CHOOSE(uxb_works!$B$46,"-",Data_2014_N!AO47,Data_2017!AN47)="","",CHOOSE(uxb_works!$B$46,"-",Data_2014_N!AO47,Data_2017!AN47))</f>
        <v/>
      </c>
      <c r="AP47" s="148" t="str">
        <f>IF(CHOOSE(uxb_works!$B$46,"-",Data_2014_N!AP47,Data_2017!AO47)="","",CHOOSE(uxb_works!$B$46,"-",Data_2014_N!AP47,Data_2017!AO47))</f>
        <v/>
      </c>
      <c r="AQ47" s="148" t="str">
        <f>IF(CHOOSE(uxb_works!$B$46,"-",Data_2014_N!AQ47,Data_2017!AP47)="","",CHOOSE(uxb_works!$B$46,"-",Data_2014_N!AQ47,Data_2017!AP47))</f>
        <v/>
      </c>
      <c r="AR47" s="148" t="str">
        <f>IF(CHOOSE(uxb_works!$B$46,"-",Data_2014_N!AR47,Data_2017!AQ47)="","",CHOOSE(uxb_works!$B$46,"-",Data_2014_N!AR47,Data_2017!AQ47))</f>
        <v/>
      </c>
      <c r="AS47" s="148" t="str">
        <f>IF(CHOOSE(uxb_works!$B$46,"-",Data_2014_N!AS47,Data_2017!AR47)="","",CHOOSE(uxb_works!$B$46,"-",Data_2014_N!AS47,Data_2017!AR47))</f>
        <v/>
      </c>
      <c r="AT47" s="148" t="str">
        <f>IF(CHOOSE(uxb_works!$B$46,"-",Data_2014_N!AT47,Data_2017!AS47)="","",CHOOSE(uxb_works!$B$46,"-",Data_2014_N!AT47,Data_2017!AS47))</f>
        <v/>
      </c>
      <c r="AU47" s="148" t="str">
        <f>IF(CHOOSE(uxb_works!$B$46,"-",Data_2014_N!AU47,Data_2017!AT47)="","",CHOOSE(uxb_works!$B$46,"-",Data_2014_N!AU47,Data_2017!AT47))</f>
        <v/>
      </c>
      <c r="AV47" s="148" t="str">
        <f>IF(CHOOSE(uxb_works!$B$46,"-",Data_2014_N!AV47,Data_2017!AU47)="","",CHOOSE(uxb_works!$B$46,"-",Data_2014_N!AV47,Data_2017!AU47))</f>
        <v/>
      </c>
      <c r="AW47" s="148" t="str">
        <f>IF(CHOOSE(uxb_works!$B$46,"-",Data_2014_N!AW47,Data_2017!AV47)="","",CHOOSE(uxb_works!$B$46,"-",Data_2014_N!AW47,Data_2017!AV47))</f>
        <v/>
      </c>
      <c r="AX47" s="148" t="str">
        <f>IF(CHOOSE(uxb_works!$B$46,"-",Data_2014_N!AX47,Data_2017!AW47)="","",CHOOSE(uxb_works!$B$46,"-",Data_2014_N!AX47,Data_2017!AW47))</f>
        <v/>
      </c>
      <c r="AY47" s="148" t="str">
        <f>IF(CHOOSE(uxb_works!$B$46,"-",Data_2014_N!AY47,Data_2017!AX47)="","",CHOOSE(uxb_works!$B$46,"-",Data_2014_N!AY47,Data_2017!AX47))</f>
        <v/>
      </c>
      <c r="AZ47" s="148" t="str">
        <f>IF(CHOOSE(uxb_works!$B$46,"-",Data_2014_N!AZ47,Data_2017!AY47)="","",CHOOSE(uxb_works!$B$46,"-",Data_2014_N!AZ47,Data_2017!AY47))</f>
        <v/>
      </c>
      <c r="BA47" s="148" t="str">
        <f>IF(CHOOSE(uxb_works!$B$46,"-",Data_2014_N!BA47,Data_2017!AZ47)="","",CHOOSE(uxb_works!$B$46,"-",Data_2014_N!BA47,Data_2017!AZ47))</f>
        <v/>
      </c>
      <c r="BB47" s="148" t="str">
        <f>IF(CHOOSE(uxb_works!$B$46,"-",Data_2014_N!BB47,Data_2017!BA47)="","",CHOOSE(uxb_works!$B$46,"-",Data_2014_N!BB47,Data_2017!BA47))</f>
        <v/>
      </c>
      <c r="BC47" s="148" t="str">
        <f>IF(CHOOSE(uxb_works!$B$46,"-",Data_2014_N!BC47,Data_2017!BB47)="","",CHOOSE(uxb_works!$B$46,"-",Data_2014_N!BC47,Data_2017!BB47))</f>
        <v/>
      </c>
      <c r="BD47" s="148" t="str">
        <f>IF(CHOOSE(uxb_works!$B$46,"-",Data_2014_N!BD47,Data_2017!BC47)="","",CHOOSE(uxb_works!$B$46,"-",Data_2014_N!BD47,Data_2017!BC47))</f>
        <v/>
      </c>
      <c r="BE47" s="148" t="str">
        <f>IF(CHOOSE(uxb_works!$B$46,"-",Data_2014_N!BE47,Data_2017!BD47)="","",CHOOSE(uxb_works!$B$46,"-",Data_2014_N!BE47,Data_2017!BD47))</f>
        <v/>
      </c>
      <c r="BF47" s="148" t="str">
        <f>IF(CHOOSE(uxb_works!$B$46,"-",Data_2014_N!BF47,Data_2017!BE47)="","",CHOOSE(uxb_works!$B$46,"-",Data_2014_N!BF47,Data_2017!BE47))</f>
        <v/>
      </c>
      <c r="BG47" s="148" t="str">
        <f>IF(CHOOSE(uxb_works!$B$46,"-",Data_2014_N!BG47,Data_2017!BF47)="","",CHOOSE(uxb_works!$B$46,"-",Data_2014_N!BG47,Data_2017!BF47))</f>
        <v/>
      </c>
      <c r="BH47" s="148" t="str">
        <f>IF(CHOOSE(uxb_works!$B$46,"-",Data_2014_N!BH47,Data_2017!BG47)="","",CHOOSE(uxb_works!$B$46,"-",Data_2014_N!BH47,Data_2017!BG47))</f>
        <v/>
      </c>
      <c r="BI47" s="148" t="str">
        <f>IF(CHOOSE(uxb_works!$B$46,"-",Data_2014_N!BI47,Data_2017!BH47)="","",CHOOSE(uxb_works!$B$46,"-",Data_2014_N!BI47,Data_2017!BH47))</f>
        <v/>
      </c>
      <c r="BJ47" s="148" t="str">
        <f>IF(CHOOSE(uxb_works!$B$46,"-",Data_2014_N!BJ47,Data_2017!BI47)="","",CHOOSE(uxb_works!$B$46,"-",Data_2014_N!BJ47,Data_2017!BI47))</f>
        <v/>
      </c>
      <c r="BK47" s="148" t="str">
        <f>IF(CHOOSE(uxb_works!$B$46,"-",Data_2014_N!BK47,Data_2017!BJ47)="","",CHOOSE(uxb_works!$B$46,"-",Data_2014_N!BK47,Data_2017!BJ47))</f>
        <v/>
      </c>
      <c r="BL47" s="148" t="str">
        <f>IF(CHOOSE(uxb_works!$B$46,"-",Data_2014_N!BL47,Data_2017!BK47)="","",CHOOSE(uxb_works!$B$46,"-",Data_2014_N!BL47,Data_2017!BK47))</f>
        <v/>
      </c>
      <c r="BM47" s="148" t="str">
        <f>IF(CHOOSE(uxb_works!$B$46,"-",Data_2014_N!BM47,Data_2017!BL47)="","",CHOOSE(uxb_works!$B$46,"-",Data_2014_N!BM47,Data_2017!BL47))</f>
        <v/>
      </c>
      <c r="BN47" s="148" t="str">
        <f>IF(CHOOSE(uxb_works!$B$46,"-",Data_2014_N!BN47,Data_2017!BM47)="","",CHOOSE(uxb_works!$B$46,"-",Data_2014_N!BN47,Data_2017!BM47))</f>
        <v/>
      </c>
      <c r="BO47" s="148" t="str">
        <f>IF(CHOOSE(uxb_works!$B$46,"-",Data_2014_N!BO47,Data_2017!BN47)="","",CHOOSE(uxb_works!$B$46,"-",Data_2014_N!BO47,Data_2017!BN47))</f>
        <v/>
      </c>
      <c r="BP47" s="148" t="str">
        <f>IF(CHOOSE(uxb_works!$B$46,"-",Data_2014_N!BP47,Data_2017!BO47)="","",CHOOSE(uxb_works!$B$46,"-",Data_2014_N!BP47,Data_2017!BO47))</f>
        <v/>
      </c>
      <c r="BQ47" s="148" t="str">
        <f>IF(CHOOSE(uxb_works!$B$46,"-",Data_2014_N!BQ47,Data_2017!BP47)="","",CHOOSE(uxb_works!$B$46,"-",Data_2014_N!BQ47,Data_2017!BP47))</f>
        <v/>
      </c>
      <c r="BR47" s="325" t="str">
        <f>IF(CHOOSE(uxb_works!$B$46,"-",Data_2014_N!BR47,Data_2017!BR47)="","",CHOOSE(uxb_works!$B$46,"-",Data_2014_N!BR47,Data_2017!BR47))</f>
        <v/>
      </c>
    </row>
    <row r="48" s="112" customFormat="1" ht="22.5" customHeight="1" spans="1:85">
      <c r="A48"/>
      <c r="B48" s="133">
        <f>tblIndicators!A44</f>
        <v>43</v>
      </c>
      <c r="C48" s="133">
        <f>tblIndicators!B44</f>
        <v>0</v>
      </c>
      <c r="D48" s="310">
        <f>CHOOSE(uxb_works!$B$46,#REF!,Data_2014_N!D48,Data_2017!D48)</f>
        <v>3</v>
      </c>
      <c r="E48" s="133" t="str">
        <f>tblIndicators!E44</f>
        <v>PESE4.1</v>
      </c>
      <c r="F48" s="133" t="str">
        <f>tblIndicators!H44</f>
        <v>Level of police engagement</v>
      </c>
      <c r="G48" s="133">
        <f>tblIndicators!Z44</f>
        <v>3</v>
      </c>
      <c r="H48" s="105" t="str">
        <f>REPT(" ",D48)&amp;CHOOSE(uxb_works!$B$46,#REF!,Data_2014_N!H48,Data_2017!H48)</f>
        <v>      4.1.1) Level of police engagement</v>
      </c>
      <c r="I48" s="319" t="str">
        <f>IF(CHOOSE(uxb_works!$B$46,#REF!,Data_2014_N!I48,Data_2017!I48)="","",CHOOSE(uxb_works!$B$46,#REF!,Data_2014_N!I48,Data_2017!I48))</f>
        <v>Scale 0 - 1, 1 = has police engagement plans</v>
      </c>
      <c r="J48" s="148">
        <f>IF(CHOOSE(uxb_works!$B$46,"-",Data_2014_N!J48,Data_2017!J48)="","",CHOOSE(uxb_works!$B$46,"-",Data_2014_N!J48,Data_2017!J48))</f>
        <v>1</v>
      </c>
      <c r="K48" s="148">
        <f>IF(CHOOSE(uxb_works!$B$46,"-",Data_2014_N!K48,Data_2017!K48)="","",CHOOSE(uxb_works!$B$46,"-",Data_2014_N!K48,Data_2017!K48))</f>
        <v>1</v>
      </c>
      <c r="L48" s="148">
        <f>IF(CHOOSE(uxb_works!$B$46,"-",Data_2014_N!L48,Data_2017!L48)="","",CHOOSE(uxb_works!$B$46,"-",Data_2014_N!L48,Data_2017!L48))</f>
        <v>0.5</v>
      </c>
      <c r="M48" s="148">
        <f>IF(CHOOSE(uxb_works!$B$46,"-",Data_2014_N!M48,Data_2017!M48)="","",CHOOSE(uxb_works!$B$46,"-",Data_2014_N!M48,Data_2017!M48))</f>
        <v>0.5</v>
      </c>
      <c r="N48" s="148">
        <f>IF(CHOOSE(uxb_works!$B$46,"-",Data_2014_N!N48,Data_2017!N48)="","",CHOOSE(uxb_works!$B$46,"-",Data_2014_N!N48,Data_2017!N48))</f>
        <v>1</v>
      </c>
      <c r="O48" s="148">
        <f>IF(CHOOSE(uxb_works!$B$46,"-",Data_2014_N!O48,Data_2017!O48)="","",CHOOSE(uxb_works!$B$46,"-",Data_2014_N!O48,Data_2017!O48))</f>
        <v>0.5</v>
      </c>
      <c r="P48" s="148">
        <f>IF(CHOOSE(uxb_works!$B$46,"-",Data_2014_N!P48,Data_2017!P48)="","",CHOOSE(uxb_works!$B$46,"-",Data_2014_N!P48,Data_2017!P48))</f>
        <v>0.5</v>
      </c>
      <c r="Q48" s="148">
        <f>IF(CHOOSE(uxb_works!$B$46,"-",Data_2014_N!Q48,Data_2017!Q48)="","",CHOOSE(uxb_works!$B$46,"-",Data_2014_N!Q48,Data_2017!Q48))</f>
        <v>0.5</v>
      </c>
      <c r="R48" s="148">
        <f>IF(CHOOSE(uxb_works!$B$46,"-",Data_2014_N!R48,Data_2017!R48)="","",CHOOSE(uxb_works!$B$46,"-",Data_2014_N!R48,Data_2017!R48))</f>
        <v>0.5</v>
      </c>
      <c r="S48" s="148">
        <f>IF(CHOOSE(uxb_works!$B$46,"-",Data_2014_N!S48,Data_2017!S48)="","",CHOOSE(uxb_works!$B$46,"-",Data_2014_N!S48,Data_2017!S48))</f>
        <v>0.5</v>
      </c>
      <c r="T48" s="148">
        <f>IF(CHOOSE(uxb_works!$B$46,"-",Data_2014_N!T48,Data_2017!T48)="","",CHOOSE(uxb_works!$B$46,"-",Data_2014_N!T48,Data_2017!T48))</f>
        <v>0.5</v>
      </c>
      <c r="U48" s="148">
        <f>IF(CHOOSE(uxb_works!$B$46,"-",Data_2014_N!U48,Data_2017!U48)="","",CHOOSE(uxb_works!$B$46,"-",Data_2014_N!U48,Data_2017!U48))</f>
        <v>1</v>
      </c>
      <c r="V48" s="148">
        <f>IF(CHOOSE(uxb_works!$B$46,"-",Data_2014_N!V48,Data_2017!V48)="","",CHOOSE(uxb_works!$B$46,"-",Data_2014_N!V48,Data_2017!V48))</f>
        <v>1</v>
      </c>
      <c r="W48" s="148">
        <f>IF(CHOOSE(uxb_works!$B$46,"-",Data_2014_N!W48,Data_2017!W48)="","",CHOOSE(uxb_works!$B$46,"-",Data_2014_N!W48,Data_2017!W48))</f>
        <v>1</v>
      </c>
      <c r="X48" s="148">
        <f>IF(CHOOSE(uxb_works!$B$46,"-",Data_2014_N!X48,Data_2017!X48)="","",CHOOSE(uxb_works!$B$46,"-",Data_2014_N!X48,Data_2017!X48))</f>
        <v>1</v>
      </c>
      <c r="Y48" s="148">
        <f>IF(CHOOSE(uxb_works!$B$46,"-",Data_2014_N!Y48,Data_2017!Y48)="","",CHOOSE(uxb_works!$B$46,"-",Data_2014_N!Y48,Data_2017!Y48))</f>
        <v>1</v>
      </c>
      <c r="Z48" s="148">
        <f>IF(CHOOSE(uxb_works!$B$46,"-",Data_2014_N!Z48,Data_2017!Z48)="","",CHOOSE(uxb_works!$B$46,"-",Data_2014_N!Z48,Data_2017!Z48))</f>
        <v>1</v>
      </c>
      <c r="AA48" s="148">
        <f>IF(CHOOSE(uxb_works!$B$46,"-",Data_2014_N!AA48,Data_2017!AA48)="","",CHOOSE(uxb_works!$B$46,"-",Data_2014_N!AA48,Data_2017!AA48))</f>
        <v>1</v>
      </c>
      <c r="AB48" s="148">
        <f>IF(CHOOSE(uxb_works!$B$46,"-",Data_2014_N!AB48,Data_2017!AB48)="","",CHOOSE(uxb_works!$B$46,"-",Data_2014_N!AB48,Data_2017!AB48))</f>
        <v>0</v>
      </c>
      <c r="AC48" s="148">
        <f>IF(CHOOSE(uxb_works!$B$46,"-",Data_2014_N!AC48,Data_2017!AC48)="","",CHOOSE(uxb_works!$B$46,"-",Data_2014_N!AC48,Data_2017!AC48))</f>
        <v>1</v>
      </c>
      <c r="AD48" s="148">
        <f>IF(CHOOSE(uxb_works!$B$46,"-",Data_2014_N!AD48,Data_2017!AD48)="","",CHOOSE(uxb_works!$B$46,"-",Data_2014_N!AD48,Data_2017!AD48))</f>
        <v>0.5</v>
      </c>
      <c r="AE48" s="148">
        <f>IF(CHOOSE(uxb_works!$B$46,"-",Data_2014_N!AE48,Data_2017!AE48)="","",CHOOSE(uxb_works!$B$46,"-",Data_2014_N!AE48,Data_2017!AE48))</f>
        <v>0.5</v>
      </c>
      <c r="AF48" s="148">
        <f>IF(CHOOSE(uxb_works!$B$46,"-",Data_2014_N!AF48,Data_2017!AF48)="","",CHOOSE(uxb_works!$B$46,"-",Data_2014_N!AF48,Data_2017!AF48))</f>
        <v>0.5</v>
      </c>
      <c r="AG48" s="148">
        <f>IF(CHOOSE(uxb_works!$B$46,"-",Data_2014_N!AG48,Data_2017!AG48)="","",CHOOSE(uxb_works!$B$46,"-",Data_2014_N!AG48,Data_2017!AG48))</f>
        <v>0.5</v>
      </c>
      <c r="AH48" s="148">
        <f>IF(CHOOSE(uxb_works!$B$46,"-",Data_2014_N!AH48,Data_2017!AH48)="","",CHOOSE(uxb_works!$B$46,"-",Data_2014_N!AH48,Data_2017!AH48))</f>
        <v>1</v>
      </c>
      <c r="AI48" s="148">
        <f>IF(CHOOSE(uxb_works!$B$46,"-",Data_2014_N!AI48,Data_2017!AI48)="","",CHOOSE(uxb_works!$B$46,"-",Data_2014_N!AI48,Data_2017!AI48))</f>
        <v>0.5</v>
      </c>
      <c r="AJ48" s="148">
        <f>IF(CHOOSE(uxb_works!$B$46,"-",Data_2014_N!AJ48,Data_2017!AJ48)="","",CHOOSE(uxb_works!$B$46,"-",Data_2014_N!AJ48,Data_2017!AJ48))</f>
        <v>0.5</v>
      </c>
      <c r="AK48" s="148" t="e">
        <f>IF(CHOOSE(uxb_works!$B$46,"-",Data_2014_N!AK48,Data_2017!#REF!)="","",CHOOSE(uxb_works!$B$46,"-",Data_2014_N!AK48,Data_2017!#REF!))</f>
        <v>#REF!</v>
      </c>
      <c r="AL48" s="148">
        <f>IF(CHOOSE(uxb_works!$B$46,"-",Data_2014_N!AL48,Data_2017!AK48)="","",CHOOSE(uxb_works!$B$46,"-",Data_2014_N!AL48,Data_2017!AK48))</f>
        <v>0.5</v>
      </c>
      <c r="AM48" s="148">
        <f>IF(CHOOSE(uxb_works!$B$46,"-",Data_2014_N!AM48,Data_2017!AL48)="","",CHOOSE(uxb_works!$B$46,"-",Data_2014_N!AM48,Data_2017!AL48))</f>
        <v>1</v>
      </c>
      <c r="AN48" s="148">
        <f>IF(CHOOSE(uxb_works!$B$46,"-",Data_2014_N!AN48,Data_2017!AM48)="","",CHOOSE(uxb_works!$B$46,"-",Data_2014_N!AN48,Data_2017!AM48))</f>
        <v>1</v>
      </c>
      <c r="AO48" s="148">
        <f>IF(CHOOSE(uxb_works!$B$46,"-",Data_2014_N!AO48,Data_2017!AN48)="","",CHOOSE(uxb_works!$B$46,"-",Data_2014_N!AO48,Data_2017!AN48))</f>
        <v>1</v>
      </c>
      <c r="AP48" s="148">
        <f>IF(CHOOSE(uxb_works!$B$46,"-",Data_2014_N!AP48,Data_2017!AO48)="","",CHOOSE(uxb_works!$B$46,"-",Data_2014_N!AP48,Data_2017!AO48))</f>
        <v>0.5</v>
      </c>
      <c r="AQ48" s="148">
        <f>IF(CHOOSE(uxb_works!$B$46,"-",Data_2014_N!AQ48,Data_2017!AP48)="","",CHOOSE(uxb_works!$B$46,"-",Data_2014_N!AQ48,Data_2017!AP48))</f>
        <v>1</v>
      </c>
      <c r="AR48" s="148">
        <f>IF(CHOOSE(uxb_works!$B$46,"-",Data_2014_N!AR48,Data_2017!AQ48)="","",CHOOSE(uxb_works!$B$46,"-",Data_2014_N!AR48,Data_2017!AQ48))</f>
        <v>0.5</v>
      </c>
      <c r="AS48" s="148">
        <f>IF(CHOOSE(uxb_works!$B$46,"-",Data_2014_N!AS48,Data_2017!AR48)="","",CHOOSE(uxb_works!$B$46,"-",Data_2014_N!AS48,Data_2017!AR48))</f>
        <v>0.5</v>
      </c>
      <c r="AT48" s="148">
        <f>IF(CHOOSE(uxb_works!$B$46,"-",Data_2014_N!AT48,Data_2017!AS48)="","",CHOOSE(uxb_works!$B$46,"-",Data_2014_N!AT48,Data_2017!AS48))</f>
        <v>0</v>
      </c>
      <c r="AU48" s="148">
        <f>IF(CHOOSE(uxb_works!$B$46,"-",Data_2014_N!AU48,Data_2017!AT48)="","",CHOOSE(uxb_works!$B$46,"-",Data_2014_N!AU48,Data_2017!AT48))</f>
        <v>1</v>
      </c>
      <c r="AV48" s="148">
        <f>IF(CHOOSE(uxb_works!$B$46,"-",Data_2014_N!AV48,Data_2017!AU48)="","",CHOOSE(uxb_works!$B$46,"-",Data_2014_N!AV48,Data_2017!AU48))</f>
        <v>1</v>
      </c>
      <c r="AW48" s="148">
        <f>IF(CHOOSE(uxb_works!$B$46,"-",Data_2014_N!AW48,Data_2017!AV48)="","",CHOOSE(uxb_works!$B$46,"-",Data_2014_N!AW48,Data_2017!AV48))</f>
        <v>1</v>
      </c>
      <c r="AX48" s="148">
        <f>IF(CHOOSE(uxb_works!$B$46,"-",Data_2014_N!AX48,Data_2017!AW48)="","",CHOOSE(uxb_works!$B$46,"-",Data_2014_N!AX48,Data_2017!AW48))</f>
        <v>0.5</v>
      </c>
      <c r="AY48" s="148">
        <f>IF(CHOOSE(uxb_works!$B$46,"-",Data_2014_N!AY48,Data_2017!AX48)="","",CHOOSE(uxb_works!$B$46,"-",Data_2014_N!AY48,Data_2017!AX48))</f>
        <v>0.5</v>
      </c>
      <c r="AZ48" s="148">
        <f>IF(CHOOSE(uxb_works!$B$46,"-",Data_2014_N!AZ48,Data_2017!AY48)="","",CHOOSE(uxb_works!$B$46,"-",Data_2014_N!AZ48,Data_2017!AY48))</f>
        <v>0.5</v>
      </c>
      <c r="BA48" s="148">
        <f>IF(CHOOSE(uxb_works!$B$46,"-",Data_2014_N!BA48,Data_2017!AZ48)="","",CHOOSE(uxb_works!$B$46,"-",Data_2014_N!BA48,Data_2017!AZ48))</f>
        <v>0.5</v>
      </c>
      <c r="BB48" s="148">
        <f>IF(CHOOSE(uxb_works!$B$46,"-",Data_2014_N!BB48,Data_2017!BA48)="","",CHOOSE(uxb_works!$B$46,"-",Data_2014_N!BB48,Data_2017!BA48))</f>
        <v>0.5</v>
      </c>
      <c r="BC48" s="148">
        <f>IF(CHOOSE(uxb_works!$B$46,"-",Data_2014_N!BC48,Data_2017!BB48)="","",CHOOSE(uxb_works!$B$46,"-",Data_2014_N!BC48,Data_2017!BB48))</f>
        <v>1</v>
      </c>
      <c r="BD48" s="148">
        <f>IF(CHOOSE(uxb_works!$B$46,"-",Data_2014_N!BD48,Data_2017!BC48)="","",CHOOSE(uxb_works!$B$46,"-",Data_2014_N!BD48,Data_2017!BC48))</f>
        <v>0.5</v>
      </c>
      <c r="BE48" s="148">
        <f>IF(CHOOSE(uxb_works!$B$46,"-",Data_2014_N!BE48,Data_2017!BD48)="","",CHOOSE(uxb_works!$B$46,"-",Data_2014_N!BE48,Data_2017!BD48))</f>
        <v>0.5</v>
      </c>
      <c r="BF48" s="148">
        <f>IF(CHOOSE(uxb_works!$B$46,"-",Data_2014_N!BF48,Data_2017!BE48)="","",CHOOSE(uxb_works!$B$46,"-",Data_2014_N!BF48,Data_2017!BE48))</f>
        <v>1</v>
      </c>
      <c r="BG48" s="148">
        <f>IF(CHOOSE(uxb_works!$B$46,"-",Data_2014_N!BG48,Data_2017!BF48)="","",CHOOSE(uxb_works!$B$46,"-",Data_2014_N!BG48,Data_2017!BF48))</f>
        <v>0.5</v>
      </c>
      <c r="BH48" s="148">
        <f>IF(CHOOSE(uxb_works!$B$46,"-",Data_2014_N!BH48,Data_2017!BG48)="","",CHOOSE(uxb_works!$B$46,"-",Data_2014_N!BH48,Data_2017!BG48))</f>
        <v>1</v>
      </c>
      <c r="BI48" s="148">
        <f>IF(CHOOSE(uxb_works!$B$46,"-",Data_2014_N!BI48,Data_2017!BH48)="","",CHOOSE(uxb_works!$B$46,"-",Data_2014_N!BI48,Data_2017!BH48))</f>
        <v>0.5</v>
      </c>
      <c r="BJ48" s="148">
        <f>IF(CHOOSE(uxb_works!$B$46,"-",Data_2014_N!BJ48,Data_2017!BI48)="","",CHOOSE(uxb_works!$B$46,"-",Data_2014_N!BJ48,Data_2017!BI48))</f>
        <v>1</v>
      </c>
      <c r="BK48" s="148">
        <f>IF(CHOOSE(uxb_works!$B$46,"-",Data_2014_N!BK48,Data_2017!BJ48)="","",CHOOSE(uxb_works!$B$46,"-",Data_2014_N!BK48,Data_2017!BJ48))</f>
        <v>1</v>
      </c>
      <c r="BL48" s="148">
        <f>IF(CHOOSE(uxb_works!$B$46,"-",Data_2014_N!BL48,Data_2017!BK48)="","",CHOOSE(uxb_works!$B$46,"-",Data_2014_N!BL48,Data_2017!BK48))</f>
        <v>0.5</v>
      </c>
      <c r="BM48" s="148">
        <f>IF(CHOOSE(uxb_works!$B$46,"-",Data_2014_N!BM48,Data_2017!BL48)="","",CHOOSE(uxb_works!$B$46,"-",Data_2014_N!BM48,Data_2017!BL48))</f>
        <v>1</v>
      </c>
      <c r="BN48" s="148">
        <f>IF(CHOOSE(uxb_works!$B$46,"-",Data_2014_N!BN48,Data_2017!BM48)="","",CHOOSE(uxb_works!$B$46,"-",Data_2014_N!BN48,Data_2017!BM48))</f>
        <v>1</v>
      </c>
      <c r="BO48" s="148">
        <f>IF(CHOOSE(uxb_works!$B$46,"-",Data_2014_N!BO48,Data_2017!BN48)="","",CHOOSE(uxb_works!$B$46,"-",Data_2014_N!BO48,Data_2017!BN48))</f>
        <v>1</v>
      </c>
      <c r="BP48" s="148">
        <f>IF(CHOOSE(uxb_works!$B$46,"-",Data_2014_N!BP48,Data_2017!BO48)="","",CHOOSE(uxb_works!$B$46,"-",Data_2014_N!BP48,Data_2017!BO48))</f>
        <v>1</v>
      </c>
      <c r="BQ48" s="148">
        <f>IF(CHOOSE(uxb_works!$B$46,"-",Data_2014_N!BQ48,Data_2017!BP48)="","",CHOOSE(uxb_works!$B$46,"-",Data_2014_N!BQ48,Data_2017!BP48))</f>
        <v>0.5</v>
      </c>
      <c r="BR48" s="325">
        <f>IF(CHOOSE(uxb_works!$B$46,"-",Data_2014_N!BR48,Data_2017!BR48)="","",CHOOSE(uxb_works!$B$46,"-",Data_2014_N!BR48,Data_2017!BR48))</f>
        <v>1</v>
      </c>
      <c r="CC48" s="112">
        <v>1</v>
      </c>
      <c r="CD48" s="112">
        <v>1</v>
      </c>
      <c r="CE48" s="112">
        <v>1</v>
      </c>
      <c r="CF48" s="112">
        <v>1</v>
      </c>
      <c r="CG48" s="112">
        <v>1</v>
      </c>
    </row>
    <row r="49" s="112" customFormat="1" ht="22.5" customHeight="1" spans="1:85">
      <c r="A49"/>
      <c r="B49" s="133">
        <f>tblIndicators!A45</f>
        <v>44</v>
      </c>
      <c r="C49" s="133">
        <f>tblIndicators!B45</f>
        <v>0</v>
      </c>
      <c r="D49" s="310">
        <f>CHOOSE(uxb_works!$B$46,#REF!,Data_2014_N!D49,Data_2017!D49)</f>
        <v>3</v>
      </c>
      <c r="E49" s="133" t="str">
        <f>tblIndicators!E45</f>
        <v>PESE4.1</v>
      </c>
      <c r="F49" s="133" t="str">
        <f>tblIndicators!H45</f>
        <v>Community-based patrolling</v>
      </c>
      <c r="G49" s="133">
        <f>tblIndicators!Z45</f>
        <v>2</v>
      </c>
      <c r="H49" s="105" t="str">
        <f>REPT(" ",D49)&amp;CHOOSE(uxb_works!$B$46,#REF!,Data_2014_N!H49,Data_2017!H49)</f>
        <v>      4.1.2) Community-based patrolling</v>
      </c>
      <c r="I49" s="319" t="str">
        <f>IF(CHOOSE(uxb_works!$B$46,#REF!,Data_2014_N!I49,Data_2017!I49)="","",CHOOSE(uxb_works!$B$46,#REF!,Data_2014_N!I49,Data_2017!I49))</f>
        <v>Scale 0 - 1, 1 = yes, 0 = none</v>
      </c>
      <c r="J49" s="148">
        <f>IF(CHOOSE(uxb_works!$B$46,"-",Data_2014_N!J49,Data_2017!J49)="","",CHOOSE(uxb_works!$B$46,"-",Data_2014_N!J49,Data_2017!J49))</f>
        <v>1</v>
      </c>
      <c r="K49" s="148">
        <f>IF(CHOOSE(uxb_works!$B$46,"-",Data_2014_N!K49,Data_2017!K49)="","",CHOOSE(uxb_works!$B$46,"-",Data_2014_N!K49,Data_2017!K49))</f>
        <v>1</v>
      </c>
      <c r="L49" s="148">
        <f>IF(CHOOSE(uxb_works!$B$46,"-",Data_2014_N!L49,Data_2017!L49)="","",CHOOSE(uxb_works!$B$46,"-",Data_2014_N!L49,Data_2017!L49))</f>
        <v>0</v>
      </c>
      <c r="M49" s="148">
        <f>IF(CHOOSE(uxb_works!$B$46,"-",Data_2014_N!M49,Data_2017!M49)="","",CHOOSE(uxb_works!$B$46,"-",Data_2014_N!M49,Data_2017!M49))</f>
        <v>1</v>
      </c>
      <c r="N49" s="148">
        <f>IF(CHOOSE(uxb_works!$B$46,"-",Data_2014_N!N49,Data_2017!N49)="","",CHOOSE(uxb_works!$B$46,"-",Data_2014_N!N49,Data_2017!N49))</f>
        <v>1</v>
      </c>
      <c r="O49" s="148">
        <f>IF(CHOOSE(uxb_works!$B$46,"-",Data_2014_N!O49,Data_2017!O49)="","",CHOOSE(uxb_works!$B$46,"-",Data_2014_N!O49,Data_2017!O49))</f>
        <v>1</v>
      </c>
      <c r="P49" s="148">
        <f>IF(CHOOSE(uxb_works!$B$46,"-",Data_2014_N!P49,Data_2017!P49)="","",CHOOSE(uxb_works!$B$46,"-",Data_2014_N!P49,Data_2017!P49))</f>
        <v>1</v>
      </c>
      <c r="Q49" s="148">
        <f>IF(CHOOSE(uxb_works!$B$46,"-",Data_2014_N!Q49,Data_2017!Q49)="","",CHOOSE(uxb_works!$B$46,"-",Data_2014_N!Q49,Data_2017!Q49))</f>
        <v>1</v>
      </c>
      <c r="R49" s="148">
        <f>IF(CHOOSE(uxb_works!$B$46,"-",Data_2014_N!R49,Data_2017!R49)="","",CHOOSE(uxb_works!$B$46,"-",Data_2014_N!R49,Data_2017!R49))</f>
        <v>0</v>
      </c>
      <c r="S49" s="148">
        <f>IF(CHOOSE(uxb_works!$B$46,"-",Data_2014_N!S49,Data_2017!S49)="","",CHOOSE(uxb_works!$B$46,"-",Data_2014_N!S49,Data_2017!S49))</f>
        <v>1</v>
      </c>
      <c r="T49" s="148">
        <f>IF(CHOOSE(uxb_works!$B$46,"-",Data_2014_N!T49,Data_2017!T49)="","",CHOOSE(uxb_works!$B$46,"-",Data_2014_N!T49,Data_2017!T49))</f>
        <v>1</v>
      </c>
      <c r="U49" s="148">
        <f>IF(CHOOSE(uxb_works!$B$46,"-",Data_2014_N!U49,Data_2017!U49)="","",CHOOSE(uxb_works!$B$46,"-",Data_2014_N!U49,Data_2017!U49))</f>
        <v>0</v>
      </c>
      <c r="V49" s="148">
        <f>IF(CHOOSE(uxb_works!$B$46,"-",Data_2014_N!V49,Data_2017!V49)="","",CHOOSE(uxb_works!$B$46,"-",Data_2014_N!V49,Data_2017!V49))</f>
        <v>1</v>
      </c>
      <c r="W49" s="148">
        <f>IF(CHOOSE(uxb_works!$B$46,"-",Data_2014_N!W49,Data_2017!W49)="","",CHOOSE(uxb_works!$B$46,"-",Data_2014_N!W49,Data_2017!W49))</f>
        <v>1</v>
      </c>
      <c r="X49" s="148">
        <f>IF(CHOOSE(uxb_works!$B$46,"-",Data_2014_N!X49,Data_2017!X49)="","",CHOOSE(uxb_works!$B$46,"-",Data_2014_N!X49,Data_2017!X49))</f>
        <v>1</v>
      </c>
      <c r="Y49" s="148">
        <f>IF(CHOOSE(uxb_works!$B$46,"-",Data_2014_N!Y49,Data_2017!Y49)="","",CHOOSE(uxb_works!$B$46,"-",Data_2014_N!Y49,Data_2017!Y49))</f>
        <v>1</v>
      </c>
      <c r="Z49" s="148">
        <f>IF(CHOOSE(uxb_works!$B$46,"-",Data_2014_N!Z49,Data_2017!Z49)="","",CHOOSE(uxb_works!$B$46,"-",Data_2014_N!Z49,Data_2017!Z49))</f>
        <v>1</v>
      </c>
      <c r="AA49" s="148">
        <f>IF(CHOOSE(uxb_works!$B$46,"-",Data_2014_N!AA49,Data_2017!AA49)="","",CHOOSE(uxb_works!$B$46,"-",Data_2014_N!AA49,Data_2017!AA49))</f>
        <v>1</v>
      </c>
      <c r="AB49" s="148">
        <f>IF(CHOOSE(uxb_works!$B$46,"-",Data_2014_N!AB49,Data_2017!AB49)="","",CHOOSE(uxb_works!$B$46,"-",Data_2014_N!AB49,Data_2017!AB49))</f>
        <v>0</v>
      </c>
      <c r="AC49" s="148">
        <f>IF(CHOOSE(uxb_works!$B$46,"-",Data_2014_N!AC49,Data_2017!AC49)="","",CHOOSE(uxb_works!$B$46,"-",Data_2014_N!AC49,Data_2017!AC49))</f>
        <v>1</v>
      </c>
      <c r="AD49" s="148">
        <f>IF(CHOOSE(uxb_works!$B$46,"-",Data_2014_N!AD49,Data_2017!AD49)="","",CHOOSE(uxb_works!$B$46,"-",Data_2014_N!AD49,Data_2017!AD49))</f>
        <v>1</v>
      </c>
      <c r="AE49" s="148">
        <f>IF(CHOOSE(uxb_works!$B$46,"-",Data_2014_N!AE49,Data_2017!AE49)="","",CHOOSE(uxb_works!$B$46,"-",Data_2014_N!AE49,Data_2017!AE49))</f>
        <v>1</v>
      </c>
      <c r="AF49" s="148">
        <f>IF(CHOOSE(uxb_works!$B$46,"-",Data_2014_N!AF49,Data_2017!AF49)="","",CHOOSE(uxb_works!$B$46,"-",Data_2014_N!AF49,Data_2017!AF49))</f>
        <v>1</v>
      </c>
      <c r="AG49" s="148">
        <f>IF(CHOOSE(uxb_works!$B$46,"-",Data_2014_N!AG49,Data_2017!AG49)="","",CHOOSE(uxb_works!$B$46,"-",Data_2014_N!AG49,Data_2017!AG49))</f>
        <v>1</v>
      </c>
      <c r="AH49" s="148">
        <f>IF(CHOOSE(uxb_works!$B$46,"-",Data_2014_N!AH49,Data_2017!AH49)="","",CHOOSE(uxb_works!$B$46,"-",Data_2014_N!AH49,Data_2017!AH49))</f>
        <v>1</v>
      </c>
      <c r="AI49" s="148">
        <f>IF(CHOOSE(uxb_works!$B$46,"-",Data_2014_N!AI49,Data_2017!AI49)="","",CHOOSE(uxb_works!$B$46,"-",Data_2014_N!AI49,Data_2017!AI49))</f>
        <v>1</v>
      </c>
      <c r="AJ49" s="148">
        <f>IF(CHOOSE(uxb_works!$B$46,"-",Data_2014_N!AJ49,Data_2017!AJ49)="","",CHOOSE(uxb_works!$B$46,"-",Data_2014_N!AJ49,Data_2017!AJ49))</f>
        <v>1</v>
      </c>
      <c r="AK49" s="148" t="e">
        <f>IF(CHOOSE(uxb_works!$B$46,"-",Data_2014_N!AK49,Data_2017!#REF!)="","",CHOOSE(uxb_works!$B$46,"-",Data_2014_N!AK49,Data_2017!#REF!))</f>
        <v>#REF!</v>
      </c>
      <c r="AL49" s="148">
        <f>IF(CHOOSE(uxb_works!$B$46,"-",Data_2014_N!AL49,Data_2017!AK49)="","",CHOOSE(uxb_works!$B$46,"-",Data_2014_N!AL49,Data_2017!AK49))</f>
        <v>1</v>
      </c>
      <c r="AM49" s="148">
        <f>IF(CHOOSE(uxb_works!$B$46,"-",Data_2014_N!AM49,Data_2017!AL49)="","",CHOOSE(uxb_works!$B$46,"-",Data_2014_N!AM49,Data_2017!AL49))</f>
        <v>1</v>
      </c>
      <c r="AN49" s="148">
        <f>IF(CHOOSE(uxb_works!$B$46,"-",Data_2014_N!AN49,Data_2017!AM49)="","",CHOOSE(uxb_works!$B$46,"-",Data_2014_N!AN49,Data_2017!AM49))</f>
        <v>1</v>
      </c>
      <c r="AO49" s="148">
        <f>IF(CHOOSE(uxb_works!$B$46,"-",Data_2014_N!AO49,Data_2017!AN49)="","",CHOOSE(uxb_works!$B$46,"-",Data_2014_N!AO49,Data_2017!AN49))</f>
        <v>1</v>
      </c>
      <c r="AP49" s="148">
        <f>IF(CHOOSE(uxb_works!$B$46,"-",Data_2014_N!AP49,Data_2017!AO49)="","",CHOOSE(uxb_works!$B$46,"-",Data_2014_N!AP49,Data_2017!AO49))</f>
        <v>1</v>
      </c>
      <c r="AQ49" s="148">
        <f>IF(CHOOSE(uxb_works!$B$46,"-",Data_2014_N!AQ49,Data_2017!AP49)="","",CHOOSE(uxb_works!$B$46,"-",Data_2014_N!AQ49,Data_2017!AP49))</f>
        <v>1</v>
      </c>
      <c r="AR49" s="148">
        <f>IF(CHOOSE(uxb_works!$B$46,"-",Data_2014_N!AR49,Data_2017!AQ49)="","",CHOOSE(uxb_works!$B$46,"-",Data_2014_N!AR49,Data_2017!AQ49))</f>
        <v>1</v>
      </c>
      <c r="AS49" s="148">
        <f>IF(CHOOSE(uxb_works!$B$46,"-",Data_2014_N!AS49,Data_2017!AR49)="","",CHOOSE(uxb_works!$B$46,"-",Data_2014_N!AS49,Data_2017!AR49))</f>
        <v>1</v>
      </c>
      <c r="AT49" s="148">
        <f>IF(CHOOSE(uxb_works!$B$46,"-",Data_2014_N!AT49,Data_2017!AS49)="","",CHOOSE(uxb_works!$B$46,"-",Data_2014_N!AT49,Data_2017!AS49))</f>
        <v>1</v>
      </c>
      <c r="AU49" s="148">
        <f>IF(CHOOSE(uxb_works!$B$46,"-",Data_2014_N!AU49,Data_2017!AT49)="","",CHOOSE(uxb_works!$B$46,"-",Data_2014_N!AU49,Data_2017!AT49))</f>
        <v>1</v>
      </c>
      <c r="AV49" s="148">
        <f>IF(CHOOSE(uxb_works!$B$46,"-",Data_2014_N!AV49,Data_2017!AU49)="","",CHOOSE(uxb_works!$B$46,"-",Data_2014_N!AV49,Data_2017!AU49))</f>
        <v>1</v>
      </c>
      <c r="AW49" s="148">
        <f>IF(CHOOSE(uxb_works!$B$46,"-",Data_2014_N!AW49,Data_2017!AV49)="","",CHOOSE(uxb_works!$B$46,"-",Data_2014_N!AW49,Data_2017!AV49))</f>
        <v>1</v>
      </c>
      <c r="AX49" s="148">
        <f>IF(CHOOSE(uxb_works!$B$46,"-",Data_2014_N!AX49,Data_2017!AW49)="","",CHOOSE(uxb_works!$B$46,"-",Data_2014_N!AX49,Data_2017!AW49))</f>
        <v>1</v>
      </c>
      <c r="AY49" s="148">
        <f>IF(CHOOSE(uxb_works!$B$46,"-",Data_2014_N!AY49,Data_2017!AX49)="","",CHOOSE(uxb_works!$B$46,"-",Data_2014_N!AY49,Data_2017!AX49))</f>
        <v>0</v>
      </c>
      <c r="AZ49" s="148">
        <f>IF(CHOOSE(uxb_works!$B$46,"-",Data_2014_N!AZ49,Data_2017!AY49)="","",CHOOSE(uxb_works!$B$46,"-",Data_2014_N!AZ49,Data_2017!AY49))</f>
        <v>1</v>
      </c>
      <c r="BA49" s="148">
        <f>IF(CHOOSE(uxb_works!$B$46,"-",Data_2014_N!BA49,Data_2017!AZ49)="","",CHOOSE(uxb_works!$B$46,"-",Data_2014_N!BA49,Data_2017!AZ49))</f>
        <v>1</v>
      </c>
      <c r="BB49" s="148">
        <f>IF(CHOOSE(uxb_works!$B$46,"-",Data_2014_N!BB49,Data_2017!BA49)="","",CHOOSE(uxb_works!$B$46,"-",Data_2014_N!BB49,Data_2017!BA49))</f>
        <v>1</v>
      </c>
      <c r="BC49" s="148">
        <f>IF(CHOOSE(uxb_works!$B$46,"-",Data_2014_N!BC49,Data_2017!BB49)="","",CHOOSE(uxb_works!$B$46,"-",Data_2014_N!BC49,Data_2017!BB49))</f>
        <v>1</v>
      </c>
      <c r="BD49" s="148">
        <f>IF(CHOOSE(uxb_works!$B$46,"-",Data_2014_N!BD49,Data_2017!BC49)="","",CHOOSE(uxb_works!$B$46,"-",Data_2014_N!BD49,Data_2017!BC49))</f>
        <v>0</v>
      </c>
      <c r="BE49" s="148">
        <f>IF(CHOOSE(uxb_works!$B$46,"-",Data_2014_N!BE49,Data_2017!BD49)="","",CHOOSE(uxb_works!$B$46,"-",Data_2014_N!BE49,Data_2017!BD49))</f>
        <v>1</v>
      </c>
      <c r="BF49" s="148">
        <f>IF(CHOOSE(uxb_works!$B$46,"-",Data_2014_N!BF49,Data_2017!BE49)="","",CHOOSE(uxb_works!$B$46,"-",Data_2014_N!BF49,Data_2017!BE49))</f>
        <v>1</v>
      </c>
      <c r="BG49" s="148">
        <f>IF(CHOOSE(uxb_works!$B$46,"-",Data_2014_N!BG49,Data_2017!BF49)="","",CHOOSE(uxb_works!$B$46,"-",Data_2014_N!BG49,Data_2017!BF49))</f>
        <v>1</v>
      </c>
      <c r="BH49" s="148">
        <f>IF(CHOOSE(uxb_works!$B$46,"-",Data_2014_N!BH49,Data_2017!BG49)="","",CHOOSE(uxb_works!$B$46,"-",Data_2014_N!BH49,Data_2017!BG49))</f>
        <v>1</v>
      </c>
      <c r="BI49" s="148">
        <f>IF(CHOOSE(uxb_works!$B$46,"-",Data_2014_N!BI49,Data_2017!BH49)="","",CHOOSE(uxb_works!$B$46,"-",Data_2014_N!BI49,Data_2017!BH49))</f>
        <v>1</v>
      </c>
      <c r="BJ49" s="148">
        <f>IF(CHOOSE(uxb_works!$B$46,"-",Data_2014_N!BJ49,Data_2017!BI49)="","",CHOOSE(uxb_works!$B$46,"-",Data_2014_N!BJ49,Data_2017!BI49))</f>
        <v>1</v>
      </c>
      <c r="BK49" s="148">
        <f>IF(CHOOSE(uxb_works!$B$46,"-",Data_2014_N!BK49,Data_2017!BJ49)="","",CHOOSE(uxb_works!$B$46,"-",Data_2014_N!BK49,Data_2017!BJ49))</f>
        <v>1</v>
      </c>
      <c r="BL49" s="148">
        <f>IF(CHOOSE(uxb_works!$B$46,"-",Data_2014_N!BL49,Data_2017!BK49)="","",CHOOSE(uxb_works!$B$46,"-",Data_2014_N!BL49,Data_2017!BK49))</f>
        <v>0</v>
      </c>
      <c r="BM49" s="148">
        <f>IF(CHOOSE(uxb_works!$B$46,"-",Data_2014_N!BM49,Data_2017!BL49)="","",CHOOSE(uxb_works!$B$46,"-",Data_2014_N!BM49,Data_2017!BL49))</f>
        <v>1</v>
      </c>
      <c r="BN49" s="148">
        <f>IF(CHOOSE(uxb_works!$B$46,"-",Data_2014_N!BN49,Data_2017!BM49)="","",CHOOSE(uxb_works!$B$46,"-",Data_2014_N!BN49,Data_2017!BM49))</f>
        <v>1</v>
      </c>
      <c r="BO49" s="148">
        <f>IF(CHOOSE(uxb_works!$B$46,"-",Data_2014_N!BO49,Data_2017!BN49)="","",CHOOSE(uxb_works!$B$46,"-",Data_2014_N!BO49,Data_2017!BN49))</f>
        <v>1</v>
      </c>
      <c r="BP49" s="148">
        <f>IF(CHOOSE(uxb_works!$B$46,"-",Data_2014_N!BP49,Data_2017!BO49)="","",CHOOSE(uxb_works!$B$46,"-",Data_2014_N!BP49,Data_2017!BO49))</f>
        <v>1</v>
      </c>
      <c r="BQ49" s="148">
        <f>IF(CHOOSE(uxb_works!$B$46,"-",Data_2014_N!BQ49,Data_2017!BP49)="","",CHOOSE(uxb_works!$B$46,"-",Data_2014_N!BQ49,Data_2017!BP49))</f>
        <v>1</v>
      </c>
      <c r="BR49" s="325">
        <f>IF(CHOOSE(uxb_works!$B$46,"-",Data_2014_N!BR49,Data_2017!BR49)="","",CHOOSE(uxb_works!$B$46,"-",Data_2014_N!BR49,Data_2017!BR49))</f>
        <v>1</v>
      </c>
      <c r="CC49" s="112">
        <v>1</v>
      </c>
      <c r="CD49" s="112">
        <v>1</v>
      </c>
      <c r="CE49" s="112">
        <v>1</v>
      </c>
      <c r="CF49" s="112">
        <v>1</v>
      </c>
      <c r="CG49" s="112">
        <v>1</v>
      </c>
    </row>
    <row r="50" s="112" customFormat="1" ht="22.5" customHeight="1" spans="1:85">
      <c r="A50"/>
      <c r="B50" s="133">
        <f>tblIndicators!A46</f>
        <v>45</v>
      </c>
      <c r="C50" s="133">
        <f>tblIndicators!B46</f>
        <v>0</v>
      </c>
      <c r="D50" s="310">
        <f>CHOOSE(uxb_works!$B$46,#REF!,Data_2014_N!D50,Data_2017!D50)</f>
        <v>3</v>
      </c>
      <c r="E50" s="133" t="str">
        <f>tblIndicators!E46</f>
        <v>PESE4.1</v>
      </c>
      <c r="F50" s="133" t="str">
        <f>tblIndicators!H46</f>
        <v>Available street-level crime data</v>
      </c>
      <c r="G50" s="133">
        <f>tblIndicators!Z46</f>
        <v>2</v>
      </c>
      <c r="H50" s="105" t="str">
        <f>REPT(" ",D50)&amp;CHOOSE(uxb_works!$B$46,#REF!,Data_2014_N!H50,Data_2017!H50)</f>
        <v>      4.1.3) Available street-level crime data</v>
      </c>
      <c r="I50" s="319" t="str">
        <f>IF(CHOOSE(uxb_works!$B$46,#REF!,Data_2014_N!I50,Data_2017!I50)="","",CHOOSE(uxb_works!$B$46,#REF!,Data_2014_N!I50,Data_2017!I50))</f>
        <v>Scale 0 - 1, 1 = yes, 0 = none</v>
      </c>
      <c r="J50" s="148">
        <f>IF(CHOOSE(uxb_works!$B$46,"-",Data_2014_N!J50,Data_2017!J50)="","",CHOOSE(uxb_works!$B$46,"-",Data_2014_N!J50,Data_2017!J50))</f>
        <v>1</v>
      </c>
      <c r="K50" s="148">
        <f>IF(CHOOSE(uxb_works!$B$46,"-",Data_2014_N!K50,Data_2017!K50)="","",CHOOSE(uxb_works!$B$46,"-",Data_2014_N!K50,Data_2017!K50))</f>
        <v>1</v>
      </c>
      <c r="L50" s="148">
        <f>IF(CHOOSE(uxb_works!$B$46,"-",Data_2014_N!L50,Data_2017!L50)="","",CHOOSE(uxb_works!$B$46,"-",Data_2014_N!L50,Data_2017!L50))</f>
        <v>1</v>
      </c>
      <c r="M50" s="148">
        <f>IF(CHOOSE(uxb_works!$B$46,"-",Data_2014_N!M50,Data_2017!M50)="","",CHOOSE(uxb_works!$B$46,"-",Data_2014_N!M50,Data_2017!M50))</f>
        <v>0</v>
      </c>
      <c r="N50" s="148">
        <f>IF(CHOOSE(uxb_works!$B$46,"-",Data_2014_N!N50,Data_2017!N50)="","",CHOOSE(uxb_works!$B$46,"-",Data_2014_N!N50,Data_2017!N50))</f>
        <v>1</v>
      </c>
      <c r="O50" s="148">
        <f>IF(CHOOSE(uxb_works!$B$46,"-",Data_2014_N!O50,Data_2017!O50)="","",CHOOSE(uxb_works!$B$46,"-",Data_2014_N!O50,Data_2017!O50))</f>
        <v>1</v>
      </c>
      <c r="P50" s="148">
        <f>IF(CHOOSE(uxb_works!$B$46,"-",Data_2014_N!P50,Data_2017!P50)="","",CHOOSE(uxb_works!$B$46,"-",Data_2014_N!P50,Data_2017!P50))</f>
        <v>0</v>
      </c>
      <c r="Q50" s="148">
        <f>IF(CHOOSE(uxb_works!$B$46,"-",Data_2014_N!Q50,Data_2017!Q50)="","",CHOOSE(uxb_works!$B$46,"-",Data_2014_N!Q50,Data_2017!Q50))</f>
        <v>1</v>
      </c>
      <c r="R50" s="148">
        <f>IF(CHOOSE(uxb_works!$B$46,"-",Data_2014_N!R50,Data_2017!R50)="","",CHOOSE(uxb_works!$B$46,"-",Data_2014_N!R50,Data_2017!R50))</f>
        <v>1</v>
      </c>
      <c r="S50" s="148">
        <f>IF(CHOOSE(uxb_works!$B$46,"-",Data_2014_N!S50,Data_2017!S50)="","",CHOOSE(uxb_works!$B$46,"-",Data_2014_N!S50,Data_2017!S50))</f>
        <v>1</v>
      </c>
      <c r="T50" s="148">
        <f>IF(CHOOSE(uxb_works!$B$46,"-",Data_2014_N!T50,Data_2017!T50)="","",CHOOSE(uxb_works!$B$46,"-",Data_2014_N!T50,Data_2017!T50))</f>
        <v>0</v>
      </c>
      <c r="U50" s="148">
        <f>IF(CHOOSE(uxb_works!$B$46,"-",Data_2014_N!U50,Data_2017!U50)="","",CHOOSE(uxb_works!$B$46,"-",Data_2014_N!U50,Data_2017!U50))</f>
        <v>1</v>
      </c>
      <c r="V50" s="148">
        <f>IF(CHOOSE(uxb_works!$B$46,"-",Data_2014_N!V50,Data_2017!V50)="","",CHOOSE(uxb_works!$B$46,"-",Data_2014_N!V50,Data_2017!V50))</f>
        <v>1</v>
      </c>
      <c r="W50" s="148">
        <f>IF(CHOOSE(uxb_works!$B$46,"-",Data_2014_N!W50,Data_2017!W50)="","",CHOOSE(uxb_works!$B$46,"-",Data_2014_N!W50,Data_2017!W50))</f>
        <v>1</v>
      </c>
      <c r="X50" s="148">
        <f>IF(CHOOSE(uxb_works!$B$46,"-",Data_2014_N!X50,Data_2017!X50)="","",CHOOSE(uxb_works!$B$46,"-",Data_2014_N!X50,Data_2017!X50))</f>
        <v>1</v>
      </c>
      <c r="Y50" s="148">
        <f>IF(CHOOSE(uxb_works!$B$46,"-",Data_2014_N!Y50,Data_2017!Y50)="","",CHOOSE(uxb_works!$B$46,"-",Data_2014_N!Y50,Data_2017!Y50))</f>
        <v>0</v>
      </c>
      <c r="Z50" s="148">
        <f>IF(CHOOSE(uxb_works!$B$46,"-",Data_2014_N!Z50,Data_2017!Z50)="","",CHOOSE(uxb_works!$B$46,"-",Data_2014_N!Z50,Data_2017!Z50))</f>
        <v>1</v>
      </c>
      <c r="AA50" s="148">
        <f>IF(CHOOSE(uxb_works!$B$46,"-",Data_2014_N!AA50,Data_2017!AA50)="","",CHOOSE(uxb_works!$B$46,"-",Data_2014_N!AA50,Data_2017!AA50))</f>
        <v>1</v>
      </c>
      <c r="AB50" s="148">
        <f>IF(CHOOSE(uxb_works!$B$46,"-",Data_2014_N!AB50,Data_2017!AB50)="","",CHOOSE(uxb_works!$B$46,"-",Data_2014_N!AB50,Data_2017!AB50))</f>
        <v>0</v>
      </c>
      <c r="AC50" s="148">
        <f>IF(CHOOSE(uxb_works!$B$46,"-",Data_2014_N!AC50,Data_2017!AC50)="","",CHOOSE(uxb_works!$B$46,"-",Data_2014_N!AC50,Data_2017!AC50))</f>
        <v>1</v>
      </c>
      <c r="AD50" s="148">
        <f>IF(CHOOSE(uxb_works!$B$46,"-",Data_2014_N!AD50,Data_2017!AD50)="","",CHOOSE(uxb_works!$B$46,"-",Data_2014_N!AD50,Data_2017!AD50))</f>
        <v>1</v>
      </c>
      <c r="AE50" s="148">
        <f>IF(CHOOSE(uxb_works!$B$46,"-",Data_2014_N!AE50,Data_2017!AE50)="","",CHOOSE(uxb_works!$B$46,"-",Data_2014_N!AE50,Data_2017!AE50))</f>
        <v>1</v>
      </c>
      <c r="AF50" s="148">
        <f>IF(CHOOSE(uxb_works!$B$46,"-",Data_2014_N!AF50,Data_2017!AF50)="","",CHOOSE(uxb_works!$B$46,"-",Data_2014_N!AF50,Data_2017!AF50))</f>
        <v>0</v>
      </c>
      <c r="AG50" s="148">
        <f>IF(CHOOSE(uxb_works!$B$46,"-",Data_2014_N!AG50,Data_2017!AG50)="","",CHOOSE(uxb_works!$B$46,"-",Data_2014_N!AG50,Data_2017!AG50))</f>
        <v>1</v>
      </c>
      <c r="AH50" s="148">
        <f>IF(CHOOSE(uxb_works!$B$46,"-",Data_2014_N!AH50,Data_2017!AH50)="","",CHOOSE(uxb_works!$B$46,"-",Data_2014_N!AH50,Data_2017!AH50))</f>
        <v>0</v>
      </c>
      <c r="AI50" s="148">
        <f>IF(CHOOSE(uxb_works!$B$46,"-",Data_2014_N!AI50,Data_2017!AI50)="","",CHOOSE(uxb_works!$B$46,"-",Data_2014_N!AI50,Data_2017!AI50))</f>
        <v>1</v>
      </c>
      <c r="AJ50" s="148">
        <f>IF(CHOOSE(uxb_works!$B$46,"-",Data_2014_N!AJ50,Data_2017!AJ50)="","",CHOOSE(uxb_works!$B$46,"-",Data_2014_N!AJ50,Data_2017!AJ50))</f>
        <v>1</v>
      </c>
      <c r="AK50" s="148" t="e">
        <f>IF(CHOOSE(uxb_works!$B$46,"-",Data_2014_N!AK50,Data_2017!#REF!)="","",CHOOSE(uxb_works!$B$46,"-",Data_2014_N!AK50,Data_2017!#REF!))</f>
        <v>#REF!</v>
      </c>
      <c r="AL50" s="148">
        <f>IF(CHOOSE(uxb_works!$B$46,"-",Data_2014_N!AL50,Data_2017!AK50)="","",CHOOSE(uxb_works!$B$46,"-",Data_2014_N!AL50,Data_2017!AK50))</f>
        <v>1</v>
      </c>
      <c r="AM50" s="148">
        <f>IF(CHOOSE(uxb_works!$B$46,"-",Data_2014_N!AM50,Data_2017!AL50)="","",CHOOSE(uxb_works!$B$46,"-",Data_2014_N!AM50,Data_2017!AL50))</f>
        <v>1</v>
      </c>
      <c r="AN50" s="148">
        <f>IF(CHOOSE(uxb_works!$B$46,"-",Data_2014_N!AN50,Data_2017!AM50)="","",CHOOSE(uxb_works!$B$46,"-",Data_2014_N!AN50,Data_2017!AM50))</f>
        <v>1</v>
      </c>
      <c r="AO50" s="148">
        <f>IF(CHOOSE(uxb_works!$B$46,"-",Data_2014_N!AO50,Data_2017!AN50)="","",CHOOSE(uxb_works!$B$46,"-",Data_2014_N!AO50,Data_2017!AN50))</f>
        <v>1</v>
      </c>
      <c r="AP50" s="148">
        <f>IF(CHOOSE(uxb_works!$B$46,"-",Data_2014_N!AP50,Data_2017!AO50)="","",CHOOSE(uxb_works!$B$46,"-",Data_2014_N!AP50,Data_2017!AO50))</f>
        <v>1</v>
      </c>
      <c r="AQ50" s="148">
        <f>IF(CHOOSE(uxb_works!$B$46,"-",Data_2014_N!AQ50,Data_2017!AP50)="","",CHOOSE(uxb_works!$B$46,"-",Data_2014_N!AQ50,Data_2017!AP50))</f>
        <v>1</v>
      </c>
      <c r="AR50" s="148">
        <f>IF(CHOOSE(uxb_works!$B$46,"-",Data_2014_N!AR50,Data_2017!AQ50)="","",CHOOSE(uxb_works!$B$46,"-",Data_2014_N!AR50,Data_2017!AQ50))</f>
        <v>1</v>
      </c>
      <c r="AS50" s="148">
        <f>IF(CHOOSE(uxb_works!$B$46,"-",Data_2014_N!AS50,Data_2017!AR50)="","",CHOOSE(uxb_works!$B$46,"-",Data_2014_N!AS50,Data_2017!AR50))</f>
        <v>1</v>
      </c>
      <c r="AT50" s="148">
        <f>IF(CHOOSE(uxb_works!$B$46,"-",Data_2014_N!AT50,Data_2017!AS50)="","",CHOOSE(uxb_works!$B$46,"-",Data_2014_N!AT50,Data_2017!AS50))</f>
        <v>1</v>
      </c>
      <c r="AU50" s="148">
        <f>IF(CHOOSE(uxb_works!$B$46,"-",Data_2014_N!AU50,Data_2017!AT50)="","",CHOOSE(uxb_works!$B$46,"-",Data_2014_N!AU50,Data_2017!AT50))</f>
        <v>1</v>
      </c>
      <c r="AV50" s="148">
        <f>IF(CHOOSE(uxb_works!$B$46,"-",Data_2014_N!AV50,Data_2017!AU50)="","",CHOOSE(uxb_works!$B$46,"-",Data_2014_N!AV50,Data_2017!AU50))</f>
        <v>1</v>
      </c>
      <c r="AW50" s="148">
        <f>IF(CHOOSE(uxb_works!$B$46,"-",Data_2014_N!AW50,Data_2017!AV50)="","",CHOOSE(uxb_works!$B$46,"-",Data_2014_N!AW50,Data_2017!AV50))</f>
        <v>1</v>
      </c>
      <c r="AX50" s="148">
        <f>IF(CHOOSE(uxb_works!$B$46,"-",Data_2014_N!AX50,Data_2017!AW50)="","",CHOOSE(uxb_works!$B$46,"-",Data_2014_N!AX50,Data_2017!AW50))</f>
        <v>1</v>
      </c>
      <c r="AY50" s="148">
        <f>IF(CHOOSE(uxb_works!$B$46,"-",Data_2014_N!AY50,Data_2017!AX50)="","",CHOOSE(uxb_works!$B$46,"-",Data_2014_N!AY50,Data_2017!AX50))</f>
        <v>0</v>
      </c>
      <c r="AZ50" s="148">
        <f>IF(CHOOSE(uxb_works!$B$46,"-",Data_2014_N!AZ50,Data_2017!AY50)="","",CHOOSE(uxb_works!$B$46,"-",Data_2014_N!AZ50,Data_2017!AY50))</f>
        <v>1</v>
      </c>
      <c r="BA50" s="148">
        <f>IF(CHOOSE(uxb_works!$B$46,"-",Data_2014_N!BA50,Data_2017!AZ50)="","",CHOOSE(uxb_works!$B$46,"-",Data_2014_N!BA50,Data_2017!AZ50))</f>
        <v>0</v>
      </c>
      <c r="BB50" s="148">
        <f>IF(CHOOSE(uxb_works!$B$46,"-",Data_2014_N!BB50,Data_2017!BA50)="","",CHOOSE(uxb_works!$B$46,"-",Data_2014_N!BB50,Data_2017!BA50))</f>
        <v>1</v>
      </c>
      <c r="BC50" s="148">
        <f>IF(CHOOSE(uxb_works!$B$46,"-",Data_2014_N!BC50,Data_2017!BB50)="","",CHOOSE(uxb_works!$B$46,"-",Data_2014_N!BC50,Data_2017!BB50))</f>
        <v>1</v>
      </c>
      <c r="BD50" s="148">
        <f>IF(CHOOSE(uxb_works!$B$46,"-",Data_2014_N!BD50,Data_2017!BC50)="","",CHOOSE(uxb_works!$B$46,"-",Data_2014_N!BD50,Data_2017!BC50))</f>
        <v>1</v>
      </c>
      <c r="BE50" s="148">
        <f>IF(CHOOSE(uxb_works!$B$46,"-",Data_2014_N!BE50,Data_2017!BD50)="","",CHOOSE(uxb_works!$B$46,"-",Data_2014_N!BE50,Data_2017!BD50))</f>
        <v>1</v>
      </c>
      <c r="BF50" s="148">
        <f>IF(CHOOSE(uxb_works!$B$46,"-",Data_2014_N!BF50,Data_2017!BE50)="","",CHOOSE(uxb_works!$B$46,"-",Data_2014_N!BF50,Data_2017!BE50))</f>
        <v>1</v>
      </c>
      <c r="BG50" s="148">
        <f>IF(CHOOSE(uxb_works!$B$46,"-",Data_2014_N!BG50,Data_2017!BF50)="","",CHOOSE(uxb_works!$B$46,"-",Data_2014_N!BG50,Data_2017!BF50))</f>
        <v>1</v>
      </c>
      <c r="BH50" s="148">
        <f>IF(CHOOSE(uxb_works!$B$46,"-",Data_2014_N!BH50,Data_2017!BG50)="","",CHOOSE(uxb_works!$B$46,"-",Data_2014_N!BH50,Data_2017!BG50))</f>
        <v>1</v>
      </c>
      <c r="BI50" s="148">
        <f>IF(CHOOSE(uxb_works!$B$46,"-",Data_2014_N!BI50,Data_2017!BH50)="","",CHOOSE(uxb_works!$B$46,"-",Data_2014_N!BI50,Data_2017!BH50))</f>
        <v>1</v>
      </c>
      <c r="BJ50" s="148">
        <f>IF(CHOOSE(uxb_works!$B$46,"-",Data_2014_N!BJ50,Data_2017!BI50)="","",CHOOSE(uxb_works!$B$46,"-",Data_2014_N!BJ50,Data_2017!BI50))</f>
        <v>1</v>
      </c>
      <c r="BK50" s="148">
        <f>IF(CHOOSE(uxb_works!$B$46,"-",Data_2014_N!BK50,Data_2017!BJ50)="","",CHOOSE(uxb_works!$B$46,"-",Data_2014_N!BK50,Data_2017!BJ50))</f>
        <v>1</v>
      </c>
      <c r="BL50" s="148">
        <f>IF(CHOOSE(uxb_works!$B$46,"-",Data_2014_N!BL50,Data_2017!BK50)="","",CHOOSE(uxb_works!$B$46,"-",Data_2014_N!BL50,Data_2017!BK50))</f>
        <v>1</v>
      </c>
      <c r="BM50" s="148">
        <f>IF(CHOOSE(uxb_works!$B$46,"-",Data_2014_N!BM50,Data_2017!BL50)="","",CHOOSE(uxb_works!$B$46,"-",Data_2014_N!BM50,Data_2017!BL50))</f>
        <v>1</v>
      </c>
      <c r="BN50" s="148">
        <f>IF(CHOOSE(uxb_works!$B$46,"-",Data_2014_N!BN50,Data_2017!BM50)="","",CHOOSE(uxb_works!$B$46,"-",Data_2014_N!BN50,Data_2017!BM50))</f>
        <v>1</v>
      </c>
      <c r="BO50" s="148">
        <f>IF(CHOOSE(uxb_works!$B$46,"-",Data_2014_N!BO50,Data_2017!BN50)="","",CHOOSE(uxb_works!$B$46,"-",Data_2014_N!BO50,Data_2017!BN50))</f>
        <v>1</v>
      </c>
      <c r="BP50" s="148">
        <f>IF(CHOOSE(uxb_works!$B$46,"-",Data_2014_N!BP50,Data_2017!BO50)="","",CHOOSE(uxb_works!$B$46,"-",Data_2014_N!BP50,Data_2017!BO50))</f>
        <v>1</v>
      </c>
      <c r="BQ50" s="148">
        <f>IF(CHOOSE(uxb_works!$B$46,"-",Data_2014_N!BQ50,Data_2017!BP50)="","",CHOOSE(uxb_works!$B$46,"-",Data_2014_N!BQ50,Data_2017!BP50))</f>
        <v>0</v>
      </c>
      <c r="BR50" s="325">
        <f>IF(CHOOSE(uxb_works!$B$46,"-",Data_2014_N!BR50,Data_2017!BR50)="","",CHOOSE(uxb_works!$B$46,"-",Data_2014_N!BR50,Data_2017!BR50))</f>
        <v>1</v>
      </c>
      <c r="CC50" s="112">
        <v>1</v>
      </c>
      <c r="CD50" s="112">
        <v>1</v>
      </c>
      <c r="CE50" s="112">
        <v>1</v>
      </c>
      <c r="CF50" s="112">
        <v>1</v>
      </c>
      <c r="CG50" s="112">
        <v>1</v>
      </c>
    </row>
    <row r="51" s="112" customFormat="1" ht="22.5" customHeight="1" spans="1:85">
      <c r="A51"/>
      <c r="B51" s="133">
        <f>tblIndicators!A47</f>
        <v>46</v>
      </c>
      <c r="C51" s="133">
        <f>tblIndicators!B47</f>
        <v>0</v>
      </c>
      <c r="D51" s="310">
        <f>CHOOSE(uxb_works!$B$46,#REF!,Data_2014_N!D51,Data_2017!D51)</f>
        <v>3</v>
      </c>
      <c r="E51" s="133" t="str">
        <f>tblIndicators!E47</f>
        <v>PESE4.1</v>
      </c>
      <c r="F51" s="133" t="str">
        <f>tblIndicators!H47</f>
        <v>Use of data-driven techniques for crime</v>
      </c>
      <c r="G51" s="133">
        <f>tblIndicators!Z47</f>
        <v>2</v>
      </c>
      <c r="H51" s="105" t="str">
        <f>REPT(" ",D51)&amp;CHOOSE(uxb_works!$B$46,#REF!,Data_2014_N!H51,Data_2017!H51)</f>
        <v>      4.1.4) Use of data-driven techniques for crime</v>
      </c>
      <c r="I51" s="319" t="str">
        <f>IF(CHOOSE(uxb_works!$B$46,#REF!,Data_2014_N!I51,Data_2017!I51)="","",CHOOSE(uxb_works!$B$46,#REF!,Data_2014_N!I51,Data_2017!I51))</f>
        <v>Scale 0 - 1, 1 = yes, 0 = none</v>
      </c>
      <c r="J51" s="148">
        <f>IF(CHOOSE(uxb_works!$B$46,"-",Data_2014_N!J51,Data_2017!J51)="","",CHOOSE(uxb_works!$B$46,"-",Data_2014_N!J51,Data_2017!J51))</f>
        <v>0</v>
      </c>
      <c r="K51" s="148">
        <f>IF(CHOOSE(uxb_works!$B$46,"-",Data_2014_N!K51,Data_2017!K51)="","",CHOOSE(uxb_works!$B$46,"-",Data_2014_N!K51,Data_2017!K51))</f>
        <v>1</v>
      </c>
      <c r="L51" s="148">
        <f>IF(CHOOSE(uxb_works!$B$46,"-",Data_2014_N!L51,Data_2017!L51)="","",CHOOSE(uxb_works!$B$46,"-",Data_2014_N!L51,Data_2017!L51))</f>
        <v>1</v>
      </c>
      <c r="M51" s="148">
        <f>IF(CHOOSE(uxb_works!$B$46,"-",Data_2014_N!M51,Data_2017!M51)="","",CHOOSE(uxb_works!$B$46,"-",Data_2014_N!M51,Data_2017!M51))</f>
        <v>1</v>
      </c>
      <c r="N51" s="148">
        <f>IF(CHOOSE(uxb_works!$B$46,"-",Data_2014_N!N51,Data_2017!N51)="","",CHOOSE(uxb_works!$B$46,"-",Data_2014_N!N51,Data_2017!N51))</f>
        <v>1</v>
      </c>
      <c r="O51" s="148">
        <f>IF(CHOOSE(uxb_works!$B$46,"-",Data_2014_N!O51,Data_2017!O51)="","",CHOOSE(uxb_works!$B$46,"-",Data_2014_N!O51,Data_2017!O51))</f>
        <v>1</v>
      </c>
      <c r="P51" s="148">
        <f>IF(CHOOSE(uxb_works!$B$46,"-",Data_2014_N!P51,Data_2017!P51)="","",CHOOSE(uxb_works!$B$46,"-",Data_2014_N!P51,Data_2017!P51))</f>
        <v>1</v>
      </c>
      <c r="Q51" s="148">
        <f>IF(CHOOSE(uxb_works!$B$46,"-",Data_2014_N!Q51,Data_2017!Q51)="","",CHOOSE(uxb_works!$B$46,"-",Data_2014_N!Q51,Data_2017!Q51))</f>
        <v>1</v>
      </c>
      <c r="R51" s="148">
        <f>IF(CHOOSE(uxb_works!$B$46,"-",Data_2014_N!R51,Data_2017!R51)="","",CHOOSE(uxb_works!$B$46,"-",Data_2014_N!R51,Data_2017!R51))</f>
        <v>1</v>
      </c>
      <c r="S51" s="148">
        <f>IF(CHOOSE(uxb_works!$B$46,"-",Data_2014_N!S51,Data_2017!S51)="","",CHOOSE(uxb_works!$B$46,"-",Data_2014_N!S51,Data_2017!S51))</f>
        <v>1</v>
      </c>
      <c r="T51" s="148">
        <f>IF(CHOOSE(uxb_works!$B$46,"-",Data_2014_N!T51,Data_2017!T51)="","",CHOOSE(uxb_works!$B$46,"-",Data_2014_N!T51,Data_2017!T51))</f>
        <v>0</v>
      </c>
      <c r="U51" s="148">
        <f>IF(CHOOSE(uxb_works!$B$46,"-",Data_2014_N!U51,Data_2017!U51)="","",CHOOSE(uxb_works!$B$46,"-",Data_2014_N!U51,Data_2017!U51))</f>
        <v>0</v>
      </c>
      <c r="V51" s="148">
        <f>IF(CHOOSE(uxb_works!$B$46,"-",Data_2014_N!V51,Data_2017!V51)="","",CHOOSE(uxb_works!$B$46,"-",Data_2014_N!V51,Data_2017!V51))</f>
        <v>1</v>
      </c>
      <c r="W51" s="148">
        <f>IF(CHOOSE(uxb_works!$B$46,"-",Data_2014_N!W51,Data_2017!W51)="","",CHOOSE(uxb_works!$B$46,"-",Data_2014_N!W51,Data_2017!W51))</f>
        <v>1</v>
      </c>
      <c r="X51" s="148">
        <f>IF(CHOOSE(uxb_works!$B$46,"-",Data_2014_N!X51,Data_2017!X51)="","",CHOOSE(uxb_works!$B$46,"-",Data_2014_N!X51,Data_2017!X51))</f>
        <v>1</v>
      </c>
      <c r="Y51" s="148">
        <f>IF(CHOOSE(uxb_works!$B$46,"-",Data_2014_N!Y51,Data_2017!Y51)="","",CHOOSE(uxb_works!$B$46,"-",Data_2014_N!Y51,Data_2017!Y51))</f>
        <v>1</v>
      </c>
      <c r="Z51" s="148">
        <f>IF(CHOOSE(uxb_works!$B$46,"-",Data_2014_N!Z51,Data_2017!Z51)="","",CHOOSE(uxb_works!$B$46,"-",Data_2014_N!Z51,Data_2017!Z51))</f>
        <v>1</v>
      </c>
      <c r="AA51" s="148">
        <f>IF(CHOOSE(uxb_works!$B$46,"-",Data_2014_N!AA51,Data_2017!AA51)="","",CHOOSE(uxb_works!$B$46,"-",Data_2014_N!AA51,Data_2017!AA51))</f>
        <v>1</v>
      </c>
      <c r="AB51" s="148">
        <f>IF(CHOOSE(uxb_works!$B$46,"-",Data_2014_N!AB51,Data_2017!AB51)="","",CHOOSE(uxb_works!$B$46,"-",Data_2014_N!AB51,Data_2017!AB51))</f>
        <v>0</v>
      </c>
      <c r="AC51" s="148">
        <f>IF(CHOOSE(uxb_works!$B$46,"-",Data_2014_N!AC51,Data_2017!AC51)="","",CHOOSE(uxb_works!$B$46,"-",Data_2014_N!AC51,Data_2017!AC51))</f>
        <v>1</v>
      </c>
      <c r="AD51" s="148">
        <f>IF(CHOOSE(uxb_works!$B$46,"-",Data_2014_N!AD51,Data_2017!AD51)="","",CHOOSE(uxb_works!$B$46,"-",Data_2014_N!AD51,Data_2017!AD51))</f>
        <v>1</v>
      </c>
      <c r="AE51" s="148">
        <f>IF(CHOOSE(uxb_works!$B$46,"-",Data_2014_N!AE51,Data_2017!AE51)="","",CHOOSE(uxb_works!$B$46,"-",Data_2014_N!AE51,Data_2017!AE51))</f>
        <v>0</v>
      </c>
      <c r="AF51" s="148">
        <f>IF(CHOOSE(uxb_works!$B$46,"-",Data_2014_N!AF51,Data_2017!AF51)="","",CHOOSE(uxb_works!$B$46,"-",Data_2014_N!AF51,Data_2017!AF51))</f>
        <v>1</v>
      </c>
      <c r="AG51" s="148">
        <f>IF(CHOOSE(uxb_works!$B$46,"-",Data_2014_N!AG51,Data_2017!AG51)="","",CHOOSE(uxb_works!$B$46,"-",Data_2014_N!AG51,Data_2017!AG51))</f>
        <v>0</v>
      </c>
      <c r="AH51" s="148">
        <f>IF(CHOOSE(uxb_works!$B$46,"-",Data_2014_N!AH51,Data_2017!AH51)="","",CHOOSE(uxb_works!$B$46,"-",Data_2014_N!AH51,Data_2017!AH51))</f>
        <v>0</v>
      </c>
      <c r="AI51" s="148">
        <f>IF(CHOOSE(uxb_works!$B$46,"-",Data_2014_N!AI51,Data_2017!AI51)="","",CHOOSE(uxb_works!$B$46,"-",Data_2014_N!AI51,Data_2017!AI51))</f>
        <v>1</v>
      </c>
      <c r="AJ51" s="148">
        <f>IF(CHOOSE(uxb_works!$B$46,"-",Data_2014_N!AJ51,Data_2017!AJ51)="","",CHOOSE(uxb_works!$B$46,"-",Data_2014_N!AJ51,Data_2017!AJ51))</f>
        <v>0</v>
      </c>
      <c r="AK51" s="148" t="e">
        <f>IF(CHOOSE(uxb_works!$B$46,"-",Data_2014_N!AK51,Data_2017!#REF!)="","",CHOOSE(uxb_works!$B$46,"-",Data_2014_N!AK51,Data_2017!#REF!))</f>
        <v>#REF!</v>
      </c>
      <c r="AL51" s="148">
        <f>IF(CHOOSE(uxb_works!$B$46,"-",Data_2014_N!AL51,Data_2017!AK51)="","",CHOOSE(uxb_works!$B$46,"-",Data_2014_N!AL51,Data_2017!AK51))</f>
        <v>0</v>
      </c>
      <c r="AM51" s="148">
        <f>IF(CHOOSE(uxb_works!$B$46,"-",Data_2014_N!AM51,Data_2017!AL51)="","",CHOOSE(uxb_works!$B$46,"-",Data_2014_N!AM51,Data_2017!AL51))</f>
        <v>1</v>
      </c>
      <c r="AN51" s="148">
        <f>IF(CHOOSE(uxb_works!$B$46,"-",Data_2014_N!AN51,Data_2017!AM51)="","",CHOOSE(uxb_works!$B$46,"-",Data_2014_N!AN51,Data_2017!AM51))</f>
        <v>1</v>
      </c>
      <c r="AO51" s="148">
        <f>IF(CHOOSE(uxb_works!$B$46,"-",Data_2014_N!AO51,Data_2017!AN51)="","",CHOOSE(uxb_works!$B$46,"-",Data_2014_N!AO51,Data_2017!AN51))</f>
        <v>1</v>
      </c>
      <c r="AP51" s="148">
        <f>IF(CHOOSE(uxb_works!$B$46,"-",Data_2014_N!AP51,Data_2017!AO51)="","",CHOOSE(uxb_works!$B$46,"-",Data_2014_N!AP51,Data_2017!AO51))</f>
        <v>1</v>
      </c>
      <c r="AQ51" s="148">
        <f>IF(CHOOSE(uxb_works!$B$46,"-",Data_2014_N!AQ51,Data_2017!AP51)="","",CHOOSE(uxb_works!$B$46,"-",Data_2014_N!AQ51,Data_2017!AP51))</f>
        <v>1</v>
      </c>
      <c r="AR51" s="148">
        <f>IF(CHOOSE(uxb_works!$B$46,"-",Data_2014_N!AR51,Data_2017!AQ51)="","",CHOOSE(uxb_works!$B$46,"-",Data_2014_N!AR51,Data_2017!AQ51))</f>
        <v>1</v>
      </c>
      <c r="AS51" s="148">
        <f>IF(CHOOSE(uxb_works!$B$46,"-",Data_2014_N!AS51,Data_2017!AR51)="","",CHOOSE(uxb_works!$B$46,"-",Data_2014_N!AS51,Data_2017!AR51))</f>
        <v>1</v>
      </c>
      <c r="AT51" s="148">
        <f>IF(CHOOSE(uxb_works!$B$46,"-",Data_2014_N!AT51,Data_2017!AS51)="","",CHOOSE(uxb_works!$B$46,"-",Data_2014_N!AT51,Data_2017!AS51))</f>
        <v>0</v>
      </c>
      <c r="AU51" s="148">
        <f>IF(CHOOSE(uxb_works!$B$46,"-",Data_2014_N!AU51,Data_2017!AT51)="","",CHOOSE(uxb_works!$B$46,"-",Data_2014_N!AU51,Data_2017!AT51))</f>
        <v>1</v>
      </c>
      <c r="AV51" s="148">
        <f>IF(CHOOSE(uxb_works!$B$46,"-",Data_2014_N!AV51,Data_2017!AU51)="","",CHOOSE(uxb_works!$B$46,"-",Data_2014_N!AV51,Data_2017!AU51))</f>
        <v>1</v>
      </c>
      <c r="AW51" s="148">
        <f>IF(CHOOSE(uxb_works!$B$46,"-",Data_2014_N!AW51,Data_2017!AV51)="","",CHOOSE(uxb_works!$B$46,"-",Data_2014_N!AW51,Data_2017!AV51))</f>
        <v>1</v>
      </c>
      <c r="AX51" s="148">
        <f>IF(CHOOSE(uxb_works!$B$46,"-",Data_2014_N!AX51,Data_2017!AW51)="","",CHOOSE(uxb_works!$B$46,"-",Data_2014_N!AX51,Data_2017!AW51))</f>
        <v>1</v>
      </c>
      <c r="AY51" s="148">
        <f>IF(CHOOSE(uxb_works!$B$46,"-",Data_2014_N!AY51,Data_2017!AX51)="","",CHOOSE(uxb_works!$B$46,"-",Data_2014_N!AY51,Data_2017!AX51))</f>
        <v>1</v>
      </c>
      <c r="AZ51" s="148">
        <f>IF(CHOOSE(uxb_works!$B$46,"-",Data_2014_N!AZ51,Data_2017!AY51)="","",CHOOSE(uxb_works!$B$46,"-",Data_2014_N!AZ51,Data_2017!AY51))</f>
        <v>1</v>
      </c>
      <c r="BA51" s="148">
        <f>IF(CHOOSE(uxb_works!$B$46,"-",Data_2014_N!BA51,Data_2017!AZ51)="","",CHOOSE(uxb_works!$B$46,"-",Data_2014_N!BA51,Data_2017!AZ51))</f>
        <v>1</v>
      </c>
      <c r="BB51" s="148">
        <f>IF(CHOOSE(uxb_works!$B$46,"-",Data_2014_N!BB51,Data_2017!BA51)="","",CHOOSE(uxb_works!$B$46,"-",Data_2014_N!BB51,Data_2017!BA51))</f>
        <v>1</v>
      </c>
      <c r="BC51" s="148">
        <f>IF(CHOOSE(uxb_works!$B$46,"-",Data_2014_N!BC51,Data_2017!BB51)="","",CHOOSE(uxb_works!$B$46,"-",Data_2014_N!BC51,Data_2017!BB51))</f>
        <v>1</v>
      </c>
      <c r="BD51" s="148">
        <f>IF(CHOOSE(uxb_works!$B$46,"-",Data_2014_N!BD51,Data_2017!BC51)="","",CHOOSE(uxb_works!$B$46,"-",Data_2014_N!BD51,Data_2017!BC51))</f>
        <v>1</v>
      </c>
      <c r="BE51" s="148">
        <f>IF(CHOOSE(uxb_works!$B$46,"-",Data_2014_N!BE51,Data_2017!BD51)="","",CHOOSE(uxb_works!$B$46,"-",Data_2014_N!BE51,Data_2017!BD51))</f>
        <v>1</v>
      </c>
      <c r="BF51" s="148">
        <f>IF(CHOOSE(uxb_works!$B$46,"-",Data_2014_N!BF51,Data_2017!BE51)="","",CHOOSE(uxb_works!$B$46,"-",Data_2014_N!BF51,Data_2017!BE51))</f>
        <v>1</v>
      </c>
      <c r="BG51" s="148">
        <f>IF(CHOOSE(uxb_works!$B$46,"-",Data_2014_N!BG51,Data_2017!BF51)="","",CHOOSE(uxb_works!$B$46,"-",Data_2014_N!BG51,Data_2017!BF51))</f>
        <v>1</v>
      </c>
      <c r="BH51" s="148">
        <f>IF(CHOOSE(uxb_works!$B$46,"-",Data_2014_N!BH51,Data_2017!BG51)="","",CHOOSE(uxb_works!$B$46,"-",Data_2014_N!BH51,Data_2017!BG51))</f>
        <v>1</v>
      </c>
      <c r="BI51" s="148">
        <f>IF(CHOOSE(uxb_works!$B$46,"-",Data_2014_N!BI51,Data_2017!BH51)="","",CHOOSE(uxb_works!$B$46,"-",Data_2014_N!BI51,Data_2017!BH51))</f>
        <v>1</v>
      </c>
      <c r="BJ51" s="148">
        <f>IF(CHOOSE(uxb_works!$B$46,"-",Data_2014_N!BJ51,Data_2017!BI51)="","",CHOOSE(uxb_works!$B$46,"-",Data_2014_N!BJ51,Data_2017!BI51))</f>
        <v>1</v>
      </c>
      <c r="BK51" s="148">
        <f>IF(CHOOSE(uxb_works!$B$46,"-",Data_2014_N!BK51,Data_2017!BJ51)="","",CHOOSE(uxb_works!$B$46,"-",Data_2014_N!BK51,Data_2017!BJ51))</f>
        <v>1</v>
      </c>
      <c r="BL51" s="148">
        <f>IF(CHOOSE(uxb_works!$B$46,"-",Data_2014_N!BL51,Data_2017!BK51)="","",CHOOSE(uxb_works!$B$46,"-",Data_2014_N!BL51,Data_2017!BK51))</f>
        <v>0</v>
      </c>
      <c r="BM51" s="148">
        <f>IF(CHOOSE(uxb_works!$B$46,"-",Data_2014_N!BM51,Data_2017!BL51)="","",CHOOSE(uxb_works!$B$46,"-",Data_2014_N!BM51,Data_2017!BL51))</f>
        <v>1</v>
      </c>
      <c r="BN51" s="148">
        <f>IF(CHOOSE(uxb_works!$B$46,"-",Data_2014_N!BN51,Data_2017!BM51)="","",CHOOSE(uxb_works!$B$46,"-",Data_2014_N!BN51,Data_2017!BM51))</f>
        <v>1</v>
      </c>
      <c r="BO51" s="148">
        <f>IF(CHOOSE(uxb_works!$B$46,"-",Data_2014_N!BO51,Data_2017!BN51)="","",CHOOSE(uxb_works!$B$46,"-",Data_2014_N!BO51,Data_2017!BN51))</f>
        <v>1</v>
      </c>
      <c r="BP51" s="148">
        <f>IF(CHOOSE(uxb_works!$B$46,"-",Data_2014_N!BP51,Data_2017!BO51)="","",CHOOSE(uxb_works!$B$46,"-",Data_2014_N!BP51,Data_2017!BO51))</f>
        <v>1</v>
      </c>
      <c r="BQ51" s="148">
        <f>IF(CHOOSE(uxb_works!$B$46,"-",Data_2014_N!BQ51,Data_2017!BP51)="","",CHOOSE(uxb_works!$B$46,"-",Data_2014_N!BQ51,Data_2017!BP51))</f>
        <v>0</v>
      </c>
      <c r="BR51" s="325">
        <f>IF(CHOOSE(uxb_works!$B$46,"-",Data_2014_N!BR51,Data_2017!BR51)="","",CHOOSE(uxb_works!$B$46,"-",Data_2014_N!BR51,Data_2017!BR51))</f>
        <v>1</v>
      </c>
      <c r="CC51" s="112">
        <v>1</v>
      </c>
      <c r="CD51" s="112">
        <v>1</v>
      </c>
      <c r="CE51" s="112">
        <v>1</v>
      </c>
      <c r="CF51" s="112">
        <v>1</v>
      </c>
      <c r="CG51" s="112">
        <v>1</v>
      </c>
    </row>
    <row r="52" s="112" customFormat="1" ht="22.5" customHeight="1" spans="1:85">
      <c r="A52"/>
      <c r="B52" s="133">
        <f>tblIndicators!A48</f>
        <v>47</v>
      </c>
      <c r="C52" s="133">
        <f>tblIndicators!B48</f>
        <v>0</v>
      </c>
      <c r="D52" s="310">
        <f>CHOOSE(uxb_works!$B$46,#REF!,Data_2014_N!D52,Data_2017!D52)</f>
        <v>3</v>
      </c>
      <c r="E52" s="133" t="str">
        <f>tblIndicators!E48</f>
        <v>PESE4.1</v>
      </c>
      <c r="F52" s="133" t="str">
        <f>tblIndicators!H48</f>
        <v>Private security measures</v>
      </c>
      <c r="G52" s="133">
        <f>tblIndicators!Z48</f>
        <v>2</v>
      </c>
      <c r="H52" s="105" t="str">
        <f>REPT(" ",D52)&amp;CHOOSE(uxb_works!$B$46,#REF!,Data_2014_N!H52,Data_2017!H52)</f>
        <v>      4.1.5) Private security measures</v>
      </c>
      <c r="I52" s="319" t="str">
        <f>IF(CHOOSE(uxb_works!$B$46,#REF!,Data_2014_N!I52,Data_2017!I52)="","",CHOOSE(uxb_works!$B$46,#REF!,Data_2014_N!I52,Data_2017!I52))</f>
        <v>Scale 0 - 1, 1 = yes, 0 = none</v>
      </c>
      <c r="J52" s="148">
        <f>IF(CHOOSE(uxb_works!$B$46,"-",Data_2014_N!J52,Data_2017!J52)="","",CHOOSE(uxb_works!$B$46,"-",Data_2014_N!J52,Data_2017!J52))</f>
        <v>1</v>
      </c>
      <c r="K52" s="148">
        <f>IF(CHOOSE(uxb_works!$B$46,"-",Data_2014_N!K52,Data_2017!K52)="","",CHOOSE(uxb_works!$B$46,"-",Data_2014_N!K52,Data_2017!K52))</f>
        <v>1</v>
      </c>
      <c r="L52" s="148">
        <f>IF(CHOOSE(uxb_works!$B$46,"-",Data_2014_N!L52,Data_2017!L52)="","",CHOOSE(uxb_works!$B$46,"-",Data_2014_N!L52,Data_2017!L52))</f>
        <v>1</v>
      </c>
      <c r="M52" s="148">
        <f>IF(CHOOSE(uxb_works!$B$46,"-",Data_2014_N!M52,Data_2017!M52)="","",CHOOSE(uxb_works!$B$46,"-",Data_2014_N!M52,Data_2017!M52))</f>
        <v>1</v>
      </c>
      <c r="N52" s="148">
        <f>IF(CHOOSE(uxb_works!$B$46,"-",Data_2014_N!N52,Data_2017!N52)="","",CHOOSE(uxb_works!$B$46,"-",Data_2014_N!N52,Data_2017!N52))</f>
        <v>1</v>
      </c>
      <c r="O52" s="148">
        <f>IF(CHOOSE(uxb_works!$B$46,"-",Data_2014_N!O52,Data_2017!O52)="","",CHOOSE(uxb_works!$B$46,"-",Data_2014_N!O52,Data_2017!O52))</f>
        <v>1</v>
      </c>
      <c r="P52" s="148">
        <f>IF(CHOOSE(uxb_works!$B$46,"-",Data_2014_N!P52,Data_2017!P52)="","",CHOOSE(uxb_works!$B$46,"-",Data_2014_N!P52,Data_2017!P52))</f>
        <v>1</v>
      </c>
      <c r="Q52" s="148">
        <f>IF(CHOOSE(uxb_works!$B$46,"-",Data_2014_N!Q52,Data_2017!Q52)="","",CHOOSE(uxb_works!$B$46,"-",Data_2014_N!Q52,Data_2017!Q52))</f>
        <v>1</v>
      </c>
      <c r="R52" s="148">
        <f>IF(CHOOSE(uxb_works!$B$46,"-",Data_2014_N!R52,Data_2017!R52)="","",CHOOSE(uxb_works!$B$46,"-",Data_2014_N!R52,Data_2017!R52))</f>
        <v>1</v>
      </c>
      <c r="S52" s="148">
        <f>IF(CHOOSE(uxb_works!$B$46,"-",Data_2014_N!S52,Data_2017!S52)="","",CHOOSE(uxb_works!$B$46,"-",Data_2014_N!S52,Data_2017!S52))</f>
        <v>1</v>
      </c>
      <c r="T52" s="148">
        <f>IF(CHOOSE(uxb_works!$B$46,"-",Data_2014_N!T52,Data_2017!T52)="","",CHOOSE(uxb_works!$B$46,"-",Data_2014_N!T52,Data_2017!T52))</f>
        <v>1</v>
      </c>
      <c r="U52" s="148">
        <f>IF(CHOOSE(uxb_works!$B$46,"-",Data_2014_N!U52,Data_2017!U52)="","",CHOOSE(uxb_works!$B$46,"-",Data_2014_N!U52,Data_2017!U52))</f>
        <v>1</v>
      </c>
      <c r="V52" s="148">
        <f>IF(CHOOSE(uxb_works!$B$46,"-",Data_2014_N!V52,Data_2017!V52)="","",CHOOSE(uxb_works!$B$46,"-",Data_2014_N!V52,Data_2017!V52))</f>
        <v>1</v>
      </c>
      <c r="W52" s="148">
        <f>IF(CHOOSE(uxb_works!$B$46,"-",Data_2014_N!W52,Data_2017!W52)="","",CHOOSE(uxb_works!$B$46,"-",Data_2014_N!W52,Data_2017!W52))</f>
        <v>1</v>
      </c>
      <c r="X52" s="148">
        <f>IF(CHOOSE(uxb_works!$B$46,"-",Data_2014_N!X52,Data_2017!X52)="","",CHOOSE(uxb_works!$B$46,"-",Data_2014_N!X52,Data_2017!X52))</f>
        <v>1</v>
      </c>
      <c r="Y52" s="148">
        <f>IF(CHOOSE(uxb_works!$B$46,"-",Data_2014_N!Y52,Data_2017!Y52)="","",CHOOSE(uxb_works!$B$46,"-",Data_2014_N!Y52,Data_2017!Y52))</f>
        <v>1</v>
      </c>
      <c r="Z52" s="148">
        <f>IF(CHOOSE(uxb_works!$B$46,"-",Data_2014_N!Z52,Data_2017!Z52)="","",CHOOSE(uxb_works!$B$46,"-",Data_2014_N!Z52,Data_2017!Z52))</f>
        <v>1</v>
      </c>
      <c r="AA52" s="148">
        <f>IF(CHOOSE(uxb_works!$B$46,"-",Data_2014_N!AA52,Data_2017!AA52)="","",CHOOSE(uxb_works!$B$46,"-",Data_2014_N!AA52,Data_2017!AA52))</f>
        <v>1</v>
      </c>
      <c r="AB52" s="148">
        <f>IF(CHOOSE(uxb_works!$B$46,"-",Data_2014_N!AB52,Data_2017!AB52)="","",CHOOSE(uxb_works!$B$46,"-",Data_2014_N!AB52,Data_2017!AB52))</f>
        <v>1</v>
      </c>
      <c r="AC52" s="148">
        <f>IF(CHOOSE(uxb_works!$B$46,"-",Data_2014_N!AC52,Data_2017!AC52)="","",CHOOSE(uxb_works!$B$46,"-",Data_2014_N!AC52,Data_2017!AC52))</f>
        <v>1</v>
      </c>
      <c r="AD52" s="148">
        <f>IF(CHOOSE(uxb_works!$B$46,"-",Data_2014_N!AD52,Data_2017!AD52)="","",CHOOSE(uxb_works!$B$46,"-",Data_2014_N!AD52,Data_2017!AD52))</f>
        <v>1</v>
      </c>
      <c r="AE52" s="148">
        <f>IF(CHOOSE(uxb_works!$B$46,"-",Data_2014_N!AE52,Data_2017!AE52)="","",CHOOSE(uxb_works!$B$46,"-",Data_2014_N!AE52,Data_2017!AE52))</f>
        <v>0</v>
      </c>
      <c r="AF52" s="148">
        <f>IF(CHOOSE(uxb_works!$B$46,"-",Data_2014_N!AF52,Data_2017!AF52)="","",CHOOSE(uxb_works!$B$46,"-",Data_2014_N!AF52,Data_2017!AF52))</f>
        <v>0</v>
      </c>
      <c r="AG52" s="148">
        <f>IF(CHOOSE(uxb_works!$B$46,"-",Data_2014_N!AG52,Data_2017!AG52)="","",CHOOSE(uxb_works!$B$46,"-",Data_2014_N!AG52,Data_2017!AG52))</f>
        <v>1</v>
      </c>
      <c r="AH52" s="148">
        <f>IF(CHOOSE(uxb_works!$B$46,"-",Data_2014_N!AH52,Data_2017!AH52)="","",CHOOSE(uxb_works!$B$46,"-",Data_2014_N!AH52,Data_2017!AH52))</f>
        <v>0</v>
      </c>
      <c r="AI52" s="148">
        <f>IF(CHOOSE(uxb_works!$B$46,"-",Data_2014_N!AI52,Data_2017!AI52)="","",CHOOSE(uxb_works!$B$46,"-",Data_2014_N!AI52,Data_2017!AI52))</f>
        <v>1</v>
      </c>
      <c r="AJ52" s="148">
        <f>IF(CHOOSE(uxb_works!$B$46,"-",Data_2014_N!AJ52,Data_2017!AJ52)="","",CHOOSE(uxb_works!$B$46,"-",Data_2014_N!AJ52,Data_2017!AJ52))</f>
        <v>1</v>
      </c>
      <c r="AK52" s="148" t="e">
        <f>IF(CHOOSE(uxb_works!$B$46,"-",Data_2014_N!AK52,Data_2017!#REF!)="","",CHOOSE(uxb_works!$B$46,"-",Data_2014_N!AK52,Data_2017!#REF!))</f>
        <v>#REF!</v>
      </c>
      <c r="AL52" s="148">
        <f>IF(CHOOSE(uxb_works!$B$46,"-",Data_2014_N!AL52,Data_2017!AK52)="","",CHOOSE(uxb_works!$B$46,"-",Data_2014_N!AL52,Data_2017!AK52))</f>
        <v>1</v>
      </c>
      <c r="AM52" s="148">
        <f>IF(CHOOSE(uxb_works!$B$46,"-",Data_2014_N!AM52,Data_2017!AL52)="","",CHOOSE(uxb_works!$B$46,"-",Data_2014_N!AM52,Data_2017!AL52))</f>
        <v>1</v>
      </c>
      <c r="AN52" s="148">
        <f>IF(CHOOSE(uxb_works!$B$46,"-",Data_2014_N!AN52,Data_2017!AM52)="","",CHOOSE(uxb_works!$B$46,"-",Data_2014_N!AN52,Data_2017!AM52))</f>
        <v>1</v>
      </c>
      <c r="AO52" s="148">
        <f>IF(CHOOSE(uxb_works!$B$46,"-",Data_2014_N!AO52,Data_2017!AN52)="","",CHOOSE(uxb_works!$B$46,"-",Data_2014_N!AO52,Data_2017!AN52))</f>
        <v>1</v>
      </c>
      <c r="AP52" s="148">
        <f>IF(CHOOSE(uxb_works!$B$46,"-",Data_2014_N!AP52,Data_2017!AO52)="","",CHOOSE(uxb_works!$B$46,"-",Data_2014_N!AP52,Data_2017!AO52))</f>
        <v>1</v>
      </c>
      <c r="AQ52" s="148">
        <f>IF(CHOOSE(uxb_works!$B$46,"-",Data_2014_N!AQ52,Data_2017!AP52)="","",CHOOSE(uxb_works!$B$46,"-",Data_2014_N!AQ52,Data_2017!AP52))</f>
        <v>1</v>
      </c>
      <c r="AR52" s="148">
        <f>IF(CHOOSE(uxb_works!$B$46,"-",Data_2014_N!AR52,Data_2017!AQ52)="","",CHOOSE(uxb_works!$B$46,"-",Data_2014_N!AR52,Data_2017!AQ52))</f>
        <v>1</v>
      </c>
      <c r="AS52" s="148">
        <f>IF(CHOOSE(uxb_works!$B$46,"-",Data_2014_N!AS52,Data_2017!AR52)="","",CHOOSE(uxb_works!$B$46,"-",Data_2014_N!AS52,Data_2017!AR52))</f>
        <v>1</v>
      </c>
      <c r="AT52" s="148">
        <f>IF(CHOOSE(uxb_works!$B$46,"-",Data_2014_N!AT52,Data_2017!AS52)="","",CHOOSE(uxb_works!$B$46,"-",Data_2014_N!AT52,Data_2017!AS52))</f>
        <v>1</v>
      </c>
      <c r="AU52" s="148">
        <f>IF(CHOOSE(uxb_works!$B$46,"-",Data_2014_N!AU52,Data_2017!AT52)="","",CHOOSE(uxb_works!$B$46,"-",Data_2014_N!AU52,Data_2017!AT52))</f>
        <v>1</v>
      </c>
      <c r="AV52" s="148">
        <f>IF(CHOOSE(uxb_works!$B$46,"-",Data_2014_N!AV52,Data_2017!AU52)="","",CHOOSE(uxb_works!$B$46,"-",Data_2014_N!AV52,Data_2017!AU52))</f>
        <v>1</v>
      </c>
      <c r="AW52" s="148">
        <f>IF(CHOOSE(uxb_works!$B$46,"-",Data_2014_N!AW52,Data_2017!AV52)="","",CHOOSE(uxb_works!$B$46,"-",Data_2014_N!AW52,Data_2017!AV52))</f>
        <v>1</v>
      </c>
      <c r="AX52" s="148">
        <f>IF(CHOOSE(uxb_works!$B$46,"-",Data_2014_N!AX52,Data_2017!AW52)="","",CHOOSE(uxb_works!$B$46,"-",Data_2014_N!AX52,Data_2017!AW52))</f>
        <v>1</v>
      </c>
      <c r="AY52" s="148">
        <f>IF(CHOOSE(uxb_works!$B$46,"-",Data_2014_N!AY52,Data_2017!AX52)="","",CHOOSE(uxb_works!$B$46,"-",Data_2014_N!AY52,Data_2017!AX52))</f>
        <v>1</v>
      </c>
      <c r="AZ52" s="148">
        <f>IF(CHOOSE(uxb_works!$B$46,"-",Data_2014_N!AZ52,Data_2017!AY52)="","",CHOOSE(uxb_works!$B$46,"-",Data_2014_N!AZ52,Data_2017!AY52))</f>
        <v>1</v>
      </c>
      <c r="BA52" s="148">
        <f>IF(CHOOSE(uxb_works!$B$46,"-",Data_2014_N!BA52,Data_2017!AZ52)="","",CHOOSE(uxb_works!$B$46,"-",Data_2014_N!BA52,Data_2017!AZ52))</f>
        <v>0</v>
      </c>
      <c r="BB52" s="148">
        <f>IF(CHOOSE(uxb_works!$B$46,"-",Data_2014_N!BB52,Data_2017!BA52)="","",CHOOSE(uxb_works!$B$46,"-",Data_2014_N!BB52,Data_2017!BA52))</f>
        <v>1</v>
      </c>
      <c r="BC52" s="148">
        <f>IF(CHOOSE(uxb_works!$B$46,"-",Data_2014_N!BC52,Data_2017!BB52)="","",CHOOSE(uxb_works!$B$46,"-",Data_2014_N!BC52,Data_2017!BB52))</f>
        <v>1</v>
      </c>
      <c r="BD52" s="148">
        <f>IF(CHOOSE(uxb_works!$B$46,"-",Data_2014_N!BD52,Data_2017!BC52)="","",CHOOSE(uxb_works!$B$46,"-",Data_2014_N!BD52,Data_2017!BC52))</f>
        <v>1</v>
      </c>
      <c r="BE52" s="148">
        <f>IF(CHOOSE(uxb_works!$B$46,"-",Data_2014_N!BE52,Data_2017!BD52)="","",CHOOSE(uxb_works!$B$46,"-",Data_2014_N!BE52,Data_2017!BD52))</f>
        <v>1</v>
      </c>
      <c r="BF52" s="148">
        <f>IF(CHOOSE(uxb_works!$B$46,"-",Data_2014_N!BF52,Data_2017!BE52)="","",CHOOSE(uxb_works!$B$46,"-",Data_2014_N!BF52,Data_2017!BE52))</f>
        <v>1</v>
      </c>
      <c r="BG52" s="148">
        <f>IF(CHOOSE(uxb_works!$B$46,"-",Data_2014_N!BG52,Data_2017!BF52)="","",CHOOSE(uxb_works!$B$46,"-",Data_2014_N!BG52,Data_2017!BF52))</f>
        <v>1</v>
      </c>
      <c r="BH52" s="148">
        <f>IF(CHOOSE(uxb_works!$B$46,"-",Data_2014_N!BH52,Data_2017!BG52)="","",CHOOSE(uxb_works!$B$46,"-",Data_2014_N!BH52,Data_2017!BG52))</f>
        <v>1</v>
      </c>
      <c r="BI52" s="148">
        <f>IF(CHOOSE(uxb_works!$B$46,"-",Data_2014_N!BI52,Data_2017!BH52)="","",CHOOSE(uxb_works!$B$46,"-",Data_2014_N!BI52,Data_2017!BH52))</f>
        <v>1</v>
      </c>
      <c r="BJ52" s="148">
        <f>IF(CHOOSE(uxb_works!$B$46,"-",Data_2014_N!BJ52,Data_2017!BI52)="","",CHOOSE(uxb_works!$B$46,"-",Data_2014_N!BJ52,Data_2017!BI52))</f>
        <v>1</v>
      </c>
      <c r="BK52" s="148">
        <f>IF(CHOOSE(uxb_works!$B$46,"-",Data_2014_N!BK52,Data_2017!BJ52)="","",CHOOSE(uxb_works!$B$46,"-",Data_2014_N!BK52,Data_2017!BJ52))</f>
        <v>1</v>
      </c>
      <c r="BL52" s="148">
        <f>IF(CHOOSE(uxb_works!$B$46,"-",Data_2014_N!BL52,Data_2017!BK52)="","",CHOOSE(uxb_works!$B$46,"-",Data_2014_N!BL52,Data_2017!BK52))</f>
        <v>1</v>
      </c>
      <c r="BM52" s="148">
        <f>IF(CHOOSE(uxb_works!$B$46,"-",Data_2014_N!BM52,Data_2017!BL52)="","",CHOOSE(uxb_works!$B$46,"-",Data_2014_N!BM52,Data_2017!BL52))</f>
        <v>1</v>
      </c>
      <c r="BN52" s="148">
        <f>IF(CHOOSE(uxb_works!$B$46,"-",Data_2014_N!BN52,Data_2017!BM52)="","",CHOOSE(uxb_works!$B$46,"-",Data_2014_N!BN52,Data_2017!BM52))</f>
        <v>1</v>
      </c>
      <c r="BO52" s="148">
        <f>IF(CHOOSE(uxb_works!$B$46,"-",Data_2014_N!BO52,Data_2017!BN52)="","",CHOOSE(uxb_works!$B$46,"-",Data_2014_N!BO52,Data_2017!BN52))</f>
        <v>1</v>
      </c>
      <c r="BP52" s="148">
        <f>IF(CHOOSE(uxb_works!$B$46,"-",Data_2014_N!BP52,Data_2017!BO52)="","",CHOOSE(uxb_works!$B$46,"-",Data_2014_N!BP52,Data_2017!BO52))</f>
        <v>1</v>
      </c>
      <c r="BQ52" s="148">
        <f>IF(CHOOSE(uxb_works!$B$46,"-",Data_2014_N!BQ52,Data_2017!BP52)="","",CHOOSE(uxb_works!$B$46,"-",Data_2014_N!BQ52,Data_2017!BP52))</f>
        <v>0</v>
      </c>
      <c r="BR52" s="325">
        <f>IF(CHOOSE(uxb_works!$B$46,"-",Data_2014_N!BR52,Data_2017!BR52)="","",CHOOSE(uxb_works!$B$46,"-",Data_2014_N!BR52,Data_2017!BR52))</f>
        <v>1</v>
      </c>
      <c r="CC52" s="112">
        <v>1</v>
      </c>
      <c r="CD52" s="112">
        <v>1</v>
      </c>
      <c r="CE52" s="112">
        <v>1</v>
      </c>
      <c r="CF52" s="112">
        <v>1</v>
      </c>
      <c r="CG52" s="112">
        <v>1</v>
      </c>
    </row>
    <row r="53" s="112" customFormat="1" ht="22.5" customHeight="1" spans="1:85">
      <c r="A53"/>
      <c r="B53" s="133">
        <f>tblIndicators!A49</f>
        <v>48</v>
      </c>
      <c r="C53" s="133">
        <f>tblIndicators!B49</f>
        <v>0</v>
      </c>
      <c r="D53" s="310">
        <f>CHOOSE(uxb_works!$B$46,#REF!,Data_2014_N!D53,Data_2017!D53)</f>
        <v>3</v>
      </c>
      <c r="E53" s="133" t="str">
        <f>tblIndicators!E49</f>
        <v>PESE4.1</v>
      </c>
      <c r="F53" s="133" t="str">
        <f>tblIndicators!H49</f>
        <v>Gun regulation and enforcement</v>
      </c>
      <c r="G53" s="133">
        <f>tblIndicators!Z49</f>
        <v>2</v>
      </c>
      <c r="H53" s="105" t="str">
        <f>REPT(" ",D53)&amp;CHOOSE(uxb_works!$B$46,#REF!,Data_2014_N!H53,Data_2017!H53)</f>
        <v>      4.1.6) Gun regulation and enforcement</v>
      </c>
      <c r="I53" s="319" t="str">
        <f>IF(CHOOSE(uxb_works!$B$46,#REF!,Data_2014_N!I53,Data_2017!I53)="","",CHOOSE(uxb_works!$B$46,#REF!,Data_2014_N!I53,Data_2017!I53))</f>
        <v>Scale 0 - 10, 10 = unrestricted</v>
      </c>
      <c r="J53" s="148">
        <f>IF(CHOOSE(uxb_works!$B$46,"-",Data_2014_N!J53,Data_2017!J53)="","",CHOOSE(uxb_works!$B$46,"-",Data_2014_N!J53,Data_2017!J53))</f>
        <v>3.8</v>
      </c>
      <c r="K53" s="148">
        <f>IF(CHOOSE(uxb_works!$B$46,"-",Data_2014_N!K53,Data_2017!K53)="","",CHOOSE(uxb_works!$B$46,"-",Data_2014_N!K53,Data_2017!K53))</f>
        <v>2.5</v>
      </c>
      <c r="L53" s="148">
        <f>IF(CHOOSE(uxb_works!$B$46,"-",Data_2014_N!L53,Data_2017!L53)="","",CHOOSE(uxb_works!$B$46,"-",Data_2014_N!L53,Data_2017!L53))</f>
        <v>4.8</v>
      </c>
      <c r="M53" s="148">
        <f>IF(CHOOSE(uxb_works!$B$46,"-",Data_2014_N!M53,Data_2017!M53)="","",CHOOSE(uxb_works!$B$46,"-",Data_2014_N!M53,Data_2017!M53))</f>
        <v>4.2</v>
      </c>
      <c r="N53" s="148">
        <f>IF(CHOOSE(uxb_works!$B$46,"-",Data_2014_N!N53,Data_2017!N53)="","",CHOOSE(uxb_works!$B$46,"-",Data_2014_N!N53,Data_2017!N53))</f>
        <v>2.6</v>
      </c>
      <c r="O53" s="148">
        <f>IF(CHOOSE(uxb_works!$B$46,"-",Data_2014_N!O53,Data_2017!O53)="","",CHOOSE(uxb_works!$B$46,"-",Data_2014_N!O53,Data_2017!O53))</f>
        <v>0.5</v>
      </c>
      <c r="P53" s="148">
        <f>IF(CHOOSE(uxb_works!$B$46,"-",Data_2014_N!P53,Data_2017!P53)="","",CHOOSE(uxb_works!$B$46,"-",Data_2014_N!P53,Data_2017!P53))</f>
        <v>4.2</v>
      </c>
      <c r="Q53" s="148">
        <f>IF(CHOOSE(uxb_works!$B$46,"-",Data_2014_N!Q53,Data_2017!Q53)="","",CHOOSE(uxb_works!$B$46,"-",Data_2014_N!Q53,Data_2017!Q53))</f>
        <v>3.1</v>
      </c>
      <c r="R53" s="148">
        <f>IF(CHOOSE(uxb_works!$B$46,"-",Data_2014_N!R53,Data_2017!R53)="","",CHOOSE(uxb_works!$B$46,"-",Data_2014_N!R53,Data_2017!R53))</f>
        <v>2.5</v>
      </c>
      <c r="S53" s="148">
        <f>IF(CHOOSE(uxb_works!$B$46,"-",Data_2014_N!S53,Data_2017!S53)="","",CHOOSE(uxb_works!$B$46,"-",Data_2014_N!S53,Data_2017!S53))</f>
        <v>4.2</v>
      </c>
      <c r="T53" s="148">
        <f>IF(CHOOSE(uxb_works!$B$46,"-",Data_2014_N!T53,Data_2017!T53)="","",CHOOSE(uxb_works!$B$46,"-",Data_2014_N!T53,Data_2017!T53))</f>
        <v>1.1</v>
      </c>
      <c r="U53" s="148">
        <f>IF(CHOOSE(uxb_works!$B$46,"-",Data_2014_N!U53,Data_2017!U53)="","",CHOOSE(uxb_works!$B$46,"-",Data_2014_N!U53,Data_2017!U53))</f>
        <v>3</v>
      </c>
      <c r="V53" s="148">
        <f>IF(CHOOSE(uxb_works!$B$46,"-",Data_2014_N!V53,Data_2017!V53)="","",CHOOSE(uxb_works!$B$46,"-",Data_2014_N!V53,Data_2017!V53))</f>
        <v>4.2</v>
      </c>
      <c r="W53" s="148">
        <f>IF(CHOOSE(uxb_works!$B$46,"-",Data_2014_N!W53,Data_2017!W53)="","",CHOOSE(uxb_works!$B$46,"-",Data_2014_N!W53,Data_2017!W53))</f>
        <v>6.8</v>
      </c>
      <c r="X53" s="148">
        <f>IF(CHOOSE(uxb_works!$B$46,"-",Data_2014_N!X53,Data_2017!X53)="","",CHOOSE(uxb_works!$B$46,"-",Data_2014_N!X53,Data_2017!X53))</f>
        <v>3.7</v>
      </c>
      <c r="Y53" s="148">
        <f>IF(CHOOSE(uxb_works!$B$46,"-",Data_2014_N!Y53,Data_2017!Y53)="","",CHOOSE(uxb_works!$B$46,"-",Data_2014_N!Y53,Data_2017!Y53))</f>
        <v>2</v>
      </c>
      <c r="Z53" s="148">
        <f>IF(CHOOSE(uxb_works!$B$46,"-",Data_2014_N!Z53,Data_2017!Z53)="","",CHOOSE(uxb_works!$B$46,"-",Data_2014_N!Z53,Data_2017!Z53))</f>
        <v>3</v>
      </c>
      <c r="AA53" s="148">
        <f>IF(CHOOSE(uxb_works!$B$46,"-",Data_2014_N!AA53,Data_2017!AA53)="","",CHOOSE(uxb_works!$B$46,"-",Data_2014_N!AA53,Data_2017!AA53))</f>
        <v>3.2</v>
      </c>
      <c r="AB53" s="148">
        <f>IF(CHOOSE(uxb_works!$B$46,"-",Data_2014_N!AB53,Data_2017!AB53)="","",CHOOSE(uxb_works!$B$46,"-",Data_2014_N!AB53,Data_2017!AB53))</f>
        <v>0.5</v>
      </c>
      <c r="AC53" s="148">
        <f>IF(CHOOSE(uxb_works!$B$46,"-",Data_2014_N!AC53,Data_2017!AC53)="","",CHOOSE(uxb_works!$B$46,"-",Data_2014_N!AC53,Data_2017!AC53))</f>
        <v>1.5</v>
      </c>
      <c r="AD53" s="148">
        <f>IF(CHOOSE(uxb_works!$B$46,"-",Data_2014_N!AD53,Data_2017!AD53)="","",CHOOSE(uxb_works!$B$46,"-",Data_2014_N!AD53,Data_2017!AD53))</f>
        <v>5.7</v>
      </c>
      <c r="AE53" s="148">
        <f>IF(CHOOSE(uxb_works!$B$46,"-",Data_2014_N!AE53,Data_2017!AE53)="","",CHOOSE(uxb_works!$B$46,"-",Data_2014_N!AE53,Data_2017!AE53))</f>
        <v>2.1</v>
      </c>
      <c r="AF53" s="148">
        <f>IF(CHOOSE(uxb_works!$B$46,"-",Data_2014_N!AF53,Data_2017!AF53)="","",CHOOSE(uxb_works!$B$46,"-",Data_2014_N!AF53,Data_2017!AF53))</f>
        <v>6.5</v>
      </c>
      <c r="AG53" s="148">
        <f>IF(CHOOSE(uxb_works!$B$46,"-",Data_2014_N!AG53,Data_2017!AG53)="","",CHOOSE(uxb_works!$B$46,"-",Data_2014_N!AG53,Data_2017!AG53))</f>
        <v>6</v>
      </c>
      <c r="AH53" s="148">
        <f>IF(CHOOSE(uxb_works!$B$46,"-",Data_2014_N!AH53,Data_2017!AH53)="","",CHOOSE(uxb_works!$B$46,"-",Data_2014_N!AH53,Data_2017!AH53))</f>
        <v>5.6</v>
      </c>
      <c r="AI53" s="148">
        <f>IF(CHOOSE(uxb_works!$B$46,"-",Data_2014_N!AI53,Data_2017!AI53)="","",CHOOSE(uxb_works!$B$46,"-",Data_2014_N!AI53,Data_2017!AI53))</f>
        <v>2</v>
      </c>
      <c r="AJ53" s="148">
        <f>IF(CHOOSE(uxb_works!$B$46,"-",Data_2014_N!AJ53,Data_2017!AJ53)="","",CHOOSE(uxb_works!$B$46,"-",Data_2014_N!AJ53,Data_2017!AJ53))</f>
        <v>0.75</v>
      </c>
      <c r="AK53" s="148" t="e">
        <f>IF(CHOOSE(uxb_works!$B$46,"-",Data_2014_N!AK53,Data_2017!#REF!)="","",CHOOSE(uxb_works!$B$46,"-",Data_2014_N!AK53,Data_2017!#REF!))</f>
        <v>#REF!</v>
      </c>
      <c r="AL53" s="148">
        <f>IF(CHOOSE(uxb_works!$B$46,"-",Data_2014_N!AL53,Data_2017!AK53)="","",CHOOSE(uxb_works!$B$46,"-",Data_2014_N!AL53,Data_2017!AK53))</f>
        <v>6</v>
      </c>
      <c r="AM53" s="148">
        <f>IF(CHOOSE(uxb_works!$B$46,"-",Data_2014_N!AM53,Data_2017!AL53)="","",CHOOSE(uxb_works!$B$46,"-",Data_2014_N!AM53,Data_2017!AL53))</f>
        <v>1.5</v>
      </c>
      <c r="AN53" s="148">
        <f>IF(CHOOSE(uxb_works!$B$46,"-",Data_2014_N!AN53,Data_2017!AM53)="","",CHOOSE(uxb_works!$B$46,"-",Data_2014_N!AN53,Data_2017!AM53))</f>
        <v>3.85</v>
      </c>
      <c r="AO53" s="148">
        <f>IF(CHOOSE(uxb_works!$B$46,"-",Data_2014_N!AO53,Data_2017!AN53)="","",CHOOSE(uxb_works!$B$46,"-",Data_2014_N!AO53,Data_2017!AN53))</f>
        <v>2.6</v>
      </c>
      <c r="AP53" s="148">
        <f>IF(CHOOSE(uxb_works!$B$46,"-",Data_2014_N!AP53,Data_2017!AO53)="","",CHOOSE(uxb_works!$B$46,"-",Data_2014_N!AP53,Data_2017!AO53))</f>
        <v>4.8</v>
      </c>
      <c r="AQ53" s="148">
        <f>IF(CHOOSE(uxb_works!$B$46,"-",Data_2014_N!AQ53,Data_2017!AP53)="","",CHOOSE(uxb_works!$B$46,"-",Data_2014_N!AQ53,Data_2017!AP53))</f>
        <v>2</v>
      </c>
      <c r="AR53" s="148">
        <f>IF(CHOOSE(uxb_works!$B$46,"-",Data_2014_N!AR53,Data_2017!AQ53)="","",CHOOSE(uxb_works!$B$46,"-",Data_2014_N!AR53,Data_2017!AQ53))</f>
        <v>3.9</v>
      </c>
      <c r="AS53" s="148">
        <f>IF(CHOOSE(uxb_works!$B$46,"-",Data_2014_N!AS53,Data_2017!AR53)="","",CHOOSE(uxb_works!$B$46,"-",Data_2014_N!AS53,Data_2017!AR53))</f>
        <v>3.6</v>
      </c>
      <c r="AT53" s="148">
        <f>IF(CHOOSE(uxb_works!$B$46,"-",Data_2014_N!AT53,Data_2017!AS53)="","",CHOOSE(uxb_works!$B$46,"-",Data_2014_N!AT53,Data_2017!AS53))</f>
        <v>3.1</v>
      </c>
      <c r="AU53" s="148">
        <f>IF(CHOOSE(uxb_works!$B$46,"-",Data_2014_N!AU53,Data_2017!AT53)="","",CHOOSE(uxb_works!$B$46,"-",Data_2014_N!AU53,Data_2017!AT53))</f>
        <v>3.7</v>
      </c>
      <c r="AV53" s="148">
        <f>IF(CHOOSE(uxb_works!$B$46,"-",Data_2014_N!AV53,Data_2017!AU53)="","",CHOOSE(uxb_works!$B$46,"-",Data_2014_N!AV53,Data_2017!AU53))</f>
        <v>4.6</v>
      </c>
      <c r="AW53" s="148">
        <f>IF(CHOOSE(uxb_works!$B$46,"-",Data_2014_N!AW53,Data_2017!AV53)="","",CHOOSE(uxb_works!$B$46,"-",Data_2014_N!AW53,Data_2017!AV53))</f>
        <v>1.5</v>
      </c>
      <c r="AX53" s="148">
        <f>IF(CHOOSE(uxb_works!$B$46,"-",Data_2014_N!AX53,Data_2017!AW53)="","",CHOOSE(uxb_works!$B$46,"-",Data_2014_N!AX53,Data_2017!AW53))</f>
        <v>4</v>
      </c>
      <c r="AY53" s="148">
        <f>IF(CHOOSE(uxb_works!$B$46,"-",Data_2014_N!AY53,Data_2017!AX53)="","",CHOOSE(uxb_works!$B$46,"-",Data_2014_N!AY53,Data_2017!AX53))</f>
        <v>4.2</v>
      </c>
      <c r="AZ53" s="148">
        <f>IF(CHOOSE(uxb_works!$B$46,"-",Data_2014_N!AZ53,Data_2017!AY53)="","",CHOOSE(uxb_works!$B$46,"-",Data_2014_N!AZ53,Data_2017!AY53))</f>
        <v>3.5</v>
      </c>
      <c r="BA53" s="148">
        <f>IF(CHOOSE(uxb_works!$B$46,"-",Data_2014_N!BA53,Data_2017!AZ53)="","",CHOOSE(uxb_works!$B$46,"-",Data_2014_N!BA53,Data_2017!AZ53))</f>
        <v>6.5</v>
      </c>
      <c r="BB53" s="148">
        <f>IF(CHOOSE(uxb_works!$B$46,"-",Data_2014_N!BB53,Data_2017!BA53)="","",CHOOSE(uxb_works!$B$46,"-",Data_2014_N!BB53,Data_2017!BA53))</f>
        <v>3.6</v>
      </c>
      <c r="BC53" s="148">
        <f>IF(CHOOSE(uxb_works!$B$46,"-",Data_2014_N!BC53,Data_2017!BB53)="","",CHOOSE(uxb_works!$B$46,"-",Data_2014_N!BC53,Data_2017!BB53))</f>
        <v>3.85</v>
      </c>
      <c r="BD53" s="148">
        <f>IF(CHOOSE(uxb_works!$B$46,"-",Data_2014_N!BD53,Data_2017!BC53)="","",CHOOSE(uxb_works!$B$46,"-",Data_2014_N!BD53,Data_2017!BC53))</f>
        <v>4.7</v>
      </c>
      <c r="BE53" s="148">
        <f>IF(CHOOSE(uxb_works!$B$46,"-",Data_2014_N!BE53,Data_2017!BD53)="","",CHOOSE(uxb_works!$B$46,"-",Data_2014_N!BE53,Data_2017!BD53))</f>
        <v>3.5</v>
      </c>
      <c r="BF53" s="148">
        <f>IF(CHOOSE(uxb_works!$B$46,"-",Data_2014_N!BF53,Data_2017!BE53)="","",CHOOSE(uxb_works!$B$46,"-",Data_2014_N!BF53,Data_2017!BE53))</f>
        <v>2</v>
      </c>
      <c r="BG53" s="148">
        <f>IF(CHOOSE(uxb_works!$B$46,"-",Data_2014_N!BG53,Data_2017!BF53)="","",CHOOSE(uxb_works!$B$46,"-",Data_2014_N!BG53,Data_2017!BF53))</f>
        <v>0.5</v>
      </c>
      <c r="BH53" s="148">
        <f>IF(CHOOSE(uxb_works!$B$46,"-",Data_2014_N!BH53,Data_2017!BG53)="","",CHOOSE(uxb_works!$B$46,"-",Data_2014_N!BH53,Data_2017!BG53))</f>
        <v>1.5</v>
      </c>
      <c r="BI53" s="148">
        <f>IF(CHOOSE(uxb_works!$B$46,"-",Data_2014_N!BI53,Data_2017!BH53)="","",CHOOSE(uxb_works!$B$46,"-",Data_2014_N!BI53,Data_2017!BH53))</f>
        <v>3.2</v>
      </c>
      <c r="BJ53" s="148">
        <f>IF(CHOOSE(uxb_works!$B$46,"-",Data_2014_N!BJ53,Data_2017!BI53)="","",CHOOSE(uxb_works!$B$46,"-",Data_2014_N!BJ53,Data_2017!BI53))</f>
        <v>2</v>
      </c>
      <c r="BK53" s="148">
        <f>IF(CHOOSE(uxb_works!$B$46,"-",Data_2014_N!BK53,Data_2017!BJ53)="","",CHOOSE(uxb_works!$B$46,"-",Data_2014_N!BK53,Data_2017!BJ53))</f>
        <v>1</v>
      </c>
      <c r="BL53" s="148">
        <f>IF(CHOOSE(uxb_works!$B$46,"-",Data_2014_N!BL53,Data_2017!BK53)="","",CHOOSE(uxb_works!$B$46,"-",Data_2014_N!BL53,Data_2017!BK53))</f>
        <v>3.6</v>
      </c>
      <c r="BM53" s="148">
        <f>IF(CHOOSE(uxb_works!$B$46,"-",Data_2014_N!BM53,Data_2017!BL53)="","",CHOOSE(uxb_works!$B$46,"-",Data_2014_N!BM53,Data_2017!BL53))</f>
        <v>1.5</v>
      </c>
      <c r="BN53" s="148">
        <f>IF(CHOOSE(uxb_works!$B$46,"-",Data_2014_N!BN53,Data_2017!BM53)="","",CHOOSE(uxb_works!$B$46,"-",Data_2014_N!BN53,Data_2017!BM53))</f>
        <v>3</v>
      </c>
      <c r="BO53" s="148">
        <f>IF(CHOOSE(uxb_works!$B$46,"-",Data_2014_N!BO53,Data_2017!BN53)="","",CHOOSE(uxb_works!$B$46,"-",Data_2014_N!BO53,Data_2017!BN53))</f>
        <v>2</v>
      </c>
      <c r="BP53" s="148">
        <f>IF(CHOOSE(uxb_works!$B$46,"-",Data_2014_N!BP53,Data_2017!BO53)="","",CHOOSE(uxb_works!$B$46,"-",Data_2014_N!BP53,Data_2017!BO53))</f>
        <v>2</v>
      </c>
      <c r="BQ53" s="148">
        <f>IF(CHOOSE(uxb_works!$B$46,"-",Data_2014_N!BQ53,Data_2017!BP53)="","",CHOOSE(uxb_works!$B$46,"-",Data_2014_N!BQ53,Data_2017!BP53))</f>
        <v>2.5</v>
      </c>
      <c r="BR53" s="325">
        <f>IF(CHOOSE(uxb_works!$B$46,"-",Data_2014_N!BR53,Data_2017!BR53)="","",CHOOSE(uxb_works!$B$46,"-",Data_2014_N!BR53,Data_2017!BR53))</f>
        <v>1.5</v>
      </c>
      <c r="CC53" s="112">
        <v>3.9</v>
      </c>
      <c r="CD53" s="112">
        <v>4.6</v>
      </c>
      <c r="CE53" s="112">
        <v>3.9</v>
      </c>
      <c r="CF53" s="112">
        <v>3</v>
      </c>
      <c r="CG53" s="112">
        <v>2</v>
      </c>
    </row>
    <row r="54" s="112" customFormat="1" ht="22.5" customHeight="1" spans="1:85">
      <c r="A54"/>
      <c r="B54" s="133">
        <f>tblIndicators!A50</f>
        <v>49</v>
      </c>
      <c r="C54" s="133">
        <f>tblIndicators!B50</f>
        <v>0</v>
      </c>
      <c r="D54" s="310">
        <f>CHOOSE(uxb_works!$B$46,#REF!,Data_2014_N!D54,Data_2017!D54)</f>
        <v>3</v>
      </c>
      <c r="E54" s="133" t="str">
        <f>tblIndicators!E50</f>
        <v>PESE4.1</v>
      </c>
      <c r="F54" s="133" t="str">
        <f>tblIndicators!H50</f>
        <v>Political stability risk</v>
      </c>
      <c r="G54" s="133">
        <f>tblIndicators!Z50</f>
        <v>3</v>
      </c>
      <c r="H54" s="105" t="str">
        <f>REPT(" ",D54)&amp;CHOOSE(uxb_works!$B$46,#REF!,Data_2014_N!H54,Data_2017!H54)</f>
        <v>      4.1.7) Political stability risk</v>
      </c>
      <c r="I54" s="319" t="str">
        <f>IF(CHOOSE(uxb_works!$B$46,#REF!,Data_2014_N!I54,Data_2017!I54)="","",CHOOSE(uxb_works!$B$46,#REF!,Data_2014_N!I54,Data_2017!I54))</f>
        <v>Scale 0 - 100, 0 = no risk</v>
      </c>
      <c r="J54" s="148">
        <f>IF(CHOOSE(uxb_works!$B$46,"-",Data_2014_N!J54,Data_2017!J54)="","",CHOOSE(uxb_works!$B$46,"-",Data_2014_N!J54,Data_2017!J54))</f>
        <v>45</v>
      </c>
      <c r="K54" s="148">
        <f>IF(CHOOSE(uxb_works!$B$46,"-",Data_2014_N!K54,Data_2017!K54)="","",CHOOSE(uxb_works!$B$46,"-",Data_2014_N!K54,Data_2017!K54))</f>
        <v>20</v>
      </c>
      <c r="L54" s="148">
        <f>IF(CHOOSE(uxb_works!$B$46,"-",Data_2014_N!L54,Data_2017!L54)="","",CHOOSE(uxb_works!$B$46,"-",Data_2014_N!L54,Data_2017!L54))</f>
        <v>30</v>
      </c>
      <c r="M54" s="148">
        <f>IF(CHOOSE(uxb_works!$B$46,"-",Data_2014_N!M54,Data_2017!M54)="","",CHOOSE(uxb_works!$B$46,"-",Data_2014_N!M54,Data_2017!M54))</f>
        <v>60</v>
      </c>
      <c r="N54" s="148">
        <f>IF(CHOOSE(uxb_works!$B$46,"-",Data_2014_N!N54,Data_2017!N54)="","",CHOOSE(uxb_works!$B$46,"-",Data_2014_N!N54,Data_2017!N54))</f>
        <v>30</v>
      </c>
      <c r="O54" s="148">
        <f>IF(CHOOSE(uxb_works!$B$46,"-",Data_2014_N!O54,Data_2017!O54)="","",CHOOSE(uxb_works!$B$46,"-",Data_2014_N!O54,Data_2017!O54))</f>
        <v>55</v>
      </c>
      <c r="P54" s="148">
        <f>IF(CHOOSE(uxb_works!$B$46,"-",Data_2014_N!P54,Data_2017!P54)="","",CHOOSE(uxb_works!$B$46,"-",Data_2014_N!P54,Data_2017!P54))</f>
        <v>35</v>
      </c>
      <c r="Q54" s="148">
        <f>IF(CHOOSE(uxb_works!$B$46,"-",Data_2014_N!Q54,Data_2017!Q54)="","",CHOOSE(uxb_works!$B$46,"-",Data_2014_N!Q54,Data_2017!Q54))</f>
        <v>25</v>
      </c>
      <c r="R54" s="148">
        <f>IF(CHOOSE(uxb_works!$B$46,"-",Data_2014_N!R54,Data_2017!R54)="","",CHOOSE(uxb_works!$B$46,"-",Data_2014_N!R54,Data_2017!R54))</f>
        <v>40</v>
      </c>
      <c r="S54" s="148">
        <f>IF(CHOOSE(uxb_works!$B$46,"-",Data_2014_N!S54,Data_2017!S54)="","",CHOOSE(uxb_works!$B$46,"-",Data_2014_N!S54,Data_2017!S54))</f>
        <v>50</v>
      </c>
      <c r="T54" s="148">
        <f>IF(CHOOSE(uxb_works!$B$46,"-",Data_2014_N!T54,Data_2017!T54)="","",CHOOSE(uxb_works!$B$46,"-",Data_2014_N!T54,Data_2017!T54))</f>
        <v>75</v>
      </c>
      <c r="U54" s="148">
        <f>IF(CHOOSE(uxb_works!$B$46,"-",Data_2014_N!U54,Data_2017!U54)="","",CHOOSE(uxb_works!$B$46,"-",Data_2014_N!U54,Data_2017!U54))</f>
        <v>60</v>
      </c>
      <c r="V54" s="148">
        <f>IF(CHOOSE(uxb_works!$B$46,"-",Data_2014_N!V54,Data_2017!V54)="","",CHOOSE(uxb_works!$B$46,"-",Data_2014_N!V54,Data_2017!V54))</f>
        <v>20</v>
      </c>
      <c r="W54" s="148">
        <f>IF(CHOOSE(uxb_works!$B$46,"-",Data_2014_N!W54,Data_2017!W54)="","",CHOOSE(uxb_works!$B$46,"-",Data_2014_N!W54,Data_2017!W54))</f>
        <v>20</v>
      </c>
      <c r="X54" s="148">
        <f>IF(CHOOSE(uxb_works!$B$46,"-",Data_2014_N!X54,Data_2017!X54)="","",CHOOSE(uxb_works!$B$46,"-",Data_2014_N!X54,Data_2017!X54))</f>
        <v>25</v>
      </c>
      <c r="Y54" s="148">
        <f>IF(CHOOSE(uxb_works!$B$46,"-",Data_2014_N!Y54,Data_2017!Y54)="","",CHOOSE(uxb_works!$B$46,"-",Data_2014_N!Y54,Data_2017!Y54))</f>
        <v>55</v>
      </c>
      <c r="Z54" s="148">
        <f>IF(CHOOSE(uxb_works!$B$46,"-",Data_2014_N!Z54,Data_2017!Z54)="","",CHOOSE(uxb_works!$B$46,"-",Data_2014_N!Z54,Data_2017!Z54))</f>
        <v>40</v>
      </c>
      <c r="AA54" s="148">
        <f>IF(CHOOSE(uxb_works!$B$46,"-",Data_2014_N!AA54,Data_2017!AA54)="","",CHOOSE(uxb_works!$B$46,"-",Data_2014_N!AA54,Data_2017!AA54))</f>
        <v>15</v>
      </c>
      <c r="AB54" s="148">
        <f>IF(CHOOSE(uxb_works!$B$46,"-",Data_2014_N!AB54,Data_2017!AB54)="","",CHOOSE(uxb_works!$B$46,"-",Data_2014_N!AB54,Data_2017!AB54))</f>
        <v>55</v>
      </c>
      <c r="AC54" s="148">
        <f>IF(CHOOSE(uxb_works!$B$46,"-",Data_2014_N!AC54,Data_2017!AC54)="","",CHOOSE(uxb_works!$B$46,"-",Data_2014_N!AC54,Data_2017!AC54))</f>
        <v>40</v>
      </c>
      <c r="AD54" s="148">
        <f>IF(CHOOSE(uxb_works!$B$46,"-",Data_2014_N!AD54,Data_2017!AD54)="","",CHOOSE(uxb_works!$B$46,"-",Data_2014_N!AD54,Data_2017!AD54))</f>
        <v>65</v>
      </c>
      <c r="AE54" s="148">
        <f>IF(CHOOSE(uxb_works!$B$46,"-",Data_2014_N!AE54,Data_2017!AE54)="","",CHOOSE(uxb_works!$B$46,"-",Data_2014_N!AE54,Data_2017!AE54))</f>
        <v>40</v>
      </c>
      <c r="AF54" s="148">
        <f>IF(CHOOSE(uxb_works!$B$46,"-",Data_2014_N!AF54,Data_2017!AF54)="","",CHOOSE(uxb_works!$B$46,"-",Data_2014_N!AF54,Data_2017!AF54))</f>
        <v>55</v>
      </c>
      <c r="AG54" s="148">
        <f>IF(CHOOSE(uxb_works!$B$46,"-",Data_2014_N!AG54,Data_2017!AG54)="","",CHOOSE(uxb_works!$B$46,"-",Data_2014_N!AG54,Data_2017!AG54))</f>
        <v>35</v>
      </c>
      <c r="AH54" s="148">
        <f>IF(CHOOSE(uxb_works!$B$46,"-",Data_2014_N!AH54,Data_2017!AH54)="","",CHOOSE(uxb_works!$B$46,"-",Data_2014_N!AH54,Data_2017!AH54))</f>
        <v>60</v>
      </c>
      <c r="AI54" s="148">
        <f>IF(CHOOSE(uxb_works!$B$46,"-",Data_2014_N!AI54,Data_2017!AI54)="","",CHOOSE(uxb_works!$B$46,"-",Data_2014_N!AI54,Data_2017!AI54))</f>
        <v>35</v>
      </c>
      <c r="AJ54" s="148">
        <f>IF(CHOOSE(uxb_works!$B$46,"-",Data_2014_N!AJ54,Data_2017!AJ54)="","",CHOOSE(uxb_works!$B$46,"-",Data_2014_N!AJ54,Data_2017!AJ54))</f>
        <v>60</v>
      </c>
      <c r="AK54" s="148" t="e">
        <f>IF(CHOOSE(uxb_works!$B$46,"-",Data_2014_N!AK54,Data_2017!#REF!)="","",CHOOSE(uxb_works!$B$46,"-",Data_2014_N!AK54,Data_2017!#REF!))</f>
        <v>#REF!</v>
      </c>
      <c r="AL54" s="148">
        <f>IF(CHOOSE(uxb_works!$B$46,"-",Data_2014_N!AL54,Data_2017!AK54)="","",CHOOSE(uxb_works!$B$46,"-",Data_2014_N!AL54,Data_2017!AK54))</f>
        <v>35</v>
      </c>
      <c r="AM54" s="148">
        <f>IF(CHOOSE(uxb_works!$B$46,"-",Data_2014_N!AM54,Data_2017!AL54)="","",CHOOSE(uxb_works!$B$46,"-",Data_2014_N!AM54,Data_2017!AL54))</f>
        <v>25</v>
      </c>
      <c r="AN54" s="148">
        <f>IF(CHOOSE(uxb_works!$B$46,"-",Data_2014_N!AN54,Data_2017!AM54)="","",CHOOSE(uxb_works!$B$46,"-",Data_2014_N!AN54,Data_2017!AM54))</f>
        <v>20</v>
      </c>
      <c r="AO54" s="148">
        <f>IF(CHOOSE(uxb_works!$B$46,"-",Data_2014_N!AO54,Data_2017!AN54)="","",CHOOSE(uxb_works!$B$46,"-",Data_2014_N!AO54,Data_2017!AN54))</f>
        <v>30</v>
      </c>
      <c r="AP54" s="148">
        <f>IF(CHOOSE(uxb_works!$B$46,"-",Data_2014_N!AP54,Data_2017!AO54)="","",CHOOSE(uxb_works!$B$46,"-",Data_2014_N!AP54,Data_2017!AO54))</f>
        <v>50</v>
      </c>
      <c r="AQ54" s="148">
        <f>IF(CHOOSE(uxb_works!$B$46,"-",Data_2014_N!AQ54,Data_2017!AP54)="","",CHOOSE(uxb_works!$B$46,"-",Data_2014_N!AQ54,Data_2017!AP54))</f>
        <v>10</v>
      </c>
      <c r="AR54" s="148">
        <f>IF(CHOOSE(uxb_works!$B$46,"-",Data_2014_N!AR54,Data_2017!AQ54)="","",CHOOSE(uxb_works!$B$46,"-",Data_2014_N!AR54,Data_2017!AQ54))</f>
        <v>50</v>
      </c>
      <c r="AS54" s="148">
        <f>IF(CHOOSE(uxb_works!$B$46,"-",Data_2014_N!AS54,Data_2017!AR54)="","",CHOOSE(uxb_works!$B$46,"-",Data_2014_N!AS54,Data_2017!AR54))</f>
        <v>40</v>
      </c>
      <c r="AT54" s="148">
        <f>IF(CHOOSE(uxb_works!$B$46,"-",Data_2014_N!AT54,Data_2017!AS54)="","",CHOOSE(uxb_works!$B$46,"-",Data_2014_N!AT54,Data_2017!AS54))</f>
        <v>60</v>
      </c>
      <c r="AU54" s="148">
        <f>IF(CHOOSE(uxb_works!$B$46,"-",Data_2014_N!AU54,Data_2017!AT54)="","",CHOOSE(uxb_works!$B$46,"-",Data_2014_N!AU54,Data_2017!AT54))</f>
        <v>25</v>
      </c>
      <c r="AV54" s="148">
        <f>IF(CHOOSE(uxb_works!$B$46,"-",Data_2014_N!AV54,Data_2017!AU54)="","",CHOOSE(uxb_works!$B$46,"-",Data_2014_N!AV54,Data_2017!AU54))</f>
        <v>20</v>
      </c>
      <c r="AW54" s="148">
        <f>IF(CHOOSE(uxb_works!$B$46,"-",Data_2014_N!AW54,Data_2017!AV54)="","",CHOOSE(uxb_works!$B$46,"-",Data_2014_N!AW54,Data_2017!AV54))</f>
        <v>15</v>
      </c>
      <c r="AX54" s="148">
        <f>IF(CHOOSE(uxb_works!$B$46,"-",Data_2014_N!AX54,Data_2017!AW54)="","",CHOOSE(uxb_works!$B$46,"-",Data_2014_N!AX54,Data_2017!AW54))</f>
        <v>35</v>
      </c>
      <c r="AY54" s="148">
        <f>IF(CHOOSE(uxb_works!$B$46,"-",Data_2014_N!AY54,Data_2017!AX54)="","",CHOOSE(uxb_works!$B$46,"-",Data_2014_N!AY54,Data_2017!AX54))</f>
        <v>50</v>
      </c>
      <c r="AZ54" s="148">
        <f>IF(CHOOSE(uxb_works!$B$46,"-",Data_2014_N!AZ54,Data_2017!AY54)="","",CHOOSE(uxb_works!$B$46,"-",Data_2014_N!AZ54,Data_2017!AY54))</f>
        <v>40</v>
      </c>
      <c r="BA54" s="148">
        <f>IF(CHOOSE(uxb_works!$B$46,"-",Data_2014_N!BA54,Data_2017!AZ54)="","",CHOOSE(uxb_works!$B$46,"-",Data_2014_N!BA54,Data_2017!AZ54))</f>
        <v>55</v>
      </c>
      <c r="BB54" s="148">
        <f>IF(CHOOSE(uxb_works!$B$46,"-",Data_2014_N!BB54,Data_2017!BA54)="","",CHOOSE(uxb_works!$B$46,"-",Data_2014_N!BB54,Data_2017!BA54))</f>
        <v>40</v>
      </c>
      <c r="BC54" s="148">
        <f>IF(CHOOSE(uxb_works!$B$46,"-",Data_2014_N!BC54,Data_2017!BB54)="","",CHOOSE(uxb_works!$B$46,"-",Data_2014_N!BC54,Data_2017!BB54))</f>
        <v>20</v>
      </c>
      <c r="BD54" s="148">
        <f>IF(CHOOSE(uxb_works!$B$46,"-",Data_2014_N!BD54,Data_2017!BC54)="","",CHOOSE(uxb_works!$B$46,"-",Data_2014_N!BD54,Data_2017!BC54))</f>
        <v>20</v>
      </c>
      <c r="BE54" s="148">
        <f>IF(CHOOSE(uxb_works!$B$46,"-",Data_2014_N!BE54,Data_2017!BD54)="","",CHOOSE(uxb_works!$B$46,"-",Data_2014_N!BE54,Data_2017!BD54))</f>
        <v>40</v>
      </c>
      <c r="BF54" s="148">
        <f>IF(CHOOSE(uxb_works!$B$46,"-",Data_2014_N!BF54,Data_2017!BE54)="","",CHOOSE(uxb_works!$B$46,"-",Data_2014_N!BF54,Data_2017!BE54))</f>
        <v>45</v>
      </c>
      <c r="BG54" s="148">
        <f>IF(CHOOSE(uxb_works!$B$46,"-",Data_2014_N!BG54,Data_2017!BF54)="","",CHOOSE(uxb_works!$B$46,"-",Data_2014_N!BG54,Data_2017!BF54))</f>
        <v>55</v>
      </c>
      <c r="BH54" s="148">
        <f>IF(CHOOSE(uxb_works!$B$46,"-",Data_2014_N!BH54,Data_2017!BG54)="","",CHOOSE(uxb_works!$B$46,"-",Data_2014_N!BH54,Data_2017!BG54))</f>
        <v>20</v>
      </c>
      <c r="BI54" s="148">
        <f>IF(CHOOSE(uxb_works!$B$46,"-",Data_2014_N!BI54,Data_2017!BH54)="","",CHOOSE(uxb_works!$B$46,"-",Data_2014_N!BI54,Data_2017!BH54))</f>
        <v>15</v>
      </c>
      <c r="BJ54" s="148">
        <f>IF(CHOOSE(uxb_works!$B$46,"-",Data_2014_N!BJ54,Data_2017!BI54)="","",CHOOSE(uxb_works!$B$46,"-",Data_2014_N!BJ54,Data_2017!BI54))</f>
        <v>10</v>
      </c>
      <c r="BK54" s="148">
        <f>IF(CHOOSE(uxb_works!$B$46,"-",Data_2014_N!BK54,Data_2017!BJ54)="","",CHOOSE(uxb_works!$B$46,"-",Data_2014_N!BK54,Data_2017!BJ54))</f>
        <v>35</v>
      </c>
      <c r="BL54" s="148">
        <f>IF(CHOOSE(uxb_works!$B$46,"-",Data_2014_N!BL54,Data_2017!BK54)="","",CHOOSE(uxb_works!$B$46,"-",Data_2014_N!BL54,Data_2017!BK54))</f>
        <v>70</v>
      </c>
      <c r="BM54" s="148">
        <f>IF(CHOOSE(uxb_works!$B$46,"-",Data_2014_N!BM54,Data_2017!BL54)="","",CHOOSE(uxb_works!$B$46,"-",Data_2014_N!BM54,Data_2017!BL54))</f>
        <v>15</v>
      </c>
      <c r="BN54" s="148">
        <f>IF(CHOOSE(uxb_works!$B$46,"-",Data_2014_N!BN54,Data_2017!BM54)="","",CHOOSE(uxb_works!$B$46,"-",Data_2014_N!BN54,Data_2017!BM54))</f>
        <v>5</v>
      </c>
      <c r="BO54" s="148">
        <f>IF(CHOOSE(uxb_works!$B$46,"-",Data_2014_N!BO54,Data_2017!BN54)="","",CHOOSE(uxb_works!$B$46,"-",Data_2014_N!BO54,Data_2017!BN54))</f>
        <v>20</v>
      </c>
      <c r="BP54" s="148">
        <f>IF(CHOOSE(uxb_works!$B$46,"-",Data_2014_N!BP54,Data_2017!BO54)="","",CHOOSE(uxb_works!$B$46,"-",Data_2014_N!BP54,Data_2017!BO54))</f>
        <v>15</v>
      </c>
      <c r="BQ54" s="148">
        <f>IF(CHOOSE(uxb_works!$B$46,"-",Data_2014_N!BQ54,Data_2017!BP54)="","",CHOOSE(uxb_works!$B$46,"-",Data_2014_N!BQ54,Data_2017!BP54))</f>
        <v>50</v>
      </c>
      <c r="BR54" s="325">
        <f>IF(CHOOSE(uxb_works!$B$46,"-",Data_2014_N!BR54,Data_2017!BR54)="","",CHOOSE(uxb_works!$B$46,"-",Data_2014_N!BR54,Data_2017!BR54))</f>
        <v>15</v>
      </c>
      <c r="CC54" s="112">
        <v>10</v>
      </c>
      <c r="CD54" s="112">
        <v>10</v>
      </c>
      <c r="CE54" s="112">
        <v>10</v>
      </c>
      <c r="CF54" s="112">
        <v>5</v>
      </c>
      <c r="CG54" s="112">
        <v>10</v>
      </c>
    </row>
    <row r="55" s="112" customFormat="1" ht="22.5" customHeight="1" spans="1:70">
      <c r="A55"/>
      <c r="B55" s="133">
        <f>tblIndicators!A51</f>
        <v>50</v>
      </c>
      <c r="C55" s="133">
        <f>tblIndicators!B51</f>
        <v>0</v>
      </c>
      <c r="D55" s="310">
        <f>CHOOSE(uxb_works!$B$46,#REF!,Data_2014_N!D55,Data_2017!D55)</f>
        <v>2</v>
      </c>
      <c r="E55" s="133" t="str">
        <f>tblIndicators!E51</f>
        <v>PESE</v>
      </c>
      <c r="F55" s="133" t="str">
        <f>tblIndicators!H51</f>
        <v>Personal security (Outputs)</v>
      </c>
      <c r="G55" s="133">
        <f>tblIndicators!Z51</f>
        <v>1</v>
      </c>
      <c r="H55" s="105" t="str">
        <f>REPT(" ",D55)&amp;CHOOSE(uxb_works!$B$46,#REF!,Data_2014_N!H55,Data_2017!H55)</f>
        <v>    4.2) Personal security (Outputs)</v>
      </c>
      <c r="I55" s="319" t="str">
        <f>IF(CHOOSE(uxb_works!$B$46,#REF!,Data_2014_N!I55,Data_2017!I55)="","",CHOOSE(uxb_works!$B$46,#REF!,Data_2014_N!I55,Data_2017!I55))</f>
        <v/>
      </c>
      <c r="J55" s="148" t="str">
        <f>IF(CHOOSE(uxb_works!$B$46,"-",Data_2014_N!J55,Data_2017!J55)="","",CHOOSE(uxb_works!$B$46,"-",Data_2014_N!J55,Data_2017!J55))</f>
        <v/>
      </c>
      <c r="K55" s="148" t="str">
        <f>IF(CHOOSE(uxb_works!$B$46,"-",Data_2014_N!K55,Data_2017!K55)="","",CHOOSE(uxb_works!$B$46,"-",Data_2014_N!K55,Data_2017!K55))</f>
        <v/>
      </c>
      <c r="L55" s="148" t="str">
        <f>IF(CHOOSE(uxb_works!$B$46,"-",Data_2014_N!L55,Data_2017!L55)="","",CHOOSE(uxb_works!$B$46,"-",Data_2014_N!L55,Data_2017!L55))</f>
        <v/>
      </c>
      <c r="M55" s="148" t="str">
        <f>IF(CHOOSE(uxb_works!$B$46,"-",Data_2014_N!M55,Data_2017!M55)="","",CHOOSE(uxb_works!$B$46,"-",Data_2014_N!M55,Data_2017!M55))</f>
        <v/>
      </c>
      <c r="N55" s="148" t="str">
        <f>IF(CHOOSE(uxb_works!$B$46,"-",Data_2014_N!N55,Data_2017!N55)="","",CHOOSE(uxb_works!$B$46,"-",Data_2014_N!N55,Data_2017!N55))</f>
        <v/>
      </c>
      <c r="O55" s="148" t="str">
        <f>IF(CHOOSE(uxb_works!$B$46,"-",Data_2014_N!O55,Data_2017!O55)="","",CHOOSE(uxb_works!$B$46,"-",Data_2014_N!O55,Data_2017!O55))</f>
        <v/>
      </c>
      <c r="P55" s="148" t="str">
        <f>IF(CHOOSE(uxb_works!$B$46,"-",Data_2014_N!P55,Data_2017!P55)="","",CHOOSE(uxb_works!$B$46,"-",Data_2014_N!P55,Data_2017!P55))</f>
        <v/>
      </c>
      <c r="Q55" s="148" t="str">
        <f>IF(CHOOSE(uxb_works!$B$46,"-",Data_2014_N!Q55,Data_2017!Q55)="","",CHOOSE(uxb_works!$B$46,"-",Data_2014_N!Q55,Data_2017!Q55))</f>
        <v/>
      </c>
      <c r="R55" s="148" t="str">
        <f>IF(CHOOSE(uxb_works!$B$46,"-",Data_2014_N!R55,Data_2017!R55)="","",CHOOSE(uxb_works!$B$46,"-",Data_2014_N!R55,Data_2017!R55))</f>
        <v/>
      </c>
      <c r="S55" s="148" t="str">
        <f>IF(CHOOSE(uxb_works!$B$46,"-",Data_2014_N!S55,Data_2017!S55)="","",CHOOSE(uxb_works!$B$46,"-",Data_2014_N!S55,Data_2017!S55))</f>
        <v/>
      </c>
      <c r="T55" s="148" t="str">
        <f>IF(CHOOSE(uxb_works!$B$46,"-",Data_2014_N!T55,Data_2017!T55)="","",CHOOSE(uxb_works!$B$46,"-",Data_2014_N!T55,Data_2017!T55))</f>
        <v/>
      </c>
      <c r="U55" s="148" t="str">
        <f>IF(CHOOSE(uxb_works!$B$46,"-",Data_2014_N!U55,Data_2017!U55)="","",CHOOSE(uxb_works!$B$46,"-",Data_2014_N!U55,Data_2017!U55))</f>
        <v/>
      </c>
      <c r="V55" s="148" t="str">
        <f>IF(CHOOSE(uxb_works!$B$46,"-",Data_2014_N!V55,Data_2017!V55)="","",CHOOSE(uxb_works!$B$46,"-",Data_2014_N!V55,Data_2017!V55))</f>
        <v/>
      </c>
      <c r="W55" s="148" t="str">
        <f>IF(CHOOSE(uxb_works!$B$46,"-",Data_2014_N!W55,Data_2017!W55)="","",CHOOSE(uxb_works!$B$46,"-",Data_2014_N!W55,Data_2017!W55))</f>
        <v/>
      </c>
      <c r="X55" s="148" t="str">
        <f>IF(CHOOSE(uxb_works!$B$46,"-",Data_2014_N!X55,Data_2017!X55)="","",CHOOSE(uxb_works!$B$46,"-",Data_2014_N!X55,Data_2017!X55))</f>
        <v/>
      </c>
      <c r="Y55" s="148" t="str">
        <f>IF(CHOOSE(uxb_works!$B$46,"-",Data_2014_N!Y55,Data_2017!Y55)="","",CHOOSE(uxb_works!$B$46,"-",Data_2014_N!Y55,Data_2017!Y55))</f>
        <v/>
      </c>
      <c r="Z55" s="148" t="str">
        <f>IF(CHOOSE(uxb_works!$B$46,"-",Data_2014_N!Z55,Data_2017!Z55)="","",CHOOSE(uxb_works!$B$46,"-",Data_2014_N!Z55,Data_2017!Z55))</f>
        <v/>
      </c>
      <c r="AA55" s="148" t="str">
        <f>IF(CHOOSE(uxb_works!$B$46,"-",Data_2014_N!AA55,Data_2017!AA55)="","",CHOOSE(uxb_works!$B$46,"-",Data_2014_N!AA55,Data_2017!AA55))</f>
        <v/>
      </c>
      <c r="AB55" s="148" t="str">
        <f>IF(CHOOSE(uxb_works!$B$46,"-",Data_2014_N!AB55,Data_2017!AB55)="","",CHOOSE(uxb_works!$B$46,"-",Data_2014_N!AB55,Data_2017!AB55))</f>
        <v/>
      </c>
      <c r="AC55" s="148" t="str">
        <f>IF(CHOOSE(uxb_works!$B$46,"-",Data_2014_N!AC55,Data_2017!AC55)="","",CHOOSE(uxb_works!$B$46,"-",Data_2014_N!AC55,Data_2017!AC55))</f>
        <v/>
      </c>
      <c r="AD55" s="148" t="str">
        <f>IF(CHOOSE(uxb_works!$B$46,"-",Data_2014_N!AD55,Data_2017!AD55)="","",CHOOSE(uxb_works!$B$46,"-",Data_2014_N!AD55,Data_2017!AD55))</f>
        <v/>
      </c>
      <c r="AE55" s="148" t="str">
        <f>IF(CHOOSE(uxb_works!$B$46,"-",Data_2014_N!AE55,Data_2017!AE55)="","",CHOOSE(uxb_works!$B$46,"-",Data_2014_N!AE55,Data_2017!AE55))</f>
        <v/>
      </c>
      <c r="AF55" s="148" t="str">
        <f>IF(CHOOSE(uxb_works!$B$46,"-",Data_2014_N!AF55,Data_2017!AF55)="","",CHOOSE(uxb_works!$B$46,"-",Data_2014_N!AF55,Data_2017!AF55))</f>
        <v/>
      </c>
      <c r="AG55" s="148" t="str">
        <f>IF(CHOOSE(uxb_works!$B$46,"-",Data_2014_N!AG55,Data_2017!AG55)="","",CHOOSE(uxb_works!$B$46,"-",Data_2014_N!AG55,Data_2017!AG55))</f>
        <v/>
      </c>
      <c r="AH55" s="148" t="str">
        <f>IF(CHOOSE(uxb_works!$B$46,"-",Data_2014_N!AH55,Data_2017!AH55)="","",CHOOSE(uxb_works!$B$46,"-",Data_2014_N!AH55,Data_2017!AH55))</f>
        <v/>
      </c>
      <c r="AI55" s="148" t="str">
        <f>IF(CHOOSE(uxb_works!$B$46,"-",Data_2014_N!AI55,Data_2017!AI55)="","",CHOOSE(uxb_works!$B$46,"-",Data_2014_N!AI55,Data_2017!AI55))</f>
        <v/>
      </c>
      <c r="AJ55" s="148" t="str">
        <f>IF(CHOOSE(uxb_works!$B$46,"-",Data_2014_N!AJ55,Data_2017!AJ55)="","",CHOOSE(uxb_works!$B$46,"-",Data_2014_N!AJ55,Data_2017!AJ55))</f>
        <v/>
      </c>
      <c r="AK55" s="148" t="e">
        <f>IF(CHOOSE(uxb_works!$B$46,"-",Data_2014_N!AK55,Data_2017!#REF!)="","",CHOOSE(uxb_works!$B$46,"-",Data_2014_N!AK55,Data_2017!#REF!))</f>
        <v>#REF!</v>
      </c>
      <c r="AL55" s="148" t="str">
        <f>IF(CHOOSE(uxb_works!$B$46,"-",Data_2014_N!AL55,Data_2017!AK55)="","",CHOOSE(uxb_works!$B$46,"-",Data_2014_N!AL55,Data_2017!AK55))</f>
        <v/>
      </c>
      <c r="AM55" s="148" t="str">
        <f>IF(CHOOSE(uxb_works!$B$46,"-",Data_2014_N!AM55,Data_2017!AL55)="","",CHOOSE(uxb_works!$B$46,"-",Data_2014_N!AM55,Data_2017!AL55))</f>
        <v/>
      </c>
      <c r="AN55" s="148" t="str">
        <f>IF(CHOOSE(uxb_works!$B$46,"-",Data_2014_N!AN55,Data_2017!AM55)="","",CHOOSE(uxb_works!$B$46,"-",Data_2014_N!AN55,Data_2017!AM55))</f>
        <v/>
      </c>
      <c r="AO55" s="148" t="str">
        <f>IF(CHOOSE(uxb_works!$B$46,"-",Data_2014_N!AO55,Data_2017!AN55)="","",CHOOSE(uxb_works!$B$46,"-",Data_2014_N!AO55,Data_2017!AN55))</f>
        <v/>
      </c>
      <c r="AP55" s="148" t="str">
        <f>IF(CHOOSE(uxb_works!$B$46,"-",Data_2014_N!AP55,Data_2017!AO55)="","",CHOOSE(uxb_works!$B$46,"-",Data_2014_N!AP55,Data_2017!AO55))</f>
        <v/>
      </c>
      <c r="AQ55" s="148" t="str">
        <f>IF(CHOOSE(uxb_works!$B$46,"-",Data_2014_N!AQ55,Data_2017!AP55)="","",CHOOSE(uxb_works!$B$46,"-",Data_2014_N!AQ55,Data_2017!AP55))</f>
        <v/>
      </c>
      <c r="AR55" s="148" t="str">
        <f>IF(CHOOSE(uxb_works!$B$46,"-",Data_2014_N!AR55,Data_2017!AQ55)="","",CHOOSE(uxb_works!$B$46,"-",Data_2014_N!AR55,Data_2017!AQ55))</f>
        <v/>
      </c>
      <c r="AS55" s="148" t="str">
        <f>IF(CHOOSE(uxb_works!$B$46,"-",Data_2014_N!AS55,Data_2017!AR55)="","",CHOOSE(uxb_works!$B$46,"-",Data_2014_N!AS55,Data_2017!AR55))</f>
        <v/>
      </c>
      <c r="AT55" s="148" t="str">
        <f>IF(CHOOSE(uxb_works!$B$46,"-",Data_2014_N!AT55,Data_2017!AS55)="","",CHOOSE(uxb_works!$B$46,"-",Data_2014_N!AT55,Data_2017!AS55))</f>
        <v/>
      </c>
      <c r="AU55" s="148" t="str">
        <f>IF(CHOOSE(uxb_works!$B$46,"-",Data_2014_N!AU55,Data_2017!AT55)="","",CHOOSE(uxb_works!$B$46,"-",Data_2014_N!AU55,Data_2017!AT55))</f>
        <v/>
      </c>
      <c r="AV55" s="148" t="str">
        <f>IF(CHOOSE(uxb_works!$B$46,"-",Data_2014_N!AV55,Data_2017!AU55)="","",CHOOSE(uxb_works!$B$46,"-",Data_2014_N!AV55,Data_2017!AU55))</f>
        <v/>
      </c>
      <c r="AW55" s="148" t="str">
        <f>IF(CHOOSE(uxb_works!$B$46,"-",Data_2014_N!AW55,Data_2017!AV55)="","",CHOOSE(uxb_works!$B$46,"-",Data_2014_N!AW55,Data_2017!AV55))</f>
        <v/>
      </c>
      <c r="AX55" s="148" t="str">
        <f>IF(CHOOSE(uxb_works!$B$46,"-",Data_2014_N!AX55,Data_2017!AW55)="","",CHOOSE(uxb_works!$B$46,"-",Data_2014_N!AX55,Data_2017!AW55))</f>
        <v/>
      </c>
      <c r="AY55" s="148" t="str">
        <f>IF(CHOOSE(uxb_works!$B$46,"-",Data_2014_N!AY55,Data_2017!AX55)="","",CHOOSE(uxb_works!$B$46,"-",Data_2014_N!AY55,Data_2017!AX55))</f>
        <v/>
      </c>
      <c r="AZ55" s="148" t="str">
        <f>IF(CHOOSE(uxb_works!$B$46,"-",Data_2014_N!AZ55,Data_2017!AY55)="","",CHOOSE(uxb_works!$B$46,"-",Data_2014_N!AZ55,Data_2017!AY55))</f>
        <v/>
      </c>
      <c r="BA55" s="148" t="str">
        <f>IF(CHOOSE(uxb_works!$B$46,"-",Data_2014_N!BA55,Data_2017!AZ55)="","",CHOOSE(uxb_works!$B$46,"-",Data_2014_N!BA55,Data_2017!AZ55))</f>
        <v/>
      </c>
      <c r="BB55" s="148" t="str">
        <f>IF(CHOOSE(uxb_works!$B$46,"-",Data_2014_N!BB55,Data_2017!BA55)="","",CHOOSE(uxb_works!$B$46,"-",Data_2014_N!BB55,Data_2017!BA55))</f>
        <v/>
      </c>
      <c r="BC55" s="148" t="str">
        <f>IF(CHOOSE(uxb_works!$B$46,"-",Data_2014_N!BC55,Data_2017!BB55)="","",CHOOSE(uxb_works!$B$46,"-",Data_2014_N!BC55,Data_2017!BB55))</f>
        <v/>
      </c>
      <c r="BD55" s="148" t="str">
        <f>IF(CHOOSE(uxb_works!$B$46,"-",Data_2014_N!BD55,Data_2017!BC55)="","",CHOOSE(uxb_works!$B$46,"-",Data_2014_N!BD55,Data_2017!BC55))</f>
        <v/>
      </c>
      <c r="BE55" s="148" t="str">
        <f>IF(CHOOSE(uxb_works!$B$46,"-",Data_2014_N!BE55,Data_2017!BD55)="","",CHOOSE(uxb_works!$B$46,"-",Data_2014_N!BE55,Data_2017!BD55))</f>
        <v/>
      </c>
      <c r="BF55" s="148" t="str">
        <f>IF(CHOOSE(uxb_works!$B$46,"-",Data_2014_N!BF55,Data_2017!BE55)="","",CHOOSE(uxb_works!$B$46,"-",Data_2014_N!BF55,Data_2017!BE55))</f>
        <v/>
      </c>
      <c r="BG55" s="148" t="str">
        <f>IF(CHOOSE(uxb_works!$B$46,"-",Data_2014_N!BG55,Data_2017!BF55)="","",CHOOSE(uxb_works!$B$46,"-",Data_2014_N!BG55,Data_2017!BF55))</f>
        <v/>
      </c>
      <c r="BH55" s="148" t="str">
        <f>IF(CHOOSE(uxb_works!$B$46,"-",Data_2014_N!BH55,Data_2017!BG55)="","",CHOOSE(uxb_works!$B$46,"-",Data_2014_N!BH55,Data_2017!BG55))</f>
        <v/>
      </c>
      <c r="BI55" s="148" t="str">
        <f>IF(CHOOSE(uxb_works!$B$46,"-",Data_2014_N!BI55,Data_2017!BH55)="","",CHOOSE(uxb_works!$B$46,"-",Data_2014_N!BI55,Data_2017!BH55))</f>
        <v/>
      </c>
      <c r="BJ55" s="148" t="str">
        <f>IF(CHOOSE(uxb_works!$B$46,"-",Data_2014_N!BJ55,Data_2017!BI55)="","",CHOOSE(uxb_works!$B$46,"-",Data_2014_N!BJ55,Data_2017!BI55))</f>
        <v/>
      </c>
      <c r="BK55" s="148" t="str">
        <f>IF(CHOOSE(uxb_works!$B$46,"-",Data_2014_N!BK55,Data_2017!BJ55)="","",CHOOSE(uxb_works!$B$46,"-",Data_2014_N!BK55,Data_2017!BJ55))</f>
        <v/>
      </c>
      <c r="BL55" s="148" t="str">
        <f>IF(CHOOSE(uxb_works!$B$46,"-",Data_2014_N!BL55,Data_2017!BK55)="","",CHOOSE(uxb_works!$B$46,"-",Data_2014_N!BL55,Data_2017!BK55))</f>
        <v/>
      </c>
      <c r="BM55" s="148" t="str">
        <f>IF(CHOOSE(uxb_works!$B$46,"-",Data_2014_N!BM55,Data_2017!BL55)="","",CHOOSE(uxb_works!$B$46,"-",Data_2014_N!BM55,Data_2017!BL55))</f>
        <v/>
      </c>
      <c r="BN55" s="148" t="str">
        <f>IF(CHOOSE(uxb_works!$B$46,"-",Data_2014_N!BN55,Data_2017!BM55)="","",CHOOSE(uxb_works!$B$46,"-",Data_2014_N!BN55,Data_2017!BM55))</f>
        <v/>
      </c>
      <c r="BO55" s="148" t="str">
        <f>IF(CHOOSE(uxb_works!$B$46,"-",Data_2014_N!BO55,Data_2017!BN55)="","",CHOOSE(uxb_works!$B$46,"-",Data_2014_N!BO55,Data_2017!BN55))</f>
        <v/>
      </c>
      <c r="BP55" s="148" t="str">
        <f>IF(CHOOSE(uxb_works!$B$46,"-",Data_2014_N!BP55,Data_2017!BO55)="","",CHOOSE(uxb_works!$B$46,"-",Data_2014_N!BP55,Data_2017!BO55))</f>
        <v/>
      </c>
      <c r="BQ55" s="148" t="str">
        <f>IF(CHOOSE(uxb_works!$B$46,"-",Data_2014_N!BQ55,Data_2017!BP55)="","",CHOOSE(uxb_works!$B$46,"-",Data_2014_N!BQ55,Data_2017!BP55))</f>
        <v/>
      </c>
      <c r="BR55" s="325" t="str">
        <f>IF(CHOOSE(uxb_works!$B$46,"-",Data_2014_N!BR55,Data_2017!BR55)="","",CHOOSE(uxb_works!$B$46,"-",Data_2014_N!BR55,Data_2017!BR55))</f>
        <v/>
      </c>
    </row>
    <row r="56" s="112" customFormat="1" ht="22.5" customHeight="1" spans="1:85">
      <c r="A56"/>
      <c r="B56" s="133">
        <f>tblIndicators!A52</f>
        <v>51</v>
      </c>
      <c r="C56" s="133">
        <f>tblIndicators!B52</f>
        <v>0</v>
      </c>
      <c r="D56" s="310">
        <f>CHOOSE(uxb_works!$B$46,#REF!,Data_2014_N!D56,Data_2017!D56)</f>
        <v>3</v>
      </c>
      <c r="E56" s="133" t="str">
        <f>tblIndicators!E52</f>
        <v>PESE4.2</v>
      </c>
      <c r="F56" s="133" t="str">
        <f>tblIndicators!H52</f>
        <v>Prevalence of petty crime</v>
      </c>
      <c r="G56" s="133">
        <f>tblIndicators!Z52</f>
        <v>3</v>
      </c>
      <c r="H56" s="105" t="str">
        <f>REPT(" ",D56)&amp;CHOOSE(uxb_works!$B$46,#REF!,Data_2014_N!H56,Data_2017!H56)</f>
        <v>      4.2.1) Prevalence of petty crime</v>
      </c>
      <c r="I56" s="319" t="str">
        <f>IF(CHOOSE(uxb_works!$B$46,#REF!,Data_2014_N!I56,Data_2017!I56)="","",CHOOSE(uxb_works!$B$46,#REF!,Data_2014_N!I56,Data_2017!I56))</f>
        <v>Scale 1 - 5</v>
      </c>
      <c r="J56" s="148">
        <f>IF(CHOOSE(uxb_works!$B$46,"-",Data_2014_N!J56,Data_2017!J56)="","",CHOOSE(uxb_works!$B$46,"-",Data_2014_N!J56,Data_2017!J56))</f>
        <v>2</v>
      </c>
      <c r="K56" s="148">
        <f>IF(CHOOSE(uxb_works!$B$46,"-",Data_2014_N!K56,Data_2017!K56)="","",CHOOSE(uxb_works!$B$46,"-",Data_2014_N!K56,Data_2017!K56))</f>
        <v>3</v>
      </c>
      <c r="L56" s="148">
        <f>IF(CHOOSE(uxb_works!$B$46,"-",Data_2014_N!L56,Data_2017!L56)="","",CHOOSE(uxb_works!$B$46,"-",Data_2014_N!L56,Data_2017!L56))</f>
        <v>2</v>
      </c>
      <c r="M56" s="148">
        <f>IF(CHOOSE(uxb_works!$B$46,"-",Data_2014_N!M56,Data_2017!M56)="","",CHOOSE(uxb_works!$B$46,"-",Data_2014_N!M56,Data_2017!M56))</f>
        <v>3</v>
      </c>
      <c r="N56" s="148">
        <f>IF(CHOOSE(uxb_works!$B$46,"-",Data_2014_N!N56,Data_2017!N56)="","",CHOOSE(uxb_works!$B$46,"-",Data_2014_N!N56,Data_2017!N56))</f>
        <v>2</v>
      </c>
      <c r="O56" s="148">
        <f>IF(CHOOSE(uxb_works!$B$46,"-",Data_2014_N!O56,Data_2017!O56)="","",CHOOSE(uxb_works!$B$46,"-",Data_2014_N!O56,Data_2017!O56))</f>
        <v>3</v>
      </c>
      <c r="P56" s="148">
        <f>IF(CHOOSE(uxb_works!$B$46,"-",Data_2014_N!P56,Data_2017!P56)="","",CHOOSE(uxb_works!$B$46,"-",Data_2014_N!P56,Data_2017!P56))</f>
        <v>5</v>
      </c>
      <c r="Q56" s="148">
        <f>IF(CHOOSE(uxb_works!$B$46,"-",Data_2014_N!Q56,Data_2017!Q56)="","",CHOOSE(uxb_works!$B$46,"-",Data_2014_N!Q56,Data_2017!Q56))</f>
        <v>2</v>
      </c>
      <c r="R56" s="148">
        <f>IF(CHOOSE(uxb_works!$B$46,"-",Data_2014_N!R56,Data_2017!R56)="","",CHOOSE(uxb_works!$B$46,"-",Data_2014_N!R56,Data_2017!R56))</f>
        <v>3</v>
      </c>
      <c r="S56" s="148">
        <f>IF(CHOOSE(uxb_works!$B$46,"-",Data_2014_N!S56,Data_2017!S56)="","",CHOOSE(uxb_works!$B$46,"-",Data_2014_N!S56,Data_2017!S56))</f>
        <v>3</v>
      </c>
      <c r="T56" s="148">
        <f>IF(CHOOSE(uxb_works!$B$46,"-",Data_2014_N!T56,Data_2017!T56)="","",CHOOSE(uxb_works!$B$46,"-",Data_2014_N!T56,Data_2017!T56))</f>
        <v>5</v>
      </c>
      <c r="U56" s="148">
        <f>IF(CHOOSE(uxb_works!$B$46,"-",Data_2014_N!U56,Data_2017!U56)="","",CHOOSE(uxb_works!$B$46,"-",Data_2014_N!U56,Data_2017!U56))</f>
        <v>2</v>
      </c>
      <c r="V56" s="148">
        <f>IF(CHOOSE(uxb_works!$B$46,"-",Data_2014_N!V56,Data_2017!V56)="","",CHOOSE(uxb_works!$B$46,"-",Data_2014_N!V56,Data_2017!V56))</f>
        <v>2</v>
      </c>
      <c r="W56" s="148">
        <f>IF(CHOOSE(uxb_works!$B$46,"-",Data_2014_N!W56,Data_2017!W56)="","",CHOOSE(uxb_works!$B$46,"-",Data_2014_N!W56,Data_2017!W56))</f>
        <v>2</v>
      </c>
      <c r="X56" s="148">
        <f>IF(CHOOSE(uxb_works!$B$46,"-",Data_2014_N!X56,Data_2017!X56)="","",CHOOSE(uxb_works!$B$46,"-",Data_2014_N!X56,Data_2017!X56))</f>
        <v>3</v>
      </c>
      <c r="Y56" s="148">
        <f>IF(CHOOSE(uxb_works!$B$46,"-",Data_2014_N!Y56,Data_2017!Y56)="","",CHOOSE(uxb_works!$B$46,"-",Data_2014_N!Y56,Data_2017!Y56))</f>
        <v>3</v>
      </c>
      <c r="Z56" s="148">
        <f>IF(CHOOSE(uxb_works!$B$46,"-",Data_2014_N!Z56,Data_2017!Z56)="","",CHOOSE(uxb_works!$B$46,"-",Data_2014_N!Z56,Data_2017!Z56))</f>
        <v>2</v>
      </c>
      <c r="AA56" s="148">
        <f>IF(CHOOSE(uxb_works!$B$46,"-",Data_2014_N!AA56,Data_2017!AA56)="","",CHOOSE(uxb_works!$B$46,"-",Data_2014_N!AA56,Data_2017!AA56))</f>
        <v>2</v>
      </c>
      <c r="AB56" s="148">
        <f>IF(CHOOSE(uxb_works!$B$46,"-",Data_2014_N!AB56,Data_2017!AB56)="","",CHOOSE(uxb_works!$B$46,"-",Data_2014_N!AB56,Data_2017!AB56))</f>
        <v>4</v>
      </c>
      <c r="AC56" s="148">
        <f>IF(CHOOSE(uxb_works!$B$46,"-",Data_2014_N!AC56,Data_2017!AC56)="","",CHOOSE(uxb_works!$B$46,"-",Data_2014_N!AC56,Data_2017!AC56))</f>
        <v>2</v>
      </c>
      <c r="AD56" s="148">
        <f>IF(CHOOSE(uxb_works!$B$46,"-",Data_2014_N!AD56,Data_2017!AD56)="","",CHOOSE(uxb_works!$B$46,"-",Data_2014_N!AD56,Data_2017!AD56))</f>
        <v>3</v>
      </c>
      <c r="AE56" s="148">
        <f>IF(CHOOSE(uxb_works!$B$46,"-",Data_2014_N!AE56,Data_2017!AE56)="","",CHOOSE(uxb_works!$B$46,"-",Data_2014_N!AE56,Data_2017!AE56))</f>
        <v>4</v>
      </c>
      <c r="AF56" s="148">
        <f>IF(CHOOSE(uxb_works!$B$46,"-",Data_2014_N!AF56,Data_2017!AF56)="","",CHOOSE(uxb_works!$B$46,"-",Data_2014_N!AF56,Data_2017!AF56))</f>
        <v>2</v>
      </c>
      <c r="AG56" s="148">
        <f>IF(CHOOSE(uxb_works!$B$46,"-",Data_2014_N!AG56,Data_2017!AG56)="","",CHOOSE(uxb_works!$B$46,"-",Data_2014_N!AG56,Data_2017!AG56))</f>
        <v>5</v>
      </c>
      <c r="AH56" s="148">
        <f>IF(CHOOSE(uxb_works!$B$46,"-",Data_2014_N!AH56,Data_2017!AH56)="","",CHOOSE(uxb_works!$B$46,"-",Data_2014_N!AH56,Data_2017!AH56))</f>
        <v>4</v>
      </c>
      <c r="AI56" s="148">
        <f>IF(CHOOSE(uxb_works!$B$46,"-",Data_2014_N!AI56,Data_2017!AI56)="","",CHOOSE(uxb_works!$B$46,"-",Data_2014_N!AI56,Data_2017!AI56))</f>
        <v>3</v>
      </c>
      <c r="AJ56" s="148">
        <f>IF(CHOOSE(uxb_works!$B$46,"-",Data_2014_N!AJ56,Data_2017!AJ56)="","",CHOOSE(uxb_works!$B$46,"-",Data_2014_N!AJ56,Data_2017!AJ56))</f>
        <v>2</v>
      </c>
      <c r="AK56" s="148" t="e">
        <f>IF(CHOOSE(uxb_works!$B$46,"-",Data_2014_N!AK56,Data_2017!#REF!)="","",CHOOSE(uxb_works!$B$46,"-",Data_2014_N!AK56,Data_2017!#REF!))</f>
        <v>#REF!</v>
      </c>
      <c r="AL56" s="148">
        <f>IF(CHOOSE(uxb_works!$B$46,"-",Data_2014_N!AL56,Data_2017!AK56)="","",CHOOSE(uxb_works!$B$46,"-",Data_2014_N!AL56,Data_2017!AK56))</f>
        <v>3</v>
      </c>
      <c r="AM56" s="148">
        <f>IF(CHOOSE(uxb_works!$B$46,"-",Data_2014_N!AM56,Data_2017!AL56)="","",CHOOSE(uxb_works!$B$46,"-",Data_2014_N!AM56,Data_2017!AL56))</f>
        <v>3</v>
      </c>
      <c r="AN56" s="148">
        <f>IF(CHOOSE(uxb_works!$B$46,"-",Data_2014_N!AN56,Data_2017!AM56)="","",CHOOSE(uxb_works!$B$46,"-",Data_2014_N!AN56,Data_2017!AM56))</f>
        <v>2</v>
      </c>
      <c r="AO56" s="148">
        <f>IF(CHOOSE(uxb_works!$B$46,"-",Data_2014_N!AO56,Data_2017!AN56)="","",CHOOSE(uxb_works!$B$46,"-",Data_2014_N!AO56,Data_2017!AN56))</f>
        <v>2</v>
      </c>
      <c r="AP56" s="148">
        <f>IF(CHOOSE(uxb_works!$B$46,"-",Data_2014_N!AP56,Data_2017!AO56)="","",CHOOSE(uxb_works!$B$46,"-",Data_2014_N!AP56,Data_2017!AO56))</f>
        <v>3</v>
      </c>
      <c r="AQ56" s="148">
        <f>IF(CHOOSE(uxb_works!$B$46,"-",Data_2014_N!AQ56,Data_2017!AP56)="","",CHOOSE(uxb_works!$B$46,"-",Data_2014_N!AQ56,Data_2017!AP56))</f>
        <v>2</v>
      </c>
      <c r="AR56" s="148">
        <f>IF(CHOOSE(uxb_works!$B$46,"-",Data_2014_N!AR56,Data_2017!AQ56)="","",CHOOSE(uxb_works!$B$46,"-",Data_2014_N!AR56,Data_2017!AQ56))</f>
        <v>5</v>
      </c>
      <c r="AS56" s="148">
        <f>IF(CHOOSE(uxb_works!$B$46,"-",Data_2014_N!AS56,Data_2017!AR56)="","",CHOOSE(uxb_works!$B$46,"-",Data_2014_N!AS56,Data_2017!AR56))</f>
        <v>2</v>
      </c>
      <c r="AT56" s="148">
        <f>IF(CHOOSE(uxb_works!$B$46,"-",Data_2014_N!AT56,Data_2017!AS56)="","",CHOOSE(uxb_works!$B$46,"-",Data_2014_N!AT56,Data_2017!AS56))</f>
        <v>3</v>
      </c>
      <c r="AU56" s="148">
        <f>IF(CHOOSE(uxb_works!$B$46,"-",Data_2014_N!AU56,Data_2017!AT56)="","",CHOOSE(uxb_works!$B$46,"-",Data_2014_N!AU56,Data_2017!AT56))</f>
        <v>4</v>
      </c>
      <c r="AV56" s="148">
        <f>IF(CHOOSE(uxb_works!$B$46,"-",Data_2014_N!AV56,Data_2017!AU56)="","",CHOOSE(uxb_works!$B$46,"-",Data_2014_N!AV56,Data_2017!AU56))</f>
        <v>3</v>
      </c>
      <c r="AW56" s="148">
        <f>IF(CHOOSE(uxb_works!$B$46,"-",Data_2014_N!AW56,Data_2017!AV56)="","",CHOOSE(uxb_works!$B$46,"-",Data_2014_N!AW56,Data_2017!AV56))</f>
        <v>2</v>
      </c>
      <c r="AX56" s="148">
        <f>IF(CHOOSE(uxb_works!$B$46,"-",Data_2014_N!AX56,Data_2017!AW56)="","",CHOOSE(uxb_works!$B$46,"-",Data_2014_N!AX56,Data_2017!AW56))</f>
        <v>2</v>
      </c>
      <c r="AY56" s="148">
        <f>IF(CHOOSE(uxb_works!$B$46,"-",Data_2014_N!AY56,Data_2017!AX56)="","",CHOOSE(uxb_works!$B$46,"-",Data_2014_N!AY56,Data_2017!AX56))</f>
        <v>5</v>
      </c>
      <c r="AZ56" s="148">
        <f>IF(CHOOSE(uxb_works!$B$46,"-",Data_2014_N!AZ56,Data_2017!AY56)="","",CHOOSE(uxb_works!$B$46,"-",Data_2014_N!AZ56,Data_2017!AY56))</f>
        <v>4</v>
      </c>
      <c r="BA56" s="148">
        <f>IF(CHOOSE(uxb_works!$B$46,"-",Data_2014_N!BA56,Data_2017!AZ56)="","",CHOOSE(uxb_works!$B$46,"-",Data_2014_N!BA56,Data_2017!AZ56))</f>
        <v>2</v>
      </c>
      <c r="BB56" s="148">
        <f>IF(CHOOSE(uxb_works!$B$46,"-",Data_2014_N!BB56,Data_2017!BA56)="","",CHOOSE(uxb_works!$B$46,"-",Data_2014_N!BB56,Data_2017!BA56))</f>
        <v>3</v>
      </c>
      <c r="BC56" s="148">
        <f>IF(CHOOSE(uxb_works!$B$46,"-",Data_2014_N!BC56,Data_2017!BB56)="","",CHOOSE(uxb_works!$B$46,"-",Data_2014_N!BC56,Data_2017!BB56))</f>
        <v>2</v>
      </c>
      <c r="BD56" s="148">
        <f>IF(CHOOSE(uxb_works!$B$46,"-",Data_2014_N!BD56,Data_2017!BC56)="","",CHOOSE(uxb_works!$B$46,"-",Data_2014_N!BD56,Data_2017!BC56))</f>
        <v>3</v>
      </c>
      <c r="BE56" s="148">
        <f>IF(CHOOSE(uxb_works!$B$46,"-",Data_2014_N!BE56,Data_2017!BD56)="","",CHOOSE(uxb_works!$B$46,"-",Data_2014_N!BE56,Data_2017!BD56))</f>
        <v>4</v>
      </c>
      <c r="BF56" s="148">
        <f>IF(CHOOSE(uxb_works!$B$46,"-",Data_2014_N!BF56,Data_2017!BE56)="","",CHOOSE(uxb_works!$B$46,"-",Data_2014_N!BF56,Data_2017!BE56))</f>
        <v>2</v>
      </c>
      <c r="BG56" s="148">
        <f>IF(CHOOSE(uxb_works!$B$46,"-",Data_2014_N!BG56,Data_2017!BF56)="","",CHOOSE(uxb_works!$B$46,"-",Data_2014_N!BG56,Data_2017!BF56))</f>
        <v>3</v>
      </c>
      <c r="BH56" s="148">
        <f>IF(CHOOSE(uxb_works!$B$46,"-",Data_2014_N!BH56,Data_2017!BG56)="","",CHOOSE(uxb_works!$B$46,"-",Data_2014_N!BH56,Data_2017!BG56))</f>
        <v>1</v>
      </c>
      <c r="BI56" s="148">
        <f>IF(CHOOSE(uxb_works!$B$46,"-",Data_2014_N!BI56,Data_2017!BH56)="","",CHOOSE(uxb_works!$B$46,"-",Data_2014_N!BI56,Data_2017!BH56))</f>
        <v>2</v>
      </c>
      <c r="BJ56" s="148">
        <f>IF(CHOOSE(uxb_works!$B$46,"-",Data_2014_N!BJ56,Data_2017!BI56)="","",CHOOSE(uxb_works!$B$46,"-",Data_2014_N!BJ56,Data_2017!BI56))</f>
        <v>2</v>
      </c>
      <c r="BK56" s="148">
        <f>IF(CHOOSE(uxb_works!$B$46,"-",Data_2014_N!BK56,Data_2017!BJ56)="","",CHOOSE(uxb_works!$B$46,"-",Data_2014_N!BK56,Data_2017!BJ56))</f>
        <v>2</v>
      </c>
      <c r="BL56" s="148">
        <f>IF(CHOOSE(uxb_works!$B$46,"-",Data_2014_N!BL56,Data_2017!BK56)="","",CHOOSE(uxb_works!$B$46,"-",Data_2014_N!BL56,Data_2017!BK56))</f>
        <v>3</v>
      </c>
      <c r="BM56" s="148">
        <f>IF(CHOOSE(uxb_works!$B$46,"-",Data_2014_N!BM56,Data_2017!BL56)="","",CHOOSE(uxb_works!$B$46,"-",Data_2014_N!BM56,Data_2017!BL56))</f>
        <v>2</v>
      </c>
      <c r="BN56" s="148">
        <f>IF(CHOOSE(uxb_works!$B$46,"-",Data_2014_N!BN56,Data_2017!BM56)="","",CHOOSE(uxb_works!$B$46,"-",Data_2014_N!BN56,Data_2017!BM56))</f>
        <v>1</v>
      </c>
      <c r="BO56" s="148">
        <f>IF(CHOOSE(uxb_works!$B$46,"-",Data_2014_N!BO56,Data_2017!BN56)="","",CHOOSE(uxb_works!$B$46,"-",Data_2014_N!BO56,Data_2017!BN56))</f>
        <v>2</v>
      </c>
      <c r="BP56" s="148">
        <f>IF(CHOOSE(uxb_works!$B$46,"-",Data_2014_N!BP56,Data_2017!BO56)="","",CHOOSE(uxb_works!$B$46,"-",Data_2014_N!BP56,Data_2017!BO56))</f>
        <v>2</v>
      </c>
      <c r="BQ56" s="148">
        <f>IF(CHOOSE(uxb_works!$B$46,"-",Data_2014_N!BQ56,Data_2017!BP56)="","",CHOOSE(uxb_works!$B$46,"-",Data_2014_N!BQ56,Data_2017!BP56))</f>
        <v>3</v>
      </c>
      <c r="BR56" s="325">
        <f>IF(CHOOSE(uxb_works!$B$46,"-",Data_2014_N!BR56,Data_2017!BR56)="","",CHOOSE(uxb_works!$B$46,"-",Data_2014_N!BR56,Data_2017!BR56))</f>
        <v>2</v>
      </c>
      <c r="CC56" s="112">
        <v>2</v>
      </c>
      <c r="CD56" s="112">
        <v>3</v>
      </c>
      <c r="CE56" s="112">
        <v>2</v>
      </c>
      <c r="CF56" s="112">
        <v>1</v>
      </c>
      <c r="CG56" s="112">
        <v>2</v>
      </c>
    </row>
    <row r="57" s="112" customFormat="1" ht="22.5" customHeight="1" spans="1:85">
      <c r="A57"/>
      <c r="B57" s="133">
        <f>tblIndicators!A53</f>
        <v>52</v>
      </c>
      <c r="C57" s="133">
        <f>tblIndicators!B53</f>
        <v>0</v>
      </c>
      <c r="D57" s="310">
        <f>CHOOSE(uxb_works!$B$46,#REF!,Data_2014_N!D57,Data_2017!D57)</f>
        <v>3</v>
      </c>
      <c r="E57" s="133" t="str">
        <f>tblIndicators!E53</f>
        <v>PESE4.2</v>
      </c>
      <c r="F57" s="133" t="str">
        <f>tblIndicators!H53</f>
        <v>Prevalence of violent crime</v>
      </c>
      <c r="G57" s="133">
        <f>tblIndicators!Z53</f>
        <v>3</v>
      </c>
      <c r="H57" s="105" t="str">
        <f>REPT(" ",D57)&amp;CHOOSE(uxb_works!$B$46,#REF!,Data_2014_N!H57,Data_2017!H57)</f>
        <v>      4.2.2) Prevalence of violent crime</v>
      </c>
      <c r="I57" s="319" t="str">
        <f>IF(CHOOSE(uxb_works!$B$46,#REF!,Data_2014_N!I57,Data_2017!I57)="","",CHOOSE(uxb_works!$B$46,#REF!,Data_2014_N!I57,Data_2017!I57))</f>
        <v>Scale 1 - 5</v>
      </c>
      <c r="J57" s="148">
        <f>IF(CHOOSE(uxb_works!$B$46,"-",Data_2014_N!J57,Data_2017!J57)="","",CHOOSE(uxb_works!$B$46,"-",Data_2014_N!J57,Data_2017!J57))</f>
        <v>1</v>
      </c>
      <c r="K57" s="148">
        <f>IF(CHOOSE(uxb_works!$B$46,"-",Data_2014_N!K57,Data_2017!K57)="","",CHOOSE(uxb_works!$B$46,"-",Data_2014_N!K57,Data_2017!K57))</f>
        <v>2</v>
      </c>
      <c r="L57" s="148">
        <f>IF(CHOOSE(uxb_works!$B$46,"-",Data_2014_N!L57,Data_2017!L57)="","",CHOOSE(uxb_works!$B$46,"-",Data_2014_N!L57,Data_2017!L57))</f>
        <v>1</v>
      </c>
      <c r="M57" s="148">
        <f>IF(CHOOSE(uxb_works!$B$46,"-",Data_2014_N!M57,Data_2017!M57)="","",CHOOSE(uxb_works!$B$46,"-",Data_2014_N!M57,Data_2017!M57))</f>
        <v>2</v>
      </c>
      <c r="N57" s="148">
        <f>IF(CHOOSE(uxb_works!$B$46,"-",Data_2014_N!N57,Data_2017!N57)="","",CHOOSE(uxb_works!$B$46,"-",Data_2014_N!N57,Data_2017!N57))</f>
        <v>2</v>
      </c>
      <c r="O57" s="148">
        <f>IF(CHOOSE(uxb_works!$B$46,"-",Data_2014_N!O57,Data_2017!O57)="","",CHOOSE(uxb_works!$B$46,"-",Data_2014_N!O57,Data_2017!O57))</f>
        <v>2</v>
      </c>
      <c r="P57" s="148">
        <f>IF(CHOOSE(uxb_works!$B$46,"-",Data_2014_N!P57,Data_2017!P57)="","",CHOOSE(uxb_works!$B$46,"-",Data_2014_N!P57,Data_2017!P57))</f>
        <v>4</v>
      </c>
      <c r="Q57" s="148">
        <f>IF(CHOOSE(uxb_works!$B$46,"-",Data_2014_N!Q57,Data_2017!Q57)="","",CHOOSE(uxb_works!$B$46,"-",Data_2014_N!Q57,Data_2017!Q57))</f>
        <v>2</v>
      </c>
      <c r="R57" s="148">
        <f>IF(CHOOSE(uxb_works!$B$46,"-",Data_2014_N!R57,Data_2017!R57)="","",CHOOSE(uxb_works!$B$46,"-",Data_2014_N!R57,Data_2017!R57))</f>
        <v>3</v>
      </c>
      <c r="S57" s="148">
        <f>IF(CHOOSE(uxb_works!$B$46,"-",Data_2014_N!S57,Data_2017!S57)="","",CHOOSE(uxb_works!$B$46,"-",Data_2014_N!S57,Data_2017!S57))</f>
        <v>2</v>
      </c>
      <c r="T57" s="148">
        <f>IF(CHOOSE(uxb_works!$B$46,"-",Data_2014_N!T57,Data_2017!T57)="","",CHOOSE(uxb_works!$B$46,"-",Data_2014_N!T57,Data_2017!T57))</f>
        <v>5</v>
      </c>
      <c r="U57" s="148">
        <f>IF(CHOOSE(uxb_works!$B$46,"-",Data_2014_N!U57,Data_2017!U57)="","",CHOOSE(uxb_works!$B$46,"-",Data_2014_N!U57,Data_2017!U57))</f>
        <v>2</v>
      </c>
      <c r="V57" s="148">
        <f>IF(CHOOSE(uxb_works!$B$46,"-",Data_2014_N!V57,Data_2017!V57)="","",CHOOSE(uxb_works!$B$46,"-",Data_2014_N!V57,Data_2017!V57))</f>
        <v>2</v>
      </c>
      <c r="W57" s="148">
        <f>IF(CHOOSE(uxb_works!$B$46,"-",Data_2014_N!W57,Data_2017!W57)="","",CHOOSE(uxb_works!$B$46,"-",Data_2014_N!W57,Data_2017!W57))</f>
        <v>3</v>
      </c>
      <c r="X57" s="148">
        <f>IF(CHOOSE(uxb_works!$B$46,"-",Data_2014_N!X57,Data_2017!X57)="","",CHOOSE(uxb_works!$B$46,"-",Data_2014_N!X57,Data_2017!X57))</f>
        <v>3</v>
      </c>
      <c r="Y57" s="148">
        <f>IF(CHOOSE(uxb_works!$B$46,"-",Data_2014_N!Y57,Data_2017!Y57)="","",CHOOSE(uxb_works!$B$46,"-",Data_2014_N!Y57,Data_2017!Y57))</f>
        <v>3</v>
      </c>
      <c r="Z57" s="148">
        <f>IF(CHOOSE(uxb_works!$B$46,"-",Data_2014_N!Z57,Data_2017!Z57)="","",CHOOSE(uxb_works!$B$46,"-",Data_2014_N!Z57,Data_2017!Z57))</f>
        <v>1</v>
      </c>
      <c r="AA57" s="148">
        <f>IF(CHOOSE(uxb_works!$B$46,"-",Data_2014_N!AA57,Data_2017!AA57)="","",CHOOSE(uxb_works!$B$46,"-",Data_2014_N!AA57,Data_2017!AA57))</f>
        <v>2</v>
      </c>
      <c r="AB57" s="148">
        <f>IF(CHOOSE(uxb_works!$B$46,"-",Data_2014_N!AB57,Data_2017!AB57)="","",CHOOSE(uxb_works!$B$46,"-",Data_2014_N!AB57,Data_2017!AB57))</f>
        <v>3</v>
      </c>
      <c r="AC57" s="148">
        <f>IF(CHOOSE(uxb_works!$B$46,"-",Data_2014_N!AC57,Data_2017!AC57)="","",CHOOSE(uxb_works!$B$46,"-",Data_2014_N!AC57,Data_2017!AC57))</f>
        <v>1</v>
      </c>
      <c r="AD57" s="148">
        <f>IF(CHOOSE(uxb_works!$B$46,"-",Data_2014_N!AD57,Data_2017!AD57)="","",CHOOSE(uxb_works!$B$46,"-",Data_2014_N!AD57,Data_2017!AD57))</f>
        <v>3</v>
      </c>
      <c r="AE57" s="148">
        <f>IF(CHOOSE(uxb_works!$B$46,"-",Data_2014_N!AE57,Data_2017!AE57)="","",CHOOSE(uxb_works!$B$46,"-",Data_2014_N!AE57,Data_2017!AE57))</f>
        <v>2</v>
      </c>
      <c r="AF57" s="148">
        <f>IF(CHOOSE(uxb_works!$B$46,"-",Data_2014_N!AF57,Data_2017!AF57)="","",CHOOSE(uxb_works!$B$46,"-",Data_2014_N!AF57,Data_2017!AF57))</f>
        <v>1</v>
      </c>
      <c r="AG57" s="148">
        <f>IF(CHOOSE(uxb_works!$B$46,"-",Data_2014_N!AG57,Data_2017!AG57)="","",CHOOSE(uxb_works!$B$46,"-",Data_2014_N!AG57,Data_2017!AG57))</f>
        <v>4</v>
      </c>
      <c r="AH57" s="148">
        <f>IF(CHOOSE(uxb_works!$B$46,"-",Data_2014_N!AH57,Data_2017!AH57)="","",CHOOSE(uxb_works!$B$46,"-",Data_2014_N!AH57,Data_2017!AH57))</f>
        <v>4</v>
      </c>
      <c r="AI57" s="148">
        <f>IF(CHOOSE(uxb_works!$B$46,"-",Data_2014_N!AI57,Data_2017!AI57)="","",CHOOSE(uxb_works!$B$46,"-",Data_2014_N!AI57,Data_2017!AI57))</f>
        <v>2</v>
      </c>
      <c r="AJ57" s="148">
        <f>IF(CHOOSE(uxb_works!$B$46,"-",Data_2014_N!AJ57,Data_2017!AJ57)="","",CHOOSE(uxb_works!$B$46,"-",Data_2014_N!AJ57,Data_2017!AJ57))</f>
        <v>1</v>
      </c>
      <c r="AK57" s="148" t="e">
        <f>IF(CHOOSE(uxb_works!$B$46,"-",Data_2014_N!AK57,Data_2017!#REF!)="","",CHOOSE(uxb_works!$B$46,"-",Data_2014_N!AK57,Data_2017!#REF!))</f>
        <v>#REF!</v>
      </c>
      <c r="AL57" s="148">
        <f>IF(CHOOSE(uxb_works!$B$46,"-",Data_2014_N!AL57,Data_2017!AK57)="","",CHOOSE(uxb_works!$B$46,"-",Data_2014_N!AL57,Data_2017!AK57))</f>
        <v>3</v>
      </c>
      <c r="AM57" s="148">
        <f>IF(CHOOSE(uxb_works!$B$46,"-",Data_2014_N!AM57,Data_2017!AL57)="","",CHOOSE(uxb_works!$B$46,"-",Data_2014_N!AM57,Data_2017!AL57))</f>
        <v>2</v>
      </c>
      <c r="AN57" s="148">
        <f>IF(CHOOSE(uxb_works!$B$46,"-",Data_2014_N!AN57,Data_2017!AM57)="","",CHOOSE(uxb_works!$B$46,"-",Data_2014_N!AN57,Data_2017!AM57))</f>
        <v>2</v>
      </c>
      <c r="AO57" s="148">
        <f>IF(CHOOSE(uxb_works!$B$46,"-",Data_2014_N!AO57,Data_2017!AN57)="","",CHOOSE(uxb_works!$B$46,"-",Data_2014_N!AO57,Data_2017!AN57))</f>
        <v>2</v>
      </c>
      <c r="AP57" s="148">
        <f>IF(CHOOSE(uxb_works!$B$46,"-",Data_2014_N!AP57,Data_2017!AO57)="","",CHOOSE(uxb_works!$B$46,"-",Data_2014_N!AP57,Data_2017!AO57))</f>
        <v>2</v>
      </c>
      <c r="AQ57" s="148">
        <f>IF(CHOOSE(uxb_works!$B$46,"-",Data_2014_N!AQ57,Data_2017!AP57)="","",CHOOSE(uxb_works!$B$46,"-",Data_2014_N!AQ57,Data_2017!AP57))</f>
        <v>1</v>
      </c>
      <c r="AR57" s="148">
        <f>IF(CHOOSE(uxb_works!$B$46,"-",Data_2014_N!AR57,Data_2017!AQ57)="","",CHOOSE(uxb_works!$B$46,"-",Data_2014_N!AR57,Data_2017!AQ57))</f>
        <v>5</v>
      </c>
      <c r="AS57" s="148">
        <f>IF(CHOOSE(uxb_works!$B$46,"-",Data_2014_N!AS57,Data_2017!AR57)="","",CHOOSE(uxb_works!$B$46,"-",Data_2014_N!AS57,Data_2017!AR57))</f>
        <v>2</v>
      </c>
      <c r="AT57" s="148">
        <f>IF(CHOOSE(uxb_works!$B$46,"-",Data_2014_N!AT57,Data_2017!AS57)="","",CHOOSE(uxb_works!$B$46,"-",Data_2014_N!AT57,Data_2017!AS57))</f>
        <v>2</v>
      </c>
      <c r="AU57" s="148">
        <f>IF(CHOOSE(uxb_works!$B$46,"-",Data_2014_N!AU57,Data_2017!AT57)="","",CHOOSE(uxb_works!$B$46,"-",Data_2014_N!AU57,Data_2017!AT57))</f>
        <v>2</v>
      </c>
      <c r="AV57" s="148">
        <f>IF(CHOOSE(uxb_works!$B$46,"-",Data_2014_N!AV57,Data_2017!AU57)="","",CHOOSE(uxb_works!$B$46,"-",Data_2014_N!AV57,Data_2017!AU57))</f>
        <v>2</v>
      </c>
      <c r="AW57" s="148">
        <f>IF(CHOOSE(uxb_works!$B$46,"-",Data_2014_N!AW57,Data_2017!AV57)="","",CHOOSE(uxb_works!$B$46,"-",Data_2014_N!AW57,Data_2017!AV57))</f>
        <v>1</v>
      </c>
      <c r="AX57" s="148">
        <f>IF(CHOOSE(uxb_works!$B$46,"-",Data_2014_N!AX57,Data_2017!AW57)="","",CHOOSE(uxb_works!$B$46,"-",Data_2014_N!AX57,Data_2017!AW57))</f>
        <v>2</v>
      </c>
      <c r="AY57" s="148">
        <f>IF(CHOOSE(uxb_works!$B$46,"-",Data_2014_N!AY57,Data_2017!AX57)="","",CHOOSE(uxb_works!$B$46,"-",Data_2014_N!AY57,Data_2017!AX57))</f>
        <v>4</v>
      </c>
      <c r="AZ57" s="148">
        <f>IF(CHOOSE(uxb_works!$B$46,"-",Data_2014_N!AZ57,Data_2017!AY57)="","",CHOOSE(uxb_works!$B$46,"-",Data_2014_N!AZ57,Data_2017!AY57))</f>
        <v>4</v>
      </c>
      <c r="BA57" s="148">
        <f>IF(CHOOSE(uxb_works!$B$46,"-",Data_2014_N!BA57,Data_2017!AZ57)="","",CHOOSE(uxb_works!$B$46,"-",Data_2014_N!BA57,Data_2017!AZ57))</f>
        <v>1</v>
      </c>
      <c r="BB57" s="148">
        <f>IF(CHOOSE(uxb_works!$B$46,"-",Data_2014_N!BB57,Data_2017!BA57)="","",CHOOSE(uxb_works!$B$46,"-",Data_2014_N!BB57,Data_2017!BA57))</f>
        <v>2</v>
      </c>
      <c r="BC57" s="148">
        <f>IF(CHOOSE(uxb_works!$B$46,"-",Data_2014_N!BC57,Data_2017!BB57)="","",CHOOSE(uxb_works!$B$46,"-",Data_2014_N!BC57,Data_2017!BB57))</f>
        <v>2</v>
      </c>
      <c r="BD57" s="148">
        <f>IF(CHOOSE(uxb_works!$B$46,"-",Data_2014_N!BD57,Data_2017!BC57)="","",CHOOSE(uxb_works!$B$46,"-",Data_2014_N!BD57,Data_2017!BC57))</f>
        <v>3</v>
      </c>
      <c r="BE57" s="148">
        <f>IF(CHOOSE(uxb_works!$B$46,"-",Data_2014_N!BE57,Data_2017!BD57)="","",CHOOSE(uxb_works!$B$46,"-",Data_2014_N!BE57,Data_2017!BD57))</f>
        <v>4</v>
      </c>
      <c r="BF57" s="148">
        <f>IF(CHOOSE(uxb_works!$B$46,"-",Data_2014_N!BF57,Data_2017!BE57)="","",CHOOSE(uxb_works!$B$46,"-",Data_2014_N!BF57,Data_2017!BE57))</f>
        <v>1</v>
      </c>
      <c r="BG57" s="148">
        <f>IF(CHOOSE(uxb_works!$B$46,"-",Data_2014_N!BG57,Data_2017!BF57)="","",CHOOSE(uxb_works!$B$46,"-",Data_2014_N!BG57,Data_2017!BF57))</f>
        <v>2</v>
      </c>
      <c r="BH57" s="148">
        <f>IF(CHOOSE(uxb_works!$B$46,"-",Data_2014_N!BH57,Data_2017!BG57)="","",CHOOSE(uxb_works!$B$46,"-",Data_2014_N!BH57,Data_2017!BG57))</f>
        <v>1</v>
      </c>
      <c r="BI57" s="148">
        <f>IF(CHOOSE(uxb_works!$B$46,"-",Data_2014_N!BI57,Data_2017!BH57)="","",CHOOSE(uxb_works!$B$46,"-",Data_2014_N!BI57,Data_2017!BH57))</f>
        <v>1</v>
      </c>
      <c r="BJ57" s="148">
        <f>IF(CHOOSE(uxb_works!$B$46,"-",Data_2014_N!BJ57,Data_2017!BI57)="","",CHOOSE(uxb_works!$B$46,"-",Data_2014_N!BJ57,Data_2017!BI57))</f>
        <v>2</v>
      </c>
      <c r="BK57" s="148">
        <f>IF(CHOOSE(uxb_works!$B$46,"-",Data_2014_N!BK57,Data_2017!BJ57)="","",CHOOSE(uxb_works!$B$46,"-",Data_2014_N!BK57,Data_2017!BJ57))</f>
        <v>2</v>
      </c>
      <c r="BL57" s="148">
        <f>IF(CHOOSE(uxb_works!$B$46,"-",Data_2014_N!BL57,Data_2017!BK57)="","",CHOOSE(uxb_works!$B$46,"-",Data_2014_N!BL57,Data_2017!BK57))</f>
        <v>2</v>
      </c>
      <c r="BM57" s="148">
        <f>IF(CHOOSE(uxb_works!$B$46,"-",Data_2014_N!BM57,Data_2017!BL57)="","",CHOOSE(uxb_works!$B$46,"-",Data_2014_N!BM57,Data_2017!BL57))</f>
        <v>1</v>
      </c>
      <c r="BN57" s="148">
        <f>IF(CHOOSE(uxb_works!$B$46,"-",Data_2014_N!BN57,Data_2017!BM57)="","",CHOOSE(uxb_works!$B$46,"-",Data_2014_N!BN57,Data_2017!BM57))</f>
        <v>1</v>
      </c>
      <c r="BO57" s="148">
        <f>IF(CHOOSE(uxb_works!$B$46,"-",Data_2014_N!BO57,Data_2017!BN57)="","",CHOOSE(uxb_works!$B$46,"-",Data_2014_N!BO57,Data_2017!BN57))</f>
        <v>2</v>
      </c>
      <c r="BP57" s="148">
        <f>IF(CHOOSE(uxb_works!$B$46,"-",Data_2014_N!BP57,Data_2017!BO57)="","",CHOOSE(uxb_works!$B$46,"-",Data_2014_N!BP57,Data_2017!BO57))</f>
        <v>1</v>
      </c>
      <c r="BQ57" s="148">
        <f>IF(CHOOSE(uxb_works!$B$46,"-",Data_2014_N!BQ57,Data_2017!BP57)="","",CHOOSE(uxb_works!$B$46,"-",Data_2014_N!BQ57,Data_2017!BP57))</f>
        <v>2</v>
      </c>
      <c r="BR57" s="325">
        <f>IF(CHOOSE(uxb_works!$B$46,"-",Data_2014_N!BR57,Data_2017!BR57)="","",CHOOSE(uxb_works!$B$46,"-",Data_2014_N!BR57,Data_2017!BR57))</f>
        <v>1</v>
      </c>
      <c r="CC57" s="112">
        <v>2</v>
      </c>
      <c r="CD57" s="112">
        <v>2</v>
      </c>
      <c r="CE57" s="112">
        <v>2</v>
      </c>
      <c r="CF57" s="112">
        <v>1</v>
      </c>
      <c r="CG57" s="112">
        <v>2</v>
      </c>
    </row>
    <row r="58" s="112" customFormat="1" ht="22.5" customHeight="1" spans="1:85">
      <c r="A58"/>
      <c r="B58" s="133">
        <f>tblIndicators!A54</f>
        <v>53</v>
      </c>
      <c r="C58" s="133">
        <f>tblIndicators!B54</f>
        <v>0</v>
      </c>
      <c r="D58" s="310">
        <f>CHOOSE(uxb_works!$B$46,#REF!,Data_2014_N!D58,Data_2017!D58)</f>
        <v>3</v>
      </c>
      <c r="E58" s="133" t="str">
        <f>tblIndicators!E54</f>
        <v>PESE4.2</v>
      </c>
      <c r="F58" s="133" t="str">
        <f>tblIndicators!H54</f>
        <v>Organised crime</v>
      </c>
      <c r="G58" s="133">
        <f>tblIndicators!Z54</f>
        <v>3</v>
      </c>
      <c r="H58" s="105" t="str">
        <f>REPT(" ",D58)&amp;CHOOSE(uxb_works!$B$46,#REF!,Data_2014_N!H58,Data_2017!H58)</f>
        <v>      4.2.3) Organised crime</v>
      </c>
      <c r="I58" s="319" t="str">
        <f>IF(CHOOSE(uxb_works!$B$46,#REF!,Data_2014_N!I58,Data_2017!I58)="","",CHOOSE(uxb_works!$B$46,#REF!,Data_2014_N!I58,Data_2017!I58))</f>
        <v>Scale 0 - 4</v>
      </c>
      <c r="J58" s="148">
        <f>IF(CHOOSE(uxb_works!$B$46,"-",Data_2014_N!J58,Data_2017!J58)="","",CHOOSE(uxb_works!$B$46,"-",Data_2014_N!J58,Data_2017!J58))</f>
        <v>1</v>
      </c>
      <c r="K58" s="148">
        <f>IF(CHOOSE(uxb_works!$B$46,"-",Data_2014_N!K58,Data_2017!K58)="","",CHOOSE(uxb_works!$B$46,"-",Data_2014_N!K58,Data_2017!K58))</f>
        <v>0</v>
      </c>
      <c r="L58" s="148">
        <f>IF(CHOOSE(uxb_works!$B$46,"-",Data_2014_N!L58,Data_2017!L58)="","",CHOOSE(uxb_works!$B$46,"-",Data_2014_N!L58,Data_2017!L58))</f>
        <v>2</v>
      </c>
      <c r="M58" s="148">
        <f>IF(CHOOSE(uxb_works!$B$46,"-",Data_2014_N!M58,Data_2017!M58)="","",CHOOSE(uxb_works!$B$46,"-",Data_2014_N!M58,Data_2017!M58))</f>
        <v>2</v>
      </c>
      <c r="N58" s="148">
        <f>IF(CHOOSE(uxb_works!$B$46,"-",Data_2014_N!N58,Data_2017!N58)="","",CHOOSE(uxb_works!$B$46,"-",Data_2014_N!N58,Data_2017!N58))</f>
        <v>1</v>
      </c>
      <c r="O58" s="148">
        <f>IF(CHOOSE(uxb_works!$B$46,"-",Data_2014_N!O58,Data_2017!O58)="","",CHOOSE(uxb_works!$B$46,"-",Data_2014_N!O58,Data_2017!O58))</f>
        <v>2</v>
      </c>
      <c r="P58" s="148">
        <f>IF(CHOOSE(uxb_works!$B$46,"-",Data_2014_N!P58,Data_2017!P58)="","",CHOOSE(uxb_works!$B$46,"-",Data_2014_N!P58,Data_2017!P58))</f>
        <v>3</v>
      </c>
      <c r="Q58" s="148">
        <f>IF(CHOOSE(uxb_works!$B$46,"-",Data_2014_N!Q58,Data_2017!Q58)="","",CHOOSE(uxb_works!$B$46,"-",Data_2014_N!Q58,Data_2017!Q58))</f>
        <v>1</v>
      </c>
      <c r="R58" s="148">
        <f>IF(CHOOSE(uxb_works!$B$46,"-",Data_2014_N!R58,Data_2017!R58)="","",CHOOSE(uxb_works!$B$46,"-",Data_2014_N!R58,Data_2017!R58))</f>
        <v>2</v>
      </c>
      <c r="S58" s="148">
        <f>IF(CHOOSE(uxb_works!$B$46,"-",Data_2014_N!S58,Data_2017!S58)="","",CHOOSE(uxb_works!$B$46,"-",Data_2014_N!S58,Data_2017!S58))</f>
        <v>2</v>
      </c>
      <c r="T58" s="148">
        <f>IF(CHOOSE(uxb_works!$B$46,"-",Data_2014_N!T58,Data_2017!T58)="","",CHOOSE(uxb_works!$B$46,"-",Data_2014_N!T58,Data_2017!T58))</f>
        <v>4</v>
      </c>
      <c r="U58" s="148">
        <f>IF(CHOOSE(uxb_works!$B$46,"-",Data_2014_N!U58,Data_2017!U58)="","",CHOOSE(uxb_works!$B$46,"-",Data_2014_N!U58,Data_2017!U58))</f>
        <v>3</v>
      </c>
      <c r="V58" s="148">
        <f>IF(CHOOSE(uxb_works!$B$46,"-",Data_2014_N!V58,Data_2017!V58)="","",CHOOSE(uxb_works!$B$46,"-",Data_2014_N!V58,Data_2017!V58))</f>
        <v>1</v>
      </c>
      <c r="W58" s="148">
        <f>IF(CHOOSE(uxb_works!$B$46,"-",Data_2014_N!W58,Data_2017!W58)="","",CHOOSE(uxb_works!$B$46,"-",Data_2014_N!W58,Data_2017!W58))</f>
        <v>1</v>
      </c>
      <c r="X58" s="148">
        <f>IF(CHOOSE(uxb_works!$B$46,"-",Data_2014_N!X58,Data_2017!X58)="","",CHOOSE(uxb_works!$B$46,"-",Data_2014_N!X58,Data_2017!X58))</f>
        <v>2</v>
      </c>
      <c r="Y58" s="148">
        <f>IF(CHOOSE(uxb_works!$B$46,"-",Data_2014_N!Y58,Data_2017!Y58)="","",CHOOSE(uxb_works!$B$46,"-",Data_2014_N!Y58,Data_2017!Y58))</f>
        <v>1</v>
      </c>
      <c r="Z58" s="148">
        <f>IF(CHOOSE(uxb_works!$B$46,"-",Data_2014_N!Z58,Data_2017!Z58)="","",CHOOSE(uxb_works!$B$46,"-",Data_2014_N!Z58,Data_2017!Z58))</f>
        <v>0</v>
      </c>
      <c r="AA58" s="148">
        <f>IF(CHOOSE(uxb_works!$B$46,"-",Data_2014_N!AA58,Data_2017!AA58)="","",CHOOSE(uxb_works!$B$46,"-",Data_2014_N!AA58,Data_2017!AA58))</f>
        <v>1</v>
      </c>
      <c r="AB58" s="148">
        <f>IF(CHOOSE(uxb_works!$B$46,"-",Data_2014_N!AB58,Data_2017!AB58)="","",CHOOSE(uxb_works!$B$46,"-",Data_2014_N!AB58,Data_2017!AB58))</f>
        <v>2</v>
      </c>
      <c r="AC58" s="148">
        <f>IF(CHOOSE(uxb_works!$B$46,"-",Data_2014_N!AC58,Data_2017!AC58)="","",CHOOSE(uxb_works!$B$46,"-",Data_2014_N!AC58,Data_2017!AC58))</f>
        <v>1</v>
      </c>
      <c r="AD58" s="148">
        <f>IF(CHOOSE(uxb_works!$B$46,"-",Data_2014_N!AD58,Data_2017!AD58)="","",CHOOSE(uxb_works!$B$46,"-",Data_2014_N!AD58,Data_2017!AD58))</f>
        <v>2</v>
      </c>
      <c r="AE58" s="148">
        <f>IF(CHOOSE(uxb_works!$B$46,"-",Data_2014_N!AE58,Data_2017!AE58)="","",CHOOSE(uxb_works!$B$46,"-",Data_2014_N!AE58,Data_2017!AE58))</f>
        <v>2</v>
      </c>
      <c r="AF58" s="148">
        <f>IF(CHOOSE(uxb_works!$B$46,"-",Data_2014_N!AF58,Data_2017!AF58)="","",CHOOSE(uxb_works!$B$46,"-",Data_2014_N!AF58,Data_2017!AF58))</f>
        <v>1</v>
      </c>
      <c r="AG58" s="148">
        <f>IF(CHOOSE(uxb_works!$B$46,"-",Data_2014_N!AG58,Data_2017!AG58)="","",CHOOSE(uxb_works!$B$46,"-",Data_2014_N!AG58,Data_2017!AG58))</f>
        <v>3</v>
      </c>
      <c r="AH58" s="148">
        <f>IF(CHOOSE(uxb_works!$B$46,"-",Data_2014_N!AH58,Data_2017!AH58)="","",CHOOSE(uxb_works!$B$46,"-",Data_2014_N!AH58,Data_2017!AH58))</f>
        <v>3</v>
      </c>
      <c r="AI58" s="148">
        <f>IF(CHOOSE(uxb_works!$B$46,"-",Data_2014_N!AI58,Data_2017!AI58)="","",CHOOSE(uxb_works!$B$46,"-",Data_2014_N!AI58,Data_2017!AI58))</f>
        <v>1</v>
      </c>
      <c r="AJ58" s="148">
        <f>IF(CHOOSE(uxb_works!$B$46,"-",Data_2014_N!AJ58,Data_2017!AJ58)="","",CHOOSE(uxb_works!$B$46,"-",Data_2014_N!AJ58,Data_2017!AJ58))</f>
        <v>1</v>
      </c>
      <c r="AK58" s="148" t="e">
        <f>IF(CHOOSE(uxb_works!$B$46,"-",Data_2014_N!AK58,Data_2017!#REF!)="","",CHOOSE(uxb_works!$B$46,"-",Data_2014_N!AK58,Data_2017!#REF!))</f>
        <v>#REF!</v>
      </c>
      <c r="AL58" s="148">
        <f>IF(CHOOSE(uxb_works!$B$46,"-",Data_2014_N!AL58,Data_2017!AK58)="","",CHOOSE(uxb_works!$B$46,"-",Data_2014_N!AL58,Data_2017!AK58))</f>
        <v>3</v>
      </c>
      <c r="AM58" s="148">
        <f>IF(CHOOSE(uxb_works!$B$46,"-",Data_2014_N!AM58,Data_2017!AL58)="","",CHOOSE(uxb_works!$B$46,"-",Data_2014_N!AM58,Data_2017!AL58))</f>
        <v>1</v>
      </c>
      <c r="AN58" s="148">
        <f>IF(CHOOSE(uxb_works!$B$46,"-",Data_2014_N!AN58,Data_2017!AM58)="","",CHOOSE(uxb_works!$B$46,"-",Data_2014_N!AN58,Data_2017!AM58))</f>
        <v>1</v>
      </c>
      <c r="AO58" s="148">
        <f>IF(CHOOSE(uxb_works!$B$46,"-",Data_2014_N!AO58,Data_2017!AN58)="","",CHOOSE(uxb_works!$B$46,"-",Data_2014_N!AO58,Data_2017!AN58))</f>
        <v>1</v>
      </c>
      <c r="AP58" s="148">
        <f>IF(CHOOSE(uxb_works!$B$46,"-",Data_2014_N!AP58,Data_2017!AO58)="","",CHOOSE(uxb_works!$B$46,"-",Data_2014_N!AP58,Data_2017!AO58))</f>
        <v>3</v>
      </c>
      <c r="AQ58" s="148">
        <f>IF(CHOOSE(uxb_works!$B$46,"-",Data_2014_N!AQ58,Data_2017!AP58)="","",CHOOSE(uxb_works!$B$46,"-",Data_2014_N!AQ58,Data_2017!AP58))</f>
        <v>1</v>
      </c>
      <c r="AR58" s="148">
        <f>IF(CHOOSE(uxb_works!$B$46,"-",Data_2014_N!AR58,Data_2017!AQ58)="","",CHOOSE(uxb_works!$B$46,"-",Data_2014_N!AR58,Data_2017!AQ58))</f>
        <v>4</v>
      </c>
      <c r="AS58" s="148">
        <f>IF(CHOOSE(uxb_works!$B$46,"-",Data_2014_N!AS58,Data_2017!AR58)="","",CHOOSE(uxb_works!$B$46,"-",Data_2014_N!AS58,Data_2017!AR58))</f>
        <v>3</v>
      </c>
      <c r="AT58" s="148">
        <f>IF(CHOOSE(uxb_works!$B$46,"-",Data_2014_N!AT58,Data_2017!AS58)="","",CHOOSE(uxb_works!$B$46,"-",Data_2014_N!AT58,Data_2017!AS58))</f>
        <v>3</v>
      </c>
      <c r="AU58" s="148">
        <f>IF(CHOOSE(uxb_works!$B$46,"-",Data_2014_N!AU58,Data_2017!AT58)="","",CHOOSE(uxb_works!$B$46,"-",Data_2014_N!AU58,Data_2017!AT58))</f>
        <v>2</v>
      </c>
      <c r="AV58" s="148">
        <f>IF(CHOOSE(uxb_works!$B$46,"-",Data_2014_N!AV58,Data_2017!AU58)="","",CHOOSE(uxb_works!$B$46,"-",Data_2014_N!AV58,Data_2017!AU58))</f>
        <v>1</v>
      </c>
      <c r="AW58" s="148">
        <f>IF(CHOOSE(uxb_works!$B$46,"-",Data_2014_N!AW58,Data_2017!AV58)="","",CHOOSE(uxb_works!$B$46,"-",Data_2014_N!AW58,Data_2017!AV58))</f>
        <v>2</v>
      </c>
      <c r="AX58" s="148">
        <f>IF(CHOOSE(uxb_works!$B$46,"-",Data_2014_N!AX58,Data_2017!AW58)="","",CHOOSE(uxb_works!$B$46,"-",Data_2014_N!AX58,Data_2017!AW58))</f>
        <v>1</v>
      </c>
      <c r="AY58" s="148">
        <f>IF(CHOOSE(uxb_works!$B$46,"-",Data_2014_N!AY58,Data_2017!AX58)="","",CHOOSE(uxb_works!$B$46,"-",Data_2014_N!AY58,Data_2017!AX58))</f>
        <v>2</v>
      </c>
      <c r="AZ58" s="148">
        <f>IF(CHOOSE(uxb_works!$B$46,"-",Data_2014_N!AZ58,Data_2017!AY58)="","",CHOOSE(uxb_works!$B$46,"-",Data_2014_N!AZ58,Data_2017!AY58))</f>
        <v>2</v>
      </c>
      <c r="BA58" s="148">
        <f>IF(CHOOSE(uxb_works!$B$46,"-",Data_2014_N!BA58,Data_2017!AZ58)="","",CHOOSE(uxb_works!$B$46,"-",Data_2014_N!BA58,Data_2017!AZ58))</f>
        <v>1</v>
      </c>
      <c r="BB58" s="148">
        <f>IF(CHOOSE(uxb_works!$B$46,"-",Data_2014_N!BB58,Data_2017!BA58)="","",CHOOSE(uxb_works!$B$46,"-",Data_2014_N!BB58,Data_2017!BA58))</f>
        <v>3</v>
      </c>
      <c r="BC58" s="148">
        <f>IF(CHOOSE(uxb_works!$B$46,"-",Data_2014_N!BC58,Data_2017!BB58)="","",CHOOSE(uxb_works!$B$46,"-",Data_2014_N!BC58,Data_2017!BB58))</f>
        <v>1</v>
      </c>
      <c r="BD58" s="148">
        <f>IF(CHOOSE(uxb_works!$B$46,"-",Data_2014_N!BD58,Data_2017!BC58)="","",CHOOSE(uxb_works!$B$46,"-",Data_2014_N!BD58,Data_2017!BC58))</f>
        <v>1</v>
      </c>
      <c r="BE58" s="148">
        <f>IF(CHOOSE(uxb_works!$B$46,"-",Data_2014_N!BE58,Data_2017!BD58)="","",CHOOSE(uxb_works!$B$46,"-",Data_2014_N!BE58,Data_2017!BD58))</f>
        <v>2</v>
      </c>
      <c r="BF58" s="148">
        <f>IF(CHOOSE(uxb_works!$B$46,"-",Data_2014_N!BF58,Data_2017!BE58)="","",CHOOSE(uxb_works!$B$46,"-",Data_2014_N!BF58,Data_2017!BE58))</f>
        <v>1</v>
      </c>
      <c r="BG58" s="148">
        <f>IF(CHOOSE(uxb_works!$B$46,"-",Data_2014_N!BG58,Data_2017!BF58)="","",CHOOSE(uxb_works!$B$46,"-",Data_2014_N!BG58,Data_2017!BF58))</f>
        <v>2</v>
      </c>
      <c r="BH58" s="148">
        <f>IF(CHOOSE(uxb_works!$B$46,"-",Data_2014_N!BH58,Data_2017!BG58)="","",CHOOSE(uxb_works!$B$46,"-",Data_2014_N!BH58,Data_2017!BG58))</f>
        <v>0</v>
      </c>
      <c r="BI58" s="148">
        <f>IF(CHOOSE(uxb_works!$B$46,"-",Data_2014_N!BI58,Data_2017!BH58)="","",CHOOSE(uxb_works!$B$46,"-",Data_2014_N!BI58,Data_2017!BH58))</f>
        <v>0</v>
      </c>
      <c r="BJ58" s="148">
        <f>IF(CHOOSE(uxb_works!$B$46,"-",Data_2014_N!BJ58,Data_2017!BI58)="","",CHOOSE(uxb_works!$B$46,"-",Data_2014_N!BJ58,Data_2017!BI58))</f>
        <v>1</v>
      </c>
      <c r="BK58" s="148">
        <f>IF(CHOOSE(uxb_works!$B$46,"-",Data_2014_N!BK58,Data_2017!BJ58)="","",CHOOSE(uxb_works!$B$46,"-",Data_2014_N!BK58,Data_2017!BJ58))</f>
        <v>1</v>
      </c>
      <c r="BL58" s="148">
        <f>IF(CHOOSE(uxb_works!$B$46,"-",Data_2014_N!BL58,Data_2017!BK58)="","",CHOOSE(uxb_works!$B$46,"-",Data_2014_N!BL58,Data_2017!BK58))</f>
        <v>1</v>
      </c>
      <c r="BM58" s="148">
        <f>IF(CHOOSE(uxb_works!$B$46,"-",Data_2014_N!BM58,Data_2017!BL58)="","",CHOOSE(uxb_works!$B$46,"-",Data_2014_N!BM58,Data_2017!BL58))</f>
        <v>2</v>
      </c>
      <c r="BN58" s="148">
        <f>IF(CHOOSE(uxb_works!$B$46,"-",Data_2014_N!BN58,Data_2017!BM58)="","",CHOOSE(uxb_works!$B$46,"-",Data_2014_N!BN58,Data_2017!BM58))</f>
        <v>1</v>
      </c>
      <c r="BO58" s="148">
        <f>IF(CHOOSE(uxb_works!$B$46,"-",Data_2014_N!BO58,Data_2017!BN58)="","",CHOOSE(uxb_works!$B$46,"-",Data_2014_N!BO58,Data_2017!BN58))</f>
        <v>1</v>
      </c>
      <c r="BP58" s="148">
        <f>IF(CHOOSE(uxb_works!$B$46,"-",Data_2014_N!BP58,Data_2017!BO58)="","",CHOOSE(uxb_works!$B$46,"-",Data_2014_N!BP58,Data_2017!BO58))</f>
        <v>0</v>
      </c>
      <c r="BQ58" s="148">
        <f>IF(CHOOSE(uxb_works!$B$46,"-",Data_2014_N!BQ58,Data_2017!BP58)="","",CHOOSE(uxb_works!$B$46,"-",Data_2014_N!BQ58,Data_2017!BP58))</f>
        <v>3</v>
      </c>
      <c r="BR58" s="325">
        <f>IF(CHOOSE(uxb_works!$B$46,"-",Data_2014_N!BR58,Data_2017!BR58)="","",CHOOSE(uxb_works!$B$46,"-",Data_2014_N!BR58,Data_2017!BR58))</f>
        <v>2</v>
      </c>
      <c r="CC58" s="112">
        <v>1</v>
      </c>
      <c r="CD58" s="112">
        <v>1</v>
      </c>
      <c r="CE58" s="112">
        <v>1</v>
      </c>
      <c r="CF58" s="112">
        <v>1</v>
      </c>
      <c r="CG58" s="112">
        <v>1</v>
      </c>
    </row>
    <row r="59" s="112" customFormat="1" ht="22.5" customHeight="1" spans="1:85">
      <c r="A59"/>
      <c r="B59" s="133">
        <f>tblIndicators!A55</f>
        <v>54</v>
      </c>
      <c r="C59" s="133">
        <f>tblIndicators!B55</f>
        <v>0</v>
      </c>
      <c r="D59" s="310">
        <f>CHOOSE(uxb_works!$B$46,#REF!,Data_2014_N!D59,Data_2017!D59)</f>
        <v>3</v>
      </c>
      <c r="E59" s="133" t="str">
        <f>tblIndicators!E55</f>
        <v>PESE4.2</v>
      </c>
      <c r="F59" s="133" t="str">
        <f>tblIndicators!H55</f>
        <v>Level of corruption</v>
      </c>
      <c r="G59" s="133">
        <f>tblIndicators!Z55</f>
        <v>3</v>
      </c>
      <c r="H59" s="105" t="str">
        <f>REPT(" ",D59)&amp;CHOOSE(uxb_works!$B$46,#REF!,Data_2014_N!H59,Data_2017!H59)</f>
        <v>      4.2.4) Level of corruption</v>
      </c>
      <c r="I59" s="319" t="str">
        <f>IF(CHOOSE(uxb_works!$B$46,#REF!,Data_2014_N!I59,Data_2017!I59)="","",CHOOSE(uxb_works!$B$46,#REF!,Data_2014_N!I59,Data_2017!I59))</f>
        <v>Scale 0 - 100</v>
      </c>
      <c r="J59" s="148">
        <f>IF(CHOOSE(uxb_works!$B$46,"-",Data_2014_N!J59,Data_2017!J59)="","",CHOOSE(uxb_works!$B$46,"-",Data_2014_N!J59,Data_2017!J59))</f>
        <v>66</v>
      </c>
      <c r="K59" s="148">
        <f>IF(CHOOSE(uxb_works!$B$46,"-",Data_2014_N!K59,Data_2017!K59)="","",CHOOSE(uxb_works!$B$46,"-",Data_2014_N!K59,Data_2017!K59))</f>
        <v>83</v>
      </c>
      <c r="L59" s="148">
        <f>IF(CHOOSE(uxb_works!$B$46,"-",Data_2014_N!L59,Data_2017!L59)="","",CHOOSE(uxb_works!$B$46,"-",Data_2014_N!L59,Data_2017!L59))</f>
        <v>44</v>
      </c>
      <c r="M59" s="148">
        <f>IF(CHOOSE(uxb_works!$B$46,"-",Data_2014_N!M59,Data_2017!M59)="","",CHOOSE(uxb_works!$B$46,"-",Data_2014_N!M59,Data_2017!M59))</f>
        <v>35</v>
      </c>
      <c r="N59" s="148">
        <f>IF(CHOOSE(uxb_works!$B$46,"-",Data_2014_N!N59,Data_2017!N59)="","",CHOOSE(uxb_works!$B$46,"-",Data_2014_N!N59,Data_2017!N59))</f>
        <v>58</v>
      </c>
      <c r="O59" s="148">
        <f>IF(CHOOSE(uxb_works!$B$46,"-",Data_2014_N!O59,Data_2017!O59)="","",CHOOSE(uxb_works!$B$46,"-",Data_2014_N!O59,Data_2017!O59))</f>
        <v>40</v>
      </c>
      <c r="P59" s="148">
        <f>IF(CHOOSE(uxb_works!$B$46,"-",Data_2014_N!P59,Data_2017!P59)="","",CHOOSE(uxb_works!$B$46,"-",Data_2014_N!P59,Data_2017!P59))</f>
        <v>37</v>
      </c>
      <c r="Q59" s="148">
        <f>IF(CHOOSE(uxb_works!$B$46,"-",Data_2014_N!Q59,Data_2017!Q59)="","",CHOOSE(uxb_works!$B$46,"-",Data_2014_N!Q59,Data_2017!Q59))</f>
        <v>77</v>
      </c>
      <c r="R59" s="148">
        <f>IF(CHOOSE(uxb_works!$B$46,"-",Data_2014_N!R59,Data_2017!R59)="","",CHOOSE(uxb_works!$B$46,"-",Data_2014_N!R59,Data_2017!R59))</f>
        <v>36</v>
      </c>
      <c r="S59" s="148">
        <f>IF(CHOOSE(uxb_works!$B$46,"-",Data_2014_N!S59,Data_2017!S59)="","",CHOOSE(uxb_works!$B$46,"-",Data_2014_N!S59,Data_2017!S59))</f>
        <v>34</v>
      </c>
      <c r="T59" s="148">
        <f>IF(CHOOSE(uxb_works!$B$46,"-",Data_2014_N!T59,Data_2017!T59)="","",CHOOSE(uxb_works!$B$46,"-",Data_2014_N!T59,Data_2017!T59))</f>
        <v>17</v>
      </c>
      <c r="U59" s="148">
        <f>IF(CHOOSE(uxb_works!$B$46,"-",Data_2014_N!U59,Data_2017!U59)="","",CHOOSE(uxb_works!$B$46,"-",Data_2014_N!U59,Data_2017!U59))</f>
        <v>37</v>
      </c>
      <c r="V59" s="148">
        <f>IF(CHOOSE(uxb_works!$B$46,"-",Data_2014_N!V59,Data_2017!V59)="","",CHOOSE(uxb_works!$B$46,"-",Data_2014_N!V59,Data_2017!V59))</f>
        <v>74</v>
      </c>
      <c r="W59" s="148">
        <f>IF(CHOOSE(uxb_works!$B$46,"-",Data_2014_N!W59,Data_2017!W59)="","",CHOOSE(uxb_works!$B$46,"-",Data_2014_N!W59,Data_2017!W59))</f>
        <v>74</v>
      </c>
      <c r="X59" s="148">
        <f>IF(CHOOSE(uxb_works!$B$46,"-",Data_2014_N!X59,Data_2017!X59)="","",CHOOSE(uxb_works!$B$46,"-",Data_2014_N!X59,Data_2017!X59))</f>
        <v>40</v>
      </c>
      <c r="Y59" s="148">
        <f>IF(CHOOSE(uxb_works!$B$46,"-",Data_2014_N!Y59,Data_2017!Y59)="","",CHOOSE(uxb_works!$B$46,"-",Data_2014_N!Y59,Data_2017!Y59))</f>
        <v>26</v>
      </c>
      <c r="Z59" s="148">
        <f>IF(CHOOSE(uxb_works!$B$46,"-",Data_2014_N!Z59,Data_2017!Z59)="","",CHOOSE(uxb_works!$B$46,"-",Data_2014_N!Z59,Data_2017!Z59))</f>
        <v>61</v>
      </c>
      <c r="AA59" s="148">
        <f>IF(CHOOSE(uxb_works!$B$46,"-",Data_2014_N!AA59,Data_2017!AA59)="","",CHOOSE(uxb_works!$B$46,"-",Data_2014_N!AA59,Data_2017!AA59))</f>
        <v>81</v>
      </c>
      <c r="AB59" s="148">
        <f>IF(CHOOSE(uxb_works!$B$46,"-",Data_2014_N!AB59,Data_2017!AB59)="","",CHOOSE(uxb_works!$B$46,"-",Data_2014_N!AB59,Data_2017!AB59))</f>
        <v>33</v>
      </c>
      <c r="AC59" s="148">
        <f>IF(CHOOSE(uxb_works!$B$46,"-",Data_2014_N!AC59,Data_2017!AC59)="","",CHOOSE(uxb_works!$B$46,"-",Data_2014_N!AC59,Data_2017!AC59))</f>
        <v>77</v>
      </c>
      <c r="AD59" s="148">
        <f>IF(CHOOSE(uxb_works!$B$46,"-",Data_2014_N!AD59,Data_2017!AD59)="","",CHOOSE(uxb_works!$B$46,"-",Data_2014_N!AD59,Data_2017!AD59))</f>
        <v>41</v>
      </c>
      <c r="AE59" s="148">
        <f>IF(CHOOSE(uxb_works!$B$46,"-",Data_2014_N!AE59,Data_2017!AE59)="","",CHOOSE(uxb_works!$B$46,"-",Data_2014_N!AE59,Data_2017!AE59))</f>
        <v>37</v>
      </c>
      <c r="AF59" s="148">
        <f>IF(CHOOSE(uxb_works!$B$46,"-",Data_2014_N!AF59,Data_2017!AF59)="","",CHOOSE(uxb_works!$B$46,"-",Data_2014_N!AF59,Data_2017!AF59))</f>
        <v>46</v>
      </c>
      <c r="AG59" s="148">
        <f>IF(CHOOSE(uxb_works!$B$46,"-",Data_2014_N!AG59,Data_2017!AG59)="","",CHOOSE(uxb_works!$B$46,"-",Data_2014_N!AG59,Data_2017!AG59))</f>
        <v>45</v>
      </c>
      <c r="AH59" s="148">
        <f>IF(CHOOSE(uxb_works!$B$46,"-",Data_2014_N!AH59,Data_2017!AH59)="","",CHOOSE(uxb_works!$B$46,"-",Data_2014_N!AH59,Data_2017!AH59))</f>
        <v>32</v>
      </c>
      <c r="AI59" s="148">
        <f>IF(CHOOSE(uxb_works!$B$46,"-",Data_2014_N!AI59,Data_2017!AI59)="","",CHOOSE(uxb_works!$B$46,"-",Data_2014_N!AI59,Data_2017!AI59))</f>
        <v>49</v>
      </c>
      <c r="AJ59" s="148">
        <f>IF(CHOOSE(uxb_works!$B$46,"-",Data_2014_N!AJ59,Data_2017!AJ59)="","",CHOOSE(uxb_works!$B$46,"-",Data_2014_N!AJ59,Data_2017!AJ59))</f>
        <v>41</v>
      </c>
      <c r="AK59" s="148" t="e">
        <f>IF(CHOOSE(uxb_works!$B$46,"-",Data_2014_N!AK59,Data_2017!#REF!)="","",CHOOSE(uxb_works!$B$46,"-",Data_2014_N!AK59,Data_2017!#REF!))</f>
        <v>#REF!</v>
      </c>
      <c r="AL59" s="148">
        <f>IF(CHOOSE(uxb_works!$B$46,"-",Data_2014_N!AL59,Data_2017!AK59)="","",CHOOSE(uxb_works!$B$46,"-",Data_2014_N!AL59,Data_2017!AK59))</f>
        <v>35</v>
      </c>
      <c r="AM59" s="148">
        <f>IF(CHOOSE(uxb_works!$B$46,"-",Data_2014_N!AM59,Data_2017!AL59)="","",CHOOSE(uxb_works!$B$46,"-",Data_2014_N!AM59,Data_2017!AL59))</f>
        <v>81</v>
      </c>
      <c r="AN59" s="148">
        <f>IF(CHOOSE(uxb_works!$B$46,"-",Data_2014_N!AN59,Data_2017!AM59)="","",CHOOSE(uxb_works!$B$46,"-",Data_2014_N!AN59,Data_2017!AM59))</f>
        <v>74</v>
      </c>
      <c r="AO59" s="148">
        <f>IF(CHOOSE(uxb_works!$B$46,"-",Data_2014_N!AO59,Data_2017!AN59)="","",CHOOSE(uxb_works!$B$46,"-",Data_2014_N!AO59,Data_2017!AN59))</f>
        <v>58</v>
      </c>
      <c r="AP59" s="148">
        <f>IF(CHOOSE(uxb_works!$B$46,"-",Data_2014_N!AP59,Data_2017!AO59)="","",CHOOSE(uxb_works!$B$46,"-",Data_2014_N!AP59,Data_2017!AO59))</f>
        <v>35</v>
      </c>
      <c r="AQ59" s="148">
        <f>IF(CHOOSE(uxb_works!$B$46,"-",Data_2014_N!AQ59,Data_2017!AP59)="","",CHOOSE(uxb_works!$B$46,"-",Data_2014_N!AQ59,Data_2017!AP59))</f>
        <v>79</v>
      </c>
      <c r="AR59" s="148">
        <f>IF(CHOOSE(uxb_works!$B$46,"-",Data_2014_N!AR59,Data_2017!AQ59)="","",CHOOSE(uxb_works!$B$46,"-",Data_2014_N!AR59,Data_2017!AQ59))</f>
        <v>30</v>
      </c>
      <c r="AS59" s="148">
        <f>IF(CHOOSE(uxb_works!$B$46,"-",Data_2014_N!AS59,Data_2017!AR59)="","",CHOOSE(uxb_works!$B$46,"-",Data_2014_N!AS59,Data_2017!AR59))</f>
        <v>47</v>
      </c>
      <c r="AT59" s="148">
        <f>IF(CHOOSE(uxb_works!$B$46,"-",Data_2014_N!AT59,Data_2017!AS59)="","",CHOOSE(uxb_works!$B$46,"-",Data_2014_N!AT59,Data_2017!AS59))</f>
        <v>29</v>
      </c>
      <c r="AU59" s="148">
        <f>IF(CHOOSE(uxb_works!$B$46,"-",Data_2014_N!AU59,Data_2017!AT59)="","",CHOOSE(uxb_works!$B$46,"-",Data_2014_N!AU59,Data_2017!AT59))</f>
        <v>40</v>
      </c>
      <c r="AV59" s="148">
        <f>IF(CHOOSE(uxb_works!$B$46,"-",Data_2014_N!AV59,Data_2017!AU59)="","",CHOOSE(uxb_works!$B$46,"-",Data_2014_N!AV59,Data_2017!AU59))</f>
        <v>74</v>
      </c>
      <c r="AW59" s="148">
        <f>IF(CHOOSE(uxb_works!$B$46,"-",Data_2014_N!AW59,Data_2017!AV59)="","",CHOOSE(uxb_works!$B$46,"-",Data_2014_N!AW59,Data_2017!AV59))</f>
        <v>72</v>
      </c>
      <c r="AX59" s="148">
        <f>IF(CHOOSE(uxb_works!$B$46,"-",Data_2014_N!AX59,Data_2017!AW59)="","",CHOOSE(uxb_works!$B$46,"-",Data_2014_N!AX59,Data_2017!AW59))</f>
        <v>69</v>
      </c>
      <c r="AY59" s="148">
        <f>IF(CHOOSE(uxb_works!$B$46,"-",Data_2014_N!AY59,Data_2017!AX59)="","",CHOOSE(uxb_works!$B$46,"-",Data_2014_N!AY59,Data_2017!AX59))</f>
        <v>31</v>
      </c>
      <c r="AZ59" s="148">
        <f>IF(CHOOSE(uxb_works!$B$46,"-",Data_2014_N!AZ59,Data_2017!AY59)="","",CHOOSE(uxb_works!$B$46,"-",Data_2014_N!AZ59,Data_2017!AY59))</f>
        <v>40</v>
      </c>
      <c r="BA59" s="148">
        <f>IF(CHOOSE(uxb_works!$B$46,"-",Data_2014_N!BA59,Data_2017!AZ59)="","",CHOOSE(uxb_works!$B$46,"-",Data_2014_N!BA59,Data_2017!AZ59))</f>
        <v>46</v>
      </c>
      <c r="BB59" s="148">
        <f>IF(CHOOSE(uxb_works!$B$46,"-",Data_2014_N!BB59,Data_2017!BA59)="","",CHOOSE(uxb_works!$B$46,"-",Data_2014_N!BB59,Data_2017!BA59))</f>
        <v>47</v>
      </c>
      <c r="BC59" s="148">
        <f>IF(CHOOSE(uxb_works!$B$46,"-",Data_2014_N!BC59,Data_2017!BB59)="","",CHOOSE(uxb_works!$B$46,"-",Data_2014_N!BC59,Data_2017!BB59))</f>
        <v>74</v>
      </c>
      <c r="BD59" s="148">
        <f>IF(CHOOSE(uxb_works!$B$46,"-",Data_2014_N!BD59,Data_2017!BC59)="","",CHOOSE(uxb_works!$B$46,"-",Data_2014_N!BD59,Data_2017!BC59))</f>
        <v>66</v>
      </c>
      <c r="BE59" s="148">
        <f>IF(CHOOSE(uxb_works!$B$46,"-",Data_2014_N!BE59,Data_2017!BD59)="","",CHOOSE(uxb_works!$B$46,"-",Data_2014_N!BE59,Data_2017!BD59))</f>
        <v>40</v>
      </c>
      <c r="BF59" s="148">
        <f>IF(CHOOSE(uxb_works!$B$46,"-",Data_2014_N!BF59,Data_2017!BE59)="","",CHOOSE(uxb_works!$B$46,"-",Data_2014_N!BF59,Data_2017!BE59))</f>
        <v>53</v>
      </c>
      <c r="BG59" s="148">
        <f>IF(CHOOSE(uxb_works!$B$46,"-",Data_2014_N!BG59,Data_2017!BF59)="","",CHOOSE(uxb_works!$B$46,"-",Data_2014_N!BG59,Data_2017!BF59))</f>
        <v>40</v>
      </c>
      <c r="BH59" s="148">
        <f>IF(CHOOSE(uxb_works!$B$46,"-",Data_2014_N!BH59,Data_2017!BG59)="","",CHOOSE(uxb_works!$B$46,"-",Data_2014_N!BH59,Data_2017!BG59))</f>
        <v>84</v>
      </c>
      <c r="BI59" s="148">
        <f>IF(CHOOSE(uxb_works!$B$46,"-",Data_2014_N!BI59,Data_2017!BH59)="","",CHOOSE(uxb_works!$B$46,"-",Data_2014_N!BI59,Data_2017!BH59))</f>
        <v>88</v>
      </c>
      <c r="BJ59" s="148">
        <f>IF(CHOOSE(uxb_works!$B$46,"-",Data_2014_N!BJ59,Data_2017!BI59)="","",CHOOSE(uxb_works!$B$46,"-",Data_2014_N!BJ59,Data_2017!BI59))</f>
        <v>79</v>
      </c>
      <c r="BK59" s="148">
        <f>IF(CHOOSE(uxb_works!$B$46,"-",Data_2014_N!BK59,Data_2017!BJ59)="","",CHOOSE(uxb_works!$B$46,"-",Data_2014_N!BK59,Data_2017!BJ59))</f>
        <v>61</v>
      </c>
      <c r="BL59" s="148">
        <f>IF(CHOOSE(uxb_works!$B$46,"-",Data_2014_N!BL59,Data_2017!BK59)="","",CHOOSE(uxb_works!$B$46,"-",Data_2014_N!BL59,Data_2017!BK59))</f>
        <v>29</v>
      </c>
      <c r="BM59" s="148">
        <f>IF(CHOOSE(uxb_works!$B$46,"-",Data_2014_N!BM59,Data_2017!BL59)="","",CHOOSE(uxb_works!$B$46,"-",Data_2014_N!BM59,Data_2017!BL59))</f>
        <v>72</v>
      </c>
      <c r="BN59" s="148">
        <f>IF(CHOOSE(uxb_works!$B$46,"-",Data_2014_N!BN59,Data_2017!BM59)="","",CHOOSE(uxb_works!$B$46,"-",Data_2014_N!BN59,Data_2017!BM59))</f>
        <v>82</v>
      </c>
      <c r="BO59" s="148">
        <f>IF(CHOOSE(uxb_works!$B$46,"-",Data_2014_N!BO59,Data_2017!BN59)="","",CHOOSE(uxb_works!$B$46,"-",Data_2014_N!BO59,Data_2017!BN59))</f>
        <v>74</v>
      </c>
      <c r="BP59" s="148">
        <f>IF(CHOOSE(uxb_works!$B$46,"-",Data_2014_N!BP59,Data_2017!BO59)="","",CHOOSE(uxb_works!$B$46,"-",Data_2014_N!BP59,Data_2017!BO59))</f>
        <v>90</v>
      </c>
      <c r="BQ59" s="148">
        <f>IF(CHOOSE(uxb_works!$B$46,"-",Data_2014_N!BQ59,Data_2017!BP59)="","",CHOOSE(uxb_works!$B$46,"-",Data_2014_N!BQ59,Data_2017!BP59))</f>
        <v>28</v>
      </c>
      <c r="BR59" s="325">
        <f>IF(CHOOSE(uxb_works!$B$46,"-",Data_2014_N!BR59,Data_2017!BR59)="","",CHOOSE(uxb_works!$B$46,"-",Data_2014_N!BR59,Data_2017!BR59))</f>
        <v>72</v>
      </c>
      <c r="CC59" s="112">
        <v>74</v>
      </c>
      <c r="CD59" s="112">
        <v>74</v>
      </c>
      <c r="CE59" s="112">
        <v>74</v>
      </c>
      <c r="CF59" s="112">
        <v>81</v>
      </c>
      <c r="CG59" s="112">
        <v>74</v>
      </c>
    </row>
    <row r="60" s="112" customFormat="1" ht="22.5" customHeight="1" spans="1:85">
      <c r="A60"/>
      <c r="B60" s="133">
        <f>tblIndicators!A56</f>
        <v>55</v>
      </c>
      <c r="C60" s="133">
        <f>tblIndicators!B56</f>
        <v>0</v>
      </c>
      <c r="D60" s="310">
        <f>CHOOSE(uxb_works!$B$46,#REF!,Data_2014_N!D60,Data_2017!D60)</f>
        <v>3</v>
      </c>
      <c r="E60" s="133" t="str">
        <f>tblIndicators!E56</f>
        <v>PESE4.2</v>
      </c>
      <c r="F60" s="133" t="str">
        <f>tblIndicators!H56</f>
        <v>Rate of drug use </v>
      </c>
      <c r="G60" s="133">
        <f>tblIndicators!Z56</f>
        <v>2</v>
      </c>
      <c r="H60" s="105" t="str">
        <f>REPT(" ",D60)&amp;CHOOSE(uxb_works!$B$46,#REF!,Data_2014_N!H60,Data_2017!H60)</f>
        <v>      4.2.5) Rate of drug use </v>
      </c>
      <c r="I60" s="319" t="str">
        <f>IF(CHOOSE(uxb_works!$B$46,#REF!,Data_2014_N!I60,Data_2017!I60)="","",CHOOSE(uxb_works!$B$46,#REF!,Data_2014_N!I60,Data_2017!I60))</f>
        <v>%</v>
      </c>
      <c r="J60" s="148">
        <f>IF(CHOOSE(uxb_works!$B$46,"-",Data_2014_N!J60,Data_2017!J60)="","",CHOOSE(uxb_works!$B$46,"-",Data_2014_N!J60,Data_2017!J60))</f>
        <v>0.0537</v>
      </c>
      <c r="K60" s="148">
        <f>IF(CHOOSE(uxb_works!$B$46,"-",Data_2014_N!K60,Data_2017!K60)="","",CHOOSE(uxb_works!$B$46,"-",Data_2014_N!K60,Data_2017!K60))</f>
        <v>0.1403</v>
      </c>
      <c r="L60" s="148">
        <f>IF(CHOOSE(uxb_works!$B$46,"-",Data_2014_N!L60,Data_2017!L60)="","",CHOOSE(uxb_works!$B$46,"-",Data_2014_N!L60,Data_2017!L60))</f>
        <v>0.0312</v>
      </c>
      <c r="M60" s="148">
        <f>IF(CHOOSE(uxb_works!$B$46,"-",Data_2014_N!M60,Data_2017!M60)="","",CHOOSE(uxb_works!$B$46,"-",Data_2014_N!M60,Data_2017!M60))</f>
        <v>0.0315</v>
      </c>
      <c r="N60" s="148">
        <f>IF(CHOOSE(uxb_works!$B$46,"-",Data_2014_N!N60,Data_2017!N60)="","",CHOOSE(uxb_works!$B$46,"-",Data_2014_N!N60,Data_2017!N60))</f>
        <v>0.1381</v>
      </c>
      <c r="O60" s="148">
        <f>IF(CHOOSE(uxb_works!$B$46,"-",Data_2014_N!O60,Data_2017!O60)="","",CHOOSE(uxb_works!$B$46,"-",Data_2014_N!O60,Data_2017!O60))</f>
        <v>0.0019</v>
      </c>
      <c r="P60" s="148">
        <f>IF(CHOOSE(uxb_works!$B$46,"-",Data_2014_N!P60,Data_2017!P60)="","",CHOOSE(uxb_works!$B$46,"-",Data_2014_N!P60,Data_2017!P60))</f>
        <v>0.0482</v>
      </c>
      <c r="Q60" s="148">
        <f>IF(CHOOSE(uxb_works!$B$46,"-",Data_2014_N!Q60,Data_2017!Q60)="","",CHOOSE(uxb_works!$B$46,"-",Data_2014_N!Q60,Data_2017!Q60))</f>
        <v>0.067</v>
      </c>
      <c r="R60" s="148">
        <f>IF(CHOOSE(uxb_works!$B$46,"-",Data_2014_N!R60,Data_2017!R60)="","",CHOOSE(uxb_works!$B$46,"-",Data_2014_N!R60,Data_2017!R60))</f>
        <v>0.059</v>
      </c>
      <c r="S60" s="148">
        <f>IF(CHOOSE(uxb_works!$B$46,"-",Data_2014_N!S60,Data_2017!S60)="","",CHOOSE(uxb_works!$B$46,"-",Data_2014_N!S60,Data_2017!S60))</f>
        <v>0.0718</v>
      </c>
      <c r="T60" s="148">
        <f>IF(CHOOSE(uxb_works!$B$46,"-",Data_2014_N!T60,Data_2017!T60)="","",CHOOSE(uxb_works!$B$46,"-",Data_2014_N!T60,Data_2017!T60))</f>
        <v>0.0533</v>
      </c>
      <c r="U60" s="148">
        <f>IF(CHOOSE(uxb_works!$B$46,"-",Data_2014_N!U60,Data_2017!U60)="","",CHOOSE(uxb_works!$B$46,"-",Data_2014_N!U60,Data_2017!U60))</f>
        <v>0.0455</v>
      </c>
      <c r="V60" s="148">
        <f>IF(CHOOSE(uxb_works!$B$46,"-",Data_2014_N!V60,Data_2017!V60)="","",CHOOSE(uxb_works!$B$46,"-",Data_2014_N!V60,Data_2017!V60))</f>
        <v>0.1055280294</v>
      </c>
      <c r="W60" s="148">
        <f>IF(CHOOSE(uxb_works!$B$46,"-",Data_2014_N!W60,Data_2017!W60)="","",CHOOSE(uxb_works!$B$46,"-",Data_2014_N!W60,Data_2017!W60))</f>
        <v>0.0685692045</v>
      </c>
      <c r="X60" s="148">
        <f>IF(CHOOSE(uxb_works!$B$46,"-",Data_2014_N!X60,Data_2017!X60)="","",CHOOSE(uxb_works!$B$46,"-",Data_2014_N!X60,Data_2017!X60))</f>
        <v>0.0543412722339463</v>
      </c>
      <c r="Y60" s="148">
        <f>IF(CHOOSE(uxb_works!$B$46,"-",Data_2014_N!Y60,Data_2017!Y60)="","",CHOOSE(uxb_works!$B$46,"-",Data_2014_N!Y60,Data_2017!Y60))</f>
        <v>0.041</v>
      </c>
      <c r="Z60" s="148">
        <f>IF(CHOOSE(uxb_works!$B$46,"-",Data_2014_N!Z60,Data_2017!Z60)="","",CHOOSE(uxb_works!$B$46,"-",Data_2014_N!Z60,Data_2017!Z60))</f>
        <v>0.03</v>
      </c>
      <c r="AA60" s="148">
        <f>IF(CHOOSE(uxb_works!$B$46,"-",Data_2014_N!AA60,Data_2017!AA60)="","",CHOOSE(uxb_works!$B$46,"-",Data_2014_N!AA60,Data_2017!AA60))</f>
        <v>0.1279</v>
      </c>
      <c r="AB60" s="148">
        <f>IF(CHOOSE(uxb_works!$B$46,"-",Data_2014_N!AB60,Data_2017!AB60)="","",CHOOSE(uxb_works!$B$46,"-",Data_2014_N!AB60,Data_2017!AB60))</f>
        <v>0.0097</v>
      </c>
      <c r="AC60" s="148">
        <f>IF(CHOOSE(uxb_works!$B$46,"-",Data_2014_N!AC60,Data_2017!AC60)="","",CHOOSE(uxb_works!$B$46,"-",Data_2014_N!AC60,Data_2017!AC60))</f>
        <v>0.0146</v>
      </c>
      <c r="AD60" s="148">
        <f>IF(CHOOSE(uxb_works!$B$46,"-",Data_2014_N!AD60,Data_2017!AD60)="","",CHOOSE(uxb_works!$B$46,"-",Data_2014_N!AD60,Data_2017!AD60))</f>
        <v>0.0593</v>
      </c>
      <c r="AE60" s="148">
        <f>IF(CHOOSE(uxb_works!$B$46,"-",Data_2014_N!AE60,Data_2017!AE60)="","",CHOOSE(uxb_works!$B$46,"-",Data_2014_N!AE60,Data_2017!AE60))</f>
        <v>0.0183</v>
      </c>
      <c r="AF60" s="148">
        <f>IF(CHOOSE(uxb_works!$B$46,"-",Data_2014_N!AF60,Data_2017!AF60)="","",CHOOSE(uxb_works!$B$46,"-",Data_2014_N!AF60,Data_2017!AF60))</f>
        <v>0.0076</v>
      </c>
      <c r="AG60" s="148">
        <f>IF(CHOOSE(uxb_works!$B$46,"-",Data_2014_N!AG60,Data_2017!AG60)="","",CHOOSE(uxb_works!$B$46,"-",Data_2014_N!AG60,Data_2017!AG60))</f>
        <v>0.07</v>
      </c>
      <c r="AH60" s="148">
        <f>IF(CHOOSE(uxb_works!$B$46,"-",Data_2014_N!AH60,Data_2017!AH60)="","",CHOOSE(uxb_works!$B$46,"-",Data_2014_N!AH60,Data_2017!AH60))</f>
        <v>0.1013</v>
      </c>
      <c r="AI60" s="148">
        <f>IF(CHOOSE(uxb_works!$B$46,"-",Data_2014_N!AI60,Data_2017!AI60)="","",CHOOSE(uxb_works!$B$46,"-",Data_2014_N!AI60,Data_2017!AI60))</f>
        <v>0.0353</v>
      </c>
      <c r="AJ60" s="148">
        <f>IF(CHOOSE(uxb_works!$B$46,"-",Data_2014_N!AJ60,Data_2017!AJ60)="","",CHOOSE(uxb_works!$B$46,"-",Data_2014_N!AJ60,Data_2017!AJ60))</f>
        <v>0.0358</v>
      </c>
      <c r="AK60" s="148" t="e">
        <f>IF(CHOOSE(uxb_works!$B$46,"-",Data_2014_N!AK60,Data_2017!#REF!)="","",CHOOSE(uxb_works!$B$46,"-",Data_2014_N!AK60,Data_2017!#REF!))</f>
        <v>#REF!</v>
      </c>
      <c r="AL60" s="148">
        <f>IF(CHOOSE(uxb_works!$B$46,"-",Data_2014_N!AL60,Data_2017!AK60)="","",CHOOSE(uxb_works!$B$46,"-",Data_2014_N!AL60,Data_2017!AK60))</f>
        <v>0.0352</v>
      </c>
      <c r="AM60" s="148">
        <f>IF(CHOOSE(uxb_works!$B$46,"-",Data_2014_N!AM60,Data_2017!AL60)="","",CHOOSE(uxb_works!$B$46,"-",Data_2014_N!AM60,Data_2017!AL60))</f>
        <v>0.117266666666667</v>
      </c>
      <c r="AN60" s="148">
        <f>IF(CHOOSE(uxb_works!$B$46,"-",Data_2014_N!AN60,Data_2017!AM60)="","",CHOOSE(uxb_works!$B$46,"-",Data_2014_N!AN60,Data_2017!AM60))</f>
        <v>0.1092318965</v>
      </c>
      <c r="AO60" s="148">
        <f>IF(CHOOSE(uxb_works!$B$46,"-",Data_2014_N!AO60,Data_2017!AN60)="","",CHOOSE(uxb_works!$B$46,"-",Data_2014_N!AO60,Data_2017!AN60))</f>
        <v>0.1381</v>
      </c>
      <c r="AP60" s="148">
        <f>IF(CHOOSE(uxb_works!$B$46,"-",Data_2014_N!AP60,Data_2017!AO60)="","",CHOOSE(uxb_works!$B$46,"-",Data_2014_N!AP60,Data_2017!AO60))</f>
        <v>0.0317</v>
      </c>
      <c r="AQ60" s="148">
        <f>IF(CHOOSE(uxb_works!$B$46,"-",Data_2014_N!AQ60,Data_2017!AP60)="","",CHOOSE(uxb_works!$B$46,"-",Data_2014_N!AQ60,Data_2017!AP60))</f>
        <v>0.3931</v>
      </c>
      <c r="AR60" s="148">
        <f>IF(CHOOSE(uxb_works!$B$46,"-",Data_2014_N!AR60,Data_2017!AQ60)="","",CHOOSE(uxb_works!$B$46,"-",Data_2014_N!AR60,Data_2017!AQ60))</f>
        <v>0.0278</v>
      </c>
      <c r="AS60" s="148">
        <f>IF(CHOOSE(uxb_works!$B$46,"-",Data_2014_N!AS60,Data_2017!AR60)="","",CHOOSE(uxb_works!$B$46,"-",Data_2014_N!AS60,Data_2017!AR60))</f>
        <v>0.255</v>
      </c>
      <c r="AT60" s="148">
        <f>IF(CHOOSE(uxb_works!$B$46,"-",Data_2014_N!AT60,Data_2017!AS60)="","",CHOOSE(uxb_works!$B$46,"-",Data_2014_N!AT60,Data_2017!AS60))</f>
        <v>0.0848</v>
      </c>
      <c r="AU60" s="148">
        <f>IF(CHOOSE(uxb_works!$B$46,"-",Data_2014_N!AU60,Data_2017!AT60)="","",CHOOSE(uxb_works!$B$46,"-",Data_2014_N!AU60,Data_2017!AT60))</f>
        <v>0.0543412722339463</v>
      </c>
      <c r="AV60" s="148">
        <f>IF(CHOOSE(uxb_works!$B$46,"-",Data_2014_N!AV60,Data_2017!AU60)="","",CHOOSE(uxb_works!$B$46,"-",Data_2014_N!AV60,Data_2017!AU60))</f>
        <v>0.1040689507</v>
      </c>
      <c r="AW60" s="148">
        <f>IF(CHOOSE(uxb_works!$B$46,"-",Data_2014_N!AW60,Data_2017!AV60)="","",CHOOSE(uxb_works!$B$46,"-",Data_2014_N!AW60,Data_2017!AV60))</f>
        <v>0.007</v>
      </c>
      <c r="AX60" s="148">
        <f>IF(CHOOSE(uxb_works!$B$46,"-",Data_2014_N!AX60,Data_2017!AW60)="","",CHOOSE(uxb_works!$B$46,"-",Data_2014_N!AX60,Data_2017!AW60))</f>
        <v>0.1392</v>
      </c>
      <c r="AY60" s="148">
        <f>IF(CHOOSE(uxb_works!$B$46,"-",Data_2014_N!AY60,Data_2017!AX60)="","",CHOOSE(uxb_works!$B$46,"-",Data_2014_N!AY60,Data_2017!AX60))</f>
        <v>0.0257</v>
      </c>
      <c r="AZ60" s="148">
        <f>IF(CHOOSE(uxb_works!$B$46,"-",Data_2014_N!AZ60,Data_2017!AY60)="","",CHOOSE(uxb_works!$B$46,"-",Data_2014_N!AZ60,Data_2017!AY60))</f>
        <v>0.0809272698793923</v>
      </c>
      <c r="BA60" s="148">
        <f>IF(CHOOSE(uxb_works!$B$46,"-",Data_2014_N!BA60,Data_2017!AZ60)="","",CHOOSE(uxb_works!$B$46,"-",Data_2014_N!BA60,Data_2017!AZ60))</f>
        <v>0.0076</v>
      </c>
      <c r="BB60" s="148">
        <f>IF(CHOOSE(uxb_works!$B$46,"-",Data_2014_N!BB60,Data_2017!BA60)="","",CHOOSE(uxb_works!$B$46,"-",Data_2014_N!BB60,Data_2017!BA60))</f>
        <v>0.255</v>
      </c>
      <c r="BC60" s="148">
        <f>IF(CHOOSE(uxb_works!$B$46,"-",Data_2014_N!BC60,Data_2017!BB60)="","",CHOOSE(uxb_works!$B$46,"-",Data_2014_N!BC60,Data_2017!BB60))</f>
        <v>0.1946447478</v>
      </c>
      <c r="BD60" s="148">
        <f>IF(CHOOSE(uxb_works!$B$46,"-",Data_2014_N!BD60,Data_2017!BC60)="","",CHOOSE(uxb_works!$B$46,"-",Data_2014_N!BD60,Data_2017!BC60))</f>
        <v>0.162</v>
      </c>
      <c r="BE60" s="148">
        <f>IF(CHOOSE(uxb_works!$B$46,"-",Data_2014_N!BE60,Data_2017!BD60)="","",CHOOSE(uxb_works!$B$46,"-",Data_2014_N!BE60,Data_2017!BD60))</f>
        <v>0.0809272698793923</v>
      </c>
      <c r="BF60" s="148">
        <f>IF(CHOOSE(uxb_works!$B$46,"-",Data_2014_N!BF60,Data_2017!BE60)="","",CHOOSE(uxb_works!$B$46,"-",Data_2014_N!BF60,Data_2017!BE60))</f>
        <v>0.006</v>
      </c>
      <c r="BG60" s="148">
        <f>IF(CHOOSE(uxb_works!$B$46,"-",Data_2014_N!BG60,Data_2017!BF60)="","",CHOOSE(uxb_works!$B$46,"-",Data_2014_N!BG60,Data_2017!BF60))</f>
        <v>0.0019</v>
      </c>
      <c r="BH60" s="148">
        <f>IF(CHOOSE(uxb_works!$B$46,"-",Data_2014_N!BH60,Data_2017!BG60)="","",CHOOSE(uxb_works!$B$46,"-",Data_2014_N!BH60,Data_2017!BG60))</f>
        <v>0.0065</v>
      </c>
      <c r="BI60" s="148">
        <f>IF(CHOOSE(uxb_works!$B$46,"-",Data_2014_N!BI60,Data_2017!BH60)="","",CHOOSE(uxb_works!$B$46,"-",Data_2014_N!BI60,Data_2017!BH60))</f>
        <v>0.0739</v>
      </c>
      <c r="BJ60" s="148">
        <f>IF(CHOOSE(uxb_works!$B$46,"-",Data_2014_N!BJ60,Data_2017!BI60)="","",CHOOSE(uxb_works!$B$46,"-",Data_2014_N!BJ60,Data_2017!BI60))</f>
        <v>0.3931</v>
      </c>
      <c r="BK60" s="148">
        <f>IF(CHOOSE(uxb_works!$B$46,"-",Data_2014_N!BK60,Data_2017!BJ60)="","",CHOOSE(uxb_works!$B$46,"-",Data_2014_N!BK60,Data_2017!BJ60))</f>
        <v>0.0172</v>
      </c>
      <c r="BL60" s="148">
        <f>IF(CHOOSE(uxb_works!$B$46,"-",Data_2014_N!BL60,Data_2017!BK60)="","",CHOOSE(uxb_works!$B$46,"-",Data_2014_N!BL60,Data_2017!BK60))</f>
        <v>0.0241</v>
      </c>
      <c r="BM60" s="148">
        <f>IF(CHOOSE(uxb_works!$B$46,"-",Data_2014_N!BM60,Data_2017!BL60)="","",CHOOSE(uxb_works!$B$46,"-",Data_2014_N!BM60,Data_2017!BL60))</f>
        <v>0.007</v>
      </c>
      <c r="BN60" s="148">
        <f>IF(CHOOSE(uxb_works!$B$46,"-",Data_2014_N!BN60,Data_2017!BM60)="","",CHOOSE(uxb_works!$B$46,"-",Data_2014_N!BN60,Data_2017!BM60))</f>
        <v>0.1686</v>
      </c>
      <c r="BO60" s="148">
        <f>IF(CHOOSE(uxb_works!$B$46,"-",Data_2014_N!BO60,Data_2017!BN60)="","",CHOOSE(uxb_works!$B$46,"-",Data_2014_N!BO60,Data_2017!BN60))</f>
        <v>0.1480557798</v>
      </c>
      <c r="BP60" s="148">
        <f>IF(CHOOSE(uxb_works!$B$46,"-",Data_2014_N!BP60,Data_2017!BO60)="","",CHOOSE(uxb_works!$B$46,"-",Data_2014_N!BP60,Data_2017!BO60))</f>
        <v>0.189</v>
      </c>
      <c r="BQ60" s="148">
        <f>IF(CHOOSE(uxb_works!$B$46,"-",Data_2014_N!BQ60,Data_2017!BP60)="","",CHOOSE(uxb_works!$B$46,"-",Data_2014_N!BQ60,Data_2017!BP60))</f>
        <v>0.0209</v>
      </c>
      <c r="BR60" s="325">
        <f>IF(CHOOSE(uxb_works!$B$46,"-",Data_2014_N!BR60,Data_2017!BR60)="","",CHOOSE(uxb_works!$B$46,"-",Data_2014_N!BR60,Data_2017!BR60))</f>
        <v>0.007</v>
      </c>
      <c r="CC60" s="112">
        <v>2.4</v>
      </c>
      <c r="CD60" s="112">
        <v>2.4</v>
      </c>
      <c r="CE60" s="112">
        <v>2.4</v>
      </c>
      <c r="CF60" s="112">
        <v>1.4</v>
      </c>
      <c r="CG60" s="112">
        <v>2.4</v>
      </c>
    </row>
    <row r="61" s="112" customFormat="1" ht="22.5" customHeight="1" spans="1:85">
      <c r="A61"/>
      <c r="B61" s="133">
        <f>tblIndicators!A57</f>
        <v>56</v>
      </c>
      <c r="C61" s="133">
        <f>tblIndicators!B57</f>
        <v>0</v>
      </c>
      <c r="D61" s="310">
        <f>CHOOSE(uxb_works!$B$46,#REF!,Data_2014_N!D61,Data_2017!D61)</f>
        <v>3</v>
      </c>
      <c r="E61" s="133" t="str">
        <f>tblIndicators!E57</f>
        <v>PESE4.2</v>
      </c>
      <c r="F61" s="133" t="str">
        <f>tblIndicators!H57</f>
        <v>Frequency of terrorist attacks </v>
      </c>
      <c r="G61" s="133">
        <f>tblIndicators!Z57</f>
        <v>2</v>
      </c>
      <c r="H61" s="105" t="str">
        <f>REPT(" ",D61)&amp;CHOOSE(uxb_works!$B$46,#REF!,Data_2014_N!H61,Data_2017!H61)</f>
        <v>      4.2.6) Frequency of terrorist attacks </v>
      </c>
      <c r="I61" s="319" t="str">
        <f>IF(CHOOSE(uxb_works!$B$46,#REF!,Data_2014_N!I61,Data_2017!I61)="","",CHOOSE(uxb_works!$B$46,#REF!,Data_2014_N!I61,Data_2017!I61))</f>
        <v>#/year</v>
      </c>
      <c r="J61" s="148">
        <f>IF(CHOOSE(uxb_works!$B$46,"-",Data_2014_N!J61,Data_2017!J61)="","",CHOOSE(uxb_works!$B$46,"-",Data_2014_N!J61,Data_2017!J61))</f>
        <v>0.2</v>
      </c>
      <c r="K61" s="148">
        <f>IF(CHOOSE(uxb_works!$B$46,"-",Data_2014_N!K61,Data_2017!K61)="","",CHOOSE(uxb_works!$B$46,"-",Data_2014_N!K61,Data_2017!K61))</f>
        <v>0.1</v>
      </c>
      <c r="L61" s="148">
        <f>IF(CHOOSE(uxb_works!$B$46,"-",Data_2014_N!L61,Data_2017!L61)="","",CHOOSE(uxb_works!$B$46,"-",Data_2014_N!L61,Data_2017!L61))</f>
        <v>28.5</v>
      </c>
      <c r="M61" s="148">
        <f>IF(CHOOSE(uxb_works!$B$46,"-",Data_2014_N!M61,Data_2017!M61)="","",CHOOSE(uxb_works!$B$46,"-",Data_2014_N!M61,Data_2017!M61))</f>
        <v>14.7</v>
      </c>
      <c r="N61" s="148">
        <f>IF(CHOOSE(uxb_works!$B$46,"-",Data_2014_N!N61,Data_2017!N61)="","",CHOOSE(uxb_works!$B$46,"-",Data_2014_N!N61,Data_2017!N61))</f>
        <v>0</v>
      </c>
      <c r="O61" s="148">
        <f>IF(CHOOSE(uxb_works!$B$46,"-",Data_2014_N!O61,Data_2017!O61)="","",CHOOSE(uxb_works!$B$46,"-",Data_2014_N!O61,Data_2017!O61))</f>
        <v>0.3</v>
      </c>
      <c r="P61" s="148">
        <f>IF(CHOOSE(uxb_works!$B$46,"-",Data_2014_N!P61,Data_2017!P61)="","",CHOOSE(uxb_works!$B$46,"-",Data_2014_N!P61,Data_2017!P61))</f>
        <v>6.4</v>
      </c>
      <c r="Q61" s="148">
        <f>IF(CHOOSE(uxb_works!$B$46,"-",Data_2014_N!Q61,Data_2017!Q61)="","",CHOOSE(uxb_works!$B$46,"-",Data_2014_N!Q61,Data_2017!Q61))</f>
        <v>0.8</v>
      </c>
      <c r="R61" s="148">
        <f>IF(CHOOSE(uxb_works!$B$46,"-",Data_2014_N!R61,Data_2017!R61)="","",CHOOSE(uxb_works!$B$46,"-",Data_2014_N!R61,Data_2017!R61))</f>
        <v>0.8</v>
      </c>
      <c r="S61" s="148">
        <f>IF(CHOOSE(uxb_works!$B$46,"-",Data_2014_N!S61,Data_2017!S61)="","",CHOOSE(uxb_works!$B$46,"-",Data_2014_N!S61,Data_2017!S61))</f>
        <v>12.4</v>
      </c>
      <c r="T61" s="148">
        <f>IF(CHOOSE(uxb_works!$B$46,"-",Data_2014_N!T61,Data_2017!T61)="","",CHOOSE(uxb_works!$B$46,"-",Data_2014_N!T61,Data_2017!T61))</f>
        <v>0.9</v>
      </c>
      <c r="U61" s="148">
        <f>IF(CHOOSE(uxb_works!$B$46,"-",Data_2014_N!U61,Data_2017!U61)="","",CHOOSE(uxb_works!$B$46,"-",Data_2014_N!U61,Data_2017!U61))</f>
        <v>0.6</v>
      </c>
      <c r="V61" s="148">
        <f>IF(CHOOSE(uxb_works!$B$46,"-",Data_2014_N!V61,Data_2017!V61)="","",CHOOSE(uxb_works!$B$46,"-",Data_2014_N!V61,Data_2017!V61))</f>
        <v>0</v>
      </c>
      <c r="W61" s="148">
        <f>IF(CHOOSE(uxb_works!$B$46,"-",Data_2014_N!W61,Data_2017!W61)="","",CHOOSE(uxb_works!$B$46,"-",Data_2014_N!W61,Data_2017!W61))</f>
        <v>0.2</v>
      </c>
      <c r="X61" s="148">
        <f>IF(CHOOSE(uxb_works!$B$46,"-",Data_2014_N!X61,Data_2017!X61)="","",CHOOSE(uxb_works!$B$46,"-",Data_2014_N!X61,Data_2017!X61))</f>
        <v>2.3</v>
      </c>
      <c r="Y61" s="148">
        <f>IF(CHOOSE(uxb_works!$B$46,"-",Data_2014_N!Y61,Data_2017!Y61)="","",CHOOSE(uxb_works!$B$46,"-",Data_2014_N!Y61,Data_2017!Y61))</f>
        <v>33.6</v>
      </c>
      <c r="Z61" s="148">
        <f>IF(CHOOSE(uxb_works!$B$46,"-",Data_2014_N!Z61,Data_2017!Z61)="","",CHOOSE(uxb_works!$B$46,"-",Data_2014_N!Z61,Data_2017!Z61))</f>
        <v>0.1</v>
      </c>
      <c r="AA61" s="148">
        <f>IF(CHOOSE(uxb_works!$B$46,"-",Data_2014_N!AA61,Data_2017!AA61)="","",CHOOSE(uxb_works!$B$46,"-",Data_2014_N!AA61,Data_2017!AA61))</f>
        <v>0.2</v>
      </c>
      <c r="AB61" s="148">
        <f>IF(CHOOSE(uxb_works!$B$46,"-",Data_2014_N!AB61,Data_2017!AB61)="","",CHOOSE(uxb_works!$B$46,"-",Data_2014_N!AB61,Data_2017!AB61))</f>
        <v>0</v>
      </c>
      <c r="AC61" s="148">
        <f>IF(CHOOSE(uxb_works!$B$46,"-",Data_2014_N!AC61,Data_2017!AC61)="","",CHOOSE(uxb_works!$B$46,"-",Data_2014_N!AC61,Data_2017!AC61))</f>
        <v>0.4</v>
      </c>
      <c r="AD61" s="148">
        <f>IF(CHOOSE(uxb_works!$B$46,"-",Data_2014_N!AD61,Data_2017!AD61)="","",CHOOSE(uxb_works!$B$46,"-",Data_2014_N!AD61,Data_2017!AD61))</f>
        <v>12.2</v>
      </c>
      <c r="AE61" s="148">
        <f>IF(CHOOSE(uxb_works!$B$46,"-",Data_2014_N!AE61,Data_2017!AE61)="","",CHOOSE(uxb_works!$B$46,"-",Data_2014_N!AE61,Data_2017!AE61))</f>
        <v>2</v>
      </c>
      <c r="AF61" s="148">
        <f>IF(CHOOSE(uxb_works!$B$46,"-",Data_2014_N!AF61,Data_2017!AF61)="","",CHOOSE(uxb_works!$B$46,"-",Data_2014_N!AF61,Data_2017!AF61))</f>
        <v>0.5</v>
      </c>
      <c r="AG61" s="148">
        <f>IF(CHOOSE(uxb_works!$B$46,"-",Data_2014_N!AG61,Data_2017!AG61)="","",CHOOSE(uxb_works!$B$46,"-",Data_2014_N!AG61,Data_2017!AG61))</f>
        <v>0.3</v>
      </c>
      <c r="AH61" s="148">
        <f>IF(CHOOSE(uxb_works!$B$46,"-",Data_2014_N!AH61,Data_2017!AH61)="","",CHOOSE(uxb_works!$B$46,"-",Data_2014_N!AH61,Data_2017!AH61))</f>
        <v>140.1</v>
      </c>
      <c r="AI61" s="148">
        <f>IF(CHOOSE(uxb_works!$B$46,"-",Data_2014_N!AI61,Data_2017!AI61)="","",CHOOSE(uxb_works!$B$46,"-",Data_2014_N!AI61,Data_2017!AI61))</f>
        <v>0.4</v>
      </c>
      <c r="AJ61" s="148">
        <f>IF(CHOOSE(uxb_works!$B$46,"-",Data_2014_N!AJ61,Data_2017!AJ61)="","",CHOOSE(uxb_works!$B$46,"-",Data_2014_N!AJ61,Data_2017!AJ61))</f>
        <v>0.1</v>
      </c>
      <c r="AK61" s="148" t="e">
        <f>IF(CHOOSE(uxb_works!$B$46,"-",Data_2014_N!AK61,Data_2017!#REF!)="","",CHOOSE(uxb_works!$B$46,"-",Data_2014_N!AK61,Data_2017!#REF!))</f>
        <v>#REF!</v>
      </c>
      <c r="AL61" s="148">
        <f>IF(CHOOSE(uxb_works!$B$46,"-",Data_2014_N!AL61,Data_2017!AK61)="","",CHOOSE(uxb_works!$B$46,"-",Data_2014_N!AL61,Data_2017!AK61))</f>
        <v>0.3</v>
      </c>
      <c r="AM61" s="148">
        <f>IF(CHOOSE(uxb_works!$B$46,"-",Data_2014_N!AM61,Data_2017!AL61)="","",CHOOSE(uxb_works!$B$46,"-",Data_2014_N!AM61,Data_2017!AL61))</f>
        <v>1.9</v>
      </c>
      <c r="AN61" s="148">
        <f>IF(CHOOSE(uxb_works!$B$46,"-",Data_2014_N!AN61,Data_2017!AM61)="","",CHOOSE(uxb_works!$B$46,"-",Data_2014_N!AN61,Data_2017!AM61))</f>
        <v>0.6</v>
      </c>
      <c r="AO61" s="148">
        <f>IF(CHOOSE(uxb_works!$B$46,"-",Data_2014_N!AO61,Data_2017!AN61)="","",CHOOSE(uxb_works!$B$46,"-",Data_2014_N!AO61,Data_2017!AN61))</f>
        <v>0.5</v>
      </c>
      <c r="AP61" s="148">
        <f>IF(CHOOSE(uxb_works!$B$46,"-",Data_2014_N!AP61,Data_2017!AO61)="","",CHOOSE(uxb_works!$B$46,"-",Data_2014_N!AP61,Data_2017!AO61))</f>
        <v>3.1</v>
      </c>
      <c r="AQ61" s="148">
        <f>IF(CHOOSE(uxb_works!$B$46,"-",Data_2014_N!AQ61,Data_2017!AP61)="","",CHOOSE(uxb_works!$B$46,"-",Data_2014_N!AQ61,Data_2017!AP61))</f>
        <v>0.2</v>
      </c>
      <c r="AR61" s="148">
        <f>IF(CHOOSE(uxb_works!$B$46,"-",Data_2014_N!AR61,Data_2017!AQ61)="","",CHOOSE(uxb_works!$B$46,"-",Data_2014_N!AR61,Data_2017!AQ61))</f>
        <v>1.5</v>
      </c>
      <c r="AS61" s="148">
        <f>IF(CHOOSE(uxb_works!$B$46,"-",Data_2014_N!AS61,Data_2017!AR61)="","",CHOOSE(uxb_works!$B$46,"-",Data_2014_N!AS61,Data_2017!AR61))</f>
        <v>0.8</v>
      </c>
      <c r="AT61" s="148">
        <f>IF(CHOOSE(uxb_works!$B$46,"-",Data_2014_N!AT61,Data_2017!AS61)="","",CHOOSE(uxb_works!$B$46,"-",Data_2014_N!AT61,Data_2017!AS61))</f>
        <v>3</v>
      </c>
      <c r="AU61" s="148">
        <f>IF(CHOOSE(uxb_works!$B$46,"-",Data_2014_N!AU61,Data_2017!AT61)="","",CHOOSE(uxb_works!$B$46,"-",Data_2014_N!AU61,Data_2017!AT61))</f>
        <v>1.1</v>
      </c>
      <c r="AV61" s="148">
        <f>IF(CHOOSE(uxb_works!$B$46,"-",Data_2014_N!AV61,Data_2017!AU61)="","",CHOOSE(uxb_works!$B$46,"-",Data_2014_N!AV61,Data_2017!AU61))</f>
        <v>2</v>
      </c>
      <c r="AW61" s="148">
        <f>IF(CHOOSE(uxb_works!$B$46,"-",Data_2014_N!AW61,Data_2017!AV61)="","",CHOOSE(uxb_works!$B$46,"-",Data_2014_N!AW61,Data_2017!AV61))</f>
        <v>0</v>
      </c>
      <c r="AX61" s="148">
        <f>IF(CHOOSE(uxb_works!$B$46,"-",Data_2014_N!AX61,Data_2017!AW61)="","",CHOOSE(uxb_works!$B$46,"-",Data_2014_N!AX61,Data_2017!AW61))</f>
        <v>2.3</v>
      </c>
      <c r="AY61" s="148">
        <f>IF(CHOOSE(uxb_works!$B$46,"-",Data_2014_N!AY61,Data_2017!AX61)="","",CHOOSE(uxb_works!$B$46,"-",Data_2014_N!AY61,Data_2017!AX61))</f>
        <v>0.1</v>
      </c>
      <c r="AZ61" s="148">
        <f>IF(CHOOSE(uxb_works!$B$46,"-",Data_2014_N!AZ61,Data_2017!AY61)="","",CHOOSE(uxb_works!$B$46,"-",Data_2014_N!AZ61,Data_2017!AY61))</f>
        <v>0</v>
      </c>
      <c r="BA61" s="148">
        <f>IF(CHOOSE(uxb_works!$B$46,"-",Data_2014_N!BA61,Data_2017!AZ61)="","",CHOOSE(uxb_works!$B$46,"-",Data_2014_N!BA61,Data_2017!AZ61))</f>
        <v>1.8</v>
      </c>
      <c r="BB61" s="148">
        <f>IF(CHOOSE(uxb_works!$B$46,"-",Data_2014_N!BB61,Data_2017!BA61)="","",CHOOSE(uxb_works!$B$46,"-",Data_2014_N!BB61,Data_2017!BA61))</f>
        <v>1.2</v>
      </c>
      <c r="BC61" s="148">
        <f>IF(CHOOSE(uxb_works!$B$46,"-",Data_2014_N!BC61,Data_2017!BB61)="","",CHOOSE(uxb_works!$B$46,"-",Data_2014_N!BC61,Data_2017!BB61))</f>
        <v>0.1</v>
      </c>
      <c r="BD61" s="148">
        <f>IF(CHOOSE(uxb_works!$B$46,"-",Data_2014_N!BD61,Data_2017!BC61)="","",CHOOSE(uxb_works!$B$46,"-",Data_2014_N!BD61,Data_2017!BC61))</f>
        <v>4.2</v>
      </c>
      <c r="BE61" s="148">
        <f>IF(CHOOSE(uxb_works!$B$46,"-",Data_2014_N!BE61,Data_2017!BD61)="","",CHOOSE(uxb_works!$B$46,"-",Data_2014_N!BE61,Data_2017!BD61))</f>
        <v>0.2</v>
      </c>
      <c r="BF61" s="148">
        <f>IF(CHOOSE(uxb_works!$B$46,"-",Data_2014_N!BF61,Data_2017!BE61)="","",CHOOSE(uxb_works!$B$46,"-",Data_2014_N!BF61,Data_2017!BE61))</f>
        <v>0.1</v>
      </c>
      <c r="BG61" s="148">
        <f>IF(CHOOSE(uxb_works!$B$46,"-",Data_2014_N!BG61,Data_2017!BF61)="","",CHOOSE(uxb_works!$B$46,"-",Data_2014_N!BG61,Data_2017!BF61))</f>
        <v>0.1</v>
      </c>
      <c r="BH61" s="148">
        <f>IF(CHOOSE(uxb_works!$B$46,"-",Data_2014_N!BH61,Data_2017!BG61)="","",CHOOSE(uxb_works!$B$46,"-",Data_2014_N!BH61,Data_2017!BG61))</f>
        <v>0</v>
      </c>
      <c r="BI61" s="148">
        <f>IF(CHOOSE(uxb_works!$B$46,"-",Data_2014_N!BI61,Data_2017!BH61)="","",CHOOSE(uxb_works!$B$46,"-",Data_2014_N!BI61,Data_2017!BH61))</f>
        <v>0.5</v>
      </c>
      <c r="BJ61" s="148">
        <f>IF(CHOOSE(uxb_works!$B$46,"-",Data_2014_N!BJ61,Data_2017!BI61)="","",CHOOSE(uxb_works!$B$46,"-",Data_2014_N!BJ61,Data_2017!BI61))</f>
        <v>0.4</v>
      </c>
      <c r="BK61" s="148">
        <f>IF(CHOOSE(uxb_works!$B$46,"-",Data_2014_N!BK61,Data_2017!BJ61)="","",CHOOSE(uxb_works!$B$46,"-",Data_2014_N!BK61,Data_2017!BJ61))</f>
        <v>0.2</v>
      </c>
      <c r="BL61" s="148">
        <f>IF(CHOOSE(uxb_works!$B$46,"-",Data_2014_N!BL61,Data_2017!BK61)="","",CHOOSE(uxb_works!$B$46,"-",Data_2014_N!BL61,Data_2017!BK61))</f>
        <v>1</v>
      </c>
      <c r="BM61" s="148">
        <f>IF(CHOOSE(uxb_works!$B$46,"-",Data_2014_N!BM61,Data_2017!BL61)="","",CHOOSE(uxb_works!$B$46,"-",Data_2014_N!BM61,Data_2017!BL61))</f>
        <v>0.7</v>
      </c>
      <c r="BN61" s="148">
        <f>IF(CHOOSE(uxb_works!$B$46,"-",Data_2014_N!BN61,Data_2017!BM61)="","",CHOOSE(uxb_works!$B$46,"-",Data_2014_N!BN61,Data_2017!BM61))</f>
        <v>0.2</v>
      </c>
      <c r="BO61" s="148">
        <f>IF(CHOOSE(uxb_works!$B$46,"-",Data_2014_N!BO61,Data_2017!BN61)="","",CHOOSE(uxb_works!$B$46,"-",Data_2014_N!BO61,Data_2017!BN61))</f>
        <v>0.6</v>
      </c>
      <c r="BP61" s="148">
        <f>IF(CHOOSE(uxb_works!$B$46,"-",Data_2014_N!BP61,Data_2017!BO61)="","",CHOOSE(uxb_works!$B$46,"-",Data_2014_N!BP61,Data_2017!BO61))</f>
        <v>0.5</v>
      </c>
      <c r="BQ61" s="148">
        <f>IF(CHOOSE(uxb_works!$B$46,"-",Data_2014_N!BQ61,Data_2017!BP61)="","",CHOOSE(uxb_works!$B$46,"-",Data_2014_N!BQ61,Data_2017!BP61))</f>
        <v>2.1</v>
      </c>
      <c r="BR61" s="325">
        <f>IF(CHOOSE(uxb_works!$B$46,"-",Data_2014_N!BR61,Data_2017!BR61)="","",CHOOSE(uxb_works!$B$46,"-",Data_2014_N!BR61,Data_2017!BR61))</f>
        <v>0</v>
      </c>
      <c r="CC61" s="112">
        <v>0.8</v>
      </c>
      <c r="CD61" s="112">
        <v>0.8</v>
      </c>
      <c r="CE61" s="112">
        <v>0.1</v>
      </c>
      <c r="CF61" s="112">
        <v>0.1</v>
      </c>
      <c r="CG61" s="112">
        <v>0.3</v>
      </c>
    </row>
    <row r="62" s="112" customFormat="1" ht="22.5" customHeight="1" spans="1:85">
      <c r="A62"/>
      <c r="B62" s="133">
        <f>tblIndicators!A59</f>
        <v>58</v>
      </c>
      <c r="C62" s="133">
        <f>tblIndicators!B59</f>
        <v>0</v>
      </c>
      <c r="D62" s="310">
        <f>CHOOSE(uxb_works!$B$46,#REF!,Data_2014_N!D62,Data_2017!D62)</f>
        <v>3</v>
      </c>
      <c r="E62" s="133" t="str">
        <f>tblIndicators!E59</f>
        <v>PESE4.2</v>
      </c>
      <c r="F62" s="133" t="str">
        <f>tblIndicators!H59</f>
        <v>Gender safety</v>
      </c>
      <c r="G62" s="133">
        <f>tblIndicators!Z59</f>
        <v>2</v>
      </c>
      <c r="H62" s="105" t="str">
        <f>REPT(" ",D62)&amp;CHOOSE(uxb_works!$B$46,#REF!,Data_2014_N!H62,Data_2017!H62)</f>
        <v>      4.2.7) Severity of terrorist attacks</v>
      </c>
      <c r="I62" s="319" t="str">
        <f>IF(CHOOSE(uxb_works!$B$46,#REF!,Data_2014_N!I62,Data_2017!I62)="","",CHOOSE(uxb_works!$B$46,#REF!,Data_2014_N!I62,Data_2017!I62))</f>
        <v>#/year</v>
      </c>
      <c r="J62" s="148">
        <f>IF(CHOOSE(uxb_works!$B$46,"-",Data_2014_N!J62,Data_2017!J62)="","",CHOOSE(uxb_works!$B$46,"-",Data_2014_N!J62,Data_2017!J62))</f>
        <v>0.1</v>
      </c>
      <c r="K62" s="148">
        <f>IF(CHOOSE(uxb_works!$B$46,"-",Data_2014_N!K62,Data_2017!K62)="","",CHOOSE(uxb_works!$B$46,"-",Data_2014_N!K62,Data_2017!K62))</f>
        <v>0</v>
      </c>
      <c r="L62" s="148">
        <f>IF(CHOOSE(uxb_works!$B$46,"-",Data_2014_N!L62,Data_2017!L62)="","",CHOOSE(uxb_works!$B$46,"-",Data_2014_N!L62,Data_2017!L62))</f>
        <v>3.6</v>
      </c>
      <c r="M62" s="148">
        <f>IF(CHOOSE(uxb_works!$B$46,"-",Data_2014_N!M62,Data_2017!M62)="","",CHOOSE(uxb_works!$B$46,"-",Data_2014_N!M62,Data_2017!M62))</f>
        <v>57.6</v>
      </c>
      <c r="N62" s="148">
        <f>IF(CHOOSE(uxb_works!$B$46,"-",Data_2014_N!N62,Data_2017!N62)="","",CHOOSE(uxb_works!$B$46,"-",Data_2014_N!N62,Data_2017!N62))</f>
        <v>0</v>
      </c>
      <c r="O62" s="148">
        <f>IF(CHOOSE(uxb_works!$B$46,"-",Data_2014_N!O62,Data_2017!O62)="","",CHOOSE(uxb_works!$B$46,"-",Data_2014_N!O62,Data_2017!O62))</f>
        <v>6.8</v>
      </c>
      <c r="P62" s="148">
        <f>IF(CHOOSE(uxb_works!$B$46,"-",Data_2014_N!P62,Data_2017!P62)="","",CHOOSE(uxb_works!$B$46,"-",Data_2014_N!P62,Data_2017!P62))</f>
        <v>17</v>
      </c>
      <c r="Q62" s="148">
        <f>IF(CHOOSE(uxb_works!$B$46,"-",Data_2014_N!Q62,Data_2017!Q62)="","",CHOOSE(uxb_works!$B$46,"-",Data_2014_N!Q62,Data_2017!Q62))</f>
        <v>16.5</v>
      </c>
      <c r="R62" s="148">
        <f>IF(CHOOSE(uxb_works!$B$46,"-",Data_2014_N!R62,Data_2017!R62)="","",CHOOSE(uxb_works!$B$46,"-",Data_2014_N!R62,Data_2017!R62))</f>
        <v>0.2</v>
      </c>
      <c r="S62" s="148">
        <f>IF(CHOOSE(uxb_works!$B$46,"-",Data_2014_N!S62,Data_2017!S62)="","",CHOOSE(uxb_works!$B$46,"-",Data_2014_N!S62,Data_2017!S62))</f>
        <v>46.9</v>
      </c>
      <c r="T62" s="148">
        <f>IF(CHOOSE(uxb_works!$B$46,"-",Data_2014_N!T62,Data_2017!T62)="","",CHOOSE(uxb_works!$B$46,"-",Data_2014_N!T62,Data_2017!T62))</f>
        <v>1.1</v>
      </c>
      <c r="U62" s="148">
        <f>IF(CHOOSE(uxb_works!$B$46,"-",Data_2014_N!U62,Data_2017!U62)="","",CHOOSE(uxb_works!$B$46,"-",Data_2014_N!U62,Data_2017!U62))</f>
        <v>3.3</v>
      </c>
      <c r="V62" s="148">
        <f>IF(CHOOSE(uxb_works!$B$46,"-",Data_2014_N!V62,Data_2017!V62)="","",CHOOSE(uxb_works!$B$46,"-",Data_2014_N!V62,Data_2017!V62))</f>
        <v>0</v>
      </c>
      <c r="W62" s="148">
        <f>IF(CHOOSE(uxb_works!$B$46,"-",Data_2014_N!W62,Data_2017!W62)="","",CHOOSE(uxb_works!$B$46,"-",Data_2014_N!W62,Data_2017!W62))</f>
        <v>1.6</v>
      </c>
      <c r="X62" s="148">
        <f>IF(CHOOSE(uxb_works!$B$46,"-",Data_2014_N!X62,Data_2017!X62)="","",CHOOSE(uxb_works!$B$46,"-",Data_2014_N!X62,Data_2017!X62))</f>
        <v>18.5</v>
      </c>
      <c r="Y62" s="148">
        <f>IF(CHOOSE(uxb_works!$B$46,"-",Data_2014_N!Y62,Data_2017!Y62)="","",CHOOSE(uxb_works!$B$46,"-",Data_2014_N!Y62,Data_2017!Y62))</f>
        <v>54.1</v>
      </c>
      <c r="Z62" s="148">
        <f>IF(CHOOSE(uxb_works!$B$46,"-",Data_2014_N!Z62,Data_2017!Z62)="","",CHOOSE(uxb_works!$B$46,"-",Data_2014_N!Z62,Data_2017!Z62))</f>
        <v>0.1</v>
      </c>
      <c r="AA62" s="148">
        <f>IF(CHOOSE(uxb_works!$B$46,"-",Data_2014_N!AA62,Data_2017!AA62)="","",CHOOSE(uxb_works!$B$46,"-",Data_2014_N!AA62,Data_2017!AA62))</f>
        <v>0.4</v>
      </c>
      <c r="AB62" s="148">
        <f>IF(CHOOSE(uxb_works!$B$46,"-",Data_2014_N!AB62,Data_2017!AB62)="","",CHOOSE(uxb_works!$B$46,"-",Data_2014_N!AB62,Data_2017!AB62))</f>
        <v>0</v>
      </c>
      <c r="AC62" s="148">
        <f>IF(CHOOSE(uxb_works!$B$46,"-",Data_2014_N!AC62,Data_2017!AC62)="","",CHOOSE(uxb_works!$B$46,"-",Data_2014_N!AC62,Data_2017!AC62))</f>
        <v>10.1</v>
      </c>
      <c r="AD62" s="148">
        <f>IF(CHOOSE(uxb_works!$B$46,"-",Data_2014_N!AD62,Data_2017!AD62)="","",CHOOSE(uxb_works!$B$46,"-",Data_2014_N!AD62,Data_2017!AD62))</f>
        <v>97.8</v>
      </c>
      <c r="AE62" s="148">
        <f>IF(CHOOSE(uxb_works!$B$46,"-",Data_2014_N!AE62,Data_2017!AE62)="","",CHOOSE(uxb_works!$B$46,"-",Data_2014_N!AE62,Data_2017!AE62))</f>
        <v>10.4</v>
      </c>
      <c r="AF62" s="148">
        <f>IF(CHOOSE(uxb_works!$B$46,"-",Data_2014_N!AF62,Data_2017!AF62)="","",CHOOSE(uxb_works!$B$46,"-",Data_2014_N!AF62,Data_2017!AF62))</f>
        <v>1.4</v>
      </c>
      <c r="AG62" s="148">
        <f>IF(CHOOSE(uxb_works!$B$46,"-",Data_2014_N!AG62,Data_2017!AG62)="","",CHOOSE(uxb_works!$B$46,"-",Data_2014_N!AG62,Data_2017!AG62))</f>
        <v>0.5</v>
      </c>
      <c r="AH62" s="148">
        <f>IF(CHOOSE(uxb_works!$B$46,"-",Data_2014_N!AH62,Data_2017!AH62)="","",CHOOSE(uxb_works!$B$46,"-",Data_2014_N!AH62,Data_2017!AH62))</f>
        <v>503.4</v>
      </c>
      <c r="AI62" s="148">
        <f>IF(CHOOSE(uxb_works!$B$46,"-",Data_2014_N!AI62,Data_2017!AI62)="","",CHOOSE(uxb_works!$B$46,"-",Data_2014_N!AI62,Data_2017!AI62))</f>
        <v>0</v>
      </c>
      <c r="AJ62" s="148">
        <f>IF(CHOOSE(uxb_works!$B$46,"-",Data_2014_N!AJ62,Data_2017!AJ62)="","",CHOOSE(uxb_works!$B$46,"-",Data_2014_N!AJ62,Data_2017!AJ62))</f>
        <v>25.5</v>
      </c>
      <c r="AK62" s="148" t="e">
        <f>IF(CHOOSE(uxb_works!$B$46,"-",Data_2014_N!AK62,Data_2017!#REF!)="","",CHOOSE(uxb_works!$B$46,"-",Data_2014_N!AK62,Data_2017!#REF!))</f>
        <v>#REF!</v>
      </c>
      <c r="AL62" s="148">
        <f>IF(CHOOSE(uxb_works!$B$46,"-",Data_2014_N!AL62,Data_2017!AK62)="","",CHOOSE(uxb_works!$B$46,"-",Data_2014_N!AL62,Data_2017!AK62))</f>
        <v>0.6</v>
      </c>
      <c r="AM62" s="148">
        <f>IF(CHOOSE(uxb_works!$B$46,"-",Data_2014_N!AM62,Data_2017!AL62)="","",CHOOSE(uxb_works!$B$46,"-",Data_2014_N!AM62,Data_2017!AL62))</f>
        <v>1.8</v>
      </c>
      <c r="AN62" s="148">
        <f>IF(CHOOSE(uxb_works!$B$46,"-",Data_2014_N!AN62,Data_2017!AM62)="","",CHOOSE(uxb_works!$B$46,"-",Data_2014_N!AN62,Data_2017!AM62))</f>
        <v>0.5</v>
      </c>
      <c r="AO62" s="148">
        <f>IF(CHOOSE(uxb_works!$B$46,"-",Data_2014_N!AO62,Data_2017!AN62)="","",CHOOSE(uxb_works!$B$46,"-",Data_2014_N!AO62,Data_2017!AN62))</f>
        <v>0.1</v>
      </c>
      <c r="AP62" s="148">
        <f>IF(CHOOSE(uxb_works!$B$46,"-",Data_2014_N!AP62,Data_2017!AO62)="","",CHOOSE(uxb_works!$B$46,"-",Data_2014_N!AP62,Data_2017!AO62))</f>
        <v>4.6</v>
      </c>
      <c r="AQ62" s="148">
        <f>IF(CHOOSE(uxb_works!$B$46,"-",Data_2014_N!AQ62,Data_2017!AP62)="","",CHOOSE(uxb_works!$B$46,"-",Data_2014_N!AQ62,Data_2017!AP62))</f>
        <v>0.3</v>
      </c>
      <c r="AR62" s="148">
        <f>IF(CHOOSE(uxb_works!$B$46,"-",Data_2014_N!AR62,Data_2017!AQ62)="","",CHOOSE(uxb_works!$B$46,"-",Data_2014_N!AR62,Data_2017!AQ62))</f>
        <v>14.4</v>
      </c>
      <c r="AS62" s="148">
        <f>IF(CHOOSE(uxb_works!$B$46,"-",Data_2014_N!AS62,Data_2017!AR62)="","",CHOOSE(uxb_works!$B$46,"-",Data_2014_N!AS62,Data_2017!AR62))</f>
        <v>0.6</v>
      </c>
      <c r="AT62" s="148">
        <f>IF(CHOOSE(uxb_works!$B$46,"-",Data_2014_N!AT62,Data_2017!AS62)="","",CHOOSE(uxb_works!$B$46,"-",Data_2014_N!AT62,Data_2017!AS62))</f>
        <v>9.7</v>
      </c>
      <c r="AU62" s="148">
        <f>IF(CHOOSE(uxb_works!$B$46,"-",Data_2014_N!AU62,Data_2017!AT62)="","",CHOOSE(uxb_works!$B$46,"-",Data_2014_N!AU62,Data_2017!AT62))</f>
        <v>58.7</v>
      </c>
      <c r="AV62" s="148">
        <f>IF(CHOOSE(uxb_works!$B$46,"-",Data_2014_N!AV62,Data_2017!AU62)="","",CHOOSE(uxb_works!$B$46,"-",Data_2014_N!AV62,Data_2017!AU62))</f>
        <v>4.1</v>
      </c>
      <c r="AW62" s="148">
        <f>IF(CHOOSE(uxb_works!$B$46,"-",Data_2014_N!AW62,Data_2017!AV62)="","",CHOOSE(uxb_works!$B$46,"-",Data_2014_N!AW62,Data_2017!AV62))</f>
        <v>0</v>
      </c>
      <c r="AX62" s="148">
        <f>IF(CHOOSE(uxb_works!$B$46,"-",Data_2014_N!AX62,Data_2017!AW62)="","",CHOOSE(uxb_works!$B$46,"-",Data_2014_N!AX62,Data_2017!AW62))</f>
        <v>31.9</v>
      </c>
      <c r="AY62" s="148">
        <f>IF(CHOOSE(uxb_works!$B$46,"-",Data_2014_N!AY62,Data_2017!AX62)="","",CHOOSE(uxb_works!$B$46,"-",Data_2014_N!AY62,Data_2017!AX62))</f>
        <v>0</v>
      </c>
      <c r="AZ62" s="148">
        <f>IF(CHOOSE(uxb_works!$B$46,"-",Data_2014_N!AZ62,Data_2017!AY62)="","",CHOOSE(uxb_works!$B$46,"-",Data_2014_N!AZ62,Data_2017!AY62))</f>
        <v>0</v>
      </c>
      <c r="BA62" s="148">
        <f>IF(CHOOSE(uxb_works!$B$46,"-",Data_2014_N!BA62,Data_2017!AZ62)="","",CHOOSE(uxb_works!$B$46,"-",Data_2014_N!BA62,Data_2017!AZ62))</f>
        <v>3.2</v>
      </c>
      <c r="BB62" s="148">
        <f>IF(CHOOSE(uxb_works!$B$46,"-",Data_2014_N!BB62,Data_2017!BA62)="","",CHOOSE(uxb_works!$B$46,"-",Data_2014_N!BB62,Data_2017!BA62))</f>
        <v>0.6</v>
      </c>
      <c r="BC62" s="148">
        <f>IF(CHOOSE(uxb_works!$B$46,"-",Data_2014_N!BC62,Data_2017!BB62)="","",CHOOSE(uxb_works!$B$46,"-",Data_2014_N!BC62,Data_2017!BB62))</f>
        <v>0</v>
      </c>
      <c r="BD62" s="148">
        <f>IF(CHOOSE(uxb_works!$B$46,"-",Data_2014_N!BD62,Data_2017!BC62)="","",CHOOSE(uxb_works!$B$46,"-",Data_2014_N!BD62,Data_2017!BC62))</f>
        <v>2</v>
      </c>
      <c r="BE62" s="148">
        <f>IF(CHOOSE(uxb_works!$B$46,"-",Data_2014_N!BE62,Data_2017!BD62)="","",CHOOSE(uxb_works!$B$46,"-",Data_2014_N!BE62,Data_2017!BD62))</f>
        <v>0</v>
      </c>
      <c r="BF62" s="148">
        <f>IF(CHOOSE(uxb_works!$B$46,"-",Data_2014_N!BF62,Data_2017!BE62)="","",CHOOSE(uxb_works!$B$46,"-",Data_2014_N!BF62,Data_2017!BE62))</f>
        <v>0.1</v>
      </c>
      <c r="BG62" s="148">
        <f>IF(CHOOSE(uxb_works!$B$46,"-",Data_2014_N!BG62,Data_2017!BF62)="","",CHOOSE(uxb_works!$B$46,"-",Data_2014_N!BG62,Data_2017!BF62))</f>
        <v>1.5</v>
      </c>
      <c r="BH62" s="148">
        <f>IF(CHOOSE(uxb_works!$B$46,"-",Data_2014_N!BH62,Data_2017!BG62)="","",CHOOSE(uxb_works!$B$46,"-",Data_2014_N!BH62,Data_2017!BG62))</f>
        <v>0</v>
      </c>
      <c r="BI62" s="148">
        <f>IF(CHOOSE(uxb_works!$B$46,"-",Data_2014_N!BI62,Data_2017!BH62)="","",CHOOSE(uxb_works!$B$46,"-",Data_2014_N!BI62,Data_2017!BH62))</f>
        <v>0.3</v>
      </c>
      <c r="BJ62" s="148">
        <f>IF(CHOOSE(uxb_works!$B$46,"-",Data_2014_N!BJ62,Data_2017!BI62)="","",CHOOSE(uxb_works!$B$46,"-",Data_2014_N!BJ62,Data_2017!BI62))</f>
        <v>0.7</v>
      </c>
      <c r="BK62" s="148">
        <f>IF(CHOOSE(uxb_works!$B$46,"-",Data_2014_N!BK62,Data_2017!BJ62)="","",CHOOSE(uxb_works!$B$46,"-",Data_2014_N!BK62,Data_2017!BJ62))</f>
        <v>0.1</v>
      </c>
      <c r="BL62" s="148">
        <f>IF(CHOOSE(uxb_works!$B$46,"-",Data_2014_N!BL62,Data_2017!BK62)="","",CHOOSE(uxb_works!$B$46,"-",Data_2014_N!BL62,Data_2017!BK62))</f>
        <v>10.3</v>
      </c>
      <c r="BM62" s="148">
        <f>IF(CHOOSE(uxb_works!$B$46,"-",Data_2014_N!BM62,Data_2017!BL62)="","",CHOOSE(uxb_works!$B$46,"-",Data_2014_N!BM62,Data_2017!BL62))</f>
        <v>0</v>
      </c>
      <c r="BN62" s="148">
        <f>IF(CHOOSE(uxb_works!$B$46,"-",Data_2014_N!BN62,Data_2017!BM62)="","",CHOOSE(uxb_works!$B$46,"-",Data_2014_N!BN62,Data_2017!BM62))</f>
        <v>0.3</v>
      </c>
      <c r="BO62" s="148">
        <f>IF(CHOOSE(uxb_works!$B$46,"-",Data_2014_N!BO62,Data_2017!BN62)="","",CHOOSE(uxb_works!$B$46,"-",Data_2014_N!BO62,Data_2017!BN62))</f>
        <v>0.2</v>
      </c>
      <c r="BP62" s="148">
        <f>IF(CHOOSE(uxb_works!$B$46,"-",Data_2014_N!BP62,Data_2017!BO62)="","",CHOOSE(uxb_works!$B$46,"-",Data_2014_N!BP62,Data_2017!BO62))</f>
        <v>0</v>
      </c>
      <c r="BQ62" s="148">
        <f>IF(CHOOSE(uxb_works!$B$46,"-",Data_2014_N!BQ62,Data_2017!BP62)="","",CHOOSE(uxb_works!$B$46,"-",Data_2014_N!BQ62,Data_2017!BP62))</f>
        <v>9</v>
      </c>
      <c r="BR62" s="325">
        <f>IF(CHOOSE(uxb_works!$B$46,"-",Data_2014_N!BR62,Data_2017!BR62)="","",CHOOSE(uxb_works!$B$46,"-",Data_2014_N!BR62,Data_2017!BR62))</f>
        <v>0</v>
      </c>
      <c r="CC62" s="112">
        <v>20.6</v>
      </c>
      <c r="CD62" s="112">
        <v>14.6</v>
      </c>
      <c r="CE62" s="112">
        <v>20.6</v>
      </c>
      <c r="CF62" s="112">
        <v>73.6</v>
      </c>
      <c r="CG62" s="112">
        <v>31.8</v>
      </c>
    </row>
    <row r="63" s="112" customFormat="1" ht="22.5" customHeight="1" spans="1:85">
      <c r="A63"/>
      <c r="B63" s="133">
        <f>tblIndicators!A60</f>
        <v>59</v>
      </c>
      <c r="C63" s="133">
        <f>tblIndicators!B60</f>
        <v>0</v>
      </c>
      <c r="D63" s="310">
        <f>CHOOSE(uxb_works!$B$46,#REF!,Data_2014_N!D63,Data_2017!D63)</f>
        <v>3</v>
      </c>
      <c r="E63" s="133" t="str">
        <f>tblIndicators!E60</f>
        <v>PESE4.2</v>
      </c>
      <c r="F63" s="133" t="str">
        <f>tblIndicators!H60</f>
        <v>Perceptions of safety</v>
      </c>
      <c r="G63" s="133">
        <f>tblIndicators!Z60</f>
        <v>3</v>
      </c>
      <c r="H63" s="105" t="str">
        <f>REPT(" ",D63)&amp;CHOOSE(uxb_works!$B$46,#REF!,Data_2014_N!H63,Data_2017!H63)</f>
        <v>      4.2.8) Gender safety</v>
      </c>
      <c r="I63" s="319" t="str">
        <f>IF(CHOOSE(uxb_works!$B$46,#REF!,Data_2014_N!I63,Data_2017!I63)="","",CHOOSE(uxb_works!$B$46,#REF!,Data_2014_N!I63,Data_2017!I63))</f>
        <v>per 100,000</v>
      </c>
      <c r="J63" s="148">
        <f>IF(CHOOSE(uxb_works!$B$46,"-",Data_2014_N!J63,Data_2017!J63)="","",CHOOSE(uxb_works!$B$46,"-",Data_2014_N!J63,Data_2017!J63))</f>
        <v>0.61903734337157</v>
      </c>
      <c r="K63" s="148">
        <f>IF(CHOOSE(uxb_works!$B$46,"-",Data_2014_N!K63,Data_2017!K63)="","",CHOOSE(uxb_works!$B$46,"-",Data_2014_N!K63,Data_2017!K63))</f>
        <v>0.546234275885613</v>
      </c>
      <c r="L63" s="148">
        <f>IF(CHOOSE(uxb_works!$B$46,"-",Data_2014_N!L63,Data_2017!L63)="","",CHOOSE(uxb_works!$B$46,"-",Data_2014_N!L63,Data_2017!L63))</f>
        <v>0.949835387818532</v>
      </c>
      <c r="M63" s="148">
        <f>IF(CHOOSE(uxb_works!$B$46,"-",Data_2014_N!M63,Data_2017!M63)="","",CHOOSE(uxb_works!$B$46,"-",Data_2014_N!M63,Data_2017!M63))</f>
        <v>1.39835096180014</v>
      </c>
      <c r="N63" s="148">
        <f>IF(CHOOSE(uxb_works!$B$46,"-",Data_2014_N!N63,Data_2017!N63)="","",CHOOSE(uxb_works!$B$46,"-",Data_2014_N!N63,Data_2017!N63))</f>
        <v>0.552495801045469</v>
      </c>
      <c r="O63" s="148">
        <f>IF(CHOOSE(uxb_works!$B$46,"-",Data_2014_N!O63,Data_2017!O63)="","",CHOOSE(uxb_works!$B$46,"-",Data_2014_N!O63,Data_2017!O63))</f>
        <v>0.577181741041384</v>
      </c>
      <c r="P63" s="148">
        <f>IF(CHOOSE(uxb_works!$B$46,"-",Data_2014_N!P63,Data_2017!P63)="","",CHOOSE(uxb_works!$B$46,"-",Data_2014_N!P63,Data_2017!P63))</f>
        <v>9.72467675252015</v>
      </c>
      <c r="Q63" s="148">
        <f>IF(CHOOSE(uxb_works!$B$46,"-",Data_2014_N!Q63,Data_2017!Q63)="","",CHOOSE(uxb_works!$B$46,"-",Data_2014_N!Q63,Data_2017!Q63))</f>
        <v>0.969594065687528</v>
      </c>
      <c r="R63" s="148">
        <f>IF(CHOOSE(uxb_works!$B$46,"-",Data_2014_N!R63,Data_2017!R63)="","",CHOOSE(uxb_works!$B$46,"-",Data_2014_N!R63,Data_2017!R63))</f>
        <v>1.44647453348816</v>
      </c>
      <c r="S63" s="148">
        <f>IF(CHOOSE(uxb_works!$B$46,"-",Data_2014_N!S63,Data_2017!S63)="","",CHOOSE(uxb_works!$B$46,"-",Data_2014_N!S63,Data_2017!S63))</f>
        <v>2.23117820595197</v>
      </c>
      <c r="T63" s="148">
        <f>IF(CHOOSE(uxb_works!$B$46,"-",Data_2014_N!T63,Data_2017!T63)="","",CHOOSE(uxb_works!$B$46,"-",Data_2014_N!T63,Data_2017!T63))</f>
        <v>7.95989632103164</v>
      </c>
      <c r="U63" s="148">
        <f>IF(CHOOSE(uxb_works!$B$46,"-",Data_2014_N!U63,Data_2017!U63)="","",CHOOSE(uxb_works!$B$46,"-",Data_2014_N!U63,Data_2017!U63))</f>
        <v>0.599860213734278</v>
      </c>
      <c r="V63" s="148">
        <f>IF(CHOOSE(uxb_works!$B$46,"-",Data_2014_N!V63,Data_2017!V63)="","",CHOOSE(uxb_works!$B$46,"-",Data_2014_N!V63,Data_2017!V63))</f>
        <v>3.48</v>
      </c>
      <c r="W63" s="148">
        <f>IF(CHOOSE(uxb_works!$B$46,"-",Data_2014_N!W63,Data_2017!W63)="","",CHOOSE(uxb_works!$B$46,"-",Data_2014_N!W63,Data_2017!W63))</f>
        <v>2.06320657759507</v>
      </c>
      <c r="X63" s="148">
        <f>IF(CHOOSE(uxb_works!$B$46,"-",Data_2014_N!X63,Data_2017!X63)="","",CHOOSE(uxb_works!$B$46,"-",Data_2014_N!X63,Data_2017!X63))</f>
        <v>1.85476446380673</v>
      </c>
      <c r="Y63" s="148">
        <f>IF(CHOOSE(uxb_works!$B$46,"-",Data_2014_N!Y63,Data_2017!Y63)="","",CHOOSE(uxb_works!$B$46,"-",Data_2014_N!Y63,Data_2017!Y63))</f>
        <v>2.04964258303099</v>
      </c>
      <c r="Z63" s="148">
        <f>IF(CHOOSE(uxb_works!$B$46,"-",Data_2014_N!Z63,Data_2017!Z63)="","",CHOOSE(uxb_works!$B$46,"-",Data_2014_N!Z63,Data_2017!Z63))</f>
        <v>3.63337257532429</v>
      </c>
      <c r="AA63" s="148">
        <f>IF(CHOOSE(uxb_works!$B$46,"-",Data_2014_N!AA63,Data_2017!AA63)="","",CHOOSE(uxb_works!$B$46,"-",Data_2014_N!AA63,Data_2017!AA63))</f>
        <v>0.66769008811865</v>
      </c>
      <c r="AB63" s="148">
        <f>IF(CHOOSE(uxb_works!$B$46,"-",Data_2014_N!AB63,Data_2017!AB63)="","",CHOOSE(uxb_works!$B$46,"-",Data_2014_N!AB63,Data_2017!AB63))</f>
        <v>0.736954491869967</v>
      </c>
      <c r="AC63" s="148">
        <f>IF(CHOOSE(uxb_works!$B$46,"-",Data_2014_N!AC63,Data_2017!AC63)="","",CHOOSE(uxb_works!$B$46,"-",Data_2014_N!AC63,Data_2017!AC63))</f>
        <v>0.33588428386953</v>
      </c>
      <c r="AD63" s="148">
        <f>IF(CHOOSE(uxb_works!$B$46,"-",Data_2014_N!AD63,Data_2017!AD63)="","",CHOOSE(uxb_works!$B$46,"-",Data_2014_N!AD63,Data_2017!AD63))</f>
        <v>0.652003573779639</v>
      </c>
      <c r="AE63" s="148">
        <f>IF(CHOOSE(uxb_works!$B$46,"-",Data_2014_N!AE63,Data_2017!AE63)="","",CHOOSE(uxb_works!$B$46,"-",Data_2014_N!AE63,Data_2017!AE63))</f>
        <v>1.58138265197062</v>
      </c>
      <c r="AF63" s="148">
        <f>IF(CHOOSE(uxb_works!$B$46,"-",Data_2014_N!AF63,Data_2017!AF63)="","",CHOOSE(uxb_works!$B$46,"-",Data_2014_N!AF63,Data_2017!AF63))</f>
        <v>2.22215298162428</v>
      </c>
      <c r="AG63" s="148">
        <f>IF(CHOOSE(uxb_works!$B$46,"-",Data_2014_N!AG63,Data_2017!AG63)="","",CHOOSE(uxb_works!$B$46,"-",Data_2014_N!AG63,Data_2017!AG63))</f>
        <v>9.56792560514913</v>
      </c>
      <c r="AH63" s="148">
        <f>IF(CHOOSE(uxb_works!$B$46,"-",Data_2014_N!AH63,Data_2017!AH63)="","",CHOOSE(uxb_works!$B$46,"-",Data_2014_N!AH63,Data_2017!AH63))</f>
        <v>4.72350349203809</v>
      </c>
      <c r="AI63" s="148">
        <f>IF(CHOOSE(uxb_works!$B$46,"-",Data_2014_N!AI63,Data_2017!AI63)="","",CHOOSE(uxb_works!$B$46,"-",Data_2014_N!AI63,Data_2017!AI63))</f>
        <v>1.64226195527818</v>
      </c>
      <c r="AJ63" s="148">
        <f>IF(CHOOSE(uxb_works!$B$46,"-",Data_2014_N!AJ63,Data_2017!AJ63)="","",CHOOSE(uxb_works!$B$46,"-",Data_2014_N!AJ63,Data_2017!AJ63))</f>
        <v>0.917547639188293</v>
      </c>
      <c r="AK63" s="148" t="e">
        <f>IF(CHOOSE(uxb_works!$B$46,"-",Data_2014_N!AK63,Data_2017!#REF!)="","",CHOOSE(uxb_works!$B$46,"-",Data_2014_N!AK63,Data_2017!#REF!))</f>
        <v>#REF!</v>
      </c>
      <c r="AL63" s="148">
        <f>IF(CHOOSE(uxb_works!$B$46,"-",Data_2014_N!AL63,Data_2017!AK63)="","",CHOOSE(uxb_works!$B$46,"-",Data_2014_N!AL63,Data_2017!AK63))</f>
        <v>5.48990343275276</v>
      </c>
      <c r="AM63" s="148">
        <f>IF(CHOOSE(uxb_works!$B$46,"-",Data_2014_N!AM63,Data_2017!AL63)="","",CHOOSE(uxb_works!$B$46,"-",Data_2014_N!AM63,Data_2017!AL63))</f>
        <v>0.834038387711318</v>
      </c>
      <c r="AN63" s="148">
        <f>IF(CHOOSE(uxb_works!$B$46,"-",Data_2014_N!AN63,Data_2017!AM63)="","",CHOOSE(uxb_works!$B$46,"-",Data_2014_N!AN63,Data_2017!AM63))</f>
        <v>1.6</v>
      </c>
      <c r="AO63" s="148">
        <f>IF(CHOOSE(uxb_works!$B$46,"-",Data_2014_N!AO63,Data_2017!AN63)="","",CHOOSE(uxb_works!$B$46,"-",Data_2014_N!AO63,Data_2017!AN63))</f>
        <v>0.552495801045469</v>
      </c>
      <c r="AP63" s="148">
        <f>IF(CHOOSE(uxb_works!$B$46,"-",Data_2014_N!AP63,Data_2017!AO63)="","",CHOOSE(uxb_works!$B$46,"-",Data_2014_N!AP63,Data_2017!AO63))</f>
        <v>2.53040551897673</v>
      </c>
      <c r="AQ63" s="148">
        <f>IF(CHOOSE(uxb_works!$B$46,"-",Data_2014_N!AQ63,Data_2017!AP63)="","",CHOOSE(uxb_works!$B$46,"-",Data_2014_N!AQ63,Data_2017!AP63))</f>
        <v>0.751186244315211</v>
      </c>
      <c r="AR63" s="148">
        <f>IF(CHOOSE(uxb_works!$B$46,"-",Data_2014_N!AR63,Data_2017!AQ63)="","",CHOOSE(uxb_works!$B$46,"-",Data_2014_N!AR63,Data_2017!AQ63))</f>
        <v>3.89789745384441</v>
      </c>
      <c r="AS63" s="148">
        <f>IF(CHOOSE(uxb_works!$B$46,"-",Data_2014_N!AS63,Data_2017!AR63)="","",CHOOSE(uxb_works!$B$46,"-",Data_2014_N!AS63,Data_2017!AR63))</f>
        <v>0.423730229758834</v>
      </c>
      <c r="AT63" s="148">
        <f>IF(CHOOSE(uxb_works!$B$46,"-",Data_2014_N!AT63,Data_2017!AS63)="","",CHOOSE(uxb_works!$B$46,"-",Data_2014_N!AT63,Data_2017!AS63))</f>
        <v>4.98526759133952</v>
      </c>
      <c r="AU63" s="148">
        <f>IF(CHOOSE(uxb_works!$B$46,"-",Data_2014_N!AU63,Data_2017!AT63)="","",CHOOSE(uxb_works!$B$46,"-",Data_2014_N!AU63,Data_2017!AT63))</f>
        <v>1.85476446380673</v>
      </c>
      <c r="AV63" s="148">
        <f>IF(CHOOSE(uxb_works!$B$46,"-",Data_2014_N!AV63,Data_2017!AU63)="","",CHOOSE(uxb_works!$B$46,"-",Data_2014_N!AV63,Data_2017!AU63))</f>
        <v>1.07563025210084</v>
      </c>
      <c r="AW63" s="148">
        <f>IF(CHOOSE(uxb_works!$B$46,"-",Data_2014_N!AW63,Data_2017!AV63)="","",CHOOSE(uxb_works!$B$46,"-",Data_2014_N!AW63,Data_2017!AV63))</f>
        <v>0.25108056875056</v>
      </c>
      <c r="AX63" s="148">
        <f>IF(CHOOSE(uxb_works!$B$46,"-",Data_2014_N!AX63,Data_2017!AW63)="","",CHOOSE(uxb_works!$B$46,"-",Data_2014_N!AX63,Data_2017!AW63))</f>
        <v>0.609235761158406</v>
      </c>
      <c r="AY63" s="148">
        <f>IF(CHOOSE(uxb_works!$B$46,"-",Data_2014_N!AY63,Data_2017!AX63)="","",CHOOSE(uxb_works!$B$46,"-",Data_2014_N!AY63,Data_2017!AX63))</f>
        <v>2.62642839127909</v>
      </c>
      <c r="AZ63" s="148">
        <f>IF(CHOOSE(uxb_works!$B$46,"-",Data_2014_N!AZ63,Data_2017!AY63)="","",CHOOSE(uxb_works!$B$46,"-",Data_2014_N!AZ63,Data_2017!AY63))</f>
        <v>5.42378417902854</v>
      </c>
      <c r="BA63" s="148">
        <f>IF(CHOOSE(uxb_works!$B$46,"-",Data_2014_N!BA63,Data_2017!AZ63)="","",CHOOSE(uxb_works!$B$46,"-",Data_2014_N!BA63,Data_2017!AZ63))</f>
        <v>2.22215298162428</v>
      </c>
      <c r="BB63" s="148">
        <f>IF(CHOOSE(uxb_works!$B$46,"-",Data_2014_N!BB63,Data_2017!BA63)="","",CHOOSE(uxb_works!$B$46,"-",Data_2014_N!BB63,Data_2017!BA63))</f>
        <v>0.423730229758834</v>
      </c>
      <c r="BC63" s="148">
        <f>IF(CHOOSE(uxb_works!$B$46,"-",Data_2014_N!BC63,Data_2017!BB63)="","",CHOOSE(uxb_works!$B$46,"-",Data_2014_N!BC63,Data_2017!BB63))</f>
        <v>1.6</v>
      </c>
      <c r="BD63" s="148">
        <f>IF(CHOOSE(uxb_works!$B$46,"-",Data_2014_N!BD63,Data_2017!BC63)="","",CHOOSE(uxb_works!$B$46,"-",Data_2014_N!BD63,Data_2017!BC63))</f>
        <v>1.09958267313261</v>
      </c>
      <c r="BE63" s="148">
        <f>IF(CHOOSE(uxb_works!$B$46,"-",Data_2014_N!BE63,Data_2017!BD63)="","",CHOOSE(uxb_works!$B$46,"-",Data_2014_N!BE63,Data_2017!BD63))</f>
        <v>5.42378417902854</v>
      </c>
      <c r="BF63" s="148">
        <f>IF(CHOOSE(uxb_works!$B$46,"-",Data_2014_N!BF63,Data_2017!BE63)="","",CHOOSE(uxb_works!$B$46,"-",Data_2014_N!BF63,Data_2017!BE63))</f>
        <v>1.38230732855692</v>
      </c>
      <c r="BG63" s="148">
        <f>IF(CHOOSE(uxb_works!$B$46,"-",Data_2014_N!BG63,Data_2017!BF63)="","",CHOOSE(uxb_works!$B$46,"-",Data_2014_N!BG63,Data_2017!BF63))</f>
        <v>0.577181741041384</v>
      </c>
      <c r="BH63" s="148">
        <f>IF(CHOOSE(uxb_works!$B$46,"-",Data_2014_N!BH63,Data_2017!BG63)="","",CHOOSE(uxb_works!$B$46,"-",Data_2014_N!BH63,Data_2017!BG63))</f>
        <v>0.352262226171751</v>
      </c>
      <c r="BI63" s="148">
        <f>IF(CHOOSE(uxb_works!$B$46,"-",Data_2014_N!BI63,Data_2017!BH63)="","",CHOOSE(uxb_works!$B$46,"-",Data_2014_N!BI63,Data_2017!BH63))</f>
        <v>0.543837426878508</v>
      </c>
      <c r="BJ63" s="148">
        <f>IF(CHOOSE(uxb_works!$B$46,"-",Data_2014_N!BJ63,Data_2017!BI63)="","",CHOOSE(uxb_works!$B$46,"-",Data_2014_N!BJ63,Data_2017!BI63))</f>
        <v>0.751186244315211</v>
      </c>
      <c r="BK63" s="148">
        <f>IF(CHOOSE(uxb_works!$B$46,"-",Data_2014_N!BK63,Data_2017!BJ63)="","",CHOOSE(uxb_works!$B$46,"-",Data_2014_N!BK63,Data_2017!BJ63))</f>
        <v>0.925297113752122</v>
      </c>
      <c r="BL63" s="148">
        <f>IF(CHOOSE(uxb_works!$B$46,"-",Data_2014_N!BL63,Data_2017!BK63)="","",CHOOSE(uxb_works!$B$46,"-",Data_2014_N!BL63,Data_2017!BK63))</f>
        <v>1.38378604587132</v>
      </c>
      <c r="BM63" s="148">
        <f>IF(CHOOSE(uxb_works!$B$46,"-",Data_2014_N!BM63,Data_2017!BL63)="","",CHOOSE(uxb_works!$B$46,"-",Data_2014_N!BM63,Data_2017!BL63))</f>
        <v>0.25108056875056</v>
      </c>
      <c r="BN63" s="148">
        <f>IF(CHOOSE(uxb_works!$B$46,"-",Data_2014_N!BN63,Data_2017!BM63)="","",CHOOSE(uxb_works!$B$46,"-",Data_2014_N!BN63,Data_2017!BM63))</f>
        <v>0.841276695412977</v>
      </c>
      <c r="BO63" s="148">
        <f>IF(CHOOSE(uxb_works!$B$46,"-",Data_2014_N!BO63,Data_2017!BN63)="","",CHOOSE(uxb_works!$B$46,"-",Data_2014_N!BO63,Data_2017!BN63))</f>
        <v>3.670485807149</v>
      </c>
      <c r="BP63" s="148">
        <f>IF(CHOOSE(uxb_works!$B$46,"-",Data_2014_N!BP63,Data_2017!BO63)="","",CHOOSE(uxb_works!$B$46,"-",Data_2014_N!BP63,Data_2017!BO63))</f>
        <v>0.798223274583847</v>
      </c>
      <c r="BQ63" s="148">
        <f>IF(CHOOSE(uxb_works!$B$46,"-",Data_2014_N!BQ63,Data_2017!BP63)="","",CHOOSE(uxb_works!$B$46,"-",Data_2014_N!BQ63,Data_2017!BP63))</f>
        <v>1.63588898515312</v>
      </c>
      <c r="BR63" s="325">
        <f>IF(CHOOSE(uxb_works!$B$46,"-",Data_2014_N!BR63,Data_2017!BR63)="","",CHOOSE(uxb_works!$B$46,"-",Data_2014_N!BR63,Data_2017!BR63))</f>
        <v>0.25108056875056</v>
      </c>
      <c r="CC63" s="112">
        <v>48.22</v>
      </c>
      <c r="CD63" s="112">
        <v>52.53</v>
      </c>
      <c r="CE63" s="112">
        <v>58.25</v>
      </c>
      <c r="CF63" s="112">
        <v>68.46</v>
      </c>
      <c r="CG63" s="112">
        <v>41.1</v>
      </c>
    </row>
    <row r="64" s="112" customFormat="1" ht="22.5" customHeight="1" spans="1:85">
      <c r="A64"/>
      <c r="B64" s="133">
        <f>tblIndicators!A61</f>
        <v>60</v>
      </c>
      <c r="C64" s="133">
        <f>tblIndicators!B61</f>
        <v>0</v>
      </c>
      <c r="D64" s="310">
        <f>CHOOSE(uxb_works!$B$46,#REF!,Data_2014_N!D64,Data_2017!D65)</f>
        <v>3</v>
      </c>
      <c r="E64" s="133" t="str">
        <f>tblIndicators!E61</f>
        <v>PESE4.2</v>
      </c>
      <c r="F64" s="133" t="str">
        <f>tblIndicators!H61</f>
        <v>Threat of terrorism</v>
      </c>
      <c r="G64" s="133">
        <f>tblIndicators!Z61</f>
        <v>3</v>
      </c>
      <c r="H64" s="105" t="str">
        <f>REPT(" ",D64)&amp;CHOOSE(uxb_works!$B$46,#REF!,Data_2014_N!H64,Data_2017!H65)</f>
        <v>      4.2.10) Threat of terrorism</v>
      </c>
      <c r="I64" s="319" t="str">
        <f>IF(CHOOSE(uxb_works!$B$46,#REF!,Data_2014_N!I64,Data_2017!I65)="","",CHOOSE(uxb_works!$B$46,#REF!,Data_2014_N!I64,Data_2017!I65))</f>
        <v>Rating 0-4. </v>
      </c>
      <c r="J64" s="148">
        <f>IF(CHOOSE(uxb_works!$B$46,"-",Data_2014_N!J64,Data_2017!J65)="","",CHOOSE(uxb_works!$B$46,"-",Data_2014_N!J64,Data_2017!J65))</f>
        <v>3</v>
      </c>
      <c r="K64" s="148">
        <f>IF(CHOOSE(uxb_works!$B$46,"-",Data_2014_N!K64,Data_2017!K65)="","",CHOOSE(uxb_works!$B$46,"-",Data_2014_N!K64,Data_2017!K65))</f>
        <v>3</v>
      </c>
      <c r="L64" s="148">
        <f>IF(CHOOSE(uxb_works!$B$46,"-",Data_2014_N!L64,Data_2017!L65)="","",CHOOSE(uxb_works!$B$46,"-",Data_2014_N!L64,Data_2017!L65))</f>
        <v>3</v>
      </c>
      <c r="M64" s="148">
        <f>IF(CHOOSE(uxb_works!$B$46,"-",Data_2014_N!M64,Data_2017!M65)="","",CHOOSE(uxb_works!$B$46,"-",Data_2014_N!M64,Data_2017!M65))</f>
        <v>1</v>
      </c>
      <c r="N64" s="148">
        <f>IF(CHOOSE(uxb_works!$B$46,"-",Data_2014_N!N64,Data_2017!N65)="","",CHOOSE(uxb_works!$B$46,"-",Data_2014_N!N64,Data_2017!N65))</f>
        <v>3</v>
      </c>
      <c r="O64" s="148">
        <f>IF(CHOOSE(uxb_works!$B$46,"-",Data_2014_N!O64,Data_2017!O65)="","",CHOOSE(uxb_works!$B$46,"-",Data_2014_N!O64,Data_2017!O65))</f>
        <v>4</v>
      </c>
      <c r="P64" s="148">
        <f>IF(CHOOSE(uxb_works!$B$46,"-",Data_2014_N!P64,Data_2017!P65)="","",CHOOSE(uxb_works!$B$46,"-",Data_2014_N!P64,Data_2017!P65))</f>
        <v>2</v>
      </c>
      <c r="Q64" s="148">
        <f>IF(CHOOSE(uxb_works!$B$46,"-",Data_2014_N!Q64,Data_2017!Q65)="","",CHOOSE(uxb_works!$B$46,"-",Data_2014_N!Q64,Data_2017!Q65))</f>
        <v>2</v>
      </c>
      <c r="R64" s="148">
        <f>IF(CHOOSE(uxb_works!$B$46,"-",Data_2014_N!R64,Data_2017!R65)="","",CHOOSE(uxb_works!$B$46,"-",Data_2014_N!R64,Data_2017!R65))</f>
        <v>3</v>
      </c>
      <c r="S64" s="148">
        <f>IF(CHOOSE(uxb_works!$B$46,"-",Data_2014_N!S64,Data_2017!S65)="","",CHOOSE(uxb_works!$B$46,"-",Data_2014_N!S64,Data_2017!S65))</f>
        <v>2</v>
      </c>
      <c r="T64" s="148">
        <f>IF(CHOOSE(uxb_works!$B$46,"-",Data_2014_N!T64,Data_2017!T65)="","",CHOOSE(uxb_works!$B$46,"-",Data_2014_N!T64,Data_2017!T65))</f>
        <v>3</v>
      </c>
      <c r="U64" s="148">
        <f>IF(CHOOSE(uxb_works!$B$46,"-",Data_2014_N!U64,Data_2017!U65)="","",CHOOSE(uxb_works!$B$46,"-",Data_2014_N!U64,Data_2017!U65))</f>
        <v>2</v>
      </c>
      <c r="V64" s="148">
        <f>IF(CHOOSE(uxb_works!$B$46,"-",Data_2014_N!V64,Data_2017!V65)="","",CHOOSE(uxb_works!$B$46,"-",Data_2014_N!V64,Data_2017!V65))</f>
        <v>3</v>
      </c>
      <c r="W64" s="148">
        <f>IF(CHOOSE(uxb_works!$B$46,"-",Data_2014_N!W64,Data_2017!W65)="","",CHOOSE(uxb_works!$B$46,"-",Data_2014_N!W64,Data_2017!W65))</f>
        <v>3</v>
      </c>
      <c r="X64" s="148">
        <f>IF(CHOOSE(uxb_works!$B$46,"-",Data_2014_N!X64,Data_2017!X65)="","",CHOOSE(uxb_works!$B$46,"-",Data_2014_N!X64,Data_2017!X65))</f>
        <v>2</v>
      </c>
      <c r="Y64" s="148">
        <f>IF(CHOOSE(uxb_works!$B$46,"-",Data_2014_N!Y64,Data_2017!Y65)="","",CHOOSE(uxb_works!$B$46,"-",Data_2014_N!Y64,Data_2017!Y65))</f>
        <v>1</v>
      </c>
      <c r="Z64" s="148">
        <f>IF(CHOOSE(uxb_works!$B$46,"-",Data_2014_N!Z64,Data_2017!Z65)="","",CHOOSE(uxb_works!$B$46,"-",Data_2014_N!Z64,Data_2017!Z65))</f>
        <v>3</v>
      </c>
      <c r="AA64" s="148">
        <f>IF(CHOOSE(uxb_works!$B$46,"-",Data_2014_N!AA64,Data_2017!AA65)="","",CHOOSE(uxb_works!$B$46,"-",Data_2014_N!AA64,Data_2017!AA65))</f>
        <v>3</v>
      </c>
      <c r="AB64" s="148">
        <f>IF(CHOOSE(uxb_works!$B$46,"-",Data_2014_N!AB64,Data_2017!AB65)="","",CHOOSE(uxb_works!$B$46,"-",Data_2014_N!AB64,Data_2017!AB65))</f>
        <v>3</v>
      </c>
      <c r="AC64" s="148">
        <f>IF(CHOOSE(uxb_works!$B$46,"-",Data_2014_N!AC64,Data_2017!AC65)="","",CHOOSE(uxb_works!$B$46,"-",Data_2014_N!AC64,Data_2017!AC65))</f>
        <v>4</v>
      </c>
      <c r="AD64" s="148">
        <f>IF(CHOOSE(uxb_works!$B$46,"-",Data_2014_N!AD64,Data_2017!AD65)="","",CHOOSE(uxb_works!$B$46,"-",Data_2014_N!AD64,Data_2017!AD65))</f>
        <v>1</v>
      </c>
      <c r="AE64" s="148">
        <f>IF(CHOOSE(uxb_works!$B$46,"-",Data_2014_N!AE64,Data_2017!AE65)="","",CHOOSE(uxb_works!$B$46,"-",Data_2014_N!AE64,Data_2017!AE65))</f>
        <v>1</v>
      </c>
      <c r="AF64" s="148">
        <f>IF(CHOOSE(uxb_works!$B$46,"-",Data_2014_N!AF64,Data_2017!AF65)="","",CHOOSE(uxb_works!$B$46,"-",Data_2014_N!AF64,Data_2017!AF65))</f>
        <v>1</v>
      </c>
      <c r="AG64" s="148">
        <f>IF(CHOOSE(uxb_works!$B$46,"-",Data_2014_N!AG64,Data_2017!AG65)="","",CHOOSE(uxb_works!$B$46,"-",Data_2014_N!AG64,Data_2017!AG65))</f>
        <v>3</v>
      </c>
      <c r="AH64" s="148">
        <f>IF(CHOOSE(uxb_works!$B$46,"-",Data_2014_N!AH64,Data_2017!AH65)="","",CHOOSE(uxb_works!$B$46,"-",Data_2014_N!AH64,Data_2017!AH65))</f>
        <v>0</v>
      </c>
      <c r="AI64" s="148">
        <f>IF(CHOOSE(uxb_works!$B$46,"-",Data_2014_N!AI64,Data_2017!AI65)="","",CHOOSE(uxb_works!$B$46,"-",Data_2014_N!AI64,Data_2017!AI65))</f>
        <v>3</v>
      </c>
      <c r="AJ64" s="148">
        <f>IF(CHOOSE(uxb_works!$B$46,"-",Data_2014_N!AJ64,Data_2017!AJ65)="","",CHOOSE(uxb_works!$B$46,"-",Data_2014_N!AJ64,Data_2017!AJ65))</f>
        <v>3</v>
      </c>
      <c r="AK64" s="148" t="e">
        <f>IF(CHOOSE(uxb_works!$B$46,"-",Data_2014_N!AK64,Data_2017!#REF!)="","",CHOOSE(uxb_works!$B$46,"-",Data_2014_N!AK64,Data_2017!#REF!))</f>
        <v>#REF!</v>
      </c>
      <c r="AL64" s="148">
        <f>IF(CHOOSE(uxb_works!$B$46,"-",Data_2014_N!AL64,Data_2017!AK65)="","",CHOOSE(uxb_works!$B$46,"-",Data_2014_N!AL64,Data_2017!AK65))</f>
        <v>3</v>
      </c>
      <c r="AM64" s="148">
        <f>IF(CHOOSE(uxb_works!$B$46,"-",Data_2014_N!AM64,Data_2017!AL65)="","",CHOOSE(uxb_works!$B$46,"-",Data_2014_N!AM64,Data_2017!AL65))</f>
        <v>2</v>
      </c>
      <c r="AN64" s="148">
        <f>IF(CHOOSE(uxb_works!$B$46,"-",Data_2014_N!AN64,Data_2017!AM65)="","",CHOOSE(uxb_works!$B$46,"-",Data_2014_N!AN64,Data_2017!AM65))</f>
        <v>3</v>
      </c>
      <c r="AO64" s="148">
        <f>IF(CHOOSE(uxb_works!$B$46,"-",Data_2014_N!AO64,Data_2017!AN65)="","",CHOOSE(uxb_works!$B$46,"-",Data_2014_N!AO64,Data_2017!AN65))</f>
        <v>3</v>
      </c>
      <c r="AP64" s="148">
        <f>IF(CHOOSE(uxb_works!$B$46,"-",Data_2014_N!AP64,Data_2017!AO65)="","",CHOOSE(uxb_works!$B$46,"-",Data_2014_N!AP64,Data_2017!AO65))</f>
        <v>2</v>
      </c>
      <c r="AQ64" s="148">
        <f>IF(CHOOSE(uxb_works!$B$46,"-",Data_2014_N!AQ64,Data_2017!AP65)="","",CHOOSE(uxb_works!$B$46,"-",Data_2014_N!AQ64,Data_2017!AP65))</f>
        <v>4</v>
      </c>
      <c r="AR64" s="148">
        <f>IF(CHOOSE(uxb_works!$B$46,"-",Data_2014_N!AR64,Data_2017!AQ65)="","",CHOOSE(uxb_works!$B$46,"-",Data_2014_N!AR64,Data_2017!AQ65))</f>
        <v>2</v>
      </c>
      <c r="AS64" s="148">
        <f>IF(CHOOSE(uxb_works!$B$46,"-",Data_2014_N!AS64,Data_2017!AR65)="","",CHOOSE(uxb_works!$B$46,"-",Data_2014_N!AS64,Data_2017!AR65))</f>
        <v>4</v>
      </c>
      <c r="AT64" s="148">
        <f>IF(CHOOSE(uxb_works!$B$46,"-",Data_2014_N!AT64,Data_2017!AS65)="","",CHOOSE(uxb_works!$B$46,"-",Data_2014_N!AT64,Data_2017!AS65))</f>
        <v>2</v>
      </c>
      <c r="AU64" s="148">
        <f>IF(CHOOSE(uxb_works!$B$46,"-",Data_2014_N!AU64,Data_2017!AT65)="","",CHOOSE(uxb_works!$B$46,"-",Data_2014_N!AU64,Data_2017!AT65))</f>
        <v>2</v>
      </c>
      <c r="AV64" s="148">
        <f>IF(CHOOSE(uxb_works!$B$46,"-",Data_2014_N!AV64,Data_2017!AU65)="","",CHOOSE(uxb_works!$B$46,"-",Data_2014_N!AV64,Data_2017!AU65))</f>
        <v>2</v>
      </c>
      <c r="AW64" s="148">
        <f>IF(CHOOSE(uxb_works!$B$46,"-",Data_2014_N!AW64,Data_2017!AV65)="","",CHOOSE(uxb_works!$B$46,"-",Data_2014_N!AW64,Data_2017!AV65))</f>
        <v>3</v>
      </c>
      <c r="AX64" s="148">
        <f>IF(CHOOSE(uxb_works!$B$46,"-",Data_2014_N!AX64,Data_2017!AW65)="","",CHOOSE(uxb_works!$B$46,"-",Data_2014_N!AX64,Data_2017!AW65))</f>
        <v>1</v>
      </c>
      <c r="AY64" s="148">
        <f>IF(CHOOSE(uxb_works!$B$46,"-",Data_2014_N!AY64,Data_2017!AX65)="","",CHOOSE(uxb_works!$B$46,"-",Data_2014_N!AY64,Data_2017!AX65))</f>
        <v>3</v>
      </c>
      <c r="AZ64" s="148">
        <f>IF(CHOOSE(uxb_works!$B$46,"-",Data_2014_N!AZ64,Data_2017!AY65)="","",CHOOSE(uxb_works!$B$46,"-",Data_2014_N!AZ64,Data_2017!AY65))</f>
        <v>3</v>
      </c>
      <c r="BA64" s="148">
        <f>IF(CHOOSE(uxb_works!$B$46,"-",Data_2014_N!BA64,Data_2017!AZ65)="","",CHOOSE(uxb_works!$B$46,"-",Data_2014_N!BA64,Data_2017!AZ65))</f>
        <v>2</v>
      </c>
      <c r="BB64" s="148">
        <f>IF(CHOOSE(uxb_works!$B$46,"-",Data_2014_N!BB64,Data_2017!BA65)="","",CHOOSE(uxb_works!$B$46,"-",Data_2014_N!BB64,Data_2017!BA65))</f>
        <v>3</v>
      </c>
      <c r="BC64" s="148">
        <f>IF(CHOOSE(uxb_works!$B$46,"-",Data_2014_N!BC64,Data_2017!BB65)="","",CHOOSE(uxb_works!$B$46,"-",Data_2014_N!BC64,Data_2017!BB65))</f>
        <v>3</v>
      </c>
      <c r="BD64" s="148">
        <f>IF(CHOOSE(uxb_works!$B$46,"-",Data_2014_N!BD64,Data_2017!BC65)="","",CHOOSE(uxb_works!$B$46,"-",Data_2014_N!BD64,Data_2017!BC65))</f>
        <v>4</v>
      </c>
      <c r="BE64" s="148">
        <f>IF(CHOOSE(uxb_works!$B$46,"-",Data_2014_N!BE64,Data_2017!BD65)="","",CHOOSE(uxb_works!$B$46,"-",Data_2014_N!BE64,Data_2017!BD65))</f>
        <v>3</v>
      </c>
      <c r="BF64" s="148">
        <f>IF(CHOOSE(uxb_works!$B$46,"-",Data_2014_N!BF64,Data_2017!BE65)="","",CHOOSE(uxb_works!$B$46,"-",Data_2014_N!BF64,Data_2017!BE65))</f>
        <v>3</v>
      </c>
      <c r="BG64" s="148">
        <f>IF(CHOOSE(uxb_works!$B$46,"-",Data_2014_N!BG64,Data_2017!BF65)="","",CHOOSE(uxb_works!$B$46,"-",Data_2014_N!BG64,Data_2017!BF65))</f>
        <v>4</v>
      </c>
      <c r="BH64" s="148">
        <f>IF(CHOOSE(uxb_works!$B$46,"-",Data_2014_N!BH64,Data_2017!BG65)="","",CHOOSE(uxb_works!$B$46,"-",Data_2014_N!BH64,Data_2017!BG65))</f>
        <v>3</v>
      </c>
      <c r="BI64" s="148">
        <f>IF(CHOOSE(uxb_works!$B$46,"-",Data_2014_N!BI64,Data_2017!BH65)="","",CHOOSE(uxb_works!$B$46,"-",Data_2014_N!BI64,Data_2017!BH65))</f>
        <v>4</v>
      </c>
      <c r="BJ64" s="148">
        <f>IF(CHOOSE(uxb_works!$B$46,"-",Data_2014_N!BJ64,Data_2017!BI65)="","",CHOOSE(uxb_works!$B$46,"-",Data_2014_N!BJ64,Data_2017!BI65))</f>
        <v>3</v>
      </c>
      <c r="BK64" s="148">
        <f>IF(CHOOSE(uxb_works!$B$46,"-",Data_2014_N!BK64,Data_2017!BJ65)="","",CHOOSE(uxb_works!$B$46,"-",Data_2014_N!BK64,Data_2017!BJ65))</f>
        <v>4</v>
      </c>
      <c r="BL64" s="148">
        <f>IF(CHOOSE(uxb_works!$B$46,"-",Data_2014_N!BL64,Data_2017!BK65)="","",CHOOSE(uxb_works!$B$46,"-",Data_2014_N!BL64,Data_2017!BK65))</f>
        <v>2</v>
      </c>
      <c r="BM64" s="148">
        <f>IF(CHOOSE(uxb_works!$B$46,"-",Data_2014_N!BM64,Data_2017!BL65)="","",CHOOSE(uxb_works!$B$46,"-",Data_2014_N!BM64,Data_2017!BL65))</f>
        <v>3</v>
      </c>
      <c r="BN64" s="148">
        <f>IF(CHOOSE(uxb_works!$B$46,"-",Data_2014_N!BN64,Data_2017!BM65)="","",CHOOSE(uxb_works!$B$46,"-",Data_2014_N!BN64,Data_2017!BM65))</f>
        <v>4</v>
      </c>
      <c r="BO64" s="148">
        <f>IF(CHOOSE(uxb_works!$B$46,"-",Data_2014_N!BO64,Data_2017!BN65)="","",CHOOSE(uxb_works!$B$46,"-",Data_2014_N!BO64,Data_2017!BN65))</f>
        <v>3</v>
      </c>
      <c r="BP64" s="148">
        <f>IF(CHOOSE(uxb_works!$B$46,"-",Data_2014_N!BP64,Data_2017!BO65)="","",CHOOSE(uxb_works!$B$46,"-",Data_2014_N!BP64,Data_2017!BO65))</f>
        <v>4</v>
      </c>
      <c r="BQ64" s="148">
        <f>IF(CHOOSE(uxb_works!$B$46,"-",Data_2014_N!BQ64,Data_2017!BP65)="","",CHOOSE(uxb_works!$B$46,"-",Data_2014_N!BQ64,Data_2017!BP65))</f>
        <v>3</v>
      </c>
      <c r="BR64" s="325">
        <f>IF(CHOOSE(uxb_works!$B$46,"-",Data_2014_N!BR64,Data_2017!BR65)="","",CHOOSE(uxb_works!$B$46,"-",Data_2014_N!BR64,Data_2017!BR65))</f>
        <v>3</v>
      </c>
      <c r="CC64" s="112">
        <v>3</v>
      </c>
      <c r="CD64" s="112">
        <v>2</v>
      </c>
      <c r="CE64" s="112">
        <v>3</v>
      </c>
      <c r="CF64" s="112">
        <v>4</v>
      </c>
      <c r="CG64" s="112">
        <v>3</v>
      </c>
    </row>
    <row r="65" s="112" customFormat="1" ht="22.5" customHeight="1" spans="1:85">
      <c r="A65"/>
      <c r="B65" s="133">
        <f>tblIndicators!A62</f>
        <v>61</v>
      </c>
      <c r="C65" s="133">
        <f>tblIndicators!B62</f>
        <v>0</v>
      </c>
      <c r="D65" s="310">
        <f>CHOOSE(uxb_works!$B$46,#REF!,Data_2014_N!D65,Data_2017!D66)</f>
        <v>3</v>
      </c>
      <c r="E65" s="133" t="str">
        <f>tblIndicators!E62</f>
        <v>PESE4.2</v>
      </c>
      <c r="F65" s="133" t="str">
        <f>tblIndicators!H62</f>
        <v>Threat of military conflict</v>
      </c>
      <c r="G65" s="133">
        <f>tblIndicators!Z62</f>
        <v>3</v>
      </c>
      <c r="H65" s="105" t="str">
        <f>REPT(" ",D65)&amp;CHOOSE(uxb_works!$B$46,#REF!,Data_2014_N!H65,Data_2017!H66)</f>
        <v>      4.2.11) Threat of military conflict</v>
      </c>
      <c r="I65" s="319" t="str">
        <f>IF(CHOOSE(uxb_works!$B$46,#REF!,Data_2014_N!I65,Data_2017!I66)="","",CHOOSE(uxb_works!$B$46,#REF!,Data_2014_N!I65,Data_2017!I66))</f>
        <v>Rating 0-4. </v>
      </c>
      <c r="J65" s="148">
        <f>IF(CHOOSE(uxb_works!$B$46,"-",Data_2014_N!J65,Data_2017!J66)="","",CHOOSE(uxb_works!$B$46,"-",Data_2014_N!J65,Data_2017!J66))</f>
        <v>4</v>
      </c>
      <c r="K65" s="148">
        <f>IF(CHOOSE(uxb_works!$B$46,"-",Data_2014_N!K65,Data_2017!K66)="","",CHOOSE(uxb_works!$B$46,"-",Data_2014_N!K65,Data_2017!K66))</f>
        <v>4</v>
      </c>
      <c r="L65" s="148">
        <f>IF(CHOOSE(uxb_works!$B$46,"-",Data_2014_N!L65,Data_2017!L66)="","",CHOOSE(uxb_works!$B$46,"-",Data_2014_N!L65,Data_2017!L66))</f>
        <v>3</v>
      </c>
      <c r="M65" s="148">
        <f>IF(CHOOSE(uxb_works!$B$46,"-",Data_2014_N!M65,Data_2017!M66)="","",CHOOSE(uxb_works!$B$46,"-",Data_2014_N!M65,Data_2017!M66))</f>
        <v>2</v>
      </c>
      <c r="N65" s="148">
        <f>IF(CHOOSE(uxb_works!$B$46,"-",Data_2014_N!N65,Data_2017!N66)="","",CHOOSE(uxb_works!$B$46,"-",Data_2014_N!N65,Data_2017!N66))</f>
        <v>4</v>
      </c>
      <c r="O65" s="148">
        <f>IF(CHOOSE(uxb_works!$B$46,"-",Data_2014_N!O65,Data_2017!O66)="","",CHOOSE(uxb_works!$B$46,"-",Data_2014_N!O65,Data_2017!O66))</f>
        <v>3</v>
      </c>
      <c r="P65" s="148">
        <f>IF(CHOOSE(uxb_works!$B$46,"-",Data_2014_N!P65,Data_2017!P66)="","",CHOOSE(uxb_works!$B$46,"-",Data_2014_N!P65,Data_2017!P66))</f>
        <v>2</v>
      </c>
      <c r="Q65" s="148">
        <f>IF(CHOOSE(uxb_works!$B$46,"-",Data_2014_N!Q65,Data_2017!Q66)="","",CHOOSE(uxb_works!$B$46,"-",Data_2014_N!Q65,Data_2017!Q66))</f>
        <v>4</v>
      </c>
      <c r="R65" s="148">
        <f>IF(CHOOSE(uxb_works!$B$46,"-",Data_2014_N!R65,Data_2017!R66)="","",CHOOSE(uxb_works!$B$46,"-",Data_2014_N!R65,Data_2017!R66))</f>
        <v>4</v>
      </c>
      <c r="S65" s="148">
        <f>IF(CHOOSE(uxb_works!$B$46,"-",Data_2014_N!S65,Data_2017!S66)="","",CHOOSE(uxb_works!$B$46,"-",Data_2014_N!S65,Data_2017!S66))</f>
        <v>3</v>
      </c>
      <c r="T65" s="148">
        <f>IF(CHOOSE(uxb_works!$B$46,"-",Data_2014_N!T65,Data_2017!T66)="","",CHOOSE(uxb_works!$B$46,"-",Data_2014_N!T65,Data_2017!T66))</f>
        <v>3</v>
      </c>
      <c r="U65" s="148">
        <f>IF(CHOOSE(uxb_works!$B$46,"-",Data_2014_N!U65,Data_2017!U66)="","",CHOOSE(uxb_works!$B$46,"-",Data_2014_N!U65,Data_2017!U66))</f>
        <v>3</v>
      </c>
      <c r="V65" s="148">
        <f>IF(CHOOSE(uxb_works!$B$46,"-",Data_2014_N!V65,Data_2017!V66)="","",CHOOSE(uxb_works!$B$46,"-",Data_2014_N!V65,Data_2017!V66))</f>
        <v>4</v>
      </c>
      <c r="W65" s="148">
        <f>IF(CHOOSE(uxb_works!$B$46,"-",Data_2014_N!W65,Data_2017!W66)="","",CHOOSE(uxb_works!$B$46,"-",Data_2014_N!W65,Data_2017!W66))</f>
        <v>4</v>
      </c>
      <c r="X65" s="148">
        <f>IF(CHOOSE(uxb_works!$B$46,"-",Data_2014_N!X65,Data_2017!X66)="","",CHOOSE(uxb_works!$B$46,"-",Data_2014_N!X65,Data_2017!X66))</f>
        <v>3</v>
      </c>
      <c r="Y65" s="148">
        <f>IF(CHOOSE(uxb_works!$B$46,"-",Data_2014_N!Y65,Data_2017!Y66)="","",CHOOSE(uxb_works!$B$46,"-",Data_2014_N!Y65,Data_2017!Y66))</f>
        <v>3</v>
      </c>
      <c r="Z65" s="148">
        <f>IF(CHOOSE(uxb_works!$B$46,"-",Data_2014_N!Z65,Data_2017!Z66)="","",CHOOSE(uxb_works!$B$46,"-",Data_2014_N!Z65,Data_2017!Z66))</f>
        <v>3</v>
      </c>
      <c r="AA65" s="148">
        <f>IF(CHOOSE(uxb_works!$B$46,"-",Data_2014_N!AA65,Data_2017!AA66)="","",CHOOSE(uxb_works!$B$46,"-",Data_2014_N!AA65,Data_2017!AA66))</f>
        <v>4</v>
      </c>
      <c r="AB65" s="148">
        <f>IF(CHOOSE(uxb_works!$B$46,"-",Data_2014_N!AB65,Data_2017!AB66)="","",CHOOSE(uxb_works!$B$46,"-",Data_2014_N!AB65,Data_2017!AB66))</f>
        <v>3</v>
      </c>
      <c r="AC65" s="148">
        <f>IF(CHOOSE(uxb_works!$B$46,"-",Data_2014_N!AC65,Data_2017!AC66)="","",CHOOSE(uxb_works!$B$46,"-",Data_2014_N!AC65,Data_2017!AC66))</f>
        <v>4</v>
      </c>
      <c r="AD65" s="148">
        <f>IF(CHOOSE(uxb_works!$B$46,"-",Data_2014_N!AD65,Data_2017!AD66)="","",CHOOSE(uxb_works!$B$46,"-",Data_2014_N!AD65,Data_2017!AD66))</f>
        <v>2</v>
      </c>
      <c r="AE65" s="148">
        <f>IF(CHOOSE(uxb_works!$B$46,"-",Data_2014_N!AE65,Data_2017!AE66)="","",CHOOSE(uxb_works!$B$46,"-",Data_2014_N!AE65,Data_2017!AE66))</f>
        <v>4</v>
      </c>
      <c r="AF65" s="148">
        <f>IF(CHOOSE(uxb_works!$B$46,"-",Data_2014_N!AF65,Data_2017!AF66)="","",CHOOSE(uxb_works!$B$46,"-",Data_2014_N!AF65,Data_2017!AF66))</f>
        <v>3</v>
      </c>
      <c r="AG65" s="148">
        <f>IF(CHOOSE(uxb_works!$B$46,"-",Data_2014_N!AG65,Data_2017!AG66)="","",CHOOSE(uxb_works!$B$46,"-",Data_2014_N!AG65,Data_2017!AG66))</f>
        <v>4</v>
      </c>
      <c r="AH65" s="148">
        <f>IF(CHOOSE(uxb_works!$B$46,"-",Data_2014_N!AH65,Data_2017!AH66)="","",CHOOSE(uxb_works!$B$46,"-",Data_2014_N!AH65,Data_2017!AH66))</f>
        <v>1</v>
      </c>
      <c r="AI65" s="148">
        <f>IF(CHOOSE(uxb_works!$B$46,"-",Data_2014_N!AI65,Data_2017!AI66)="","",CHOOSE(uxb_works!$B$46,"-",Data_2014_N!AI65,Data_2017!AI66))</f>
        <v>4</v>
      </c>
      <c r="AJ65" s="148">
        <f>IF(CHOOSE(uxb_works!$B$46,"-",Data_2014_N!AJ65,Data_2017!AJ66)="","",CHOOSE(uxb_works!$B$46,"-",Data_2014_N!AJ65,Data_2017!AJ66))</f>
        <v>3</v>
      </c>
      <c r="AK65" s="148" t="e">
        <f>IF(CHOOSE(uxb_works!$B$46,"-",Data_2014_N!AK65,Data_2017!#REF!)="","",CHOOSE(uxb_works!$B$46,"-",Data_2014_N!AK65,Data_2017!#REF!))</f>
        <v>#REF!</v>
      </c>
      <c r="AL65" s="148">
        <f>IF(CHOOSE(uxb_works!$B$46,"-",Data_2014_N!AL65,Data_2017!AK66)="","",CHOOSE(uxb_works!$B$46,"-",Data_2014_N!AL65,Data_2017!AK66))</f>
        <v>3</v>
      </c>
      <c r="AM65" s="148">
        <f>IF(CHOOSE(uxb_works!$B$46,"-",Data_2014_N!AM65,Data_2017!AL66)="","",CHOOSE(uxb_works!$B$46,"-",Data_2014_N!AM65,Data_2017!AL66))</f>
        <v>4</v>
      </c>
      <c r="AN65" s="148">
        <f>IF(CHOOSE(uxb_works!$B$46,"-",Data_2014_N!AN65,Data_2017!AM66)="","",CHOOSE(uxb_works!$B$46,"-",Data_2014_N!AN65,Data_2017!AM66))</f>
        <v>4</v>
      </c>
      <c r="AO65" s="148">
        <f>IF(CHOOSE(uxb_works!$B$46,"-",Data_2014_N!AO65,Data_2017!AN66)="","",CHOOSE(uxb_works!$B$46,"-",Data_2014_N!AO65,Data_2017!AN66))</f>
        <v>4</v>
      </c>
      <c r="AP65" s="148">
        <f>IF(CHOOSE(uxb_works!$B$46,"-",Data_2014_N!AP65,Data_2017!AO66)="","",CHOOSE(uxb_works!$B$46,"-",Data_2014_N!AP65,Data_2017!AO66))</f>
        <v>3</v>
      </c>
      <c r="AQ65" s="148">
        <f>IF(CHOOSE(uxb_works!$B$46,"-",Data_2014_N!AQ65,Data_2017!AP66)="","",CHOOSE(uxb_works!$B$46,"-",Data_2014_N!AQ65,Data_2017!AP66))</f>
        <v>4</v>
      </c>
      <c r="AR65" s="148">
        <f>IF(CHOOSE(uxb_works!$B$46,"-",Data_2014_N!AR65,Data_2017!AQ66)="","",CHOOSE(uxb_works!$B$46,"-",Data_2014_N!AR65,Data_2017!AQ66))</f>
        <v>4</v>
      </c>
      <c r="AS65" s="148">
        <f>IF(CHOOSE(uxb_works!$B$46,"-",Data_2014_N!AS65,Data_2017!AR66)="","",CHOOSE(uxb_works!$B$46,"-",Data_2014_N!AS65,Data_2017!AR66))</f>
        <v>4</v>
      </c>
      <c r="AT65" s="148">
        <f>IF(CHOOSE(uxb_works!$B$46,"-",Data_2014_N!AT65,Data_2017!AS66)="","",CHOOSE(uxb_works!$B$46,"-",Data_2014_N!AT65,Data_2017!AS66))</f>
        <v>2</v>
      </c>
      <c r="AU65" s="148">
        <f>IF(CHOOSE(uxb_works!$B$46,"-",Data_2014_N!AU65,Data_2017!AT66)="","",CHOOSE(uxb_works!$B$46,"-",Data_2014_N!AU65,Data_2017!AT66))</f>
        <v>3</v>
      </c>
      <c r="AV65" s="148">
        <f>IF(CHOOSE(uxb_works!$B$46,"-",Data_2014_N!AV65,Data_2017!AU66)="","",CHOOSE(uxb_works!$B$46,"-",Data_2014_N!AV65,Data_2017!AU66))</f>
        <v>4</v>
      </c>
      <c r="AW65" s="148">
        <f>IF(CHOOSE(uxb_works!$B$46,"-",Data_2014_N!AW65,Data_2017!AV66)="","",CHOOSE(uxb_works!$B$46,"-",Data_2014_N!AW65,Data_2017!AV66))</f>
        <v>4</v>
      </c>
      <c r="AX65" s="148">
        <f>IF(CHOOSE(uxb_works!$B$46,"-",Data_2014_N!AX65,Data_2017!AW66)="","",CHOOSE(uxb_works!$B$46,"-",Data_2014_N!AX65,Data_2017!AW66))</f>
        <v>4</v>
      </c>
      <c r="AY65" s="148">
        <f>IF(CHOOSE(uxb_works!$B$46,"-",Data_2014_N!AY65,Data_2017!AX66)="","",CHOOSE(uxb_works!$B$46,"-",Data_2014_N!AY65,Data_2017!AX66))</f>
        <v>4</v>
      </c>
      <c r="AZ65" s="148">
        <f>IF(CHOOSE(uxb_works!$B$46,"-",Data_2014_N!AZ65,Data_2017!AY66)="","",CHOOSE(uxb_works!$B$46,"-",Data_2014_N!AZ65,Data_2017!AY66))</f>
        <v>4</v>
      </c>
      <c r="BA65" s="148">
        <f>IF(CHOOSE(uxb_works!$B$46,"-",Data_2014_N!BA65,Data_2017!AZ66)="","",CHOOSE(uxb_works!$B$46,"-",Data_2014_N!BA65,Data_2017!AZ66))</f>
        <v>3</v>
      </c>
      <c r="BB65" s="148">
        <f>IF(CHOOSE(uxb_works!$B$46,"-",Data_2014_N!BB65,Data_2017!BA66)="","",CHOOSE(uxb_works!$B$46,"-",Data_2014_N!BB65,Data_2017!BA66))</f>
        <v>4</v>
      </c>
      <c r="BC65" s="148">
        <f>IF(CHOOSE(uxb_works!$B$46,"-",Data_2014_N!BC65,Data_2017!BB66)="","",CHOOSE(uxb_works!$B$46,"-",Data_2014_N!BC65,Data_2017!BB66))</f>
        <v>4</v>
      </c>
      <c r="BD65" s="148">
        <f>IF(CHOOSE(uxb_works!$B$46,"-",Data_2014_N!BD65,Data_2017!BC66)="","",CHOOSE(uxb_works!$B$46,"-",Data_2014_N!BD65,Data_2017!BC66))</f>
        <v>4</v>
      </c>
      <c r="BE65" s="148">
        <f>IF(CHOOSE(uxb_works!$B$46,"-",Data_2014_N!BE65,Data_2017!BD66)="","",CHOOSE(uxb_works!$B$46,"-",Data_2014_N!BE65,Data_2017!BD66))</f>
        <v>4</v>
      </c>
      <c r="BF65" s="148">
        <f>IF(CHOOSE(uxb_works!$B$46,"-",Data_2014_N!BF65,Data_2017!BE66)="","",CHOOSE(uxb_works!$B$46,"-",Data_2014_N!BF65,Data_2017!BE66))</f>
        <v>2</v>
      </c>
      <c r="BG65" s="148">
        <f>IF(CHOOSE(uxb_works!$B$46,"-",Data_2014_N!BG65,Data_2017!BF66)="","",CHOOSE(uxb_works!$B$46,"-",Data_2014_N!BG65,Data_2017!BF66))</f>
        <v>3</v>
      </c>
      <c r="BH65" s="148">
        <f>IF(CHOOSE(uxb_works!$B$46,"-",Data_2014_N!BH65,Data_2017!BG66)="","",CHOOSE(uxb_works!$B$46,"-",Data_2014_N!BH65,Data_2017!BG66))</f>
        <v>4</v>
      </c>
      <c r="BI65" s="148">
        <f>IF(CHOOSE(uxb_works!$B$46,"-",Data_2014_N!BI65,Data_2017!BH66)="","",CHOOSE(uxb_works!$B$46,"-",Data_2014_N!BI65,Data_2017!BH66))</f>
        <v>4</v>
      </c>
      <c r="BJ65" s="148">
        <f>IF(CHOOSE(uxb_works!$B$46,"-",Data_2014_N!BJ65,Data_2017!BI66)="","",CHOOSE(uxb_works!$B$46,"-",Data_2014_N!BJ65,Data_2017!BI66))</f>
        <v>4</v>
      </c>
      <c r="BK65" s="148">
        <f>IF(CHOOSE(uxb_works!$B$46,"-",Data_2014_N!BK65,Data_2017!BJ66)="","",CHOOSE(uxb_works!$B$46,"-",Data_2014_N!BK65,Data_2017!BJ66))</f>
        <v>4</v>
      </c>
      <c r="BL65" s="148">
        <f>IF(CHOOSE(uxb_works!$B$46,"-",Data_2014_N!BL65,Data_2017!BK66)="","",CHOOSE(uxb_works!$B$46,"-",Data_2014_N!BL65,Data_2017!BK66))</f>
        <v>3</v>
      </c>
      <c r="BM65" s="148">
        <f>IF(CHOOSE(uxb_works!$B$46,"-",Data_2014_N!BM65,Data_2017!BL66)="","",CHOOSE(uxb_works!$B$46,"-",Data_2014_N!BM65,Data_2017!BL66))</f>
        <v>4</v>
      </c>
      <c r="BN65" s="148">
        <f>IF(CHOOSE(uxb_works!$B$46,"-",Data_2014_N!BN65,Data_2017!BM66)="","",CHOOSE(uxb_works!$B$46,"-",Data_2014_N!BN65,Data_2017!BM66))</f>
        <v>4</v>
      </c>
      <c r="BO65" s="148">
        <f>IF(CHOOSE(uxb_works!$B$46,"-",Data_2014_N!BO65,Data_2017!BN66)="","",CHOOSE(uxb_works!$B$46,"-",Data_2014_N!BO65,Data_2017!BN66))</f>
        <v>4</v>
      </c>
      <c r="BP65" s="148">
        <f>IF(CHOOSE(uxb_works!$B$46,"-",Data_2014_N!BP65,Data_2017!BO66)="","",CHOOSE(uxb_works!$B$46,"-",Data_2014_N!BP65,Data_2017!BO66))</f>
        <v>4</v>
      </c>
      <c r="BQ65" s="148">
        <f>IF(CHOOSE(uxb_works!$B$46,"-",Data_2014_N!BQ65,Data_2017!BP66)="","",CHOOSE(uxb_works!$B$46,"-",Data_2014_N!BQ65,Data_2017!BP66))</f>
        <v>3</v>
      </c>
      <c r="BR65" s="325">
        <f>IF(CHOOSE(uxb_works!$B$46,"-",Data_2014_N!BR65,Data_2017!BR66)="","",CHOOSE(uxb_works!$B$46,"-",Data_2014_N!BR65,Data_2017!BR66))</f>
        <v>4</v>
      </c>
      <c r="CC65" s="112">
        <v>4</v>
      </c>
      <c r="CD65" s="112">
        <v>4</v>
      </c>
      <c r="CE65" s="112">
        <v>4</v>
      </c>
      <c r="CF65" s="112">
        <v>4</v>
      </c>
      <c r="CG65" s="112">
        <v>4</v>
      </c>
    </row>
    <row r="66" s="112" customFormat="1" ht="22.5" customHeight="1" spans="1:85">
      <c r="A66"/>
      <c r="B66" s="133">
        <f>tblIndicators!A63</f>
        <v>62</v>
      </c>
      <c r="C66" s="133">
        <f>tblIndicators!B63</f>
        <v>0</v>
      </c>
      <c r="D66" s="310">
        <f>CHOOSE(uxb_works!$B$46,#REF!,Data_2014_N!D66,Data_2017!D67)</f>
        <v>3</v>
      </c>
      <c r="E66" s="133" t="str">
        <f>tblIndicators!E63</f>
        <v>PESE4.2</v>
      </c>
      <c r="F66" s="133" t="str">
        <f>tblIndicators!H63</f>
        <v>Threat of civil unrest</v>
      </c>
      <c r="G66" s="133">
        <f>tblIndicators!Z63</f>
        <v>3</v>
      </c>
      <c r="H66" s="105" t="str">
        <f>REPT(" ",D66)&amp;CHOOSE(uxb_works!$B$46,#REF!,Data_2014_N!H66,Data_2017!H67)</f>
        <v>      4.2.12) Threat of civil unrest</v>
      </c>
      <c r="I66" s="319" t="str">
        <f>IF(CHOOSE(uxb_works!$B$46,#REF!,Data_2014_N!I66,Data_2017!I67)="","",CHOOSE(uxb_works!$B$46,#REF!,Data_2014_N!I66,Data_2017!I67))</f>
        <v>Rating 0-4.</v>
      </c>
      <c r="J66" s="148">
        <f>IF(CHOOSE(uxb_works!$B$46,"-",Data_2014_N!J66,Data_2017!J67)="","",CHOOSE(uxb_works!$B$46,"-",Data_2014_N!J66,Data_2017!J67))</f>
        <v>3</v>
      </c>
      <c r="K66" s="148">
        <f>IF(CHOOSE(uxb_works!$B$46,"-",Data_2014_N!K66,Data_2017!K67)="","",CHOOSE(uxb_works!$B$46,"-",Data_2014_N!K66,Data_2017!K67))</f>
        <v>3</v>
      </c>
      <c r="L66" s="148">
        <f>IF(CHOOSE(uxb_works!$B$46,"-",Data_2014_N!L66,Data_2017!L67)="","",CHOOSE(uxb_works!$B$46,"-",Data_2014_N!L66,Data_2017!L67))</f>
        <v>2</v>
      </c>
      <c r="M66" s="148">
        <f>IF(CHOOSE(uxb_works!$B$46,"-",Data_2014_N!M66,Data_2017!M67)="","",CHOOSE(uxb_works!$B$46,"-",Data_2014_N!M66,Data_2017!M67))</f>
        <v>1</v>
      </c>
      <c r="N66" s="148">
        <f>IF(CHOOSE(uxb_works!$B$46,"-",Data_2014_N!N66,Data_2017!N67)="","",CHOOSE(uxb_works!$B$46,"-",Data_2014_N!N66,Data_2017!N67))</f>
        <v>3</v>
      </c>
      <c r="O66" s="148">
        <f>IF(CHOOSE(uxb_works!$B$46,"-",Data_2014_N!O66,Data_2017!O67)="","",CHOOSE(uxb_works!$B$46,"-",Data_2014_N!O66,Data_2017!O67))</f>
        <v>3</v>
      </c>
      <c r="P66" s="148">
        <f>IF(CHOOSE(uxb_works!$B$46,"-",Data_2014_N!P66,Data_2017!P67)="","",CHOOSE(uxb_works!$B$46,"-",Data_2014_N!P66,Data_2017!P67))</f>
        <v>2</v>
      </c>
      <c r="Q66" s="148">
        <f>IF(CHOOSE(uxb_works!$B$46,"-",Data_2014_N!Q66,Data_2017!Q67)="","",CHOOSE(uxb_works!$B$46,"-",Data_2014_N!Q66,Data_2017!Q67))</f>
        <v>4</v>
      </c>
      <c r="R66" s="148">
        <f>IF(CHOOSE(uxb_works!$B$46,"-",Data_2014_N!R66,Data_2017!R67)="","",CHOOSE(uxb_works!$B$46,"-",Data_2014_N!R66,Data_2017!R67))</f>
        <v>2</v>
      </c>
      <c r="S66" s="148">
        <f>IF(CHOOSE(uxb_works!$B$46,"-",Data_2014_N!S66,Data_2017!S67)="","",CHOOSE(uxb_works!$B$46,"-",Data_2014_N!S66,Data_2017!S67))</f>
        <v>1</v>
      </c>
      <c r="T66" s="148">
        <f>IF(CHOOSE(uxb_works!$B$46,"-",Data_2014_N!T66,Data_2017!T67)="","",CHOOSE(uxb_works!$B$46,"-",Data_2014_N!T66,Data_2017!T67))</f>
        <v>1</v>
      </c>
      <c r="U66" s="148">
        <f>IF(CHOOSE(uxb_works!$B$46,"-",Data_2014_N!U66,Data_2017!U67)="","",CHOOSE(uxb_works!$B$46,"-",Data_2014_N!U66,Data_2017!U67))</f>
        <v>2</v>
      </c>
      <c r="V66" s="148">
        <f>IF(CHOOSE(uxb_works!$B$46,"-",Data_2014_N!V66,Data_2017!V67)="","",CHOOSE(uxb_works!$B$46,"-",Data_2014_N!V66,Data_2017!V67))</f>
        <v>3</v>
      </c>
      <c r="W66" s="148">
        <f>IF(CHOOSE(uxb_works!$B$46,"-",Data_2014_N!W66,Data_2017!W67)="","",CHOOSE(uxb_works!$B$46,"-",Data_2014_N!W66,Data_2017!W67))</f>
        <v>3</v>
      </c>
      <c r="X66" s="148">
        <f>IF(CHOOSE(uxb_works!$B$46,"-",Data_2014_N!X66,Data_2017!X67)="","",CHOOSE(uxb_works!$B$46,"-",Data_2014_N!X66,Data_2017!X67))</f>
        <v>2</v>
      </c>
      <c r="Y66" s="148">
        <f>IF(CHOOSE(uxb_works!$B$46,"-",Data_2014_N!Y66,Data_2017!Y67)="","",CHOOSE(uxb_works!$B$46,"-",Data_2014_N!Y66,Data_2017!Y67))</f>
        <v>2</v>
      </c>
      <c r="Z66" s="148">
        <f>IF(CHOOSE(uxb_works!$B$46,"-",Data_2014_N!Z66,Data_2017!Z67)="","",CHOOSE(uxb_works!$B$46,"-",Data_2014_N!Z66,Data_2017!Z67))</f>
        <v>3</v>
      </c>
      <c r="AA66" s="148">
        <f>IF(CHOOSE(uxb_works!$B$46,"-",Data_2014_N!AA66,Data_2017!AA67)="","",CHOOSE(uxb_works!$B$46,"-",Data_2014_N!AA66,Data_2017!AA67))</f>
        <v>3</v>
      </c>
      <c r="AB66" s="148">
        <f>IF(CHOOSE(uxb_works!$B$46,"-",Data_2014_N!AB66,Data_2017!AB67)="","",CHOOSE(uxb_works!$B$46,"-",Data_2014_N!AB66,Data_2017!AB67))</f>
        <v>2</v>
      </c>
      <c r="AC66" s="148">
        <f>IF(CHOOSE(uxb_works!$B$46,"-",Data_2014_N!AC66,Data_2017!AC67)="","",CHOOSE(uxb_works!$B$46,"-",Data_2014_N!AC66,Data_2017!AC67))</f>
        <v>2</v>
      </c>
      <c r="AD66" s="148">
        <f>IF(CHOOSE(uxb_works!$B$46,"-",Data_2014_N!AD66,Data_2017!AD67)="","",CHOOSE(uxb_works!$B$46,"-",Data_2014_N!AD66,Data_2017!AD67))</f>
        <v>2</v>
      </c>
      <c r="AE66" s="148">
        <f>IF(CHOOSE(uxb_works!$B$46,"-",Data_2014_N!AE66,Data_2017!AE67)="","",CHOOSE(uxb_works!$B$46,"-",Data_2014_N!AE66,Data_2017!AE67))</f>
        <v>1</v>
      </c>
      <c r="AF66" s="148">
        <f>IF(CHOOSE(uxb_works!$B$46,"-",Data_2014_N!AF66,Data_2017!AF67)="","",CHOOSE(uxb_works!$B$46,"-",Data_2014_N!AF66,Data_2017!AF67))</f>
        <v>3</v>
      </c>
      <c r="AG66" s="148">
        <f>IF(CHOOSE(uxb_works!$B$46,"-",Data_2014_N!AG66,Data_2017!AG67)="","",CHOOSE(uxb_works!$B$46,"-",Data_2014_N!AG66,Data_2017!AG67))</f>
        <v>3</v>
      </c>
      <c r="AH66" s="148">
        <f>IF(CHOOSE(uxb_works!$B$46,"-",Data_2014_N!AH66,Data_2017!AH67)="","",CHOOSE(uxb_works!$B$46,"-",Data_2014_N!AH66,Data_2017!AH67))</f>
        <v>1</v>
      </c>
      <c r="AI66" s="148">
        <f>IF(CHOOSE(uxb_works!$B$46,"-",Data_2014_N!AI66,Data_2017!AI67)="","",CHOOSE(uxb_works!$B$46,"-",Data_2014_N!AI66,Data_2017!AI67))</f>
        <v>4</v>
      </c>
      <c r="AJ66" s="148">
        <f>IF(CHOOSE(uxb_works!$B$46,"-",Data_2014_N!AJ66,Data_2017!AJ67)="","",CHOOSE(uxb_works!$B$46,"-",Data_2014_N!AJ66,Data_2017!AJ67))</f>
        <v>3</v>
      </c>
      <c r="AK66" s="148" t="e">
        <f>IF(CHOOSE(uxb_works!$B$46,"-",Data_2014_N!AK66,Data_2017!#REF!)="","",CHOOSE(uxb_works!$B$46,"-",Data_2014_N!AK66,Data_2017!#REF!))</f>
        <v>#REF!</v>
      </c>
      <c r="AL66" s="148">
        <f>IF(CHOOSE(uxb_works!$B$46,"-",Data_2014_N!AL66,Data_2017!AK67)="","",CHOOSE(uxb_works!$B$46,"-",Data_2014_N!AL66,Data_2017!AK67))</f>
        <v>2</v>
      </c>
      <c r="AM66" s="148">
        <f>IF(CHOOSE(uxb_works!$B$46,"-",Data_2014_N!AM66,Data_2017!AL67)="","",CHOOSE(uxb_works!$B$46,"-",Data_2014_N!AM66,Data_2017!AL67))</f>
        <v>3</v>
      </c>
      <c r="AN66" s="148">
        <f>IF(CHOOSE(uxb_works!$B$46,"-",Data_2014_N!AN66,Data_2017!AM67)="","",CHOOSE(uxb_works!$B$46,"-",Data_2014_N!AN66,Data_2017!AM67))</f>
        <v>2</v>
      </c>
      <c r="AO66" s="148">
        <f>IF(CHOOSE(uxb_works!$B$46,"-",Data_2014_N!AO66,Data_2017!AN67)="","",CHOOSE(uxb_works!$B$46,"-",Data_2014_N!AO66,Data_2017!AN67))</f>
        <v>3</v>
      </c>
      <c r="AP66" s="148">
        <f>IF(CHOOSE(uxb_works!$B$46,"-",Data_2014_N!AP66,Data_2017!AO67)="","",CHOOSE(uxb_works!$B$46,"-",Data_2014_N!AP66,Data_2017!AO67))</f>
        <v>2</v>
      </c>
      <c r="AQ66" s="148">
        <f>IF(CHOOSE(uxb_works!$B$46,"-",Data_2014_N!AQ66,Data_2017!AP67)="","",CHOOSE(uxb_works!$B$46,"-",Data_2014_N!AQ66,Data_2017!AP67))</f>
        <v>4</v>
      </c>
      <c r="AR66" s="148">
        <f>IF(CHOOSE(uxb_works!$B$46,"-",Data_2014_N!AR66,Data_2017!AQ67)="","",CHOOSE(uxb_works!$B$46,"-",Data_2014_N!AR66,Data_2017!AQ67))</f>
        <v>2</v>
      </c>
      <c r="AS66" s="148">
        <f>IF(CHOOSE(uxb_works!$B$46,"-",Data_2014_N!AS66,Data_2017!AR67)="","",CHOOSE(uxb_works!$B$46,"-",Data_2014_N!AS66,Data_2017!AR67))</f>
        <v>3</v>
      </c>
      <c r="AT66" s="148">
        <f>IF(CHOOSE(uxb_works!$B$46,"-",Data_2014_N!AT66,Data_2017!AS67)="","",CHOOSE(uxb_works!$B$46,"-",Data_2014_N!AT66,Data_2017!AS67))</f>
        <v>2</v>
      </c>
      <c r="AU66" s="148">
        <f>IF(CHOOSE(uxb_works!$B$46,"-",Data_2014_N!AU66,Data_2017!AT67)="","",CHOOSE(uxb_works!$B$46,"-",Data_2014_N!AU66,Data_2017!AT67))</f>
        <v>3</v>
      </c>
      <c r="AV66" s="148">
        <f>IF(CHOOSE(uxb_works!$B$46,"-",Data_2014_N!AV66,Data_2017!AU67)="","",CHOOSE(uxb_works!$B$46,"-",Data_2014_N!AV66,Data_2017!AU67))</f>
        <v>2</v>
      </c>
      <c r="AW66" s="148">
        <f>IF(CHOOSE(uxb_works!$B$46,"-",Data_2014_N!AW66,Data_2017!AV67)="","",CHOOSE(uxb_works!$B$46,"-",Data_2014_N!AW66,Data_2017!AV67))</f>
        <v>4</v>
      </c>
      <c r="AX66" s="148">
        <f>IF(CHOOSE(uxb_works!$B$46,"-",Data_2014_N!AX66,Data_2017!AW67)="","",CHOOSE(uxb_works!$B$46,"-",Data_2014_N!AX66,Data_2017!AW67))</f>
        <v>3</v>
      </c>
      <c r="AY66" s="148">
        <f>IF(CHOOSE(uxb_works!$B$46,"-",Data_2014_N!AY66,Data_2017!AX67)="","",CHOOSE(uxb_works!$B$46,"-",Data_2014_N!AY66,Data_2017!AX67))</f>
        <v>2</v>
      </c>
      <c r="AZ66" s="148">
        <f>IF(CHOOSE(uxb_works!$B$46,"-",Data_2014_N!AZ66,Data_2017!AY67)="","",CHOOSE(uxb_works!$B$46,"-",Data_2014_N!AZ66,Data_2017!AY67))</f>
        <v>2</v>
      </c>
      <c r="BA66" s="148">
        <f>IF(CHOOSE(uxb_works!$B$46,"-",Data_2014_N!BA66,Data_2017!AZ67)="","",CHOOSE(uxb_works!$B$46,"-",Data_2014_N!BA66,Data_2017!AZ67))</f>
        <v>3</v>
      </c>
      <c r="BB66" s="148">
        <f>IF(CHOOSE(uxb_works!$B$46,"-",Data_2014_N!BB66,Data_2017!BA67)="","",CHOOSE(uxb_works!$B$46,"-",Data_2014_N!BB66,Data_2017!BA67))</f>
        <v>3</v>
      </c>
      <c r="BC66" s="148">
        <f>IF(CHOOSE(uxb_works!$B$46,"-",Data_2014_N!BC66,Data_2017!BB67)="","",CHOOSE(uxb_works!$B$46,"-",Data_2014_N!BC66,Data_2017!BB67))</f>
        <v>3</v>
      </c>
      <c r="BD66" s="148">
        <f>IF(CHOOSE(uxb_works!$B$46,"-",Data_2014_N!BD66,Data_2017!BC67)="","",CHOOSE(uxb_works!$B$46,"-",Data_2014_N!BD66,Data_2017!BC67))</f>
        <v>3</v>
      </c>
      <c r="BE66" s="148">
        <f>IF(CHOOSE(uxb_works!$B$46,"-",Data_2014_N!BE66,Data_2017!BD67)="","",CHOOSE(uxb_works!$B$46,"-",Data_2014_N!BE66,Data_2017!BD67))</f>
        <v>2</v>
      </c>
      <c r="BF66" s="148">
        <f>IF(CHOOSE(uxb_works!$B$46,"-",Data_2014_N!BF66,Data_2017!BE67)="","",CHOOSE(uxb_works!$B$46,"-",Data_2014_N!BF66,Data_2017!BE67))</f>
        <v>3</v>
      </c>
      <c r="BG66" s="148">
        <f>IF(CHOOSE(uxb_works!$B$46,"-",Data_2014_N!BG66,Data_2017!BF67)="","",CHOOSE(uxb_works!$B$46,"-",Data_2014_N!BG66,Data_2017!BF67))</f>
        <v>2</v>
      </c>
      <c r="BH66" s="148">
        <f>IF(CHOOSE(uxb_works!$B$46,"-",Data_2014_N!BH66,Data_2017!BG67)="","",CHOOSE(uxb_works!$B$46,"-",Data_2014_N!BH66,Data_2017!BG67))</f>
        <v>4</v>
      </c>
      <c r="BI66" s="148">
        <f>IF(CHOOSE(uxb_works!$B$46,"-",Data_2014_N!BI66,Data_2017!BH67)="","",CHOOSE(uxb_works!$B$46,"-",Data_2014_N!BI66,Data_2017!BH67))</f>
        <v>4</v>
      </c>
      <c r="BJ66" s="148">
        <f>IF(CHOOSE(uxb_works!$B$46,"-",Data_2014_N!BJ66,Data_2017!BI67)="","",CHOOSE(uxb_works!$B$46,"-",Data_2014_N!BJ66,Data_2017!BI67))</f>
        <v>4</v>
      </c>
      <c r="BK66" s="148">
        <f>IF(CHOOSE(uxb_works!$B$46,"-",Data_2014_N!BK66,Data_2017!BJ67)="","",CHOOSE(uxb_works!$B$46,"-",Data_2014_N!BK66,Data_2017!BJ67))</f>
        <v>3</v>
      </c>
      <c r="BL66" s="148">
        <f>IF(CHOOSE(uxb_works!$B$46,"-",Data_2014_N!BL66,Data_2017!BK67)="","",CHOOSE(uxb_works!$B$46,"-",Data_2014_N!BL66,Data_2017!BK67))</f>
        <v>3</v>
      </c>
      <c r="BM66" s="148">
        <f>IF(CHOOSE(uxb_works!$B$46,"-",Data_2014_N!BM66,Data_2017!BL67)="","",CHOOSE(uxb_works!$B$46,"-",Data_2014_N!BM66,Data_2017!BL67))</f>
        <v>4</v>
      </c>
      <c r="BN66" s="148">
        <f>IF(CHOOSE(uxb_works!$B$46,"-",Data_2014_N!BN66,Data_2017!BM67)="","",CHOOSE(uxb_works!$B$46,"-",Data_2014_N!BN66,Data_2017!BM67))</f>
        <v>4</v>
      </c>
      <c r="BO66" s="148">
        <f>IF(CHOOSE(uxb_works!$B$46,"-",Data_2014_N!BO66,Data_2017!BN67)="","",CHOOSE(uxb_works!$B$46,"-",Data_2014_N!BO66,Data_2017!BN67))</f>
        <v>3</v>
      </c>
      <c r="BP66" s="148">
        <f>IF(CHOOSE(uxb_works!$B$46,"-",Data_2014_N!BP66,Data_2017!BO67)="","",CHOOSE(uxb_works!$B$46,"-",Data_2014_N!BP66,Data_2017!BO67))</f>
        <v>4</v>
      </c>
      <c r="BQ66" s="148">
        <f>IF(CHOOSE(uxb_works!$B$46,"-",Data_2014_N!BQ66,Data_2017!BP67)="","",CHOOSE(uxb_works!$B$46,"-",Data_2014_N!BQ66,Data_2017!BP67))</f>
        <v>2</v>
      </c>
      <c r="BR66" s="325">
        <f>IF(CHOOSE(uxb_works!$B$46,"-",Data_2014_N!BR66,Data_2017!BR67)="","",CHOOSE(uxb_works!$B$46,"-",Data_2014_N!BR66,Data_2017!BR67))</f>
        <v>4</v>
      </c>
      <c r="CC66" s="112">
        <v>4</v>
      </c>
      <c r="CD66" s="112">
        <v>4</v>
      </c>
      <c r="CE66" s="112">
        <v>4</v>
      </c>
      <c r="CF66" s="112">
        <v>4</v>
      </c>
      <c r="CG66" s="112">
        <v>4</v>
      </c>
    </row>
    <row r="67" s="112" customFormat="1" ht="22.5" customHeight="1" spans="1:85">
      <c r="A67"/>
      <c r="B67" s="133">
        <f>tblIndicators!A64</f>
        <v>0</v>
      </c>
      <c r="C67" s="133">
        <f>tblIndicators!B64</f>
        <v>0</v>
      </c>
      <c r="D67" s="310">
        <f>CHOOSE(uxb_works!$B$46,#REF!,Data_2014_N!D67,Data_2017!D68)</f>
        <v>0</v>
      </c>
      <c r="E67" s="133">
        <f>tblIndicators!E64</f>
        <v>0</v>
      </c>
      <c r="F67" s="133">
        <f>tblIndicators!H64</f>
        <v>0</v>
      </c>
      <c r="G67" s="133">
        <f>tblIndicators!Z64</f>
        <v>0</v>
      </c>
      <c r="H67" s="105" t="str">
        <f>REPT(" ",D67)&amp;CHOOSE(uxb_works!$B$46,#REF!,Data_2014_N!H67,Data_2017!H68)</f>
        <v/>
      </c>
      <c r="I67" s="319" t="str">
        <f>IF(CHOOSE(uxb_works!$B$46,#REF!,Data_2014_N!I67,Data_2017!I68)="","",CHOOSE(uxb_works!$B$46,#REF!,Data_2014_N!I67,Data_2017!I68))</f>
        <v/>
      </c>
      <c r="J67" s="148" t="str">
        <f>IF(CHOOSE(uxb_works!$B$46,"-",Data_2014_N!J67,Data_2017!J68)="","",CHOOSE(uxb_works!$B$46,"-",Data_2014_N!J67,Data_2017!J68))</f>
        <v/>
      </c>
      <c r="K67" s="148" t="str">
        <f>IF(CHOOSE(uxb_works!$B$46,"-",Data_2014_N!K67,Data_2017!K68)="","",CHOOSE(uxb_works!$B$46,"-",Data_2014_N!K67,Data_2017!K68))</f>
        <v/>
      </c>
      <c r="L67" s="148" t="str">
        <f>IF(CHOOSE(uxb_works!$B$46,"-",Data_2014_N!L67,Data_2017!L68)="","",CHOOSE(uxb_works!$B$46,"-",Data_2014_N!L67,Data_2017!L68))</f>
        <v/>
      </c>
      <c r="M67" s="148" t="str">
        <f>IF(CHOOSE(uxb_works!$B$46,"-",Data_2014_N!M67,Data_2017!M68)="","",CHOOSE(uxb_works!$B$46,"-",Data_2014_N!M67,Data_2017!M68))</f>
        <v/>
      </c>
      <c r="N67" s="148" t="str">
        <f>IF(CHOOSE(uxb_works!$B$46,"-",Data_2014_N!N67,Data_2017!N68)="","",CHOOSE(uxb_works!$B$46,"-",Data_2014_N!N67,Data_2017!N68))</f>
        <v/>
      </c>
      <c r="O67" s="148" t="str">
        <f>IF(CHOOSE(uxb_works!$B$46,"-",Data_2014_N!O67,Data_2017!O68)="","",CHOOSE(uxb_works!$B$46,"-",Data_2014_N!O67,Data_2017!O68))</f>
        <v/>
      </c>
      <c r="P67" s="148" t="str">
        <f>IF(CHOOSE(uxb_works!$B$46,"-",Data_2014_N!P67,Data_2017!P68)="","",CHOOSE(uxb_works!$B$46,"-",Data_2014_N!P67,Data_2017!P68))</f>
        <v/>
      </c>
      <c r="Q67" s="148" t="str">
        <f>IF(CHOOSE(uxb_works!$B$46,"-",Data_2014_N!Q67,Data_2017!Q68)="","",CHOOSE(uxb_works!$B$46,"-",Data_2014_N!Q67,Data_2017!Q68))</f>
        <v/>
      </c>
      <c r="R67" s="148" t="str">
        <f>IF(CHOOSE(uxb_works!$B$46,"-",Data_2014_N!R67,Data_2017!R68)="","",CHOOSE(uxb_works!$B$46,"-",Data_2014_N!R67,Data_2017!R68))</f>
        <v/>
      </c>
      <c r="S67" s="148" t="str">
        <f>IF(CHOOSE(uxb_works!$B$46,"-",Data_2014_N!S67,Data_2017!S68)="","",CHOOSE(uxb_works!$B$46,"-",Data_2014_N!S67,Data_2017!S68))</f>
        <v/>
      </c>
      <c r="T67" s="148" t="str">
        <f>IF(CHOOSE(uxb_works!$B$46,"-",Data_2014_N!T67,Data_2017!T68)="","",CHOOSE(uxb_works!$B$46,"-",Data_2014_N!T67,Data_2017!T68))</f>
        <v/>
      </c>
      <c r="U67" s="148" t="str">
        <f>IF(CHOOSE(uxb_works!$B$46,"-",Data_2014_N!U67,Data_2017!U68)="","",CHOOSE(uxb_works!$B$46,"-",Data_2014_N!U67,Data_2017!U68))</f>
        <v/>
      </c>
      <c r="V67" s="148" t="str">
        <f>IF(CHOOSE(uxb_works!$B$46,"-",Data_2014_N!V67,Data_2017!V68)="","",CHOOSE(uxb_works!$B$46,"-",Data_2014_N!V67,Data_2017!V68))</f>
        <v/>
      </c>
      <c r="W67" s="148" t="str">
        <f>IF(CHOOSE(uxb_works!$B$46,"-",Data_2014_N!W67,Data_2017!W68)="","",CHOOSE(uxb_works!$B$46,"-",Data_2014_N!W67,Data_2017!W68))</f>
        <v/>
      </c>
      <c r="X67" s="148" t="str">
        <f>IF(CHOOSE(uxb_works!$B$46,"-",Data_2014_N!X67,Data_2017!X68)="","",CHOOSE(uxb_works!$B$46,"-",Data_2014_N!X67,Data_2017!X68))</f>
        <v/>
      </c>
      <c r="Y67" s="148" t="str">
        <f>IF(CHOOSE(uxb_works!$B$46,"-",Data_2014_N!Y67,Data_2017!Y68)="","",CHOOSE(uxb_works!$B$46,"-",Data_2014_N!Y67,Data_2017!Y68))</f>
        <v/>
      </c>
      <c r="Z67" s="148" t="str">
        <f>IF(CHOOSE(uxb_works!$B$46,"-",Data_2014_N!Z67,Data_2017!Z68)="","",CHOOSE(uxb_works!$B$46,"-",Data_2014_N!Z67,Data_2017!Z68))</f>
        <v/>
      </c>
      <c r="AA67" s="148" t="str">
        <f>IF(CHOOSE(uxb_works!$B$46,"-",Data_2014_N!AA67,Data_2017!AA68)="","",CHOOSE(uxb_works!$B$46,"-",Data_2014_N!AA67,Data_2017!AA68))</f>
        <v/>
      </c>
      <c r="AB67" s="148" t="str">
        <f>IF(CHOOSE(uxb_works!$B$46,"-",Data_2014_N!AB67,Data_2017!AB68)="","",CHOOSE(uxb_works!$B$46,"-",Data_2014_N!AB67,Data_2017!AB68))</f>
        <v/>
      </c>
      <c r="AC67" s="148" t="str">
        <f>IF(CHOOSE(uxb_works!$B$46,"-",Data_2014_N!AC67,Data_2017!AC68)="","",CHOOSE(uxb_works!$B$46,"-",Data_2014_N!AC67,Data_2017!AC68))</f>
        <v/>
      </c>
      <c r="AD67" s="148" t="str">
        <f>IF(CHOOSE(uxb_works!$B$46,"-",Data_2014_N!AD67,Data_2017!AD68)="","",CHOOSE(uxb_works!$B$46,"-",Data_2014_N!AD67,Data_2017!AD68))</f>
        <v/>
      </c>
      <c r="AE67" s="148" t="str">
        <f>IF(CHOOSE(uxb_works!$B$46,"-",Data_2014_N!AE67,Data_2017!AE68)="","",CHOOSE(uxb_works!$B$46,"-",Data_2014_N!AE67,Data_2017!AE68))</f>
        <v/>
      </c>
      <c r="AF67" s="148" t="str">
        <f>IF(CHOOSE(uxb_works!$B$46,"-",Data_2014_N!AF67,Data_2017!AF68)="","",CHOOSE(uxb_works!$B$46,"-",Data_2014_N!AF67,Data_2017!AF68))</f>
        <v/>
      </c>
      <c r="AG67" s="148" t="str">
        <f>IF(CHOOSE(uxb_works!$B$46,"-",Data_2014_N!AG67,Data_2017!AG68)="","",CHOOSE(uxb_works!$B$46,"-",Data_2014_N!AG67,Data_2017!AG68))</f>
        <v/>
      </c>
      <c r="AH67" s="148" t="str">
        <f>IF(CHOOSE(uxb_works!$B$46,"-",Data_2014_N!AH67,Data_2017!AH68)="","",CHOOSE(uxb_works!$B$46,"-",Data_2014_N!AH67,Data_2017!AH68))</f>
        <v/>
      </c>
      <c r="AI67" s="148" t="str">
        <f>IF(CHOOSE(uxb_works!$B$46,"-",Data_2014_N!AI67,Data_2017!AI68)="","",CHOOSE(uxb_works!$B$46,"-",Data_2014_N!AI67,Data_2017!AI68))</f>
        <v/>
      </c>
      <c r="AJ67" s="148" t="str">
        <f>IF(CHOOSE(uxb_works!$B$46,"-",Data_2014_N!AJ67,Data_2017!AJ68)="","",CHOOSE(uxb_works!$B$46,"-",Data_2014_N!AJ67,Data_2017!AJ68))</f>
        <v/>
      </c>
      <c r="AK67" s="148" t="e">
        <f>IF(CHOOSE(uxb_works!$B$46,"-",Data_2014_N!AK67,Data_2017!#REF!)="","",CHOOSE(uxb_works!$B$46,"-",Data_2014_N!AK67,Data_2017!#REF!))</f>
        <v>#REF!</v>
      </c>
      <c r="AL67" s="148" t="str">
        <f>IF(CHOOSE(uxb_works!$B$46,"-",Data_2014_N!AL67,Data_2017!AK68)="","",CHOOSE(uxb_works!$B$46,"-",Data_2014_N!AL67,Data_2017!AK68))</f>
        <v/>
      </c>
      <c r="AM67" s="148" t="str">
        <f>IF(CHOOSE(uxb_works!$B$46,"-",Data_2014_N!AM67,Data_2017!AL68)="","",CHOOSE(uxb_works!$B$46,"-",Data_2014_N!AM67,Data_2017!AL68))</f>
        <v/>
      </c>
      <c r="AN67" s="148" t="str">
        <f>IF(CHOOSE(uxb_works!$B$46,"-",Data_2014_N!AN67,Data_2017!AM68)="","",CHOOSE(uxb_works!$B$46,"-",Data_2014_N!AN67,Data_2017!AM68))</f>
        <v/>
      </c>
      <c r="AO67" s="148" t="str">
        <f>IF(CHOOSE(uxb_works!$B$46,"-",Data_2014_N!AO67,Data_2017!AN68)="","",CHOOSE(uxb_works!$B$46,"-",Data_2014_N!AO67,Data_2017!AN68))</f>
        <v/>
      </c>
      <c r="AP67" s="148" t="str">
        <f>IF(CHOOSE(uxb_works!$B$46,"-",Data_2014_N!AP67,Data_2017!AO68)="","",CHOOSE(uxb_works!$B$46,"-",Data_2014_N!AP67,Data_2017!AO68))</f>
        <v/>
      </c>
      <c r="AQ67" s="148" t="str">
        <f>IF(CHOOSE(uxb_works!$B$46,"-",Data_2014_N!AQ67,Data_2017!AP68)="","",CHOOSE(uxb_works!$B$46,"-",Data_2014_N!AQ67,Data_2017!AP68))</f>
        <v/>
      </c>
      <c r="AR67" s="148" t="str">
        <f>IF(CHOOSE(uxb_works!$B$46,"-",Data_2014_N!AR67,Data_2017!AQ68)="","",CHOOSE(uxb_works!$B$46,"-",Data_2014_N!AR67,Data_2017!AQ68))</f>
        <v/>
      </c>
      <c r="AS67" s="148" t="str">
        <f>IF(CHOOSE(uxb_works!$B$46,"-",Data_2014_N!AS67,Data_2017!AR68)="","",CHOOSE(uxb_works!$B$46,"-",Data_2014_N!AS67,Data_2017!AR68))</f>
        <v/>
      </c>
      <c r="AT67" s="148" t="str">
        <f>IF(CHOOSE(uxb_works!$B$46,"-",Data_2014_N!AT67,Data_2017!AS68)="","",CHOOSE(uxb_works!$B$46,"-",Data_2014_N!AT67,Data_2017!AS68))</f>
        <v/>
      </c>
      <c r="AU67" s="148" t="str">
        <f>IF(CHOOSE(uxb_works!$B$46,"-",Data_2014_N!AU67,Data_2017!AT68)="","",CHOOSE(uxb_works!$B$46,"-",Data_2014_N!AU67,Data_2017!AT68))</f>
        <v/>
      </c>
      <c r="AV67" s="148" t="str">
        <f>IF(CHOOSE(uxb_works!$B$46,"-",Data_2014_N!AV67,Data_2017!AU68)="","",CHOOSE(uxb_works!$B$46,"-",Data_2014_N!AV67,Data_2017!AU68))</f>
        <v/>
      </c>
      <c r="AW67" s="148" t="str">
        <f>IF(CHOOSE(uxb_works!$B$46,"-",Data_2014_N!AW67,Data_2017!AV68)="","",CHOOSE(uxb_works!$B$46,"-",Data_2014_N!AW67,Data_2017!AV68))</f>
        <v/>
      </c>
      <c r="AX67" s="148" t="str">
        <f>IF(CHOOSE(uxb_works!$B$46,"-",Data_2014_N!AX67,Data_2017!AW68)="","",CHOOSE(uxb_works!$B$46,"-",Data_2014_N!AX67,Data_2017!AW68))</f>
        <v/>
      </c>
      <c r="AY67" s="148" t="str">
        <f>IF(CHOOSE(uxb_works!$B$46,"-",Data_2014_N!AY67,Data_2017!AX68)="","",CHOOSE(uxb_works!$B$46,"-",Data_2014_N!AY67,Data_2017!AX68))</f>
        <v/>
      </c>
      <c r="AZ67" s="148" t="str">
        <f>IF(CHOOSE(uxb_works!$B$46,"-",Data_2014_N!AZ67,Data_2017!AY68)="","",CHOOSE(uxb_works!$B$46,"-",Data_2014_N!AZ67,Data_2017!AY68))</f>
        <v/>
      </c>
      <c r="BA67" s="148" t="str">
        <f>IF(CHOOSE(uxb_works!$B$46,"-",Data_2014_N!BA67,Data_2017!AZ68)="","",CHOOSE(uxb_works!$B$46,"-",Data_2014_N!BA67,Data_2017!AZ68))</f>
        <v/>
      </c>
      <c r="BB67" s="148" t="str">
        <f>IF(CHOOSE(uxb_works!$B$46,"-",Data_2014_N!BB67,Data_2017!BA68)="","",CHOOSE(uxb_works!$B$46,"-",Data_2014_N!BB67,Data_2017!BA68))</f>
        <v/>
      </c>
      <c r="BC67" s="148" t="str">
        <f>IF(CHOOSE(uxb_works!$B$46,"-",Data_2014_N!BC67,Data_2017!BB68)="","",CHOOSE(uxb_works!$B$46,"-",Data_2014_N!BC67,Data_2017!BB68))</f>
        <v/>
      </c>
      <c r="BD67" s="148" t="str">
        <f>IF(CHOOSE(uxb_works!$B$46,"-",Data_2014_N!BD67,Data_2017!BC68)="","",CHOOSE(uxb_works!$B$46,"-",Data_2014_N!BD67,Data_2017!BC68))</f>
        <v/>
      </c>
      <c r="BE67" s="148" t="str">
        <f>IF(CHOOSE(uxb_works!$B$46,"-",Data_2014_N!BE67,Data_2017!BD68)="","",CHOOSE(uxb_works!$B$46,"-",Data_2014_N!BE67,Data_2017!BD68))</f>
        <v/>
      </c>
      <c r="BF67" s="148" t="str">
        <f>IF(CHOOSE(uxb_works!$B$46,"-",Data_2014_N!BF67,Data_2017!BE68)="","",CHOOSE(uxb_works!$B$46,"-",Data_2014_N!BF67,Data_2017!BE68))</f>
        <v/>
      </c>
      <c r="BG67" s="148" t="str">
        <f>IF(CHOOSE(uxb_works!$B$46,"-",Data_2014_N!BG67,Data_2017!BF68)="","",CHOOSE(uxb_works!$B$46,"-",Data_2014_N!BG67,Data_2017!BF68))</f>
        <v/>
      </c>
      <c r="BH67" s="148" t="str">
        <f>IF(CHOOSE(uxb_works!$B$46,"-",Data_2014_N!BH67,Data_2017!BG68)="","",CHOOSE(uxb_works!$B$46,"-",Data_2014_N!BH67,Data_2017!BG68))</f>
        <v/>
      </c>
      <c r="BI67" s="148" t="str">
        <f>IF(CHOOSE(uxb_works!$B$46,"-",Data_2014_N!BI67,Data_2017!BH68)="","",CHOOSE(uxb_works!$B$46,"-",Data_2014_N!BI67,Data_2017!BH68))</f>
        <v/>
      </c>
      <c r="BJ67" s="148" t="str">
        <f>IF(CHOOSE(uxb_works!$B$46,"-",Data_2014_N!BJ67,Data_2017!BI68)="","",CHOOSE(uxb_works!$B$46,"-",Data_2014_N!BJ67,Data_2017!BI68))</f>
        <v/>
      </c>
      <c r="BK67" s="148" t="str">
        <f>IF(CHOOSE(uxb_works!$B$46,"-",Data_2014_N!BK67,Data_2017!BJ68)="","",CHOOSE(uxb_works!$B$46,"-",Data_2014_N!BK67,Data_2017!BJ68))</f>
        <v/>
      </c>
      <c r="BL67" s="148" t="str">
        <f>IF(CHOOSE(uxb_works!$B$46,"-",Data_2014_N!BL67,Data_2017!BK68)="","",CHOOSE(uxb_works!$B$46,"-",Data_2014_N!BL67,Data_2017!BK68))</f>
        <v/>
      </c>
      <c r="BM67" s="148" t="str">
        <f>IF(CHOOSE(uxb_works!$B$46,"-",Data_2014_N!BM67,Data_2017!BL68)="","",CHOOSE(uxb_works!$B$46,"-",Data_2014_N!BM67,Data_2017!BL68))</f>
        <v/>
      </c>
      <c r="BN67" s="148" t="str">
        <f>IF(CHOOSE(uxb_works!$B$46,"-",Data_2014_N!BN67,Data_2017!BM68)="","",CHOOSE(uxb_works!$B$46,"-",Data_2014_N!BN67,Data_2017!BM68))</f>
        <v/>
      </c>
      <c r="BO67" s="148" t="str">
        <f>IF(CHOOSE(uxb_works!$B$46,"-",Data_2014_N!BO67,Data_2017!BN68)="","",CHOOSE(uxb_works!$B$46,"-",Data_2014_N!BO67,Data_2017!BN68))</f>
        <v/>
      </c>
      <c r="BP67" s="148" t="str">
        <f>IF(CHOOSE(uxb_works!$B$46,"-",Data_2014_N!BP67,Data_2017!BO68)="","",CHOOSE(uxb_works!$B$46,"-",Data_2014_N!BP67,Data_2017!BO68))</f>
        <v/>
      </c>
      <c r="BQ67" s="148" t="str">
        <f>IF(CHOOSE(uxb_works!$B$46,"-",Data_2014_N!BQ67,Data_2017!BP68)="","",CHOOSE(uxb_works!$B$46,"-",Data_2014_N!BQ67,Data_2017!BP68))</f>
        <v/>
      </c>
      <c r="BR67" s="325" t="str">
        <f>IF(CHOOSE(uxb_works!$B$46,"-",Data_2014_N!BR67,Data_2017!BR68)="","",CHOOSE(uxb_works!$B$46,"-",Data_2014_N!BR67,Data_2017!BR68))</f>
        <v/>
      </c>
      <c r="CC67" s="112">
        <v>4</v>
      </c>
      <c r="CD67" s="112">
        <v>4</v>
      </c>
      <c r="CE67" s="112">
        <v>4</v>
      </c>
      <c r="CF67" s="112">
        <v>4</v>
      </c>
      <c r="CG67" s="112">
        <v>4</v>
      </c>
    </row>
    <row r="68" s="112" customFormat="1" spans="1:9">
      <c r="A68"/>
      <c r="I68" s="189"/>
    </row>
    <row r="69" s="113" customFormat="1" spans="1:9">
      <c r="A69"/>
      <c r="I69" s="190"/>
    </row>
    <row r="70" s="113" customFormat="1" spans="1:9">
      <c r="A70"/>
      <c r="I70" s="190"/>
    </row>
    <row r="71" s="113" customFormat="1" spans="1:9">
      <c r="A71"/>
      <c r="I71" s="190"/>
    </row>
    <row r="72" s="113" customFormat="1" spans="1:9">
      <c r="A72"/>
      <c r="I72" s="190"/>
    </row>
    <row r="73" s="113" customFormat="1" spans="1:9">
      <c r="A73"/>
      <c r="I73" s="190"/>
    </row>
    <row r="74" s="113" customFormat="1" spans="1:9">
      <c r="A74"/>
      <c r="I74" s="190"/>
    </row>
    <row r="75" s="113" customFormat="1" spans="1:9">
      <c r="A75"/>
      <c r="I75" s="190"/>
    </row>
    <row r="76" s="113" customFormat="1" spans="1:9">
      <c r="A76"/>
      <c r="I76" s="190"/>
    </row>
    <row r="77" s="113" customFormat="1" spans="1:9">
      <c r="A77"/>
      <c r="I77" s="190"/>
    </row>
    <row r="78" s="113" customFormat="1" spans="1:9">
      <c r="A78"/>
      <c r="I78" s="190"/>
    </row>
    <row r="79" s="113" customFormat="1" spans="1:9">
      <c r="A79"/>
      <c r="I79" s="190"/>
    </row>
    <row r="80" s="113" customFormat="1" spans="1:9">
      <c r="A80"/>
      <c r="I80" s="190"/>
    </row>
    <row r="81" s="113" customFormat="1" spans="1:9">
      <c r="A81"/>
      <c r="I81" s="190"/>
    </row>
    <row r="82" s="113" customFormat="1" spans="1:9">
      <c r="A82"/>
      <c r="I82" s="190"/>
    </row>
    <row r="83" s="113" customFormat="1" spans="1:9">
      <c r="A83"/>
      <c r="I83" s="190"/>
    </row>
    <row r="84" s="113" customFormat="1" spans="1:9">
      <c r="A84"/>
      <c r="I84" s="190"/>
    </row>
    <row r="85" s="113" customFormat="1" spans="1:9">
      <c r="A85"/>
      <c r="I85" s="190"/>
    </row>
    <row r="86" s="113" customFormat="1" spans="1:9">
      <c r="A86"/>
      <c r="I86" s="190"/>
    </row>
    <row r="87" s="113" customFormat="1" spans="1:9">
      <c r="A87"/>
      <c r="I87" s="190"/>
    </row>
    <row r="88" s="113" customFormat="1" spans="1:9">
      <c r="A88"/>
      <c r="I88" s="190"/>
    </row>
    <row r="89" s="113" customFormat="1" spans="1:9">
      <c r="A89"/>
      <c r="I89" s="190"/>
    </row>
    <row r="90" s="113" customFormat="1" spans="1:9">
      <c r="A90"/>
      <c r="I90" s="190"/>
    </row>
    <row r="91" s="113" customFormat="1" spans="1:9">
      <c r="A91"/>
      <c r="I91" s="190"/>
    </row>
    <row r="92" s="113" customFormat="1" spans="1:9">
      <c r="A92"/>
      <c r="I92" s="190"/>
    </row>
    <row r="93" s="113" customFormat="1" spans="1:9">
      <c r="A93"/>
      <c r="I93" s="190"/>
    </row>
    <row r="94" s="113" customFormat="1" spans="1:9">
      <c r="A94"/>
      <c r="I94" s="190"/>
    </row>
    <row r="95" s="113" customFormat="1" spans="1:9">
      <c r="A95"/>
      <c r="I95" s="190"/>
    </row>
    <row r="96" s="113" customFormat="1" spans="1:9">
      <c r="A96"/>
      <c r="I96" s="190"/>
    </row>
    <row r="97" s="113" customFormat="1" spans="1:9">
      <c r="A97"/>
      <c r="I97" s="190"/>
    </row>
    <row r="98" s="113" customFormat="1" spans="1:9">
      <c r="A98"/>
      <c r="I98" s="190"/>
    </row>
    <row r="99" s="113" customFormat="1" spans="1:9">
      <c r="A99"/>
      <c r="I99" s="190"/>
    </row>
    <row r="100" s="113" customFormat="1" spans="1:9">
      <c r="A100"/>
      <c r="I100" s="190"/>
    </row>
    <row r="101" s="113" customFormat="1" spans="1:9">
      <c r="A101"/>
      <c r="I101" s="190"/>
    </row>
    <row r="102" s="113" customFormat="1" spans="1:9">
      <c r="A102"/>
      <c r="I102" s="190"/>
    </row>
    <row r="103" s="113" customFormat="1" spans="1:9">
      <c r="A103"/>
      <c r="I103" s="190"/>
    </row>
    <row r="104" s="113" customFormat="1" spans="1:9">
      <c r="A104"/>
      <c r="I104" s="190"/>
    </row>
    <row r="105" s="113" customFormat="1" spans="1:9">
      <c r="A105"/>
      <c r="I105" s="190"/>
    </row>
    <row r="106" s="113" customFormat="1" spans="1:9">
      <c r="A106"/>
      <c r="I106" s="190"/>
    </row>
    <row r="107" s="113" customFormat="1" spans="1:9">
      <c r="A107"/>
      <c r="I107" s="190"/>
    </row>
    <row r="108" s="113" customFormat="1" spans="1:9">
      <c r="A108"/>
      <c r="I108" s="190"/>
    </row>
    <row r="109" s="113" customFormat="1" spans="1:9">
      <c r="A109"/>
      <c r="I109" s="190"/>
    </row>
    <row r="110" s="113" customFormat="1" spans="1:9">
      <c r="A110"/>
      <c r="I110" s="190"/>
    </row>
    <row r="111" s="113" customFormat="1" spans="1:9">
      <c r="A111"/>
      <c r="I111" s="190"/>
    </row>
    <row r="112" s="113" customFormat="1" spans="1:9">
      <c r="A112"/>
      <c r="I112" s="190"/>
    </row>
    <row r="113" s="113" customFormat="1" spans="1:9">
      <c r="A113"/>
      <c r="I113" s="190"/>
    </row>
    <row r="114" s="113" customFormat="1" spans="1:9">
      <c r="A114"/>
      <c r="I114" s="190"/>
    </row>
    <row r="115" s="113" customFormat="1" spans="1:9">
      <c r="A115"/>
      <c r="I115" s="190"/>
    </row>
    <row r="116" s="113" customFormat="1" spans="1:9">
      <c r="A116"/>
      <c r="I116" s="190"/>
    </row>
    <row r="117" s="113" customFormat="1" spans="1:9">
      <c r="A117"/>
      <c r="I117" s="190"/>
    </row>
    <row r="118" s="113" customFormat="1" spans="1:9">
      <c r="A118"/>
      <c r="I118" s="190"/>
    </row>
    <row r="119" s="113" customFormat="1" spans="1:9">
      <c r="A119"/>
      <c r="I119" s="190"/>
    </row>
    <row r="120" s="113" customFormat="1" spans="1:9">
      <c r="A120"/>
      <c r="I120" s="190"/>
    </row>
    <row r="121" s="113" customFormat="1" spans="1:9">
      <c r="A121"/>
      <c r="I121" s="190"/>
    </row>
    <row r="122" s="113" customFormat="1" spans="1:9">
      <c r="A122"/>
      <c r="I122" s="190"/>
    </row>
    <row r="123" s="113" customFormat="1" spans="1:9">
      <c r="A123"/>
      <c r="I123" s="190"/>
    </row>
    <row r="124" s="113" customFormat="1" spans="1:9">
      <c r="A124"/>
      <c r="I124" s="190"/>
    </row>
    <row r="125" s="113" customFormat="1" spans="1:9">
      <c r="A125"/>
      <c r="I125" s="190"/>
    </row>
    <row r="126" s="113" customFormat="1" spans="1:9">
      <c r="A126"/>
      <c r="I126" s="190"/>
    </row>
    <row r="127" s="113" customFormat="1" spans="1:9">
      <c r="A127"/>
      <c r="I127" s="190"/>
    </row>
    <row r="128" s="113" customFormat="1" spans="1:9">
      <c r="A128"/>
      <c r="I128" s="190"/>
    </row>
    <row r="129" s="113" customFormat="1" spans="1:9">
      <c r="A129"/>
      <c r="I129" s="190"/>
    </row>
    <row r="130" s="113" customFormat="1" spans="1:9">
      <c r="A130"/>
      <c r="I130" s="190"/>
    </row>
    <row r="131" s="113" customFormat="1" spans="1:9">
      <c r="A131"/>
      <c r="I131" s="190"/>
    </row>
    <row r="132" s="113" customFormat="1" spans="1:9">
      <c r="A132"/>
      <c r="I132" s="190"/>
    </row>
    <row r="133" s="113" customFormat="1" spans="1:9">
      <c r="A133"/>
      <c r="I133" s="190"/>
    </row>
    <row r="134" s="113" customFormat="1" spans="1:9">
      <c r="A134"/>
      <c r="I134" s="190"/>
    </row>
    <row r="135" s="113" customFormat="1" spans="1:9">
      <c r="A135"/>
      <c r="I135" s="190"/>
    </row>
    <row r="136" s="113" customFormat="1" spans="1:9">
      <c r="A136"/>
      <c r="I136" s="190"/>
    </row>
    <row r="137" s="113" customFormat="1" spans="1:9">
      <c r="A137"/>
      <c r="I137" s="190"/>
    </row>
    <row r="138" s="113" customFormat="1" spans="1:9">
      <c r="A138"/>
      <c r="I138" s="190"/>
    </row>
    <row r="139" s="113" customFormat="1" spans="1:9">
      <c r="A139"/>
      <c r="I139" s="190"/>
    </row>
    <row r="140" s="113" customFormat="1" spans="1:9">
      <c r="A140"/>
      <c r="I140" s="190"/>
    </row>
    <row r="141" s="113" customFormat="1" spans="1:9">
      <c r="A141"/>
      <c r="I141" s="190"/>
    </row>
    <row r="142" s="113" customFormat="1" spans="1:9">
      <c r="A142"/>
      <c r="I142" s="190"/>
    </row>
    <row r="143" s="113" customFormat="1" spans="1:9">
      <c r="A143"/>
      <c r="I143" s="190"/>
    </row>
    <row r="144" s="113" customFormat="1" spans="1:9">
      <c r="A144"/>
      <c r="I144" s="190"/>
    </row>
    <row r="145" s="113" customFormat="1" spans="1:9">
      <c r="A145"/>
      <c r="I145" s="190"/>
    </row>
    <row r="146" s="113" customFormat="1" spans="1:9">
      <c r="A146"/>
      <c r="I146" s="190"/>
    </row>
    <row r="147" s="113" customFormat="1" spans="1:9">
      <c r="A147"/>
      <c r="I147" s="190"/>
    </row>
    <row r="148" s="113" customFormat="1" spans="1:9">
      <c r="A148"/>
      <c r="I148" s="190"/>
    </row>
    <row r="149" s="114" customFormat="1" spans="1:9">
      <c r="A149"/>
      <c r="I149" s="191"/>
    </row>
    <row r="150" s="114" customFormat="1" spans="1:9">
      <c r="A150"/>
      <c r="I150" s="191"/>
    </row>
    <row r="151" s="114" customFormat="1" spans="1:9">
      <c r="A151"/>
      <c r="I151" s="191"/>
    </row>
    <row r="152" s="114" customFormat="1" spans="1:9">
      <c r="A152"/>
      <c r="I152" s="191"/>
    </row>
    <row r="153" s="114" customFormat="1" spans="1:9">
      <c r="A153"/>
      <c r="I153" s="191"/>
    </row>
    <row r="154" s="114" customFormat="1" spans="1:9">
      <c r="A154"/>
      <c r="I154" s="191"/>
    </row>
    <row r="155" s="114" customFormat="1" spans="1:9">
      <c r="A155"/>
      <c r="I155" s="191"/>
    </row>
    <row r="156" s="114" customFormat="1" spans="1:9">
      <c r="A156"/>
      <c r="I156" s="191"/>
    </row>
    <row r="157" s="114" customFormat="1" spans="1:9">
      <c r="A157"/>
      <c r="I157" s="191"/>
    </row>
    <row r="158" s="114" customFormat="1" spans="1:9">
      <c r="A158"/>
      <c r="I158" s="191"/>
    </row>
    <row r="159" s="114" customFormat="1" spans="1:9">
      <c r="A159"/>
      <c r="I159" s="191"/>
    </row>
    <row r="160" s="114" customFormat="1" spans="1:9">
      <c r="A160"/>
      <c r="I160" s="191"/>
    </row>
    <row r="161" s="114" customFormat="1" spans="1:9">
      <c r="A161"/>
      <c r="I161" s="191"/>
    </row>
    <row r="162" s="114" customFormat="1" spans="1:9">
      <c r="A162"/>
      <c r="I162" s="191"/>
    </row>
    <row r="163" s="114" customFormat="1" spans="1:9">
      <c r="A163"/>
      <c r="I163" s="191"/>
    </row>
    <row r="164" s="114" customFormat="1" spans="1:9">
      <c r="A164"/>
      <c r="I164" s="191"/>
    </row>
    <row r="165" s="115" customFormat="1" spans="1:9">
      <c r="A165"/>
      <c r="I165" s="192"/>
    </row>
    <row r="166" s="115" customFormat="1" spans="1:9">
      <c r="A166"/>
      <c r="I166" s="192"/>
    </row>
    <row r="167" s="115" customFormat="1" spans="1:9">
      <c r="A167"/>
      <c r="I167" s="192"/>
    </row>
    <row r="168" s="115" customFormat="1" spans="1:9">
      <c r="A168"/>
      <c r="I168" s="192"/>
    </row>
  </sheetData>
  <pageMargins left="0.551181102362205" right="0.551181102362205" top="0.590551181102362" bottom="0.78740157480315" header="0.511811023622047" footer="0.511811023622047"/>
  <pageSetup paperSize="9" scale="13" orientation="landscape" horizontalDpi="1200" verticalDpi="1200"/>
  <headerFooter alignWithMargins="0">
    <oddHeader>&amp;RSafe Cities Index : 2017</oddHead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FFC000"/>
    <pageSetUpPr fitToPage="1"/>
  </sheetPr>
  <dimension ref="A2:X307"/>
  <sheetViews>
    <sheetView showRowColHeaders="0" zoomScale="90" zoomScaleNormal="90" workbookViewId="0">
      <selection activeCell="N12" sqref="N12"/>
    </sheetView>
  </sheetViews>
  <sheetFormatPr defaultColWidth="9" defaultRowHeight="15"/>
  <cols>
    <col min="1" max="1" width="24" style="268" customWidth="1"/>
    <col min="2" max="2" width="9.14285714285714" style="1"/>
    <col min="3" max="3" width="36" style="1" customWidth="1"/>
    <col min="4" max="4" width="11" style="1" customWidth="1"/>
    <col min="5" max="5" width="12.1428571428571" style="1" customWidth="1"/>
    <col min="6" max="6" width="12.7142857142857" style="1" customWidth="1"/>
    <col min="7" max="7" width="60.1428571428571" style="1" customWidth="1"/>
    <col min="8" max="9" width="11.2857142857143" style="1" customWidth="1"/>
    <col min="10" max="14" width="2.71428571428571" style="1" customWidth="1"/>
    <col min="15" max="15" width="9.14285714285714" style="1"/>
    <col min="16" max="16" width="14.1428571428571" style="1" customWidth="1"/>
    <col min="17" max="17" width="16.8571428571429" style="289" customWidth="1"/>
    <col min="18" max="18" width="14" style="289" customWidth="1"/>
    <col min="19" max="19" width="26.8571428571429" style="289" customWidth="1"/>
    <col min="20" max="20" width="14" style="289" customWidth="1"/>
    <col min="21" max="23" width="14" customWidth="1"/>
    <col min="24" max="24" width="14" style="1" customWidth="1"/>
    <col min="25" max="16384" width="9.14285714285714" style="1"/>
  </cols>
  <sheetData>
    <row r="2" spans="1:21">
      <c r="A2" s="54" t="s">
        <v>160</v>
      </c>
      <c r="Q2" s="107" t="s">
        <v>161</v>
      </c>
      <c r="R2" s="107"/>
      <c r="S2" s="107"/>
      <c r="T2" s="107"/>
      <c r="U2" s="107"/>
    </row>
    <row r="4" spans="17:20">
      <c r="Q4" s="227" t="s">
        <v>162</v>
      </c>
      <c r="R4" s="227" t="s">
        <v>162</v>
      </c>
      <c r="S4" s="227" t="s">
        <v>162</v>
      </c>
      <c r="T4" s="299" t="s">
        <v>162</v>
      </c>
    </row>
    <row r="5" ht="23.25" spans="1:20">
      <c r="A5" s="296" t="s">
        <v>162</v>
      </c>
      <c r="B5" s="1">
        <f>IF(A5="","",MATCH(A5,tblIndicators!D$2:D$43,0))</f>
        <v>1</v>
      </c>
      <c r="C5" s="1" t="str">
        <f>IF($A5="","",INDEX(tblIndicators!AE$2:AE$43,$B5))</f>
        <v>OVERALL SCORE</v>
      </c>
      <c r="Q5" s="229" t="s">
        <v>163</v>
      </c>
      <c r="R5" s="229" t="s">
        <v>163</v>
      </c>
      <c r="S5" s="229" t="s">
        <v>163</v>
      </c>
      <c r="T5" s="231" t="s">
        <v>164</v>
      </c>
    </row>
    <row r="6" ht="23.25" spans="1:20">
      <c r="A6" s="297" t="s">
        <v>163</v>
      </c>
      <c r="B6" s="1">
        <f>IF(A6="","",MATCH(A6,tblIndicators!D$2:D$43,0))</f>
        <v>2</v>
      </c>
      <c r="C6" s="1" t="str">
        <f>IF($A6="","",INDEX(tblIndicators!AE$2:AE$43,$B6))</f>
        <v>1) DIGITAL SECURITY</v>
      </c>
      <c r="Q6" s="231" t="s">
        <v>164</v>
      </c>
      <c r="R6" s="229" t="s">
        <v>165</v>
      </c>
      <c r="S6" s="231" t="s">
        <v>164</v>
      </c>
      <c r="T6" s="231" t="s">
        <v>166</v>
      </c>
    </row>
    <row r="7" ht="23.25" spans="1:20">
      <c r="A7" s="297" t="s">
        <v>165</v>
      </c>
      <c r="B7" s="1">
        <f>IF(A7="","",MATCH(A7,tblIndicators!D$2:D$43,0))</f>
        <v>13</v>
      </c>
      <c r="C7" s="1" t="str">
        <f>IF($A7="","",INDEX(tblIndicators!AE$2:AE$43,$B7))</f>
        <v>2) HEALTH SECURITY</v>
      </c>
      <c r="Q7" s="231" t="s">
        <v>166</v>
      </c>
      <c r="R7" s="229" t="s">
        <v>167</v>
      </c>
      <c r="S7" s="231" t="s">
        <v>168</v>
      </c>
      <c r="T7" s="231" t="s">
        <v>169</v>
      </c>
    </row>
    <row r="8" ht="23.25" spans="1:20">
      <c r="A8" s="297" t="s">
        <v>167</v>
      </c>
      <c r="B8" s="1">
        <f>IF(A8="","",MATCH(A8,tblIndicators!D$2:D$43,0))</f>
        <v>28</v>
      </c>
      <c r="C8" s="1" t="str">
        <f>IF($A8="","",INDEX(tblIndicators!AE$2:AE$43,$B8))</f>
        <v>3) INFRASTRUCTURE SECURITY</v>
      </c>
      <c r="Q8" s="231" t="s">
        <v>169</v>
      </c>
      <c r="R8" s="229" t="s">
        <v>170</v>
      </c>
      <c r="S8" s="229" t="s">
        <v>165</v>
      </c>
      <c r="T8" s="231" t="s">
        <v>171</v>
      </c>
    </row>
    <row r="9" ht="23.25" spans="1:20">
      <c r="A9" s="297" t="s">
        <v>170</v>
      </c>
      <c r="B9" s="1">
        <f>IF(A9="","",MATCH(A9,tblIndicators!D$2:D$43,0))</f>
        <v>41</v>
      </c>
      <c r="C9" s="1" t="str">
        <f>IF($A9="","",INDEX(tblIndicators!AE$2:AE$43,$B9))</f>
        <v>4) PERSONAL SECURITY</v>
      </c>
      <c r="Q9" s="231" t="s">
        <v>171</v>
      </c>
      <c r="S9" s="231" t="s">
        <v>172</v>
      </c>
      <c r="T9" s="231" t="s">
        <v>173</v>
      </c>
    </row>
    <row r="10" spans="17:20">
      <c r="Q10" s="231" t="s">
        <v>173</v>
      </c>
      <c r="S10" s="231" t="s">
        <v>174</v>
      </c>
      <c r="T10" s="231" t="s">
        <v>175</v>
      </c>
    </row>
    <row r="11" ht="23.25" spans="17:20">
      <c r="Q11" s="231" t="s">
        <v>175</v>
      </c>
      <c r="S11" s="229" t="s">
        <v>167</v>
      </c>
      <c r="T11" s="231" t="s">
        <v>168</v>
      </c>
    </row>
    <row r="12" spans="1:20">
      <c r="A12" s="54" t="s">
        <v>176</v>
      </c>
      <c r="Q12" s="231" t="s">
        <v>168</v>
      </c>
      <c r="S12" s="231" t="s">
        <v>177</v>
      </c>
      <c r="T12" s="231" t="s">
        <v>178</v>
      </c>
    </row>
    <row r="13" spans="1:20">
      <c r="A13" s="298" t="s">
        <v>162</v>
      </c>
      <c r="B13" s="1">
        <f>IF(A13="","",MATCH(A13,tblIndicators!D$2:D$69,0))</f>
        <v>1</v>
      </c>
      <c r="C13" s="1" t="str">
        <f>REPT(" ",D13)&amp;IF($A13="","",INDEX(tblIndicators!AE$2:AE$69,$B13))</f>
        <v>OVERALL SCORE</v>
      </c>
      <c r="D13" s="1">
        <f>INDEX(tblIndicators!$F$2:$F$69,B13)</f>
        <v>0</v>
      </c>
      <c r="Q13" s="231" t="s">
        <v>178</v>
      </c>
      <c r="S13" s="231" t="s">
        <v>179</v>
      </c>
      <c r="T13" s="231" t="s">
        <v>180</v>
      </c>
    </row>
    <row r="14" ht="23.25" spans="1:23">
      <c r="A14" s="230" t="s">
        <v>163</v>
      </c>
      <c r="B14" s="1">
        <f>IF(A14="","",MATCH(A14,tblIndicators!D$2:D$69,0))</f>
        <v>2</v>
      </c>
      <c r="C14" s="1" t="str">
        <f>REPT(" ",D14)&amp;IF($A14="","",INDEX(tblIndicators!AE$2:AE$69,$B14))</f>
        <v> 1) DIGITAL SECURITY</v>
      </c>
      <c r="D14" s="1">
        <f>INDEX(tblIndicators!$F$2:$F$69,B14)</f>
        <v>1</v>
      </c>
      <c r="Q14" s="231" t="s">
        <v>180</v>
      </c>
      <c r="S14" s="229" t="s">
        <v>170</v>
      </c>
      <c r="T14" s="231" t="s">
        <v>181</v>
      </c>
      <c r="W14" s="1"/>
    </row>
    <row r="15" spans="1:23">
      <c r="A15" s="232" t="s">
        <v>164</v>
      </c>
      <c r="B15" s="1">
        <f>IF(A15="","",MATCH(A15,tblIndicators!D$2:D$69,0))</f>
        <v>3</v>
      </c>
      <c r="C15" s="1" t="str">
        <f>REPT(" ",D15)&amp;IF($A15="","",INDEX(tblIndicators!AE$2:AE$69,$B15))</f>
        <v>  1.1) Digital security (Inputs)</v>
      </c>
      <c r="D15" s="1">
        <f>INDEX(tblIndicators!$F$2:$F$69,B15)</f>
        <v>2</v>
      </c>
      <c r="Q15" s="231" t="s">
        <v>181</v>
      </c>
      <c r="S15" s="231" t="s">
        <v>182</v>
      </c>
      <c r="T15" s="231" t="s">
        <v>172</v>
      </c>
      <c r="W15" s="1"/>
    </row>
    <row r="16" ht="23.25" spans="1:23">
      <c r="A16" s="232" t="s">
        <v>166</v>
      </c>
      <c r="B16" s="1">
        <f>IF(A16="","",MATCH(A16,tblIndicators!D$2:D$69,0))</f>
        <v>4</v>
      </c>
      <c r="C16" s="1" t="str">
        <f>REPT(" ",D16)&amp;IF($A16="","",INDEX(tblIndicators!AE$2:AE$69,$B16))</f>
        <v>   1.1.1) Privacy policy</v>
      </c>
      <c r="D16" s="1">
        <f>INDEX(tblIndicators!$F$2:$F$69,B16)</f>
        <v>3</v>
      </c>
      <c r="Q16" s="229" t="s">
        <v>165</v>
      </c>
      <c r="S16" s="231" t="s">
        <v>183</v>
      </c>
      <c r="T16" s="231" t="s">
        <v>184</v>
      </c>
      <c r="W16" s="1"/>
    </row>
    <row r="17" spans="1:23">
      <c r="A17" s="232" t="s">
        <v>169</v>
      </c>
      <c r="B17" s="1">
        <f>IF(A17="","",MATCH(A17,tblIndicators!D$2:D$69,0))</f>
        <v>5</v>
      </c>
      <c r="C17" s="1" t="str">
        <f>REPT(" ",D17)&amp;IF($A17="","",INDEX(tblIndicators!AE$2:AE$69,$B17))</f>
        <v>   1.1.2) Citizen awareness of digital threats</v>
      </c>
      <c r="D17" s="1">
        <f>INDEX(tblIndicators!$F$2:$F$69,B17)</f>
        <v>3</v>
      </c>
      <c r="Q17" s="231" t="s">
        <v>172</v>
      </c>
      <c r="T17" s="231" t="s">
        <v>185</v>
      </c>
      <c r="W17" s="1"/>
    </row>
    <row r="18" spans="1:20">
      <c r="A18" s="232" t="s">
        <v>171</v>
      </c>
      <c r="B18" s="1">
        <f>IF(A18="","",MATCH(A18,tblIndicators!D$2:D$69,0))</f>
        <v>6</v>
      </c>
      <c r="C18" s="1" t="str">
        <f>REPT(" ",D18)&amp;IF($A18="","",INDEX(tblIndicators!AE$2:AE$69,$B18))</f>
        <v>   1.1.3) Public-private partnerships</v>
      </c>
      <c r="D18" s="1">
        <f>INDEX(tblIndicators!$F$2:$F$69,B18)</f>
        <v>3</v>
      </c>
      <c r="Q18" s="231" t="s">
        <v>184</v>
      </c>
      <c r="T18" s="231" t="s">
        <v>186</v>
      </c>
    </row>
    <row r="19" spans="1:20">
      <c r="A19" s="232" t="s">
        <v>173</v>
      </c>
      <c r="B19" s="1">
        <f>IF(A19="","",MATCH(A19,tblIndicators!D$2:D$69,0))</f>
        <v>7</v>
      </c>
      <c r="C19" s="1" t="str">
        <f>REPT(" ",D19)&amp;IF($A19="","",INDEX(tblIndicators!AE$2:AE$69,$B19))</f>
        <v>   1.1.4) Level of technology employed</v>
      </c>
      <c r="D19" s="1">
        <f>INDEX(tblIndicators!$F$2:$F$69,B19)</f>
        <v>3</v>
      </c>
      <c r="Q19" s="231" t="s">
        <v>185</v>
      </c>
      <c r="T19" s="231" t="s">
        <v>187</v>
      </c>
    </row>
    <row r="20" spans="1:20">
      <c r="A20" s="232" t="s">
        <v>175</v>
      </c>
      <c r="B20" s="1">
        <f>IF(A20="","",MATCH(A20,tblIndicators!D$2:D$69,0))</f>
        <v>8</v>
      </c>
      <c r="C20" s="1" t="str">
        <f>REPT(" ",D20)&amp;IF($A20="","",INDEX(tblIndicators!AE$2:AE$69,$B20))</f>
        <v>   1.1.5) Dedicated cyber security teams</v>
      </c>
      <c r="D20" s="1">
        <f>INDEX(tblIndicators!$F$2:$F$69,B20)</f>
        <v>3</v>
      </c>
      <c r="Q20" s="231" t="s">
        <v>186</v>
      </c>
      <c r="T20" s="231" t="s">
        <v>188</v>
      </c>
    </row>
    <row r="21" spans="1:20">
      <c r="A21" s="232" t="s">
        <v>168</v>
      </c>
      <c r="B21" s="1">
        <f>IF(A21="","",MATCH(A21,tblIndicators!D$2:D$69,0))</f>
        <v>9</v>
      </c>
      <c r="C21" s="1" t="str">
        <f>REPT(" ",D21)&amp;IF($A21="","",INDEX(tblIndicators!AE$2:AE$69,$B21))</f>
        <v>  1.2) Digital security (Outputs)</v>
      </c>
      <c r="D21" s="1">
        <f>INDEX(tblIndicators!$F$2:$F$69,B21)</f>
        <v>2</v>
      </c>
      <c r="Q21" s="231" t="s">
        <v>187</v>
      </c>
      <c r="T21" s="231" t="s">
        <v>189</v>
      </c>
    </row>
    <row r="22" spans="1:20">
      <c r="A22" s="232" t="s">
        <v>178</v>
      </c>
      <c r="B22" s="1">
        <f>IF(A22="","",MATCH(A22,tblIndicators!D$2:D$69,0))</f>
        <v>10</v>
      </c>
      <c r="C22" s="1" t="str">
        <f>REPT(" ",D22)&amp;IF($A22="","",INDEX(tblIndicators!AE$2:AE$69,$B22))</f>
        <v>   1.2.1) Frequency of identity theft</v>
      </c>
      <c r="D22" s="1">
        <f>INDEX(tblIndicators!$F$2:$F$69,B22)</f>
        <v>3</v>
      </c>
      <c r="Q22" s="231" t="s">
        <v>188</v>
      </c>
      <c r="T22" s="231" t="s">
        <v>174</v>
      </c>
    </row>
    <row r="23" spans="1:20">
      <c r="A23" s="232" t="s">
        <v>180</v>
      </c>
      <c r="B23" s="1">
        <f>IF(A23="","",MATCH(A23,tblIndicators!D$2:D$69,0))</f>
        <v>11</v>
      </c>
      <c r="C23" s="1" t="str">
        <f>REPT(" ",D23)&amp;IF($A23="","",INDEX(tblIndicators!AE$2:AE$69,$B23))</f>
        <v>   1.2.2) Percentage of computers infected</v>
      </c>
      <c r="D23" s="1">
        <f>INDEX(tblIndicators!$F$2:$F$69,B23)</f>
        <v>3</v>
      </c>
      <c r="Q23" s="231" t="s">
        <v>189</v>
      </c>
      <c r="T23" s="231" t="s">
        <v>190</v>
      </c>
    </row>
    <row r="24" spans="1:20">
      <c r="A24" s="232" t="s">
        <v>181</v>
      </c>
      <c r="B24" s="1">
        <f>IF(A24="","",MATCH(A24,tblIndicators!D$2:D$69,0))</f>
        <v>12</v>
      </c>
      <c r="C24" s="1" t="str">
        <f>REPT(" ",D24)&amp;IF($A24="","",INDEX(tblIndicators!AE$2:AE$69,$B24))</f>
        <v>   1.2.3) Percentage with Internet access</v>
      </c>
      <c r="D24" s="1">
        <f>INDEX(tblIndicators!$F$2:$F$69,B24)</f>
        <v>3</v>
      </c>
      <c r="Q24" s="231" t="s">
        <v>174</v>
      </c>
      <c r="T24" s="231" t="s">
        <v>191</v>
      </c>
    </row>
    <row r="25" ht="23.25" spans="1:20">
      <c r="A25" s="230" t="s">
        <v>165</v>
      </c>
      <c r="B25" s="1">
        <f>IF(A25="","",MATCH(A25,tblIndicators!D$2:D$69,0))</f>
        <v>13</v>
      </c>
      <c r="C25" s="1" t="str">
        <f>REPT(" ",D25)&amp;IF($A25="","",INDEX(tblIndicators!AE$2:AE$69,$B25))</f>
        <v> 2) HEALTH SECURITY</v>
      </c>
      <c r="D25" s="1">
        <f>INDEX(tblIndicators!$F$2:$F$69,B25)</f>
        <v>1</v>
      </c>
      <c r="Q25" s="231" t="s">
        <v>190</v>
      </c>
      <c r="T25" s="231" t="s">
        <v>192</v>
      </c>
    </row>
    <row r="26" spans="1:20">
      <c r="A26" s="232" t="s">
        <v>172</v>
      </c>
      <c r="B26" s="1">
        <f>IF(A26="","",MATCH(A26,tblIndicators!D$2:D$69,0))</f>
        <v>14</v>
      </c>
      <c r="C26" s="1" t="str">
        <f>REPT(" ",D26)&amp;IF($A26="","",INDEX(tblIndicators!AE$2:AE$69,$B26))</f>
        <v>  2.1) Health security (Inputs)</v>
      </c>
      <c r="D26" s="1">
        <f>INDEX(tblIndicators!$F$2:$F$69,B26)</f>
        <v>2</v>
      </c>
      <c r="Q26" s="231" t="s">
        <v>191</v>
      </c>
      <c r="T26" s="231" t="s">
        <v>193</v>
      </c>
    </row>
    <row r="27" spans="1:20">
      <c r="A27" s="232" t="s">
        <v>184</v>
      </c>
      <c r="B27" s="1">
        <f>IF(A27="","",MATCH(A27,tblIndicators!D$2:D$69,0))</f>
        <v>15</v>
      </c>
      <c r="C27" s="1" t="str">
        <f>REPT(" ",D27)&amp;IF($A27="","",INDEX(tblIndicators!AE$2:AE$69,$B27))</f>
        <v>   2.1.1) Environmental policies</v>
      </c>
      <c r="D27" s="1">
        <f>INDEX(tblIndicators!$F$2:$F$69,B27)</f>
        <v>3</v>
      </c>
      <c r="Q27" s="231" t="s">
        <v>192</v>
      </c>
      <c r="T27" s="231" t="s">
        <v>194</v>
      </c>
    </row>
    <row r="28" spans="1:20">
      <c r="A28" s="232" t="s">
        <v>185</v>
      </c>
      <c r="B28" s="1">
        <f>IF(A28="","",MATCH(A28,tblIndicators!D$2:D$69,0))</f>
        <v>16</v>
      </c>
      <c r="C28" s="1" t="str">
        <f>REPT(" ",D28)&amp;IF($A28="","",INDEX(tblIndicators!AE$2:AE$69,$B28))</f>
        <v>   2.1.2) Access to healthcare</v>
      </c>
      <c r="D28" s="1">
        <f>INDEX(tblIndicators!$F$2:$F$69,B28)</f>
        <v>3</v>
      </c>
      <c r="Q28" s="231" t="s">
        <v>193</v>
      </c>
      <c r="T28" s="231" t="s">
        <v>195</v>
      </c>
    </row>
    <row r="29" spans="1:20">
      <c r="A29" s="232" t="s">
        <v>186</v>
      </c>
      <c r="B29" s="1">
        <f>IF(A29="","",MATCH(A29,tblIndicators!D$2:D$69,0))</f>
        <v>17</v>
      </c>
      <c r="C29" s="1" t="str">
        <f>REPT(" ",D29)&amp;IF($A29="","",INDEX(tblIndicators!AE$2:AE$69,$B29))</f>
        <v>   2.1.3) No. of beds per 1,000</v>
      </c>
      <c r="D29" s="1">
        <f>INDEX(tblIndicators!$F$2:$F$69,B29)</f>
        <v>3</v>
      </c>
      <c r="Q29" s="231" t="s">
        <v>194</v>
      </c>
      <c r="T29" s="231" t="s">
        <v>196</v>
      </c>
    </row>
    <row r="30" spans="1:20">
      <c r="A30" s="232" t="s">
        <v>187</v>
      </c>
      <c r="B30" s="1">
        <f>IF(A30="","",MATCH(A30,tblIndicators!D$2:D$69,0))</f>
        <v>18</v>
      </c>
      <c r="C30" s="1" t="str">
        <f>REPT(" ",D30)&amp;IF($A30="","",INDEX(tblIndicators!AE$2:AE$69,$B30))</f>
        <v>   2.1.4) No. of doctors per 1,000</v>
      </c>
      <c r="D30" s="1">
        <f>INDEX(tblIndicators!$F$2:$F$69,B30)</f>
        <v>3</v>
      </c>
      <c r="Q30" s="231" t="s">
        <v>195</v>
      </c>
      <c r="T30" s="231" t="s">
        <v>177</v>
      </c>
    </row>
    <row r="31" spans="1:20">
      <c r="A31" s="232" t="s">
        <v>188</v>
      </c>
      <c r="B31" s="1">
        <f>IF(A31="","",MATCH(A31,tblIndicators!D$2:D$69,0))</f>
        <v>19</v>
      </c>
      <c r="C31" s="1" t="str">
        <f>REPT(" ",D31)&amp;IF($A31="","",INDEX(tblIndicators!AE$2:AE$69,$B31))</f>
        <v>   2.1.5) Access to safe and quality food</v>
      </c>
      <c r="D31" s="1">
        <f>INDEX(tblIndicators!$F$2:$F$69,B31)</f>
        <v>3</v>
      </c>
      <c r="Q31" s="231" t="s">
        <v>196</v>
      </c>
      <c r="T31" s="231" t="s">
        <v>197</v>
      </c>
    </row>
    <row r="32" ht="23.25" spans="1:20">
      <c r="A32" s="232" t="s">
        <v>189</v>
      </c>
      <c r="B32" s="1">
        <f>IF(A32="","",MATCH(A32,tblIndicators!D$2:D$69,0))</f>
        <v>20</v>
      </c>
      <c r="C32" s="1" t="str">
        <f>REPT(" ",D32)&amp;IF($A32="","",INDEX(tblIndicators!AE$2:AE$69,$B32))</f>
        <v>   2.1.6) Quality of health services</v>
      </c>
      <c r="D32" s="1">
        <f>INDEX(tblIndicators!$F$2:$F$69,B32)</f>
        <v>3</v>
      </c>
      <c r="Q32" s="229" t="s">
        <v>167</v>
      </c>
      <c r="T32" s="231" t="s">
        <v>198</v>
      </c>
    </row>
    <row r="33" spans="1:20">
      <c r="A33" s="232" t="s">
        <v>174</v>
      </c>
      <c r="B33" s="1">
        <f>IF(A33="","",MATCH(A33,tblIndicators!D$2:D$69,0))</f>
        <v>21</v>
      </c>
      <c r="C33" s="1" t="str">
        <f>REPT(" ",D33)&amp;IF($A33="","",INDEX(tblIndicators!AE$2:AE$69,$B33))</f>
        <v>  2.2) Health security (Outputs)</v>
      </c>
      <c r="D33" s="1">
        <f>INDEX(tblIndicators!$F$2:$F$69,B33)</f>
        <v>2</v>
      </c>
      <c r="Q33" s="231" t="s">
        <v>177</v>
      </c>
      <c r="T33" s="231" t="s">
        <v>199</v>
      </c>
    </row>
    <row r="34" spans="1:20">
      <c r="A34" s="232" t="s">
        <v>190</v>
      </c>
      <c r="B34" s="1">
        <f>IF(A34="","",MATCH(A34,tblIndicators!D$2:D$69,0))</f>
        <v>22</v>
      </c>
      <c r="C34" s="1" t="str">
        <f>REPT(" ",D34)&amp;IF($A34="","",INDEX(tblIndicators!AE$2:AE$69,$B34))</f>
        <v>   2.2.1) Air quality (PM 2.5 levels)</v>
      </c>
      <c r="D34" s="1">
        <f>INDEX(tblIndicators!$F$2:$F$69,B34)</f>
        <v>3</v>
      </c>
      <c r="Q34" s="231" t="s">
        <v>197</v>
      </c>
      <c r="T34" s="231" t="s">
        <v>200</v>
      </c>
    </row>
    <row r="35" spans="1:20">
      <c r="A35" s="232" t="s">
        <v>191</v>
      </c>
      <c r="B35" s="1">
        <f>IF(A35="","",MATCH(A35,tblIndicators!D$2:D$69,0))</f>
        <v>23</v>
      </c>
      <c r="C35" s="1" t="str">
        <f>REPT(" ",D35)&amp;IF($A35="","",INDEX(tblIndicators!AE$2:AE$69,$B35))</f>
        <v>   2.2.2) Water quality</v>
      </c>
      <c r="D35" s="1">
        <f>INDEX(tblIndicators!$F$2:$F$69,B35)</f>
        <v>3</v>
      </c>
      <c r="Q35" s="231" t="s">
        <v>198</v>
      </c>
      <c r="T35" s="231" t="s">
        <v>201</v>
      </c>
    </row>
    <row r="36" spans="1:20">
      <c r="A36" s="232" t="s">
        <v>192</v>
      </c>
      <c r="B36" s="1">
        <f>IF(A36="","",MATCH(A36,tblIndicators!D$2:D$69,0))</f>
        <v>24</v>
      </c>
      <c r="C36" s="1" t="str">
        <f>REPT(" ",D36)&amp;IF($A36="","",INDEX(tblIndicators!AE$2:AE$69,$B36))</f>
        <v>   2.2.3) Life expectancy years</v>
      </c>
      <c r="D36" s="1">
        <f>INDEX(tblIndicators!$F$2:$F$69,B36)</f>
        <v>3</v>
      </c>
      <c r="Q36" s="231" t="s">
        <v>199</v>
      </c>
      <c r="T36" s="231" t="s">
        <v>179</v>
      </c>
    </row>
    <row r="37" spans="1:20">
      <c r="A37" s="232" t="s">
        <v>193</v>
      </c>
      <c r="B37" s="1">
        <f>IF(A37="","",MATCH(A37,tblIndicators!D$2:D$69,0))</f>
        <v>25</v>
      </c>
      <c r="C37" s="1" t="str">
        <f>REPT(" ",D37)&amp;IF($A37="","",INDEX(tblIndicators!AE$2:AE$69,$B37))</f>
        <v>   2.2.4) Infant mortality</v>
      </c>
      <c r="D37" s="1">
        <f>INDEX(tblIndicators!$F$2:$F$69,B37)</f>
        <v>3</v>
      </c>
      <c r="Q37" s="231" t="s">
        <v>200</v>
      </c>
      <c r="T37" s="231" t="s">
        <v>202</v>
      </c>
    </row>
    <row r="38" spans="1:20">
      <c r="A38" s="232" t="s">
        <v>194</v>
      </c>
      <c r="B38" s="1">
        <f>IF(A38="","",MATCH(A38,tblIndicators!D$2:D$69,0))</f>
        <v>26</v>
      </c>
      <c r="C38" s="1" t="str">
        <f>REPT(" ",D38)&amp;IF($A38="","",INDEX(tblIndicators!AE$2:AE$69,$B38))</f>
        <v>   2.2.5) Cancer mortality rate</v>
      </c>
      <c r="D38" s="1">
        <f>INDEX(tblIndicators!$F$2:$F$69,B38)</f>
        <v>3</v>
      </c>
      <c r="Q38" s="231" t="s">
        <v>201</v>
      </c>
      <c r="T38" s="231" t="s">
        <v>203</v>
      </c>
    </row>
    <row r="39" spans="1:20">
      <c r="A39" s="232" t="s">
        <v>195</v>
      </c>
      <c r="B39" s="1">
        <f>IF(A39="","",MATCH(A39,tblIndicators!D$2:D$69,0))</f>
        <v>27</v>
      </c>
      <c r="C39" s="1" t="str">
        <f>REPT(" ",D39)&amp;IF($A39="","",INDEX(tblIndicators!AE$2:AE$69,$B39))</f>
        <v>   2.2.6) Number of attacks using biological, chemical and/or radiological weapons</v>
      </c>
      <c r="D39" s="1">
        <f>INDEX(tblIndicators!$F$2:$F$69,B39)</f>
        <v>3</v>
      </c>
      <c r="Q39" s="231" t="s">
        <v>179</v>
      </c>
      <c r="T39" s="231" t="s">
        <v>204</v>
      </c>
    </row>
    <row r="40" ht="23.25" spans="1:20">
      <c r="A40" s="230" t="s">
        <v>167</v>
      </c>
      <c r="B40" s="1">
        <f>IF(A40="","",MATCH(A40,tblIndicators!D$2:D$69,0))</f>
        <v>28</v>
      </c>
      <c r="C40" s="1" t="str">
        <f>REPT(" ",D40)&amp;IF($A40="","",INDEX(tblIndicators!AE$2:AE$69,$B40))</f>
        <v> 3) INFRASTRUCTURE SECURITY</v>
      </c>
      <c r="D40" s="1">
        <f>INDEX(tblIndicators!$F$2:$F$69,B40)</f>
        <v>1</v>
      </c>
      <c r="Q40" s="231" t="s">
        <v>203</v>
      </c>
      <c r="T40" s="231" t="s">
        <v>205</v>
      </c>
    </row>
    <row r="41" spans="1:20">
      <c r="A41" s="232" t="s">
        <v>177</v>
      </c>
      <c r="B41" s="1">
        <f>IF(A41="","",MATCH(A41,tblIndicators!D$2:D$69,0))</f>
        <v>29</v>
      </c>
      <c r="C41" s="1" t="str">
        <f>REPT(" ",D41)&amp;IF($A41="","",INDEX(tblIndicators!AE$2:AE$69,$B41))</f>
        <v>  3.1) Infrastructure security (Inputs)</v>
      </c>
      <c r="D41" s="1">
        <f>INDEX(tblIndicators!$F$2:$F$69,B41)</f>
        <v>2</v>
      </c>
      <c r="Q41" s="231" t="s">
        <v>204</v>
      </c>
      <c r="T41" s="231" t="s">
        <v>206</v>
      </c>
    </row>
    <row r="42" spans="1:20">
      <c r="A42" s="232" t="s">
        <v>197</v>
      </c>
      <c r="B42" s="1">
        <f>IF(A42="","",MATCH(A42,tblIndicators!D$2:D$69,0))</f>
        <v>30</v>
      </c>
      <c r="C42" s="1" t="str">
        <f>REPT(" ",D42)&amp;IF($A42="","",INDEX(tblIndicators!AE$2:AE$69,$B42))</f>
        <v>   3.1.1) Enforcement of transport safety</v>
      </c>
      <c r="D42" s="1">
        <f>INDEX(tblIndicators!$F$2:$F$69,B42)</f>
        <v>3</v>
      </c>
      <c r="Q42" s="231" t="s">
        <v>207</v>
      </c>
      <c r="T42" s="231" t="s">
        <v>182</v>
      </c>
    </row>
    <row r="43" spans="1:20">
      <c r="A43" s="232" t="s">
        <v>198</v>
      </c>
      <c r="B43" s="1">
        <f>IF(A43="","",MATCH(A43,tblIndicators!D$2:D$69,0))</f>
        <v>31</v>
      </c>
      <c r="C43" s="1" t="str">
        <f>REPT(" ",D43)&amp;IF($A43="","",INDEX(tblIndicators!AE$2:AE$69,$B43))</f>
        <v>   3.1.2) Pedestrian friendliness</v>
      </c>
      <c r="D43" s="1">
        <f>INDEX(tblIndicators!$F$2:$F$69,B43)</f>
        <v>3</v>
      </c>
      <c r="Q43" s="231" t="s">
        <v>205</v>
      </c>
      <c r="T43" s="231" t="s">
        <v>208</v>
      </c>
    </row>
    <row r="44" spans="1:20">
      <c r="A44" s="232" t="s">
        <v>199</v>
      </c>
      <c r="B44" s="1">
        <f>IF(A44="","",MATCH(A44,tblIndicators!D$2:D$69,0))</f>
        <v>32</v>
      </c>
      <c r="C44" s="1" t="str">
        <f>REPT(" ",D44)&amp;IF($A44="","",INDEX(tblIndicators!AE$2:AE$69,$B44))</f>
        <v>   3.1.3) Quality of road infrastructure</v>
      </c>
      <c r="D44" s="1">
        <f>INDEX(tblIndicators!$F$2:$F$69,B44)</f>
        <v>3</v>
      </c>
      <c r="Q44" s="231" t="s">
        <v>206</v>
      </c>
      <c r="T44" s="231" t="s">
        <v>209</v>
      </c>
    </row>
    <row r="45" ht="23.25" spans="1:20">
      <c r="A45" s="232" t="s">
        <v>200</v>
      </c>
      <c r="B45" s="1">
        <f>IF(A45="","",MATCH(A45,tblIndicators!D$2:D$69,0))</f>
        <v>33</v>
      </c>
      <c r="C45" s="1" t="str">
        <f>REPT(" ",D45)&amp;IF($A45="","",INDEX(tblIndicators!AE$2:AE$69,$B45))</f>
        <v>   3.1.4) Quality of electricity infrastructure</v>
      </c>
      <c r="D45" s="1">
        <f>INDEX(tblIndicators!$F$2:$F$69,B45)</f>
        <v>3</v>
      </c>
      <c r="Q45" s="229" t="s">
        <v>170</v>
      </c>
      <c r="T45" s="231" t="s">
        <v>210</v>
      </c>
    </row>
    <row r="46" spans="1:20">
      <c r="A46" s="232" t="s">
        <v>201</v>
      </c>
      <c r="B46" s="1">
        <f>IF(A46="","",MATCH(A46,tblIndicators!D$2:D$69,0))</f>
        <v>34</v>
      </c>
      <c r="C46" s="1" t="str">
        <f>REPT(" ",D46)&amp;IF($A46="","",INDEX(tblIndicators!AE$2:AE$69,$B46))</f>
        <v>   3.1.5) Disaster management/business continuity plan</v>
      </c>
      <c r="D46" s="1">
        <f>INDEX(tblIndicators!$F$2:$F$69,B46)</f>
        <v>3</v>
      </c>
      <c r="Q46" s="231" t="s">
        <v>182</v>
      </c>
      <c r="T46" s="231" t="s">
        <v>211</v>
      </c>
    </row>
    <row r="47" spans="1:20">
      <c r="A47" s="232" t="s">
        <v>179</v>
      </c>
      <c r="B47" s="1">
        <f>IF(A47="","",MATCH(A47,tblIndicators!D$2:D$69,0))</f>
        <v>35</v>
      </c>
      <c r="C47" s="1" t="str">
        <f>REPT(" ",D47)&amp;IF($A47="","",INDEX(tblIndicators!AE$2:AE$69,$B47))</f>
        <v>  3.2) Infrastructure security (Outputs)</v>
      </c>
      <c r="D47" s="1">
        <f>INDEX(tblIndicators!$F$2:$F$69,B47)</f>
        <v>2</v>
      </c>
      <c r="Q47" s="231" t="s">
        <v>208</v>
      </c>
      <c r="T47" s="231" t="s">
        <v>212</v>
      </c>
    </row>
    <row r="48" spans="1:20">
      <c r="A48" s="232" t="s">
        <v>202</v>
      </c>
      <c r="B48" s="1">
        <f>IF(A48="","",MATCH(A48,tblIndicators!D$2:D$69,0))</f>
        <v>36</v>
      </c>
      <c r="C48" s="1" t="str">
        <f>REPT(" ",D48)&amp;IF($A48="","",INDEX(tblIndicators!AE$2:AE$69,$B48))</f>
        <v>   3.2.1) Deaths from natural disaster</v>
      </c>
      <c r="D48" s="1">
        <f>INDEX(tblIndicators!$F$2:$F$69,B48)</f>
        <v>3</v>
      </c>
      <c r="Q48" s="231" t="s">
        <v>209</v>
      </c>
      <c r="T48" s="231" t="s">
        <v>213</v>
      </c>
    </row>
    <row r="49" spans="1:20">
      <c r="A49" s="232" t="s">
        <v>203</v>
      </c>
      <c r="B49" s="1">
        <f>IF(A49="","",MATCH(A49,tblIndicators!D$2:D$69,0))</f>
        <v>37</v>
      </c>
      <c r="C49" s="1" t="str">
        <f>REPT(" ",D49)&amp;IF($A49="","",INDEX(tblIndicators!AE$2:AE$69,$B49))</f>
        <v>   3.2.2) Frequency of vehicular accidents</v>
      </c>
      <c r="D49" s="1">
        <f>INDEX(tblIndicators!$F$2:$F$69,B49)</f>
        <v>3</v>
      </c>
      <c r="Q49" s="231" t="s">
        <v>210</v>
      </c>
      <c r="T49" s="231" t="s">
        <v>214</v>
      </c>
    </row>
    <row r="50" spans="1:20">
      <c r="A50" s="232" t="s">
        <v>204</v>
      </c>
      <c r="B50" s="1">
        <f>IF(A50="","",MATCH(A50,tblIndicators!D$2:D$69,0))</f>
        <v>38</v>
      </c>
      <c r="C50" s="1" t="str">
        <f>REPT(" ",D50)&amp;IF($A50="","",INDEX(tblIndicators!AE$2:AE$69,$B50))</f>
        <v>   3.2.3) Frequency of pedestrian deaths</v>
      </c>
      <c r="D50" s="1">
        <f>INDEX(tblIndicators!$F$2:$F$69,B50)</f>
        <v>3</v>
      </c>
      <c r="Q50" s="231" t="s">
        <v>211</v>
      </c>
      <c r="T50" s="231" t="s">
        <v>183</v>
      </c>
    </row>
    <row r="51" spans="1:20">
      <c r="A51" s="232" t="s">
        <v>207</v>
      </c>
      <c r="B51" s="1">
        <f>IF(A51="","",MATCH(A51,tblIndicators!D$2:D$69,0))</f>
        <v>39</v>
      </c>
      <c r="C51" s="1" t="str">
        <f>REPT(" ",D51)&amp;IF($A51="","",INDEX(tblIndicators!AE$2:AE$69,$B51))</f>
        <v>   3.2.4) Percentage living in slums</v>
      </c>
      <c r="D51" s="1">
        <f>INDEX(tblIndicators!$F$2:$F$69,B51)</f>
        <v>3</v>
      </c>
      <c r="Q51" s="231" t="s">
        <v>212</v>
      </c>
      <c r="T51" s="231" t="s">
        <v>215</v>
      </c>
    </row>
    <row r="52" spans="1:20">
      <c r="A52" s="232" t="s">
        <v>205</v>
      </c>
      <c r="B52" s="1">
        <f>IF(A52="","",MATCH(A52,tblIndicators!D$2:D$69,0))</f>
        <v>40</v>
      </c>
      <c r="C52" s="1" t="str">
        <f>REPT(" ",D52)&amp;IF($A52="","",INDEX(tblIndicators!AE$2:AE$69,$B52))</f>
        <v>   3.2.5) Number of attacks on facilities/infrastructure</v>
      </c>
      <c r="D52" s="1">
        <f>INDEX(tblIndicators!$F$2:$F$69,B52)</f>
        <v>3</v>
      </c>
      <c r="Q52" s="231" t="s">
        <v>213</v>
      </c>
      <c r="T52" s="231" t="s">
        <v>216</v>
      </c>
    </row>
    <row r="53" ht="23.25" spans="1:20">
      <c r="A53" s="230" t="s">
        <v>170</v>
      </c>
      <c r="B53" s="1">
        <f>IF(A53="","",MATCH(A53,tblIndicators!D$2:D$69,0))</f>
        <v>41</v>
      </c>
      <c r="C53" s="1" t="str">
        <f>REPT(" ",D53)&amp;IF($A53="","",INDEX(tblIndicators!AE$2:AE$69,$B53))</f>
        <v> 4) PERSONAL SECURITY</v>
      </c>
      <c r="D53" s="1">
        <f>INDEX(tblIndicators!$F$2:$F$69,B53)</f>
        <v>1</v>
      </c>
      <c r="Q53" s="231" t="s">
        <v>183</v>
      </c>
      <c r="T53" s="231" t="s">
        <v>217</v>
      </c>
    </row>
    <row r="54" spans="1:20">
      <c r="A54" s="232" t="s">
        <v>182</v>
      </c>
      <c r="B54" s="1">
        <f>IF(A54="","",MATCH(A54,tblIndicators!D$2:D$69,0))</f>
        <v>42</v>
      </c>
      <c r="C54" s="1" t="str">
        <f>REPT(" ",D54)&amp;IF($A54="","",INDEX(tblIndicators!AE$2:AE$69,$B54))</f>
        <v>  4.1) Personal security (Inputs)</v>
      </c>
      <c r="D54" s="1">
        <f>INDEX(tblIndicators!$F$2:$F$69,B54)</f>
        <v>2</v>
      </c>
      <c r="Q54" s="231" t="s">
        <v>215</v>
      </c>
      <c r="T54" s="231" t="s">
        <v>218</v>
      </c>
    </row>
    <row r="55" spans="1:20">
      <c r="A55" s="232" t="s">
        <v>208</v>
      </c>
      <c r="B55" s="1">
        <f>IF(A55="","",MATCH(A55,tblIndicators!D$2:D$69,0))</f>
        <v>43</v>
      </c>
      <c r="C55" s="1" t="str">
        <f>REPT(" ",D55)&amp;IF($A55="","",INDEX(tblIndicators!AE$2:AE$69,$B55))</f>
        <v>   4.1.1) Level of police engagement</v>
      </c>
      <c r="D55" s="1">
        <f>INDEX(tblIndicators!$F$2:$F$69,B55)</f>
        <v>3</v>
      </c>
      <c r="Q55" s="231" t="s">
        <v>216</v>
      </c>
      <c r="T55" s="231" t="s">
        <v>219</v>
      </c>
    </row>
    <row r="56" spans="1:20">
      <c r="A56" s="232" t="s">
        <v>209</v>
      </c>
      <c r="B56" s="1">
        <f>IF(A56="","",MATCH(A56,tblIndicators!D$2:D$69,0))</f>
        <v>44</v>
      </c>
      <c r="C56" s="1" t="str">
        <f>REPT(" ",D56)&amp;IF($A56="","",INDEX(tblIndicators!AE$2:AE$69,$B56))</f>
        <v>   4.1.2) Community-based patrolling</v>
      </c>
      <c r="D56" s="1">
        <f>INDEX(tblIndicators!$F$2:$F$69,B56)</f>
        <v>3</v>
      </c>
      <c r="Q56" s="231" t="s">
        <v>220</v>
      </c>
      <c r="T56" s="231" t="s">
        <v>221</v>
      </c>
    </row>
    <row r="57" spans="1:20">
      <c r="A57" s="232" t="s">
        <v>210</v>
      </c>
      <c r="B57" s="1">
        <f>IF(A57="","",MATCH(A57,tblIndicators!D$2:D$69,0))</f>
        <v>45</v>
      </c>
      <c r="C57" s="1" t="str">
        <f>REPT(" ",D57)&amp;IF($A57="","",INDEX(tblIndicators!AE$2:AE$69,$B57))</f>
        <v>   4.1.3) Available street-level crime data</v>
      </c>
      <c r="D57" s="1">
        <f>INDEX(tblIndicators!$F$2:$F$69,B57)</f>
        <v>3</v>
      </c>
      <c r="Q57" s="231" t="s">
        <v>217</v>
      </c>
      <c r="T57" s="231" t="s">
        <v>222</v>
      </c>
    </row>
    <row r="58" spans="1:20">
      <c r="A58" s="232" t="s">
        <v>211</v>
      </c>
      <c r="B58" s="1">
        <f>IF(A58="","",MATCH(A58,tblIndicators!D$2:D$69,0))</f>
        <v>46</v>
      </c>
      <c r="C58" s="1" t="str">
        <f>REPT(" ",D58)&amp;IF($A58="","",INDEX(tblIndicators!AE$2:AE$69,$B58))</f>
        <v>   4.1.4) Use of data-driven techniques for crime</v>
      </c>
      <c r="D58" s="1">
        <f>INDEX(tblIndicators!$F$2:$F$69,B58)</f>
        <v>3</v>
      </c>
      <c r="Q58" s="231" t="s">
        <v>218</v>
      </c>
      <c r="T58" s="231" t="s">
        <v>223</v>
      </c>
    </row>
    <row r="59" spans="1:20">
      <c r="A59" s="232" t="s">
        <v>212</v>
      </c>
      <c r="B59" s="1">
        <f>IF(A59="","",MATCH(A59,tblIndicators!D$2:D$69,0))</f>
        <v>47</v>
      </c>
      <c r="C59" s="1" t="str">
        <f>REPT(" ",D59)&amp;IF($A59="","",INDEX(tblIndicators!AE$2:AE$69,$B59))</f>
        <v>   4.1.5) Private security measures</v>
      </c>
      <c r="D59" s="1">
        <f>INDEX(tblIndicators!$F$2:$F$69,B59)</f>
        <v>3</v>
      </c>
      <c r="Q59" s="231" t="s">
        <v>219</v>
      </c>
      <c r="T59" s="231" t="s">
        <v>224</v>
      </c>
    </row>
    <row r="60" spans="1:20">
      <c r="A60" s="232" t="s">
        <v>213</v>
      </c>
      <c r="B60" s="1">
        <f>IF(A60="","",MATCH(A60,tblIndicators!D$2:D$69,0))</f>
        <v>48</v>
      </c>
      <c r="C60" s="1" t="str">
        <f>REPT(" ",D60)&amp;IF($A60="","",INDEX(tblIndicators!AE$2:AE$69,$B60))</f>
        <v>   4.1.6) Gun regulation and enforcement</v>
      </c>
      <c r="D60" s="1">
        <f>INDEX(tblIndicators!$F$2:$F$69,B60)</f>
        <v>3</v>
      </c>
      <c r="Q60" s="231" t="s">
        <v>221</v>
      </c>
      <c r="T60" s="231" t="s">
        <v>225</v>
      </c>
    </row>
    <row r="61" spans="1:17">
      <c r="A61" s="232" t="s">
        <v>214</v>
      </c>
      <c r="B61" s="1">
        <f>IF(A61="","",MATCH(A61,tblIndicators!D$2:D$69,0))</f>
        <v>49</v>
      </c>
      <c r="C61" s="1" t="str">
        <f>REPT(" ",D61)&amp;IF($A61="","",INDEX(tblIndicators!AE$2:AE$69,$B61))</f>
        <v>   4.1.7) Political stability risk</v>
      </c>
      <c r="D61" s="1">
        <f>INDEX(tblIndicators!$F$2:$F$69,B61)</f>
        <v>3</v>
      </c>
      <c r="Q61" s="231" t="s">
        <v>222</v>
      </c>
    </row>
    <row r="62" spans="1:17">
      <c r="A62" s="232" t="s">
        <v>183</v>
      </c>
      <c r="B62" s="1">
        <f>IF(A62="","",MATCH(A62,tblIndicators!D$2:D$69,0))</f>
        <v>50</v>
      </c>
      <c r="C62" s="1" t="str">
        <f>REPT(" ",D62)&amp;IF($A62="","",INDEX(tblIndicators!AE$2:AE$69,$B62))</f>
        <v>  4.2) Personal security (Outputs)</v>
      </c>
      <c r="D62" s="1">
        <f>INDEX(tblIndicators!$F$2:$F$69,B62)</f>
        <v>2</v>
      </c>
      <c r="Q62" s="231" t="s">
        <v>223</v>
      </c>
    </row>
    <row r="63" spans="1:17">
      <c r="A63" s="232" t="s">
        <v>226</v>
      </c>
      <c r="B63" s="1">
        <f>IF(A63="","",MATCH(A63,tblIndicators!D$2:D$69,0))</f>
        <v>51</v>
      </c>
      <c r="C63" s="1" t="str">
        <f>REPT(" ",D63)&amp;IF($A63="","",INDEX(tblIndicators!AE$2:AE$69,$B63))</f>
        <v>   4.2.1) Prevalence of petty crime</v>
      </c>
      <c r="D63" s="1">
        <f>INDEX(tblIndicators!$F$2:$F$69,B63)</f>
        <v>3</v>
      </c>
      <c r="Q63" s="231" t="s">
        <v>224</v>
      </c>
    </row>
    <row r="64" spans="1:17">
      <c r="A64" s="232" t="s">
        <v>216</v>
      </c>
      <c r="B64" s="1">
        <f>IF(A64="","",MATCH(A64,tblIndicators!D$2:D$69,0))</f>
        <v>52</v>
      </c>
      <c r="C64" s="1" t="str">
        <f>REPT(" ",D64)&amp;IF($A64="","",INDEX(tblIndicators!AE$2:AE$69,$B64))</f>
        <v>   4.2.2) Prevalence of violent crime</v>
      </c>
      <c r="D64" s="1">
        <f>INDEX(tblIndicators!$F$2:$F$69,B64)</f>
        <v>3</v>
      </c>
      <c r="Q64" s="231" t="s">
        <v>225</v>
      </c>
    </row>
    <row r="65" spans="1:4">
      <c r="A65" s="232" t="s">
        <v>220</v>
      </c>
      <c r="B65" s="1">
        <f>IF(A65="","",MATCH(A65,tblIndicators!D$2:D$69,0))</f>
        <v>53</v>
      </c>
      <c r="C65" s="1" t="str">
        <f>REPT(" ",D65)&amp;IF($A65="","",INDEX(tblIndicators!AE$2:AE$69,$B65))</f>
        <v>   4.2.3) Organised crime</v>
      </c>
      <c r="D65" s="1">
        <f>INDEX(tblIndicators!$F$2:$F$69,B65)</f>
        <v>3</v>
      </c>
    </row>
    <row r="66" spans="1:4">
      <c r="A66" s="232" t="s">
        <v>217</v>
      </c>
      <c r="B66" s="1">
        <f>IF(A66="","",MATCH(A66,tblIndicators!D$2:D$69,0))</f>
        <v>54</v>
      </c>
      <c r="C66" s="1" t="str">
        <f>REPT(" ",D66)&amp;IF($A66="","",INDEX(tblIndicators!AE$2:AE$69,$B66))</f>
        <v>   4.2.4) Level of corruption</v>
      </c>
      <c r="D66" s="1">
        <f>INDEX(tblIndicators!$F$2:$F$69,B66)</f>
        <v>3</v>
      </c>
    </row>
    <row r="67" spans="1:4">
      <c r="A67" s="232" t="s">
        <v>218</v>
      </c>
      <c r="B67" s="1">
        <f>IF(A67="","",MATCH(A67,tblIndicators!D$2:D$69,0))</f>
        <v>55</v>
      </c>
      <c r="C67" s="1" t="str">
        <f>REPT(" ",D67)&amp;IF($A67="","",INDEX(tblIndicators!AE$2:AE$69,$B67))</f>
        <v>   4.2.5) Rate of drug use </v>
      </c>
      <c r="D67" s="1">
        <f>INDEX(tblIndicators!$F$2:$F$69,B67)</f>
        <v>3</v>
      </c>
    </row>
    <row r="68" spans="1:4">
      <c r="A68" s="232" t="s">
        <v>219</v>
      </c>
      <c r="B68" s="1">
        <f>IF(A68="","",MATCH(A68,tblIndicators!D$2:D$69,0))</f>
        <v>56</v>
      </c>
      <c r="C68" s="1" t="str">
        <f>REPT(" ",D68)&amp;IF($A68="","",INDEX(tblIndicators!AE$2:AE$69,$B68))</f>
        <v>   4.2.6) Frequency of terrorist attacks </v>
      </c>
      <c r="D68" s="1">
        <f>INDEX(tblIndicators!$F$2:$F$69,B68)</f>
        <v>3</v>
      </c>
    </row>
    <row r="69" spans="1:4">
      <c r="A69" s="232" t="s">
        <v>221</v>
      </c>
      <c r="B69" s="1">
        <f>IF(A69="","",MATCH(A69,tblIndicators!D$2:D$69,0))</f>
        <v>57</v>
      </c>
      <c r="C69" s="1" t="str">
        <f>REPT(" ",D69)&amp;IF($A69="","",INDEX(tblIndicators!AE$2:AE$69,$B69))</f>
        <v>   4.2.7) Severity of terrorist attacks</v>
      </c>
      <c r="D69" s="1">
        <f>INDEX(tblIndicators!$F$2:$F$69,B69)</f>
        <v>3</v>
      </c>
    </row>
    <row r="70" spans="1:4">
      <c r="A70" s="232" t="s">
        <v>222</v>
      </c>
      <c r="B70" s="1">
        <f>IF(A70="","",MATCH(A70,tblIndicators!D$2:D$69,0))</f>
        <v>58</v>
      </c>
      <c r="C70" s="1" t="str">
        <f>REPT(" ",D70)&amp;IF($A70="","",INDEX(tblIndicators!AE$2:AE$69,$B70))</f>
        <v>   4.2.8) Gender safety</v>
      </c>
      <c r="D70" s="1">
        <f>INDEX(tblIndicators!$F$2:$F$69,B70)</f>
        <v>3</v>
      </c>
    </row>
    <row r="71" spans="1:4">
      <c r="A71" s="232" t="s">
        <v>223</v>
      </c>
      <c r="B71" s="1">
        <f>IF(A71="","",MATCH(A71,tblIndicators!D$2:D$69,0))</f>
        <v>59</v>
      </c>
      <c r="C71" s="1" t="str">
        <f>REPT(" ",D71)&amp;IF($A71="","",INDEX(tblIndicators!AE$2:AE$69,$B71))</f>
        <v>   4.2.9) Perceptions of safety</v>
      </c>
      <c r="D71" s="1">
        <f>INDEX(tblIndicators!$F$2:$F$69,B71)</f>
        <v>3</v>
      </c>
    </row>
    <row r="72" spans="1:4">
      <c r="A72" s="232" t="s">
        <v>224</v>
      </c>
      <c r="B72" s="1">
        <f>IF(A72="","",MATCH(A72,tblIndicators!D$2:D$69,0))</f>
        <v>60</v>
      </c>
      <c r="C72" s="1" t="str">
        <f>REPT(" ",D72)&amp;IF($A72="","",INDEX(tblIndicators!AE$2:AE$69,$B72))</f>
        <v>   4.2.10) Threat of terrorism</v>
      </c>
      <c r="D72" s="1">
        <f>INDEX(tblIndicators!$F$2:$F$69,B72)</f>
        <v>3</v>
      </c>
    </row>
    <row r="73" spans="1:4">
      <c r="A73" s="232" t="s">
        <v>225</v>
      </c>
      <c r="B73" s="1">
        <f>IF(A73="","",MATCH(A73,tblIndicators!D$2:D$69,0))</f>
        <v>61</v>
      </c>
      <c r="C73" s="1" t="str">
        <f>REPT(" ",D73)&amp;IF($A73="","",INDEX(tblIndicators!AE$2:AE$69,$B73))</f>
        <v>   4.2.11) Threat of military conflict</v>
      </c>
      <c r="D73" s="1">
        <f>INDEX(tblIndicators!$F$2:$F$69,B73)</f>
        <v>3</v>
      </c>
    </row>
    <row r="74" spans="1:4">
      <c r="A74" s="232" t="s">
        <v>227</v>
      </c>
      <c r="B74" s="1">
        <f>IF(A74="","",MATCH(A74,tblIndicators!D$2:D$69,0))</f>
        <v>62</v>
      </c>
      <c r="C74" s="1" t="str">
        <f>REPT(" ",D74)&amp;IF($A74="","",INDEX(tblIndicators!AE$2:AE$69,$B74))</f>
        <v>   4.2.12) Threat of civil unrest</v>
      </c>
      <c r="D74" s="1">
        <f>INDEX(tblIndicators!$F$2:$F$69,B74)</f>
        <v>3</v>
      </c>
    </row>
    <row r="77" spans="1:7">
      <c r="A77" s="54" t="s">
        <v>228</v>
      </c>
      <c r="E77" s="300"/>
      <c r="F77" s="300"/>
      <c r="G77" s="300"/>
    </row>
    <row r="78" ht="23.25" spans="1:7">
      <c r="A78" s="230" t="s">
        <v>162</v>
      </c>
      <c r="B78" s="1">
        <f>IF(A78="","",MATCH(A78,tblIndicators!D$2:D$69,0))</f>
        <v>1</v>
      </c>
      <c r="C78" s="1" t="str">
        <f>REPT(" ",D78)&amp;IF($A78="","",INDEX(tblIndicators!AE$2:AE$69,$B78))</f>
        <v>OVERALL SCORE</v>
      </c>
      <c r="D78" s="1">
        <f>INDEX(tblIndicators!$F$2:$F$69,B78)</f>
        <v>0</v>
      </c>
      <c r="E78" s="301"/>
      <c r="F78" s="301"/>
      <c r="G78" s="301"/>
    </row>
    <row r="79" spans="1:10">
      <c r="A79" s="232" t="s">
        <v>163</v>
      </c>
      <c r="B79" s="1">
        <f>IF(A79="","",MATCH(A79,tblIndicators!D$2:D$69,0))</f>
        <v>2</v>
      </c>
      <c r="C79" s="1" t="str">
        <f>REPT(" ",D79)&amp;IF($A79="","",INDEX(tblIndicators!AE$2:AE$69,$B79))</f>
        <v> 1) DIGITAL SECURITY</v>
      </c>
      <c r="D79" s="1">
        <f>INDEX(tblIndicators!$F$2:$F$69,B79)</f>
        <v>1</v>
      </c>
      <c r="E79" s="301"/>
      <c r="F79" s="301"/>
      <c r="G79" s="301"/>
      <c r="H79" s="300"/>
      <c r="I79" s="300"/>
      <c r="J79" s="300"/>
    </row>
    <row r="80" spans="1:15">
      <c r="A80" s="232" t="s">
        <v>164</v>
      </c>
      <c r="B80" s="1">
        <f>IF(A80="","",MATCH(A80,tblIndicators!D$2:D$69,0))</f>
        <v>3</v>
      </c>
      <c r="C80" s="1" t="str">
        <f>REPT(" ",D80)&amp;IF($A80="","",INDEX(tblIndicators!AE$2:AE$69,$B80))</f>
        <v>  1.1) Digital security (Inputs)</v>
      </c>
      <c r="D80" s="1">
        <f>INDEX(tblIndicators!$F$2:$F$69,B80)</f>
        <v>2</v>
      </c>
      <c r="E80" s="301"/>
      <c r="F80" s="301"/>
      <c r="G80" s="301"/>
      <c r="H80" s="301"/>
      <c r="I80" s="301"/>
      <c r="J80" s="301"/>
      <c r="K80" s="300"/>
      <c r="L80" s="300"/>
      <c r="M80" s="300"/>
      <c r="N80" s="300"/>
      <c r="O80" s="300"/>
    </row>
    <row r="81" spans="1:15">
      <c r="A81" s="232" t="s">
        <v>168</v>
      </c>
      <c r="B81" s="1">
        <f>IF(A81="","",MATCH(A81,tblIndicators!D$2:D$69,0))</f>
        <v>9</v>
      </c>
      <c r="C81" s="1" t="str">
        <f>REPT(" ",D81)&amp;IF($A81="","",INDEX(tblIndicators!AE$2:AE$69,$B81))</f>
        <v>  1.2) Digital security (Outputs)</v>
      </c>
      <c r="D81" s="1">
        <f>INDEX(tblIndicators!$F$2:$F$69,B81)</f>
        <v>2</v>
      </c>
      <c r="E81" s="301"/>
      <c r="F81" s="301"/>
      <c r="G81" s="301"/>
      <c r="H81" s="301"/>
      <c r="I81" s="301"/>
      <c r="J81" s="301"/>
      <c r="K81" s="300"/>
      <c r="L81" s="300"/>
      <c r="M81" s="300"/>
      <c r="N81" s="300"/>
      <c r="O81" s="300"/>
    </row>
    <row r="82" ht="23.25" spans="1:15">
      <c r="A82" s="230" t="s">
        <v>165</v>
      </c>
      <c r="B82" s="1">
        <f>IF(A82="","",MATCH(A82,tblIndicators!D$2:D$69,0))</f>
        <v>13</v>
      </c>
      <c r="C82" s="1" t="str">
        <f>REPT(" ",D82)&amp;IF($A82="","",INDEX(tblIndicators!AE$2:AE$69,$B82))</f>
        <v> 2) HEALTH SECURITY</v>
      </c>
      <c r="D82" s="1">
        <f>INDEX(tblIndicators!$F$2:$F$69,B82)</f>
        <v>1</v>
      </c>
      <c r="E82" s="301"/>
      <c r="F82" s="301"/>
      <c r="G82" s="301"/>
      <c r="H82" s="301"/>
      <c r="I82" s="301"/>
      <c r="J82" s="301"/>
      <c r="K82" s="300"/>
      <c r="L82" s="300"/>
      <c r="M82" s="300"/>
      <c r="N82" s="300"/>
      <c r="O82" s="300"/>
    </row>
    <row r="83" spans="1:15">
      <c r="A83" s="232" t="s">
        <v>172</v>
      </c>
      <c r="B83" s="1">
        <f>IF(A83="","",MATCH(A83,tblIndicators!D$2:D$69,0))</f>
        <v>14</v>
      </c>
      <c r="C83" s="1" t="str">
        <f>REPT(" ",D83)&amp;IF($A83="","",INDEX(tblIndicators!AE$2:AE$69,$B83))</f>
        <v>  2.1) Health security (Inputs)</v>
      </c>
      <c r="D83" s="1">
        <f>INDEX(tblIndicators!$F$2:$F$69,B83)</f>
        <v>2</v>
      </c>
      <c r="E83" s="301"/>
      <c r="F83" s="301"/>
      <c r="G83" s="301"/>
      <c r="H83" s="301"/>
      <c r="I83" s="301"/>
      <c r="J83" s="301"/>
      <c r="K83" s="300"/>
      <c r="L83" s="300"/>
      <c r="M83" s="300"/>
      <c r="N83" s="300"/>
      <c r="O83" s="300"/>
    </row>
    <row r="84" spans="1:15">
      <c r="A84" s="232" t="s">
        <v>174</v>
      </c>
      <c r="B84" s="1">
        <f>IF(A84="","",MATCH(A84,tblIndicators!D$2:D$69,0))</f>
        <v>21</v>
      </c>
      <c r="C84" s="1" t="str">
        <f>REPT(" ",D84)&amp;IF($A84="","",INDEX(tblIndicators!AE$2:AE$69,$B84))</f>
        <v>  2.2) Health security (Outputs)</v>
      </c>
      <c r="D84" s="1">
        <f>INDEX(tblIndicators!$F$2:$F$69,B84)</f>
        <v>2</v>
      </c>
      <c r="E84" s="301"/>
      <c r="F84" s="301"/>
      <c r="G84" s="301"/>
      <c r="H84" s="301"/>
      <c r="I84" s="301"/>
      <c r="J84" s="301"/>
      <c r="K84" s="300"/>
      <c r="L84" s="300"/>
      <c r="M84" s="300"/>
      <c r="N84" s="300"/>
      <c r="O84" s="300"/>
    </row>
    <row r="85" ht="23.25" spans="1:15">
      <c r="A85" s="230" t="s">
        <v>167</v>
      </c>
      <c r="B85" s="1">
        <f>IF(A85="","",MATCH(A85,tblIndicators!D$2:D$69,0))</f>
        <v>28</v>
      </c>
      <c r="C85" s="1" t="str">
        <f>REPT(" ",D85)&amp;IF($A85="","",INDEX(tblIndicators!AE$2:AE$69,$B85))</f>
        <v> 3) INFRASTRUCTURE SECURITY</v>
      </c>
      <c r="D85" s="1">
        <f>INDEX(tblIndicators!$F$2:$F$69,B85)</f>
        <v>1</v>
      </c>
      <c r="E85" s="301"/>
      <c r="F85" s="301"/>
      <c r="G85" s="301"/>
      <c r="H85" s="301"/>
      <c r="I85" s="301"/>
      <c r="J85" s="301"/>
      <c r="K85" s="300"/>
      <c r="L85" s="300"/>
      <c r="M85" s="300"/>
      <c r="N85" s="300"/>
      <c r="O85" s="300"/>
    </row>
    <row r="86" spans="1:15">
      <c r="A86" s="232" t="s">
        <v>177</v>
      </c>
      <c r="B86" s="1">
        <f>IF(A86="","",MATCH(A86,tblIndicators!D$2:D$69,0))</f>
        <v>29</v>
      </c>
      <c r="C86" s="1" t="str">
        <f>REPT(" ",D86)&amp;IF($A86="","",INDEX(tblIndicators!AE$2:AE$69,$B86))</f>
        <v>  3.1) Infrastructure security (Inputs)</v>
      </c>
      <c r="D86" s="1">
        <f>INDEX(tblIndicators!$F$2:$F$69,B86)</f>
        <v>2</v>
      </c>
      <c r="E86" s="301"/>
      <c r="F86" s="301"/>
      <c r="G86" s="301"/>
      <c r="H86" s="301"/>
      <c r="I86" s="301"/>
      <c r="J86" s="301"/>
      <c r="K86" s="300"/>
      <c r="L86" s="300"/>
      <c r="M86" s="300"/>
      <c r="N86" s="300"/>
      <c r="O86" s="300"/>
    </row>
    <row r="87" spans="1:15">
      <c r="A87" s="232" t="s">
        <v>179</v>
      </c>
      <c r="B87" s="1">
        <f>IF(A87="","",MATCH(A87,tblIndicators!D$2:D$69,0))</f>
        <v>35</v>
      </c>
      <c r="C87" s="1" t="str">
        <f>REPT(" ",D87)&amp;IF($A87="","",INDEX(tblIndicators!AE$2:AE$69,$B87))</f>
        <v>  3.2) Infrastructure security (Outputs)</v>
      </c>
      <c r="D87" s="1">
        <f>INDEX(tblIndicators!$F$2:$F$69,B87)</f>
        <v>2</v>
      </c>
      <c r="E87" s="301"/>
      <c r="F87" s="301"/>
      <c r="G87" s="301"/>
      <c r="H87" s="301"/>
      <c r="I87" s="301"/>
      <c r="J87" s="301"/>
      <c r="K87" s="300"/>
      <c r="L87" s="300"/>
      <c r="M87" s="300"/>
      <c r="N87" s="300"/>
      <c r="O87" s="300"/>
    </row>
    <row r="88" ht="23.25" spans="1:15">
      <c r="A88" s="230" t="s">
        <v>170</v>
      </c>
      <c r="B88" s="1">
        <f>IF(A88="","",MATCH(A88,tblIndicators!D$2:D$69,0))</f>
        <v>41</v>
      </c>
      <c r="C88" s="1" t="str">
        <f>REPT(" ",D88)&amp;IF($A88="","",INDEX(tblIndicators!AE$2:AE$69,$B88))</f>
        <v> 4) PERSONAL SECURITY</v>
      </c>
      <c r="D88" s="1">
        <f>INDEX(tblIndicators!$F$2:$F$69,B88)</f>
        <v>1</v>
      </c>
      <c r="E88" s="301"/>
      <c r="F88" s="301"/>
      <c r="G88" s="301"/>
      <c r="H88" s="301"/>
      <c r="I88" s="301"/>
      <c r="J88" s="301"/>
      <c r="K88" s="300"/>
      <c r="L88" s="300"/>
      <c r="M88" s="300"/>
      <c r="N88" s="300"/>
      <c r="O88" s="300"/>
    </row>
    <row r="89" spans="1:15">
      <c r="A89" s="232" t="s">
        <v>182</v>
      </c>
      <c r="B89" s="1">
        <f>IF(A89="","",MATCH(A89,tblIndicators!D$2:D$69,0))</f>
        <v>42</v>
      </c>
      <c r="C89" s="1" t="str">
        <f>REPT(" ",D89)&amp;IF($A89="","",INDEX(tblIndicators!AE$2:AE$69,$B89))</f>
        <v>  4.1) Personal security (Inputs)</v>
      </c>
      <c r="D89" s="1">
        <f>INDEX(tblIndicators!$F$2:$F$69,B89)</f>
        <v>2</v>
      </c>
      <c r="E89" s="301"/>
      <c r="F89" s="301"/>
      <c r="G89" s="301"/>
      <c r="H89" s="301"/>
      <c r="I89" s="301"/>
      <c r="J89" s="301"/>
      <c r="K89" s="300"/>
      <c r="L89" s="300"/>
      <c r="M89" s="300"/>
      <c r="N89" s="300"/>
      <c r="O89" s="300"/>
    </row>
    <row r="90" spans="1:15">
      <c r="A90" s="232" t="s">
        <v>183</v>
      </c>
      <c r="B90" s="1">
        <f>IF(A90="","",MATCH(A90,tblIndicators!D$2:D$69,0))</f>
        <v>50</v>
      </c>
      <c r="C90" s="1" t="str">
        <f>REPT(" ",D90)&amp;IF($A90="","",INDEX(tblIndicators!AE$2:AE$69,$B90))</f>
        <v>  4.2) Personal security (Outputs)</v>
      </c>
      <c r="D90" s="1">
        <f>INDEX(tblIndicators!$F$2:$F$69,B90)</f>
        <v>2</v>
      </c>
      <c r="E90" s="301"/>
      <c r="F90" s="301"/>
      <c r="G90" s="301"/>
      <c r="H90" s="301"/>
      <c r="I90" s="301"/>
      <c r="J90" s="301"/>
      <c r="K90" s="300"/>
      <c r="L90" s="300"/>
      <c r="M90" s="300"/>
      <c r="N90" s="300"/>
      <c r="O90" s="300"/>
    </row>
    <row r="91" spans="1:15">
      <c r="A91" s="302"/>
      <c r="D91"/>
      <c r="E91" s="301"/>
      <c r="F91" s="301"/>
      <c r="G91" s="301"/>
      <c r="H91" s="301"/>
      <c r="I91" s="301"/>
      <c r="J91" s="301"/>
      <c r="K91" s="301"/>
      <c r="L91" s="301"/>
      <c r="M91" s="301"/>
      <c r="N91" s="301"/>
      <c r="O91" s="301"/>
    </row>
    <row r="92" spans="1:15">
      <c r="A92" s="54" t="s">
        <v>229</v>
      </c>
      <c r="H92" s="301"/>
      <c r="I92" s="301"/>
      <c r="J92" s="301"/>
      <c r="K92" s="301"/>
      <c r="L92" s="301"/>
      <c r="M92" s="301"/>
      <c r="N92" s="301"/>
      <c r="O92" s="301"/>
    </row>
    <row r="93" spans="1:15">
      <c r="A93" s="303" t="s">
        <v>164</v>
      </c>
      <c r="B93" s="1">
        <f>IF(A93="","",MATCH(A93,tblIndicators!D$2:D$69,0))</f>
        <v>3</v>
      </c>
      <c r="C93" s="1" t="str">
        <f>REPT(" ",D93)&amp;IF($A93="","",INDEX(tblIndicators!AE$2:AE$69,$B93))</f>
        <v>  1.1) Digital security (Inputs)</v>
      </c>
      <c r="D93" s="1">
        <f>INDEX(tblIndicators!$F$2:$F$69,B93)</f>
        <v>2</v>
      </c>
      <c r="H93" s="301"/>
      <c r="I93" s="301"/>
      <c r="J93" s="301"/>
      <c r="K93" s="301"/>
      <c r="L93" s="301"/>
      <c r="M93" s="301"/>
      <c r="N93" s="301"/>
      <c r="O93" s="301"/>
    </row>
    <row r="94" spans="1:15">
      <c r="A94" s="303" t="s">
        <v>166</v>
      </c>
      <c r="B94" s="1">
        <f>IF(A94="","",MATCH(A94,tblIndicators!D$2:D$69,0))</f>
        <v>4</v>
      </c>
      <c r="C94" s="1" t="str">
        <f>REPT(" ",D94)&amp;IF($A94="","",INDEX(tblIndicators!AE$2:AE$69,$B94))</f>
        <v>   1.1.1) Privacy policy</v>
      </c>
      <c r="D94" s="1">
        <f>INDEX(tblIndicators!$F$2:$F$69,B94)</f>
        <v>3</v>
      </c>
      <c r="H94" s="301"/>
      <c r="I94" s="301"/>
      <c r="J94" s="301"/>
      <c r="K94" s="301"/>
      <c r="L94" s="301"/>
      <c r="M94" s="301"/>
      <c r="N94" s="301"/>
      <c r="O94" s="301"/>
    </row>
    <row r="95" spans="1:15">
      <c r="A95" s="303" t="s">
        <v>169</v>
      </c>
      <c r="B95" s="1">
        <f>IF(A95="","",MATCH(A95,tblIndicators!D$2:D$69,0))</f>
        <v>5</v>
      </c>
      <c r="C95" s="1" t="str">
        <f>REPT(" ",D95)&amp;IF($A95="","",INDEX(tblIndicators!AE$2:AE$69,$B95))</f>
        <v>   1.1.2) Citizen awareness of digital threats</v>
      </c>
      <c r="D95" s="1">
        <f>INDEX(tblIndicators!$F$2:$F$69,B95)</f>
        <v>3</v>
      </c>
      <c r="H95" s="301"/>
      <c r="I95" s="301"/>
      <c r="J95" s="301"/>
      <c r="K95" s="301"/>
      <c r="L95" s="301"/>
      <c r="M95" s="301"/>
      <c r="N95" s="301"/>
      <c r="O95" s="301"/>
    </row>
    <row r="96" spans="1:15">
      <c r="A96" s="303" t="s">
        <v>171</v>
      </c>
      <c r="B96" s="1">
        <f>IF(A96="","",MATCH(A96,tblIndicators!D$2:D$69,0))</f>
        <v>6</v>
      </c>
      <c r="C96" s="1" t="str">
        <f>REPT(" ",D96)&amp;IF($A96="","",INDEX(tblIndicators!AE$2:AE$69,$B96))</f>
        <v>   1.1.3) Public-private partnerships</v>
      </c>
      <c r="D96" s="1">
        <f>INDEX(tblIndicators!$F$2:$F$69,B96)</f>
        <v>3</v>
      </c>
      <c r="H96" s="301"/>
      <c r="I96" s="301"/>
      <c r="J96" s="301"/>
      <c r="K96" s="301"/>
      <c r="L96" s="301"/>
      <c r="M96" s="301"/>
      <c r="N96" s="301"/>
      <c r="O96" s="301"/>
    </row>
    <row r="97" spans="1:15">
      <c r="A97" s="303" t="s">
        <v>173</v>
      </c>
      <c r="B97" s="1">
        <f>IF(A97="","",MATCH(A97,tblIndicators!D$2:D$69,0))</f>
        <v>7</v>
      </c>
      <c r="C97" s="1" t="str">
        <f>REPT(" ",D97)&amp;IF($A97="","",INDEX(tblIndicators!AE$2:AE$69,$B97))</f>
        <v>   1.1.4) Level of technology employed</v>
      </c>
      <c r="D97" s="1">
        <f>INDEX(tblIndicators!$F$2:$F$69,B97)</f>
        <v>3</v>
      </c>
      <c r="H97" s="301"/>
      <c r="I97" s="301"/>
      <c r="J97" s="301"/>
      <c r="K97" s="301"/>
      <c r="L97" s="301"/>
      <c r="M97" s="301"/>
      <c r="N97" s="301"/>
      <c r="O97" s="301"/>
    </row>
    <row r="98" spans="1:15">
      <c r="A98" s="303" t="s">
        <v>175</v>
      </c>
      <c r="B98" s="1">
        <f>IF(A98="","",MATCH(A98,tblIndicators!D$2:D$69,0))</f>
        <v>8</v>
      </c>
      <c r="C98" s="1" t="str">
        <f>REPT(" ",D98)&amp;IF($A98="","",INDEX(tblIndicators!AE$2:AE$69,$B98))</f>
        <v>   1.1.5) Dedicated cyber security teams</v>
      </c>
      <c r="D98" s="1">
        <f>INDEX(tblIndicators!$F$2:$F$69,B98)</f>
        <v>3</v>
      </c>
      <c r="H98" s="301"/>
      <c r="I98" s="301"/>
      <c r="J98" s="301"/>
      <c r="K98" s="301"/>
      <c r="L98" s="301"/>
      <c r="M98" s="301"/>
      <c r="N98" s="301"/>
      <c r="O98" s="301"/>
    </row>
    <row r="99" spans="1:15">
      <c r="A99" s="303" t="s">
        <v>168</v>
      </c>
      <c r="B99" s="1">
        <f>IF(A99="","",MATCH(A99,tblIndicators!D$2:D$69,0))</f>
        <v>9</v>
      </c>
      <c r="C99" s="1" t="str">
        <f>REPT(" ",D99)&amp;IF($A99="","",INDEX(tblIndicators!AE$2:AE$69,$B99))</f>
        <v>  1.2) Digital security (Outputs)</v>
      </c>
      <c r="D99" s="1">
        <f>INDEX(tblIndicators!$F$2:$F$69,B99)</f>
        <v>2</v>
      </c>
      <c r="H99" s="301"/>
      <c r="I99" s="301"/>
      <c r="J99" s="301"/>
      <c r="K99" s="301"/>
      <c r="L99" s="301"/>
      <c r="M99" s="301"/>
      <c r="N99" s="301"/>
      <c r="O99" s="301"/>
    </row>
    <row r="100" spans="1:15">
      <c r="A100" s="303" t="s">
        <v>178</v>
      </c>
      <c r="B100" s="1">
        <f>IF(A100="","",MATCH(A100,tblIndicators!D$2:D$69,0))</f>
        <v>10</v>
      </c>
      <c r="C100" s="1" t="str">
        <f>REPT(" ",D100)&amp;IF($A100="","",INDEX(tblIndicators!AE$2:AE$69,$B100))</f>
        <v>   1.2.1) Frequency of identity theft</v>
      </c>
      <c r="D100" s="1">
        <f>INDEX(tblIndicators!$F$2:$F$69,B100)</f>
        <v>3</v>
      </c>
      <c r="H100" s="301"/>
      <c r="I100" s="301"/>
      <c r="J100" s="301"/>
      <c r="K100" s="301"/>
      <c r="L100" s="301"/>
      <c r="M100" s="301"/>
      <c r="N100" s="301"/>
      <c r="O100" s="301"/>
    </row>
    <row r="101" spans="1:15">
      <c r="A101" s="303" t="s">
        <v>180</v>
      </c>
      <c r="B101" s="1">
        <f>IF(A101="","",MATCH(A101,tblIndicators!D$2:D$69,0))</f>
        <v>11</v>
      </c>
      <c r="C101" s="1" t="str">
        <f>REPT(" ",D101)&amp;IF($A101="","",INDEX(tblIndicators!AE$2:AE$69,$B101))</f>
        <v>   1.2.2) Percentage of computers infected</v>
      </c>
      <c r="D101" s="1">
        <f>INDEX(tblIndicators!$F$2:$F$69,B101)</f>
        <v>3</v>
      </c>
      <c r="H101" s="301"/>
      <c r="I101" s="301"/>
      <c r="J101" s="301"/>
      <c r="K101" s="301"/>
      <c r="L101" s="301"/>
      <c r="M101" s="301"/>
      <c r="N101" s="301"/>
      <c r="O101" s="301"/>
    </row>
    <row r="102" spans="1:15">
      <c r="A102" s="303" t="s">
        <v>181</v>
      </c>
      <c r="B102" s="1">
        <f>IF(A102="","",MATCH(A102,tblIndicators!D$2:D$69,0))</f>
        <v>12</v>
      </c>
      <c r="C102" s="1" t="str">
        <f>REPT(" ",D102)&amp;IF($A102="","",INDEX(tblIndicators!AE$2:AE$69,$B102))</f>
        <v>   1.2.3) Percentage with Internet access</v>
      </c>
      <c r="D102" s="1">
        <f>INDEX(tblIndicators!$F$2:$F$69,B102)</f>
        <v>3</v>
      </c>
      <c r="H102" s="301"/>
      <c r="I102" s="301"/>
      <c r="J102" s="301"/>
      <c r="K102" s="301"/>
      <c r="L102" s="301"/>
      <c r="M102" s="301"/>
      <c r="N102" s="301"/>
      <c r="O102" s="301"/>
    </row>
    <row r="103" spans="1:15">
      <c r="A103" s="303" t="s">
        <v>172</v>
      </c>
      <c r="B103" s="1">
        <f>IF(A103="","",MATCH(A103,tblIndicators!D$2:D$69,0))</f>
        <v>14</v>
      </c>
      <c r="C103" s="1" t="str">
        <f>REPT(" ",D103)&amp;IF($A103="","",INDEX(tblIndicators!AE$2:AE$69,$B103))</f>
        <v>  2.1) Health security (Inputs)</v>
      </c>
      <c r="D103" s="1">
        <f>INDEX(tblIndicators!$F$2:$F$69,B103)</f>
        <v>2</v>
      </c>
      <c r="H103" s="301"/>
      <c r="I103" s="301"/>
      <c r="J103" s="301"/>
      <c r="K103" s="301"/>
      <c r="L103" s="301"/>
      <c r="M103" s="301"/>
      <c r="N103" s="301"/>
      <c r="O103" s="301"/>
    </row>
    <row r="104" spans="1:15">
      <c r="A104" s="303" t="s">
        <v>184</v>
      </c>
      <c r="B104" s="1">
        <f>IF(A104="","",MATCH(A104,tblIndicators!D$2:D$69,0))</f>
        <v>15</v>
      </c>
      <c r="C104" s="1" t="str">
        <f>REPT(" ",D104)&amp;IF($A104="","",INDEX(tblIndicators!AE$2:AE$69,$B104))</f>
        <v>   2.1.1) Environmental policies</v>
      </c>
      <c r="D104" s="1">
        <f>INDEX(tblIndicators!$F$2:$F$69,B104)</f>
        <v>3</v>
      </c>
      <c r="H104" s="301"/>
      <c r="I104" s="301"/>
      <c r="J104" s="301"/>
      <c r="K104" s="301"/>
      <c r="L104" s="301"/>
      <c r="M104" s="301"/>
      <c r="N104" s="301"/>
      <c r="O104" s="301"/>
    </row>
    <row r="105" spans="1:15">
      <c r="A105" s="303" t="s">
        <v>185</v>
      </c>
      <c r="B105" s="1">
        <f>IF(A105="","",MATCH(A105,tblIndicators!D$2:D$69,0))</f>
        <v>16</v>
      </c>
      <c r="C105" s="1" t="str">
        <f>REPT(" ",D105)&amp;IF($A105="","",INDEX(tblIndicators!AE$2:AE$69,$B105))</f>
        <v>   2.1.2) Access to healthcare</v>
      </c>
      <c r="D105" s="1">
        <f>INDEX(tblIndicators!$F$2:$F$69,B105)</f>
        <v>3</v>
      </c>
      <c r="H105" s="301"/>
      <c r="I105" s="301"/>
      <c r="J105" s="301"/>
      <c r="K105" s="301"/>
      <c r="L105" s="301"/>
      <c r="M105" s="301"/>
      <c r="N105" s="301"/>
      <c r="O105" s="301"/>
    </row>
    <row r="106" spans="1:15">
      <c r="A106" s="303" t="s">
        <v>186</v>
      </c>
      <c r="B106" s="1">
        <f>IF(A106="","",MATCH(A106,tblIndicators!D$2:D$69,0))</f>
        <v>17</v>
      </c>
      <c r="C106" s="1" t="str">
        <f>REPT(" ",D106)&amp;IF($A106="","",INDEX(tblIndicators!AE$2:AE$69,$B106))</f>
        <v>   2.1.3) No. of beds per 1,000</v>
      </c>
      <c r="D106" s="1">
        <f>INDEX(tblIndicators!$F$2:$F$69,B106)</f>
        <v>3</v>
      </c>
      <c r="H106" s="301"/>
      <c r="I106" s="301"/>
      <c r="J106" s="301"/>
      <c r="K106" s="301"/>
      <c r="L106" s="301"/>
      <c r="M106" s="301"/>
      <c r="N106" s="301"/>
      <c r="O106" s="301"/>
    </row>
    <row r="107" spans="1:15">
      <c r="A107" s="303" t="s">
        <v>187</v>
      </c>
      <c r="B107" s="1">
        <f>IF(A107="","",MATCH(A107,tblIndicators!D$2:D$69,0))</f>
        <v>18</v>
      </c>
      <c r="C107" s="1" t="str">
        <f>REPT(" ",D107)&amp;IF($A107="","",INDEX(tblIndicators!AE$2:AE$69,$B107))</f>
        <v>   2.1.4) No. of doctors per 1,000</v>
      </c>
      <c r="D107" s="1">
        <f>INDEX(tblIndicators!$F$2:$F$69,B107)</f>
        <v>3</v>
      </c>
      <c r="H107" s="301"/>
      <c r="I107" s="301"/>
      <c r="J107" s="301"/>
      <c r="K107" s="301"/>
      <c r="L107" s="301"/>
      <c r="M107" s="301"/>
      <c r="N107" s="301"/>
      <c r="O107" s="301"/>
    </row>
    <row r="108" spans="1:15">
      <c r="A108" s="303" t="s">
        <v>188</v>
      </c>
      <c r="B108" s="1">
        <f>IF(A108="","",MATCH(A108,tblIndicators!D$2:D$69,0))</f>
        <v>19</v>
      </c>
      <c r="C108" s="1" t="str">
        <f>REPT(" ",D108)&amp;IF($A108="","",INDEX(tblIndicators!AE$2:AE$69,$B108))</f>
        <v>   2.1.5) Access to safe and quality food</v>
      </c>
      <c r="D108" s="1">
        <f>INDEX(tblIndicators!$F$2:$F$69,B108)</f>
        <v>3</v>
      </c>
      <c r="H108" s="301"/>
      <c r="I108" s="301"/>
      <c r="J108" s="301"/>
      <c r="K108" s="301"/>
      <c r="L108" s="301"/>
      <c r="M108" s="301"/>
      <c r="N108" s="301"/>
      <c r="O108" s="301"/>
    </row>
    <row r="109" spans="1:15">
      <c r="A109" s="303" t="s">
        <v>189</v>
      </c>
      <c r="B109" s="1">
        <f>IF(A109="","",MATCH(A109,tblIndicators!D$2:D$69,0))</f>
        <v>20</v>
      </c>
      <c r="C109" s="1" t="str">
        <f>REPT(" ",D109)&amp;IF($A109="","",INDEX(tblIndicators!AE$2:AE$69,$B109))</f>
        <v>   2.1.6) Quality of health services</v>
      </c>
      <c r="D109" s="1">
        <f>INDEX(tblIndicators!$F$2:$F$69,B109)</f>
        <v>3</v>
      </c>
      <c r="H109" s="301"/>
      <c r="I109" s="301"/>
      <c r="J109" s="301"/>
      <c r="K109" s="301"/>
      <c r="L109" s="301"/>
      <c r="M109" s="301"/>
      <c r="N109" s="301"/>
      <c r="O109" s="301"/>
    </row>
    <row r="110" spans="1:15">
      <c r="A110" s="303" t="s">
        <v>174</v>
      </c>
      <c r="B110" s="1">
        <f>IF(A110="","",MATCH(A110,tblIndicators!D$2:D$69,0))</f>
        <v>21</v>
      </c>
      <c r="C110" s="1" t="str">
        <f>REPT(" ",D110)&amp;IF($A110="","",INDEX(tblIndicators!AE$2:AE$69,$B110))</f>
        <v>  2.2) Health security (Outputs)</v>
      </c>
      <c r="D110" s="1">
        <f>INDEX(tblIndicators!$F$2:$F$69,B110)</f>
        <v>2</v>
      </c>
      <c r="H110" s="301"/>
      <c r="I110" s="301"/>
      <c r="J110" s="301"/>
      <c r="K110" s="301"/>
      <c r="L110" s="301"/>
      <c r="M110" s="301"/>
      <c r="N110" s="301"/>
      <c r="O110" s="301"/>
    </row>
    <row r="111" spans="1:15">
      <c r="A111" s="303" t="s">
        <v>190</v>
      </c>
      <c r="B111" s="1">
        <f>IF(A111="","",MATCH(A111,tblIndicators!D$2:D$69,0))</f>
        <v>22</v>
      </c>
      <c r="C111" s="1" t="str">
        <f>REPT(" ",D111)&amp;IF($A111="","",INDEX(tblIndicators!AE$2:AE$69,$B111))</f>
        <v>   2.2.1) Air quality (PM 2.5 levels)</v>
      </c>
      <c r="D111" s="1">
        <f>INDEX(tblIndicators!$F$2:$F$69,B111)</f>
        <v>3</v>
      </c>
      <c r="H111" s="301"/>
      <c r="I111" s="301"/>
      <c r="J111" s="301"/>
      <c r="K111" s="301"/>
      <c r="L111" s="301"/>
      <c r="M111" s="301"/>
      <c r="N111" s="301"/>
      <c r="O111" s="301"/>
    </row>
    <row r="112" spans="1:15">
      <c r="A112" s="303" t="s">
        <v>191</v>
      </c>
      <c r="B112" s="1">
        <f>IF(A112="","",MATCH(A112,tblIndicators!D$2:D$69,0))</f>
        <v>23</v>
      </c>
      <c r="C112" s="1" t="str">
        <f>REPT(" ",D112)&amp;IF($A112="","",INDEX(tblIndicators!AE$2:AE$69,$B112))</f>
        <v>   2.2.2) Water quality</v>
      </c>
      <c r="D112" s="1">
        <f>INDEX(tblIndicators!$F$2:$F$69,B112)</f>
        <v>3</v>
      </c>
      <c r="H112" s="301"/>
      <c r="I112" s="301"/>
      <c r="J112" s="301"/>
      <c r="K112" s="301"/>
      <c r="L112" s="301"/>
      <c r="M112" s="301"/>
      <c r="N112" s="301"/>
      <c r="O112" s="301"/>
    </row>
    <row r="113" spans="1:15">
      <c r="A113" s="303" t="s">
        <v>192</v>
      </c>
      <c r="B113" s="1">
        <f>IF(A113="","",MATCH(A113,tblIndicators!D$2:D$69,0))</f>
        <v>24</v>
      </c>
      <c r="C113" s="1" t="str">
        <f>REPT(" ",D113)&amp;IF($A113="","",INDEX(tblIndicators!AE$2:AE$69,$B113))</f>
        <v>   2.2.3) Life expectancy years</v>
      </c>
      <c r="D113" s="1">
        <f>INDEX(tblIndicators!$F$2:$F$69,B113)</f>
        <v>3</v>
      </c>
      <c r="H113" s="301"/>
      <c r="I113" s="301"/>
      <c r="J113" s="301"/>
      <c r="K113" s="301"/>
      <c r="L113" s="301"/>
      <c r="M113" s="301"/>
      <c r="N113" s="301"/>
      <c r="O113" s="301"/>
    </row>
    <row r="114" spans="1:15">
      <c r="A114" s="303" t="s">
        <v>193</v>
      </c>
      <c r="B114" s="1">
        <f>IF(A114="","",MATCH(A114,tblIndicators!D$2:D$69,0))</f>
        <v>25</v>
      </c>
      <c r="C114" s="1" t="str">
        <f>REPT(" ",D114)&amp;IF($A114="","",INDEX(tblIndicators!AE$2:AE$69,$B114))</f>
        <v>   2.2.4) Infant mortality</v>
      </c>
      <c r="D114" s="1">
        <f>INDEX(tblIndicators!$F$2:$F$69,B114)</f>
        <v>3</v>
      </c>
      <c r="H114" s="301"/>
      <c r="I114" s="301"/>
      <c r="J114" s="301"/>
      <c r="K114" s="301"/>
      <c r="L114" s="301"/>
      <c r="M114" s="301"/>
      <c r="N114" s="301"/>
      <c r="O114" s="301"/>
    </row>
    <row r="115" spans="1:15">
      <c r="A115" s="303" t="s">
        <v>194</v>
      </c>
      <c r="B115" s="1">
        <f>IF(A115="","",MATCH(A115,tblIndicators!D$2:D$69,0))</f>
        <v>26</v>
      </c>
      <c r="C115" s="1" t="str">
        <f>REPT(" ",D115)&amp;IF($A115="","",INDEX(tblIndicators!AE$2:AE$69,$B115))</f>
        <v>   2.2.5) Cancer mortality rate</v>
      </c>
      <c r="D115" s="1">
        <f>INDEX(tblIndicators!$F$2:$F$69,B115)</f>
        <v>3</v>
      </c>
      <c r="H115" s="301"/>
      <c r="I115" s="301"/>
      <c r="J115" s="301"/>
      <c r="K115" s="301"/>
      <c r="L115" s="301"/>
      <c r="M115" s="301"/>
      <c r="N115" s="301"/>
      <c r="O115" s="301"/>
    </row>
    <row r="116" spans="1:15">
      <c r="A116" s="303" t="s">
        <v>195</v>
      </c>
      <c r="B116" s="1">
        <f>IF(A116="","",MATCH(A116,tblIndicators!D$2:D$69,0))</f>
        <v>27</v>
      </c>
      <c r="C116" s="1" t="str">
        <f>REPT(" ",D116)&amp;IF($A116="","",INDEX(tblIndicators!AE$2:AE$69,$B116))</f>
        <v>   2.2.6) Number of attacks using biological, chemical and/or radiological weapons</v>
      </c>
      <c r="D116" s="1">
        <f>INDEX(tblIndicators!$F$2:$F$69,B116)</f>
        <v>3</v>
      </c>
      <c r="H116" s="301"/>
      <c r="I116" s="301"/>
      <c r="J116" s="301"/>
      <c r="K116" s="301"/>
      <c r="L116" s="301"/>
      <c r="M116" s="301"/>
      <c r="N116" s="301"/>
      <c r="O116" s="301"/>
    </row>
    <row r="117" spans="1:15">
      <c r="A117" s="303" t="s">
        <v>177</v>
      </c>
      <c r="B117" s="1">
        <f>IF(A117="","",MATCH(A117,tblIndicators!D$2:D$69,0))</f>
        <v>29</v>
      </c>
      <c r="C117" s="1" t="str">
        <f>REPT(" ",D117)&amp;IF($A117="","",INDEX(tblIndicators!AE$2:AE$69,$B117))</f>
        <v>  3.1) Infrastructure security (Inputs)</v>
      </c>
      <c r="D117" s="1">
        <f>INDEX(tblIndicators!$F$2:$F$69,B117)</f>
        <v>2</v>
      </c>
      <c r="H117" s="301"/>
      <c r="I117" s="301"/>
      <c r="J117" s="301"/>
      <c r="K117" s="301"/>
      <c r="L117" s="301"/>
      <c r="M117" s="301"/>
      <c r="N117" s="301"/>
      <c r="O117" s="301"/>
    </row>
    <row r="118" spans="1:15">
      <c r="A118" s="303" t="s">
        <v>197</v>
      </c>
      <c r="B118" s="1">
        <f>IF(A118="","",MATCH(A118,tblIndicators!D$2:D$69,0))</f>
        <v>30</v>
      </c>
      <c r="C118" s="1" t="str">
        <f>REPT(" ",D118)&amp;IF($A118="","",INDEX(tblIndicators!AE$2:AE$69,$B118))</f>
        <v>   3.1.1) Enforcement of transport safety</v>
      </c>
      <c r="D118" s="1">
        <f>INDEX(tblIndicators!$F$2:$F$69,B118)</f>
        <v>3</v>
      </c>
      <c r="H118" s="301"/>
      <c r="I118" s="301"/>
      <c r="J118" s="301"/>
      <c r="K118" s="301"/>
      <c r="L118" s="301"/>
      <c r="M118" s="301"/>
      <c r="N118" s="301"/>
      <c r="O118" s="301"/>
    </row>
    <row r="119" spans="1:15">
      <c r="A119" s="303" t="s">
        <v>198</v>
      </c>
      <c r="B119" s="1">
        <f>IF(A119="","",MATCH(A119,tblIndicators!D$2:D$69,0))</f>
        <v>31</v>
      </c>
      <c r="C119" s="1" t="str">
        <f>REPT(" ",D119)&amp;IF($A119="","",INDEX(tblIndicators!AE$2:AE$69,$B119))</f>
        <v>   3.1.2) Pedestrian friendliness</v>
      </c>
      <c r="D119" s="1">
        <f>INDEX(tblIndicators!$F$2:$F$69,B119)</f>
        <v>3</v>
      </c>
      <c r="H119" s="301"/>
      <c r="I119" s="301"/>
      <c r="J119" s="301"/>
      <c r="K119" s="301"/>
      <c r="L119" s="301"/>
      <c r="M119" s="301"/>
      <c r="N119" s="301"/>
      <c r="O119" s="301"/>
    </row>
    <row r="120" spans="1:15">
      <c r="A120" s="303" t="s">
        <v>199</v>
      </c>
      <c r="B120" s="1">
        <f>IF(A120="","",MATCH(A120,tblIndicators!D$2:D$69,0))</f>
        <v>32</v>
      </c>
      <c r="C120" s="1" t="str">
        <f>REPT(" ",D120)&amp;IF($A120="","",INDEX(tblIndicators!AE$2:AE$69,$B120))</f>
        <v>   3.1.3) Quality of road infrastructure</v>
      </c>
      <c r="D120" s="1">
        <f>INDEX(tblIndicators!$F$2:$F$69,B120)</f>
        <v>3</v>
      </c>
      <c r="H120" s="301"/>
      <c r="I120" s="301"/>
      <c r="J120" s="301"/>
      <c r="K120" s="301"/>
      <c r="L120" s="301"/>
      <c r="M120" s="301"/>
      <c r="N120" s="301"/>
      <c r="O120" s="301"/>
    </row>
    <row r="121" spans="1:15">
      <c r="A121" s="303" t="s">
        <v>200</v>
      </c>
      <c r="B121" s="1">
        <f>IF(A121="","",MATCH(A121,tblIndicators!D$2:D$69,0))</f>
        <v>33</v>
      </c>
      <c r="C121" s="1" t="str">
        <f>REPT(" ",D121)&amp;IF($A121="","",INDEX(tblIndicators!AE$2:AE$69,$B121))</f>
        <v>   3.1.4) Quality of electricity infrastructure</v>
      </c>
      <c r="D121" s="1">
        <f>INDEX(tblIndicators!$F$2:$F$69,B121)</f>
        <v>3</v>
      </c>
      <c r="H121" s="301"/>
      <c r="I121" s="301"/>
      <c r="J121" s="301"/>
      <c r="K121" s="301"/>
      <c r="L121" s="301"/>
      <c r="M121" s="301"/>
      <c r="N121" s="301"/>
      <c r="O121" s="301"/>
    </row>
    <row r="122" spans="1:15">
      <c r="A122" s="303" t="s">
        <v>201</v>
      </c>
      <c r="B122" s="1">
        <f>IF(A122="","",MATCH(A122,tblIndicators!D$2:D$69,0))</f>
        <v>34</v>
      </c>
      <c r="C122" s="1" t="str">
        <f>REPT(" ",D122)&amp;IF($A122="","",INDEX(tblIndicators!AE$2:AE$69,$B122))</f>
        <v>   3.1.5) Disaster management/business continuity plan</v>
      </c>
      <c r="D122" s="1">
        <f>INDEX(tblIndicators!$F$2:$F$69,B122)</f>
        <v>3</v>
      </c>
      <c r="H122" s="301"/>
      <c r="I122" s="301"/>
      <c r="J122" s="301"/>
      <c r="K122" s="301"/>
      <c r="L122" s="301"/>
      <c r="M122" s="301"/>
      <c r="N122" s="301"/>
      <c r="O122" s="301"/>
    </row>
    <row r="123" spans="1:15">
      <c r="A123" s="303" t="s">
        <v>179</v>
      </c>
      <c r="B123" s="1">
        <f>IF(A123="","",MATCH(A123,tblIndicators!D$2:D$69,0))</f>
        <v>35</v>
      </c>
      <c r="C123" s="1" t="str">
        <f>REPT(" ",D123)&amp;IF($A123="","",INDEX(tblIndicators!AE$2:AE$69,$B123))</f>
        <v>  3.2) Infrastructure security (Outputs)</v>
      </c>
      <c r="D123" s="1">
        <f>INDEX(tblIndicators!$F$2:$F$69,B123)</f>
        <v>2</v>
      </c>
      <c r="H123" s="301"/>
      <c r="I123" s="301"/>
      <c r="J123" s="301"/>
      <c r="K123" s="301"/>
      <c r="L123" s="301"/>
      <c r="M123" s="301"/>
      <c r="N123" s="301"/>
      <c r="O123" s="301"/>
    </row>
    <row r="124" spans="1:15">
      <c r="A124" s="303" t="s">
        <v>202</v>
      </c>
      <c r="B124" s="1">
        <f>IF(A124="","",MATCH(A124,tblIndicators!D$2:D$69,0))</f>
        <v>36</v>
      </c>
      <c r="C124" s="1" t="str">
        <f>REPT(" ",D124)&amp;IF($A124="","",INDEX(tblIndicators!AE$2:AE$69,$B124))</f>
        <v>   3.2.1) Deaths from natural disaster</v>
      </c>
      <c r="D124" s="1">
        <f>INDEX(tblIndicators!$F$2:$F$69,B124)</f>
        <v>3</v>
      </c>
      <c r="H124" s="301"/>
      <c r="I124" s="301"/>
      <c r="J124" s="301"/>
      <c r="K124" s="301"/>
      <c r="L124" s="301"/>
      <c r="M124" s="301"/>
      <c r="N124" s="301"/>
      <c r="O124" s="301"/>
    </row>
    <row r="125" spans="1:15">
      <c r="A125" s="303" t="s">
        <v>203</v>
      </c>
      <c r="B125" s="1">
        <f>IF(A125="","",MATCH(A125,tblIndicators!D$2:D$69,0))</f>
        <v>37</v>
      </c>
      <c r="C125" s="1" t="str">
        <f>REPT(" ",D125)&amp;IF($A125="","",INDEX(tblIndicators!AE$2:AE$69,$B125))</f>
        <v>   3.2.2) Frequency of vehicular accidents</v>
      </c>
      <c r="D125" s="1">
        <f>INDEX(tblIndicators!$F$2:$F$69,B125)</f>
        <v>3</v>
      </c>
      <c r="H125" s="301"/>
      <c r="I125" s="301"/>
      <c r="J125" s="301"/>
      <c r="K125" s="301"/>
      <c r="L125" s="301"/>
      <c r="M125" s="301"/>
      <c r="N125" s="301"/>
      <c r="O125" s="301"/>
    </row>
    <row r="126" spans="1:15">
      <c r="A126" s="303" t="s">
        <v>204</v>
      </c>
      <c r="B126" s="1">
        <f>IF(A126="","",MATCH(A126,tblIndicators!D$2:D$69,0))</f>
        <v>38</v>
      </c>
      <c r="C126" s="1" t="str">
        <f>REPT(" ",D126)&amp;IF($A126="","",INDEX(tblIndicators!AE$2:AE$69,$B126))</f>
        <v>   3.2.3) Frequency of pedestrian deaths</v>
      </c>
      <c r="D126" s="1">
        <f>INDEX(tblIndicators!$F$2:$F$69,B126)</f>
        <v>3</v>
      </c>
      <c r="H126" s="301"/>
      <c r="I126" s="301"/>
      <c r="J126" s="301"/>
      <c r="K126" s="301"/>
      <c r="L126" s="301"/>
      <c r="M126" s="301"/>
      <c r="N126" s="301"/>
      <c r="O126" s="301"/>
    </row>
    <row r="127" spans="1:15">
      <c r="A127" s="303" t="s">
        <v>207</v>
      </c>
      <c r="B127" s="1">
        <f>IF(A127="","",MATCH(A127,tblIndicators!D$2:D$69,0))</f>
        <v>39</v>
      </c>
      <c r="C127" s="1" t="str">
        <f>REPT(" ",D127)&amp;IF($A127="","",INDEX(tblIndicators!AE$2:AE$69,$B127))</f>
        <v>   3.2.4) Percentage living in slums</v>
      </c>
      <c r="D127" s="1">
        <f>INDEX(tblIndicators!$F$2:$F$69,B127)</f>
        <v>3</v>
      </c>
      <c r="H127" s="301"/>
      <c r="I127" s="301"/>
      <c r="J127" s="301"/>
      <c r="K127" s="301"/>
      <c r="L127" s="301"/>
      <c r="M127" s="301"/>
      <c r="N127" s="301"/>
      <c r="O127" s="301"/>
    </row>
    <row r="128" spans="1:15">
      <c r="A128" s="303" t="s">
        <v>205</v>
      </c>
      <c r="B128" s="1">
        <f>IF(A128="","",MATCH(A128,tblIndicators!D$2:D$69,0))</f>
        <v>40</v>
      </c>
      <c r="C128" s="1" t="str">
        <f>REPT(" ",D128)&amp;IF($A128="","",INDEX(tblIndicators!AE$2:AE$69,$B128))</f>
        <v>   3.2.5) Number of attacks on facilities/infrastructure</v>
      </c>
      <c r="D128" s="1">
        <f>INDEX(tblIndicators!$F$2:$F$69,B128)</f>
        <v>3</v>
      </c>
      <c r="H128" s="301"/>
      <c r="I128" s="301"/>
      <c r="J128" s="301"/>
      <c r="K128" s="301"/>
      <c r="L128" s="301"/>
      <c r="M128" s="301"/>
      <c r="N128" s="301"/>
      <c r="O128" s="301"/>
    </row>
    <row r="129" spans="1:15">
      <c r="A129" s="303" t="s">
        <v>182</v>
      </c>
      <c r="B129" s="1">
        <f>IF(A129="","",MATCH(A129,tblIndicators!D$2:D$69,0))</f>
        <v>42</v>
      </c>
      <c r="C129" s="1" t="str">
        <f>REPT(" ",D129)&amp;IF($A129="","",INDEX(tblIndicators!AE$2:AE$69,$B129))</f>
        <v>  4.1) Personal security (Inputs)</v>
      </c>
      <c r="D129" s="1">
        <f>INDEX(tblIndicators!$F$2:$F$69,B129)</f>
        <v>2</v>
      </c>
      <c r="H129" s="301"/>
      <c r="I129" s="301"/>
      <c r="J129" s="301"/>
      <c r="K129" s="301"/>
      <c r="L129" s="301"/>
      <c r="M129" s="301"/>
      <c r="N129" s="301"/>
      <c r="O129" s="301"/>
    </row>
    <row r="130" spans="1:15">
      <c r="A130" s="303" t="s">
        <v>208</v>
      </c>
      <c r="B130" s="1">
        <f>IF(A130="","",MATCH(A130,tblIndicators!D$2:D$69,0))</f>
        <v>43</v>
      </c>
      <c r="C130" s="1" t="str">
        <f>REPT(" ",D130)&amp;IF($A130="","",INDEX(tblIndicators!AE$2:AE$69,$B130))</f>
        <v>   4.1.1) Level of police engagement</v>
      </c>
      <c r="D130" s="1">
        <f>INDEX(tblIndicators!$F$2:$F$69,B130)</f>
        <v>3</v>
      </c>
      <c r="H130" s="301"/>
      <c r="I130" s="301"/>
      <c r="J130" s="301"/>
      <c r="K130" s="301"/>
      <c r="L130" s="301"/>
      <c r="M130" s="301"/>
      <c r="N130" s="301"/>
      <c r="O130" s="301"/>
    </row>
    <row r="131" spans="1:15">
      <c r="A131" s="303" t="s">
        <v>209</v>
      </c>
      <c r="B131" s="1">
        <f>IF(A131="","",MATCH(A131,tblIndicators!D$2:D$69,0))</f>
        <v>44</v>
      </c>
      <c r="C131" s="1" t="str">
        <f>REPT(" ",D131)&amp;IF($A131="","",INDEX(tblIndicators!AE$2:AE$69,$B131))</f>
        <v>   4.1.2) Community-based patrolling</v>
      </c>
      <c r="D131" s="1">
        <f>INDEX(tblIndicators!$F$2:$F$69,B131)</f>
        <v>3</v>
      </c>
      <c r="H131" s="301"/>
      <c r="I131" s="301"/>
      <c r="J131" s="301"/>
      <c r="K131" s="301"/>
      <c r="L131" s="301"/>
      <c r="M131" s="301"/>
      <c r="N131" s="301"/>
      <c r="O131" s="301"/>
    </row>
    <row r="132" spans="1:15">
      <c r="A132" s="303" t="s">
        <v>210</v>
      </c>
      <c r="B132" s="1">
        <f>IF(A132="","",MATCH(A132,tblIndicators!D$2:D$69,0))</f>
        <v>45</v>
      </c>
      <c r="C132" s="1" t="str">
        <f>REPT(" ",D132)&amp;IF($A132="","",INDEX(tblIndicators!AE$2:AE$69,$B132))</f>
        <v>   4.1.3) Available street-level crime data</v>
      </c>
      <c r="D132" s="1">
        <f>INDEX(tblIndicators!$F$2:$F$69,B132)</f>
        <v>3</v>
      </c>
      <c r="H132" s="301"/>
      <c r="I132" s="301"/>
      <c r="J132" s="301"/>
      <c r="K132" s="301"/>
      <c r="L132" s="301"/>
      <c r="M132" s="301"/>
      <c r="N132" s="301"/>
      <c r="O132" s="301"/>
    </row>
    <row r="133" spans="1:15">
      <c r="A133" s="303" t="s">
        <v>211</v>
      </c>
      <c r="B133" s="1">
        <f>IF(A133="","",MATCH(A133,tblIndicators!D$2:D$69,0))</f>
        <v>46</v>
      </c>
      <c r="C133" s="1" t="str">
        <f>REPT(" ",D133)&amp;IF($A133="","",INDEX(tblIndicators!AE$2:AE$69,$B133))</f>
        <v>   4.1.4) Use of data-driven techniques for crime</v>
      </c>
      <c r="D133" s="1">
        <f>INDEX(tblIndicators!$F$2:$F$69,B133)</f>
        <v>3</v>
      </c>
      <c r="H133" s="301"/>
      <c r="I133" s="301"/>
      <c r="J133" s="301"/>
      <c r="K133" s="301"/>
      <c r="L133" s="301"/>
      <c r="M133" s="301"/>
      <c r="N133" s="301"/>
      <c r="O133" s="301"/>
    </row>
    <row r="134" spans="1:15">
      <c r="A134" s="303" t="s">
        <v>212</v>
      </c>
      <c r="B134" s="1">
        <f>IF(A134="","",MATCH(A134,tblIndicators!D$2:D$69,0))</f>
        <v>47</v>
      </c>
      <c r="C134" s="1" t="str">
        <f>REPT(" ",D134)&amp;IF($A134="","",INDEX(tblIndicators!AE$2:AE$69,$B134))</f>
        <v>   4.1.5) Private security measures</v>
      </c>
      <c r="D134" s="1">
        <f>INDEX(tblIndicators!$F$2:$F$69,B134)</f>
        <v>3</v>
      </c>
      <c r="H134" s="301"/>
      <c r="I134" s="301"/>
      <c r="J134" s="301"/>
      <c r="K134" s="301"/>
      <c r="L134" s="301"/>
      <c r="M134" s="301"/>
      <c r="N134" s="301"/>
      <c r="O134" s="301"/>
    </row>
    <row r="135" spans="1:15">
      <c r="A135" s="303" t="s">
        <v>213</v>
      </c>
      <c r="B135" s="1">
        <f>IF(A135="","",MATCH(A135,tblIndicators!D$2:D$69,0))</f>
        <v>48</v>
      </c>
      <c r="C135" s="1" t="str">
        <f>REPT(" ",D135)&amp;IF($A135="","",INDEX(tblIndicators!AE$2:AE$69,$B135))</f>
        <v>   4.1.6) Gun regulation and enforcement</v>
      </c>
      <c r="D135" s="1">
        <f>INDEX(tblIndicators!$F$2:$F$69,B135)</f>
        <v>3</v>
      </c>
      <c r="H135" s="301"/>
      <c r="I135" s="301"/>
      <c r="J135" s="301"/>
      <c r="K135" s="301"/>
      <c r="L135" s="301"/>
      <c r="M135" s="301"/>
      <c r="N135" s="301"/>
      <c r="O135" s="301"/>
    </row>
    <row r="136" spans="1:15">
      <c r="A136" s="303" t="s">
        <v>214</v>
      </c>
      <c r="B136" s="1">
        <f>IF(A136="","",MATCH(A136,tblIndicators!D$2:D$69,0))</f>
        <v>49</v>
      </c>
      <c r="C136" s="1" t="str">
        <f>REPT(" ",D136)&amp;IF($A136="","",INDEX(tblIndicators!AE$2:AE$69,$B136))</f>
        <v>   4.1.7) Political stability risk</v>
      </c>
      <c r="D136" s="1">
        <f>INDEX(tblIndicators!$F$2:$F$69,B136)</f>
        <v>3</v>
      </c>
      <c r="H136" s="301"/>
      <c r="I136" s="301"/>
      <c r="J136" s="301"/>
      <c r="K136" s="301"/>
      <c r="L136" s="301"/>
      <c r="M136" s="301"/>
      <c r="N136" s="301"/>
      <c r="O136" s="301"/>
    </row>
    <row r="137" spans="1:15">
      <c r="A137" s="303" t="s">
        <v>183</v>
      </c>
      <c r="B137" s="1">
        <f>IF(A137="","",MATCH(A137,tblIndicators!D$2:D$69,0))</f>
        <v>50</v>
      </c>
      <c r="C137" s="1" t="str">
        <f>REPT(" ",D137)&amp;IF($A137="","",INDEX(tblIndicators!AE$2:AE$69,$B137))</f>
        <v>  4.2) Personal security (Outputs)</v>
      </c>
      <c r="D137" s="1">
        <f>INDEX(tblIndicators!$F$2:$F$69,B137)</f>
        <v>2</v>
      </c>
      <c r="H137" s="301"/>
      <c r="I137" s="301"/>
      <c r="J137" s="301"/>
      <c r="K137" s="301"/>
      <c r="L137" s="301"/>
      <c r="M137" s="301"/>
      <c r="N137" s="301"/>
      <c r="O137" s="301"/>
    </row>
    <row r="138" spans="1:15">
      <c r="A138" s="303" t="s">
        <v>226</v>
      </c>
      <c r="B138" s="1">
        <f>IF(A138="","",MATCH(A138,tblIndicators!D$2:D$69,0))</f>
        <v>51</v>
      </c>
      <c r="C138" s="1" t="str">
        <f>REPT(" ",D138)&amp;IF($A138="","",INDEX(tblIndicators!AE$2:AE$69,$B138))</f>
        <v>   4.2.1) Prevalence of petty crime</v>
      </c>
      <c r="D138" s="1">
        <f>INDEX(tblIndicators!$F$2:$F$69,B138)</f>
        <v>3</v>
      </c>
      <c r="H138" s="301"/>
      <c r="I138" s="301"/>
      <c r="J138" s="301"/>
      <c r="K138" s="301"/>
      <c r="L138" s="301"/>
      <c r="M138" s="301"/>
      <c r="N138" s="301"/>
      <c r="O138" s="301"/>
    </row>
    <row r="139" spans="1:15">
      <c r="A139" s="303" t="s">
        <v>216</v>
      </c>
      <c r="B139" s="1">
        <f>IF(A139="","",MATCH(A139,tblIndicators!D$2:D$69,0))</f>
        <v>52</v>
      </c>
      <c r="C139" s="1" t="str">
        <f>REPT(" ",D139)&amp;IF($A139="","",INDEX(tblIndicators!AE$2:AE$69,$B139))</f>
        <v>   4.2.2) Prevalence of violent crime</v>
      </c>
      <c r="D139" s="1">
        <f>INDEX(tblIndicators!$F$2:$F$69,B139)</f>
        <v>3</v>
      </c>
      <c r="H139" s="301"/>
      <c r="I139" s="301"/>
      <c r="J139" s="301"/>
      <c r="K139" s="301"/>
      <c r="L139" s="301"/>
      <c r="M139" s="301"/>
      <c r="N139" s="301"/>
      <c r="O139" s="301"/>
    </row>
    <row r="140" spans="1:15">
      <c r="A140" s="303" t="s">
        <v>220</v>
      </c>
      <c r="B140" s="1">
        <f>IF(A140="","",MATCH(A140,tblIndicators!D$2:D$69,0))</f>
        <v>53</v>
      </c>
      <c r="C140" s="1" t="str">
        <f>REPT(" ",D140)&amp;IF($A140="","",INDEX(tblIndicators!AE$2:AE$69,$B140))</f>
        <v>   4.2.3) Organised crime</v>
      </c>
      <c r="D140" s="1">
        <f>INDEX(tblIndicators!$F$2:$F$69,B140)</f>
        <v>3</v>
      </c>
      <c r="H140" s="301"/>
      <c r="I140" s="301"/>
      <c r="J140" s="301"/>
      <c r="K140" s="301"/>
      <c r="L140" s="301"/>
      <c r="M140" s="301"/>
      <c r="N140" s="301"/>
      <c r="O140" s="301"/>
    </row>
    <row r="141" spans="1:15">
      <c r="A141" s="303" t="s">
        <v>217</v>
      </c>
      <c r="B141" s="1">
        <f>IF(A141="","",MATCH(A141,tblIndicators!D$2:D$69,0))</f>
        <v>54</v>
      </c>
      <c r="C141" s="1" t="str">
        <f>REPT(" ",D141)&amp;IF($A141="","",INDEX(tblIndicators!AE$2:AE$69,$B141))</f>
        <v>   4.2.4) Level of corruption</v>
      </c>
      <c r="D141" s="1">
        <f>INDEX(tblIndicators!$F$2:$F$69,B141)</f>
        <v>3</v>
      </c>
      <c r="H141" s="301"/>
      <c r="I141" s="301"/>
      <c r="J141" s="301"/>
      <c r="K141" s="301"/>
      <c r="L141" s="301"/>
      <c r="M141" s="301"/>
      <c r="N141" s="301"/>
      <c r="O141" s="301"/>
    </row>
    <row r="142" spans="1:15">
      <c r="A142" s="303" t="s">
        <v>218</v>
      </c>
      <c r="B142" s="1">
        <f>IF(A142="","",MATCH(A142,tblIndicators!D$2:D$69,0))</f>
        <v>55</v>
      </c>
      <c r="C142" s="1" t="str">
        <f>REPT(" ",D142)&amp;IF($A142="","",INDEX(tblIndicators!AE$2:AE$69,$B142))</f>
        <v>   4.2.5) Rate of drug use </v>
      </c>
      <c r="D142" s="1">
        <f>INDEX(tblIndicators!$F$2:$F$69,B142)</f>
        <v>3</v>
      </c>
      <c r="H142" s="301"/>
      <c r="I142" s="301"/>
      <c r="J142" s="301"/>
      <c r="K142" s="301"/>
      <c r="L142" s="301"/>
      <c r="M142" s="301"/>
      <c r="N142" s="301"/>
      <c r="O142" s="301"/>
    </row>
    <row r="143" spans="1:15">
      <c r="A143" s="303" t="s">
        <v>219</v>
      </c>
      <c r="B143" s="1">
        <f>IF(A143="","",MATCH(A143,tblIndicators!D$2:D$69,0))</f>
        <v>56</v>
      </c>
      <c r="C143" s="1" t="str">
        <f>REPT(" ",D143)&amp;IF($A143="","",INDEX(tblIndicators!AE$2:AE$69,$B143))</f>
        <v>   4.2.6) Frequency of terrorist attacks </v>
      </c>
      <c r="D143" s="1">
        <f>INDEX(tblIndicators!$F$2:$F$69,B143)</f>
        <v>3</v>
      </c>
      <c r="H143" s="301"/>
      <c r="I143" s="301"/>
      <c r="J143" s="301"/>
      <c r="K143" s="301"/>
      <c r="L143" s="301"/>
      <c r="M143" s="301"/>
      <c r="N143" s="301"/>
      <c r="O143" s="301"/>
    </row>
    <row r="144" spans="1:15">
      <c r="A144" s="303" t="s">
        <v>221</v>
      </c>
      <c r="B144" s="1">
        <f>IF(A144="","",MATCH(A144,tblIndicators!D$2:D$69,0))</f>
        <v>57</v>
      </c>
      <c r="C144" s="1" t="str">
        <f>REPT(" ",D144)&amp;IF($A144="","",INDEX(tblIndicators!AE$2:AE$69,$B144))</f>
        <v>   4.2.7) Severity of terrorist attacks</v>
      </c>
      <c r="D144" s="1">
        <f>INDEX(tblIndicators!$F$2:$F$69,B144)</f>
        <v>3</v>
      </c>
      <c r="H144" s="301"/>
      <c r="I144" s="301"/>
      <c r="J144" s="301"/>
      <c r="K144" s="301"/>
      <c r="L144" s="301"/>
      <c r="M144" s="301"/>
      <c r="N144" s="301"/>
      <c r="O144" s="301"/>
    </row>
    <row r="145" spans="1:15">
      <c r="A145" s="303" t="s">
        <v>222</v>
      </c>
      <c r="B145" s="1">
        <f>IF(A145="","",MATCH(A145,tblIndicators!D$2:D$69,0))</f>
        <v>58</v>
      </c>
      <c r="C145" s="1" t="str">
        <f>REPT(" ",D145)&amp;IF($A145="","",INDEX(tblIndicators!AE$2:AE$69,$B145))</f>
        <v>   4.2.8) Gender safety</v>
      </c>
      <c r="D145" s="1">
        <f>INDEX(tblIndicators!$F$2:$F$69,B145)</f>
        <v>3</v>
      </c>
      <c r="H145" s="301"/>
      <c r="I145" s="301"/>
      <c r="J145" s="301"/>
      <c r="K145" s="301"/>
      <c r="L145" s="301"/>
      <c r="M145" s="301"/>
      <c r="N145" s="301"/>
      <c r="O145" s="301"/>
    </row>
    <row r="146" spans="1:15">
      <c r="A146" s="303" t="s">
        <v>223</v>
      </c>
      <c r="B146" s="1">
        <f>IF(A146="","",MATCH(A146,tblIndicators!D$2:D$69,0))</f>
        <v>59</v>
      </c>
      <c r="C146" s="1" t="str">
        <f>REPT(" ",D146)&amp;IF($A146="","",INDEX(tblIndicators!AE$2:AE$69,$B146))</f>
        <v>   4.2.9) Perceptions of safety</v>
      </c>
      <c r="D146" s="1">
        <f>INDEX(tblIndicators!$F$2:$F$69,B146)</f>
        <v>3</v>
      </c>
      <c r="H146" s="301"/>
      <c r="I146" s="301"/>
      <c r="J146" s="301"/>
      <c r="K146" s="301"/>
      <c r="L146" s="301"/>
      <c r="M146" s="301"/>
      <c r="N146" s="301"/>
      <c r="O146" s="301"/>
    </row>
    <row r="147" spans="1:15">
      <c r="A147" s="303" t="s">
        <v>224</v>
      </c>
      <c r="B147" s="1">
        <f>IF(A147="","",MATCH(A147,tblIndicators!D$2:D$69,0))</f>
        <v>60</v>
      </c>
      <c r="C147" s="1" t="str">
        <f>REPT(" ",D147)&amp;IF($A147="","",INDEX(tblIndicators!AE$2:AE$69,$B147))</f>
        <v>   4.2.10) Threat of terrorism</v>
      </c>
      <c r="D147" s="1">
        <f>INDEX(tblIndicators!$F$2:$F$69,B147)</f>
        <v>3</v>
      </c>
      <c r="H147" s="301"/>
      <c r="I147" s="301"/>
      <c r="J147" s="301"/>
      <c r="K147" s="301"/>
      <c r="L147" s="301"/>
      <c r="M147" s="301"/>
      <c r="N147" s="301"/>
      <c r="O147" s="301"/>
    </row>
    <row r="148" spans="1:15">
      <c r="A148" s="303" t="s">
        <v>225</v>
      </c>
      <c r="B148" s="1">
        <f>IF(A148="","",MATCH(A148,tblIndicators!D$2:D$69,0))</f>
        <v>61</v>
      </c>
      <c r="C148" s="1" t="str">
        <f>REPT(" ",D148)&amp;IF($A148="","",INDEX(tblIndicators!AE$2:AE$69,$B148))</f>
        <v>   4.2.11) Threat of military conflict</v>
      </c>
      <c r="D148" s="1">
        <f>INDEX(tblIndicators!$F$2:$F$69,B148)</f>
        <v>3</v>
      </c>
      <c r="H148" s="301"/>
      <c r="I148" s="301"/>
      <c r="J148" s="301"/>
      <c r="K148" s="301"/>
      <c r="L148" s="301"/>
      <c r="M148" s="301"/>
      <c r="N148" s="301"/>
      <c r="O148" s="301"/>
    </row>
    <row r="149" spans="1:15">
      <c r="A149" s="303" t="s">
        <v>227</v>
      </c>
      <c r="B149" s="1">
        <f>IF(A149="","",MATCH(A149,tblIndicators!D$2:D$69,0))</f>
        <v>62</v>
      </c>
      <c r="C149" s="1" t="str">
        <f>REPT(" ",D149)&amp;IF($A149="","",INDEX(tblIndicators!AE$2:AE$69,$B149))</f>
        <v>   4.2.12) Threat of civil unrest</v>
      </c>
      <c r="D149" s="1">
        <f>INDEX(tblIndicators!$F$2:$F$69,B149)</f>
        <v>3</v>
      </c>
      <c r="H149" s="301"/>
      <c r="I149" s="301"/>
      <c r="J149" s="301"/>
      <c r="K149" s="301"/>
      <c r="L149" s="301"/>
      <c r="M149" s="301"/>
      <c r="N149" s="301"/>
      <c r="O149" s="301"/>
    </row>
    <row r="150" spans="1:1">
      <c r="A150" s="304"/>
    </row>
    <row r="151" spans="1:7">
      <c r="A151" s="305" t="s">
        <v>230</v>
      </c>
      <c r="B151"/>
      <c r="C151" t="s">
        <v>231</v>
      </c>
      <c r="D151"/>
      <c r="E151"/>
      <c r="F151"/>
      <c r="G151"/>
    </row>
    <row r="152" spans="1:4">
      <c r="A152" s="232" t="s">
        <v>163</v>
      </c>
      <c r="B152" s="1">
        <f>IF(A152="","",MATCH(A152,tblIndicators!D$2:D$69,0))</f>
        <v>2</v>
      </c>
      <c r="C152" s="1" t="str">
        <f>REPT(" ",D152)&amp;IF($A152="","",INDEX(tblIndicators!AE$2:AE$69,$B152))</f>
        <v> 1) DIGITAL SECURITY</v>
      </c>
      <c r="D152" s="1">
        <f>INDEX(tblIndicators!$F$2:$F$69,B152)</f>
        <v>1</v>
      </c>
    </row>
    <row r="153" spans="1:4">
      <c r="A153" s="232" t="s">
        <v>164</v>
      </c>
      <c r="B153" s="1">
        <f>IF(A153="","",MATCH(A153,tblIndicators!D$2:D$69,0))</f>
        <v>3</v>
      </c>
      <c r="C153" s="1" t="str">
        <f>REPT(" ",D153)&amp;IF($A153="","",INDEX(tblIndicators!AE$2:AE$69,$B153))</f>
        <v>  1.1) Digital security (Inputs)</v>
      </c>
      <c r="D153" s="1">
        <f>INDEX(tblIndicators!$F$2:$F$69,B153)</f>
        <v>2</v>
      </c>
    </row>
    <row r="154" spans="1:4">
      <c r="A154" s="232" t="s">
        <v>168</v>
      </c>
      <c r="B154" s="1">
        <f>IF(A154="","",MATCH(A154,tblIndicators!D$2:D$69,0))</f>
        <v>9</v>
      </c>
      <c r="C154" s="1" t="str">
        <f>REPT(" ",D154)&amp;IF($A154="","",INDEX(tblIndicators!AE$2:AE$69,$B154))</f>
        <v>  1.2) Digital security (Outputs)</v>
      </c>
      <c r="D154" s="1">
        <f>INDEX(tblIndicators!$F$2:$F$69,B154)</f>
        <v>2</v>
      </c>
    </row>
    <row r="155" ht="23.25" spans="1:4">
      <c r="A155" s="230" t="s">
        <v>165</v>
      </c>
      <c r="B155" s="1">
        <f>IF(A155="","",MATCH(A155,tblIndicators!D$2:D$69,0))</f>
        <v>13</v>
      </c>
      <c r="C155" s="1" t="str">
        <f>REPT(" ",D155)&amp;IF($A155="","",INDEX(tblIndicators!AE$2:AE$69,$B155))</f>
        <v> 2) HEALTH SECURITY</v>
      </c>
      <c r="D155" s="1">
        <f>INDEX(tblIndicators!$F$2:$F$69,B155)</f>
        <v>1</v>
      </c>
    </row>
    <row r="156" spans="1:4">
      <c r="A156" s="232" t="s">
        <v>172</v>
      </c>
      <c r="B156" s="1">
        <f>IF(A156="","",MATCH(A156,tblIndicators!D$2:D$69,0))</f>
        <v>14</v>
      </c>
      <c r="C156" s="1" t="str">
        <f>REPT(" ",D156)&amp;IF($A156="","",INDEX(tblIndicators!AE$2:AE$69,$B156))</f>
        <v>  2.1) Health security (Inputs)</v>
      </c>
      <c r="D156" s="1">
        <f>INDEX(tblIndicators!$F$2:$F$69,B156)</f>
        <v>2</v>
      </c>
    </row>
    <row r="157" spans="1:4">
      <c r="A157" s="232" t="s">
        <v>174</v>
      </c>
      <c r="B157" s="1">
        <f>IF(A157="","",MATCH(A157,tblIndicators!D$2:D$69,0))</f>
        <v>21</v>
      </c>
      <c r="C157" s="1" t="str">
        <f>REPT(" ",D157)&amp;IF($A157="","",INDEX(tblIndicators!AE$2:AE$69,$B157))</f>
        <v>  2.2) Health security (Outputs)</v>
      </c>
      <c r="D157" s="1">
        <f>INDEX(tblIndicators!$F$2:$F$69,B157)</f>
        <v>2</v>
      </c>
    </row>
    <row r="158" ht="23.25" spans="1:4">
      <c r="A158" s="230" t="s">
        <v>167</v>
      </c>
      <c r="B158" s="1">
        <f>IF(A158="","",MATCH(A158,tblIndicators!D$2:D$69,0))</f>
        <v>28</v>
      </c>
      <c r="C158" s="1" t="str">
        <f>REPT(" ",D158)&amp;IF($A158="","",INDEX(tblIndicators!AE$2:AE$69,$B158))</f>
        <v> 3) INFRASTRUCTURE SECURITY</v>
      </c>
      <c r="D158" s="1">
        <f>INDEX(tblIndicators!$F$2:$F$69,B158)</f>
        <v>1</v>
      </c>
    </row>
    <row r="159" spans="1:4">
      <c r="A159" s="232" t="s">
        <v>177</v>
      </c>
      <c r="B159" s="1">
        <f>IF(A159="","",MATCH(A159,tblIndicators!D$2:D$69,0))</f>
        <v>29</v>
      </c>
      <c r="C159" s="1" t="str">
        <f>REPT(" ",D159)&amp;IF($A159="","",INDEX(tblIndicators!AE$2:AE$69,$B159))</f>
        <v>  3.1) Infrastructure security (Inputs)</v>
      </c>
      <c r="D159" s="1">
        <f>INDEX(tblIndicators!$F$2:$F$69,B159)</f>
        <v>2</v>
      </c>
    </row>
    <row r="160" spans="1:4">
      <c r="A160" s="232" t="s">
        <v>179</v>
      </c>
      <c r="B160" s="1">
        <f>IF(A160="","",MATCH(A160,tblIndicators!D$2:D$69,0))</f>
        <v>35</v>
      </c>
      <c r="C160" s="1" t="str">
        <f>REPT(" ",D160)&amp;IF($A160="","",INDEX(tblIndicators!AE$2:AE$69,$B160))</f>
        <v>  3.2) Infrastructure security (Outputs)</v>
      </c>
      <c r="D160" s="1">
        <f>INDEX(tblIndicators!$F$2:$F$69,B160)</f>
        <v>2</v>
      </c>
    </row>
    <row r="161" ht="23.25" spans="1:10">
      <c r="A161" s="230" t="s">
        <v>170</v>
      </c>
      <c r="B161" s="1">
        <f>IF(A161="","",MATCH(A161,tblIndicators!D$2:D$69,0))</f>
        <v>41</v>
      </c>
      <c r="C161" s="1" t="str">
        <f>REPT(" ",D161)&amp;IF($A161="","",INDEX(tblIndicators!AE$2:AE$69,$B161))</f>
        <v> 4) PERSONAL SECURITY</v>
      </c>
      <c r="D161" s="1">
        <f>INDEX(tblIndicators!$F$2:$F$69,B161)</f>
        <v>1</v>
      </c>
      <c r="H161"/>
      <c r="I161"/>
      <c r="J161"/>
    </row>
    <row r="162" spans="1:10">
      <c r="A162" s="232" t="s">
        <v>182</v>
      </c>
      <c r="B162" s="1">
        <f>IF(A162="","",MATCH(A162,tblIndicators!D$2:D$69,0))</f>
        <v>42</v>
      </c>
      <c r="C162" s="1" t="str">
        <f>REPT(" ",D162)&amp;IF($A162="","",INDEX(tblIndicators!AE$2:AE$69,$B162))</f>
        <v>  4.1) Personal security (Inputs)</v>
      </c>
      <c r="D162" s="1">
        <f>INDEX(tblIndicators!$F$2:$F$69,B162)</f>
        <v>2</v>
      </c>
      <c r="H162"/>
      <c r="I162"/>
      <c r="J162"/>
    </row>
    <row r="163" spans="1:4">
      <c r="A163" s="232" t="s">
        <v>183</v>
      </c>
      <c r="B163" s="1">
        <f>IF(A163="","",MATCH(A163,tblIndicators!D$2:D$69,0))</f>
        <v>50</v>
      </c>
      <c r="C163" s="1" t="str">
        <f>REPT(" ",D163)&amp;IF($A163="","",INDEX(tblIndicators!AE$2:AE$69,$B163))</f>
        <v>  4.2) Personal security (Outputs)</v>
      </c>
      <c r="D163" s="1">
        <f>INDEX(tblIndicators!$F$2:$F$69,B163)</f>
        <v>2</v>
      </c>
    </row>
    <row r="164" spans="4:5">
      <c r="D164"/>
      <c r="E164"/>
    </row>
    <row r="165" spans="1:24">
      <c r="A165" s="268" t="s">
        <v>232</v>
      </c>
      <c r="Q165" s="1"/>
      <c r="U165" s="289"/>
      <c r="X165"/>
    </row>
    <row r="166" spans="4:24">
      <c r="D166" s="1" t="s">
        <v>233</v>
      </c>
      <c r="E166" s="1" t="s">
        <v>234</v>
      </c>
      <c r="F166" s="1" t="s">
        <v>235</v>
      </c>
      <c r="G166" s="1" t="s">
        <v>236</v>
      </c>
      <c r="Q166" s="1"/>
      <c r="U166" s="289"/>
      <c r="X166"/>
    </row>
    <row r="167" spans="1:24">
      <c r="A167" s="268">
        <v>1</v>
      </c>
      <c r="B167" s="1" t="s">
        <v>237</v>
      </c>
      <c r="C167" s="1" t="str">
        <f>INDEX($H$167:$J$168,$A167,uxb_works!$B$46)</f>
        <v>2015 Original</v>
      </c>
      <c r="D167" s="1" t="str">
        <f t="shared" ref="D167:G168" si="0">INDEX(Q$167:Q$169,MATCH($C167,Year_Select,0))</f>
        <v>aData_2014_O</v>
      </c>
      <c r="E167" s="1" t="str">
        <f t="shared" si="0"/>
        <v>aScores_2014_O</v>
      </c>
      <c r="F167" s="1" t="str">
        <f t="shared" si="0"/>
        <v>lu_Cities_2014_O</v>
      </c>
      <c r="G167" s="1" t="str">
        <f t="shared" si="0"/>
        <v>aRankNumber_2014_O</v>
      </c>
      <c r="H167" s="1" t="str">
        <f>B168</f>
        <v>2015 Updated</v>
      </c>
      <c r="I167" s="1" t="str">
        <f>B167</f>
        <v>2015 Original</v>
      </c>
      <c r="J167" s="1" t="str">
        <f>B167</f>
        <v>2015 Original</v>
      </c>
      <c r="Q167" s="289" t="s">
        <v>238</v>
      </c>
      <c r="R167" s="289" t="s">
        <v>239</v>
      </c>
      <c r="S167" s="289" t="s">
        <v>240</v>
      </c>
      <c r="T167" s="289" t="s">
        <v>241</v>
      </c>
      <c r="U167" s="289" t="s">
        <v>242</v>
      </c>
      <c r="X167"/>
    </row>
    <row r="168" spans="1:24">
      <c r="A168" s="268">
        <v>2</v>
      </c>
      <c r="B168" s="1" t="s">
        <v>243</v>
      </c>
      <c r="C168" s="1" t="str">
        <f>INDEX($H$167:$J$168,$A168,uxb_works!$B$46)</f>
        <v>2015 Updated</v>
      </c>
      <c r="D168" s="1" t="str">
        <f t="shared" si="0"/>
        <v>aData_2014_N</v>
      </c>
      <c r="E168" s="1" t="str">
        <f t="shared" si="0"/>
        <v>aScores_2014_N</v>
      </c>
      <c r="F168" s="1" t="str">
        <f t="shared" si="0"/>
        <v>lu_Cities_2014_N</v>
      </c>
      <c r="G168" s="1" t="str">
        <f t="shared" si="0"/>
        <v>aRankNumber_2014_N</v>
      </c>
      <c r="H168" s="1">
        <f>B169</f>
        <v>2017</v>
      </c>
      <c r="I168" s="1">
        <f>B169</f>
        <v>2017</v>
      </c>
      <c r="J168" s="1" t="str">
        <f>B168</f>
        <v>2015 Updated</v>
      </c>
      <c r="Q168" s="289" t="s">
        <v>244</v>
      </c>
      <c r="R168" s="289" t="s">
        <v>245</v>
      </c>
      <c r="S168" s="289" t="s">
        <v>246</v>
      </c>
      <c r="T168" s="289" t="s">
        <v>247</v>
      </c>
      <c r="U168" s="289" t="s">
        <v>248</v>
      </c>
      <c r="X168"/>
    </row>
    <row r="169" spans="1:24">
      <c r="A169" s="268">
        <v>3</v>
      </c>
      <c r="B169" s="1">
        <v>2017</v>
      </c>
      <c r="Q169" s="289" t="s">
        <v>249</v>
      </c>
      <c r="R169" s="289" t="s">
        <v>250</v>
      </c>
      <c r="S169" s="289" t="s">
        <v>251</v>
      </c>
      <c r="T169" s="289" t="s">
        <v>252</v>
      </c>
      <c r="U169" s="289" t="s">
        <v>253</v>
      </c>
      <c r="X169"/>
    </row>
    <row r="170" spans="17:24">
      <c r="Q170" s="1"/>
      <c r="U170" s="289"/>
      <c r="X170"/>
    </row>
    <row r="172" spans="1:22">
      <c r="A172" s="268" t="s">
        <v>88</v>
      </c>
      <c r="B172" s="1">
        <f>uxb_works!B46</f>
        <v>3</v>
      </c>
      <c r="R172" s="289">
        <f>COUNT(R175:R236)</f>
        <v>56</v>
      </c>
      <c r="V172" s="289">
        <f>COUNT(V175:V236)</f>
        <v>62</v>
      </c>
    </row>
    <row r="173" spans="1:2">
      <c r="A173" s="268" t="s">
        <v>254</v>
      </c>
      <c r="B173" s="1">
        <f>IF($B$172=1,R172,V172)</f>
        <v>62</v>
      </c>
    </row>
    <row r="174" spans="1:24">
      <c r="A174" s="268">
        <v>0</v>
      </c>
      <c r="R174" s="289" t="s">
        <v>43</v>
      </c>
      <c r="V174" s="289" t="s">
        <v>255</v>
      </c>
      <c r="W174" s="289"/>
      <c r="X174" s="289"/>
    </row>
    <row r="175" spans="1:24">
      <c r="A175" s="268">
        <f>A174+1</f>
        <v>1</v>
      </c>
      <c r="B175" s="1" t="str">
        <f>IF($B$172=1,S175,W175)</f>
        <v>OVERALL SCORE</v>
      </c>
      <c r="C175" s="1">
        <f>IF($B$172=1,T175,X175)</f>
        <v>0</v>
      </c>
      <c r="R175" s="289">
        <f>tblIndiSets_2014_O!B237</f>
        <v>1</v>
      </c>
      <c r="S175" s="289" t="str">
        <f>tblIndiSets_2014_O!C237</f>
        <v>OVERALL SCORE</v>
      </c>
      <c r="T175" s="289">
        <f>tblIndiSets_2014_O!D237</f>
        <v>0</v>
      </c>
      <c r="V175" s="289">
        <f>B13</f>
        <v>1</v>
      </c>
      <c r="W175" s="289" t="str">
        <f>C13</f>
        <v>OVERALL SCORE</v>
      </c>
      <c r="X175" s="289">
        <f>D13</f>
        <v>0</v>
      </c>
    </row>
    <row r="176" spans="1:24">
      <c r="A176" s="268">
        <f t="shared" ref="A176:A236" si="1">A175+1</f>
        <v>2</v>
      </c>
      <c r="B176" s="1" t="str">
        <f t="shared" ref="B176:B236" si="2">IF($B$172=1,S176,W176)</f>
        <v> 1) DIGITAL SECURITY</v>
      </c>
      <c r="C176" s="1">
        <f t="shared" ref="C176:C236" si="3">IF($B$172=1,T176,X176)</f>
        <v>1</v>
      </c>
      <c r="R176" s="289">
        <f>tblIndiSets_2014_O!B238</f>
        <v>2</v>
      </c>
      <c r="S176" s="289" t="str">
        <f>tblIndiSets_2014_O!C238</f>
        <v> 1) DIGITAL SECURITY</v>
      </c>
      <c r="T176" s="289">
        <f>tblIndiSets_2014_O!D238</f>
        <v>1</v>
      </c>
      <c r="V176" s="289">
        <f t="shared" ref="V176:X176" si="4">B14</f>
        <v>2</v>
      </c>
      <c r="W176" s="289" t="str">
        <f t="shared" si="4"/>
        <v> 1) DIGITAL SECURITY</v>
      </c>
      <c r="X176" s="289">
        <f t="shared" si="4"/>
        <v>1</v>
      </c>
    </row>
    <row r="177" spans="1:24">
      <c r="A177" s="268">
        <f t="shared" si="1"/>
        <v>3</v>
      </c>
      <c r="B177" s="1" t="str">
        <f t="shared" si="2"/>
        <v>  1.1) Digital security (Inputs)</v>
      </c>
      <c r="C177" s="1">
        <f t="shared" si="3"/>
        <v>2</v>
      </c>
      <c r="R177" s="289">
        <f>tblIndiSets_2014_O!B239</f>
        <v>3</v>
      </c>
      <c r="S177" s="289" t="str">
        <f>tblIndiSets_2014_O!C239</f>
        <v>  1.1) Digital Security (Inputs)</v>
      </c>
      <c r="T177" s="289">
        <f>tblIndiSets_2014_O!D239</f>
        <v>2</v>
      </c>
      <c r="V177" s="289">
        <f t="shared" ref="V177:X177" si="5">B15</f>
        <v>3</v>
      </c>
      <c r="W177" s="289" t="str">
        <f t="shared" si="5"/>
        <v>  1.1) Digital security (Inputs)</v>
      </c>
      <c r="X177" s="289">
        <f t="shared" si="5"/>
        <v>2</v>
      </c>
    </row>
    <row r="178" spans="1:24">
      <c r="A178" s="268">
        <f t="shared" si="1"/>
        <v>4</v>
      </c>
      <c r="B178" s="1" t="str">
        <f t="shared" si="2"/>
        <v>   1.1.1) Privacy policy</v>
      </c>
      <c r="C178" s="1">
        <f t="shared" si="3"/>
        <v>3</v>
      </c>
      <c r="R178" s="289">
        <f>tblIndiSets_2014_O!B240</f>
        <v>4</v>
      </c>
      <c r="S178" s="289" t="str">
        <f>tblIndiSets_2014_O!C240</f>
        <v>   1.1.1) Privacy policy</v>
      </c>
      <c r="T178" s="289">
        <f>tblIndiSets_2014_O!D240</f>
        <v>3</v>
      </c>
      <c r="V178" s="289">
        <f t="shared" ref="V178:X178" si="6">B16</f>
        <v>4</v>
      </c>
      <c r="W178" s="289" t="str">
        <f t="shared" si="6"/>
        <v>   1.1.1) Privacy policy</v>
      </c>
      <c r="X178" s="289">
        <f t="shared" si="6"/>
        <v>3</v>
      </c>
    </row>
    <row r="179" spans="1:24">
      <c r="A179" s="268">
        <f t="shared" si="1"/>
        <v>5</v>
      </c>
      <c r="B179" s="1" t="str">
        <f t="shared" si="2"/>
        <v>   1.1.2) Citizen awareness of digital threats</v>
      </c>
      <c r="C179" s="1">
        <f t="shared" si="3"/>
        <v>3</v>
      </c>
      <c r="R179" s="289">
        <f>tblIndiSets_2014_O!B241</f>
        <v>5</v>
      </c>
      <c r="S179" s="289" t="str">
        <f>tblIndiSets_2014_O!C241</f>
        <v>   1.1.2) Citizen awareness of digital threats</v>
      </c>
      <c r="T179" s="289">
        <f>tblIndiSets_2014_O!D241</f>
        <v>3</v>
      </c>
      <c r="V179" s="289">
        <f t="shared" ref="V179:X179" si="7">B17</f>
        <v>5</v>
      </c>
      <c r="W179" s="289" t="str">
        <f t="shared" si="7"/>
        <v>   1.1.2) Citizen awareness of digital threats</v>
      </c>
      <c r="X179" s="289">
        <f t="shared" si="7"/>
        <v>3</v>
      </c>
    </row>
    <row r="180" spans="1:24">
      <c r="A180" s="268">
        <f t="shared" si="1"/>
        <v>6</v>
      </c>
      <c r="B180" s="1" t="str">
        <f t="shared" si="2"/>
        <v>   1.1.3) Public-private partnerships</v>
      </c>
      <c r="C180" s="1">
        <f t="shared" si="3"/>
        <v>3</v>
      </c>
      <c r="R180" s="289">
        <f>tblIndiSets_2014_O!B242</f>
        <v>6</v>
      </c>
      <c r="S180" s="289" t="str">
        <f>tblIndiSets_2014_O!C242</f>
        <v>   1.1.3) Public-private partnerships</v>
      </c>
      <c r="T180" s="289">
        <f>tblIndiSets_2014_O!D242</f>
        <v>3</v>
      </c>
      <c r="V180" s="289">
        <f t="shared" ref="V180:X180" si="8">B18</f>
        <v>6</v>
      </c>
      <c r="W180" s="289" t="str">
        <f t="shared" si="8"/>
        <v>   1.1.3) Public-private partnerships</v>
      </c>
      <c r="X180" s="289">
        <f t="shared" si="8"/>
        <v>3</v>
      </c>
    </row>
    <row r="181" spans="1:24">
      <c r="A181" s="268">
        <f t="shared" si="1"/>
        <v>7</v>
      </c>
      <c r="B181" s="1" t="str">
        <f t="shared" si="2"/>
        <v>   1.1.4) Level of technology employed</v>
      </c>
      <c r="C181" s="1">
        <f t="shared" si="3"/>
        <v>3</v>
      </c>
      <c r="R181" s="289">
        <f>tblIndiSets_2014_O!B243</f>
        <v>7</v>
      </c>
      <c r="S181" s="289" t="str">
        <f>tblIndiSets_2014_O!C243</f>
        <v>   1.1.4) Level of technology employed</v>
      </c>
      <c r="T181" s="289">
        <f>tblIndiSets_2014_O!D243</f>
        <v>3</v>
      </c>
      <c r="V181" s="289">
        <f t="shared" ref="V181:X181" si="9">B19</f>
        <v>7</v>
      </c>
      <c r="W181" s="289" t="str">
        <f t="shared" si="9"/>
        <v>   1.1.4) Level of technology employed</v>
      </c>
      <c r="X181" s="289">
        <f t="shared" si="9"/>
        <v>3</v>
      </c>
    </row>
    <row r="182" spans="1:24">
      <c r="A182" s="268">
        <f t="shared" si="1"/>
        <v>8</v>
      </c>
      <c r="B182" s="1" t="str">
        <f t="shared" si="2"/>
        <v>   1.1.5) Dedicated cyber security teams</v>
      </c>
      <c r="C182" s="1">
        <f t="shared" si="3"/>
        <v>3</v>
      </c>
      <c r="R182" s="289">
        <f>tblIndiSets_2014_O!B244</f>
        <v>8</v>
      </c>
      <c r="S182" s="289" t="str">
        <f>tblIndiSets_2014_O!C244</f>
        <v>   1.1.5) Dedicated cyber security teams</v>
      </c>
      <c r="T182" s="289">
        <f>tblIndiSets_2014_O!D244</f>
        <v>3</v>
      </c>
      <c r="V182" s="289">
        <f t="shared" ref="V182:X182" si="10">B20</f>
        <v>8</v>
      </c>
      <c r="W182" s="289" t="str">
        <f t="shared" si="10"/>
        <v>   1.1.5) Dedicated cyber security teams</v>
      </c>
      <c r="X182" s="289">
        <f t="shared" si="10"/>
        <v>3</v>
      </c>
    </row>
    <row r="183" spans="1:24">
      <c r="A183" s="268">
        <f t="shared" si="1"/>
        <v>9</v>
      </c>
      <c r="B183" s="1" t="str">
        <f t="shared" si="2"/>
        <v>  1.2) Digital security (Outputs)</v>
      </c>
      <c r="C183" s="1">
        <f t="shared" si="3"/>
        <v>2</v>
      </c>
      <c r="R183" s="289">
        <f>tblIndiSets_2014_O!B245</f>
        <v>9</v>
      </c>
      <c r="S183" s="289" t="str">
        <f>tblIndiSets_2014_O!C245</f>
        <v>  1.2) Digital Security (Outputs)</v>
      </c>
      <c r="T183" s="289">
        <f>tblIndiSets_2014_O!D245</f>
        <v>2</v>
      </c>
      <c r="V183" s="289">
        <f t="shared" ref="V183:X183" si="11">B21</f>
        <v>9</v>
      </c>
      <c r="W183" s="289" t="str">
        <f t="shared" si="11"/>
        <v>  1.2) Digital security (Outputs)</v>
      </c>
      <c r="X183" s="289">
        <f t="shared" si="11"/>
        <v>2</v>
      </c>
    </row>
    <row r="184" spans="1:24">
      <c r="A184" s="268">
        <f t="shared" si="1"/>
        <v>10</v>
      </c>
      <c r="B184" s="1" t="str">
        <f t="shared" si="2"/>
        <v>   1.2.1) Frequency of identity theft</v>
      </c>
      <c r="C184" s="1">
        <f t="shared" si="3"/>
        <v>3</v>
      </c>
      <c r="R184" s="289">
        <f>tblIndiSets_2014_O!B246</f>
        <v>10</v>
      </c>
      <c r="S184" s="289" t="str">
        <f>tblIndiSets_2014_O!C246</f>
        <v>   1.2.1) Frequency of identity theft</v>
      </c>
      <c r="T184" s="289">
        <f>tblIndiSets_2014_O!D246</f>
        <v>3</v>
      </c>
      <c r="V184" s="289">
        <f t="shared" ref="V184:X184" si="12">B22</f>
        <v>10</v>
      </c>
      <c r="W184" s="289" t="str">
        <f t="shared" si="12"/>
        <v>   1.2.1) Frequency of identity theft</v>
      </c>
      <c r="X184" s="289">
        <f t="shared" si="12"/>
        <v>3</v>
      </c>
    </row>
    <row r="185" spans="1:24">
      <c r="A185" s="268">
        <f t="shared" si="1"/>
        <v>11</v>
      </c>
      <c r="B185" s="1" t="str">
        <f t="shared" si="2"/>
        <v>   1.2.2) Percentage of computers infected</v>
      </c>
      <c r="C185" s="1">
        <f t="shared" si="3"/>
        <v>3</v>
      </c>
      <c r="R185" s="289">
        <f>tblIndiSets_2014_O!B247</f>
        <v>11</v>
      </c>
      <c r="S185" s="289" t="str">
        <f>tblIndiSets_2014_O!C247</f>
        <v>   1.2.2) Percentage of computers infected</v>
      </c>
      <c r="T185" s="289">
        <f>tblIndiSets_2014_O!D247</f>
        <v>3</v>
      </c>
      <c r="V185" s="289">
        <f t="shared" ref="V185:X185" si="13">B23</f>
        <v>11</v>
      </c>
      <c r="W185" s="289" t="str">
        <f t="shared" si="13"/>
        <v>   1.2.2) Percentage of computers infected</v>
      </c>
      <c r="X185" s="289">
        <f t="shared" si="13"/>
        <v>3</v>
      </c>
    </row>
    <row r="186" spans="1:24">
      <c r="A186" s="268">
        <f t="shared" si="1"/>
        <v>12</v>
      </c>
      <c r="B186" s="1" t="str">
        <f t="shared" si="2"/>
        <v>   1.2.3) Percentage with Internet access</v>
      </c>
      <c r="C186" s="1">
        <f t="shared" si="3"/>
        <v>3</v>
      </c>
      <c r="R186" s="289">
        <f>tblIndiSets_2014_O!B248</f>
        <v>12</v>
      </c>
      <c r="S186" s="289" t="str">
        <f>tblIndiSets_2014_O!C248</f>
        <v>   1.2.3) Percent with internet access</v>
      </c>
      <c r="T186" s="289">
        <f>tblIndiSets_2014_O!D248</f>
        <v>3</v>
      </c>
      <c r="V186" s="289">
        <f t="shared" ref="V186:X186" si="14">B24</f>
        <v>12</v>
      </c>
      <c r="W186" s="289" t="str">
        <f t="shared" si="14"/>
        <v>   1.2.3) Percentage with Internet access</v>
      </c>
      <c r="X186" s="289">
        <f t="shared" si="14"/>
        <v>3</v>
      </c>
    </row>
    <row r="187" spans="1:24">
      <c r="A187" s="268">
        <f t="shared" si="1"/>
        <v>13</v>
      </c>
      <c r="B187" s="1" t="str">
        <f t="shared" si="2"/>
        <v> 2) HEALTH SECURITY</v>
      </c>
      <c r="C187" s="1">
        <f t="shared" si="3"/>
        <v>1</v>
      </c>
      <c r="R187" s="289">
        <f>tblIndiSets_2014_O!B249</f>
        <v>13</v>
      </c>
      <c r="S187" s="289" t="str">
        <f>tblIndiSets_2014_O!C249</f>
        <v> 2) HEALTH SECURITY</v>
      </c>
      <c r="T187" s="289">
        <f>tblIndiSets_2014_O!D249</f>
        <v>1</v>
      </c>
      <c r="V187" s="289">
        <f t="shared" ref="V187:X187" si="15">B25</f>
        <v>13</v>
      </c>
      <c r="W187" s="289" t="str">
        <f t="shared" si="15"/>
        <v> 2) HEALTH SECURITY</v>
      </c>
      <c r="X187" s="289">
        <f t="shared" si="15"/>
        <v>1</v>
      </c>
    </row>
    <row r="188" spans="1:24">
      <c r="A188" s="268">
        <f t="shared" si="1"/>
        <v>14</v>
      </c>
      <c r="B188" s="1" t="str">
        <f t="shared" si="2"/>
        <v>  2.1) Health security (Inputs)</v>
      </c>
      <c r="C188" s="1">
        <f t="shared" si="3"/>
        <v>2</v>
      </c>
      <c r="R188" s="289">
        <f>tblIndiSets_2014_O!B250</f>
        <v>14</v>
      </c>
      <c r="S188" s="289" t="str">
        <f>tblIndiSets_2014_O!C250</f>
        <v>  2.1) Health Security (Inputs)</v>
      </c>
      <c r="T188" s="289">
        <f>tblIndiSets_2014_O!D250</f>
        <v>2</v>
      </c>
      <c r="V188" s="289">
        <f t="shared" ref="V188:X188" si="16">B26</f>
        <v>14</v>
      </c>
      <c r="W188" s="289" t="str">
        <f t="shared" si="16"/>
        <v>  2.1) Health security (Inputs)</v>
      </c>
      <c r="X188" s="289">
        <f t="shared" si="16"/>
        <v>2</v>
      </c>
    </row>
    <row r="189" spans="1:24">
      <c r="A189" s="268">
        <f t="shared" si="1"/>
        <v>15</v>
      </c>
      <c r="B189" s="1" t="str">
        <f t="shared" si="2"/>
        <v>   2.1.1) Environmental policies</v>
      </c>
      <c r="C189" s="1">
        <f t="shared" si="3"/>
        <v>3</v>
      </c>
      <c r="R189" s="289">
        <f>tblIndiSets_2014_O!B251</f>
        <v>15</v>
      </c>
      <c r="S189" s="289" t="str">
        <f>tblIndiSets_2014_O!C251</f>
        <v>   2.1.1) Environmental policies</v>
      </c>
      <c r="T189" s="289">
        <f>tblIndiSets_2014_O!D251</f>
        <v>3</v>
      </c>
      <c r="V189" s="289">
        <f t="shared" ref="V189:X189" si="17">B27</f>
        <v>15</v>
      </c>
      <c r="W189" s="289" t="str">
        <f t="shared" si="17"/>
        <v>   2.1.1) Environmental policies</v>
      </c>
      <c r="X189" s="289">
        <f t="shared" si="17"/>
        <v>3</v>
      </c>
    </row>
    <row r="190" spans="1:24">
      <c r="A190" s="268">
        <f t="shared" si="1"/>
        <v>16</v>
      </c>
      <c r="B190" s="1" t="str">
        <f t="shared" si="2"/>
        <v>   2.1.2) Access to healthcare</v>
      </c>
      <c r="C190" s="1">
        <f t="shared" si="3"/>
        <v>3</v>
      </c>
      <c r="R190" s="289">
        <f>tblIndiSets_2014_O!B252</f>
        <v>16</v>
      </c>
      <c r="S190" s="289" t="str">
        <f>tblIndiSets_2014_O!C252</f>
        <v>   2.1.2) Access to healthcare</v>
      </c>
      <c r="T190" s="289">
        <f>tblIndiSets_2014_O!D252</f>
        <v>3</v>
      </c>
      <c r="V190" s="289">
        <f t="shared" ref="V190:X190" si="18">B28</f>
        <v>16</v>
      </c>
      <c r="W190" s="289" t="str">
        <f t="shared" si="18"/>
        <v>   2.1.2) Access to healthcare</v>
      </c>
      <c r="X190" s="289">
        <f t="shared" si="18"/>
        <v>3</v>
      </c>
    </row>
    <row r="191" spans="1:24">
      <c r="A191" s="268">
        <f t="shared" si="1"/>
        <v>17</v>
      </c>
      <c r="B191" s="1" t="str">
        <f t="shared" si="2"/>
        <v>   2.1.3) No. of beds per 1,000</v>
      </c>
      <c r="C191" s="1">
        <f t="shared" si="3"/>
        <v>3</v>
      </c>
      <c r="R191" s="289">
        <f>tblIndiSets_2014_O!B253</f>
        <v>17</v>
      </c>
      <c r="S191" s="289" t="str">
        <f>tblIndiSets_2014_O!C253</f>
        <v>   2.1.3) No. of beds per 1000</v>
      </c>
      <c r="T191" s="289">
        <f>tblIndiSets_2014_O!D253</f>
        <v>3</v>
      </c>
      <c r="V191" s="289">
        <f t="shared" ref="V191:X191" si="19">B29</f>
        <v>17</v>
      </c>
      <c r="W191" s="289" t="str">
        <f t="shared" si="19"/>
        <v>   2.1.3) No. of beds per 1,000</v>
      </c>
      <c r="X191" s="289">
        <f t="shared" si="19"/>
        <v>3</v>
      </c>
    </row>
    <row r="192" spans="1:24">
      <c r="A192" s="268">
        <f t="shared" si="1"/>
        <v>18</v>
      </c>
      <c r="B192" s="1" t="str">
        <f t="shared" si="2"/>
        <v>   2.1.4) No. of doctors per 1,000</v>
      </c>
      <c r="C192" s="1">
        <f t="shared" si="3"/>
        <v>3</v>
      </c>
      <c r="R192" s="289">
        <f>tblIndiSets_2014_O!B254</f>
        <v>18</v>
      </c>
      <c r="S192" s="289" t="str">
        <f>tblIndiSets_2014_O!C254</f>
        <v>   2.1.4) Number of doctors per 1000</v>
      </c>
      <c r="T192" s="289">
        <f>tblIndiSets_2014_O!D254</f>
        <v>3</v>
      </c>
      <c r="V192" s="289">
        <f t="shared" ref="V192:X192" si="20">B30</f>
        <v>18</v>
      </c>
      <c r="W192" s="289" t="str">
        <f t="shared" si="20"/>
        <v>   2.1.4) No. of doctors per 1,000</v>
      </c>
      <c r="X192" s="289">
        <f t="shared" si="20"/>
        <v>3</v>
      </c>
    </row>
    <row r="193" spans="1:24">
      <c r="A193" s="268">
        <f t="shared" si="1"/>
        <v>19</v>
      </c>
      <c r="B193" s="1" t="str">
        <f t="shared" si="2"/>
        <v>   2.1.5) Access to safe and quality food</v>
      </c>
      <c r="C193" s="1">
        <f t="shared" si="3"/>
        <v>3</v>
      </c>
      <c r="R193" s="289">
        <f>tblIndiSets_2014_O!B255</f>
        <v>19</v>
      </c>
      <c r="S193" s="289" t="str">
        <f>tblIndiSets_2014_O!C255</f>
        <v>   2.1.5) Access to safe and quality food</v>
      </c>
      <c r="T193" s="289">
        <f>tblIndiSets_2014_O!D255</f>
        <v>3</v>
      </c>
      <c r="V193" s="289">
        <f t="shared" ref="V193:X193" si="21">B31</f>
        <v>19</v>
      </c>
      <c r="W193" s="289" t="str">
        <f t="shared" si="21"/>
        <v>   2.1.5) Access to safe and quality food</v>
      </c>
      <c r="X193" s="289">
        <f t="shared" si="21"/>
        <v>3</v>
      </c>
    </row>
    <row r="194" spans="1:24">
      <c r="A194" s="268">
        <f t="shared" si="1"/>
        <v>20</v>
      </c>
      <c r="B194" s="1" t="str">
        <f t="shared" si="2"/>
        <v>   2.1.6) Quality of health services</v>
      </c>
      <c r="C194" s="1">
        <f t="shared" si="3"/>
        <v>3</v>
      </c>
      <c r="R194" s="289">
        <f>tblIndiSets_2014_O!B256</f>
        <v>20</v>
      </c>
      <c r="S194" s="289" t="str">
        <f>tblIndiSets_2014_O!C256</f>
        <v>   2.1.6) Quality of health services</v>
      </c>
      <c r="T194" s="289">
        <f>tblIndiSets_2014_O!D256</f>
        <v>3</v>
      </c>
      <c r="V194" s="289">
        <f t="shared" ref="V194:X194" si="22">B32</f>
        <v>20</v>
      </c>
      <c r="W194" s="289" t="str">
        <f t="shared" si="22"/>
        <v>   2.1.6) Quality of health services</v>
      </c>
      <c r="X194" s="289">
        <f t="shared" si="22"/>
        <v>3</v>
      </c>
    </row>
    <row r="195" spans="1:24">
      <c r="A195" s="268">
        <f t="shared" si="1"/>
        <v>21</v>
      </c>
      <c r="B195" s="1" t="str">
        <f t="shared" si="2"/>
        <v>  2.2) Health security (Outputs)</v>
      </c>
      <c r="C195" s="1">
        <f t="shared" si="3"/>
        <v>2</v>
      </c>
      <c r="R195" s="289">
        <f>tblIndiSets_2014_O!B257</f>
        <v>21</v>
      </c>
      <c r="S195" s="289" t="str">
        <f>tblIndiSets_2014_O!C257</f>
        <v>  2.2) Health Security (Outputs)</v>
      </c>
      <c r="T195" s="289">
        <f>tblIndiSets_2014_O!D257</f>
        <v>2</v>
      </c>
      <c r="V195" s="289">
        <f t="shared" ref="V195:X195" si="23">B33</f>
        <v>21</v>
      </c>
      <c r="W195" s="289" t="str">
        <f t="shared" si="23"/>
        <v>  2.2) Health security (Outputs)</v>
      </c>
      <c r="X195" s="289">
        <f t="shared" si="23"/>
        <v>2</v>
      </c>
    </row>
    <row r="196" spans="1:24">
      <c r="A196" s="268">
        <f t="shared" si="1"/>
        <v>22</v>
      </c>
      <c r="B196" s="1" t="str">
        <f t="shared" si="2"/>
        <v>   2.2.1) Air quality (PM 2.5 levels)</v>
      </c>
      <c r="C196" s="1">
        <f t="shared" si="3"/>
        <v>3</v>
      </c>
      <c r="R196" s="289">
        <f>tblIndiSets_2014_O!B258</f>
        <v>22</v>
      </c>
      <c r="S196" s="289" t="str">
        <f>tblIndiSets_2014_O!C258</f>
        <v>   2.2.1) Air quality</v>
      </c>
      <c r="T196" s="289">
        <f>tblIndiSets_2014_O!D258</f>
        <v>3</v>
      </c>
      <c r="V196" s="289">
        <f t="shared" ref="V196:X196" si="24">B34</f>
        <v>22</v>
      </c>
      <c r="W196" s="289" t="str">
        <f t="shared" si="24"/>
        <v>   2.2.1) Air quality (PM 2.5 levels)</v>
      </c>
      <c r="X196" s="289">
        <f t="shared" si="24"/>
        <v>3</v>
      </c>
    </row>
    <row r="197" spans="1:24">
      <c r="A197" s="268">
        <f t="shared" si="1"/>
        <v>23</v>
      </c>
      <c r="B197" s="1" t="str">
        <f t="shared" si="2"/>
        <v>   2.2.2) Water quality</v>
      </c>
      <c r="C197" s="1">
        <f t="shared" si="3"/>
        <v>3</v>
      </c>
      <c r="R197" s="289">
        <f>tblIndiSets_2014_O!B259</f>
        <v>23</v>
      </c>
      <c r="S197" s="289" t="str">
        <f>tblIndiSets_2014_O!C259</f>
        <v>   2.2.2) Water quality</v>
      </c>
      <c r="T197" s="289">
        <f>tblIndiSets_2014_O!D259</f>
        <v>3</v>
      </c>
      <c r="V197" s="289">
        <f t="shared" ref="V197:X197" si="25">B35</f>
        <v>23</v>
      </c>
      <c r="W197" s="289" t="str">
        <f t="shared" si="25"/>
        <v>   2.2.2) Water quality</v>
      </c>
      <c r="X197" s="289">
        <f t="shared" si="25"/>
        <v>3</v>
      </c>
    </row>
    <row r="198" spans="1:24">
      <c r="A198" s="268">
        <f t="shared" si="1"/>
        <v>24</v>
      </c>
      <c r="B198" s="1" t="str">
        <f t="shared" si="2"/>
        <v>   2.2.3) Life expectancy years</v>
      </c>
      <c r="C198" s="1">
        <f t="shared" si="3"/>
        <v>3</v>
      </c>
      <c r="R198" s="289">
        <f>tblIndiSets_2014_O!B260</f>
        <v>24</v>
      </c>
      <c r="S198" s="289" t="str">
        <f>tblIndiSets_2014_O!C260</f>
        <v>   2.2.3) Life expectancy</v>
      </c>
      <c r="T198" s="289">
        <f>tblIndiSets_2014_O!D260</f>
        <v>3</v>
      </c>
      <c r="V198" s="289">
        <f t="shared" ref="V198:X198" si="26">B36</f>
        <v>24</v>
      </c>
      <c r="W198" s="289" t="str">
        <f t="shared" si="26"/>
        <v>   2.2.3) Life expectancy years</v>
      </c>
      <c r="X198" s="289">
        <f t="shared" si="26"/>
        <v>3</v>
      </c>
    </row>
    <row r="199" spans="1:24">
      <c r="A199" s="268">
        <f t="shared" si="1"/>
        <v>25</v>
      </c>
      <c r="B199" s="1" t="str">
        <f t="shared" si="2"/>
        <v>   2.2.4) Infant mortality</v>
      </c>
      <c r="C199" s="1">
        <f t="shared" si="3"/>
        <v>3</v>
      </c>
      <c r="R199" s="289">
        <f>tblIndiSets_2014_O!B261</f>
        <v>25</v>
      </c>
      <c r="S199" s="289" t="str">
        <f>tblIndiSets_2014_O!C261</f>
        <v>   2.2.4) Infant mortality (deaths per 1,000 live births)</v>
      </c>
      <c r="T199" s="289">
        <f>tblIndiSets_2014_O!D261</f>
        <v>3</v>
      </c>
      <c r="V199" s="289">
        <f t="shared" ref="V199:X199" si="27">B37</f>
        <v>25</v>
      </c>
      <c r="W199" s="289" t="str">
        <f t="shared" si="27"/>
        <v>   2.2.4) Infant mortality</v>
      </c>
      <c r="X199" s="289">
        <f t="shared" si="27"/>
        <v>3</v>
      </c>
    </row>
    <row r="200" spans="1:24">
      <c r="A200" s="268">
        <f t="shared" si="1"/>
        <v>26</v>
      </c>
      <c r="B200" s="1" t="str">
        <f t="shared" si="2"/>
        <v>   2.2.5) Cancer mortality rate</v>
      </c>
      <c r="C200" s="1">
        <f t="shared" si="3"/>
        <v>3</v>
      </c>
      <c r="R200" s="289">
        <f>tblIndiSets_2014_O!B262</f>
        <v>26</v>
      </c>
      <c r="S200" s="289" t="str">
        <f>tblIndiSets_2014_O!C262</f>
        <v>   2.2.5) Cancer mortality rate ( Cancer deaths per 100,000)</v>
      </c>
      <c r="T200" s="289">
        <f>tblIndiSets_2014_O!D262</f>
        <v>3</v>
      </c>
      <c r="V200" s="289">
        <f t="shared" ref="V200:X200" si="28">B38</f>
        <v>26</v>
      </c>
      <c r="W200" s="289" t="str">
        <f t="shared" si="28"/>
        <v>   2.2.5) Cancer mortality rate</v>
      </c>
      <c r="X200" s="289">
        <f t="shared" si="28"/>
        <v>3</v>
      </c>
    </row>
    <row r="201" spans="1:24">
      <c r="A201" s="268">
        <f t="shared" si="1"/>
        <v>27</v>
      </c>
      <c r="B201" s="1" t="str">
        <f t="shared" si="2"/>
        <v>   2.2.6) Number of attacks using biological, chemical and/or radiological weapons</v>
      </c>
      <c r="C201" s="1">
        <f t="shared" si="3"/>
        <v>3</v>
      </c>
      <c r="R201" s="289">
        <f>tblIndiSets_2014_O!B263</f>
        <v>27</v>
      </c>
      <c r="S201" s="289" t="str">
        <f>tblIndiSets_2014_O!C263</f>
        <v> 3) INFRASTRUCTURE SECURITY</v>
      </c>
      <c r="T201" s="289">
        <f>tblIndiSets_2014_O!D263</f>
        <v>1</v>
      </c>
      <c r="V201" s="289">
        <f t="shared" ref="V201:X201" si="29">B39</f>
        <v>27</v>
      </c>
      <c r="W201" s="289" t="str">
        <f t="shared" si="29"/>
        <v>   2.2.6) Number of attacks using biological, chemical and/or radiological weapons</v>
      </c>
      <c r="X201" s="289">
        <f t="shared" si="29"/>
        <v>3</v>
      </c>
    </row>
    <row r="202" spans="1:24">
      <c r="A202" s="268">
        <f t="shared" si="1"/>
        <v>28</v>
      </c>
      <c r="B202" s="1" t="str">
        <f t="shared" si="2"/>
        <v> 3) INFRASTRUCTURE SECURITY</v>
      </c>
      <c r="C202" s="1">
        <f t="shared" si="3"/>
        <v>1</v>
      </c>
      <c r="R202" s="289">
        <f>tblIndiSets_2014_O!B264</f>
        <v>28</v>
      </c>
      <c r="S202" s="289" t="str">
        <f>tblIndiSets_2014_O!C264</f>
        <v>  3.1) Infrastructure Security (Inputs)</v>
      </c>
      <c r="T202" s="289">
        <f>tblIndiSets_2014_O!D264</f>
        <v>2</v>
      </c>
      <c r="V202" s="289">
        <f t="shared" ref="V202:X202" si="30">B40</f>
        <v>28</v>
      </c>
      <c r="W202" s="289" t="str">
        <f t="shared" si="30"/>
        <v> 3) INFRASTRUCTURE SECURITY</v>
      </c>
      <c r="X202" s="289">
        <f t="shared" si="30"/>
        <v>1</v>
      </c>
    </row>
    <row r="203" spans="1:24">
      <c r="A203" s="268">
        <f t="shared" si="1"/>
        <v>29</v>
      </c>
      <c r="B203" s="1" t="str">
        <f t="shared" si="2"/>
        <v>  3.1) Infrastructure security (Inputs)</v>
      </c>
      <c r="C203" s="1">
        <f t="shared" si="3"/>
        <v>2</v>
      </c>
      <c r="R203" s="289">
        <f>tblIndiSets_2014_O!B265</f>
        <v>29</v>
      </c>
      <c r="S203" s="289" t="str">
        <f>tblIndiSets_2014_O!C265</f>
        <v>   3.1.1) Enforcement of transport safety</v>
      </c>
      <c r="T203" s="289">
        <f>tblIndiSets_2014_O!D265</f>
        <v>3</v>
      </c>
      <c r="V203" s="289">
        <f t="shared" ref="V203:X203" si="31">B41</f>
        <v>29</v>
      </c>
      <c r="W203" s="289" t="str">
        <f t="shared" si="31"/>
        <v>  3.1) Infrastructure security (Inputs)</v>
      </c>
      <c r="X203" s="289">
        <f t="shared" si="31"/>
        <v>2</v>
      </c>
    </row>
    <row r="204" spans="1:24">
      <c r="A204" s="268">
        <f t="shared" si="1"/>
        <v>30</v>
      </c>
      <c r="B204" s="1" t="str">
        <f t="shared" si="2"/>
        <v>   3.1.1) Enforcement of transport safety</v>
      </c>
      <c r="C204" s="1">
        <f t="shared" si="3"/>
        <v>3</v>
      </c>
      <c r="R204" s="289">
        <f>tblIndiSets_2014_O!B266</f>
        <v>30</v>
      </c>
      <c r="S204" s="289" t="str">
        <f>tblIndiSets_2014_O!C266</f>
        <v>   3.1.2) Pedestrian friendliness</v>
      </c>
      <c r="T204" s="289">
        <f>tblIndiSets_2014_O!D266</f>
        <v>3</v>
      </c>
      <c r="V204" s="289">
        <f t="shared" ref="V204:X204" si="32">B42</f>
        <v>30</v>
      </c>
      <c r="W204" s="289" t="str">
        <f t="shared" si="32"/>
        <v>   3.1.1) Enforcement of transport safety</v>
      </c>
      <c r="X204" s="289">
        <f t="shared" si="32"/>
        <v>3</v>
      </c>
    </row>
    <row r="205" spans="1:24">
      <c r="A205" s="268">
        <f t="shared" si="1"/>
        <v>31</v>
      </c>
      <c r="B205" s="1" t="str">
        <f t="shared" si="2"/>
        <v>   3.1.2) Pedestrian friendliness</v>
      </c>
      <c r="C205" s="1">
        <f t="shared" si="3"/>
        <v>3</v>
      </c>
      <c r="R205" s="289">
        <f>tblIndiSets_2014_O!B267</f>
        <v>31</v>
      </c>
      <c r="S205" s="289" t="str">
        <f>tblIndiSets_2014_O!C267</f>
        <v>   3.1.3) Quality of road infrastructure</v>
      </c>
      <c r="T205" s="289">
        <f>tblIndiSets_2014_O!D267</f>
        <v>3</v>
      </c>
      <c r="V205" s="289">
        <f t="shared" ref="V205:X205" si="33">B43</f>
        <v>31</v>
      </c>
      <c r="W205" s="289" t="str">
        <f t="shared" si="33"/>
        <v>   3.1.2) Pedestrian friendliness</v>
      </c>
      <c r="X205" s="289">
        <f t="shared" si="33"/>
        <v>3</v>
      </c>
    </row>
    <row r="206" spans="1:24">
      <c r="A206" s="268">
        <f t="shared" si="1"/>
        <v>32</v>
      </c>
      <c r="B206" s="1" t="str">
        <f t="shared" si="2"/>
        <v>   3.1.3) Quality of road infrastructure</v>
      </c>
      <c r="C206" s="1">
        <f t="shared" si="3"/>
        <v>3</v>
      </c>
      <c r="R206" s="289">
        <f>tblIndiSets_2014_O!B268</f>
        <v>32</v>
      </c>
      <c r="S206" s="289" t="str">
        <f>tblIndiSets_2014_O!C268</f>
        <v>   3.1.4) Quality of electricity infrastructure</v>
      </c>
      <c r="T206" s="289">
        <f>tblIndiSets_2014_O!D268</f>
        <v>3</v>
      </c>
      <c r="V206" s="289">
        <f t="shared" ref="V206:X206" si="34">B44</f>
        <v>32</v>
      </c>
      <c r="W206" s="289" t="str">
        <f t="shared" si="34"/>
        <v>   3.1.3) Quality of road infrastructure</v>
      </c>
      <c r="X206" s="289">
        <f t="shared" si="34"/>
        <v>3</v>
      </c>
    </row>
    <row r="207" spans="1:24">
      <c r="A207" s="268">
        <f t="shared" si="1"/>
        <v>33</v>
      </c>
      <c r="B207" s="1" t="str">
        <f t="shared" si="2"/>
        <v>   3.1.4) Quality of electricity infrastructure</v>
      </c>
      <c r="C207" s="1">
        <f t="shared" si="3"/>
        <v>3</v>
      </c>
      <c r="R207" s="289">
        <f>tblIndiSets_2014_O!B269</f>
        <v>33</v>
      </c>
      <c r="S207" s="289" t="str">
        <f>tblIndiSets_2014_O!C269</f>
        <v>   3.1.5) Disaster Management/Business Continuity Plan</v>
      </c>
      <c r="T207" s="289">
        <f>tblIndiSets_2014_O!D269</f>
        <v>3</v>
      </c>
      <c r="V207" s="289">
        <f t="shared" ref="V207:X207" si="35">B45</f>
        <v>33</v>
      </c>
      <c r="W207" s="289" t="str">
        <f t="shared" si="35"/>
        <v>   3.1.4) Quality of electricity infrastructure</v>
      </c>
      <c r="X207" s="289">
        <f t="shared" si="35"/>
        <v>3</v>
      </c>
    </row>
    <row r="208" spans="1:24">
      <c r="A208" s="268">
        <f t="shared" si="1"/>
        <v>34</v>
      </c>
      <c r="B208" s="1" t="str">
        <f t="shared" si="2"/>
        <v>   3.1.5) Disaster management/business continuity plan</v>
      </c>
      <c r="C208" s="1">
        <f t="shared" si="3"/>
        <v>3</v>
      </c>
      <c r="R208" s="289">
        <f>tblIndiSets_2014_O!B270</f>
        <v>34</v>
      </c>
      <c r="S208" s="289" t="str">
        <f>tblIndiSets_2014_O!C270</f>
        <v>  3.2) Infrastructure Security (Outputs)</v>
      </c>
      <c r="T208" s="289">
        <f>tblIndiSets_2014_O!D270</f>
        <v>2</v>
      </c>
      <c r="V208" s="289">
        <f t="shared" ref="V208:X208" si="36">B46</f>
        <v>34</v>
      </c>
      <c r="W208" s="289" t="str">
        <f t="shared" si="36"/>
        <v>   3.1.5) Disaster management/business continuity plan</v>
      </c>
      <c r="X208" s="289">
        <f t="shared" si="36"/>
        <v>3</v>
      </c>
    </row>
    <row r="209" spans="1:24">
      <c r="A209" s="268">
        <f t="shared" si="1"/>
        <v>35</v>
      </c>
      <c r="B209" s="1" t="str">
        <f t="shared" si="2"/>
        <v>  3.2) Infrastructure security (Outputs)</v>
      </c>
      <c r="C209" s="1">
        <f t="shared" si="3"/>
        <v>2</v>
      </c>
      <c r="R209" s="289">
        <f>tblIndiSets_2014_O!B271</f>
        <v>35</v>
      </c>
      <c r="S209" s="289" t="str">
        <f>tblIndiSets_2014_O!C271</f>
        <v>   3.2.1) Death from natural disasters</v>
      </c>
      <c r="T209" s="289">
        <f>tblIndiSets_2014_O!D271</f>
        <v>3</v>
      </c>
      <c r="V209" s="289">
        <f t="shared" ref="V209:X209" si="37">B47</f>
        <v>35</v>
      </c>
      <c r="W209" s="289" t="str">
        <f t="shared" si="37"/>
        <v>  3.2) Infrastructure security (Outputs)</v>
      </c>
      <c r="X209" s="289">
        <f t="shared" si="37"/>
        <v>2</v>
      </c>
    </row>
    <row r="210" spans="1:24">
      <c r="A210" s="268">
        <f t="shared" si="1"/>
        <v>36</v>
      </c>
      <c r="B210" s="1" t="str">
        <f t="shared" si="2"/>
        <v>   3.2.1) Deaths from natural disaster</v>
      </c>
      <c r="C210" s="1">
        <f t="shared" si="3"/>
        <v>3</v>
      </c>
      <c r="R210" s="289">
        <f>tblIndiSets_2014_O!B272</f>
        <v>36</v>
      </c>
      <c r="S210" s="289" t="str">
        <f>tblIndiSets_2014_O!C272</f>
        <v>   3.2.2) Frequency of vehicular accidents</v>
      </c>
      <c r="T210" s="289">
        <f>tblIndiSets_2014_O!D272</f>
        <v>3</v>
      </c>
      <c r="V210" s="289">
        <f t="shared" ref="V210:X210" si="38">B48</f>
        <v>36</v>
      </c>
      <c r="W210" s="289" t="str">
        <f t="shared" si="38"/>
        <v>   3.2.1) Deaths from natural disaster</v>
      </c>
      <c r="X210" s="289">
        <f t="shared" si="38"/>
        <v>3</v>
      </c>
    </row>
    <row r="211" spans="1:24">
      <c r="A211" s="268">
        <f t="shared" si="1"/>
        <v>37</v>
      </c>
      <c r="B211" s="1" t="str">
        <f t="shared" si="2"/>
        <v>   3.2.2) Frequency of vehicular accidents</v>
      </c>
      <c r="C211" s="1">
        <f t="shared" si="3"/>
        <v>3</v>
      </c>
      <c r="R211" s="289">
        <f>tblIndiSets_2014_O!B273</f>
        <v>37</v>
      </c>
      <c r="S211" s="289" t="str">
        <f>tblIndiSets_2014_O!C273</f>
        <v>   3.2.3) Frequency of pedestrian deaths</v>
      </c>
      <c r="T211" s="289">
        <f>tblIndiSets_2014_O!D273</f>
        <v>3</v>
      </c>
      <c r="V211" s="289">
        <f t="shared" ref="V211:X211" si="39">B49</f>
        <v>37</v>
      </c>
      <c r="W211" s="289" t="str">
        <f t="shared" si="39"/>
        <v>   3.2.2) Frequency of vehicular accidents</v>
      </c>
      <c r="X211" s="289">
        <f t="shared" si="39"/>
        <v>3</v>
      </c>
    </row>
    <row r="212" spans="1:24">
      <c r="A212" s="268">
        <f t="shared" si="1"/>
        <v>38</v>
      </c>
      <c r="B212" s="1" t="str">
        <f t="shared" si="2"/>
        <v>   3.2.3) Frequency of pedestrian deaths</v>
      </c>
      <c r="C212" s="1">
        <f t="shared" si="3"/>
        <v>3</v>
      </c>
      <c r="R212" s="289">
        <f>tblIndiSets_2014_O!B274</f>
        <v>38</v>
      </c>
      <c r="S212" s="289" t="str">
        <f>tblIndiSets_2014_O!C274</f>
        <v>   3.2.4) Percent living in urban slums</v>
      </c>
      <c r="T212" s="289">
        <f>tblIndiSets_2014_O!D274</f>
        <v>3</v>
      </c>
      <c r="V212" s="289">
        <f t="shared" ref="V212:X212" si="40">B50</f>
        <v>38</v>
      </c>
      <c r="W212" s="289" t="str">
        <f t="shared" si="40"/>
        <v>   3.2.3) Frequency of pedestrian deaths</v>
      </c>
      <c r="X212" s="289">
        <f t="shared" si="40"/>
        <v>3</v>
      </c>
    </row>
    <row r="213" spans="1:24">
      <c r="A213" s="268">
        <f t="shared" si="1"/>
        <v>39</v>
      </c>
      <c r="B213" s="1" t="str">
        <f t="shared" si="2"/>
        <v>   3.2.4) Percentage living in slums</v>
      </c>
      <c r="C213" s="1">
        <f t="shared" si="3"/>
        <v>3</v>
      </c>
      <c r="R213" s="289">
        <f>tblIndiSets_2014_O!B275</f>
        <v>39</v>
      </c>
      <c r="S213" s="289" t="str">
        <f>tblIndiSets_2014_O!C275</f>
        <v> 4) PERSONAL SECURITY</v>
      </c>
      <c r="T213" s="289">
        <f>tblIndiSets_2014_O!D275</f>
        <v>1</v>
      </c>
      <c r="V213" s="289">
        <f t="shared" ref="V213:X213" si="41">B51</f>
        <v>39</v>
      </c>
      <c r="W213" s="289" t="str">
        <f t="shared" si="41"/>
        <v>   3.2.4) Percentage living in slums</v>
      </c>
      <c r="X213" s="289">
        <f t="shared" si="41"/>
        <v>3</v>
      </c>
    </row>
    <row r="214" spans="1:24">
      <c r="A214" s="268">
        <f t="shared" si="1"/>
        <v>40</v>
      </c>
      <c r="B214" s="1" t="str">
        <f t="shared" si="2"/>
        <v>   3.2.5) Number of attacks on facilities/infrastructure</v>
      </c>
      <c r="C214" s="1">
        <f t="shared" si="3"/>
        <v>3</v>
      </c>
      <c r="R214" s="289">
        <f>tblIndiSets_2014_O!B276</f>
        <v>40</v>
      </c>
      <c r="S214" s="289" t="str">
        <f>tblIndiSets_2014_O!C276</f>
        <v>  4.1) Personal Security (Inputs)</v>
      </c>
      <c r="T214" s="289">
        <f>tblIndiSets_2014_O!D276</f>
        <v>2</v>
      </c>
      <c r="V214" s="289">
        <f t="shared" ref="V214:X214" si="42">B52</f>
        <v>40</v>
      </c>
      <c r="W214" s="289" t="str">
        <f t="shared" si="42"/>
        <v>   3.2.5) Number of attacks on facilities/infrastructure</v>
      </c>
      <c r="X214" s="289">
        <f t="shared" si="42"/>
        <v>3</v>
      </c>
    </row>
    <row r="215" spans="1:24">
      <c r="A215" s="268">
        <f t="shared" si="1"/>
        <v>41</v>
      </c>
      <c r="B215" s="1" t="str">
        <f t="shared" si="2"/>
        <v> 4) PERSONAL SECURITY</v>
      </c>
      <c r="C215" s="1">
        <f t="shared" si="3"/>
        <v>1</v>
      </c>
      <c r="R215" s="289">
        <f>tblIndiSets_2014_O!B277</f>
        <v>41</v>
      </c>
      <c r="S215" s="289" t="str">
        <f>tblIndiSets_2014_O!C277</f>
        <v>   4.1.1) Level of police engagement</v>
      </c>
      <c r="T215" s="289">
        <f>tblIndiSets_2014_O!D277</f>
        <v>3</v>
      </c>
      <c r="V215" s="289">
        <f t="shared" ref="V215:X215" si="43">B53</f>
        <v>41</v>
      </c>
      <c r="W215" s="289" t="str">
        <f t="shared" si="43"/>
        <v> 4) PERSONAL SECURITY</v>
      </c>
      <c r="X215" s="289">
        <f t="shared" si="43"/>
        <v>1</v>
      </c>
    </row>
    <row r="216" spans="1:24">
      <c r="A216" s="268">
        <f t="shared" si="1"/>
        <v>42</v>
      </c>
      <c r="B216" s="1" t="str">
        <f t="shared" si="2"/>
        <v>  4.1) Personal security (Inputs)</v>
      </c>
      <c r="C216" s="1">
        <f t="shared" si="3"/>
        <v>2</v>
      </c>
      <c r="R216" s="289">
        <f>tblIndiSets_2014_O!B278</f>
        <v>42</v>
      </c>
      <c r="S216" s="289" t="str">
        <f>tblIndiSets_2014_O!C278</f>
        <v>   4.1.2) Community-based patrolling</v>
      </c>
      <c r="T216" s="289">
        <f>tblIndiSets_2014_O!D278</f>
        <v>3</v>
      </c>
      <c r="V216" s="289">
        <f t="shared" ref="V216:X216" si="44">B54</f>
        <v>42</v>
      </c>
      <c r="W216" s="289" t="str">
        <f t="shared" si="44"/>
        <v>  4.1) Personal security (Inputs)</v>
      </c>
      <c r="X216" s="289">
        <f t="shared" si="44"/>
        <v>2</v>
      </c>
    </row>
    <row r="217" spans="1:24">
      <c r="A217" s="268">
        <f t="shared" si="1"/>
        <v>43</v>
      </c>
      <c r="B217" s="1" t="str">
        <f t="shared" si="2"/>
        <v>   4.1.1) Level of police engagement</v>
      </c>
      <c r="C217" s="1">
        <f t="shared" si="3"/>
        <v>3</v>
      </c>
      <c r="R217" s="289">
        <f>tblIndiSets_2014_O!B279</f>
        <v>43</v>
      </c>
      <c r="S217" s="289" t="str">
        <f>tblIndiSets_2014_O!C279</f>
        <v>   4.1.3) Availability of street-level crime data</v>
      </c>
      <c r="T217" s="289">
        <f>tblIndiSets_2014_O!D279</f>
        <v>3</v>
      </c>
      <c r="V217" s="289">
        <f t="shared" ref="V217:X217" si="45">B55</f>
        <v>43</v>
      </c>
      <c r="W217" s="289" t="str">
        <f t="shared" si="45"/>
        <v>   4.1.1) Level of police engagement</v>
      </c>
      <c r="X217" s="289">
        <f t="shared" si="45"/>
        <v>3</v>
      </c>
    </row>
    <row r="218" spans="1:24">
      <c r="A218" s="268">
        <f t="shared" si="1"/>
        <v>44</v>
      </c>
      <c r="B218" s="1" t="str">
        <f t="shared" si="2"/>
        <v>   4.1.2) Community-based patrolling</v>
      </c>
      <c r="C218" s="1">
        <f t="shared" si="3"/>
        <v>3</v>
      </c>
      <c r="R218" s="289">
        <f>tblIndiSets_2014_O!B280</f>
        <v>44</v>
      </c>
      <c r="S218" s="289" t="str">
        <f>tblIndiSets_2014_O!C280</f>
        <v>   4.1.4) Use of data-driven techniques for crime</v>
      </c>
      <c r="T218" s="289">
        <f>tblIndiSets_2014_O!D280</f>
        <v>3</v>
      </c>
      <c r="V218" s="289">
        <f t="shared" ref="V218:X218" si="46">B56</f>
        <v>44</v>
      </c>
      <c r="W218" s="289" t="str">
        <f t="shared" si="46"/>
        <v>   4.1.2) Community-based patrolling</v>
      </c>
      <c r="X218" s="289">
        <f t="shared" si="46"/>
        <v>3</v>
      </c>
    </row>
    <row r="219" spans="1:24">
      <c r="A219" s="268">
        <f t="shared" si="1"/>
        <v>45</v>
      </c>
      <c r="B219" s="1" t="str">
        <f t="shared" si="2"/>
        <v>   4.1.3) Available street-level crime data</v>
      </c>
      <c r="C219" s="1">
        <f t="shared" si="3"/>
        <v>3</v>
      </c>
      <c r="R219" s="289">
        <f>tblIndiSets_2014_O!B281</f>
        <v>45</v>
      </c>
      <c r="S219" s="289" t="str">
        <f>tblIndiSets_2014_O!C281</f>
        <v>   4.1.5) Private security measures</v>
      </c>
      <c r="T219" s="289">
        <f>tblIndiSets_2014_O!D281</f>
        <v>3</v>
      </c>
      <c r="V219" s="289">
        <f t="shared" ref="V219:X219" si="47">B57</f>
        <v>45</v>
      </c>
      <c r="W219" s="289" t="str">
        <f t="shared" si="47"/>
        <v>   4.1.3) Available street-level crime data</v>
      </c>
      <c r="X219" s="289">
        <f t="shared" si="47"/>
        <v>3</v>
      </c>
    </row>
    <row r="220" spans="1:24">
      <c r="A220" s="268">
        <f t="shared" si="1"/>
        <v>46</v>
      </c>
      <c r="B220" s="1" t="str">
        <f t="shared" si="2"/>
        <v>   4.1.4) Use of data-driven techniques for crime</v>
      </c>
      <c r="C220" s="1">
        <f t="shared" si="3"/>
        <v>3</v>
      </c>
      <c r="R220" s="289">
        <f>tblIndiSets_2014_O!B282</f>
        <v>46</v>
      </c>
      <c r="S220" s="289" t="str">
        <f>tblIndiSets_2014_O!C282</f>
        <v>   4.1.6) Gun regulation and enforcement</v>
      </c>
      <c r="T220" s="289">
        <f>tblIndiSets_2014_O!D282</f>
        <v>3</v>
      </c>
      <c r="V220" s="289">
        <f t="shared" ref="V220:X220" si="48">B58</f>
        <v>46</v>
      </c>
      <c r="W220" s="289" t="str">
        <f t="shared" si="48"/>
        <v>   4.1.4) Use of data-driven techniques for crime</v>
      </c>
      <c r="X220" s="289">
        <f t="shared" si="48"/>
        <v>3</v>
      </c>
    </row>
    <row r="221" spans="1:24">
      <c r="A221" s="268">
        <f t="shared" si="1"/>
        <v>47</v>
      </c>
      <c r="B221" s="1" t="str">
        <f t="shared" si="2"/>
        <v>   4.1.5) Private security measures</v>
      </c>
      <c r="C221" s="1">
        <f t="shared" si="3"/>
        <v>3</v>
      </c>
      <c r="R221" s="289">
        <f>tblIndiSets_2014_O!B283</f>
        <v>47</v>
      </c>
      <c r="S221" s="289" t="str">
        <f>tblIndiSets_2014_O!C283</f>
        <v>   4.1.7) Political Stability Risk</v>
      </c>
      <c r="T221" s="289">
        <f>tblIndiSets_2014_O!D283</f>
        <v>3</v>
      </c>
      <c r="V221" s="289">
        <f t="shared" ref="V221:X221" si="49">B59</f>
        <v>47</v>
      </c>
      <c r="W221" s="289" t="str">
        <f t="shared" si="49"/>
        <v>   4.1.5) Private security measures</v>
      </c>
      <c r="X221" s="289">
        <f t="shared" si="49"/>
        <v>3</v>
      </c>
    </row>
    <row r="222" spans="1:24">
      <c r="A222" s="268">
        <f t="shared" si="1"/>
        <v>48</v>
      </c>
      <c r="B222" s="1" t="str">
        <f t="shared" si="2"/>
        <v>   4.1.6) Gun regulation and enforcement</v>
      </c>
      <c r="C222" s="1">
        <f t="shared" si="3"/>
        <v>3</v>
      </c>
      <c r="R222" s="289">
        <f>tblIndiSets_2014_O!B284</f>
        <v>48</v>
      </c>
      <c r="S222" s="289" t="str">
        <f>tblIndiSets_2014_O!C284</f>
        <v>  4.2) Personal Security (Outputs)</v>
      </c>
      <c r="T222" s="289">
        <f>tblIndiSets_2014_O!D284</f>
        <v>2</v>
      </c>
      <c r="V222" s="289">
        <f t="shared" ref="V222:X222" si="50">B60</f>
        <v>48</v>
      </c>
      <c r="W222" s="289" t="str">
        <f t="shared" si="50"/>
        <v>   4.1.6) Gun regulation and enforcement</v>
      </c>
      <c r="X222" s="289">
        <f t="shared" si="50"/>
        <v>3</v>
      </c>
    </row>
    <row r="223" spans="1:24">
      <c r="A223" s="268">
        <f t="shared" si="1"/>
        <v>49</v>
      </c>
      <c r="B223" s="1" t="str">
        <f t="shared" si="2"/>
        <v>   4.1.7) Political stability risk</v>
      </c>
      <c r="C223" s="1">
        <f t="shared" si="3"/>
        <v>3</v>
      </c>
      <c r="R223" s="289">
        <f>tblIndiSets_2014_O!B285</f>
        <v>49</v>
      </c>
      <c r="S223" s="289" t="str">
        <f>tblIndiSets_2014_O!C285</f>
        <v>   4.2.1) Prevalence of petty crime</v>
      </c>
      <c r="T223" s="289">
        <f>tblIndiSets_2014_O!D285</f>
        <v>3</v>
      </c>
      <c r="V223" s="289">
        <f t="shared" ref="V223:X223" si="51">B61</f>
        <v>49</v>
      </c>
      <c r="W223" s="289" t="str">
        <f t="shared" si="51"/>
        <v>   4.1.7) Political stability risk</v>
      </c>
      <c r="X223" s="289">
        <f t="shared" si="51"/>
        <v>3</v>
      </c>
    </row>
    <row r="224" spans="1:24">
      <c r="A224" s="268">
        <f t="shared" si="1"/>
        <v>50</v>
      </c>
      <c r="B224" s="1" t="str">
        <f t="shared" si="2"/>
        <v>  4.2) Personal security (Outputs)</v>
      </c>
      <c r="C224" s="1">
        <f t="shared" si="3"/>
        <v>2</v>
      </c>
      <c r="R224" s="289">
        <f>tblIndiSets_2014_O!B286</f>
        <v>50</v>
      </c>
      <c r="S224" s="289" t="str">
        <f>tblIndiSets_2014_O!C286</f>
        <v>   4.2.2) Prevalence of violence crime</v>
      </c>
      <c r="T224" s="289">
        <f>tblIndiSets_2014_O!D286</f>
        <v>3</v>
      </c>
      <c r="V224" s="289">
        <f t="shared" ref="V224:X224" si="52">B62</f>
        <v>50</v>
      </c>
      <c r="W224" s="289" t="str">
        <f t="shared" si="52"/>
        <v>  4.2) Personal security (Outputs)</v>
      </c>
      <c r="X224" s="289">
        <f t="shared" si="52"/>
        <v>2</v>
      </c>
    </row>
    <row r="225" spans="1:24">
      <c r="A225" s="268">
        <f t="shared" si="1"/>
        <v>51</v>
      </c>
      <c r="B225" s="1" t="str">
        <f t="shared" si="2"/>
        <v>   4.2.1) Prevalence of petty crime</v>
      </c>
      <c r="C225" s="1">
        <f t="shared" si="3"/>
        <v>3</v>
      </c>
      <c r="R225" s="289">
        <f>tblIndiSets_2014_O!B287</f>
        <v>51</v>
      </c>
      <c r="S225" s="289" t="str">
        <f>tblIndiSets_2014_O!C287</f>
        <v>   4.2.3) Criminal gang activity</v>
      </c>
      <c r="T225" s="289">
        <f>tblIndiSets_2014_O!D287</f>
        <v>3</v>
      </c>
      <c r="V225" s="289">
        <f t="shared" ref="V225:X225" si="53">B63</f>
        <v>51</v>
      </c>
      <c r="W225" s="289" t="str">
        <f t="shared" si="53"/>
        <v>   4.2.1) Prevalence of petty crime</v>
      </c>
      <c r="X225" s="289">
        <f t="shared" si="53"/>
        <v>3</v>
      </c>
    </row>
    <row r="226" spans="1:24">
      <c r="A226" s="268">
        <f t="shared" si="1"/>
        <v>52</v>
      </c>
      <c r="B226" s="1" t="str">
        <f t="shared" si="2"/>
        <v>   4.2.2) Prevalence of violent crime</v>
      </c>
      <c r="C226" s="1">
        <f t="shared" si="3"/>
        <v>3</v>
      </c>
      <c r="R226" s="289">
        <f>tblIndiSets_2014_O!B288</f>
        <v>52</v>
      </c>
      <c r="S226" s="289" t="str">
        <f>tblIndiSets_2014_O!C288</f>
        <v>   4.2.4) Level of corruption in police force</v>
      </c>
      <c r="T226" s="289">
        <f>tblIndiSets_2014_O!D288</f>
        <v>3</v>
      </c>
      <c r="V226" s="289">
        <f t="shared" ref="V226:X226" si="54">B64</f>
        <v>52</v>
      </c>
      <c r="W226" s="289" t="str">
        <f t="shared" si="54"/>
        <v>   4.2.2) Prevalence of violent crime</v>
      </c>
      <c r="X226" s="289">
        <f t="shared" si="54"/>
        <v>3</v>
      </c>
    </row>
    <row r="227" spans="1:24">
      <c r="A227" s="268">
        <f t="shared" si="1"/>
        <v>53</v>
      </c>
      <c r="B227" s="1" t="str">
        <f t="shared" si="2"/>
        <v>   4.2.3) Organised crime</v>
      </c>
      <c r="C227" s="1">
        <f t="shared" si="3"/>
        <v>3</v>
      </c>
      <c r="R227" s="289">
        <f>tblIndiSets_2014_O!B289</f>
        <v>53</v>
      </c>
      <c r="S227" s="289" t="str">
        <f>tblIndiSets_2014_O!C289</f>
        <v>   4.2.5) Rate of drug use</v>
      </c>
      <c r="T227" s="289">
        <f>tblIndiSets_2014_O!D289</f>
        <v>3</v>
      </c>
      <c r="V227" s="289">
        <f t="shared" ref="V227:X227" si="55">B65</f>
        <v>53</v>
      </c>
      <c r="W227" s="289" t="str">
        <f t="shared" si="55"/>
        <v>   4.2.3) Organised crime</v>
      </c>
      <c r="X227" s="289">
        <f t="shared" si="55"/>
        <v>3</v>
      </c>
    </row>
    <row r="228" spans="1:24">
      <c r="A228" s="268">
        <f t="shared" si="1"/>
        <v>54</v>
      </c>
      <c r="B228" s="1" t="str">
        <f t="shared" si="2"/>
        <v>   4.2.4) Level of corruption</v>
      </c>
      <c r="C228" s="1">
        <f t="shared" si="3"/>
        <v>3</v>
      </c>
      <c r="R228" s="289">
        <f>tblIndiSets_2014_O!B290</f>
        <v>54</v>
      </c>
      <c r="S228" s="289" t="str">
        <f>tblIndiSets_2014_O!C290</f>
        <v>   4.2.6) Frequency of terrorist attacks</v>
      </c>
      <c r="T228" s="289">
        <f>tblIndiSets_2014_O!D290</f>
        <v>3</v>
      </c>
      <c r="V228" s="289">
        <f t="shared" ref="V228:X228" si="56">B66</f>
        <v>54</v>
      </c>
      <c r="W228" s="289" t="str">
        <f t="shared" si="56"/>
        <v>   4.2.4) Level of corruption</v>
      </c>
      <c r="X228" s="289">
        <f t="shared" si="56"/>
        <v>3</v>
      </c>
    </row>
    <row r="229" spans="1:24">
      <c r="A229" s="268">
        <f t="shared" si="1"/>
        <v>55</v>
      </c>
      <c r="B229" s="1" t="str">
        <f t="shared" si="2"/>
        <v>   4.2.5) Rate of drug use </v>
      </c>
      <c r="C229" s="1">
        <f t="shared" si="3"/>
        <v>3</v>
      </c>
      <c r="R229" s="289">
        <f>tblIndiSets_2014_O!B291</f>
        <v>55</v>
      </c>
      <c r="S229" s="289" t="str">
        <f>tblIndiSets_2014_O!C291</f>
        <v>   4.2.7) Gender safety</v>
      </c>
      <c r="T229" s="289">
        <f>tblIndiSets_2014_O!D291</f>
        <v>3</v>
      </c>
      <c r="V229" s="289">
        <f t="shared" ref="V229:X229" si="57">B67</f>
        <v>55</v>
      </c>
      <c r="W229" s="289" t="str">
        <f t="shared" si="57"/>
        <v>   4.2.5) Rate of drug use </v>
      </c>
      <c r="X229" s="289">
        <f t="shared" si="57"/>
        <v>3</v>
      </c>
    </row>
    <row r="230" spans="1:24">
      <c r="A230" s="268">
        <f t="shared" si="1"/>
        <v>56</v>
      </c>
      <c r="B230" s="1" t="str">
        <f t="shared" si="2"/>
        <v>   4.2.6) Frequency of terrorist attacks </v>
      </c>
      <c r="C230" s="1">
        <f t="shared" si="3"/>
        <v>3</v>
      </c>
      <c r="R230" s="289">
        <f>tblIndiSets_2014_O!B292</f>
        <v>56</v>
      </c>
      <c r="S230" s="289" t="str">
        <f>tblIndiSets_2014_O!C292</f>
        <v>   4.2.8) Perceptions of safety</v>
      </c>
      <c r="T230" s="289">
        <f>tblIndiSets_2014_O!D292</f>
        <v>3</v>
      </c>
      <c r="V230" s="289">
        <f t="shared" ref="V230:X230" si="58">B68</f>
        <v>56</v>
      </c>
      <c r="W230" s="289" t="str">
        <f t="shared" si="58"/>
        <v>   4.2.6) Frequency of terrorist attacks </v>
      </c>
      <c r="X230" s="289">
        <f t="shared" si="58"/>
        <v>3</v>
      </c>
    </row>
    <row r="231" spans="1:24">
      <c r="A231" s="268">
        <f t="shared" si="1"/>
        <v>57</v>
      </c>
      <c r="B231" s="1" t="str">
        <f t="shared" si="2"/>
        <v>   4.2.7) Severity of terrorist attacks</v>
      </c>
      <c r="C231" s="1">
        <f t="shared" si="3"/>
        <v>3</v>
      </c>
      <c r="V231" s="289">
        <f t="shared" ref="V231:X231" si="59">B69</f>
        <v>57</v>
      </c>
      <c r="W231" s="289" t="str">
        <f t="shared" si="59"/>
        <v>   4.2.7) Severity of terrorist attacks</v>
      </c>
      <c r="X231" s="289">
        <f t="shared" si="59"/>
        <v>3</v>
      </c>
    </row>
    <row r="232" spans="1:24">
      <c r="A232" s="268">
        <f t="shared" si="1"/>
        <v>58</v>
      </c>
      <c r="B232" s="1" t="str">
        <f t="shared" si="2"/>
        <v>   4.2.8) Gender safety</v>
      </c>
      <c r="C232" s="1">
        <f t="shared" si="3"/>
        <v>3</v>
      </c>
      <c r="V232" s="289">
        <f t="shared" ref="V232:X232" si="60">B70</f>
        <v>58</v>
      </c>
      <c r="W232" s="289" t="str">
        <f t="shared" si="60"/>
        <v>   4.2.8) Gender safety</v>
      </c>
      <c r="X232" s="289">
        <f t="shared" si="60"/>
        <v>3</v>
      </c>
    </row>
    <row r="233" spans="1:24">
      <c r="A233" s="268">
        <f t="shared" si="1"/>
        <v>59</v>
      </c>
      <c r="B233" s="1" t="str">
        <f t="shared" si="2"/>
        <v>   4.2.9) Perceptions of safety</v>
      </c>
      <c r="C233" s="1">
        <f t="shared" si="3"/>
        <v>3</v>
      </c>
      <c r="V233" s="289">
        <f t="shared" ref="V233:X233" si="61">B71</f>
        <v>59</v>
      </c>
      <c r="W233" s="289" t="str">
        <f t="shared" si="61"/>
        <v>   4.2.9) Perceptions of safety</v>
      </c>
      <c r="X233" s="289">
        <f t="shared" si="61"/>
        <v>3</v>
      </c>
    </row>
    <row r="234" spans="1:24">
      <c r="A234" s="268">
        <f t="shared" si="1"/>
        <v>60</v>
      </c>
      <c r="B234" s="1" t="str">
        <f t="shared" si="2"/>
        <v>   4.2.10) Threat of terrorism</v>
      </c>
      <c r="C234" s="1">
        <f t="shared" si="3"/>
        <v>3</v>
      </c>
      <c r="V234" s="289">
        <f t="shared" ref="V234:X234" si="62">B72</f>
        <v>60</v>
      </c>
      <c r="W234" s="289" t="str">
        <f t="shared" si="62"/>
        <v>   4.2.10) Threat of terrorism</v>
      </c>
      <c r="X234" s="289">
        <f t="shared" si="62"/>
        <v>3</v>
      </c>
    </row>
    <row r="235" spans="1:24">
      <c r="A235" s="268">
        <f t="shared" si="1"/>
        <v>61</v>
      </c>
      <c r="B235" s="1" t="str">
        <f t="shared" si="2"/>
        <v>   4.2.11) Threat of military conflict</v>
      </c>
      <c r="C235" s="1">
        <f t="shared" si="3"/>
        <v>3</v>
      </c>
      <c r="V235" s="289">
        <f t="shared" ref="V235:X235" si="63">B73</f>
        <v>61</v>
      </c>
      <c r="W235" s="289" t="str">
        <f t="shared" si="63"/>
        <v>   4.2.11) Threat of military conflict</v>
      </c>
      <c r="X235" s="289">
        <f t="shared" si="63"/>
        <v>3</v>
      </c>
    </row>
    <row r="236" spans="1:24">
      <c r="A236" s="268">
        <f t="shared" si="1"/>
        <v>62</v>
      </c>
      <c r="B236" s="1" t="str">
        <f t="shared" si="2"/>
        <v>   4.2.12) Threat of civil unrest</v>
      </c>
      <c r="C236" s="1">
        <f t="shared" si="3"/>
        <v>3</v>
      </c>
      <c r="V236" s="289">
        <f t="shared" ref="V236:X236" si="64">B74</f>
        <v>62</v>
      </c>
      <c r="W236" s="289" t="str">
        <f t="shared" si="64"/>
        <v>   4.2.12) Threat of civil unrest</v>
      </c>
      <c r="X236" s="289">
        <f t="shared" si="64"/>
        <v>3</v>
      </c>
    </row>
    <row r="237" spans="22:24">
      <c r="V237" s="289"/>
      <c r="W237" s="289"/>
      <c r="X237" s="289"/>
    </row>
    <row r="238" spans="22:24">
      <c r="V238" s="289"/>
      <c r="W238" s="289"/>
      <c r="X238" s="289"/>
    </row>
    <row r="239" spans="22:24">
      <c r="V239" s="289"/>
      <c r="W239" s="289"/>
      <c r="X239" s="289"/>
    </row>
    <row r="240" spans="1:24">
      <c r="A240" s="268" t="s">
        <v>256</v>
      </c>
      <c r="V240" s="289"/>
      <c r="W240" s="289"/>
      <c r="X240" s="289"/>
    </row>
    <row r="242" spans="1:1">
      <c r="A242" s="268" t="s">
        <v>257</v>
      </c>
    </row>
    <row r="243" spans="1:1">
      <c r="A243" s="268" t="s">
        <v>97</v>
      </c>
    </row>
    <row r="244" spans="1:1">
      <c r="A244" s="268" t="s">
        <v>258</v>
      </c>
    </row>
    <row r="245" spans="2:6">
      <c r="B245" s="1" t="s">
        <v>43</v>
      </c>
      <c r="F245" s="1" t="s">
        <v>255</v>
      </c>
    </row>
    <row r="246" spans="1:8">
      <c r="A246" s="268">
        <f>IF(ISERROR(INDEX('tblIndicators_2014-O'!$F$2:$F$57,B246)),"x",INDEX('tblIndicators_2014-O'!$F$2:$F$57,B246))</f>
        <v>0</v>
      </c>
      <c r="B246" s="1">
        <v>1</v>
      </c>
      <c r="C246" s="1" t="s">
        <v>27</v>
      </c>
      <c r="D246" s="1">
        <v>0</v>
      </c>
      <c r="F246" s="1">
        <f>V175</f>
        <v>1</v>
      </c>
      <c r="G246" s="1" t="str">
        <f t="shared" ref="G246:H246" si="65">W175</f>
        <v>OVERALL SCORE</v>
      </c>
      <c r="H246" s="1">
        <f t="shared" si="65"/>
        <v>0</v>
      </c>
    </row>
    <row r="247" spans="1:8">
      <c r="A247" s="268">
        <f>IF(ISERROR(INDEX('tblIndicators_2014-O'!$F$2:$F$57,B247)),"x",INDEX('tblIndicators_2014-O'!$F$2:$F$57,B247))</f>
        <v>1</v>
      </c>
      <c r="B247" s="1">
        <v>2</v>
      </c>
      <c r="C247" s="1" t="s">
        <v>259</v>
      </c>
      <c r="D247" s="1">
        <v>1</v>
      </c>
      <c r="F247" s="1">
        <f t="shared" ref="F247:F305" si="66">V176</f>
        <v>2</v>
      </c>
      <c r="G247" s="1" t="str">
        <f t="shared" ref="G247:G305" si="67">W176</f>
        <v> 1) DIGITAL SECURITY</v>
      </c>
      <c r="H247" s="1">
        <f t="shared" ref="H247:H305" si="68">X176</f>
        <v>1</v>
      </c>
    </row>
    <row r="248" spans="1:8">
      <c r="A248" s="268">
        <f>IF(ISERROR(INDEX('tblIndicators_2014-O'!$F$2:$F$57,B248)),"x",INDEX('tblIndicators_2014-O'!$F$2:$F$57,B248))</f>
        <v>1.1</v>
      </c>
      <c r="B248" s="1">
        <v>3</v>
      </c>
      <c r="C248" s="1" t="s">
        <v>260</v>
      </c>
      <c r="D248" s="1">
        <v>2</v>
      </c>
      <c r="F248" s="1">
        <f t="shared" si="66"/>
        <v>3</v>
      </c>
      <c r="G248" s="1" t="str">
        <f t="shared" si="67"/>
        <v>  1.1) Digital security (Inputs)</v>
      </c>
      <c r="H248" s="1">
        <f t="shared" si="68"/>
        <v>2</v>
      </c>
    </row>
    <row r="249" spans="1:8">
      <c r="A249" s="268" t="str">
        <f>IF(ISERROR(INDEX('tblIndicators_2014-O'!$F$2:$F$57,B249)),"x",INDEX('tblIndicators_2014-O'!$F$2:$F$57,B249))</f>
        <v>1.1.1</v>
      </c>
      <c r="B249" s="1">
        <v>4</v>
      </c>
      <c r="C249" s="1" t="s">
        <v>261</v>
      </c>
      <c r="D249" s="1">
        <v>3</v>
      </c>
      <c r="F249" s="1">
        <f t="shared" si="66"/>
        <v>4</v>
      </c>
      <c r="G249" s="1" t="str">
        <f t="shared" si="67"/>
        <v>   1.1.1) Privacy policy</v>
      </c>
      <c r="H249" s="1">
        <f t="shared" si="68"/>
        <v>3</v>
      </c>
    </row>
    <row r="250" spans="1:8">
      <c r="A250" s="268" t="str">
        <f>IF(ISERROR(INDEX('tblIndicators_2014-O'!$F$2:$F$57,B250)),"x",INDEX('tblIndicators_2014-O'!$F$2:$F$57,B250))</f>
        <v>1.1.2</v>
      </c>
      <c r="B250" s="1">
        <v>5</v>
      </c>
      <c r="C250" s="1" t="s">
        <v>262</v>
      </c>
      <c r="D250" s="1">
        <v>3</v>
      </c>
      <c r="F250" s="1">
        <f t="shared" si="66"/>
        <v>5</v>
      </c>
      <c r="G250" s="1" t="str">
        <f t="shared" si="67"/>
        <v>   1.1.2) Citizen awareness of digital threats</v>
      </c>
      <c r="H250" s="1">
        <f t="shared" si="68"/>
        <v>3</v>
      </c>
    </row>
    <row r="251" spans="1:8">
      <c r="A251" s="268" t="str">
        <f>IF(ISERROR(INDEX('tblIndicators_2014-O'!$F$2:$F$57,B251)),"x",INDEX('tblIndicators_2014-O'!$F$2:$F$57,B251))</f>
        <v>1.1.3</v>
      </c>
      <c r="B251" s="1">
        <v>6</v>
      </c>
      <c r="C251" s="1" t="s">
        <v>263</v>
      </c>
      <c r="D251" s="1">
        <v>3</v>
      </c>
      <c r="F251" s="1">
        <f t="shared" si="66"/>
        <v>6</v>
      </c>
      <c r="G251" s="1" t="str">
        <f t="shared" si="67"/>
        <v>   1.1.3) Public-private partnerships</v>
      </c>
      <c r="H251" s="1">
        <f t="shared" si="68"/>
        <v>3</v>
      </c>
    </row>
    <row r="252" spans="1:8">
      <c r="A252" s="268" t="str">
        <f>IF(ISERROR(INDEX('tblIndicators_2014-O'!$F$2:$F$57,B252)),"x",INDEX('tblIndicators_2014-O'!$F$2:$F$57,B252))</f>
        <v>1.1.4</v>
      </c>
      <c r="B252" s="1">
        <v>7</v>
      </c>
      <c r="C252" s="1" t="s">
        <v>264</v>
      </c>
      <c r="D252" s="1">
        <v>3</v>
      </c>
      <c r="F252" s="1">
        <f t="shared" si="66"/>
        <v>7</v>
      </c>
      <c r="G252" s="1" t="str">
        <f t="shared" si="67"/>
        <v>   1.1.4) Level of technology employed</v>
      </c>
      <c r="H252" s="1">
        <f t="shared" si="68"/>
        <v>3</v>
      </c>
    </row>
    <row r="253" spans="1:8">
      <c r="A253" s="268" t="str">
        <f>IF(ISERROR(INDEX('tblIndicators_2014-O'!$F$2:$F$57,B253)),"x",INDEX('tblIndicators_2014-O'!$F$2:$F$57,B253))</f>
        <v>1.1.5</v>
      </c>
      <c r="B253" s="1">
        <v>8</v>
      </c>
      <c r="C253" s="1" t="s">
        <v>265</v>
      </c>
      <c r="D253" s="1">
        <v>3</v>
      </c>
      <c r="F253" s="1">
        <f t="shared" si="66"/>
        <v>8</v>
      </c>
      <c r="G253" s="1" t="str">
        <f t="shared" si="67"/>
        <v>   1.1.5) Dedicated cyber security teams</v>
      </c>
      <c r="H253" s="1">
        <f t="shared" si="68"/>
        <v>3</v>
      </c>
    </row>
    <row r="254" spans="1:8">
      <c r="A254" s="268">
        <f>IF(ISERROR(INDEX('tblIndicators_2014-O'!$F$2:$F$57,B254)),"x",INDEX('tblIndicators_2014-O'!$F$2:$F$57,B254))</f>
        <v>1.2</v>
      </c>
      <c r="B254" s="1">
        <v>9</v>
      </c>
      <c r="C254" s="1" t="s">
        <v>266</v>
      </c>
      <c r="D254" s="1">
        <v>2</v>
      </c>
      <c r="F254" s="1">
        <f t="shared" si="66"/>
        <v>9</v>
      </c>
      <c r="G254" s="1" t="str">
        <f t="shared" si="67"/>
        <v>  1.2) Digital security (Outputs)</v>
      </c>
      <c r="H254" s="1">
        <f t="shared" si="68"/>
        <v>2</v>
      </c>
    </row>
    <row r="255" spans="1:8">
      <c r="A255" s="268" t="str">
        <f>IF(ISERROR(INDEX('tblIndicators_2014-O'!$F$2:$F$57,B255)),"x",INDEX('tblIndicators_2014-O'!$F$2:$F$57,B255))</f>
        <v>1.2.1</v>
      </c>
      <c r="B255" s="1">
        <v>10</v>
      </c>
      <c r="C255" s="1" t="s">
        <v>267</v>
      </c>
      <c r="D255" s="1">
        <v>3</v>
      </c>
      <c r="F255" s="1">
        <f t="shared" si="66"/>
        <v>10</v>
      </c>
      <c r="G255" s="1" t="str">
        <f t="shared" si="67"/>
        <v>   1.2.1) Frequency of identity theft</v>
      </c>
      <c r="H255" s="1">
        <f t="shared" si="68"/>
        <v>3</v>
      </c>
    </row>
    <row r="256" spans="1:8">
      <c r="A256" s="268" t="str">
        <f>IF(ISERROR(INDEX('tblIndicators_2014-O'!$F$2:$F$57,B256)),"x",INDEX('tblIndicators_2014-O'!$F$2:$F$57,B256))</f>
        <v>1.2.2</v>
      </c>
      <c r="B256" s="1">
        <v>11</v>
      </c>
      <c r="C256" s="1" t="s">
        <v>268</v>
      </c>
      <c r="D256" s="1">
        <v>3</v>
      </c>
      <c r="F256" s="1">
        <f t="shared" si="66"/>
        <v>11</v>
      </c>
      <c r="G256" s="1" t="str">
        <f t="shared" si="67"/>
        <v>   1.2.2) Percentage of computers infected</v>
      </c>
      <c r="H256" s="1">
        <f t="shared" si="68"/>
        <v>3</v>
      </c>
    </row>
    <row r="257" spans="1:8">
      <c r="A257" s="268" t="str">
        <f>IF(ISERROR(INDEX('tblIndicators_2014-O'!$F$2:$F$57,B257)),"x",INDEX('tblIndicators_2014-O'!$F$2:$F$57,B257))</f>
        <v>1.2.3</v>
      </c>
      <c r="B257" s="1">
        <v>12</v>
      </c>
      <c r="C257" s="1" t="s">
        <v>269</v>
      </c>
      <c r="D257" s="1">
        <v>3</v>
      </c>
      <c r="F257" s="1">
        <f t="shared" si="66"/>
        <v>12</v>
      </c>
      <c r="G257" s="1" t="str">
        <f t="shared" si="67"/>
        <v>   1.2.3) Percentage with Internet access</v>
      </c>
      <c r="H257" s="1">
        <f t="shared" si="68"/>
        <v>3</v>
      </c>
    </row>
    <row r="258" spans="1:8">
      <c r="A258" s="268">
        <f>IF(ISERROR(INDEX('tblIndicators_2014-O'!$F$2:$F$57,B258)),"x",INDEX('tblIndicators_2014-O'!$F$2:$F$57,B258))</f>
        <v>2</v>
      </c>
      <c r="B258" s="1">
        <v>13</v>
      </c>
      <c r="C258" s="1" t="s">
        <v>270</v>
      </c>
      <c r="D258" s="1">
        <v>1</v>
      </c>
      <c r="F258" s="1">
        <f t="shared" si="66"/>
        <v>13</v>
      </c>
      <c r="G258" s="1" t="str">
        <f t="shared" si="67"/>
        <v> 2) HEALTH SECURITY</v>
      </c>
      <c r="H258" s="1">
        <f t="shared" si="68"/>
        <v>1</v>
      </c>
    </row>
    <row r="259" spans="1:8">
      <c r="A259" s="268">
        <f>IF(ISERROR(INDEX('tblIndicators_2014-O'!$F$2:$F$57,B259)),"x",INDEX('tblIndicators_2014-O'!$F$2:$F$57,B259))</f>
        <v>2.1</v>
      </c>
      <c r="B259" s="1">
        <v>14</v>
      </c>
      <c r="C259" s="1" t="s">
        <v>271</v>
      </c>
      <c r="D259" s="1">
        <v>2</v>
      </c>
      <c r="F259" s="1">
        <f t="shared" si="66"/>
        <v>14</v>
      </c>
      <c r="G259" s="1" t="str">
        <f t="shared" si="67"/>
        <v>  2.1) Health security (Inputs)</v>
      </c>
      <c r="H259" s="1">
        <f t="shared" si="68"/>
        <v>2</v>
      </c>
    </row>
    <row r="260" spans="1:8">
      <c r="A260" s="268" t="str">
        <f>IF(ISERROR(INDEX('tblIndicators_2014-O'!$F$2:$F$57,B260)),"x",INDEX('tblIndicators_2014-O'!$F$2:$F$57,B260))</f>
        <v>2.1.1</v>
      </c>
      <c r="B260" s="1">
        <v>15</v>
      </c>
      <c r="C260" s="1" t="s">
        <v>272</v>
      </c>
      <c r="D260" s="1">
        <v>3</v>
      </c>
      <c r="F260" s="1">
        <f t="shared" si="66"/>
        <v>15</v>
      </c>
      <c r="G260" s="1" t="str">
        <f t="shared" si="67"/>
        <v>   2.1.1) Environmental policies</v>
      </c>
      <c r="H260" s="1">
        <f t="shared" si="68"/>
        <v>3</v>
      </c>
    </row>
    <row r="261" spans="1:8">
      <c r="A261" s="268" t="str">
        <f>IF(ISERROR(INDEX('tblIndicators_2014-O'!$F$2:$F$57,B261)),"x",INDEX('tblIndicators_2014-O'!$F$2:$F$57,B261))</f>
        <v>2.1.2</v>
      </c>
      <c r="B261" s="1">
        <v>16</v>
      </c>
      <c r="C261" s="1" t="s">
        <v>273</v>
      </c>
      <c r="D261" s="1">
        <v>3</v>
      </c>
      <c r="F261" s="1">
        <f t="shared" si="66"/>
        <v>16</v>
      </c>
      <c r="G261" s="1" t="str">
        <f t="shared" si="67"/>
        <v>   2.1.2) Access to healthcare</v>
      </c>
      <c r="H261" s="1">
        <f t="shared" si="68"/>
        <v>3</v>
      </c>
    </row>
    <row r="262" spans="1:8">
      <c r="A262" s="268" t="str">
        <f>IF(ISERROR(INDEX('tblIndicators_2014-O'!$F$2:$F$57,B262)),"x",INDEX('tblIndicators_2014-O'!$F$2:$F$57,B262))</f>
        <v>2.1.3</v>
      </c>
      <c r="B262" s="1">
        <v>17</v>
      </c>
      <c r="C262" s="1" t="s">
        <v>274</v>
      </c>
      <c r="D262" s="1">
        <v>3</v>
      </c>
      <c r="F262" s="1">
        <f t="shared" si="66"/>
        <v>17</v>
      </c>
      <c r="G262" s="1" t="str">
        <f t="shared" si="67"/>
        <v>   2.1.3) No. of beds per 1,000</v>
      </c>
      <c r="H262" s="1">
        <f t="shared" si="68"/>
        <v>3</v>
      </c>
    </row>
    <row r="263" spans="1:8">
      <c r="A263" s="268" t="str">
        <f>IF(ISERROR(INDEX('tblIndicators_2014-O'!$F$2:$F$57,B263)),"x",INDEX('tblIndicators_2014-O'!$F$2:$F$57,B263))</f>
        <v>2.1.4</v>
      </c>
      <c r="B263" s="1">
        <v>18</v>
      </c>
      <c r="C263" s="1" t="s">
        <v>275</v>
      </c>
      <c r="D263" s="1">
        <v>3</v>
      </c>
      <c r="F263" s="1">
        <f t="shared" si="66"/>
        <v>18</v>
      </c>
      <c r="G263" s="1" t="str">
        <f t="shared" si="67"/>
        <v>   2.1.4) No. of doctors per 1,000</v>
      </c>
      <c r="H263" s="1">
        <f t="shared" si="68"/>
        <v>3</v>
      </c>
    </row>
    <row r="264" spans="1:8">
      <c r="A264" s="268" t="str">
        <f>IF(ISERROR(INDEX('tblIndicators_2014-O'!$F$2:$F$57,B264)),"x",INDEX('tblIndicators_2014-O'!$F$2:$F$57,B264))</f>
        <v>2.1.5</v>
      </c>
      <c r="B264" s="1">
        <v>19</v>
      </c>
      <c r="C264" s="1" t="s">
        <v>276</v>
      </c>
      <c r="D264" s="1">
        <v>3</v>
      </c>
      <c r="F264" s="1">
        <f t="shared" si="66"/>
        <v>19</v>
      </c>
      <c r="G264" s="1" t="str">
        <f t="shared" si="67"/>
        <v>   2.1.5) Access to safe and quality food</v>
      </c>
      <c r="H264" s="1">
        <f t="shared" si="68"/>
        <v>3</v>
      </c>
    </row>
    <row r="265" spans="1:8">
      <c r="A265" s="268" t="str">
        <f>IF(ISERROR(INDEX('tblIndicators_2014-O'!$F$2:$F$57,B265)),"x",INDEX('tblIndicators_2014-O'!$F$2:$F$57,B265))</f>
        <v>2.1.6</v>
      </c>
      <c r="B265" s="1">
        <v>20</v>
      </c>
      <c r="C265" s="1" t="s">
        <v>277</v>
      </c>
      <c r="D265" s="1">
        <v>3</v>
      </c>
      <c r="F265" s="1">
        <f t="shared" si="66"/>
        <v>20</v>
      </c>
      <c r="G265" s="1" t="str">
        <f t="shared" si="67"/>
        <v>   2.1.6) Quality of health services</v>
      </c>
      <c r="H265" s="1">
        <f t="shared" si="68"/>
        <v>3</v>
      </c>
    </row>
    <row r="266" spans="1:8">
      <c r="A266" s="268">
        <f>IF(ISERROR(INDEX('tblIndicators_2014-O'!$F$2:$F$57,B266)),"x",INDEX('tblIndicators_2014-O'!$F$2:$F$57,B266))</f>
        <v>2.2</v>
      </c>
      <c r="B266" s="1">
        <v>21</v>
      </c>
      <c r="C266" s="1" t="s">
        <v>278</v>
      </c>
      <c r="D266" s="1">
        <v>2</v>
      </c>
      <c r="F266" s="1">
        <f t="shared" si="66"/>
        <v>21</v>
      </c>
      <c r="G266" s="1" t="str">
        <f t="shared" si="67"/>
        <v>  2.2) Health security (Outputs)</v>
      </c>
      <c r="H266" s="1">
        <f t="shared" si="68"/>
        <v>2</v>
      </c>
    </row>
    <row r="267" spans="1:8">
      <c r="A267" s="268" t="str">
        <f>IF(ISERROR(INDEX('tblIndicators_2014-O'!$F$2:$F$57,B267)),"x",INDEX('tblIndicators_2014-O'!$F$2:$F$57,B267))</f>
        <v>2.2.1</v>
      </c>
      <c r="B267" s="1">
        <v>22</v>
      </c>
      <c r="C267" s="1" t="s">
        <v>279</v>
      </c>
      <c r="D267" s="1">
        <v>3</v>
      </c>
      <c r="F267" s="1">
        <f t="shared" si="66"/>
        <v>22</v>
      </c>
      <c r="G267" s="1" t="str">
        <f t="shared" si="67"/>
        <v>   2.2.1) Air quality (PM 2.5 levels)</v>
      </c>
      <c r="H267" s="1">
        <f t="shared" si="68"/>
        <v>3</v>
      </c>
    </row>
    <row r="268" spans="1:8">
      <c r="A268" s="268" t="str">
        <f>IF(ISERROR(INDEX('tblIndicators_2014-O'!$F$2:$F$57,B268)),"x",INDEX('tblIndicators_2014-O'!$F$2:$F$57,B268))</f>
        <v>2.2.2</v>
      </c>
      <c r="B268" s="1">
        <v>23</v>
      </c>
      <c r="C268" s="1" t="s">
        <v>280</v>
      </c>
      <c r="D268" s="1">
        <v>3</v>
      </c>
      <c r="F268" s="1">
        <f t="shared" si="66"/>
        <v>23</v>
      </c>
      <c r="G268" s="1" t="str">
        <f t="shared" si="67"/>
        <v>   2.2.2) Water quality</v>
      </c>
      <c r="H268" s="1">
        <f t="shared" si="68"/>
        <v>3</v>
      </c>
    </row>
    <row r="269" spans="1:8">
      <c r="A269" s="268" t="str">
        <f>IF(ISERROR(INDEX('tblIndicators_2014-O'!$F$2:$F$57,B269)),"x",INDEX('tblIndicators_2014-O'!$F$2:$F$57,B269))</f>
        <v>2.2.3</v>
      </c>
      <c r="B269" s="1">
        <v>24</v>
      </c>
      <c r="C269" s="1" t="s">
        <v>281</v>
      </c>
      <c r="D269" s="1">
        <v>3</v>
      </c>
      <c r="F269" s="1">
        <f t="shared" si="66"/>
        <v>24</v>
      </c>
      <c r="G269" s="1" t="str">
        <f t="shared" si="67"/>
        <v>   2.2.3) Life expectancy years</v>
      </c>
      <c r="H269" s="1">
        <f t="shared" si="68"/>
        <v>3</v>
      </c>
    </row>
    <row r="270" spans="1:8">
      <c r="A270" s="268" t="str">
        <f>IF(ISERROR(INDEX('tblIndicators_2014-O'!$F$2:$F$57,B270)),"x",INDEX('tblIndicators_2014-O'!$F$2:$F$57,B270))</f>
        <v>2.2.4</v>
      </c>
      <c r="B270" s="1">
        <v>25</v>
      </c>
      <c r="C270" s="1" t="s">
        <v>282</v>
      </c>
      <c r="D270" s="1">
        <v>3</v>
      </c>
      <c r="F270" s="1">
        <f t="shared" si="66"/>
        <v>25</v>
      </c>
      <c r="G270" s="1" t="str">
        <f t="shared" si="67"/>
        <v>   2.2.4) Infant mortality</v>
      </c>
      <c r="H270" s="1">
        <f t="shared" si="68"/>
        <v>3</v>
      </c>
    </row>
    <row r="271" spans="1:8">
      <c r="A271" s="268" t="str">
        <f>IF(ISERROR(INDEX('tblIndicators_2014-O'!$F$2:$F$57,B271)),"x",INDEX('tblIndicators_2014-O'!$F$2:$F$57,B271))</f>
        <v>2.2.5</v>
      </c>
      <c r="B271" s="1">
        <v>26</v>
      </c>
      <c r="C271" s="1" t="s">
        <v>283</v>
      </c>
      <c r="D271" s="1">
        <v>3</v>
      </c>
      <c r="F271" s="1">
        <f t="shared" si="66"/>
        <v>26</v>
      </c>
      <c r="G271" s="1" t="str">
        <f t="shared" si="67"/>
        <v>   2.2.5) Cancer mortality rate</v>
      </c>
      <c r="H271" s="1">
        <f t="shared" si="68"/>
        <v>3</v>
      </c>
    </row>
    <row r="272" spans="1:8">
      <c r="A272" s="268" t="str">
        <f>IF(ISERROR(INDEX('tblIndicators_2014-O'!$F$2:$F$57,B272)),"x",INDEX('tblIndicators_2014-O'!$F$2:$F$57,B272))</f>
        <v>x</v>
      </c>
      <c r="B272" s="1" t="s">
        <v>284</v>
      </c>
      <c r="F272" s="1">
        <f t="shared" si="66"/>
        <v>27</v>
      </c>
      <c r="G272" s="1" t="str">
        <f t="shared" si="67"/>
        <v>   2.2.6) Number of attacks using biological, chemical and/or radiological weapons</v>
      </c>
      <c r="H272" s="1">
        <f t="shared" si="68"/>
        <v>3</v>
      </c>
    </row>
    <row r="273" spans="1:8">
      <c r="A273" s="268">
        <f>IF(ISERROR(INDEX('tblIndicators_2014-O'!$F$2:$F$57,B273)),"x",INDEX('tblIndicators_2014-O'!$F$2:$F$57,B273))</f>
        <v>3</v>
      </c>
      <c r="B273" s="1">
        <v>27</v>
      </c>
      <c r="C273" s="1" t="s">
        <v>285</v>
      </c>
      <c r="D273" s="1">
        <v>1</v>
      </c>
      <c r="F273" s="1">
        <f t="shared" si="66"/>
        <v>28</v>
      </c>
      <c r="G273" s="1" t="str">
        <f t="shared" si="67"/>
        <v> 3) INFRASTRUCTURE SECURITY</v>
      </c>
      <c r="H273" s="1">
        <f t="shared" si="68"/>
        <v>1</v>
      </c>
    </row>
    <row r="274" spans="1:8">
      <c r="A274" s="268">
        <f>IF(ISERROR(INDEX('tblIndicators_2014-O'!$F$2:$F$57,B274)),"x",INDEX('tblIndicators_2014-O'!$F$2:$F$57,B274))</f>
        <v>3.1</v>
      </c>
      <c r="B274" s="1">
        <v>28</v>
      </c>
      <c r="C274" s="1" t="s">
        <v>286</v>
      </c>
      <c r="D274" s="1">
        <v>2</v>
      </c>
      <c r="F274" s="1">
        <f t="shared" si="66"/>
        <v>29</v>
      </c>
      <c r="G274" s="1" t="str">
        <f t="shared" si="67"/>
        <v>  3.1) Infrastructure security (Inputs)</v>
      </c>
      <c r="H274" s="1">
        <f t="shared" si="68"/>
        <v>2</v>
      </c>
    </row>
    <row r="275" spans="1:8">
      <c r="A275" s="268" t="str">
        <f>IF(ISERROR(INDEX('tblIndicators_2014-O'!$F$2:$F$57,B275)),"x",INDEX('tblIndicators_2014-O'!$F$2:$F$57,B275))</f>
        <v>3.1.1</v>
      </c>
      <c r="B275" s="1">
        <v>29</v>
      </c>
      <c r="C275" s="1" t="s">
        <v>287</v>
      </c>
      <c r="D275" s="1">
        <v>3</v>
      </c>
      <c r="F275" s="1">
        <f t="shared" si="66"/>
        <v>30</v>
      </c>
      <c r="G275" s="1" t="str">
        <f t="shared" si="67"/>
        <v>   3.1.1) Enforcement of transport safety</v>
      </c>
      <c r="H275" s="1">
        <f t="shared" si="68"/>
        <v>3</v>
      </c>
    </row>
    <row r="276" spans="1:8">
      <c r="A276" s="268" t="str">
        <f>IF(ISERROR(INDEX('tblIndicators_2014-O'!$F$2:$F$57,B276)),"x",INDEX('tblIndicators_2014-O'!$F$2:$F$57,B276))</f>
        <v>3.1.2</v>
      </c>
      <c r="B276" s="1">
        <v>30</v>
      </c>
      <c r="C276" s="1" t="s">
        <v>288</v>
      </c>
      <c r="D276" s="1">
        <v>3</v>
      </c>
      <c r="F276" s="1">
        <f t="shared" si="66"/>
        <v>31</v>
      </c>
      <c r="G276" s="1" t="str">
        <f t="shared" si="67"/>
        <v>   3.1.2) Pedestrian friendliness</v>
      </c>
      <c r="H276" s="1">
        <f t="shared" si="68"/>
        <v>3</v>
      </c>
    </row>
    <row r="277" spans="1:8">
      <c r="A277" s="268" t="str">
        <f>IF(ISERROR(INDEX('tblIndicators_2014-O'!$F$2:$F$57,B277)),"x",INDEX('tblIndicators_2014-O'!$F$2:$F$57,B277))</f>
        <v>3.1.3</v>
      </c>
      <c r="B277" s="1">
        <v>31</v>
      </c>
      <c r="C277" s="1" t="s">
        <v>289</v>
      </c>
      <c r="D277" s="1">
        <v>3</v>
      </c>
      <c r="F277" s="1">
        <f t="shared" si="66"/>
        <v>32</v>
      </c>
      <c r="G277" s="1" t="str">
        <f t="shared" si="67"/>
        <v>   3.1.3) Quality of road infrastructure</v>
      </c>
      <c r="H277" s="1">
        <f t="shared" si="68"/>
        <v>3</v>
      </c>
    </row>
    <row r="278" spans="1:8">
      <c r="A278" s="268" t="str">
        <f>IF(ISERROR(INDEX('tblIndicators_2014-O'!$F$2:$F$57,B278)),"x",INDEX('tblIndicators_2014-O'!$F$2:$F$57,B278))</f>
        <v>3.1.4</v>
      </c>
      <c r="B278" s="1">
        <v>32</v>
      </c>
      <c r="C278" s="1" t="s">
        <v>290</v>
      </c>
      <c r="D278" s="1">
        <v>3</v>
      </c>
      <c r="F278" s="1">
        <f t="shared" si="66"/>
        <v>33</v>
      </c>
      <c r="G278" s="1" t="str">
        <f t="shared" si="67"/>
        <v>   3.1.4) Quality of electricity infrastructure</v>
      </c>
      <c r="H278" s="1">
        <f t="shared" si="68"/>
        <v>3</v>
      </c>
    </row>
    <row r="279" spans="1:8">
      <c r="A279" s="268" t="str">
        <f>IF(ISERROR(INDEX('tblIndicators_2014-O'!$F$2:$F$57,B279)),"x",INDEX('tblIndicators_2014-O'!$F$2:$F$57,B279))</f>
        <v>3.1.5</v>
      </c>
      <c r="B279" s="1">
        <v>33</v>
      </c>
      <c r="C279" s="1" t="s">
        <v>291</v>
      </c>
      <c r="D279" s="1">
        <v>3</v>
      </c>
      <c r="F279" s="1">
        <f t="shared" si="66"/>
        <v>34</v>
      </c>
      <c r="G279" s="1" t="str">
        <f t="shared" si="67"/>
        <v>   3.1.5) Disaster management/business continuity plan</v>
      </c>
      <c r="H279" s="1">
        <f t="shared" si="68"/>
        <v>3</v>
      </c>
    </row>
    <row r="280" spans="1:8">
      <c r="A280" s="268">
        <f>IF(ISERROR(INDEX('tblIndicators_2014-O'!$F$2:$F$57,B280)),"x",INDEX('tblIndicators_2014-O'!$F$2:$F$57,B280))</f>
        <v>3.2</v>
      </c>
      <c r="B280" s="1">
        <v>34</v>
      </c>
      <c r="C280" s="1" t="s">
        <v>292</v>
      </c>
      <c r="D280" s="1">
        <v>2</v>
      </c>
      <c r="F280" s="1">
        <f t="shared" si="66"/>
        <v>35</v>
      </c>
      <c r="G280" s="1" t="str">
        <f t="shared" si="67"/>
        <v>  3.2) Infrastructure security (Outputs)</v>
      </c>
      <c r="H280" s="1">
        <f t="shared" si="68"/>
        <v>2</v>
      </c>
    </row>
    <row r="281" spans="1:8">
      <c r="A281" s="268" t="str">
        <f>IF(ISERROR(INDEX('tblIndicators_2014-O'!$F$2:$F$57,B281)),"x",INDEX('tblIndicators_2014-O'!$F$2:$F$57,B281))</f>
        <v>3.2.1</v>
      </c>
      <c r="B281" s="1">
        <v>35</v>
      </c>
      <c r="C281" s="1" t="s">
        <v>293</v>
      </c>
      <c r="D281" s="1">
        <v>3</v>
      </c>
      <c r="F281" s="1">
        <f t="shared" si="66"/>
        <v>36</v>
      </c>
      <c r="G281" s="1" t="str">
        <f t="shared" si="67"/>
        <v>   3.2.1) Deaths from natural disaster</v>
      </c>
      <c r="H281" s="1">
        <f t="shared" si="68"/>
        <v>3</v>
      </c>
    </row>
    <row r="282" spans="1:8">
      <c r="A282" s="268" t="str">
        <f>IF(ISERROR(INDEX('tblIndicators_2014-O'!$F$2:$F$57,B282)),"x",INDEX('tblIndicators_2014-O'!$F$2:$F$57,B282))</f>
        <v>3.2.2</v>
      </c>
      <c r="B282" s="1">
        <v>36</v>
      </c>
      <c r="C282" s="1" t="s">
        <v>294</v>
      </c>
      <c r="D282" s="1">
        <v>3</v>
      </c>
      <c r="F282" s="1">
        <f t="shared" si="66"/>
        <v>37</v>
      </c>
      <c r="G282" s="1" t="str">
        <f t="shared" si="67"/>
        <v>   3.2.2) Frequency of vehicular accidents</v>
      </c>
      <c r="H282" s="1">
        <f t="shared" si="68"/>
        <v>3</v>
      </c>
    </row>
    <row r="283" spans="1:8">
      <c r="A283" s="268" t="str">
        <f>IF(ISERROR(INDEX('tblIndicators_2014-O'!$F$2:$F$57,B283)),"x",INDEX('tblIndicators_2014-O'!$F$2:$F$57,B283))</f>
        <v>3.2.3</v>
      </c>
      <c r="B283" s="1">
        <v>37</v>
      </c>
      <c r="C283" s="1" t="s">
        <v>295</v>
      </c>
      <c r="D283" s="1">
        <v>3</v>
      </c>
      <c r="F283" s="1">
        <f t="shared" si="66"/>
        <v>38</v>
      </c>
      <c r="G283" s="1" t="str">
        <f t="shared" si="67"/>
        <v>   3.2.3) Frequency of pedestrian deaths</v>
      </c>
      <c r="H283" s="1">
        <f t="shared" si="68"/>
        <v>3</v>
      </c>
    </row>
    <row r="284" spans="1:8">
      <c r="A284" s="268" t="str">
        <f>IF(ISERROR(INDEX('tblIndicators_2014-O'!$F$2:$F$57,B284)),"x",INDEX('tblIndicators_2014-O'!$F$2:$F$57,B284))</f>
        <v>3.2.4</v>
      </c>
      <c r="B284" s="1">
        <v>38</v>
      </c>
      <c r="C284" s="1" t="s">
        <v>296</v>
      </c>
      <c r="D284" s="1">
        <v>3</v>
      </c>
      <c r="F284" s="1">
        <f t="shared" si="66"/>
        <v>39</v>
      </c>
      <c r="G284" s="1" t="str">
        <f t="shared" si="67"/>
        <v>   3.2.4) Percentage living in slums</v>
      </c>
      <c r="H284" s="1">
        <f t="shared" si="68"/>
        <v>3</v>
      </c>
    </row>
    <row r="285" spans="1:8">
      <c r="A285" s="268" t="str">
        <f>IF(ISERROR(INDEX('tblIndicators_2014-O'!$F$2:$F$57,B285)),"x",INDEX('tblIndicators_2014-O'!$F$2:$F$57,B285))</f>
        <v>x</v>
      </c>
      <c r="B285" s="1" t="s">
        <v>284</v>
      </c>
      <c r="F285" s="1">
        <f t="shared" si="66"/>
        <v>40</v>
      </c>
      <c r="G285" s="1" t="str">
        <f t="shared" si="67"/>
        <v>   3.2.5) Number of attacks on facilities/infrastructure</v>
      </c>
      <c r="H285" s="1">
        <f t="shared" si="68"/>
        <v>3</v>
      </c>
    </row>
    <row r="286" spans="1:8">
      <c r="A286" s="268">
        <f>IF(ISERROR(INDEX('tblIndicators_2014-O'!$F$2:$F$57,B286)),"x",INDEX('tblIndicators_2014-O'!$F$2:$F$57,B286))</f>
        <v>4</v>
      </c>
      <c r="B286" s="1">
        <v>39</v>
      </c>
      <c r="C286" s="1" t="s">
        <v>297</v>
      </c>
      <c r="D286" s="1">
        <v>1</v>
      </c>
      <c r="F286" s="1">
        <f t="shared" si="66"/>
        <v>41</v>
      </c>
      <c r="G286" s="1" t="str">
        <f t="shared" si="67"/>
        <v> 4) PERSONAL SECURITY</v>
      </c>
      <c r="H286" s="1">
        <f t="shared" si="68"/>
        <v>1</v>
      </c>
    </row>
    <row r="287" spans="1:8">
      <c r="A287" s="268">
        <f>IF(ISERROR(INDEX('tblIndicators_2014-O'!$F$2:$F$57,B287)),"x",INDEX('tblIndicators_2014-O'!$F$2:$F$57,B287))</f>
        <v>4.1</v>
      </c>
      <c r="B287" s="1">
        <v>40</v>
      </c>
      <c r="C287" s="1" t="s">
        <v>298</v>
      </c>
      <c r="D287" s="1">
        <v>2</v>
      </c>
      <c r="F287" s="1">
        <f t="shared" si="66"/>
        <v>42</v>
      </c>
      <c r="G287" s="1" t="str">
        <f t="shared" si="67"/>
        <v>  4.1) Personal security (Inputs)</v>
      </c>
      <c r="H287" s="1">
        <f t="shared" si="68"/>
        <v>2</v>
      </c>
    </row>
    <row r="288" spans="1:8">
      <c r="A288" s="268" t="str">
        <f>IF(ISERROR(INDEX('tblIndicators_2014-O'!$F$2:$F$57,B288)),"x",INDEX('tblIndicators_2014-O'!$F$2:$F$57,B288))</f>
        <v>4.1.1</v>
      </c>
      <c r="B288" s="1">
        <v>41</v>
      </c>
      <c r="C288" s="1" t="s">
        <v>299</v>
      </c>
      <c r="D288" s="1">
        <v>3</v>
      </c>
      <c r="F288" s="1">
        <f t="shared" si="66"/>
        <v>43</v>
      </c>
      <c r="G288" s="1" t="str">
        <f t="shared" si="67"/>
        <v>   4.1.1) Level of police engagement</v>
      </c>
      <c r="H288" s="1">
        <f t="shared" si="68"/>
        <v>3</v>
      </c>
    </row>
    <row r="289" spans="1:8">
      <c r="A289" s="268" t="str">
        <f>IF(ISERROR(INDEX('tblIndicators_2014-O'!$F$2:$F$57,B289)),"x",INDEX('tblIndicators_2014-O'!$F$2:$F$57,B289))</f>
        <v>4.1.2</v>
      </c>
      <c r="B289" s="1">
        <v>42</v>
      </c>
      <c r="C289" s="1" t="s">
        <v>300</v>
      </c>
      <c r="D289" s="1">
        <v>3</v>
      </c>
      <c r="F289" s="1">
        <f t="shared" si="66"/>
        <v>44</v>
      </c>
      <c r="G289" s="1" t="str">
        <f t="shared" si="67"/>
        <v>   4.1.2) Community-based patrolling</v>
      </c>
      <c r="H289" s="1">
        <f t="shared" si="68"/>
        <v>3</v>
      </c>
    </row>
    <row r="290" spans="1:8">
      <c r="A290" s="268" t="str">
        <f>IF(ISERROR(INDEX('tblIndicators_2014-O'!$F$2:$F$57,B290)),"x",INDEX('tblIndicators_2014-O'!$F$2:$F$57,B290))</f>
        <v>4.1.3</v>
      </c>
      <c r="B290" s="1">
        <v>43</v>
      </c>
      <c r="C290" s="1" t="s">
        <v>301</v>
      </c>
      <c r="D290" s="1">
        <v>3</v>
      </c>
      <c r="F290" s="1">
        <f t="shared" si="66"/>
        <v>45</v>
      </c>
      <c r="G290" s="1" t="str">
        <f t="shared" si="67"/>
        <v>   4.1.3) Available street-level crime data</v>
      </c>
      <c r="H290" s="1">
        <f t="shared" si="68"/>
        <v>3</v>
      </c>
    </row>
    <row r="291" spans="1:8">
      <c r="A291" s="268" t="str">
        <f>IF(ISERROR(INDEX('tblIndicators_2014-O'!$F$2:$F$57,B291)),"x",INDEX('tblIndicators_2014-O'!$F$2:$F$57,B291))</f>
        <v>4.1.4</v>
      </c>
      <c r="B291" s="1">
        <v>44</v>
      </c>
      <c r="C291" s="1" t="s">
        <v>302</v>
      </c>
      <c r="D291" s="1">
        <v>3</v>
      </c>
      <c r="F291" s="1">
        <f t="shared" si="66"/>
        <v>46</v>
      </c>
      <c r="G291" s="1" t="str">
        <f t="shared" si="67"/>
        <v>   4.1.4) Use of data-driven techniques for crime</v>
      </c>
      <c r="H291" s="1">
        <f t="shared" si="68"/>
        <v>3</v>
      </c>
    </row>
    <row r="292" spans="1:8">
      <c r="A292" s="268" t="str">
        <f>IF(ISERROR(INDEX('tblIndicators_2014-O'!$F$2:$F$57,B292)),"x",INDEX('tblIndicators_2014-O'!$F$2:$F$57,B292))</f>
        <v>4.1.5</v>
      </c>
      <c r="B292" s="1">
        <v>45</v>
      </c>
      <c r="C292" s="1" t="s">
        <v>303</v>
      </c>
      <c r="D292" s="1">
        <v>3</v>
      </c>
      <c r="F292" s="1">
        <f t="shared" si="66"/>
        <v>47</v>
      </c>
      <c r="G292" s="1" t="str">
        <f t="shared" si="67"/>
        <v>   4.1.5) Private security measures</v>
      </c>
      <c r="H292" s="1">
        <f t="shared" si="68"/>
        <v>3</v>
      </c>
    </row>
    <row r="293" spans="1:8">
      <c r="A293" s="268" t="str">
        <f>IF(ISERROR(INDEX('tblIndicators_2014-O'!$F$2:$F$57,B293)),"x",INDEX('tblIndicators_2014-O'!$F$2:$F$57,B293))</f>
        <v>4.1.6</v>
      </c>
      <c r="B293" s="1">
        <v>46</v>
      </c>
      <c r="C293" s="1" t="s">
        <v>304</v>
      </c>
      <c r="D293" s="1">
        <v>3</v>
      </c>
      <c r="F293" s="1">
        <f t="shared" si="66"/>
        <v>48</v>
      </c>
      <c r="G293" s="1" t="str">
        <f t="shared" si="67"/>
        <v>   4.1.6) Gun regulation and enforcement</v>
      </c>
      <c r="H293" s="1">
        <f t="shared" si="68"/>
        <v>3</v>
      </c>
    </row>
    <row r="294" spans="1:8">
      <c r="A294" s="268" t="str">
        <f>IF(ISERROR(INDEX('tblIndicators_2014-O'!$F$2:$F$57,B294)),"x",INDEX('tblIndicators_2014-O'!$F$2:$F$57,B294))</f>
        <v>4.1.7</v>
      </c>
      <c r="B294" s="1">
        <v>47</v>
      </c>
      <c r="C294" s="1" t="s">
        <v>305</v>
      </c>
      <c r="D294" s="1">
        <v>3</v>
      </c>
      <c r="F294" s="1">
        <f t="shared" si="66"/>
        <v>49</v>
      </c>
      <c r="G294" s="1" t="str">
        <f t="shared" si="67"/>
        <v>   4.1.7) Political stability risk</v>
      </c>
      <c r="H294" s="1">
        <f t="shared" si="68"/>
        <v>3</v>
      </c>
    </row>
    <row r="295" spans="1:8">
      <c r="A295" s="268">
        <f>IF(ISERROR(INDEX('tblIndicators_2014-O'!$F$2:$F$57,B295)),"x",INDEX('tblIndicators_2014-O'!$F$2:$F$57,B295))</f>
        <v>4.2</v>
      </c>
      <c r="B295" s="1">
        <v>48</v>
      </c>
      <c r="C295" s="1" t="s">
        <v>306</v>
      </c>
      <c r="D295" s="1">
        <v>2</v>
      </c>
      <c r="F295" s="1">
        <f t="shared" si="66"/>
        <v>50</v>
      </c>
      <c r="G295" s="1" t="str">
        <f t="shared" si="67"/>
        <v>  4.2) Personal security (Outputs)</v>
      </c>
      <c r="H295" s="1">
        <f t="shared" si="68"/>
        <v>2</v>
      </c>
    </row>
    <row r="296" spans="1:8">
      <c r="A296" s="268" t="str">
        <f>IF(ISERROR(INDEX('tblIndicators_2014-O'!$F$2:$F$57,B296)),"x",INDEX('tblIndicators_2014-O'!$F$2:$F$57,B296))</f>
        <v>4.2.1</v>
      </c>
      <c r="B296" s="1">
        <v>49</v>
      </c>
      <c r="C296" s="1" t="s">
        <v>307</v>
      </c>
      <c r="D296" s="1">
        <v>3</v>
      </c>
      <c r="F296" s="1">
        <f t="shared" si="66"/>
        <v>51</v>
      </c>
      <c r="G296" s="1" t="str">
        <f t="shared" si="67"/>
        <v>   4.2.1) Prevalence of petty crime</v>
      </c>
      <c r="H296" s="1">
        <f t="shared" si="68"/>
        <v>3</v>
      </c>
    </row>
    <row r="297" spans="1:8">
      <c r="A297" s="268" t="str">
        <f>IF(ISERROR(INDEX('tblIndicators_2014-O'!$F$2:$F$57,B297)),"x",INDEX('tblIndicators_2014-O'!$F$2:$F$57,B297))</f>
        <v>4.2.2</v>
      </c>
      <c r="B297" s="1">
        <v>50</v>
      </c>
      <c r="C297" s="1" t="s">
        <v>308</v>
      </c>
      <c r="D297" s="1">
        <v>3</v>
      </c>
      <c r="F297" s="1">
        <f t="shared" si="66"/>
        <v>52</v>
      </c>
      <c r="G297" s="1" t="str">
        <f t="shared" si="67"/>
        <v>   4.2.2) Prevalence of violent crime</v>
      </c>
      <c r="H297" s="1">
        <f t="shared" si="68"/>
        <v>3</v>
      </c>
    </row>
    <row r="298" spans="1:8">
      <c r="A298" s="268" t="str">
        <f>IF(ISERROR(INDEX('tblIndicators_2014-O'!$F$2:$F$57,B298)),"x",INDEX('tblIndicators_2014-O'!$F$2:$F$57,B298))</f>
        <v>4.2.3</v>
      </c>
      <c r="B298" s="1">
        <v>51</v>
      </c>
      <c r="C298" s="1" t="s">
        <v>309</v>
      </c>
      <c r="D298" s="1">
        <v>3</v>
      </c>
      <c r="F298" s="1">
        <f t="shared" si="66"/>
        <v>53</v>
      </c>
      <c r="G298" s="1" t="str">
        <f t="shared" si="67"/>
        <v>   4.2.3) Organised crime</v>
      </c>
      <c r="H298" s="1">
        <f t="shared" si="68"/>
        <v>3</v>
      </c>
    </row>
    <row r="299" spans="1:8">
      <c r="A299" s="268" t="str">
        <f>IF(ISERROR(INDEX('tblIndicators_2014-O'!$F$2:$F$57,B299)),"x",INDEX('tblIndicators_2014-O'!$F$2:$F$57,B299))</f>
        <v>4.2.4</v>
      </c>
      <c r="B299" s="1">
        <v>52</v>
      </c>
      <c r="C299" s="1" t="s">
        <v>310</v>
      </c>
      <c r="D299" s="1">
        <v>3</v>
      </c>
      <c r="F299" s="1">
        <f t="shared" si="66"/>
        <v>54</v>
      </c>
      <c r="G299" s="1" t="str">
        <f t="shared" si="67"/>
        <v>   4.2.4) Level of corruption</v>
      </c>
      <c r="H299" s="1">
        <f t="shared" si="68"/>
        <v>3</v>
      </c>
    </row>
    <row r="300" spans="1:8">
      <c r="A300" s="268" t="str">
        <f>IF(ISERROR(INDEX('tblIndicators_2014-O'!$F$2:$F$57,B300)),"x",INDEX('tblIndicators_2014-O'!$F$2:$F$57,B300))</f>
        <v>4.2.5</v>
      </c>
      <c r="B300" s="1">
        <v>53</v>
      </c>
      <c r="C300" s="1" t="s">
        <v>311</v>
      </c>
      <c r="D300" s="1">
        <v>3</v>
      </c>
      <c r="F300" s="1">
        <f t="shared" si="66"/>
        <v>55</v>
      </c>
      <c r="G300" s="1" t="str">
        <f t="shared" si="67"/>
        <v>   4.2.5) Rate of drug use </v>
      </c>
      <c r="H300" s="1">
        <f t="shared" si="68"/>
        <v>3</v>
      </c>
    </row>
    <row r="301" spans="1:8">
      <c r="A301" s="268" t="str">
        <f>IF(ISERROR(INDEX('tblIndicators_2014-O'!$F$2:$F$57,B301)),"x",INDEX('tblIndicators_2014-O'!$F$2:$F$57,B301))</f>
        <v>4.2.6</v>
      </c>
      <c r="B301" s="1">
        <v>54</v>
      </c>
      <c r="C301" s="1" t="s">
        <v>312</v>
      </c>
      <c r="D301" s="1">
        <v>3</v>
      </c>
      <c r="F301" s="1">
        <f t="shared" si="66"/>
        <v>56</v>
      </c>
      <c r="G301" s="1" t="str">
        <f t="shared" si="67"/>
        <v>   4.2.6) Frequency of terrorist attacks </v>
      </c>
      <c r="H301" s="1">
        <f t="shared" si="68"/>
        <v>3</v>
      </c>
    </row>
    <row r="302" spans="1:8">
      <c r="A302" s="268" t="str">
        <f>IF(ISERROR(INDEX('tblIndicators_2014-O'!$F$2:$F$57,B302)),"x",INDEX('tblIndicators_2014-O'!$F$2:$F$57,B302))</f>
        <v>x</v>
      </c>
      <c r="B302" s="1" t="s">
        <v>284</v>
      </c>
      <c r="F302" s="1">
        <f t="shared" si="66"/>
        <v>57</v>
      </c>
      <c r="G302" s="1" t="str">
        <f t="shared" si="67"/>
        <v>   4.2.7) Severity of terrorist attacks</v>
      </c>
      <c r="H302" s="1">
        <f t="shared" si="68"/>
        <v>3</v>
      </c>
    </row>
    <row r="303" spans="1:8">
      <c r="A303" s="268" t="s">
        <v>313</v>
      </c>
      <c r="B303" s="1">
        <v>55</v>
      </c>
      <c r="C303" s="1" t="s">
        <v>314</v>
      </c>
      <c r="D303" s="1">
        <v>3</v>
      </c>
      <c r="F303" s="1">
        <f t="shared" si="66"/>
        <v>58</v>
      </c>
      <c r="G303" s="1" t="str">
        <f t="shared" si="67"/>
        <v>   4.2.8) Gender safety</v>
      </c>
      <c r="H303" s="1">
        <f t="shared" si="68"/>
        <v>3</v>
      </c>
    </row>
    <row r="304" spans="1:8">
      <c r="A304" s="268" t="s">
        <v>315</v>
      </c>
      <c r="B304" s="1">
        <v>56</v>
      </c>
      <c r="C304" s="1" t="s">
        <v>316</v>
      </c>
      <c r="D304" s="1">
        <v>3</v>
      </c>
      <c r="F304" s="1">
        <f t="shared" si="66"/>
        <v>59</v>
      </c>
      <c r="G304" s="1" t="str">
        <f t="shared" si="67"/>
        <v>   4.2.9) Perceptions of safety</v>
      </c>
      <c r="H304" s="1">
        <f t="shared" si="68"/>
        <v>3</v>
      </c>
    </row>
    <row r="305" spans="1:8">
      <c r="A305" s="268" t="str">
        <f>IF(ISERROR(INDEX('tblIndicators_2014-O'!$F$2:$F$57,B305)),"x",INDEX('tblIndicators_2014-O'!$F$2:$F$57,B305))</f>
        <v>x</v>
      </c>
      <c r="B305" s="1" t="s">
        <v>284</v>
      </c>
      <c r="F305" s="1">
        <f t="shared" si="66"/>
        <v>60</v>
      </c>
      <c r="G305" s="1" t="str">
        <f t="shared" si="67"/>
        <v>   4.2.10) Threat of terrorism</v>
      </c>
      <c r="H305" s="1">
        <f t="shared" si="68"/>
        <v>3</v>
      </c>
    </row>
    <row r="306" spans="1:8">
      <c r="A306" s="268" t="str">
        <f>IF(ISERROR(INDEX('tblIndicators_2014-O'!$F$2:$F$57,B306)),"x",INDEX('tblIndicators_2014-O'!$F$2:$F$57,B306))</f>
        <v>x</v>
      </c>
      <c r="B306" s="1" t="s">
        <v>284</v>
      </c>
      <c r="F306" s="1">
        <f t="shared" ref="F306:F307" si="69">V235</f>
        <v>61</v>
      </c>
      <c r="G306" s="1" t="str">
        <f t="shared" ref="G306:G307" si="70">W235</f>
        <v>   4.2.11) Threat of military conflict</v>
      </c>
      <c r="H306" s="1">
        <f t="shared" ref="H306:H307" si="71">X235</f>
        <v>3</v>
      </c>
    </row>
    <row r="307" spans="1:8">
      <c r="A307" s="268" t="str">
        <f>IF(ISERROR(INDEX('tblIndicators_2014-O'!$F$2:$F$57,B307)),"x",INDEX('tblIndicators_2014-O'!$F$2:$F$57,B307))</f>
        <v>x</v>
      </c>
      <c r="F307" s="1">
        <f t="shared" si="69"/>
        <v>62</v>
      </c>
      <c r="G307" s="1" t="str">
        <f t="shared" si="70"/>
        <v>   4.2.12) Threat of civil unrest</v>
      </c>
      <c r="H307" s="1">
        <f t="shared" si="71"/>
        <v>3</v>
      </c>
    </row>
  </sheetData>
  <mergeCells count="1">
    <mergeCell ref="Q2:U2"/>
  </mergeCells>
  <pageMargins left="0.551181102362205" right="0.551181102362205" top="0.590551181102362" bottom="0.78740157480315" header="0.511811023622047" footer="0.511811023622047"/>
  <pageSetup paperSize="9" scale="13" orientation="landscape" horizontalDpi="1200" verticalDpi="1200"/>
  <headerFooter alignWithMargins="0">
    <oddHeader>&amp;RSafe Cities Index : 2017</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FFC000"/>
    <pageSetUpPr fitToPage="1"/>
  </sheetPr>
  <dimension ref="A1:CN80"/>
  <sheetViews>
    <sheetView showRowColHeaders="0" zoomScale="90" zoomScaleNormal="90" workbookViewId="0">
      <pane xSplit="7" ySplit="6" topLeftCell="Y19" activePane="bottomRight" state="frozen"/>
      <selection/>
      <selection pane="topRight"/>
      <selection pane="bottomLeft"/>
      <selection pane="bottomRight" activeCell="AJ50" sqref="AJ50"/>
    </sheetView>
  </sheetViews>
  <sheetFormatPr defaultColWidth="9" defaultRowHeight="15"/>
  <cols>
    <col min="1" max="1" width="16.1428571428571" style="1" customWidth="1"/>
    <col min="2" max="4" width="9.14285714285714" style="1"/>
    <col min="5" max="5" width="12.1428571428571" style="1" customWidth="1"/>
    <col min="6" max="6" width="9.14285714285714" style="1"/>
    <col min="7" max="7" width="27.7142857142857" style="21" customWidth="1"/>
    <col min="8" max="8" width="7.85714285714286" style="1" customWidth="1"/>
    <col min="9" max="9" width="4.57142857142857" style="1" customWidth="1"/>
    <col min="10" max="10" width="7.71428571428571" style="1" customWidth="1"/>
    <col min="11" max="11" width="13.2857142857143" style="1" customWidth="1"/>
    <col min="12" max="12" width="12.7142857142857" style="1" customWidth="1"/>
    <col min="13" max="13" width="4" style="1" customWidth="1"/>
    <col min="14" max="14" width="10.2857142857143" style="1" customWidth="1"/>
    <col min="15" max="16" width="4" style="1" customWidth="1"/>
    <col min="17" max="17" width="8.28571428571429" style="1" customWidth="1"/>
    <col min="18" max="18" width="10.7142857142857" style="1" customWidth="1"/>
    <col min="19" max="19" width="6.85714285714286" style="1" customWidth="1"/>
    <col min="20" max="20" width="9.28571428571429" style="1" customWidth="1"/>
    <col min="21" max="21" width="9.14285714285714" style="1" customWidth="1"/>
    <col min="22" max="22" width="9" style="1" customWidth="1"/>
    <col min="23" max="23" width="4" style="1" customWidth="1"/>
    <col min="24" max="24" width="4.71428571428571" style="33" customWidth="1"/>
    <col min="25" max="25" width="11.7142857142857" style="293" customWidth="1"/>
    <col min="26" max="26" width="8.71428571428571" style="1" customWidth="1"/>
    <col min="27" max="27" width="7.85714285714286" style="1" customWidth="1"/>
    <col min="28" max="29" width="16.1428571428571" style="1" customWidth="1"/>
    <col min="30" max="35" width="4" style="1" customWidth="1"/>
    <col min="36" max="36" width="5.71428571428571" style="1" customWidth="1"/>
    <col min="37" max="37" width="10" style="1" customWidth="1"/>
    <col min="38" max="38" width="9.28571428571429" style="1" customWidth="1"/>
    <col min="39" max="39" width="9.57142857142857" style="1" customWidth="1"/>
    <col min="40" max="40" width="6.57142857142857" style="1" customWidth="1"/>
    <col min="41" max="41" width="3.71428571428571" style="33" customWidth="1"/>
    <col min="42" max="42" width="10.7142857142857" style="1" customWidth="1"/>
    <col min="43" max="43" width="5" style="1" customWidth="1"/>
    <col min="44" max="44" width="7.85714285714286" style="1" customWidth="1"/>
    <col min="45" max="46" width="4.57142857142857" style="1" customWidth="1"/>
    <col min="47" max="54" width="4" style="1" customWidth="1"/>
    <col min="55" max="55" width="9.14285714285714" style="1" customWidth="1"/>
    <col min="56" max="57" width="4" style="1" customWidth="1"/>
    <col min="58" max="58" width="3.71428571428571" style="33" customWidth="1"/>
    <col min="59" max="60" width="4" style="1" customWidth="1"/>
    <col min="61" max="61" width="7.71428571428571" style="1" customWidth="1"/>
    <col min="62" max="63" width="4.57142857142857" style="1" customWidth="1"/>
    <col min="64" max="71" width="4" style="1" customWidth="1"/>
    <col min="72" max="72" width="9.14285714285714" style="1" customWidth="1"/>
    <col min="73" max="74" width="4" style="1" customWidth="1"/>
    <col min="75" max="75" width="3.71428571428571" style="33" customWidth="1"/>
    <col min="76" max="77" width="4" style="1" customWidth="1"/>
    <col min="78" max="78" width="7.71428571428571" style="1" customWidth="1"/>
    <col min="79" max="80" width="4.57142857142857" style="1" customWidth="1"/>
    <col min="81" max="85" width="4" style="1" customWidth="1"/>
    <col min="86" max="86" width="24" style="1" customWidth="1"/>
    <col min="87" max="88" width="4" style="1" customWidth="1"/>
    <col min="89" max="89" width="9.14285714285714" style="1" customWidth="1"/>
    <col min="90" max="90" width="9" style="1" customWidth="1"/>
    <col min="91" max="91" width="4" style="1" customWidth="1"/>
    <col min="92" max="92" width="3.71428571428571" style="33" customWidth="1"/>
    <col min="93" max="94" width="4" customWidth="1"/>
    <col min="95" max="96" width="4.57142857142857" customWidth="1"/>
    <col min="97" max="101" width="4" customWidth="1"/>
    <col min="102" max="102" width="24" customWidth="1"/>
    <col min="103" max="104" width="4" customWidth="1"/>
    <col min="105" max="105" width="9.14285714285714" customWidth="1"/>
    <col min="106" max="107" width="4" customWidth="1"/>
    <col min="108" max="108" width="5.42857142857143" customWidth="1"/>
    <col min="109" max="110" width="4" customWidth="1"/>
    <col min="111" max="112" width="4.57142857142857" customWidth="1"/>
    <col min="113" max="117" width="4" customWidth="1"/>
    <col min="118" max="118" width="24" customWidth="1"/>
    <col min="119" max="120" width="4" customWidth="1"/>
    <col min="122" max="123" width="4" customWidth="1"/>
    <col min="124" max="124" width="5.42857142857143" customWidth="1"/>
    <col min="146" max="16384" width="9.14285714285714" style="1"/>
  </cols>
  <sheetData>
    <row r="1" spans="1:8">
      <c r="A1" s="1" t="s">
        <v>317</v>
      </c>
      <c r="B1" s="1">
        <f>uxb_works!B8</f>
        <v>1</v>
      </c>
      <c r="D1" s="1" t="str">
        <f>uxb_works!H47</f>
        <v>2017 Compared to 2015 Updated</v>
      </c>
      <c r="H1" s="1" t="s">
        <v>318</v>
      </c>
    </row>
    <row r="2" spans="2:2">
      <c r="B2" s="1">
        <f>uxb_works!B10</f>
        <v>1</v>
      </c>
    </row>
    <row r="3" spans="1:2">
      <c r="A3" s="1" t="s">
        <v>319</v>
      </c>
      <c r="B3" s="1">
        <v>2</v>
      </c>
    </row>
    <row r="4" spans="1:76">
      <c r="A4" s="1" t="str">
        <f>uxb_works!A44</f>
        <v>COMPARE_YES/NO</v>
      </c>
      <c r="B4" s="1" t="b">
        <f>uxb_works!B44</f>
        <v>0</v>
      </c>
      <c r="C4" s="1">
        <f>uxb_works!C44</f>
        <v>0</v>
      </c>
      <c r="D4" s="1">
        <f>INDEX(Year_Select,B5)</f>
        <v>2017</v>
      </c>
      <c r="H4" s="1">
        <f>H5-1</f>
        <v>0</v>
      </c>
      <c r="Y4" s="1">
        <f>Y5-1</f>
        <v>1</v>
      </c>
      <c r="AP4" s="1">
        <f>AP5-1</f>
        <v>2</v>
      </c>
      <c r="BG4" s="1">
        <f>BG5-1</f>
        <v>3</v>
      </c>
      <c r="BX4" s="1">
        <f>BX5-1</f>
        <v>4</v>
      </c>
    </row>
    <row r="5" spans="1:76">
      <c r="A5" s="1" t="str">
        <f>uxb_works!A46</f>
        <v>YEAR_SELECT</v>
      </c>
      <c r="B5" s="1">
        <f>uxb_works!B46</f>
        <v>3</v>
      </c>
      <c r="G5" s="1" t="str">
        <f>INDEX(tblIndiSets!$T$167:$T$169,B5)</f>
        <v>aRankNumber_2017</v>
      </c>
      <c r="H5" s="281">
        <v>1</v>
      </c>
      <c r="Y5" s="295">
        <v>2</v>
      </c>
      <c r="AP5" s="281">
        <v>3</v>
      </c>
      <c r="BG5" s="281">
        <v>4</v>
      </c>
      <c r="BX5" s="281">
        <v>5</v>
      </c>
    </row>
    <row r="6" ht="15.75" spans="1:85">
      <c r="A6" s="1" t="str">
        <f>uxb_works!A47</f>
        <v>COMPARE_YEAR</v>
      </c>
      <c r="B6" s="1">
        <f>uxb_works!B47</f>
        <v>2</v>
      </c>
      <c r="C6" s="1" t="str">
        <f>uxb_works!C47</f>
        <v>2015 Updated</v>
      </c>
      <c r="D6" s="1" t="str">
        <f>uxb_works!D47</f>
        <v>aData_2014_N</v>
      </c>
      <c r="E6" s="1" t="str">
        <f>uxb_works!E47</f>
        <v>aScores_2014_N</v>
      </c>
      <c r="F6" s="1" t="str">
        <f>uxb_works!F47</f>
        <v>lu_Cities_2014_N</v>
      </c>
      <c r="G6" s="1" t="str">
        <f>uxb_works!G47</f>
        <v>aRankNumber_2014_N</v>
      </c>
      <c r="H6" s="1">
        <f>IF($B$5=1,INDEX(tblIndiSets_2014_O!$B$3:$B$7,H5),INDEX(tblIndiSets!$B$5:$B$11,H5))</f>
        <v>1</v>
      </c>
      <c r="I6" s="1">
        <f>IF($H$1=$C$6,MATCH(H4,'tblIndicators_2014-O'!$F$2:$F$57,0),MATCH(H4,tblIndicators!$G$2:$G$69,0))</f>
        <v>1</v>
      </c>
      <c r="Q6" s="1" t="str">
        <f>INDEX(tblIndiSets!$C$5:$C$11,H5)</f>
        <v>OVERALL SCORE</v>
      </c>
      <c r="Y6" s="1">
        <f>IF($B$5=1,INDEX(tblIndiSets_2014_O!$B$3:$B$7,Y5),INDEX(tblIndiSets!$B$5:$B$11,Y5))</f>
        <v>2</v>
      </c>
      <c r="Z6" s="1">
        <f>IF($H$1=$C$6,MATCH(Y4,'tblIndicators_2014-O'!$F$2:$F$57,0),MATCH(Y4,tblIndicators!$G$2:$G$69,0))</f>
        <v>2</v>
      </c>
      <c r="AH6" s="1" t="str">
        <f>INDEX(tblIndiSets!$C$5:$C$11,Y5)</f>
        <v>1) DIGITAL SECURITY</v>
      </c>
      <c r="AP6" s="1">
        <f>IF($B$5=1,INDEX(tblIndiSets_2014_O!$B$3:$B$7,AP5),INDEX(tblIndiSets!$B$5:$B$11,AP5))</f>
        <v>13</v>
      </c>
      <c r="AQ6" s="1">
        <f>IF($H$1=$C$6,MATCH(AP4,'tblIndicators_2014-O'!$F$2:$F$57,0),MATCH(AP4,tblIndicators!$G$2:$G$69,0))</f>
        <v>13</v>
      </c>
      <c r="AY6" s="1" t="str">
        <f>INDEX(tblIndiSets!$C$5:$C$11,AP5)</f>
        <v>2) HEALTH SECURITY</v>
      </c>
      <c r="BG6" s="1">
        <f>IF($B$5=1,INDEX(tblIndiSets_2014_O!$B$3:$B$7,BG5),INDEX(tblIndiSets!$B$5:$B$11,BG5))</f>
        <v>28</v>
      </c>
      <c r="BH6" s="1">
        <f>IF($H$1=$C$6,MATCH(BG4,'tblIndicators_2014-O'!$F$2:$F$57,0),MATCH(BG4,tblIndicators!$G$2:$G$69,0))</f>
        <v>28</v>
      </c>
      <c r="BP6" s="1" t="str">
        <f>INDEX(tblIndiSets!$C$5:$C$11,BG5)</f>
        <v>3) INFRASTRUCTURE SECURITY</v>
      </c>
      <c r="BX6" s="1">
        <f>IF($B$5=1,INDEX(tblIndiSets_2014_O!$B$3:$B$7,BX5),INDEX(tblIndiSets!$B$5:$B$11,BX5))</f>
        <v>41</v>
      </c>
      <c r="BY6" s="1">
        <f>IF($H$1=$C$6,MATCH(BX4,'tblIndicators_2014-O'!$F$2:$F$57,0),MATCH(BX4,tblIndicators!$G$2:$G$69,0))</f>
        <v>41</v>
      </c>
      <c r="CG6" s="1" t="str">
        <f>INDEX(tblIndiSets!$C$5:$C$11,BX5)</f>
        <v>4) PERSONAL SECURITY</v>
      </c>
    </row>
    <row r="7" spans="2:90">
      <c r="B7" s="1" t="s">
        <v>320</v>
      </c>
      <c r="D7" s="1" t="s">
        <v>321</v>
      </c>
      <c r="E7" s="1" t="s">
        <v>322</v>
      </c>
      <c r="F7" s="1" t="s">
        <v>323</v>
      </c>
      <c r="G7" s="21" t="s">
        <v>324</v>
      </c>
      <c r="H7" s="1" t="s">
        <v>24</v>
      </c>
      <c r="I7" s="1" t="s">
        <v>14</v>
      </c>
      <c r="K7" s="270" t="s">
        <v>325</v>
      </c>
      <c r="L7" s="274" t="s">
        <v>326</v>
      </c>
      <c r="M7" s="1" t="s">
        <v>327</v>
      </c>
      <c r="N7" s="1" t="s">
        <v>328</v>
      </c>
      <c r="S7" s="268" t="s">
        <v>24</v>
      </c>
      <c r="T7" s="268" t="s">
        <v>329</v>
      </c>
      <c r="U7" s="268" t="s">
        <v>330</v>
      </c>
      <c r="V7" s="1" t="s">
        <v>331</v>
      </c>
      <c r="Y7" s="293" t="s">
        <v>24</v>
      </c>
      <c r="Z7" s="1" t="s">
        <v>14</v>
      </c>
      <c r="AB7" s="270" t="s">
        <v>325</v>
      </c>
      <c r="AC7" s="274" t="s">
        <v>326</v>
      </c>
      <c r="AD7" s="1" t="s">
        <v>327</v>
      </c>
      <c r="AE7" s="1" t="s">
        <v>328</v>
      </c>
      <c r="AJ7" s="268" t="s">
        <v>24</v>
      </c>
      <c r="AK7" s="268" t="s">
        <v>329</v>
      </c>
      <c r="AL7" s="268" t="s">
        <v>330</v>
      </c>
      <c r="AM7" s="1" t="s">
        <v>331</v>
      </c>
      <c r="AP7" s="1" t="s">
        <v>24</v>
      </c>
      <c r="AQ7" s="1" t="s">
        <v>14</v>
      </c>
      <c r="AS7" s="270" t="s">
        <v>325</v>
      </c>
      <c r="AT7" s="274" t="s">
        <v>326</v>
      </c>
      <c r="AU7" s="1" t="s">
        <v>327</v>
      </c>
      <c r="AV7" s="1" t="s">
        <v>328</v>
      </c>
      <c r="BA7" s="268" t="s">
        <v>24</v>
      </c>
      <c r="BB7" s="268" t="s">
        <v>329</v>
      </c>
      <c r="BC7" s="268" t="s">
        <v>330</v>
      </c>
      <c r="BD7" s="1" t="s">
        <v>331</v>
      </c>
      <c r="BG7" s="1" t="s">
        <v>24</v>
      </c>
      <c r="BH7" s="1" t="s">
        <v>14</v>
      </c>
      <c r="BJ7" s="270" t="s">
        <v>325</v>
      </c>
      <c r="BK7" s="274" t="s">
        <v>326</v>
      </c>
      <c r="BL7" s="1" t="s">
        <v>327</v>
      </c>
      <c r="BM7" s="1" t="s">
        <v>328</v>
      </c>
      <c r="BR7" s="268" t="s">
        <v>24</v>
      </c>
      <c r="BS7" s="268" t="s">
        <v>329</v>
      </c>
      <c r="BT7" s="268" t="s">
        <v>330</v>
      </c>
      <c r="BU7" s="1" t="s">
        <v>331</v>
      </c>
      <c r="BX7" s="1" t="s">
        <v>24</v>
      </c>
      <c r="BY7" s="1" t="s">
        <v>14</v>
      </c>
      <c r="CA7" s="270" t="s">
        <v>325</v>
      </c>
      <c r="CB7" s="274" t="s">
        <v>326</v>
      </c>
      <c r="CC7" s="1" t="s">
        <v>327</v>
      </c>
      <c r="CD7" s="1" t="s">
        <v>328</v>
      </c>
      <c r="CI7" s="268" t="s">
        <v>24</v>
      </c>
      <c r="CJ7" s="268" t="s">
        <v>329</v>
      </c>
      <c r="CK7" s="268" t="s">
        <v>330</v>
      </c>
      <c r="CL7" s="1" t="s">
        <v>331</v>
      </c>
    </row>
    <row r="8" spans="1:92">
      <c r="A8" s="1">
        <f>tblTerritories!A3</f>
        <v>1</v>
      </c>
      <c r="B8" s="1">
        <f>IF(tblTerritories!F3="",0,tblTerritories!F3)</f>
        <v>1</v>
      </c>
      <c r="C8" s="1" t="str">
        <f>tblTerritories!C3</f>
        <v>Abu Dhabi</v>
      </c>
      <c r="D8" s="1">
        <f>tblTerritories!D3</f>
        <v>1</v>
      </c>
      <c r="E8" s="1">
        <f>tblTerritories!K3</f>
        <v>0</v>
      </c>
      <c r="F8" s="1">
        <f>IF($A8="","",VLOOKUP(C8,tblTerritories!$J$3:$P$100,7,FALSE)+10)</f>
        <v>13</v>
      </c>
      <c r="H8" s="1">
        <f t="shared" ref="H8:H68" si="0">IF($B8=0,"",CHOOSE($B$5,ROUND(INDEX(aScores_2014_O,H$6,$A8),$B$3),ROUND(INDEX(aScores_2014_N,H$6,$A8),$B$3),ROUND(INDEX(aScores_2017,H$6,$A8),$B$3)))</f>
        <v>76.91</v>
      </c>
      <c r="I8" s="1">
        <f>IF($B8=0,"",RANK(H8,H$8:H$73,0)+COUNTIF(H$8:H8,H8)-1)</f>
        <v>28</v>
      </c>
      <c r="J8" s="1">
        <f ca="1">INDEX(INDIRECT($G$5),H$6,$A8)</f>
        <v>28</v>
      </c>
      <c r="K8" s="273">
        <f ca="1">IF($B8=0,"",ROUND(H8-INDEX(INDIRECT($E$6),I$6,MATCH($C8,INDIRECT($F$6),0)),2))</f>
        <v>4.18</v>
      </c>
      <c r="L8" s="275">
        <f ca="1">IF($B8=0,"",INDEX(INDIRECT($G$6),I$6,MATCH($C8,INDIRECT($F$6),0))-J8)</f>
        <v>-5</v>
      </c>
      <c r="M8" s="1">
        <f>IF(ISERROR(MATCH($A8,I$8:I$73,0)),"",MATCH($A8,I$8:I$73,0))</f>
        <v>55</v>
      </c>
      <c r="N8" s="269">
        <f>IF($A8="","",IF(M8="","",RANK(S8,S$8:S$73)))</f>
        <v>1</v>
      </c>
      <c r="O8" s="269">
        <f>IF(M8="","",COUNTIF(S$8:S$73,S8))</f>
        <v>1</v>
      </c>
      <c r="P8" s="269">
        <f>IF(M8="",0,INDEX($B$8:$B$73,M8))</f>
        <v>1</v>
      </c>
      <c r="Q8" s="268">
        <f>IF(M8="","",IF(O8&gt;1,CONCATENATE("=",N8),N8))</f>
        <v>1</v>
      </c>
      <c r="R8" s="1" t="str">
        <f>IF(M8="","",INDEX($C$8:$C$73,M8))</f>
        <v>Tokyo</v>
      </c>
      <c r="S8" s="277">
        <f>IF(M8="","",INDEX(H$8:H$73,M8))</f>
        <v>89.8</v>
      </c>
      <c r="T8" s="277">
        <f ca="1">IF(M8="","",IF(ISNA(INDEX(K$8:K$73,M8)),"",INDEX(K$8:K$73,M8)))</f>
        <v>3.5</v>
      </c>
      <c r="U8" s="277" t="b">
        <f ca="1">IF($B$4,IF(T8="","",IF(T8&gt;0,"p",IF(T8&lt;0,"q",""))))</f>
        <v>0</v>
      </c>
      <c r="V8" s="277">
        <f ca="1">IF(M8="","",IF(ISNA(INDEX(L$8:L$73,M8)),"",INDEX(L$8:L$73,M8)))</f>
        <v>0</v>
      </c>
      <c r="W8" s="277" t="b">
        <f ca="1">IF($B$4,IF(V8="","",IF(V8&gt;0,"p",IF(V8&lt;0,"q",""))))</f>
        <v>0</v>
      </c>
      <c r="X8" s="294" t="str">
        <f ca="1">IF(M8="","",IF(ISNA(INDEX(K$8:K$73,M8))," *",""))</f>
        <v/>
      </c>
      <c r="Y8" s="1">
        <f t="shared" ref="Y8:Y68" si="1">IF($B8=0,"",CHOOSE($B$5,ROUND(INDEX(aScores_2014_O,Y$6,$A8),$B$3),ROUND(INDEX(aScores_2014_N,Y$6,$A8),$B$3),ROUND(INDEX(aScores_2017,Y$6,$A8),$B$3)))</f>
        <v>68.77</v>
      </c>
      <c r="Z8" s="1">
        <f>IF($B8=0,"",RANK(Y8,Y$8:Y$73,0)+COUNTIF(Y$8:Y8,Y8)-1)</f>
        <v>28</v>
      </c>
      <c r="AA8" s="1">
        <f ca="1">INDEX(INDIRECT($G$5),Y$6,$A8)</f>
        <v>28</v>
      </c>
      <c r="AB8" s="273">
        <f ca="1">IF($B8=0,"",ROUND(Y8-INDEX(INDIRECT($E$6),Z$6,MATCH($C8,INDIRECT($F$6),0)),2))</f>
        <v>-10.44</v>
      </c>
      <c r="AC8" s="275">
        <f ca="1">IF($B8=0,"",INDEX(INDIRECT($G$6),Z$6,MATCH($C8,INDIRECT($F$6),0))-AA8)</f>
        <v>-24</v>
      </c>
      <c r="AD8" s="1">
        <f>IF(ISERROR(MATCH($A8,Z$8:Z$73,0)),"",MATCH($A8,Z$8:Z$73,0))</f>
        <v>55</v>
      </c>
      <c r="AE8" s="269">
        <f>IF($A8="","",IF(AD8="","",RANK(AJ8,AJ$8:AJ$73)))</f>
        <v>1</v>
      </c>
      <c r="AF8" s="269">
        <f>IF(AD8="","",COUNTIF(AJ$8:AJ$73,AJ8))</f>
        <v>1</v>
      </c>
      <c r="AG8" s="269">
        <f>IF(AD8="",0,INDEX($B$8:$B$73,AD8))</f>
        <v>1</v>
      </c>
      <c r="AH8" s="268">
        <f>IF(AD8="","",IF(AF8&gt;1,CONCATENATE("=",AE8),AE8))</f>
        <v>1</v>
      </c>
      <c r="AI8" s="1" t="str">
        <f>IF(AD8="","",INDEX($C$8:$C$73,AD8))</f>
        <v>Tokyo</v>
      </c>
      <c r="AJ8" s="277">
        <f>IF(AD8="","",INDEX(Y$8:Y$73,AD8))</f>
        <v>88.4</v>
      </c>
      <c r="AK8" s="277">
        <f ca="1">IF(AD8="","",IF(ISNA(INDEX(AB$8:AB$73,AD8)),"",INDEX(AB$8:AB$73,AD8)))</f>
        <v>4.72</v>
      </c>
      <c r="AL8" s="277" t="b">
        <f ca="1">IF($B$4,IF(AK8="","",IF(AK8&gt;0,"p",IF(AK8&lt;0,"q",""))))</f>
        <v>0</v>
      </c>
      <c r="AM8" s="277">
        <f ca="1">IF(AD8="","",IF(ISNA(INDEX(AC$8:AC$73,AD8)),"",INDEX(AC$8:AC$73,AD8)))</f>
        <v>0</v>
      </c>
      <c r="AN8" s="277" t="b">
        <f ca="1">IF($B$4,IF(AM8="","",IF(AM8&gt;0,"p",IF(AM8&lt;0,"q",""))))</f>
        <v>0</v>
      </c>
      <c r="AO8" s="294" t="str">
        <f ca="1">IF(AD8="","",IF(ISNA(INDEX(AB$8:AB$73,AD8))," *",""))</f>
        <v/>
      </c>
      <c r="AP8" s="1">
        <f t="shared" ref="AP8:AP68" si="2">IF($B8=0,"",CHOOSE($B$5,ROUND(INDEX(aScores_2014_O,AP$6,$A8),$B$3),ROUND(INDEX(aScores_2014_N,AP$6,$A8),$B$3),ROUND(INDEX(aScores_2017,AP$6,$A8),$B$3)))</f>
        <v>68.54</v>
      </c>
      <c r="AQ8" s="1">
        <f>IF($B8=0,"",RANK(AP8,AP$8:AP$73,0)+COUNTIF(AP$8:AP8,AP8)-1)</f>
        <v>33</v>
      </c>
      <c r="AR8" s="1">
        <f ca="1">INDEX(INDIRECT($G$5),AP$6,$A8)</f>
        <v>33</v>
      </c>
      <c r="AS8" s="273">
        <f ca="1">IF($B8=0,"",ROUND(AP8-INDEX(INDIRECT($E$6),AQ$6,MATCH($C8,INDIRECT($F$6),0)),2))</f>
        <v>12.99</v>
      </c>
      <c r="AT8" s="275">
        <f ca="1">IF($B8=0,"",INDEX(INDIRECT($G$6),AQ$6,MATCH($C8,INDIRECT($F$6),0))-AR8)</f>
        <v>9</v>
      </c>
      <c r="AU8" s="1">
        <f>IF(ISERROR(MATCH($A8,AQ$8:AQ$73,0)),"",MATCH($A8,AQ$8:AQ$73,0))</f>
        <v>39</v>
      </c>
      <c r="AV8" s="269">
        <f>IF($A8="","",IF(AU8="","",RANK(BA8,BA$8:BA$73)))</f>
        <v>1</v>
      </c>
      <c r="AW8" s="269">
        <f>IF(AU8="","",COUNTIF(BA$8:BA$73,BA8))</f>
        <v>1</v>
      </c>
      <c r="AX8" s="269">
        <f>IF(AU8="",0,INDEX($B$8:$B$73,AU8))</f>
        <v>1</v>
      </c>
      <c r="AY8" s="268">
        <f>IF(AU8="","",IF(AW8&gt;1,CONCATENATE("=",AV8),AV8))</f>
        <v>1</v>
      </c>
      <c r="AZ8" s="1" t="str">
        <f>IF(AU8="","",INDEX($C$8:$C$73,AU8))</f>
        <v>Osaka</v>
      </c>
      <c r="BA8" s="277">
        <f>IF(AU8="","",INDEX(AP$8:AP$73,AU8))</f>
        <v>87.15</v>
      </c>
      <c r="BB8" s="277">
        <f ca="1">IF(AU8="","",IF(ISNA(INDEX(AS$8:AS$73,AU8)),"",INDEX(AS$8:AS$73,AU8)))</f>
        <v>8.61</v>
      </c>
      <c r="BC8" s="277" t="b">
        <f ca="1">IF($B$4,IF(BB8="","",IF(BB8&gt;0,"p",IF(BB8&lt;0,"q",""))))</f>
        <v>0</v>
      </c>
      <c r="BD8" s="277">
        <f ca="1">IF(AU8="","",IF(ISNA(INDEX(AT$8:AT$73,AU8)),"",INDEX(AT$8:AT$73,AU8)))</f>
        <v>6</v>
      </c>
      <c r="BE8" s="277" t="b">
        <f ca="1">IF($B$4,IF(BD8="","",IF(BD8&gt;0,"p",IF(BD8&lt;0,"q",""))))</f>
        <v>0</v>
      </c>
      <c r="BF8" s="294" t="str">
        <f ca="1">IF(AU8="","",IF(ISNA(INDEX(AS$8:AS$73,AU8))," *",""))</f>
        <v/>
      </c>
      <c r="BG8" s="1">
        <f t="shared" ref="BG8:BG68" si="3">IF($B8=0,"",CHOOSE($B$5,ROUND(INDEX(aScores_2014_O,BG$6,$A8),$B$3),ROUND(INDEX(aScores_2014_N,BG$6,$A8),$B$3),ROUND(INDEX(aScores_2017,BG$6,$A8),$B$3)))</f>
        <v>91.36</v>
      </c>
      <c r="BH8" s="1">
        <f>IF($B8=0,"",RANK(BG8,BG$8:BG$73,0)+COUNTIF(BG$8:BG8,BG8)-1)</f>
        <v>16</v>
      </c>
      <c r="BI8" s="1">
        <f ca="1">INDEX(INDIRECT($G$5),BG$6,$A8)</f>
        <v>16</v>
      </c>
      <c r="BJ8" s="273">
        <f ca="1">IF($B8=0,"",ROUND(BG8-INDEX(INDIRECT($E$6),BH$6,MATCH($C8,INDIRECT($F$6),0)),2))</f>
        <v>3.77</v>
      </c>
      <c r="BK8" s="275">
        <f ca="1">IF($B8=0,"",INDEX(INDIRECT($G$6),BH$6,MATCH($C8,INDIRECT($F$6),0))-BI8)</f>
        <v>-5</v>
      </c>
      <c r="BL8" s="1">
        <f>IF(ISERROR(MATCH($A8,BH$8:BH$73,0)),"",MATCH($A8,BH$8:BH$73,0))</f>
        <v>50</v>
      </c>
      <c r="BM8" s="269">
        <f>IF($A8="","",IF(BL8="","",RANK(BR8,BR$8:BR$73)))</f>
        <v>1</v>
      </c>
      <c r="BN8" s="269">
        <f>IF(BL8="","",COUNTIF(BR$8:BR$73,BR8))</f>
        <v>1</v>
      </c>
      <c r="BO8" s="269">
        <f>IF(BL8="",0,INDEX($B$8:$B$73,BL8))</f>
        <v>1</v>
      </c>
      <c r="BP8" s="268">
        <f>IF(BL8="","",IF(BN8&gt;1,CONCATENATE("=",BM8),BM8))</f>
        <v>1</v>
      </c>
      <c r="BQ8" s="1" t="str">
        <f>IF(BL8="","",INDEX($C$8:$C$73,BL8))</f>
        <v>Singapore</v>
      </c>
      <c r="BR8" s="277">
        <f>IF(BL8="","",INDEX(BG$8:BG$73,BL8))</f>
        <v>97.05</v>
      </c>
      <c r="BS8" s="277">
        <f ca="1">IF(BL8="","",IF(ISNA(INDEX(BJ$8:BJ$73,BL8)),"",INDEX(BJ$8:BJ$73,BL8)))</f>
        <v>6.3</v>
      </c>
      <c r="BT8" s="277" t="b">
        <f ca="1">IF($B$4,IF(BS8="","",IF(BS8&gt;0,"p",IF(BS8&lt;0,"q",""))))</f>
        <v>0</v>
      </c>
      <c r="BU8" s="277">
        <f ca="1">IF(BL8="","",IF(ISNA(INDEX(BK$8:BK$73,BL8)),"",INDEX(BK$8:BK$73,BL8)))</f>
        <v>5</v>
      </c>
      <c r="BV8" s="277" t="b">
        <f ca="1">IF($B$4,IF(BU8="","",IF(BU8&gt;0,"p",IF(BU8&lt;0,"q",""))))</f>
        <v>0</v>
      </c>
      <c r="BW8" s="294" t="str">
        <f ca="1">IF(BL8="","",IF(ISNA(INDEX(BJ$8:BJ$73,BL8))," *",""))</f>
        <v/>
      </c>
      <c r="BX8" s="1">
        <f t="shared" ref="BX8:BX68" si="4">IF($B8=0,"",CHOOSE($B$5,ROUND(INDEX(aScores_2014_O,BX$6,$A8),$B$3),ROUND(INDEX(aScores_2014_N,BX$6,$A8),$B$3),ROUND(INDEX(aScores_2017,BX$6,$A8),$B$3)))</f>
        <v>78.95</v>
      </c>
      <c r="BY8" s="1">
        <f>IF($B8=0,"",RANK(BX8,BX$8:BX$73,0)+COUNTIF(BX$8:BX8,BX8)-1)</f>
        <v>29</v>
      </c>
      <c r="BZ8" s="1">
        <f ca="1">INDEX(INDIRECT($G$5),BX$6,$A8)</f>
        <v>29</v>
      </c>
      <c r="CA8" s="273">
        <f ca="1">IF($B8=0,"",ROUND(BX8-INDEX(INDIRECT($E$6),BY$6,MATCH($C8,INDIRECT($F$6),0)),2))</f>
        <v>10.37</v>
      </c>
      <c r="CB8" s="275">
        <f ca="1">IF($B8=0,"",INDEX(INDIRECT($G$6),BY$6,MATCH($C8,INDIRECT($F$6),0))-BZ8)</f>
        <v>-2</v>
      </c>
      <c r="CC8" s="1">
        <f>IF(ISERROR(MATCH($A8,BY$8:BY$73,0)),"",MATCH($A8,BY$8:BY$73,0))</f>
        <v>50</v>
      </c>
      <c r="CD8" s="269">
        <f>IF($A8="","",IF(CC8="","",RANK(CI8,CI$8:CI$73)))</f>
        <v>1</v>
      </c>
      <c r="CE8" s="269">
        <f>IF(CC8="","",COUNTIF(CI$8:CI$73,CI8))</f>
        <v>1</v>
      </c>
      <c r="CF8" s="269">
        <f>IF(CC8="",0,INDEX($B$8:$B$73,CC8))</f>
        <v>1</v>
      </c>
      <c r="CG8" s="268">
        <f>IF(CC8="","",IF(CE8&gt;1,CONCATENATE("=",CD8),CD8))</f>
        <v>1</v>
      </c>
      <c r="CH8" s="1" t="str">
        <f>IF(CC8="","",INDEX($C$8:$C$73,CC8))</f>
        <v>Singapore</v>
      </c>
      <c r="CI8" s="277">
        <f>IF(CC8="","",INDEX(BX$8:BX$73,CC8))</f>
        <v>94.94</v>
      </c>
      <c r="CJ8" s="277">
        <f ca="1">IF(CC8="","",IF(ISNA(INDEX(CA$8:CA$73,CC8)),"",INDEX(CA$8:CA$73,CC8)))</f>
        <v>0.06</v>
      </c>
      <c r="CK8" s="277" t="b">
        <f ca="1">IF($B$4,IF(CJ8="","",IF(CJ8&gt;0,"p",IF(CJ8&lt;0,"q",""))))</f>
        <v>0</v>
      </c>
      <c r="CL8" s="277">
        <f ca="1">IF(CC8="","",IF(ISNA(INDEX(CB$8:CB$73,CC8)),"",INDEX(CB$8:CB$73,CC8)))</f>
        <v>0</v>
      </c>
      <c r="CM8" s="277" t="b">
        <f ca="1">IF($B$4,IF(CL8="","",IF(CL8&gt;0,"p",IF(CL8&lt;0,"q",""))))</f>
        <v>0</v>
      </c>
      <c r="CN8" s="294" t="str">
        <f ca="1">IF(CC8="","",IF(ISNA(INDEX(CA$8:CA$73,CC8))," *",""))</f>
        <v/>
      </c>
    </row>
    <row r="9" spans="1:92">
      <c r="A9" s="1">
        <f>tblTerritories!A4</f>
        <v>2</v>
      </c>
      <c r="B9" s="1">
        <f>IF(tblTerritories!F4="",0,tblTerritories!F4)</f>
        <v>1</v>
      </c>
      <c r="C9" s="1" t="str">
        <f>tblTerritories!C4</f>
        <v>Amsterdam</v>
      </c>
      <c r="D9" s="1">
        <f>tblTerritories!D4</f>
        <v>1</v>
      </c>
      <c r="E9" s="1">
        <f>tblTerritories!K4</f>
        <v>0</v>
      </c>
      <c r="F9" s="1">
        <f>IF($A9="","",VLOOKUP(C9,tblTerritories!$J$3:$P$100,7,FALSE)+10)</f>
        <v>11</v>
      </c>
      <c r="H9" s="1">
        <f t="shared" si="0"/>
        <v>87.26</v>
      </c>
      <c r="I9" s="1">
        <f>IF($B9=0,"",RANK(H9,H$8:H$73,0)+COUNTIF(H$8:H9,H9)-1)</f>
        <v>6</v>
      </c>
      <c r="J9" s="1">
        <f ca="1" t="shared" ref="J9:J19" si="5">INDEX(INDIRECT($G$5),H$6,$A9)</f>
        <v>6</v>
      </c>
      <c r="K9" s="273">
        <f ca="1" t="shared" ref="K9:K19" si="6">IF($B9=0,"",ROUND(H9-INDEX(INDIRECT($E$6),I$6,MATCH($C9,INDIRECT($F$6),0)),2))</f>
        <v>3.22</v>
      </c>
      <c r="L9" s="275">
        <f ca="1" t="shared" ref="L9:L19" si="7">IF($B9=0,"",INDEX(INDIRECT($G$6),I$6,MATCH($C9,INDIRECT($F$6),0))-J9)</f>
        <v>-3</v>
      </c>
      <c r="M9" s="1">
        <f t="shared" ref="M9:M19" si="8">IF(ISERROR(MATCH($A9,I$8:I$73,0)),"",MATCH($A9,I$8:I$73,0))</f>
        <v>50</v>
      </c>
      <c r="N9" s="269">
        <f t="shared" ref="N9:N19" si="9">IF($A9="","",IF(M9="","",RANK(S9,S$8:S$73)))</f>
        <v>2</v>
      </c>
      <c r="O9" s="269">
        <f t="shared" ref="O9:O19" si="10">IF(M9="","",COUNTIF(S$8:S$73,S9))</f>
        <v>1</v>
      </c>
      <c r="P9" s="269">
        <f t="shared" ref="P9:P19" si="11">IF(M9="",0,INDEX($B$8:$B$73,M9))</f>
        <v>1</v>
      </c>
      <c r="Q9" s="268">
        <f t="shared" ref="Q9:Q19" si="12">IF(M9="","",IF(O9&gt;1,CONCATENATE("=",N9),N9))</f>
        <v>2</v>
      </c>
      <c r="R9" s="1" t="str">
        <f t="shared" ref="R9:R19" si="13">IF(M9="","",INDEX($C$8:$C$73,M9))</f>
        <v>Singapore</v>
      </c>
      <c r="S9" s="277">
        <f t="shared" ref="S9:S19" si="14">IF(M9="","",INDEX(H$8:H$73,M9))</f>
        <v>89.64</v>
      </c>
      <c r="T9" s="277">
        <f ca="1" t="shared" ref="T9:T19" si="15">IF(M9="","",IF(ISNA(INDEX(K$8:K$73,M9)),"",INDEX(K$8:K$73,M9)))</f>
        <v>3.9</v>
      </c>
      <c r="U9" s="277" t="b">
        <f ca="1" t="shared" ref="U9:U19" si="16">IF($B$4,IF(T9="","",IF(T9&gt;0,"p",IF(T9&lt;0,"q",""))))</f>
        <v>0</v>
      </c>
      <c r="V9" s="277">
        <f ca="1" t="shared" ref="V9:V19" si="17">IF(M9="","",IF(ISNA(INDEX(L$8:L$73,M9)),"",INDEX(L$8:L$73,M9)))</f>
        <v>0</v>
      </c>
      <c r="W9" s="277" t="b">
        <f ca="1" t="shared" ref="W9:W19" si="18">IF($B$4,IF(V9="","",IF(V9&gt;0,"p",IF(V9&lt;0,"q",""))))</f>
        <v>0</v>
      </c>
      <c r="X9" s="294" t="str">
        <f ca="1" t="shared" ref="X9:X19" si="19">IF(M9="","",IF(ISNA(INDEX(K$8:K$73,M9))," *",""))</f>
        <v/>
      </c>
      <c r="Y9" s="1">
        <f t="shared" si="1"/>
        <v>85.79</v>
      </c>
      <c r="Z9" s="1">
        <f>IF($B9=0,"",RANK(Y9,Y$8:Y$73,0)+COUNTIF(Y$8:Y9,Y9)-1)</f>
        <v>4</v>
      </c>
      <c r="AA9" s="1">
        <f ca="1" t="shared" ref="AA9:AA19" si="20">INDEX(INDIRECT($G$5),Y$6,$A9)</f>
        <v>4</v>
      </c>
      <c r="AB9" s="273">
        <f ca="1" t="shared" ref="AB9:AB19" si="21">IF($B9=0,"",ROUND(Y9-INDEX(INDIRECT($E$6),Z$6,MATCH($C9,INDIRECT($F$6),0)),2))</f>
        <v>6.98</v>
      </c>
      <c r="AC9" s="275">
        <f ca="1" t="shared" ref="AC9:AC19" si="22">IF($B9=0,"",INDEX(INDIRECT($G$6),Z$6,MATCH($C9,INDIRECT($F$6),0))-AA9)</f>
        <v>1</v>
      </c>
      <c r="AD9" s="1">
        <f t="shared" ref="AD9:AD19" si="23">IF(ISERROR(MATCH($A9,Z$8:Z$73,0)),"",MATCH($A9,Z$8:Z$73,0))</f>
        <v>50</v>
      </c>
      <c r="AE9" s="269">
        <f t="shared" ref="AE9:AE19" si="24">IF($A9="","",IF(AD9="","",RANK(AJ9,AJ$8:AJ$73)))</f>
        <v>2</v>
      </c>
      <c r="AF9" s="269">
        <f t="shared" ref="AF9:AF19" si="25">IF(AD9="","",COUNTIF(AJ$8:AJ$73,AJ9))</f>
        <v>1</v>
      </c>
      <c r="AG9" s="269">
        <f t="shared" ref="AG9:AG19" si="26">IF(AD9="",0,INDEX($B$8:$B$73,AD9))</f>
        <v>1</v>
      </c>
      <c r="AH9" s="268">
        <f t="shared" ref="AH9:AH19" si="27">IF(AD9="","",IF(AF9&gt;1,CONCATENATE("=",AE9),AE9))</f>
        <v>2</v>
      </c>
      <c r="AI9" s="1" t="str">
        <f t="shared" ref="AI9:AI19" si="28">IF(AD9="","",INDEX($C$8:$C$73,AD9))</f>
        <v>Singapore</v>
      </c>
      <c r="AJ9" s="277">
        <f t="shared" ref="AJ9:AJ19" si="29">IF(AD9="","",INDEX(Y$8:Y$73,AD9))</f>
        <v>86.84</v>
      </c>
      <c r="AK9" s="277">
        <f ca="1" t="shared" ref="AK9:AK19" si="30">IF(AD9="","",IF(ISNA(INDEX(AB$8:AB$73,AD9)),"",INDEX(AB$8:AB$73,AD9)))</f>
        <v>6.49</v>
      </c>
      <c r="AL9" s="277" t="b">
        <f ca="1" t="shared" ref="AL9:AL19" si="31">IF($B$4,IF(AK9="","",IF(AK9&gt;0,"p",IF(AK9&lt;0,"q",""))))</f>
        <v>0</v>
      </c>
      <c r="AM9" s="277">
        <f ca="1" t="shared" ref="AM9:AM19" si="32">IF(AD9="","",IF(ISNA(INDEX(AC$8:AC$73,AD9)),"",INDEX(AC$8:AC$73,AD9)))</f>
        <v>0</v>
      </c>
      <c r="AN9" s="277" t="b">
        <f ca="1" t="shared" ref="AN9:AN19" si="33">IF($B$4,IF(AM9="","",IF(AM9&gt;0,"p",IF(AM9&lt;0,"q",""))))</f>
        <v>0</v>
      </c>
      <c r="AO9" s="294" t="str">
        <f ca="1" t="shared" ref="AO9:AO19" si="34">IF(AD9="","",IF(ISNA(INDEX(AB$8:AB$73,AD9))," *",""))</f>
        <v/>
      </c>
      <c r="AP9" s="1">
        <f t="shared" si="2"/>
        <v>79.79</v>
      </c>
      <c r="AQ9" s="1">
        <f>IF($B9=0,"",RANK(AP9,AP$8:AP$73,0)+COUNTIF(AP$8:AP9,AP9)-1)</f>
        <v>12</v>
      </c>
      <c r="AR9" s="1">
        <f ca="1" t="shared" ref="AR9:AR19" si="35">INDEX(INDIRECT($G$5),AP$6,$A9)</f>
        <v>12</v>
      </c>
      <c r="AS9" s="273">
        <f ca="1" t="shared" ref="AS9:AS19" si="36">IF($B9=0,"",ROUND(AP9-INDEX(INDIRECT($E$6),AQ$6,MATCH($C9,INDIRECT($F$6),0)),2))</f>
        <v>3.75</v>
      </c>
      <c r="AT9" s="275">
        <f ca="1" t="shared" ref="AT9:AT19" si="37">IF($B9=0,"",INDEX(INDIRECT($G$6),AQ$6,MATCH($C9,INDIRECT($F$6),0))-AR9)</f>
        <v>1</v>
      </c>
      <c r="AU9" s="1">
        <f t="shared" ref="AU9:AU19" si="38">IF(ISERROR(MATCH($A9,AQ$8:AQ$73,0)),"",MATCH($A9,AQ$8:AQ$73,0))</f>
        <v>55</v>
      </c>
      <c r="AV9" s="269">
        <f t="shared" ref="AV9:AV19" si="39">IF($A9="","",IF(AU9="","",RANK(BA9,BA$8:BA$73)))</f>
        <v>2</v>
      </c>
      <c r="AW9" s="269">
        <f t="shared" ref="AW9:AW19" si="40">IF(AU9="","",COUNTIF(BA$8:BA$73,BA9))</f>
        <v>1</v>
      </c>
      <c r="AX9" s="269">
        <f t="shared" ref="AX9:AX19" si="41">IF(AU9="",0,INDEX($B$8:$B$73,AU9))</f>
        <v>1</v>
      </c>
      <c r="AY9" s="268">
        <f t="shared" ref="AY9:AY19" si="42">IF(AU9="","",IF(AW9&gt;1,CONCATENATE("=",AV9),AV9))</f>
        <v>2</v>
      </c>
      <c r="AZ9" s="1" t="str">
        <f t="shared" ref="AZ9:AZ19" si="43">IF(AU9="","",INDEX($C$8:$C$73,AU9))</f>
        <v>Tokyo</v>
      </c>
      <c r="BA9" s="277">
        <f t="shared" ref="BA9:BA19" si="44">IF(AU9="","",INDEX(AP$8:AP$73,AU9))</f>
        <v>85.63</v>
      </c>
      <c r="BB9" s="277">
        <f ca="1" t="shared" ref="BB9:BB19" si="45">IF(AU9="","",IF(ISNA(INDEX(AS$8:AS$73,AU9)),"",INDEX(AS$8:AS$73,AU9)))</f>
        <v>7.61</v>
      </c>
      <c r="BC9" s="277" t="b">
        <f ca="1" t="shared" ref="BC9:BC19" si="46">IF($B$4,IF(BB9="","",IF(BB9&gt;0,"p",IF(BB9&lt;0,"q",""))))</f>
        <v>0</v>
      </c>
      <c r="BD9" s="277">
        <f ca="1" t="shared" ref="BD9:BD19" si="47">IF(AU9="","",IF(ISNA(INDEX(AT$8:AT$73,AU9)),"",INDEX(AT$8:AT$73,AU9)))</f>
        <v>7</v>
      </c>
      <c r="BE9" s="277" t="b">
        <f ca="1" t="shared" ref="BE9:BE19" si="48">IF($B$4,IF(BD9="","",IF(BD9&gt;0,"p",IF(BD9&lt;0,"q",""))))</f>
        <v>0</v>
      </c>
      <c r="BF9" s="294" t="str">
        <f ca="1" t="shared" ref="BF9:BF19" si="49">IF(AU9="","",IF(ISNA(INDEX(AS$8:AS$73,AU9))," *",""))</f>
        <v/>
      </c>
      <c r="BG9" s="1">
        <f t="shared" si="3"/>
        <v>96.05</v>
      </c>
      <c r="BH9" s="1">
        <f>IF($B9=0,"",RANK(BG9,BG$8:BG$73,0)+COUNTIF(BG$8:BG9,BG9)-1)</f>
        <v>6</v>
      </c>
      <c r="BI9" s="1">
        <f ca="1" t="shared" ref="BI9:BI19" si="50">INDEX(INDIRECT($G$5),BG$6,$A9)</f>
        <v>6</v>
      </c>
      <c r="BJ9" s="273">
        <f ca="1" t="shared" ref="BJ9:BJ19" si="51">IF($B9=0,"",ROUND(BG9-INDEX(INDIRECT($E$6),BH$6,MATCH($C9,INDIRECT($F$6),0)),2))</f>
        <v>3.61</v>
      </c>
      <c r="BK9" s="275">
        <f ca="1" t="shared" ref="BK9:BK19" si="52">IF($B9=0,"",INDEX(INDIRECT($G$6),BH$6,MATCH($C9,INDIRECT($F$6),0))-BI9)</f>
        <v>-2</v>
      </c>
      <c r="BL9" s="1">
        <f t="shared" ref="BL9:BL19" si="53">IF(ISERROR(MATCH($A9,BH$8:BH$73,0)),"",MATCH($A9,BH$8:BH$73,0))</f>
        <v>31</v>
      </c>
      <c r="BM9" s="269">
        <f t="shared" ref="BM9:BM19" si="54">IF($A9="","",IF(BL9="","",RANK(BR9,BR$8:BR$73)))</f>
        <v>2</v>
      </c>
      <c r="BN9" s="269">
        <f t="shared" ref="BN9:BN19" si="55">IF(BL9="","",COUNTIF(BR$8:BR$73,BR9))</f>
        <v>1</v>
      </c>
      <c r="BO9" s="269">
        <f t="shared" ref="BO9:BO19" si="56">IF(BL9="",0,INDEX($B$8:$B$73,BL9))</f>
        <v>1</v>
      </c>
      <c r="BP9" s="268">
        <f t="shared" ref="BP9:BP19" si="57">IF(BL9="","",IF(BN9&gt;1,CONCATENATE("=",BM9),BM9))</f>
        <v>2</v>
      </c>
      <c r="BQ9" s="1" t="str">
        <f t="shared" ref="BQ9:BQ19" si="58">IF(BL9="","",INDEX($C$8:$C$73,BL9))</f>
        <v>Madrid</v>
      </c>
      <c r="BR9" s="277">
        <f t="shared" ref="BR9:BR19" si="59">IF(BL9="","",INDEX(BG$8:BG$73,BL9))</f>
        <v>96.76</v>
      </c>
      <c r="BS9" s="277">
        <f ca="1" t="shared" ref="BS9:BS19" si="60">IF(BL9="","",IF(ISNA(INDEX(BJ$8:BJ$73,BL9)),"",INDEX(BJ$8:BJ$73,BL9)))</f>
        <v>12.46</v>
      </c>
      <c r="BT9" s="277" t="b">
        <f ca="1" t="shared" ref="BT9:BT19" si="61">IF($B$4,IF(BS9="","",IF(BS9&gt;0,"p",IF(BS9&lt;0,"q",""))))</f>
        <v>0</v>
      </c>
      <c r="BU9" s="277">
        <f ca="1" t="shared" ref="BU9:BU19" si="62">IF(BL9="","",IF(ISNA(INDEX(BK$8:BK$73,BL9)),"",INDEX(BK$8:BK$73,BL9)))</f>
        <v>17</v>
      </c>
      <c r="BV9" s="277" t="b">
        <f ca="1" t="shared" ref="BV9:BV19" si="63">IF($B$4,IF(BU9="","",IF(BU9&gt;0,"p",IF(BU9&lt;0,"q",""))))</f>
        <v>0</v>
      </c>
      <c r="BW9" s="294" t="str">
        <f ca="1" t="shared" ref="BW9:BW19" si="64">IF(BL9="","",IF(ISNA(INDEX(BJ$8:BJ$73,BL9))," *",""))</f>
        <v/>
      </c>
      <c r="BX9" s="1">
        <f t="shared" si="4"/>
        <v>87.42</v>
      </c>
      <c r="BY9" s="1">
        <f>IF($B9=0,"",RANK(BX9,BX$8:BX$73,0)+COUNTIF(BX$8:BX9,BX9)-1)</f>
        <v>10</v>
      </c>
      <c r="BZ9" s="1">
        <f ca="1" t="shared" ref="BZ9:BZ19" si="65">INDEX(INDIRECT($G$5),BX$6,$A9)</f>
        <v>10</v>
      </c>
      <c r="CA9" s="273">
        <f ca="1" t="shared" ref="CA9:CA19" si="66">IF($B9=0,"",ROUND(BX9-INDEX(INDIRECT($E$6),BY$6,MATCH($C9,INDIRECT($F$6),0)),2))</f>
        <v>-1.46</v>
      </c>
      <c r="CB9" s="275">
        <f ca="1" t="shared" ref="CB9:CB19" si="67">IF($B9=0,"",INDEX(INDIRECT($G$6),BY$6,MATCH($C9,INDIRECT($F$6),0))-BZ9)</f>
        <v>-1</v>
      </c>
      <c r="CC9" s="1">
        <f t="shared" ref="CC9:CC19" si="68">IF(ISERROR(MATCH($A9,BY$8:BY$73,0)),"",MATCH($A9,BY$8:BY$73,0))</f>
        <v>58</v>
      </c>
      <c r="CD9" s="269">
        <f t="shared" ref="CD9:CD19" si="69">IF($A9="","",IF(CC9="","",RANK(CI9,CI$8:CI$73)))</f>
        <v>2</v>
      </c>
      <c r="CE9" s="269">
        <f t="shared" ref="CE9:CE19" si="70">IF(CC9="","",COUNTIF(CI$8:CI$73,CI9))</f>
        <v>1</v>
      </c>
      <c r="CF9" s="269">
        <f t="shared" ref="CF9:CF19" si="71">IF(CC9="",0,INDEX($B$8:$B$73,CC9))</f>
        <v>1</v>
      </c>
      <c r="CG9" s="268">
        <f t="shared" ref="CG9:CG19" si="72">IF(CC9="","",IF(CE9&gt;1,CONCATENATE("=",CD9),CD9))</f>
        <v>2</v>
      </c>
      <c r="CH9" s="1" t="str">
        <f t="shared" ref="CH9:CH19" si="73">IF(CC9="","",INDEX($C$8:$C$73,CC9))</f>
        <v>Wellington</v>
      </c>
      <c r="CI9" s="277">
        <f t="shared" ref="CI9:CI19" si="74">IF(CC9="","",INDEX(BX$8:BX$73,CC9))</f>
        <v>92.28</v>
      </c>
      <c r="CJ9" s="277" t="str">
        <f ca="1" t="shared" ref="CJ9:CJ19" si="75">IF(CC9="","",IF(ISNA(INDEX(CA$8:CA$73,CC9)),"",INDEX(CA$8:CA$73,CC9)))</f>
        <v/>
      </c>
      <c r="CK9" s="277" t="b">
        <f ca="1" t="shared" ref="CK9:CK19" si="76">IF($B$4,IF(CJ9="","",IF(CJ9&gt;0,"p",IF(CJ9&lt;0,"q",""))))</f>
        <v>0</v>
      </c>
      <c r="CL9" s="277" t="str">
        <f ca="1" t="shared" ref="CL9:CL19" si="77">IF(CC9="","",IF(ISNA(INDEX(CB$8:CB$73,CC9)),"",INDEX(CB$8:CB$73,CC9)))</f>
        <v/>
      </c>
      <c r="CM9" s="277" t="b">
        <f ca="1" t="shared" ref="CM9:CM19" si="78">IF($B$4,IF(CL9="","",IF(CL9&gt;0,"p",IF(CL9&lt;0,"q",""))))</f>
        <v>0</v>
      </c>
      <c r="CN9" s="294" t="str">
        <f ca="1" t="shared" ref="CN9:CN19" si="79">IF(CC9="","",IF(ISNA(INDEX(CA$8:CA$73,CC9))," *",""))</f>
        <v> *</v>
      </c>
    </row>
    <row r="10" spans="1:92">
      <c r="A10" s="1">
        <f>tblTerritories!A5</f>
        <v>3</v>
      </c>
      <c r="B10" s="1">
        <f>IF(tblTerritories!F5="",0,tblTerritories!F5)</f>
        <v>1</v>
      </c>
      <c r="C10" s="1" t="str">
        <f>tblTerritories!C5</f>
        <v>Athens</v>
      </c>
      <c r="D10" s="1">
        <f>tblTerritories!D5</f>
        <v>1</v>
      </c>
      <c r="E10" s="1">
        <f>tblTerritories!K5</f>
        <v>0</v>
      </c>
      <c r="F10" s="1">
        <f>IF($A10="","",VLOOKUP(C10,tblTerritories!$J$3:$P$100,7,FALSE)+10)</f>
        <v>11</v>
      </c>
      <c r="H10" s="1">
        <f t="shared" si="0"/>
        <v>71.9</v>
      </c>
      <c r="I10" s="1">
        <f>IF($B10=0,"",RANK(H10,H$8:H$73,0)+COUNTIF(H$8:H10,H10)-1)</f>
        <v>33</v>
      </c>
      <c r="J10" s="1">
        <f ca="1" t="shared" si="5"/>
        <v>33</v>
      </c>
      <c r="K10" s="273" t="e">
        <f ca="1" t="shared" si="6"/>
        <v>#N/A</v>
      </c>
      <c r="L10" s="275" t="e">
        <f ca="1" t="shared" si="7"/>
        <v>#N/A</v>
      </c>
      <c r="M10" s="1">
        <f t="shared" si="8"/>
        <v>39</v>
      </c>
      <c r="N10" s="269">
        <f t="shared" si="9"/>
        <v>3</v>
      </c>
      <c r="O10" s="269">
        <f t="shared" si="10"/>
        <v>1</v>
      </c>
      <c r="P10" s="269">
        <f t="shared" si="11"/>
        <v>1</v>
      </c>
      <c r="Q10" s="268">
        <f t="shared" si="12"/>
        <v>3</v>
      </c>
      <c r="R10" s="1" t="str">
        <f t="shared" si="13"/>
        <v>Osaka</v>
      </c>
      <c r="S10" s="277">
        <f t="shared" si="14"/>
        <v>88.87</v>
      </c>
      <c r="T10" s="277">
        <f ca="1" t="shared" si="15"/>
        <v>5.65</v>
      </c>
      <c r="U10" s="277" t="b">
        <f ca="1" t="shared" si="16"/>
        <v>0</v>
      </c>
      <c r="V10" s="277">
        <f ca="1" t="shared" si="17"/>
        <v>1</v>
      </c>
      <c r="W10" s="277" t="b">
        <f ca="1" t="shared" si="18"/>
        <v>0</v>
      </c>
      <c r="X10" s="294" t="str">
        <f ca="1" t="shared" si="19"/>
        <v/>
      </c>
      <c r="Y10" s="1">
        <f t="shared" si="1"/>
        <v>61.94</v>
      </c>
      <c r="Z10" s="1">
        <f>IF($B10=0,"",RANK(Y10,Y$8:Y$73,0)+COUNTIF(Y$8:Y10,Y10)-1)</f>
        <v>35</v>
      </c>
      <c r="AA10" s="1">
        <f ca="1" t="shared" si="20"/>
        <v>35</v>
      </c>
      <c r="AB10" s="273" t="e">
        <f ca="1" t="shared" si="21"/>
        <v>#N/A</v>
      </c>
      <c r="AC10" s="275" t="e">
        <f ca="1" t="shared" si="22"/>
        <v>#N/A</v>
      </c>
      <c r="AD10" s="1">
        <f t="shared" si="23"/>
        <v>13</v>
      </c>
      <c r="AE10" s="269">
        <f t="shared" si="24"/>
        <v>3</v>
      </c>
      <c r="AF10" s="269">
        <f t="shared" si="25"/>
        <v>1</v>
      </c>
      <c r="AG10" s="269">
        <f t="shared" si="26"/>
        <v>1</v>
      </c>
      <c r="AH10" s="268">
        <f t="shared" si="27"/>
        <v>3</v>
      </c>
      <c r="AI10" s="1" t="str">
        <f t="shared" si="28"/>
        <v>Chicago</v>
      </c>
      <c r="AJ10" s="277">
        <f t="shared" si="29"/>
        <v>86.75</v>
      </c>
      <c r="AK10" s="277">
        <f ca="1" t="shared" si="30"/>
        <v>17.35</v>
      </c>
      <c r="AL10" s="277" t="b">
        <f ca="1" t="shared" si="31"/>
        <v>0</v>
      </c>
      <c r="AM10" s="277">
        <f ca="1" t="shared" si="32"/>
        <v>12</v>
      </c>
      <c r="AN10" s="277" t="b">
        <f ca="1" t="shared" si="33"/>
        <v>0</v>
      </c>
      <c r="AO10" s="294" t="str">
        <f ca="1" t="shared" si="34"/>
        <v/>
      </c>
      <c r="AP10" s="1">
        <f t="shared" si="2"/>
        <v>74.57</v>
      </c>
      <c r="AQ10" s="1">
        <f>IF($B10=0,"",RANK(AP10,AP$8:AP$73,0)+COUNTIF(AP$8:AP10,AP10)-1)</f>
        <v>21</v>
      </c>
      <c r="AR10" s="1">
        <f ca="1" t="shared" si="35"/>
        <v>21</v>
      </c>
      <c r="AS10" s="273" t="e">
        <f ca="1" t="shared" si="36"/>
        <v>#N/A</v>
      </c>
      <c r="AT10" s="275" t="e">
        <f ca="1" t="shared" si="37"/>
        <v>#N/A</v>
      </c>
      <c r="AU10" s="1">
        <f t="shared" si="38"/>
        <v>18</v>
      </c>
      <c r="AV10" s="269">
        <f t="shared" si="39"/>
        <v>3</v>
      </c>
      <c r="AW10" s="269">
        <f t="shared" si="40"/>
        <v>1</v>
      </c>
      <c r="AX10" s="269">
        <f t="shared" si="41"/>
        <v>1</v>
      </c>
      <c r="AY10" s="268">
        <f t="shared" si="42"/>
        <v>3</v>
      </c>
      <c r="AZ10" s="1" t="str">
        <f t="shared" si="43"/>
        <v>Frankfurt</v>
      </c>
      <c r="BA10" s="277">
        <f t="shared" si="44"/>
        <v>84.06</v>
      </c>
      <c r="BB10" s="277">
        <f ca="1" t="shared" si="45"/>
        <v>5.43</v>
      </c>
      <c r="BC10" s="277" t="b">
        <f ca="1" t="shared" si="46"/>
        <v>0</v>
      </c>
      <c r="BD10" s="277">
        <f ca="1" t="shared" si="47"/>
        <v>3</v>
      </c>
      <c r="BE10" s="277" t="b">
        <f ca="1" t="shared" si="48"/>
        <v>0</v>
      </c>
      <c r="BF10" s="294" t="str">
        <f ca="1" t="shared" si="49"/>
        <v/>
      </c>
      <c r="BG10" s="1">
        <f t="shared" si="3"/>
        <v>82.05</v>
      </c>
      <c r="BH10" s="1">
        <f>IF($B10=0,"",RANK(BG10,BG$8:BG$73,0)+COUNTIF(BG$8:BG10,BG10)-1)</f>
        <v>29</v>
      </c>
      <c r="BI10" s="1">
        <f ca="1" t="shared" si="50"/>
        <v>29</v>
      </c>
      <c r="BJ10" s="273" t="e">
        <f ca="1" t="shared" si="51"/>
        <v>#N/A</v>
      </c>
      <c r="BK10" s="275" t="e">
        <f ca="1" t="shared" si="52"/>
        <v>#N/A</v>
      </c>
      <c r="BL10" s="1">
        <f t="shared" si="53"/>
        <v>5</v>
      </c>
      <c r="BM10" s="269">
        <f t="shared" si="54"/>
        <v>3</v>
      </c>
      <c r="BN10" s="269">
        <f t="shared" si="55"/>
        <v>1</v>
      </c>
      <c r="BO10" s="269">
        <f t="shared" si="56"/>
        <v>1</v>
      </c>
      <c r="BP10" s="268">
        <f t="shared" si="57"/>
        <v>3</v>
      </c>
      <c r="BQ10" s="1" t="str">
        <f t="shared" si="58"/>
        <v>Barcelona</v>
      </c>
      <c r="BR10" s="277">
        <f t="shared" si="59"/>
        <v>96.59</v>
      </c>
      <c r="BS10" s="277">
        <f ca="1" t="shared" si="60"/>
        <v>8.6</v>
      </c>
      <c r="BT10" s="277" t="b">
        <f ca="1" t="shared" si="61"/>
        <v>0</v>
      </c>
      <c r="BU10" s="277">
        <f ca="1" t="shared" si="62"/>
        <v>6</v>
      </c>
      <c r="BV10" s="277" t="b">
        <f ca="1" t="shared" si="63"/>
        <v>0</v>
      </c>
      <c r="BW10" s="294" t="str">
        <f ca="1" t="shared" si="64"/>
        <v/>
      </c>
      <c r="BX10" s="1">
        <f t="shared" si="4"/>
        <v>69.03</v>
      </c>
      <c r="BY10" s="1">
        <f>IF($B10=0,"",RANK(BX10,BX$8:BX$73,0)+COUNTIF(BX$8:BX10,BX10)-1)</f>
        <v>41</v>
      </c>
      <c r="BZ10" s="1">
        <f ca="1" t="shared" si="65"/>
        <v>41</v>
      </c>
      <c r="CA10" s="273" t="e">
        <f ca="1" t="shared" si="66"/>
        <v>#N/A</v>
      </c>
      <c r="CB10" s="275" t="e">
        <f ca="1" t="shared" si="67"/>
        <v>#N/A</v>
      </c>
      <c r="CC10" s="1">
        <f t="shared" si="68"/>
        <v>39</v>
      </c>
      <c r="CD10" s="269">
        <f t="shared" si="69"/>
        <v>3</v>
      </c>
      <c r="CE10" s="269">
        <f t="shared" si="70"/>
        <v>1</v>
      </c>
      <c r="CF10" s="269">
        <f t="shared" si="71"/>
        <v>1</v>
      </c>
      <c r="CG10" s="268">
        <f t="shared" si="72"/>
        <v>3</v>
      </c>
      <c r="CH10" s="1" t="str">
        <f t="shared" si="73"/>
        <v>Osaka</v>
      </c>
      <c r="CI10" s="277">
        <f t="shared" si="74"/>
        <v>91.59</v>
      </c>
      <c r="CJ10" s="277">
        <f ca="1" t="shared" si="75"/>
        <v>-1.1</v>
      </c>
      <c r="CK10" s="277" t="b">
        <f ca="1" t="shared" si="76"/>
        <v>0</v>
      </c>
      <c r="CL10" s="277">
        <f ca="1" t="shared" si="77"/>
        <v>-1</v>
      </c>
      <c r="CM10" s="277" t="b">
        <f ca="1" t="shared" si="78"/>
        <v>0</v>
      </c>
      <c r="CN10" s="294" t="str">
        <f ca="1" t="shared" si="79"/>
        <v/>
      </c>
    </row>
    <row r="11" spans="1:92">
      <c r="A11" s="1">
        <f>tblTerritories!A6</f>
        <v>4</v>
      </c>
      <c r="B11" s="1">
        <f>IF(tblTerritories!F6="",0,tblTerritories!F6)</f>
        <v>1</v>
      </c>
      <c r="C11" s="1" t="str">
        <f>tblTerritories!C6</f>
        <v>Bangkok</v>
      </c>
      <c r="D11" s="1">
        <f>tblTerritories!D6</f>
        <v>1</v>
      </c>
      <c r="E11" s="1">
        <f>tblTerritories!K6</f>
        <v>0</v>
      </c>
      <c r="F11" s="1">
        <f>IF($A11="","",VLOOKUP(C11,tblTerritories!$J$3:$P$100,7,FALSE)+10)</f>
        <v>17</v>
      </c>
      <c r="H11" s="1">
        <f t="shared" si="0"/>
        <v>60.05</v>
      </c>
      <c r="I11" s="1">
        <f>IF($B11=0,"",RANK(H11,H$8:H$73,0)+COUNTIF(H$8:H11,H11)-1)</f>
        <v>49</v>
      </c>
      <c r="J11" s="1">
        <f ca="1" t="shared" si="5"/>
        <v>49</v>
      </c>
      <c r="K11" s="273">
        <f ca="1" t="shared" si="6"/>
        <v>2.57</v>
      </c>
      <c r="L11" s="275">
        <f ca="1" t="shared" si="7"/>
        <v>-7</v>
      </c>
      <c r="M11" s="1">
        <f t="shared" si="8"/>
        <v>56</v>
      </c>
      <c r="N11" s="269">
        <f t="shared" si="9"/>
        <v>4</v>
      </c>
      <c r="O11" s="269">
        <f t="shared" si="10"/>
        <v>1</v>
      </c>
      <c r="P11" s="269">
        <f t="shared" si="11"/>
        <v>1</v>
      </c>
      <c r="Q11" s="268">
        <f t="shared" si="12"/>
        <v>4</v>
      </c>
      <c r="R11" s="1" t="str">
        <f t="shared" si="13"/>
        <v>Toronto</v>
      </c>
      <c r="S11" s="277">
        <f t="shared" si="14"/>
        <v>87.36</v>
      </c>
      <c r="T11" s="277">
        <f ca="1" t="shared" si="15"/>
        <v>5.99</v>
      </c>
      <c r="U11" s="277" t="b">
        <f ca="1" t="shared" si="16"/>
        <v>0</v>
      </c>
      <c r="V11" s="277">
        <f ca="1" t="shared" si="17"/>
        <v>2</v>
      </c>
      <c r="W11" s="277" t="b">
        <f ca="1" t="shared" si="18"/>
        <v>0</v>
      </c>
      <c r="X11" s="294" t="str">
        <f ca="1" t="shared" si="19"/>
        <v/>
      </c>
      <c r="Y11" s="1">
        <f t="shared" si="1"/>
        <v>44.44</v>
      </c>
      <c r="Z11" s="1">
        <f>IF($B11=0,"",RANK(Y11,Y$8:Y$73,0)+COUNTIF(Y$8:Y11,Y11)-1)</f>
        <v>52</v>
      </c>
      <c r="AA11" s="1">
        <f ca="1" t="shared" si="20"/>
        <v>52</v>
      </c>
      <c r="AB11" s="273">
        <f ca="1" t="shared" si="21"/>
        <v>-0.42</v>
      </c>
      <c r="AC11" s="275">
        <f ca="1" t="shared" si="22"/>
        <v>-8</v>
      </c>
      <c r="AD11" s="1">
        <f t="shared" si="23"/>
        <v>2</v>
      </c>
      <c r="AE11" s="269">
        <f t="shared" si="24"/>
        <v>4</v>
      </c>
      <c r="AF11" s="269">
        <f t="shared" si="25"/>
        <v>1</v>
      </c>
      <c r="AG11" s="269">
        <f t="shared" si="26"/>
        <v>1</v>
      </c>
      <c r="AH11" s="268">
        <f t="shared" si="27"/>
        <v>4</v>
      </c>
      <c r="AI11" s="1" t="str">
        <f t="shared" si="28"/>
        <v>Amsterdam</v>
      </c>
      <c r="AJ11" s="277">
        <f t="shared" si="29"/>
        <v>85.79</v>
      </c>
      <c r="AK11" s="277">
        <f ca="1" t="shared" si="30"/>
        <v>6.98</v>
      </c>
      <c r="AL11" s="277" t="b">
        <f ca="1" t="shared" si="31"/>
        <v>0</v>
      </c>
      <c r="AM11" s="277">
        <f ca="1" t="shared" si="32"/>
        <v>1</v>
      </c>
      <c r="AN11" s="277" t="b">
        <f ca="1" t="shared" si="33"/>
        <v>0</v>
      </c>
      <c r="AO11" s="294" t="str">
        <f ca="1" t="shared" si="34"/>
        <v/>
      </c>
      <c r="AP11" s="1">
        <f t="shared" si="2"/>
        <v>66.64</v>
      </c>
      <c r="AQ11" s="1">
        <f>IF($B11=0,"",RANK(AP11,AP$8:AP$73,0)+COUNTIF(AP$8:AP11,AP11)-1)</f>
        <v>37</v>
      </c>
      <c r="AR11" s="1">
        <f ca="1" t="shared" si="35"/>
        <v>37</v>
      </c>
      <c r="AS11" s="273">
        <f ca="1" t="shared" si="36"/>
        <v>2.24</v>
      </c>
      <c r="AT11" s="275">
        <f ca="1" t="shared" si="37"/>
        <v>-5</v>
      </c>
      <c r="AU11" s="1">
        <f t="shared" si="38"/>
        <v>60</v>
      </c>
      <c r="AV11" s="269">
        <f t="shared" si="39"/>
        <v>4</v>
      </c>
      <c r="AW11" s="269">
        <f t="shared" si="40"/>
        <v>1</v>
      </c>
      <c r="AX11" s="269">
        <f t="shared" si="41"/>
        <v>1</v>
      </c>
      <c r="AY11" s="268">
        <f t="shared" si="42"/>
        <v>4</v>
      </c>
      <c r="AZ11" s="1" t="str">
        <f t="shared" si="43"/>
        <v>Zurich</v>
      </c>
      <c r="BA11" s="277">
        <f t="shared" si="44"/>
        <v>83.39</v>
      </c>
      <c r="BB11" s="277">
        <f ca="1" t="shared" si="45"/>
        <v>3.31</v>
      </c>
      <c r="BC11" s="277" t="b">
        <f ca="1" t="shared" si="46"/>
        <v>0</v>
      </c>
      <c r="BD11" s="277">
        <f ca="1" t="shared" si="47"/>
        <v>-2</v>
      </c>
      <c r="BE11" s="277" t="b">
        <f ca="1" t="shared" si="48"/>
        <v>0</v>
      </c>
      <c r="BF11" s="294" t="str">
        <f ca="1" t="shared" si="49"/>
        <v/>
      </c>
      <c r="BG11" s="1">
        <f t="shared" si="3"/>
        <v>68.33</v>
      </c>
      <c r="BH11" s="1">
        <f>IF($B11=0,"",RANK(BG11,BG$8:BG$73,0)+COUNTIF(BG$8:BG11,BG11)-1)</f>
        <v>43</v>
      </c>
      <c r="BI11" s="1">
        <f ca="1" t="shared" si="50"/>
        <v>43</v>
      </c>
      <c r="BJ11" s="273">
        <f ca="1" t="shared" si="51"/>
        <v>12.16</v>
      </c>
      <c r="BK11" s="275">
        <f ca="1" t="shared" si="52"/>
        <v>1</v>
      </c>
      <c r="BL11" s="1">
        <f t="shared" si="53"/>
        <v>51</v>
      </c>
      <c r="BM11" s="269">
        <f t="shared" si="54"/>
        <v>4</v>
      </c>
      <c r="BN11" s="269">
        <f t="shared" si="55"/>
        <v>1</v>
      </c>
      <c r="BO11" s="269">
        <f t="shared" si="56"/>
        <v>1</v>
      </c>
      <c r="BP11" s="268">
        <f t="shared" si="57"/>
        <v>4</v>
      </c>
      <c r="BQ11" s="1" t="str">
        <f t="shared" si="58"/>
        <v>Stockholm</v>
      </c>
      <c r="BR11" s="277">
        <f t="shared" si="59"/>
        <v>96.18</v>
      </c>
      <c r="BS11" s="277">
        <f ca="1" t="shared" si="60"/>
        <v>13.37</v>
      </c>
      <c r="BT11" s="277" t="b">
        <f ca="1" t="shared" si="61"/>
        <v>0</v>
      </c>
      <c r="BU11" s="277">
        <f ca="1" t="shared" si="62"/>
        <v>16</v>
      </c>
      <c r="BV11" s="277" t="b">
        <f ca="1" t="shared" si="63"/>
        <v>0</v>
      </c>
      <c r="BW11" s="294" t="str">
        <f ca="1" t="shared" si="64"/>
        <v/>
      </c>
      <c r="BX11" s="1">
        <f t="shared" si="4"/>
        <v>60.8</v>
      </c>
      <c r="BY11" s="1">
        <f>IF($B11=0,"",RANK(BX11,BX$8:BX$73,0)+COUNTIF(BX$8:BX11,BX11)-1)</f>
        <v>49</v>
      </c>
      <c r="BZ11" s="1">
        <f ca="1" t="shared" si="65"/>
        <v>49</v>
      </c>
      <c r="CA11" s="273">
        <f ca="1" t="shared" si="66"/>
        <v>-3.68</v>
      </c>
      <c r="CB11" s="275">
        <f ca="1" t="shared" si="67"/>
        <v>-16</v>
      </c>
      <c r="CC11" s="1">
        <f t="shared" si="68"/>
        <v>55</v>
      </c>
      <c r="CD11" s="269">
        <f t="shared" si="69"/>
        <v>4</v>
      </c>
      <c r="CE11" s="269">
        <f t="shared" si="70"/>
        <v>1</v>
      </c>
      <c r="CF11" s="269">
        <f t="shared" si="71"/>
        <v>1</v>
      </c>
      <c r="CG11" s="268">
        <f t="shared" si="72"/>
        <v>4</v>
      </c>
      <c r="CH11" s="1" t="str">
        <f t="shared" si="73"/>
        <v>Tokyo</v>
      </c>
      <c r="CI11" s="277">
        <f t="shared" si="74"/>
        <v>91.57</v>
      </c>
      <c r="CJ11" s="277">
        <f ca="1" t="shared" si="75"/>
        <v>-0.53</v>
      </c>
      <c r="CK11" s="277" t="b">
        <f ca="1" t="shared" si="76"/>
        <v>0</v>
      </c>
      <c r="CL11" s="277">
        <f ca="1" t="shared" si="77"/>
        <v>-1</v>
      </c>
      <c r="CM11" s="277" t="b">
        <f ca="1" t="shared" si="78"/>
        <v>0</v>
      </c>
      <c r="CN11" s="294" t="str">
        <f ca="1" t="shared" si="79"/>
        <v/>
      </c>
    </row>
    <row r="12" spans="1:92">
      <c r="A12" s="1">
        <f>tblTerritories!A7</f>
        <v>5</v>
      </c>
      <c r="B12" s="1">
        <f>IF(tblTerritories!F7="",0,tblTerritories!F7)</f>
        <v>1</v>
      </c>
      <c r="C12" s="1" t="str">
        <f>tblTerritories!C7</f>
        <v>Barcelona</v>
      </c>
      <c r="D12" s="1">
        <f>tblTerritories!D7</f>
        <v>1</v>
      </c>
      <c r="E12" s="1">
        <f>tblTerritories!K7</f>
        <v>0</v>
      </c>
      <c r="F12" s="1">
        <f>IF($A12="","",VLOOKUP(C12,tblTerritories!$J$3:$P$100,7,FALSE)+10)</f>
        <v>11</v>
      </c>
      <c r="H12" s="1">
        <f t="shared" si="0"/>
        <v>83.71</v>
      </c>
      <c r="I12" s="1">
        <f>IF($B12=0,"",RANK(H12,H$8:H$73,0)+COUNTIF(H$8:H12,H12)-1)</f>
        <v>13</v>
      </c>
      <c r="J12" s="1">
        <f ca="1" t="shared" si="5"/>
        <v>13</v>
      </c>
      <c r="K12" s="273">
        <f ca="1" t="shared" si="6"/>
        <v>6.32</v>
      </c>
      <c r="L12" s="275">
        <f ca="1" t="shared" si="7"/>
        <v>2</v>
      </c>
      <c r="M12" s="1">
        <f t="shared" si="8"/>
        <v>33</v>
      </c>
      <c r="N12" s="269">
        <f t="shared" si="9"/>
        <v>5</v>
      </c>
      <c r="O12" s="269">
        <f t="shared" si="10"/>
        <v>1</v>
      </c>
      <c r="P12" s="269">
        <f t="shared" si="11"/>
        <v>1</v>
      </c>
      <c r="Q12" s="268">
        <f t="shared" si="12"/>
        <v>5</v>
      </c>
      <c r="R12" s="1" t="str">
        <f t="shared" si="13"/>
        <v>Melbourne</v>
      </c>
      <c r="S12" s="277">
        <f t="shared" si="14"/>
        <v>87.3</v>
      </c>
      <c r="T12" s="277">
        <f ca="1" t="shared" si="15"/>
        <v>6.03</v>
      </c>
      <c r="U12" s="277" t="b">
        <f ca="1" t="shared" si="16"/>
        <v>0</v>
      </c>
      <c r="V12" s="277">
        <f ca="1" t="shared" si="17"/>
        <v>2</v>
      </c>
      <c r="W12" s="277" t="b">
        <f ca="1" t="shared" si="18"/>
        <v>0</v>
      </c>
      <c r="X12" s="294" t="str">
        <f ca="1" t="shared" si="19"/>
        <v/>
      </c>
      <c r="Y12" s="1">
        <f t="shared" si="1"/>
        <v>74.44</v>
      </c>
      <c r="Z12" s="1">
        <f>IF($B12=0,"",RANK(Y12,Y$8:Y$73,0)+COUNTIF(Y$8:Y12,Y12)-1)</f>
        <v>21</v>
      </c>
      <c r="AA12" s="1">
        <f ca="1" t="shared" si="20"/>
        <v>21</v>
      </c>
      <c r="AB12" s="273">
        <f ca="1" t="shared" si="21"/>
        <v>13.15</v>
      </c>
      <c r="AC12" s="275">
        <f ca="1" t="shared" si="22"/>
        <v>7</v>
      </c>
      <c r="AD12" s="1">
        <f t="shared" si="23"/>
        <v>20</v>
      </c>
      <c r="AE12" s="269">
        <f t="shared" si="24"/>
        <v>5</v>
      </c>
      <c r="AF12" s="269">
        <f t="shared" si="25"/>
        <v>1</v>
      </c>
      <c r="AG12" s="269">
        <f t="shared" si="26"/>
        <v>1</v>
      </c>
      <c r="AH12" s="268">
        <f t="shared" si="27"/>
        <v>5</v>
      </c>
      <c r="AI12" s="1" t="str">
        <f t="shared" si="28"/>
        <v>Hong Kong</v>
      </c>
      <c r="AJ12" s="277">
        <f t="shared" si="29"/>
        <v>85.77</v>
      </c>
      <c r="AK12" s="277">
        <f ca="1" t="shared" si="30"/>
        <v>5.99</v>
      </c>
      <c r="AL12" s="277" t="b">
        <f ca="1" t="shared" si="31"/>
        <v>0</v>
      </c>
      <c r="AM12" s="277">
        <f ca="1" t="shared" si="32"/>
        <v>-2</v>
      </c>
      <c r="AN12" s="277" t="b">
        <f ca="1" t="shared" si="33"/>
        <v>0</v>
      </c>
      <c r="AO12" s="294" t="str">
        <f ca="1" t="shared" si="34"/>
        <v/>
      </c>
      <c r="AP12" s="1">
        <f t="shared" si="2"/>
        <v>78.54</v>
      </c>
      <c r="AQ12" s="1">
        <f>IF($B12=0,"",RANK(AP12,AP$8:AP$73,0)+COUNTIF(AP$8:AP12,AP12)-1)</f>
        <v>16</v>
      </c>
      <c r="AR12" s="1">
        <f ca="1" t="shared" si="35"/>
        <v>16</v>
      </c>
      <c r="AS12" s="273">
        <f ca="1" t="shared" si="36"/>
        <v>1.04</v>
      </c>
      <c r="AT12" s="275">
        <f ca="1" t="shared" si="37"/>
        <v>-6</v>
      </c>
      <c r="AU12" s="1">
        <f t="shared" si="38"/>
        <v>48</v>
      </c>
      <c r="AV12" s="269">
        <f t="shared" si="39"/>
        <v>5</v>
      </c>
      <c r="AW12" s="269">
        <f t="shared" si="40"/>
        <v>1</v>
      </c>
      <c r="AX12" s="269">
        <f t="shared" si="41"/>
        <v>1</v>
      </c>
      <c r="AY12" s="268">
        <f t="shared" si="42"/>
        <v>5</v>
      </c>
      <c r="AZ12" s="1" t="str">
        <f t="shared" si="43"/>
        <v>Seoul</v>
      </c>
      <c r="BA12" s="277">
        <f t="shared" si="44"/>
        <v>82.72</v>
      </c>
      <c r="BB12" s="277">
        <f ca="1" t="shared" si="45"/>
        <v>7.1</v>
      </c>
      <c r="BC12" s="277" t="b">
        <f ca="1" t="shared" si="46"/>
        <v>0</v>
      </c>
      <c r="BD12" s="277">
        <f ca="1" t="shared" si="47"/>
        <v>10</v>
      </c>
      <c r="BE12" s="277" t="b">
        <f ca="1" t="shared" si="48"/>
        <v>0</v>
      </c>
      <c r="BF12" s="294" t="str">
        <f ca="1" t="shared" si="49"/>
        <v/>
      </c>
      <c r="BG12" s="1">
        <f t="shared" si="3"/>
        <v>96.59</v>
      </c>
      <c r="BH12" s="1">
        <f>IF($B12=0,"",RANK(BG12,BG$8:BG$73,0)+COUNTIF(BG$8:BG12,BG12)-1)</f>
        <v>3</v>
      </c>
      <c r="BI12" s="1">
        <f ca="1" t="shared" si="50"/>
        <v>3</v>
      </c>
      <c r="BJ12" s="273">
        <f ca="1" t="shared" si="51"/>
        <v>8.6</v>
      </c>
      <c r="BK12" s="275">
        <f ca="1" t="shared" si="52"/>
        <v>6</v>
      </c>
      <c r="BL12" s="1">
        <f t="shared" si="53"/>
        <v>58</v>
      </c>
      <c r="BM12" s="269">
        <f t="shared" si="54"/>
        <v>5</v>
      </c>
      <c r="BN12" s="269">
        <f t="shared" si="55"/>
        <v>1</v>
      </c>
      <c r="BO12" s="269">
        <f t="shared" si="56"/>
        <v>1</v>
      </c>
      <c r="BP12" s="268">
        <f t="shared" si="57"/>
        <v>5</v>
      </c>
      <c r="BQ12" s="1" t="str">
        <f t="shared" si="58"/>
        <v>Wellington</v>
      </c>
      <c r="BR12" s="277">
        <f t="shared" si="59"/>
        <v>96.13</v>
      </c>
      <c r="BS12" s="277" t="str">
        <f ca="1" t="shared" si="60"/>
        <v/>
      </c>
      <c r="BT12" s="277" t="b">
        <f ca="1" t="shared" si="61"/>
        <v>0</v>
      </c>
      <c r="BU12" s="277" t="str">
        <f ca="1" t="shared" si="62"/>
        <v/>
      </c>
      <c r="BV12" s="277" t="b">
        <f ca="1" t="shared" si="63"/>
        <v>0</v>
      </c>
      <c r="BW12" s="294" t="str">
        <f ca="1" t="shared" si="64"/>
        <v> *</v>
      </c>
      <c r="BX12" s="1">
        <f t="shared" si="4"/>
        <v>85.28</v>
      </c>
      <c r="BY12" s="1">
        <f>IF($B12=0,"",RANK(BX12,BX$8:BX$73,0)+COUNTIF(BX$8:BX12,BX12)-1)</f>
        <v>17</v>
      </c>
      <c r="BZ12" s="1">
        <f ca="1" t="shared" si="65"/>
        <v>17</v>
      </c>
      <c r="CA12" s="273">
        <f ca="1" t="shared" si="66"/>
        <v>2.47</v>
      </c>
      <c r="CB12" s="275">
        <f ca="1" t="shared" si="67"/>
        <v>-4</v>
      </c>
      <c r="CC12" s="1">
        <f t="shared" si="68"/>
        <v>56</v>
      </c>
      <c r="CD12" s="269">
        <f t="shared" si="69"/>
        <v>5</v>
      </c>
      <c r="CE12" s="269">
        <f t="shared" si="70"/>
        <v>1</v>
      </c>
      <c r="CF12" s="269">
        <f t="shared" si="71"/>
        <v>1</v>
      </c>
      <c r="CG12" s="268">
        <f t="shared" si="72"/>
        <v>5</v>
      </c>
      <c r="CH12" s="1" t="str">
        <f t="shared" si="73"/>
        <v>Toronto</v>
      </c>
      <c r="CI12" s="277">
        <f t="shared" si="74"/>
        <v>91.52</v>
      </c>
      <c r="CJ12" s="277">
        <f ca="1" t="shared" si="75"/>
        <v>0.49</v>
      </c>
      <c r="CK12" s="277" t="b">
        <f ca="1" t="shared" si="76"/>
        <v>0</v>
      </c>
      <c r="CL12" s="277">
        <f ca="1" t="shared" si="77"/>
        <v>0</v>
      </c>
      <c r="CM12" s="277" t="b">
        <f ca="1" t="shared" si="78"/>
        <v>0</v>
      </c>
      <c r="CN12" s="294" t="str">
        <f ca="1" t="shared" si="79"/>
        <v/>
      </c>
    </row>
    <row r="13" spans="1:92">
      <c r="A13" s="1">
        <f>tblTerritories!A8</f>
        <v>6</v>
      </c>
      <c r="B13" s="1">
        <f>IF(tblTerritories!F8="",0,tblTerritories!F8)</f>
        <v>1</v>
      </c>
      <c r="C13" s="1" t="str">
        <f>tblTerritories!C8</f>
        <v>Beijing</v>
      </c>
      <c r="D13" s="1">
        <f>tblTerritories!D8</f>
        <v>1</v>
      </c>
      <c r="E13" s="1">
        <f>tblTerritories!K8</f>
        <v>0</v>
      </c>
      <c r="F13" s="1">
        <f>IF($A13="","",VLOOKUP(C13,tblTerritories!$J$3:$P$100,7,FALSE)+10)</f>
        <v>17</v>
      </c>
      <c r="H13" s="1">
        <f t="shared" si="0"/>
        <v>72.06</v>
      </c>
      <c r="I13" s="1">
        <f>IF($B13=0,"",RANK(H13,H$8:H$73,0)+COUNTIF(H$8:H13,H13)-1)</f>
        <v>32</v>
      </c>
      <c r="J13" s="1">
        <f ca="1" t="shared" si="5"/>
        <v>32</v>
      </c>
      <c r="K13" s="273">
        <f ca="1" t="shared" si="6"/>
        <v>7.66</v>
      </c>
      <c r="L13" s="275">
        <f ca="1" t="shared" si="7"/>
        <v>0</v>
      </c>
      <c r="M13" s="1">
        <f t="shared" si="8"/>
        <v>2</v>
      </c>
      <c r="N13" s="269">
        <f t="shared" si="9"/>
        <v>6</v>
      </c>
      <c r="O13" s="269">
        <f t="shared" si="10"/>
        <v>1</v>
      </c>
      <c r="P13" s="269">
        <f t="shared" si="11"/>
        <v>1</v>
      </c>
      <c r="Q13" s="268">
        <f t="shared" si="12"/>
        <v>6</v>
      </c>
      <c r="R13" s="1" t="str">
        <f t="shared" si="13"/>
        <v>Amsterdam</v>
      </c>
      <c r="S13" s="277">
        <f t="shared" si="14"/>
        <v>87.26</v>
      </c>
      <c r="T13" s="277">
        <f ca="1" t="shared" si="15"/>
        <v>3.22</v>
      </c>
      <c r="U13" s="277" t="b">
        <f ca="1" t="shared" si="16"/>
        <v>0</v>
      </c>
      <c r="V13" s="277">
        <f ca="1" t="shared" si="17"/>
        <v>-3</v>
      </c>
      <c r="W13" s="277" t="b">
        <f ca="1" t="shared" si="18"/>
        <v>0</v>
      </c>
      <c r="X13" s="294" t="str">
        <f ca="1" t="shared" si="19"/>
        <v/>
      </c>
      <c r="Y13" s="1">
        <f t="shared" si="1"/>
        <v>65.38</v>
      </c>
      <c r="Z13" s="1">
        <f>IF($B13=0,"",RANK(Y13,Y$8:Y$73,0)+COUNTIF(Y$8:Y13,Y13)-1)</f>
        <v>33</v>
      </c>
      <c r="AA13" s="1">
        <f ca="1" t="shared" si="20"/>
        <v>33</v>
      </c>
      <c r="AB13" s="273">
        <f ca="1" t="shared" si="21"/>
        <v>16.51</v>
      </c>
      <c r="AC13" s="275">
        <f ca="1" t="shared" si="22"/>
        <v>6</v>
      </c>
      <c r="AD13" s="1">
        <f t="shared" si="23"/>
        <v>56</v>
      </c>
      <c r="AE13" s="269">
        <f t="shared" si="24"/>
        <v>6</v>
      </c>
      <c r="AF13" s="269">
        <f t="shared" si="25"/>
        <v>1</v>
      </c>
      <c r="AG13" s="269">
        <f t="shared" si="26"/>
        <v>1</v>
      </c>
      <c r="AH13" s="268">
        <f t="shared" si="27"/>
        <v>6</v>
      </c>
      <c r="AI13" s="1" t="str">
        <f t="shared" si="28"/>
        <v>Toronto</v>
      </c>
      <c r="AJ13" s="277">
        <f t="shared" si="29"/>
        <v>85.33</v>
      </c>
      <c r="AK13" s="277">
        <f ca="1" t="shared" si="30"/>
        <v>12.29</v>
      </c>
      <c r="AL13" s="277" t="b">
        <f ca="1" t="shared" si="31"/>
        <v>0</v>
      </c>
      <c r="AM13" s="277">
        <f ca="1" t="shared" si="32"/>
        <v>3</v>
      </c>
      <c r="AN13" s="277" t="b">
        <f ca="1" t="shared" si="33"/>
        <v>0</v>
      </c>
      <c r="AO13" s="294" t="str">
        <f ca="1" t="shared" si="34"/>
        <v/>
      </c>
      <c r="AP13" s="1">
        <f t="shared" si="2"/>
        <v>67.63</v>
      </c>
      <c r="AQ13" s="1">
        <f>IF($B13=0,"",RANK(AP13,AP$8:AP$73,0)+COUNTIF(AP$8:AP13,AP13)-1)</f>
        <v>34</v>
      </c>
      <c r="AR13" s="1">
        <f ca="1" t="shared" si="35"/>
        <v>34</v>
      </c>
      <c r="AS13" s="273">
        <f ca="1" t="shared" si="36"/>
        <v>-0.44</v>
      </c>
      <c r="AT13" s="275">
        <f ca="1" t="shared" si="37"/>
        <v>-8</v>
      </c>
      <c r="AU13" s="1">
        <f t="shared" si="38"/>
        <v>52</v>
      </c>
      <c r="AV13" s="269">
        <f t="shared" si="39"/>
        <v>6</v>
      </c>
      <c r="AW13" s="269">
        <f t="shared" si="40"/>
        <v>1</v>
      </c>
      <c r="AX13" s="269">
        <f t="shared" si="41"/>
        <v>1</v>
      </c>
      <c r="AY13" s="268">
        <f t="shared" si="42"/>
        <v>6</v>
      </c>
      <c r="AZ13" s="1" t="str">
        <f t="shared" si="43"/>
        <v>Sydney</v>
      </c>
      <c r="BA13" s="277">
        <f t="shared" si="44"/>
        <v>81.8</v>
      </c>
      <c r="BB13" s="277">
        <f ca="1" t="shared" si="45"/>
        <v>7.04</v>
      </c>
      <c r="BC13" s="277" t="b">
        <f ca="1" t="shared" si="46"/>
        <v>0</v>
      </c>
      <c r="BD13" s="277">
        <f ca="1" t="shared" si="47"/>
        <v>12</v>
      </c>
      <c r="BE13" s="277" t="b">
        <f ca="1" t="shared" si="48"/>
        <v>0</v>
      </c>
      <c r="BF13" s="294" t="str">
        <f ca="1" t="shared" si="49"/>
        <v/>
      </c>
      <c r="BG13" s="1">
        <f t="shared" si="3"/>
        <v>74.49</v>
      </c>
      <c r="BH13" s="1">
        <f>IF($B13=0,"",RANK(BG13,BG$8:BG$73,0)+COUNTIF(BG$8:BG13,BG13)-1)</f>
        <v>37</v>
      </c>
      <c r="BI13" s="1">
        <f ca="1" t="shared" si="50"/>
        <v>37</v>
      </c>
      <c r="BJ13" s="273">
        <f ca="1" t="shared" si="51"/>
        <v>-4.11</v>
      </c>
      <c r="BK13" s="275">
        <f ca="1" t="shared" si="52"/>
        <v>-11</v>
      </c>
      <c r="BL13" s="1">
        <f t="shared" si="53"/>
        <v>2</v>
      </c>
      <c r="BM13" s="269">
        <f t="shared" si="54"/>
        <v>6</v>
      </c>
      <c r="BN13" s="269">
        <f t="shared" si="55"/>
        <v>1</v>
      </c>
      <c r="BO13" s="269">
        <f t="shared" si="56"/>
        <v>1</v>
      </c>
      <c r="BP13" s="268">
        <f t="shared" si="57"/>
        <v>6</v>
      </c>
      <c r="BQ13" s="1" t="str">
        <f t="shared" si="58"/>
        <v>Amsterdam</v>
      </c>
      <c r="BR13" s="277">
        <f t="shared" si="59"/>
        <v>96.05</v>
      </c>
      <c r="BS13" s="277">
        <f ca="1" t="shared" si="60"/>
        <v>3.61</v>
      </c>
      <c r="BT13" s="277" t="b">
        <f ca="1" t="shared" si="61"/>
        <v>0</v>
      </c>
      <c r="BU13" s="277">
        <f ca="1" t="shared" si="62"/>
        <v>-2</v>
      </c>
      <c r="BV13" s="277" t="b">
        <f ca="1" t="shared" si="63"/>
        <v>0</v>
      </c>
      <c r="BW13" s="294" t="str">
        <f ca="1" t="shared" si="64"/>
        <v/>
      </c>
      <c r="BX13" s="1">
        <f t="shared" si="4"/>
        <v>80.76</v>
      </c>
      <c r="BY13" s="1">
        <f>IF($B13=0,"",RANK(BX13,BX$8:BX$73,0)+COUNTIF(BX$8:BX13,BX13)-1)</f>
        <v>26</v>
      </c>
      <c r="BZ13" s="1">
        <f ca="1" t="shared" si="65"/>
        <v>26</v>
      </c>
      <c r="CA13" s="273">
        <f ca="1" t="shared" si="66"/>
        <v>18.68</v>
      </c>
      <c r="CB13" s="275">
        <f ca="1" t="shared" si="67"/>
        <v>11</v>
      </c>
      <c r="CC13" s="1">
        <f t="shared" si="68"/>
        <v>53</v>
      </c>
      <c r="CD13" s="269">
        <f t="shared" si="69"/>
        <v>6</v>
      </c>
      <c r="CE13" s="269">
        <f t="shared" si="70"/>
        <v>1</v>
      </c>
      <c r="CF13" s="269">
        <f t="shared" si="71"/>
        <v>1</v>
      </c>
      <c r="CG13" s="268">
        <f t="shared" si="72"/>
        <v>6</v>
      </c>
      <c r="CH13" s="1" t="str">
        <f t="shared" si="73"/>
        <v>Taipei</v>
      </c>
      <c r="CI13" s="277">
        <f t="shared" si="74"/>
        <v>90.02</v>
      </c>
      <c r="CJ13" s="277">
        <f ca="1" t="shared" si="75"/>
        <v>-0.08</v>
      </c>
      <c r="CK13" s="277" t="b">
        <f ca="1" t="shared" si="76"/>
        <v>0</v>
      </c>
      <c r="CL13" s="277">
        <f ca="1" t="shared" si="77"/>
        <v>0</v>
      </c>
      <c r="CM13" s="277" t="b">
        <f ca="1" t="shared" si="78"/>
        <v>0</v>
      </c>
      <c r="CN13" s="294" t="str">
        <f ca="1" t="shared" si="79"/>
        <v/>
      </c>
    </row>
    <row r="14" spans="1:92">
      <c r="A14" s="1">
        <f>tblTerritories!A9</f>
        <v>7</v>
      </c>
      <c r="B14" s="1">
        <f>IF(tblTerritories!F9="",0,tblTerritories!F9)</f>
        <v>1</v>
      </c>
      <c r="C14" s="1" t="str">
        <f>tblTerritories!C9</f>
        <v>Bogota</v>
      </c>
      <c r="D14" s="1">
        <f>tblTerritories!D9</f>
        <v>1</v>
      </c>
      <c r="E14" s="1">
        <f>tblTerritories!K9</f>
        <v>0</v>
      </c>
      <c r="F14" s="1">
        <f>IF($A14="","",VLOOKUP(C14,tblTerritories!$J$3:$P$100,7,FALSE)+10)</f>
        <v>12</v>
      </c>
      <c r="H14" s="1">
        <f t="shared" si="0"/>
        <v>61.36</v>
      </c>
      <c r="I14" s="1">
        <f>IF($B14=0,"",RANK(H14,H$8:H$73,0)+COUNTIF(H$8:H14,H14)-1)</f>
        <v>46</v>
      </c>
      <c r="J14" s="1">
        <f ca="1" t="shared" si="5"/>
        <v>46</v>
      </c>
      <c r="K14" s="273" t="e">
        <f ca="1" t="shared" si="6"/>
        <v>#N/A</v>
      </c>
      <c r="L14" s="275" t="e">
        <f ca="1" t="shared" si="7"/>
        <v>#N/A</v>
      </c>
      <c r="M14" s="1">
        <f t="shared" si="8"/>
        <v>52</v>
      </c>
      <c r="N14" s="269">
        <f t="shared" si="9"/>
        <v>7</v>
      </c>
      <c r="O14" s="269">
        <f t="shared" si="10"/>
        <v>1</v>
      </c>
      <c r="P14" s="269">
        <f t="shared" si="11"/>
        <v>1</v>
      </c>
      <c r="Q14" s="268">
        <f t="shared" si="12"/>
        <v>7</v>
      </c>
      <c r="R14" s="1" t="str">
        <f t="shared" si="13"/>
        <v>Sydney</v>
      </c>
      <c r="S14" s="277">
        <f t="shared" si="14"/>
        <v>86.74</v>
      </c>
      <c r="T14" s="277">
        <f ca="1" t="shared" si="15"/>
        <v>4.86</v>
      </c>
      <c r="U14" s="277" t="b">
        <f ca="1" t="shared" si="16"/>
        <v>0</v>
      </c>
      <c r="V14" s="277">
        <f ca="1" t="shared" si="17"/>
        <v>-2</v>
      </c>
      <c r="W14" s="277" t="b">
        <f ca="1" t="shared" si="18"/>
        <v>0</v>
      </c>
      <c r="X14" s="294" t="str">
        <f ca="1" t="shared" si="19"/>
        <v/>
      </c>
      <c r="Y14" s="1">
        <f t="shared" si="1"/>
        <v>54.62</v>
      </c>
      <c r="Z14" s="1">
        <f>IF($B14=0,"",RANK(Y14,Y$8:Y$73,0)+COUNTIF(Y$8:Y14,Y14)-1)</f>
        <v>45</v>
      </c>
      <c r="AA14" s="1">
        <f ca="1" t="shared" si="20"/>
        <v>45</v>
      </c>
      <c r="AB14" s="273" t="e">
        <f ca="1" t="shared" si="21"/>
        <v>#N/A</v>
      </c>
      <c r="AC14" s="275" t="e">
        <f ca="1" t="shared" si="22"/>
        <v>#N/A</v>
      </c>
      <c r="AD14" s="1">
        <f t="shared" si="23"/>
        <v>30</v>
      </c>
      <c r="AE14" s="269">
        <f t="shared" si="24"/>
        <v>7</v>
      </c>
      <c r="AF14" s="269">
        <f t="shared" si="25"/>
        <v>2</v>
      </c>
      <c r="AG14" s="269">
        <f t="shared" si="26"/>
        <v>1</v>
      </c>
      <c r="AH14" s="268" t="str">
        <f t="shared" si="27"/>
        <v>=7</v>
      </c>
      <c r="AI14" s="1" t="str">
        <f t="shared" si="28"/>
        <v>Los Angeles</v>
      </c>
      <c r="AJ14" s="277">
        <f t="shared" si="29"/>
        <v>85.12</v>
      </c>
      <c r="AK14" s="277">
        <f ca="1" t="shared" si="30"/>
        <v>13.63</v>
      </c>
      <c r="AL14" s="277" t="b">
        <f ca="1" t="shared" si="31"/>
        <v>0</v>
      </c>
      <c r="AM14" s="277">
        <f ca="1" t="shared" si="32"/>
        <v>3</v>
      </c>
      <c r="AN14" s="277" t="b">
        <f ca="1" t="shared" si="33"/>
        <v>0</v>
      </c>
      <c r="AO14" s="294" t="str">
        <f ca="1" t="shared" si="34"/>
        <v/>
      </c>
      <c r="AP14" s="1">
        <f t="shared" si="2"/>
        <v>65.37</v>
      </c>
      <c r="AQ14" s="1">
        <f>IF($B14=0,"",RANK(AP14,AP$8:AP$73,0)+COUNTIF(AP$8:AP14,AP14)-1)</f>
        <v>39</v>
      </c>
      <c r="AR14" s="1">
        <f ca="1" t="shared" si="35"/>
        <v>39</v>
      </c>
      <c r="AS14" s="273" t="e">
        <f ca="1" t="shared" si="36"/>
        <v>#N/A</v>
      </c>
      <c r="AT14" s="275" t="e">
        <f ca="1" t="shared" si="37"/>
        <v>#N/A</v>
      </c>
      <c r="AU14" s="1">
        <f t="shared" si="38"/>
        <v>8</v>
      </c>
      <c r="AV14" s="269">
        <f t="shared" si="39"/>
        <v>7</v>
      </c>
      <c r="AW14" s="269">
        <f t="shared" si="40"/>
        <v>1</v>
      </c>
      <c r="AX14" s="269">
        <f t="shared" si="41"/>
        <v>1</v>
      </c>
      <c r="AY14" s="268">
        <f t="shared" si="42"/>
        <v>7</v>
      </c>
      <c r="AZ14" s="1" t="str">
        <f t="shared" si="43"/>
        <v>Brussels</v>
      </c>
      <c r="BA14" s="277">
        <f t="shared" si="44"/>
        <v>81.41</v>
      </c>
      <c r="BB14" s="277">
        <f ca="1" t="shared" si="45"/>
        <v>2.02</v>
      </c>
      <c r="BC14" s="277" t="b">
        <f ca="1" t="shared" si="46"/>
        <v>0</v>
      </c>
      <c r="BD14" s="277">
        <f ca="1" t="shared" si="47"/>
        <v>-3</v>
      </c>
      <c r="BE14" s="277" t="b">
        <f ca="1" t="shared" si="48"/>
        <v>0</v>
      </c>
      <c r="BF14" s="294" t="str">
        <f ca="1" t="shared" si="49"/>
        <v/>
      </c>
      <c r="BG14" s="1">
        <f t="shared" si="3"/>
        <v>69.79</v>
      </c>
      <c r="BH14" s="1">
        <f>IF($B14=0,"",RANK(BG14,BG$8:BG$73,0)+COUNTIF(BG$8:BG14,BG14)-1)</f>
        <v>42</v>
      </c>
      <c r="BI14" s="1">
        <f ca="1" t="shared" si="50"/>
        <v>42</v>
      </c>
      <c r="BJ14" s="273" t="e">
        <f ca="1" t="shared" si="51"/>
        <v>#N/A</v>
      </c>
      <c r="BK14" s="275" t="e">
        <f ca="1" t="shared" si="52"/>
        <v>#N/A</v>
      </c>
      <c r="BL14" s="1">
        <f t="shared" si="53"/>
        <v>20</v>
      </c>
      <c r="BM14" s="269">
        <f t="shared" si="54"/>
        <v>7</v>
      </c>
      <c r="BN14" s="269">
        <f t="shared" si="55"/>
        <v>2</v>
      </c>
      <c r="BO14" s="269">
        <f t="shared" si="56"/>
        <v>1</v>
      </c>
      <c r="BP14" s="268" t="str">
        <f t="shared" si="57"/>
        <v>=7</v>
      </c>
      <c r="BQ14" s="1" t="str">
        <f t="shared" si="58"/>
        <v>Hong Kong</v>
      </c>
      <c r="BR14" s="277">
        <f t="shared" si="59"/>
        <v>96.04</v>
      </c>
      <c r="BS14" s="277">
        <f ca="1" t="shared" si="60"/>
        <v>20.87</v>
      </c>
      <c r="BT14" s="277" t="b">
        <f ca="1" t="shared" si="61"/>
        <v>0</v>
      </c>
      <c r="BU14" s="277">
        <f ca="1" t="shared" si="62"/>
        <v>26</v>
      </c>
      <c r="BV14" s="277" t="b">
        <f ca="1" t="shared" si="63"/>
        <v>0</v>
      </c>
      <c r="BW14" s="294" t="str">
        <f ca="1" t="shared" si="64"/>
        <v/>
      </c>
      <c r="BX14" s="1">
        <f t="shared" si="4"/>
        <v>55.66</v>
      </c>
      <c r="BY14" s="1">
        <f>IF($B14=0,"",RANK(BX14,BX$8:BX$73,0)+COUNTIF(BX$8:BX14,BX14)-1)</f>
        <v>55</v>
      </c>
      <c r="BZ14" s="1">
        <f ca="1" t="shared" si="65"/>
        <v>55</v>
      </c>
      <c r="CA14" s="273" t="e">
        <f ca="1" t="shared" si="66"/>
        <v>#N/A</v>
      </c>
      <c r="CB14" s="275" t="e">
        <f ca="1" t="shared" si="67"/>
        <v>#N/A</v>
      </c>
      <c r="CC14" s="1">
        <f t="shared" si="68"/>
        <v>20</v>
      </c>
      <c r="CD14" s="269">
        <f t="shared" si="69"/>
        <v>7</v>
      </c>
      <c r="CE14" s="269">
        <f t="shared" si="70"/>
        <v>1</v>
      </c>
      <c r="CF14" s="269">
        <f t="shared" si="71"/>
        <v>1</v>
      </c>
      <c r="CG14" s="268">
        <f t="shared" si="72"/>
        <v>7</v>
      </c>
      <c r="CH14" s="1" t="str">
        <f t="shared" si="73"/>
        <v>Hong Kong</v>
      </c>
      <c r="CI14" s="277">
        <f t="shared" si="74"/>
        <v>89.75</v>
      </c>
      <c r="CJ14" s="277">
        <f ca="1" t="shared" si="75"/>
        <v>-2</v>
      </c>
      <c r="CK14" s="277" t="b">
        <f ca="1" t="shared" si="76"/>
        <v>0</v>
      </c>
      <c r="CL14" s="277">
        <f ca="1" t="shared" si="77"/>
        <v>-3</v>
      </c>
      <c r="CM14" s="277" t="b">
        <f ca="1" t="shared" si="78"/>
        <v>0</v>
      </c>
      <c r="CN14" s="294" t="str">
        <f ca="1" t="shared" si="79"/>
        <v/>
      </c>
    </row>
    <row r="15" spans="1:92">
      <c r="A15" s="1">
        <f>tblTerritories!A10</f>
        <v>8</v>
      </c>
      <c r="B15" s="1">
        <f>IF(tblTerritories!F10="",0,tblTerritories!F10)</f>
        <v>1</v>
      </c>
      <c r="C15" s="1" t="str">
        <f>tblTerritories!C10</f>
        <v>Brussels</v>
      </c>
      <c r="D15" s="1">
        <f>tblTerritories!D10</f>
        <v>1</v>
      </c>
      <c r="E15" s="1">
        <f>tblTerritories!K10</f>
        <v>0</v>
      </c>
      <c r="F15" s="1">
        <f>IF($A15="","",VLOOKUP(C15,tblTerritories!$J$3:$P$100,7,FALSE)+10)</f>
        <v>11</v>
      </c>
      <c r="H15" s="1">
        <f t="shared" si="0"/>
        <v>83.01</v>
      </c>
      <c r="I15" s="1">
        <f>IF($B15=0,"",RANK(H15,H$8:H$73,0)+COUNTIF(H$8:H15,H15)-1)</f>
        <v>17</v>
      </c>
      <c r="J15" s="1">
        <f ca="1" t="shared" si="5"/>
        <v>17</v>
      </c>
      <c r="K15" s="273">
        <f ca="1" t="shared" si="6"/>
        <v>6.83</v>
      </c>
      <c r="L15" s="275">
        <f ca="1" t="shared" si="7"/>
        <v>2</v>
      </c>
      <c r="M15" s="1">
        <f t="shared" si="8"/>
        <v>51</v>
      </c>
      <c r="N15" s="269">
        <f t="shared" si="9"/>
        <v>8</v>
      </c>
      <c r="O15" s="269">
        <f t="shared" si="10"/>
        <v>1</v>
      </c>
      <c r="P15" s="269">
        <f t="shared" si="11"/>
        <v>1</v>
      </c>
      <c r="Q15" s="268">
        <f t="shared" si="12"/>
        <v>8</v>
      </c>
      <c r="R15" s="1" t="str">
        <f t="shared" si="13"/>
        <v>Stockholm</v>
      </c>
      <c r="S15" s="277">
        <f t="shared" si="14"/>
        <v>86.72</v>
      </c>
      <c r="T15" s="277">
        <f ca="1" t="shared" si="15"/>
        <v>5.66</v>
      </c>
      <c r="U15" s="277" t="b">
        <f ca="1" t="shared" si="16"/>
        <v>0</v>
      </c>
      <c r="V15" s="277">
        <f ca="1" t="shared" si="17"/>
        <v>0</v>
      </c>
      <c r="W15" s="277" t="b">
        <f ca="1" t="shared" si="18"/>
        <v>0</v>
      </c>
      <c r="X15" s="294" t="str">
        <f ca="1" t="shared" si="19"/>
        <v/>
      </c>
      <c r="Y15" s="1">
        <f t="shared" si="1"/>
        <v>79.96</v>
      </c>
      <c r="Z15" s="1">
        <f>IF($B15=0,"",RANK(Y15,Y$8:Y$73,0)+COUNTIF(Y$8:Y15,Y15)-1)</f>
        <v>17</v>
      </c>
      <c r="AA15" s="1">
        <f ca="1" t="shared" si="20"/>
        <v>17</v>
      </c>
      <c r="AB15" s="273">
        <f ca="1" t="shared" si="21"/>
        <v>5.36</v>
      </c>
      <c r="AC15" s="275">
        <f ca="1" t="shared" si="22"/>
        <v>-10</v>
      </c>
      <c r="AD15" s="1">
        <f t="shared" si="23"/>
        <v>45</v>
      </c>
      <c r="AE15" s="269">
        <f t="shared" si="24"/>
        <v>7</v>
      </c>
      <c r="AF15" s="269">
        <f t="shared" si="25"/>
        <v>2</v>
      </c>
      <c r="AG15" s="269">
        <f t="shared" si="26"/>
        <v>1</v>
      </c>
      <c r="AH15" s="268" t="str">
        <f t="shared" si="27"/>
        <v>=7</v>
      </c>
      <c r="AI15" s="1" t="str">
        <f t="shared" si="28"/>
        <v>San Francisco</v>
      </c>
      <c r="AJ15" s="277">
        <f t="shared" si="29"/>
        <v>85.12</v>
      </c>
      <c r="AK15" s="277">
        <f ca="1" t="shared" si="30"/>
        <v>14.77</v>
      </c>
      <c r="AL15" s="277" t="b">
        <f ca="1" t="shared" si="31"/>
        <v>0</v>
      </c>
      <c r="AM15" s="277">
        <f ca="1" t="shared" si="32"/>
        <v>6</v>
      </c>
      <c r="AN15" s="277" t="b">
        <f ca="1" t="shared" si="33"/>
        <v>0</v>
      </c>
      <c r="AO15" s="294" t="str">
        <f ca="1" t="shared" si="34"/>
        <v/>
      </c>
      <c r="AP15" s="1">
        <f t="shared" si="2"/>
        <v>81.41</v>
      </c>
      <c r="AQ15" s="1">
        <f>IF($B15=0,"",RANK(AP15,AP$8:AP$73,0)+COUNTIF(AP$8:AP15,AP15)-1)</f>
        <v>7</v>
      </c>
      <c r="AR15" s="1">
        <f ca="1" t="shared" si="35"/>
        <v>7</v>
      </c>
      <c r="AS15" s="273">
        <f ca="1" t="shared" si="36"/>
        <v>2.02</v>
      </c>
      <c r="AT15" s="275">
        <f ca="1" t="shared" si="37"/>
        <v>-3</v>
      </c>
      <c r="AU15" s="1">
        <f t="shared" si="38"/>
        <v>40</v>
      </c>
      <c r="AV15" s="269">
        <f t="shared" si="39"/>
        <v>8</v>
      </c>
      <c r="AW15" s="269">
        <f t="shared" si="40"/>
        <v>1</v>
      </c>
      <c r="AX15" s="269">
        <f t="shared" si="41"/>
        <v>1</v>
      </c>
      <c r="AY15" s="268">
        <f t="shared" si="42"/>
        <v>8</v>
      </c>
      <c r="AZ15" s="1" t="str">
        <f t="shared" si="43"/>
        <v>Paris</v>
      </c>
      <c r="BA15" s="277">
        <f t="shared" si="44"/>
        <v>81.35</v>
      </c>
      <c r="BB15" s="277">
        <f ca="1" t="shared" si="45"/>
        <v>2.82</v>
      </c>
      <c r="BC15" s="277" t="b">
        <f ca="1" t="shared" si="46"/>
        <v>0</v>
      </c>
      <c r="BD15" s="277">
        <f ca="1" t="shared" si="47"/>
        <v>0</v>
      </c>
      <c r="BE15" s="277" t="b">
        <f ca="1" t="shared" si="48"/>
        <v>0</v>
      </c>
      <c r="BF15" s="294" t="str">
        <f ca="1" t="shared" si="49"/>
        <v/>
      </c>
      <c r="BG15" s="1">
        <f t="shared" si="3"/>
        <v>88.56</v>
      </c>
      <c r="BH15" s="1">
        <f>IF($B15=0,"",RANK(BG15,BG$8:BG$73,0)+COUNTIF(BG$8:BG15,BG15)-1)</f>
        <v>20</v>
      </c>
      <c r="BI15" s="1">
        <f ca="1" t="shared" si="50"/>
        <v>20</v>
      </c>
      <c r="BJ15" s="273">
        <f ca="1" t="shared" si="51"/>
        <v>2.37</v>
      </c>
      <c r="BK15" s="275">
        <f ca="1" t="shared" si="52"/>
        <v>-6</v>
      </c>
      <c r="BL15" s="1">
        <f t="shared" si="53"/>
        <v>33</v>
      </c>
      <c r="BM15" s="269">
        <f t="shared" si="54"/>
        <v>7</v>
      </c>
      <c r="BN15" s="269">
        <f t="shared" si="55"/>
        <v>2</v>
      </c>
      <c r="BO15" s="269">
        <f t="shared" si="56"/>
        <v>1</v>
      </c>
      <c r="BP15" s="268" t="str">
        <f t="shared" si="57"/>
        <v>=7</v>
      </c>
      <c r="BQ15" s="1" t="str">
        <f t="shared" si="58"/>
        <v>Melbourne</v>
      </c>
      <c r="BR15" s="277">
        <f t="shared" si="59"/>
        <v>96.04</v>
      </c>
      <c r="BS15" s="277">
        <f ca="1" t="shared" si="60"/>
        <v>2.65</v>
      </c>
      <c r="BT15" s="277" t="b">
        <f ca="1" t="shared" si="61"/>
        <v>0</v>
      </c>
      <c r="BU15" s="277">
        <f ca="1" t="shared" si="62"/>
        <v>-5</v>
      </c>
      <c r="BV15" s="277" t="b">
        <f ca="1" t="shared" si="63"/>
        <v>0</v>
      </c>
      <c r="BW15" s="294" t="str">
        <f ca="1" t="shared" si="64"/>
        <v/>
      </c>
      <c r="BX15" s="1">
        <f t="shared" si="4"/>
        <v>82.09</v>
      </c>
      <c r="BY15" s="1">
        <f>IF($B15=0,"",RANK(BX15,BX$8:BX$73,0)+COUNTIF(BX$8:BX15,BX15)-1)</f>
        <v>23</v>
      </c>
      <c r="BZ15" s="1">
        <f ca="1" t="shared" si="65"/>
        <v>23</v>
      </c>
      <c r="CA15" s="273">
        <f ca="1" t="shared" si="66"/>
        <v>17.54</v>
      </c>
      <c r="CB15" s="275">
        <f ca="1" t="shared" si="67"/>
        <v>9</v>
      </c>
      <c r="CC15" s="1">
        <f t="shared" si="68"/>
        <v>33</v>
      </c>
      <c r="CD15" s="269">
        <f t="shared" si="69"/>
        <v>8</v>
      </c>
      <c r="CE15" s="269">
        <f t="shared" si="70"/>
        <v>1</v>
      </c>
      <c r="CF15" s="269">
        <f t="shared" si="71"/>
        <v>1</v>
      </c>
      <c r="CG15" s="268">
        <f t="shared" si="72"/>
        <v>8</v>
      </c>
      <c r="CH15" s="1" t="str">
        <f t="shared" si="73"/>
        <v>Melbourne</v>
      </c>
      <c r="CI15" s="277">
        <f t="shared" si="74"/>
        <v>88.52</v>
      </c>
      <c r="CJ15" s="277">
        <f ca="1" t="shared" si="75"/>
        <v>-1.05</v>
      </c>
      <c r="CK15" s="277" t="b">
        <f ca="1" t="shared" si="76"/>
        <v>0</v>
      </c>
      <c r="CL15" s="277">
        <f ca="1" t="shared" si="77"/>
        <v>0</v>
      </c>
      <c r="CM15" s="277" t="b">
        <f ca="1" t="shared" si="78"/>
        <v>0</v>
      </c>
      <c r="CN15" s="294" t="str">
        <f ca="1" t="shared" si="79"/>
        <v/>
      </c>
    </row>
    <row r="16" spans="1:92">
      <c r="A16" s="1">
        <f>tblTerritories!A11</f>
        <v>9</v>
      </c>
      <c r="B16" s="1">
        <f>IF(tblTerritories!F11="",0,tblTerritories!F11)</f>
        <v>1</v>
      </c>
      <c r="C16" s="1" t="str">
        <f>tblTerritories!C11</f>
        <v>Buenos Aires</v>
      </c>
      <c r="D16" s="1">
        <f>tblTerritories!D11</f>
        <v>1</v>
      </c>
      <c r="E16" s="1">
        <f>tblTerritories!K11</f>
        <v>0</v>
      </c>
      <c r="F16" s="1">
        <f>IF($A16="","",VLOOKUP(C16,tblTerritories!$J$3:$P$100,7,FALSE)+10)</f>
        <v>12</v>
      </c>
      <c r="H16" s="1">
        <f t="shared" si="0"/>
        <v>76.35</v>
      </c>
      <c r="I16" s="1">
        <f>IF($B16=0,"",RANK(H16,H$8:H$73,0)+COUNTIF(H$8:H16,H16)-1)</f>
        <v>29</v>
      </c>
      <c r="J16" s="1">
        <f ca="1" t="shared" si="5"/>
        <v>29</v>
      </c>
      <c r="K16" s="273">
        <f ca="1" t="shared" si="6"/>
        <v>6.33</v>
      </c>
      <c r="L16" s="275">
        <f ca="1" t="shared" si="7"/>
        <v>-3</v>
      </c>
      <c r="M16" s="1">
        <f t="shared" si="8"/>
        <v>20</v>
      </c>
      <c r="N16" s="269">
        <f t="shared" si="9"/>
        <v>9</v>
      </c>
      <c r="O16" s="269">
        <f t="shared" si="10"/>
        <v>1</v>
      </c>
      <c r="P16" s="269">
        <f t="shared" si="11"/>
        <v>1</v>
      </c>
      <c r="Q16" s="268">
        <f t="shared" si="12"/>
        <v>9</v>
      </c>
      <c r="R16" s="1" t="str">
        <f t="shared" si="13"/>
        <v>Hong Kong</v>
      </c>
      <c r="S16" s="277">
        <f t="shared" si="14"/>
        <v>86.22</v>
      </c>
      <c r="T16" s="277">
        <f ca="1" t="shared" si="15"/>
        <v>7.69</v>
      </c>
      <c r="U16" s="277" t="b">
        <f ca="1" t="shared" si="16"/>
        <v>0</v>
      </c>
      <c r="V16" s="277">
        <f ca="1" t="shared" si="17"/>
        <v>3</v>
      </c>
      <c r="W16" s="277" t="b">
        <f ca="1" t="shared" si="18"/>
        <v>0</v>
      </c>
      <c r="X16" s="294" t="str">
        <f ca="1" t="shared" si="19"/>
        <v/>
      </c>
      <c r="Y16" s="1">
        <f t="shared" si="1"/>
        <v>74.14</v>
      </c>
      <c r="Z16" s="1">
        <f>IF($B16=0,"",RANK(Y16,Y$8:Y$73,0)+COUNTIF(Y$8:Y16,Y16)-1)</f>
        <v>23</v>
      </c>
      <c r="AA16" s="1">
        <f ca="1" t="shared" si="20"/>
        <v>23</v>
      </c>
      <c r="AB16" s="273">
        <f ca="1" t="shared" si="21"/>
        <v>4.56</v>
      </c>
      <c r="AC16" s="275">
        <f ca="1" t="shared" si="22"/>
        <v>-9</v>
      </c>
      <c r="AD16" s="1">
        <f t="shared" si="23"/>
        <v>38</v>
      </c>
      <c r="AE16" s="269">
        <f t="shared" si="24"/>
        <v>9</v>
      </c>
      <c r="AF16" s="269">
        <f t="shared" si="25"/>
        <v>1</v>
      </c>
      <c r="AG16" s="269">
        <f t="shared" si="26"/>
        <v>1</v>
      </c>
      <c r="AH16" s="268">
        <f t="shared" si="27"/>
        <v>9</v>
      </c>
      <c r="AI16" s="1" t="str">
        <f t="shared" si="28"/>
        <v>New York</v>
      </c>
      <c r="AJ16" s="277">
        <f t="shared" si="29"/>
        <v>84.95</v>
      </c>
      <c r="AK16" s="277">
        <f ca="1" t="shared" si="30"/>
        <v>9.03</v>
      </c>
      <c r="AL16" s="277" t="b">
        <f ca="1" t="shared" si="31"/>
        <v>0</v>
      </c>
      <c r="AM16" s="277">
        <f ca="1" t="shared" si="32"/>
        <v>-3</v>
      </c>
      <c r="AN16" s="277" t="b">
        <f ca="1" t="shared" si="33"/>
        <v>0</v>
      </c>
      <c r="AO16" s="294" t="str">
        <f ca="1" t="shared" si="34"/>
        <v/>
      </c>
      <c r="AP16" s="1">
        <f t="shared" si="2"/>
        <v>74.84</v>
      </c>
      <c r="AQ16" s="1">
        <f>IF($B16=0,"",RANK(AP16,AP$8:AP$73,0)+COUNTIF(AP$8:AP16,AP16)-1)</f>
        <v>20</v>
      </c>
      <c r="AR16" s="1">
        <f ca="1" t="shared" si="35"/>
        <v>20</v>
      </c>
      <c r="AS16" s="273">
        <f ca="1" t="shared" si="36"/>
        <v>7.12</v>
      </c>
      <c r="AT16" s="275">
        <f ca="1" t="shared" si="37"/>
        <v>7</v>
      </c>
      <c r="AU16" s="1">
        <f t="shared" si="38"/>
        <v>33</v>
      </c>
      <c r="AV16" s="269">
        <f t="shared" si="39"/>
        <v>9</v>
      </c>
      <c r="AW16" s="269">
        <f t="shared" si="40"/>
        <v>1</v>
      </c>
      <c r="AX16" s="269">
        <f t="shared" si="41"/>
        <v>1</v>
      </c>
      <c r="AY16" s="268">
        <f t="shared" si="42"/>
        <v>9</v>
      </c>
      <c r="AZ16" s="1" t="str">
        <f t="shared" si="43"/>
        <v>Melbourne</v>
      </c>
      <c r="BA16" s="277">
        <f t="shared" si="44"/>
        <v>81.34</v>
      </c>
      <c r="BB16" s="277">
        <f ca="1" t="shared" si="45"/>
        <v>5.63</v>
      </c>
      <c r="BC16" s="277" t="b">
        <f ca="1" t="shared" si="46"/>
        <v>0</v>
      </c>
      <c r="BD16" s="277">
        <f ca="1" t="shared" si="47"/>
        <v>5</v>
      </c>
      <c r="BE16" s="277" t="b">
        <f ca="1" t="shared" si="48"/>
        <v>0</v>
      </c>
      <c r="BF16" s="294" t="str">
        <f ca="1" t="shared" si="49"/>
        <v/>
      </c>
      <c r="BG16" s="1">
        <f t="shared" si="3"/>
        <v>87.99</v>
      </c>
      <c r="BH16" s="1">
        <f>IF($B16=0,"",RANK(BG16,BG$8:BG$73,0)+COUNTIF(BG$8:BG16,BG16)-1)</f>
        <v>24</v>
      </c>
      <c r="BI16" s="1">
        <f ca="1" t="shared" si="50"/>
        <v>24</v>
      </c>
      <c r="BJ16" s="273">
        <f ca="1" t="shared" si="51"/>
        <v>9.33</v>
      </c>
      <c r="BK16" s="275">
        <f ca="1" t="shared" si="52"/>
        <v>1</v>
      </c>
      <c r="BL16" s="1">
        <f t="shared" si="53"/>
        <v>52</v>
      </c>
      <c r="BM16" s="269">
        <f t="shared" si="54"/>
        <v>9</v>
      </c>
      <c r="BN16" s="269">
        <f t="shared" si="55"/>
        <v>1</v>
      </c>
      <c r="BO16" s="269">
        <f t="shared" si="56"/>
        <v>1</v>
      </c>
      <c r="BP16" s="268">
        <f t="shared" si="57"/>
        <v>9</v>
      </c>
      <c r="BQ16" s="1" t="str">
        <f t="shared" si="58"/>
        <v>Sydney</v>
      </c>
      <c r="BR16" s="277">
        <f t="shared" si="59"/>
        <v>95.73</v>
      </c>
      <c r="BS16" s="277">
        <f ca="1" t="shared" si="60"/>
        <v>3.04</v>
      </c>
      <c r="BT16" s="277" t="b">
        <f ca="1" t="shared" si="61"/>
        <v>0</v>
      </c>
      <c r="BU16" s="277">
        <f ca="1" t="shared" si="62"/>
        <v>-6</v>
      </c>
      <c r="BV16" s="277" t="b">
        <f ca="1" t="shared" si="63"/>
        <v>0</v>
      </c>
      <c r="BW16" s="294" t="str">
        <f ca="1" t="shared" si="64"/>
        <v/>
      </c>
      <c r="BX16" s="1">
        <f t="shared" si="4"/>
        <v>68.41</v>
      </c>
      <c r="BY16" s="1">
        <f>IF($B16=0,"",RANK(BX16,BX$8:BX$73,0)+COUNTIF(BX$8:BX16,BX16)-1)</f>
        <v>42</v>
      </c>
      <c r="BZ16" s="1">
        <f ca="1" t="shared" si="65"/>
        <v>42</v>
      </c>
      <c r="CA16" s="273">
        <f ca="1" t="shared" si="66"/>
        <v>4.3</v>
      </c>
      <c r="CB16" s="275">
        <f ca="1" t="shared" si="67"/>
        <v>-8</v>
      </c>
      <c r="CC16" s="1">
        <f t="shared" si="68"/>
        <v>51</v>
      </c>
      <c r="CD16" s="269">
        <f t="shared" si="69"/>
        <v>9</v>
      </c>
      <c r="CE16" s="269">
        <f t="shared" si="70"/>
        <v>1</v>
      </c>
      <c r="CF16" s="269">
        <f t="shared" si="71"/>
        <v>1</v>
      </c>
      <c r="CG16" s="268">
        <f t="shared" si="72"/>
        <v>9</v>
      </c>
      <c r="CH16" s="1" t="str">
        <f t="shared" si="73"/>
        <v>Stockholm</v>
      </c>
      <c r="CI16" s="277">
        <f t="shared" si="74"/>
        <v>87.93</v>
      </c>
      <c r="CJ16" s="277">
        <f ca="1" t="shared" si="75"/>
        <v>-1.68</v>
      </c>
      <c r="CK16" s="277" t="b">
        <f ca="1" t="shared" si="76"/>
        <v>0</v>
      </c>
      <c r="CL16" s="277">
        <f ca="1" t="shared" si="77"/>
        <v>-2</v>
      </c>
      <c r="CM16" s="277" t="b">
        <f ca="1" t="shared" si="78"/>
        <v>0</v>
      </c>
      <c r="CN16" s="294" t="str">
        <f ca="1" t="shared" si="79"/>
        <v/>
      </c>
    </row>
    <row r="17" spans="1:92">
      <c r="A17" s="1">
        <f>tblTerritories!A12</f>
        <v>10</v>
      </c>
      <c r="B17" s="1">
        <f>IF(tblTerritories!F12="",0,tblTerritories!F12)</f>
        <v>1</v>
      </c>
      <c r="C17" s="1" t="str">
        <f>tblTerritories!C12</f>
        <v>Cairo</v>
      </c>
      <c r="D17" s="1">
        <f>tblTerritories!D12</f>
        <v>1</v>
      </c>
      <c r="E17" s="1">
        <f>tblTerritories!K12</f>
        <v>0</v>
      </c>
      <c r="F17" s="1">
        <f>IF($A17="","",VLOOKUP(C17,tblTerritories!$J$3:$P$100,7,FALSE)+10)</f>
        <v>13</v>
      </c>
      <c r="H17" s="1">
        <f t="shared" si="0"/>
        <v>58.33</v>
      </c>
      <c r="I17" s="1">
        <f>IF($B17=0,"",RANK(H17,H$8:H$73,0)+COUNTIF(H$8:H17,H17)-1)</f>
        <v>51</v>
      </c>
      <c r="J17" s="1">
        <f ca="1" t="shared" si="5"/>
        <v>51</v>
      </c>
      <c r="K17" s="273" t="e">
        <f ca="1" t="shared" si="6"/>
        <v>#N/A</v>
      </c>
      <c r="L17" s="275" t="e">
        <f ca="1" t="shared" si="7"/>
        <v>#N/A</v>
      </c>
      <c r="M17" s="1">
        <f t="shared" si="8"/>
        <v>60</v>
      </c>
      <c r="N17" s="269">
        <f t="shared" si="9"/>
        <v>10</v>
      </c>
      <c r="O17" s="269">
        <f t="shared" si="10"/>
        <v>1</v>
      </c>
      <c r="P17" s="269">
        <f t="shared" si="11"/>
        <v>1</v>
      </c>
      <c r="Q17" s="268">
        <f t="shared" si="12"/>
        <v>10</v>
      </c>
      <c r="R17" s="1" t="str">
        <f t="shared" si="13"/>
        <v>Zurich</v>
      </c>
      <c r="S17" s="277">
        <f t="shared" si="14"/>
        <v>85.2</v>
      </c>
      <c r="T17" s="277">
        <f ca="1" t="shared" si="15"/>
        <v>4.38</v>
      </c>
      <c r="U17" s="277" t="b">
        <f ca="1" t="shared" si="16"/>
        <v>0</v>
      </c>
      <c r="V17" s="277">
        <f ca="1" t="shared" si="17"/>
        <v>-1</v>
      </c>
      <c r="W17" s="277" t="b">
        <f ca="1" t="shared" si="18"/>
        <v>0</v>
      </c>
      <c r="X17" s="294" t="str">
        <f ca="1" t="shared" si="19"/>
        <v/>
      </c>
      <c r="Y17" s="1">
        <f t="shared" si="1"/>
        <v>43.29</v>
      </c>
      <c r="Z17" s="1">
        <f>IF($B17=0,"",RANK(Y17,Y$8:Y$73,0)+COUNTIF(Y$8:Y17,Y17)-1)</f>
        <v>53</v>
      </c>
      <c r="AA17" s="1">
        <f ca="1" t="shared" si="20"/>
        <v>53</v>
      </c>
      <c r="AB17" s="273" t="e">
        <f ca="1" t="shared" si="21"/>
        <v>#N/A</v>
      </c>
      <c r="AC17" s="275" t="e">
        <f ca="1" t="shared" si="22"/>
        <v>#N/A</v>
      </c>
      <c r="AD17" s="1">
        <f t="shared" si="23"/>
        <v>14</v>
      </c>
      <c r="AE17" s="269">
        <f t="shared" si="24"/>
        <v>10</v>
      </c>
      <c r="AF17" s="269">
        <f t="shared" si="25"/>
        <v>1</v>
      </c>
      <c r="AG17" s="269">
        <f t="shared" si="26"/>
        <v>1</v>
      </c>
      <c r="AH17" s="268">
        <f t="shared" si="27"/>
        <v>10</v>
      </c>
      <c r="AI17" s="1" t="str">
        <f t="shared" si="28"/>
        <v>Dallas</v>
      </c>
      <c r="AJ17" s="277">
        <f t="shared" si="29"/>
        <v>84.65</v>
      </c>
      <c r="AK17" s="277" t="str">
        <f ca="1" t="shared" si="30"/>
        <v/>
      </c>
      <c r="AL17" s="277" t="b">
        <f ca="1" t="shared" si="31"/>
        <v>0</v>
      </c>
      <c r="AM17" s="277" t="str">
        <f ca="1" t="shared" si="32"/>
        <v/>
      </c>
      <c r="AN17" s="277" t="b">
        <f ca="1" t="shared" si="33"/>
        <v>0</v>
      </c>
      <c r="AO17" s="294" t="str">
        <f ca="1" t="shared" si="34"/>
        <v> *</v>
      </c>
      <c r="AP17" s="1">
        <f t="shared" si="2"/>
        <v>52.28</v>
      </c>
      <c r="AQ17" s="1">
        <f>IF($B17=0,"",RANK(AP17,AP$8:AP$73,0)+COUNTIF(AP$8:AP17,AP17)-1)</f>
        <v>57</v>
      </c>
      <c r="AR17" s="1">
        <f ca="1" t="shared" si="35"/>
        <v>57</v>
      </c>
      <c r="AS17" s="273" t="e">
        <f ca="1" t="shared" si="36"/>
        <v>#N/A</v>
      </c>
      <c r="AT17" s="275" t="e">
        <f ca="1" t="shared" si="37"/>
        <v>#N/A</v>
      </c>
      <c r="AU17" s="1">
        <f t="shared" si="38"/>
        <v>51</v>
      </c>
      <c r="AV17" s="269">
        <f t="shared" si="39"/>
        <v>10</v>
      </c>
      <c r="AW17" s="269">
        <f t="shared" si="40"/>
        <v>1</v>
      </c>
      <c r="AX17" s="269">
        <f t="shared" si="41"/>
        <v>1</v>
      </c>
      <c r="AY17" s="268">
        <f t="shared" si="42"/>
        <v>10</v>
      </c>
      <c r="AZ17" s="1" t="str">
        <f t="shared" si="43"/>
        <v>Stockholm</v>
      </c>
      <c r="BA17" s="277">
        <f t="shared" si="44"/>
        <v>79.94</v>
      </c>
      <c r="BB17" s="277">
        <f ca="1" t="shared" si="45"/>
        <v>-5.06</v>
      </c>
      <c r="BC17" s="277" t="b">
        <f ca="1" t="shared" si="46"/>
        <v>0</v>
      </c>
      <c r="BD17" s="277">
        <f ca="1" t="shared" si="47"/>
        <v>-9</v>
      </c>
      <c r="BE17" s="277" t="b">
        <f ca="1" t="shared" si="48"/>
        <v>0</v>
      </c>
      <c r="BF17" s="294" t="str">
        <f ca="1" t="shared" si="49"/>
        <v/>
      </c>
      <c r="BG17" s="1">
        <f t="shared" si="3"/>
        <v>68</v>
      </c>
      <c r="BH17" s="1">
        <f>IF($B17=0,"",RANK(BG17,BG$8:BG$73,0)+COUNTIF(BG$8:BG17,BG17)-1)</f>
        <v>44</v>
      </c>
      <c r="BI17" s="1">
        <f ca="1" t="shared" si="50"/>
        <v>44</v>
      </c>
      <c r="BJ17" s="273" t="e">
        <f ca="1" t="shared" si="51"/>
        <v>#N/A</v>
      </c>
      <c r="BK17" s="275" t="e">
        <f ca="1" t="shared" si="52"/>
        <v>#N/A</v>
      </c>
      <c r="BL17" s="1">
        <f t="shared" si="53"/>
        <v>60</v>
      </c>
      <c r="BM17" s="269">
        <f t="shared" si="54"/>
        <v>10</v>
      </c>
      <c r="BN17" s="269">
        <f t="shared" si="55"/>
        <v>1</v>
      </c>
      <c r="BO17" s="269">
        <f t="shared" si="56"/>
        <v>1</v>
      </c>
      <c r="BP17" s="268">
        <f t="shared" si="57"/>
        <v>10</v>
      </c>
      <c r="BQ17" s="1" t="str">
        <f t="shared" si="58"/>
        <v>Zurich</v>
      </c>
      <c r="BR17" s="277">
        <f t="shared" si="59"/>
        <v>95.71</v>
      </c>
      <c r="BS17" s="277">
        <f ca="1" t="shared" si="60"/>
        <v>2.19</v>
      </c>
      <c r="BT17" s="277" t="b">
        <f ca="1" t="shared" si="61"/>
        <v>0</v>
      </c>
      <c r="BU17" s="277">
        <f ca="1" t="shared" si="62"/>
        <v>-9</v>
      </c>
      <c r="BV17" s="277" t="b">
        <f ca="1" t="shared" si="63"/>
        <v>0</v>
      </c>
      <c r="BW17" s="294" t="str">
        <f ca="1" t="shared" si="64"/>
        <v/>
      </c>
      <c r="BX17" s="1">
        <f t="shared" si="4"/>
        <v>69.75</v>
      </c>
      <c r="BY17" s="1">
        <f>IF($B17=0,"",RANK(BX17,BX$8:BX$73,0)+COUNTIF(BX$8:BX17,BX17)-1)</f>
        <v>40</v>
      </c>
      <c r="BZ17" s="1">
        <f ca="1" t="shared" si="65"/>
        <v>40</v>
      </c>
      <c r="CA17" s="273" t="e">
        <f ca="1" t="shared" si="66"/>
        <v>#N/A</v>
      </c>
      <c r="CB17" s="275" t="e">
        <f ca="1" t="shared" si="67"/>
        <v>#N/A</v>
      </c>
      <c r="CC17" s="1">
        <f t="shared" si="68"/>
        <v>2</v>
      </c>
      <c r="CD17" s="269">
        <f t="shared" si="69"/>
        <v>10</v>
      </c>
      <c r="CE17" s="269">
        <f t="shared" si="70"/>
        <v>1</v>
      </c>
      <c r="CF17" s="269">
        <f t="shared" si="71"/>
        <v>1</v>
      </c>
      <c r="CG17" s="268">
        <f t="shared" si="72"/>
        <v>10</v>
      </c>
      <c r="CH17" s="1" t="str">
        <f t="shared" si="73"/>
        <v>Amsterdam</v>
      </c>
      <c r="CI17" s="277">
        <f t="shared" si="74"/>
        <v>87.42</v>
      </c>
      <c r="CJ17" s="277">
        <f ca="1" t="shared" si="75"/>
        <v>-1.46</v>
      </c>
      <c r="CK17" s="277" t="b">
        <f ca="1" t="shared" si="76"/>
        <v>0</v>
      </c>
      <c r="CL17" s="277">
        <f ca="1" t="shared" si="77"/>
        <v>-1</v>
      </c>
      <c r="CM17" s="277" t="b">
        <f ca="1" t="shared" si="78"/>
        <v>0</v>
      </c>
      <c r="CN17" s="294" t="str">
        <f ca="1" t="shared" si="79"/>
        <v/>
      </c>
    </row>
    <row r="18" spans="1:92">
      <c r="A18" s="1">
        <f>tblTerritories!A13</f>
        <v>11</v>
      </c>
      <c r="B18" s="1">
        <f>IF(tblTerritories!F13="",0,tblTerritories!F13)</f>
        <v>1</v>
      </c>
      <c r="C18" s="1" t="str">
        <f>tblTerritories!C13</f>
        <v>Caracas</v>
      </c>
      <c r="D18" s="1">
        <f>tblTerritories!D13</f>
        <v>1</v>
      </c>
      <c r="E18" s="1">
        <f>tblTerritories!K13</f>
        <v>0</v>
      </c>
      <c r="F18" s="1">
        <f>IF($A18="","",VLOOKUP(C18,tblTerritories!$J$3:$P$100,7,FALSE)+10)</f>
        <v>12</v>
      </c>
      <c r="H18" s="1">
        <f t="shared" si="0"/>
        <v>55.22</v>
      </c>
      <c r="I18" s="1">
        <f>IF($B18=0,"",RANK(H18,H$8:H$73,0)+COUNTIF(H$8:H18,H18)-1)</f>
        <v>54</v>
      </c>
      <c r="J18" s="1">
        <f ca="1" t="shared" si="5"/>
        <v>54</v>
      </c>
      <c r="K18" s="273" t="e">
        <f ca="1" t="shared" si="6"/>
        <v>#N/A</v>
      </c>
      <c r="L18" s="275" t="e">
        <f ca="1" t="shared" si="7"/>
        <v>#N/A</v>
      </c>
      <c r="M18" s="1">
        <f t="shared" si="8"/>
        <v>18</v>
      </c>
      <c r="N18" s="269">
        <f t="shared" si="9"/>
        <v>11</v>
      </c>
      <c r="O18" s="269">
        <f t="shared" si="10"/>
        <v>1</v>
      </c>
      <c r="P18" s="269">
        <f t="shared" si="11"/>
        <v>1</v>
      </c>
      <c r="Q18" s="268">
        <f t="shared" si="12"/>
        <v>11</v>
      </c>
      <c r="R18" s="1" t="str">
        <f t="shared" si="13"/>
        <v>Frankfurt</v>
      </c>
      <c r="S18" s="277">
        <f t="shared" si="14"/>
        <v>84.86</v>
      </c>
      <c r="T18" s="277">
        <f ca="1" t="shared" si="15"/>
        <v>7.85</v>
      </c>
      <c r="U18" s="277" t="b">
        <f ca="1" t="shared" si="16"/>
        <v>0</v>
      </c>
      <c r="V18" s="277">
        <f ca="1" t="shared" si="17"/>
        <v>5</v>
      </c>
      <c r="W18" s="277" t="b">
        <f ca="1" t="shared" si="18"/>
        <v>0</v>
      </c>
      <c r="X18" s="294" t="str">
        <f ca="1" t="shared" si="19"/>
        <v/>
      </c>
      <c r="Y18" s="1">
        <f t="shared" si="1"/>
        <v>58.39</v>
      </c>
      <c r="Z18" s="1">
        <f>IF($B18=0,"",RANK(Y18,Y$8:Y$73,0)+COUNTIF(Y$8:Y18,Y18)-1)</f>
        <v>43</v>
      </c>
      <c r="AA18" s="1">
        <f ca="1" t="shared" si="20"/>
        <v>43</v>
      </c>
      <c r="AB18" s="273" t="e">
        <f ca="1" t="shared" si="21"/>
        <v>#N/A</v>
      </c>
      <c r="AC18" s="275" t="e">
        <f ca="1" t="shared" si="22"/>
        <v>#N/A</v>
      </c>
      <c r="AD18" s="1">
        <f t="shared" si="23"/>
        <v>33</v>
      </c>
      <c r="AE18" s="269">
        <f t="shared" si="24"/>
        <v>11</v>
      </c>
      <c r="AF18" s="269">
        <f t="shared" si="25"/>
        <v>1</v>
      </c>
      <c r="AG18" s="269">
        <f t="shared" si="26"/>
        <v>1</v>
      </c>
      <c r="AH18" s="268">
        <f t="shared" si="27"/>
        <v>11</v>
      </c>
      <c r="AI18" s="1" t="str">
        <f t="shared" si="28"/>
        <v>Melbourne</v>
      </c>
      <c r="AJ18" s="277">
        <f t="shared" si="29"/>
        <v>83.32</v>
      </c>
      <c r="AK18" s="277">
        <f ca="1" t="shared" si="30"/>
        <v>16.9</v>
      </c>
      <c r="AL18" s="277" t="b">
        <f ca="1" t="shared" si="31"/>
        <v>0</v>
      </c>
      <c r="AM18" s="277">
        <f ca="1" t="shared" si="32"/>
        <v>10</v>
      </c>
      <c r="AN18" s="277" t="b">
        <f ca="1" t="shared" si="33"/>
        <v>0</v>
      </c>
      <c r="AO18" s="294" t="str">
        <f ca="1" t="shared" si="34"/>
        <v/>
      </c>
      <c r="AP18" s="1">
        <f t="shared" si="2"/>
        <v>56.72</v>
      </c>
      <c r="AQ18" s="1">
        <f>IF($B18=0,"",RANK(AP18,AP$8:AP$73,0)+COUNTIF(AP$8:AP18,AP18)-1)</f>
        <v>54</v>
      </c>
      <c r="AR18" s="1">
        <f ca="1" t="shared" si="35"/>
        <v>54</v>
      </c>
      <c r="AS18" s="273" t="e">
        <f ca="1" t="shared" si="36"/>
        <v>#N/A</v>
      </c>
      <c r="AT18" s="275" t="e">
        <f ca="1" t="shared" si="37"/>
        <v>#N/A</v>
      </c>
      <c r="AU18" s="1">
        <f t="shared" si="38"/>
        <v>56</v>
      </c>
      <c r="AV18" s="269">
        <f t="shared" si="39"/>
        <v>11</v>
      </c>
      <c r="AW18" s="269">
        <f t="shared" si="40"/>
        <v>1</v>
      </c>
      <c r="AX18" s="269">
        <f t="shared" si="41"/>
        <v>1</v>
      </c>
      <c r="AY18" s="268">
        <f t="shared" si="42"/>
        <v>11</v>
      </c>
      <c r="AZ18" s="1" t="str">
        <f t="shared" si="43"/>
        <v>Toronto</v>
      </c>
      <c r="BA18" s="277">
        <f t="shared" si="44"/>
        <v>79.84</v>
      </c>
      <c r="BB18" s="277">
        <f ca="1" t="shared" si="45"/>
        <v>7.51</v>
      </c>
      <c r="BC18" s="277" t="b">
        <f ca="1" t="shared" si="46"/>
        <v>0</v>
      </c>
      <c r="BD18" s="277">
        <f ca="1" t="shared" si="47"/>
        <v>9</v>
      </c>
      <c r="BE18" s="277" t="b">
        <f ca="1" t="shared" si="48"/>
        <v>0</v>
      </c>
      <c r="BF18" s="294" t="str">
        <f ca="1" t="shared" si="49"/>
        <v/>
      </c>
      <c r="BG18" s="1">
        <f t="shared" si="3"/>
        <v>58.42</v>
      </c>
      <c r="BH18" s="1">
        <f>IF($B18=0,"",RANK(BG18,BG$8:BG$73,0)+COUNTIF(BG$8:BG18,BG18)-1)</f>
        <v>53</v>
      </c>
      <c r="BI18" s="1">
        <f ca="1" t="shared" si="50"/>
        <v>53</v>
      </c>
      <c r="BJ18" s="273" t="e">
        <f ca="1" t="shared" si="51"/>
        <v>#N/A</v>
      </c>
      <c r="BK18" s="275" t="e">
        <f ca="1" t="shared" si="52"/>
        <v>#N/A</v>
      </c>
      <c r="BL18" s="1">
        <f t="shared" si="53"/>
        <v>39</v>
      </c>
      <c r="BM18" s="269">
        <f t="shared" si="54"/>
        <v>11</v>
      </c>
      <c r="BN18" s="269">
        <f t="shared" si="55"/>
        <v>1</v>
      </c>
      <c r="BO18" s="269">
        <f t="shared" si="56"/>
        <v>1</v>
      </c>
      <c r="BP18" s="268">
        <f t="shared" si="57"/>
        <v>11</v>
      </c>
      <c r="BQ18" s="1" t="str">
        <f t="shared" si="58"/>
        <v>Osaka</v>
      </c>
      <c r="BR18" s="277">
        <f t="shared" si="59"/>
        <v>94.61</v>
      </c>
      <c r="BS18" s="277">
        <f ca="1" t="shared" si="60"/>
        <v>6.47</v>
      </c>
      <c r="BT18" s="277" t="b">
        <f ca="1" t="shared" si="61"/>
        <v>0</v>
      </c>
      <c r="BU18" s="277">
        <f ca="1" t="shared" si="62"/>
        <v>-3</v>
      </c>
      <c r="BV18" s="277" t="b">
        <f ca="1" t="shared" si="63"/>
        <v>0</v>
      </c>
      <c r="BW18" s="294" t="str">
        <f ca="1" t="shared" si="64"/>
        <v/>
      </c>
      <c r="BX18" s="1">
        <f t="shared" si="4"/>
        <v>47.36</v>
      </c>
      <c r="BY18" s="1">
        <f>IF($B18=0,"",RANK(BX18,BX$8:BX$73,0)+COUNTIF(BX$8:BX18,BX18)-1)</f>
        <v>59</v>
      </c>
      <c r="BZ18" s="1">
        <f ca="1" t="shared" si="65"/>
        <v>59</v>
      </c>
      <c r="CA18" s="273" t="e">
        <f ca="1" t="shared" si="66"/>
        <v>#N/A</v>
      </c>
      <c r="CB18" s="275" t="e">
        <f ca="1" t="shared" si="67"/>
        <v>#N/A</v>
      </c>
      <c r="CC18" s="1">
        <f t="shared" si="68"/>
        <v>18</v>
      </c>
      <c r="CD18" s="269">
        <f t="shared" si="69"/>
        <v>11</v>
      </c>
      <c r="CE18" s="269">
        <f t="shared" si="70"/>
        <v>1</v>
      </c>
      <c r="CF18" s="269">
        <f t="shared" si="71"/>
        <v>1</v>
      </c>
      <c r="CG18" s="268">
        <f t="shared" si="72"/>
        <v>11</v>
      </c>
      <c r="CH18" s="1" t="str">
        <f t="shared" si="73"/>
        <v>Frankfurt</v>
      </c>
      <c r="CI18" s="277">
        <f t="shared" si="74"/>
        <v>86.7</v>
      </c>
      <c r="CJ18" s="277">
        <f ca="1" t="shared" si="75"/>
        <v>6.03</v>
      </c>
      <c r="CK18" s="277" t="b">
        <f ca="1" t="shared" si="76"/>
        <v>0</v>
      </c>
      <c r="CL18" s="277">
        <f ca="1" t="shared" si="77"/>
        <v>7</v>
      </c>
      <c r="CM18" s="277" t="b">
        <f ca="1" t="shared" si="78"/>
        <v>0</v>
      </c>
      <c r="CN18" s="294" t="str">
        <f ca="1" t="shared" si="79"/>
        <v/>
      </c>
    </row>
    <row r="19" spans="1:92">
      <c r="A19" s="1">
        <f>tblTerritories!A14</f>
        <v>12</v>
      </c>
      <c r="B19" s="1">
        <f>IF(tblTerritories!F14="",0,tblTerritories!F14)</f>
        <v>1</v>
      </c>
      <c r="C19" s="1" t="str">
        <f>tblTerritories!C14</f>
        <v>Casablanca</v>
      </c>
      <c r="D19" s="1">
        <f>tblTerritories!D14</f>
        <v>1</v>
      </c>
      <c r="E19" s="1">
        <f>tblTerritories!K14</f>
        <v>0</v>
      </c>
      <c r="F19" s="1">
        <f>IF($A19="","",VLOOKUP(C19,tblTerritories!$J$3:$P$100,7,FALSE)+10)</f>
        <v>13</v>
      </c>
      <c r="H19" s="1">
        <f t="shared" si="0"/>
        <v>61.2</v>
      </c>
      <c r="I19" s="1">
        <f>IF($B19=0,"",RANK(H19,H$8:H$73,0)+COUNTIF(H$8:H19,H19)-1)</f>
        <v>48</v>
      </c>
      <c r="J19" s="1">
        <f ca="1" t="shared" si="5"/>
        <v>48</v>
      </c>
      <c r="K19" s="273" t="e">
        <f ca="1" t="shared" si="6"/>
        <v>#N/A</v>
      </c>
      <c r="L19" s="275" t="e">
        <f ca="1" t="shared" si="7"/>
        <v>#N/A</v>
      </c>
      <c r="M19" s="1">
        <f t="shared" si="8"/>
        <v>31</v>
      </c>
      <c r="N19" s="269">
        <f t="shared" si="9"/>
        <v>12</v>
      </c>
      <c r="O19" s="269">
        <f t="shared" si="10"/>
        <v>1</v>
      </c>
      <c r="P19" s="269">
        <f t="shared" si="11"/>
        <v>1</v>
      </c>
      <c r="Q19" s="268">
        <f t="shared" si="12"/>
        <v>12</v>
      </c>
      <c r="R19" s="1" t="str">
        <f t="shared" si="13"/>
        <v>Madrid</v>
      </c>
      <c r="S19" s="277">
        <f t="shared" si="14"/>
        <v>83.88</v>
      </c>
      <c r="T19" s="277">
        <f ca="1" t="shared" si="15"/>
        <v>11.31</v>
      </c>
      <c r="U19" s="277" t="b">
        <f ca="1" t="shared" si="16"/>
        <v>0</v>
      </c>
      <c r="V19" s="277">
        <f ca="1" t="shared" si="17"/>
        <v>13</v>
      </c>
      <c r="W19" s="277" t="b">
        <f ca="1" t="shared" si="18"/>
        <v>0</v>
      </c>
      <c r="X19" s="294" t="str">
        <f ca="1" t="shared" si="19"/>
        <v/>
      </c>
      <c r="Y19" s="1">
        <f t="shared" si="1"/>
        <v>57.37</v>
      </c>
      <c r="Z19" s="1">
        <f>IF($B19=0,"",RANK(Y19,Y$8:Y$73,0)+COUNTIF(Y$8:Y19,Y19)-1)</f>
        <v>44</v>
      </c>
      <c r="AA19" s="1">
        <f ca="1" t="shared" si="20"/>
        <v>44</v>
      </c>
      <c r="AB19" s="273" t="e">
        <f ca="1" t="shared" si="21"/>
        <v>#N/A</v>
      </c>
      <c r="AC19" s="275" t="e">
        <f ca="1" t="shared" si="22"/>
        <v>#N/A</v>
      </c>
      <c r="AD19" s="1">
        <f t="shared" si="23"/>
        <v>52</v>
      </c>
      <c r="AE19" s="269">
        <f t="shared" si="24"/>
        <v>12</v>
      </c>
      <c r="AF19" s="269">
        <f t="shared" si="25"/>
        <v>1</v>
      </c>
      <c r="AG19" s="269">
        <f t="shared" si="26"/>
        <v>1</v>
      </c>
      <c r="AH19" s="268">
        <f t="shared" si="27"/>
        <v>12</v>
      </c>
      <c r="AI19" s="1" t="str">
        <f t="shared" si="28"/>
        <v>Sydney</v>
      </c>
      <c r="AJ19" s="277">
        <f t="shared" si="29"/>
        <v>82.96</v>
      </c>
      <c r="AK19" s="277">
        <f ca="1" t="shared" si="30"/>
        <v>11.48</v>
      </c>
      <c r="AL19" s="277" t="b">
        <f ca="1" t="shared" si="31"/>
        <v>0</v>
      </c>
      <c r="AM19" s="277">
        <f ca="1" t="shared" si="32"/>
        <v>-1</v>
      </c>
      <c r="AN19" s="277" t="b">
        <f ca="1" t="shared" si="33"/>
        <v>0</v>
      </c>
      <c r="AO19" s="294" t="str">
        <f ca="1" t="shared" si="34"/>
        <v/>
      </c>
      <c r="AP19" s="1">
        <f t="shared" si="2"/>
        <v>58.52</v>
      </c>
      <c r="AQ19" s="1">
        <f>IF($B19=0,"",RANK(AP19,AP$8:AP$73,0)+COUNTIF(AP$8:AP19,AP19)-1)</f>
        <v>51</v>
      </c>
      <c r="AR19" s="1">
        <f ca="1" t="shared" si="35"/>
        <v>51</v>
      </c>
      <c r="AS19" s="273" t="e">
        <f ca="1" t="shared" si="36"/>
        <v>#N/A</v>
      </c>
      <c r="AT19" s="275" t="e">
        <f ca="1" t="shared" si="37"/>
        <v>#N/A</v>
      </c>
      <c r="AU19" s="1">
        <f t="shared" si="38"/>
        <v>2</v>
      </c>
      <c r="AV19" s="269">
        <f t="shared" si="39"/>
        <v>12</v>
      </c>
      <c r="AW19" s="269">
        <f t="shared" si="40"/>
        <v>1</v>
      </c>
      <c r="AX19" s="269">
        <f t="shared" si="41"/>
        <v>1</v>
      </c>
      <c r="AY19" s="268">
        <f t="shared" si="42"/>
        <v>12</v>
      </c>
      <c r="AZ19" s="1" t="str">
        <f t="shared" si="43"/>
        <v>Amsterdam</v>
      </c>
      <c r="BA19" s="277">
        <f t="shared" si="44"/>
        <v>79.79</v>
      </c>
      <c r="BB19" s="277">
        <f ca="1" t="shared" si="45"/>
        <v>3.75</v>
      </c>
      <c r="BC19" s="277" t="b">
        <f ca="1" t="shared" si="46"/>
        <v>0</v>
      </c>
      <c r="BD19" s="277">
        <f ca="1" t="shared" si="47"/>
        <v>1</v>
      </c>
      <c r="BE19" s="277" t="b">
        <f ca="1" t="shared" si="48"/>
        <v>0</v>
      </c>
      <c r="BF19" s="294" t="str">
        <f ca="1" t="shared" si="49"/>
        <v/>
      </c>
      <c r="BG19" s="1">
        <f t="shared" si="3"/>
        <v>66.27</v>
      </c>
      <c r="BH19" s="1">
        <f>IF($B19=0,"",RANK(BG19,BG$8:BG$73,0)+COUNTIF(BG$8:BG19,BG19)-1)</f>
        <v>45</v>
      </c>
      <c r="BI19" s="1">
        <f ca="1" t="shared" si="50"/>
        <v>45</v>
      </c>
      <c r="BJ19" s="273" t="e">
        <f ca="1" t="shared" si="51"/>
        <v>#N/A</v>
      </c>
      <c r="BK19" s="275" t="e">
        <f ca="1" t="shared" si="52"/>
        <v>#N/A</v>
      </c>
      <c r="BL19" s="1">
        <f t="shared" si="53"/>
        <v>55</v>
      </c>
      <c r="BM19" s="269">
        <f t="shared" si="54"/>
        <v>12</v>
      </c>
      <c r="BN19" s="269">
        <f t="shared" si="55"/>
        <v>1</v>
      </c>
      <c r="BO19" s="269">
        <f t="shared" si="56"/>
        <v>1</v>
      </c>
      <c r="BP19" s="268">
        <f t="shared" si="57"/>
        <v>12</v>
      </c>
      <c r="BQ19" s="1" t="str">
        <f t="shared" si="58"/>
        <v>Tokyo</v>
      </c>
      <c r="BR19" s="277">
        <f t="shared" si="59"/>
        <v>93.59</v>
      </c>
      <c r="BS19" s="277">
        <f ca="1" t="shared" si="60"/>
        <v>2.19</v>
      </c>
      <c r="BT19" s="277" t="b">
        <f ca="1" t="shared" si="61"/>
        <v>0</v>
      </c>
      <c r="BU19" s="277">
        <f ca="1" t="shared" si="62"/>
        <v>-7</v>
      </c>
      <c r="BV19" s="277" t="b">
        <f ca="1" t="shared" si="63"/>
        <v>0</v>
      </c>
      <c r="BW19" s="294" t="str">
        <f ca="1" t="shared" si="64"/>
        <v/>
      </c>
      <c r="BX19" s="1">
        <f t="shared" si="4"/>
        <v>62.63</v>
      </c>
      <c r="BY19" s="1">
        <f>IF($B19=0,"",RANK(BX19,BX$8:BX$73,0)+COUNTIF(BX$8:BX19,BX19)-1)</f>
        <v>46</v>
      </c>
      <c r="BZ19" s="1">
        <f ca="1" t="shared" si="65"/>
        <v>46</v>
      </c>
      <c r="CA19" s="273" t="e">
        <f ca="1" t="shared" si="66"/>
        <v>#N/A</v>
      </c>
      <c r="CB19" s="275" t="e">
        <f ca="1" t="shared" si="67"/>
        <v>#N/A</v>
      </c>
      <c r="CC19" s="1">
        <f t="shared" si="68"/>
        <v>52</v>
      </c>
      <c r="CD19" s="269">
        <f t="shared" si="69"/>
        <v>12</v>
      </c>
      <c r="CE19" s="269">
        <f t="shared" si="70"/>
        <v>1</v>
      </c>
      <c r="CF19" s="269">
        <f t="shared" si="71"/>
        <v>1</v>
      </c>
      <c r="CG19" s="268">
        <f t="shared" si="72"/>
        <v>12</v>
      </c>
      <c r="CH19" s="1" t="str">
        <f t="shared" si="73"/>
        <v>Sydney</v>
      </c>
      <c r="CI19" s="277">
        <f t="shared" si="74"/>
        <v>86.46</v>
      </c>
      <c r="CJ19" s="277">
        <f ca="1" t="shared" si="75"/>
        <v>-2.12</v>
      </c>
      <c r="CK19" s="277" t="b">
        <f ca="1" t="shared" si="76"/>
        <v>0</v>
      </c>
      <c r="CL19" s="277">
        <f ca="1" t="shared" si="77"/>
        <v>-2</v>
      </c>
      <c r="CM19" s="277" t="b">
        <f ca="1" t="shared" si="78"/>
        <v>0</v>
      </c>
      <c r="CN19" s="294" t="str">
        <f ca="1" t="shared" si="79"/>
        <v/>
      </c>
    </row>
    <row r="20" spans="1:92">
      <c r="A20" s="1">
        <f>tblTerritories!A15</f>
        <v>13</v>
      </c>
      <c r="B20" s="1">
        <f>IF(tblTerritories!F15="",0,tblTerritories!F15)</f>
        <v>1</v>
      </c>
      <c r="C20" s="1" t="str">
        <f>tblTerritories!C15</f>
        <v>Chicago</v>
      </c>
      <c r="D20" s="1">
        <f>tblTerritories!D15</f>
        <v>1</v>
      </c>
      <c r="E20" s="1">
        <f>tblTerritories!K15</f>
        <v>0</v>
      </c>
      <c r="F20" s="1">
        <f>IF($A20="","",VLOOKUP(C20,tblTerritories!$J$3:$P$100,7,FALSE)+10)</f>
        <v>14</v>
      </c>
      <c r="H20" s="1">
        <f t="shared" si="0"/>
        <v>82.21</v>
      </c>
      <c r="I20" s="1">
        <f>IF($B20=0,"",RANK(H20,H$8:H$73,0)+COUNTIF(H$8:H20,H20)-1)</f>
        <v>19</v>
      </c>
      <c r="J20" s="1">
        <f ca="1" t="shared" ref="J20:J68" si="80">INDEX(INDIRECT($G$5),H$6,$A20)</f>
        <v>19</v>
      </c>
      <c r="K20" s="273">
        <f ca="1" t="shared" ref="K20:K68" si="81">IF($B20=0,"",ROUND(H20-INDEX(INDIRECT($E$6),I$6,MATCH($C20,INDIRECT($F$6),0)),2))</f>
        <v>4.48</v>
      </c>
      <c r="L20" s="275">
        <f ca="1" t="shared" ref="L20:L68" si="82">IF($B20=0,"",INDEX(INDIRECT($G$6),I$6,MATCH($C20,INDIRECT($F$6),0))-J20)</f>
        <v>-6</v>
      </c>
      <c r="M20" s="1">
        <f t="shared" ref="M20:M68" si="83">IF(ISERROR(MATCH($A20,I$8:I$73,0)),"",MATCH($A20,I$8:I$73,0))</f>
        <v>5</v>
      </c>
      <c r="N20" s="269">
        <f t="shared" ref="N20:N68" si="84">IF($A20="","",IF(M20="","",RANK(S20,S$8:S$73)))</f>
        <v>13</v>
      </c>
      <c r="O20" s="269">
        <f t="shared" ref="O20:O68" si="85">IF(M20="","",COUNTIF(S$8:S$73,S20))</f>
        <v>1</v>
      </c>
      <c r="P20" s="269">
        <f t="shared" ref="P20:P68" si="86">IF(M20="",0,INDEX($B$8:$B$73,M20))</f>
        <v>1</v>
      </c>
      <c r="Q20" s="268">
        <f t="shared" ref="Q20:Q68" si="87">IF(M20="","",IF(O20&gt;1,CONCATENATE("=",N20),N20))</f>
        <v>13</v>
      </c>
      <c r="R20" s="1" t="str">
        <f t="shared" ref="R20:R68" si="88">IF(M20="","",INDEX($C$8:$C$73,M20))</f>
        <v>Barcelona</v>
      </c>
      <c r="S20" s="277">
        <f t="shared" ref="S20:S68" si="89">IF(M20="","",INDEX(H$8:H$73,M20))</f>
        <v>83.71</v>
      </c>
      <c r="T20" s="277">
        <f ca="1" t="shared" ref="T20:T68" si="90">IF(M20="","",IF(ISNA(INDEX(K$8:K$73,M20)),"",INDEX(K$8:K$73,M20)))</f>
        <v>6.32</v>
      </c>
      <c r="U20" s="277" t="b">
        <f ca="1" t="shared" ref="U20:U68" si="91">IF($B$4,IF(T20="","",IF(T20&gt;0,"p",IF(T20&lt;0,"q",""))))</f>
        <v>0</v>
      </c>
      <c r="V20" s="277">
        <f ca="1" t="shared" ref="V20:V68" si="92">IF(M20="","",IF(ISNA(INDEX(L$8:L$73,M20)),"",INDEX(L$8:L$73,M20)))</f>
        <v>2</v>
      </c>
      <c r="W20" s="277" t="b">
        <f ca="1" t="shared" ref="W20:W68" si="93">IF($B$4,IF(V20="","",IF(V20&gt;0,"p",IF(V20&lt;0,"q",""))))</f>
        <v>0</v>
      </c>
      <c r="X20" s="294" t="str">
        <f ca="1" t="shared" ref="X20:X68" si="94">IF(M20="","",IF(ISNA(INDEX(K$8:K$73,M20))," *",""))</f>
        <v/>
      </c>
      <c r="Y20" s="1">
        <f t="shared" si="1"/>
        <v>86.75</v>
      </c>
      <c r="Z20" s="1">
        <f>IF($B20=0,"",RANK(Y20,Y$8:Y$73,0)+COUNTIF(Y$8:Y20,Y20)-1)</f>
        <v>3</v>
      </c>
      <c r="AA20" s="1">
        <f ca="1" t="shared" ref="AA20:AA68" si="95">INDEX(INDIRECT($G$5),Y$6,$A20)</f>
        <v>3</v>
      </c>
      <c r="AB20" s="273">
        <f ca="1" t="shared" ref="AB20:AB68" si="96">IF($B20=0,"",ROUND(Y20-INDEX(INDIRECT($E$6),Z$6,MATCH($C20,INDIRECT($F$6),0)),2))</f>
        <v>17.35</v>
      </c>
      <c r="AC20" s="275">
        <f ca="1" t="shared" ref="AC20:AC68" si="97">IF($B20=0,"",INDEX(INDIRECT($G$6),Z$6,MATCH($C20,INDIRECT($F$6),0))-AA20)</f>
        <v>12</v>
      </c>
      <c r="AD20" s="1">
        <f t="shared" ref="AD20:AD68" si="98">IF(ISERROR(MATCH($A20,Z$8:Z$73,0)),"",MATCH($A20,Z$8:Z$73,0))</f>
        <v>51</v>
      </c>
      <c r="AE20" s="269">
        <f t="shared" ref="AE20:AE68" si="99">IF($A20="","",IF(AD20="","",RANK(AJ20,AJ$8:AJ$73)))</f>
        <v>13</v>
      </c>
      <c r="AF20" s="269">
        <f t="shared" ref="AF20:AF68" si="100">IF(AD20="","",COUNTIF(AJ$8:AJ$73,AJ20))</f>
        <v>1</v>
      </c>
      <c r="AG20" s="269">
        <f t="shared" ref="AG20:AG68" si="101">IF(AD20="",0,INDEX($B$8:$B$73,AD20))</f>
        <v>1</v>
      </c>
      <c r="AH20" s="268">
        <f t="shared" ref="AH20:AH68" si="102">IF(AD20="","",IF(AF20&gt;1,CONCATENATE("=",AE20),AE20))</f>
        <v>13</v>
      </c>
      <c r="AI20" s="1" t="str">
        <f t="shared" ref="AI20:AI68" si="103">IF(AD20="","",INDEX($C$8:$C$73,AD20))</f>
        <v>Stockholm</v>
      </c>
      <c r="AJ20" s="277">
        <f t="shared" ref="AJ20:AJ68" si="104">IF(AD20="","",INDEX(Y$8:Y$73,AD20))</f>
        <v>82.81</v>
      </c>
      <c r="AK20" s="277">
        <f ca="1" t="shared" ref="AK20:AK68" si="105">IF(AD20="","",IF(ISNA(INDEX(AB$8:AB$73,AD20)),"",INDEX(AB$8:AB$73,AD20)))</f>
        <v>15.99</v>
      </c>
      <c r="AL20" s="277" t="b">
        <f ca="1" t="shared" ref="AL20:AL68" si="106">IF($B$4,IF(AK20="","",IF(AK20&gt;0,"p",IF(AK20&lt;0,"q",""))))</f>
        <v>0</v>
      </c>
      <c r="AM20" s="277">
        <f ca="1" t="shared" ref="AM20:AM68" si="107">IF(AD20="","",IF(ISNA(INDEX(AC$8:AC$73,AD20)),"",INDEX(AC$8:AC$73,AD20)))</f>
        <v>6</v>
      </c>
      <c r="AN20" s="277" t="b">
        <f ca="1" t="shared" ref="AN20:AN68" si="108">IF($B$4,IF(AM20="","",IF(AM20&gt;0,"p",IF(AM20&lt;0,"q",""))))</f>
        <v>0</v>
      </c>
      <c r="AO20" s="294" t="str">
        <f ca="1" t="shared" ref="AO20:AO68" si="109">IF(AD20="","",IF(ISNA(INDEX(AB$8:AB$73,AD20))," *",""))</f>
        <v/>
      </c>
      <c r="AP20" s="1">
        <f t="shared" si="2"/>
        <v>71.78</v>
      </c>
      <c r="AQ20" s="1">
        <f>IF($B20=0,"",RANK(AP20,AP$8:AP$73,0)+COUNTIF(AP$8:AP20,AP20)-1)</f>
        <v>27</v>
      </c>
      <c r="AR20" s="1">
        <f ca="1" t="shared" ref="AR20:AR68" si="110">INDEX(INDIRECT($G$5),AP$6,$A20)</f>
        <v>27</v>
      </c>
      <c r="AS20" s="273">
        <f ca="1" t="shared" ref="AS20:AS68" si="111">IF($B20=0,"",ROUND(AP20-INDEX(INDIRECT($E$6),AQ$6,MATCH($C20,INDIRECT($F$6),0)),2))</f>
        <v>-0.17</v>
      </c>
      <c r="AT20" s="275">
        <f ca="1" t="shared" ref="AT20:AT68" si="112">IF($B20=0,"",INDEX(INDIRECT($G$6),AQ$6,MATCH($C20,INDIRECT($F$6),0))-AR20)</f>
        <v>-6</v>
      </c>
      <c r="AU20" s="1">
        <f t="shared" ref="AU20:AU68" si="113">IF(ISERROR(MATCH($A20,AQ$8:AQ$73,0)),"",MATCH($A20,AQ$8:AQ$73,0))</f>
        <v>50</v>
      </c>
      <c r="AV20" s="269">
        <f t="shared" ref="AV20:AV68" si="114">IF($A20="","",IF(AU20="","",RANK(BA20,BA$8:BA$73)))</f>
        <v>13</v>
      </c>
      <c r="AW20" s="269">
        <f t="shared" ref="AW20:AW68" si="115">IF(AU20="","",COUNTIF(BA$8:BA$73,BA20))</f>
        <v>1</v>
      </c>
      <c r="AX20" s="269">
        <f t="shared" ref="AX20:AX68" si="116">IF(AU20="",0,INDEX($B$8:$B$73,AU20))</f>
        <v>1</v>
      </c>
      <c r="AY20" s="268">
        <f t="shared" ref="AY20:AY68" si="117">IF(AU20="","",IF(AW20&gt;1,CONCATENATE("=",AV20),AV20))</f>
        <v>13</v>
      </c>
      <c r="AZ20" s="1" t="str">
        <f t="shared" ref="AZ20:AZ68" si="118">IF(AU20="","",INDEX($C$8:$C$73,AU20))</f>
        <v>Singapore</v>
      </c>
      <c r="BA20" s="277">
        <f t="shared" ref="BA20:BA68" si="119">IF(AU20="","",INDEX(AP$8:AP$73,AU20))</f>
        <v>79.72</v>
      </c>
      <c r="BB20" s="277">
        <f ca="1" t="shared" ref="BB20:BB68" si="120">IF(AU20="","",IF(ISNA(INDEX(AS$8:AS$73,AU20)),"",INDEX(AS$8:AS$73,AU20)))</f>
        <v>2.76</v>
      </c>
      <c r="BC20" s="277" t="b">
        <f ca="1" t="shared" ref="BC20:BC68" si="121">IF($B$4,IF(BB20="","",IF(BB20&gt;0,"p",IF(BB20&lt;0,"q",""))))</f>
        <v>0</v>
      </c>
      <c r="BD20" s="277">
        <f ca="1" t="shared" ref="BD20:BD68" si="122">IF(AU20="","",IF(ISNA(INDEX(AT$8:AT$73,AU20)),"",INDEX(AT$8:AT$73,AU20)))</f>
        <v>-1</v>
      </c>
      <c r="BE20" s="277" t="b">
        <f ca="1" t="shared" ref="BE20:BE68" si="123">IF($B$4,IF(BD20="","",IF(BD20&gt;0,"p",IF(BD20&lt;0,"q",""))))</f>
        <v>0</v>
      </c>
      <c r="BF20" s="294" t="str">
        <f ca="1" t="shared" ref="BF20:BF68" si="124">IF(AU20="","",IF(ISNA(INDEX(AS$8:AS$73,AU20))," *",""))</f>
        <v/>
      </c>
      <c r="BG20" s="1">
        <f t="shared" si="3"/>
        <v>87.47</v>
      </c>
      <c r="BH20" s="1">
        <f>IF($B20=0,"",RANK(BG20,BG$8:BG$73,0)+COUNTIF(BG$8:BG20,BG20)-1)</f>
        <v>27</v>
      </c>
      <c r="BI20" s="1">
        <f ca="1" t="shared" ref="BI20:BI68" si="125">INDEX(INDIRECT($G$5),BG$6,$A20)</f>
        <v>27</v>
      </c>
      <c r="BJ20" s="273">
        <f ca="1" t="shared" ref="BJ20:BJ68" si="126">IF($B20=0,"",ROUND(BG20-INDEX(INDIRECT($E$6),BH$6,MATCH($C20,INDIRECT($F$6),0)),2))</f>
        <v>-0.1</v>
      </c>
      <c r="BK20" s="275">
        <f ca="1" t="shared" ref="BK20:BK68" si="127">IF($B20=0,"",INDEX(INDIRECT($G$6),BH$6,MATCH($C20,INDIRECT($F$6),0))-BI20)</f>
        <v>-15</v>
      </c>
      <c r="BL20" s="1">
        <f t="shared" ref="BL20:BL68" si="128">IF(ISERROR(MATCH($A20,BH$8:BH$73,0)),"",MATCH($A20,BH$8:BH$73,0))</f>
        <v>29</v>
      </c>
      <c r="BM20" s="269">
        <f t="shared" ref="BM20:BM68" si="129">IF($A20="","",IF(BL20="","",RANK(BR20,BR$8:BR$73)))</f>
        <v>13</v>
      </c>
      <c r="BN20" s="269">
        <f t="shared" ref="BN20:BN68" si="130">IF(BL20="","",COUNTIF(BR$8:BR$73,BR20))</f>
        <v>1</v>
      </c>
      <c r="BO20" s="269">
        <f t="shared" ref="BO20:BO68" si="131">IF(BL20="",0,INDEX($B$8:$B$73,BL20))</f>
        <v>1</v>
      </c>
      <c r="BP20" s="268">
        <f t="shared" ref="BP20:BP68" si="132">IF(BL20="","",IF(BN20&gt;1,CONCATENATE("=",BM20),BM20))</f>
        <v>13</v>
      </c>
      <c r="BQ20" s="1" t="str">
        <f t="shared" ref="BQ20:BQ68" si="133">IF(BL20="","",INDEX($C$8:$C$73,BL20))</f>
        <v>London</v>
      </c>
      <c r="BR20" s="277">
        <f t="shared" ref="BR20:BR68" si="134">IF(BL20="","",INDEX(BG$8:BG$73,BL20))</f>
        <v>93.44</v>
      </c>
      <c r="BS20" s="277">
        <f ca="1" t="shared" ref="BS20:BS68" si="135">IF(BL20="","",IF(ISNA(INDEX(BJ$8:BJ$73,BL20)),"",INDEX(BJ$8:BJ$73,BL20)))</f>
        <v>22.82</v>
      </c>
      <c r="BT20" s="277" t="b">
        <f ca="1" t="shared" ref="BT20:BT68" si="136">IF($B$4,IF(BS20="","",IF(BS20&gt;0,"p",IF(BS20&lt;0,"q",""))))</f>
        <v>0</v>
      </c>
      <c r="BU20" s="277">
        <f ca="1" t="shared" ref="BU20:BU68" si="137">IF(BL20="","",IF(ISNA(INDEX(BK$8:BK$73,BL20)),"",INDEX(BK$8:BK$73,BL20)))</f>
        <v>24</v>
      </c>
      <c r="BV20" s="277" t="b">
        <f ca="1" t="shared" ref="BV20:BV68" si="138">IF($B$4,IF(BU20="","",IF(BU20&gt;0,"p",IF(BU20&lt;0,"q",""))))</f>
        <v>0</v>
      </c>
      <c r="BW20" s="294" t="str">
        <f ca="1" t="shared" ref="BW20:BW68" si="139">IF(BL20="","",IF(ISNA(INDEX(BJ$8:BJ$73,BL20))," *",""))</f>
        <v/>
      </c>
      <c r="BX20" s="1">
        <f t="shared" si="4"/>
        <v>82.84</v>
      </c>
      <c r="BY20" s="1">
        <f>IF($B20=0,"",RANK(BX20,BX$8:BX$73,0)+COUNTIF(BX$8:BX20,BX20)-1)</f>
        <v>22</v>
      </c>
      <c r="BZ20" s="1">
        <f ca="1" t="shared" ref="BZ20:BZ68" si="140">INDEX(INDIRECT($G$5),BX$6,$A20)</f>
        <v>22</v>
      </c>
      <c r="CA20" s="273">
        <f ca="1" t="shared" ref="CA20:CA68" si="141">IF($B20=0,"",ROUND(BX20-INDEX(INDIRECT($E$6),BY$6,MATCH($C20,INDIRECT($F$6),0)),2))</f>
        <v>0.85</v>
      </c>
      <c r="CB20" s="275">
        <f ca="1" t="shared" ref="CB20:CB68" si="142">IF($B20=0,"",INDEX(INDIRECT($G$6),BY$6,MATCH($C20,INDIRECT($F$6),0))-BZ20)</f>
        <v>-7</v>
      </c>
      <c r="CC20" s="1">
        <f t="shared" ref="CC20:CC68" si="143">IF(ISERROR(MATCH($A20,BY$8:BY$73,0)),"",MATCH($A20,BY$8:BY$73,0))</f>
        <v>17</v>
      </c>
      <c r="CD20" s="269">
        <f t="shared" ref="CD20:CD68" si="144">IF($A20="","",IF(CC20="","",RANK(CI20,CI$8:CI$73)))</f>
        <v>13</v>
      </c>
      <c r="CE20" s="269">
        <f t="shared" ref="CE20:CE68" si="145">IF(CC20="","",COUNTIF(CI$8:CI$73,CI20))</f>
        <v>1</v>
      </c>
      <c r="CF20" s="269">
        <f t="shared" ref="CF20:CF68" si="146">IF(CC20="",0,INDEX($B$8:$B$73,CC20))</f>
        <v>1</v>
      </c>
      <c r="CG20" s="268">
        <f t="shared" ref="CG20:CG68" si="147">IF(CC20="","",IF(CE20&gt;1,CONCATENATE("=",CD20),CD20))</f>
        <v>13</v>
      </c>
      <c r="CH20" s="1" t="str">
        <f t="shared" ref="CH20:CH68" si="148">IF(CC20="","",INDEX($C$8:$C$73,CC20))</f>
        <v>Doha</v>
      </c>
      <c r="CI20" s="277">
        <f t="shared" ref="CI20:CI68" si="149">IF(CC20="","",INDEX(BX$8:BX$73,CC20))</f>
        <v>86.04</v>
      </c>
      <c r="CJ20" s="277">
        <f ca="1" t="shared" ref="CJ20:CJ68" si="150">IF(CC20="","",IF(ISNA(INDEX(CA$8:CA$73,CC20)),"",INDEX(CA$8:CA$73,CC20)))</f>
        <v>3.38</v>
      </c>
      <c r="CK20" s="277" t="b">
        <f ca="1" t="shared" ref="CK20:CK68" si="151">IF($B$4,IF(CJ20="","",IF(CJ20&gt;0,"p",IF(CJ20&lt;0,"q",""))))</f>
        <v>0</v>
      </c>
      <c r="CL20" s="277">
        <f ca="1" t="shared" ref="CL20:CL68" si="152">IF(CC20="","",IF(ISNA(INDEX(CB$8:CB$73,CC20)),"",INDEX(CB$8:CB$73,CC20)))</f>
        <v>1</v>
      </c>
      <c r="CM20" s="277" t="b">
        <f ca="1" t="shared" ref="CM20:CM68" si="153">IF($B$4,IF(CL20="","",IF(CL20&gt;0,"p",IF(CL20&lt;0,"q",""))))</f>
        <v>0</v>
      </c>
      <c r="CN20" s="294" t="str">
        <f ca="1" t="shared" ref="CN20:CN68" si="154">IF(CC20="","",IF(ISNA(INDEX(CA$8:CA$73,CC20))," *",""))</f>
        <v/>
      </c>
    </row>
    <row r="21" spans="1:92">
      <c r="A21" s="1">
        <f>tblTerritories!A16</f>
        <v>14</v>
      </c>
      <c r="B21" s="1">
        <f>IF(tblTerritories!F16="",0,tblTerritories!F16)</f>
        <v>1</v>
      </c>
      <c r="C21" s="1" t="str">
        <f>tblTerritories!C16</f>
        <v>Dallas</v>
      </c>
      <c r="D21" s="1">
        <f>tblTerritories!D16</f>
        <v>1</v>
      </c>
      <c r="E21" s="1">
        <f>tblTerritories!K16</f>
        <v>0</v>
      </c>
      <c r="F21" s="1">
        <f>IF($A21="","",VLOOKUP(C21,tblTerritories!$J$3:$P$100,7,FALSE)+10)</f>
        <v>14</v>
      </c>
      <c r="H21" s="1">
        <f t="shared" si="0"/>
        <v>78.73</v>
      </c>
      <c r="I21" s="1">
        <f>IF($B21=0,"",RANK(H21,H$8:H$73,0)+COUNTIF(H$8:H21,H21)-1)</f>
        <v>26</v>
      </c>
      <c r="J21" s="1">
        <f ca="1" t="shared" si="80"/>
        <v>26</v>
      </c>
      <c r="K21" s="273" t="e">
        <f ca="1" t="shared" si="81"/>
        <v>#N/A</v>
      </c>
      <c r="L21" s="275" t="e">
        <f ca="1" t="shared" si="82"/>
        <v>#N/A</v>
      </c>
      <c r="M21" s="1">
        <f t="shared" si="83"/>
        <v>48</v>
      </c>
      <c r="N21" s="269">
        <f t="shared" si="84"/>
        <v>14</v>
      </c>
      <c r="O21" s="269">
        <f t="shared" si="85"/>
        <v>1</v>
      </c>
      <c r="P21" s="269">
        <f t="shared" si="86"/>
        <v>1</v>
      </c>
      <c r="Q21" s="268">
        <f t="shared" si="87"/>
        <v>14</v>
      </c>
      <c r="R21" s="1" t="str">
        <f t="shared" si="88"/>
        <v>Seoul</v>
      </c>
      <c r="S21" s="277">
        <f t="shared" si="89"/>
        <v>83.61</v>
      </c>
      <c r="T21" s="277">
        <f ca="1" t="shared" si="90"/>
        <v>9.7</v>
      </c>
      <c r="U21" s="277" t="b">
        <f ca="1" t="shared" si="91"/>
        <v>0</v>
      </c>
      <c r="V21" s="277">
        <f ca="1" t="shared" si="92"/>
        <v>6</v>
      </c>
      <c r="W21" s="277" t="b">
        <f ca="1" t="shared" si="93"/>
        <v>0</v>
      </c>
      <c r="X21" s="294" t="str">
        <f ca="1" t="shared" si="94"/>
        <v/>
      </c>
      <c r="Y21" s="1">
        <f t="shared" si="1"/>
        <v>84.65</v>
      </c>
      <c r="Z21" s="1">
        <f>IF($B21=0,"",RANK(Y21,Y$8:Y$73,0)+COUNTIF(Y$8:Y21,Y21)-1)</f>
        <v>10</v>
      </c>
      <c r="AA21" s="1">
        <f ca="1" t="shared" si="95"/>
        <v>10</v>
      </c>
      <c r="AB21" s="273" t="e">
        <f ca="1" t="shared" si="96"/>
        <v>#N/A</v>
      </c>
      <c r="AC21" s="275" t="e">
        <f ca="1" t="shared" si="97"/>
        <v>#N/A</v>
      </c>
      <c r="AD21" s="1">
        <f t="shared" si="98"/>
        <v>39</v>
      </c>
      <c r="AE21" s="269">
        <f t="shared" si="99"/>
        <v>14</v>
      </c>
      <c r="AF21" s="269">
        <f t="shared" si="100"/>
        <v>1</v>
      </c>
      <c r="AG21" s="269">
        <f t="shared" si="101"/>
        <v>1</v>
      </c>
      <c r="AH21" s="268">
        <f t="shared" si="102"/>
        <v>14</v>
      </c>
      <c r="AI21" s="1" t="str">
        <f t="shared" si="103"/>
        <v>Osaka</v>
      </c>
      <c r="AJ21" s="277">
        <f t="shared" si="104"/>
        <v>82.11</v>
      </c>
      <c r="AK21" s="277">
        <f ca="1" t="shared" si="105"/>
        <v>8.61</v>
      </c>
      <c r="AL21" s="277" t="b">
        <f ca="1" t="shared" si="106"/>
        <v>0</v>
      </c>
      <c r="AM21" s="277">
        <f ca="1" t="shared" si="107"/>
        <v>-6</v>
      </c>
      <c r="AN21" s="277" t="b">
        <f ca="1" t="shared" si="108"/>
        <v>0</v>
      </c>
      <c r="AO21" s="294" t="str">
        <f ca="1" t="shared" si="109"/>
        <v/>
      </c>
      <c r="AP21" s="1">
        <f t="shared" si="2"/>
        <v>70.27</v>
      </c>
      <c r="AQ21" s="1">
        <f>IF($B21=0,"",RANK(AP21,AP$8:AP$73,0)+COUNTIF(AP$8:AP21,AP21)-1)</f>
        <v>29</v>
      </c>
      <c r="AR21" s="1">
        <f ca="1" t="shared" si="110"/>
        <v>29</v>
      </c>
      <c r="AS21" s="273" t="e">
        <f ca="1" t="shared" si="111"/>
        <v>#N/A</v>
      </c>
      <c r="AT21" s="275" t="e">
        <f ca="1" t="shared" si="112"/>
        <v>#N/A</v>
      </c>
      <c r="AU21" s="1">
        <f t="shared" si="113"/>
        <v>53</v>
      </c>
      <c r="AV21" s="269">
        <f t="shared" si="114"/>
        <v>14</v>
      </c>
      <c r="AW21" s="269">
        <f t="shared" si="115"/>
        <v>1</v>
      </c>
      <c r="AX21" s="269">
        <f t="shared" si="116"/>
        <v>1</v>
      </c>
      <c r="AY21" s="268">
        <f t="shared" si="117"/>
        <v>14</v>
      </c>
      <c r="AZ21" s="1" t="str">
        <f t="shared" si="118"/>
        <v>Taipei</v>
      </c>
      <c r="BA21" s="277">
        <f t="shared" si="119"/>
        <v>79.23</v>
      </c>
      <c r="BB21" s="277">
        <f ca="1" t="shared" si="120"/>
        <v>0.48</v>
      </c>
      <c r="BC21" s="277" t="b">
        <f ca="1" t="shared" si="121"/>
        <v>0</v>
      </c>
      <c r="BD21" s="277">
        <f ca="1" t="shared" si="122"/>
        <v>-9</v>
      </c>
      <c r="BE21" s="277" t="b">
        <f ca="1" t="shared" si="123"/>
        <v>0</v>
      </c>
      <c r="BF21" s="294" t="str">
        <f ca="1" t="shared" si="124"/>
        <v/>
      </c>
      <c r="BG21" s="1">
        <f t="shared" si="3"/>
        <v>79.23</v>
      </c>
      <c r="BH21" s="1">
        <f>IF($B21=0,"",RANK(BG21,BG$8:BG$73,0)+COUNTIF(BG$8:BG21,BG21)-1)</f>
        <v>34</v>
      </c>
      <c r="BI21" s="1">
        <f ca="1" t="shared" si="125"/>
        <v>34</v>
      </c>
      <c r="BJ21" s="273" t="e">
        <f ca="1" t="shared" si="126"/>
        <v>#N/A</v>
      </c>
      <c r="BK21" s="275" t="e">
        <f ca="1" t="shared" si="127"/>
        <v>#N/A</v>
      </c>
      <c r="BL21" s="1">
        <f t="shared" si="128"/>
        <v>56</v>
      </c>
      <c r="BM21" s="269">
        <f t="shared" si="129"/>
        <v>14</v>
      </c>
      <c r="BN21" s="269">
        <f t="shared" si="130"/>
        <v>1</v>
      </c>
      <c r="BO21" s="269">
        <f t="shared" si="131"/>
        <v>1</v>
      </c>
      <c r="BP21" s="268">
        <f t="shared" si="132"/>
        <v>14</v>
      </c>
      <c r="BQ21" s="1" t="str">
        <f t="shared" si="133"/>
        <v>Toronto</v>
      </c>
      <c r="BR21" s="277">
        <f t="shared" si="134"/>
        <v>92.75</v>
      </c>
      <c r="BS21" s="277">
        <f ca="1" t="shared" si="135"/>
        <v>3.68</v>
      </c>
      <c r="BT21" s="277" t="b">
        <f ca="1" t="shared" si="136"/>
        <v>0</v>
      </c>
      <c r="BU21" s="277">
        <f ca="1" t="shared" si="137"/>
        <v>-7</v>
      </c>
      <c r="BV21" s="277" t="b">
        <f ca="1" t="shared" si="138"/>
        <v>0</v>
      </c>
      <c r="BW21" s="294" t="str">
        <f ca="1" t="shared" si="139"/>
        <v/>
      </c>
      <c r="BX21" s="1">
        <f t="shared" si="4"/>
        <v>80.76</v>
      </c>
      <c r="BY21" s="1">
        <f>IF($B21=0,"",RANK(BX21,BX$8:BX$73,0)+COUNTIF(BX$8:BX21,BX21)-1)</f>
        <v>27</v>
      </c>
      <c r="BZ21" s="1">
        <f ca="1" t="shared" si="140"/>
        <v>26</v>
      </c>
      <c r="CA21" s="273" t="e">
        <f ca="1" t="shared" si="141"/>
        <v>#N/A</v>
      </c>
      <c r="CB21" s="275" t="e">
        <f ca="1" t="shared" si="142"/>
        <v>#N/A</v>
      </c>
      <c r="CC21" s="1">
        <f t="shared" si="143"/>
        <v>31</v>
      </c>
      <c r="CD21" s="269">
        <f t="shared" si="144"/>
        <v>14</v>
      </c>
      <c r="CE21" s="269">
        <f t="shared" si="145"/>
        <v>1</v>
      </c>
      <c r="CF21" s="269">
        <f t="shared" si="146"/>
        <v>1</v>
      </c>
      <c r="CG21" s="268">
        <f t="shared" si="147"/>
        <v>14</v>
      </c>
      <c r="CH21" s="1" t="str">
        <f t="shared" si="148"/>
        <v>Madrid</v>
      </c>
      <c r="CI21" s="277">
        <f t="shared" si="149"/>
        <v>85.61</v>
      </c>
      <c r="CJ21" s="277">
        <f ca="1" t="shared" si="150"/>
        <v>18.37</v>
      </c>
      <c r="CK21" s="277" t="b">
        <f ca="1" t="shared" si="151"/>
        <v>0</v>
      </c>
      <c r="CL21" s="277">
        <f ca="1" t="shared" si="152"/>
        <v>16</v>
      </c>
      <c r="CM21" s="277" t="b">
        <f ca="1" t="shared" si="153"/>
        <v>0</v>
      </c>
      <c r="CN21" s="294" t="str">
        <f ca="1" t="shared" si="154"/>
        <v/>
      </c>
    </row>
    <row r="22" spans="1:92">
      <c r="A22" s="1">
        <f>tblTerritories!A17</f>
        <v>15</v>
      </c>
      <c r="B22" s="1">
        <f>IF(tblTerritories!F17="",0,tblTerritories!F17)</f>
        <v>1</v>
      </c>
      <c r="C22" s="1" t="str">
        <f>tblTerritories!C17</f>
        <v>Delhi</v>
      </c>
      <c r="D22" s="1">
        <f>tblTerritories!D17</f>
        <v>1</v>
      </c>
      <c r="E22" s="1">
        <f>tblTerritories!K17</f>
        <v>0</v>
      </c>
      <c r="F22" s="1">
        <f>IF($A22="","",VLOOKUP(C22,tblTerritories!$J$3:$P$100,7,FALSE)+10)</f>
        <v>18</v>
      </c>
      <c r="H22" s="1">
        <f t="shared" si="0"/>
        <v>62.34</v>
      </c>
      <c r="I22" s="1">
        <f>IF($B22=0,"",RANK(H22,H$8:H$73,0)+COUNTIF(H$8:H22,H22)-1)</f>
        <v>43</v>
      </c>
      <c r="J22" s="1">
        <f ca="1" t="shared" si="80"/>
        <v>43</v>
      </c>
      <c r="K22" s="273">
        <f ca="1" t="shared" si="81"/>
        <v>0.91</v>
      </c>
      <c r="L22" s="275">
        <f ca="1" t="shared" si="82"/>
        <v>-6</v>
      </c>
      <c r="M22" s="1">
        <f t="shared" si="83"/>
        <v>45</v>
      </c>
      <c r="N22" s="269">
        <f t="shared" si="84"/>
        <v>15</v>
      </c>
      <c r="O22" s="269">
        <f t="shared" si="85"/>
        <v>1</v>
      </c>
      <c r="P22" s="269">
        <f t="shared" si="86"/>
        <v>1</v>
      </c>
      <c r="Q22" s="268">
        <f t="shared" si="87"/>
        <v>15</v>
      </c>
      <c r="R22" s="1" t="str">
        <f t="shared" si="88"/>
        <v>San Francisco</v>
      </c>
      <c r="S22" s="277">
        <f t="shared" si="89"/>
        <v>83.55</v>
      </c>
      <c r="T22" s="277">
        <f ca="1" t="shared" si="90"/>
        <v>4.23</v>
      </c>
      <c r="U22" s="277" t="b">
        <f ca="1" t="shared" si="91"/>
        <v>0</v>
      </c>
      <c r="V22" s="277">
        <f ca="1" t="shared" si="92"/>
        <v>-4</v>
      </c>
      <c r="W22" s="277" t="b">
        <f ca="1" t="shared" si="93"/>
        <v>0</v>
      </c>
      <c r="X22" s="294" t="str">
        <f ca="1" t="shared" si="94"/>
        <v/>
      </c>
      <c r="Y22" s="1">
        <f t="shared" si="1"/>
        <v>54.61</v>
      </c>
      <c r="Z22" s="1">
        <f>IF($B22=0,"",RANK(Y22,Y$8:Y$73,0)+COUNTIF(Y$8:Y22,Y22)-1)</f>
        <v>46</v>
      </c>
      <c r="AA22" s="1">
        <f ca="1" t="shared" si="95"/>
        <v>46</v>
      </c>
      <c r="AB22" s="273">
        <f ca="1" t="shared" si="96"/>
        <v>-5.22</v>
      </c>
      <c r="AC22" s="275">
        <f ca="1" t="shared" si="97"/>
        <v>-16</v>
      </c>
      <c r="AD22" s="1">
        <f t="shared" si="98"/>
        <v>57</v>
      </c>
      <c r="AE22" s="269">
        <f t="shared" si="99"/>
        <v>15</v>
      </c>
      <c r="AF22" s="269">
        <f t="shared" si="100"/>
        <v>1</v>
      </c>
      <c r="AG22" s="269">
        <f t="shared" si="101"/>
        <v>1</v>
      </c>
      <c r="AH22" s="268">
        <f t="shared" si="102"/>
        <v>15</v>
      </c>
      <c r="AI22" s="1" t="str">
        <f t="shared" si="103"/>
        <v>Washington DC</v>
      </c>
      <c r="AJ22" s="277">
        <f t="shared" si="104"/>
        <v>80.88</v>
      </c>
      <c r="AK22" s="277">
        <f ca="1" t="shared" si="105"/>
        <v>14.39</v>
      </c>
      <c r="AL22" s="277" t="b">
        <f ca="1" t="shared" si="106"/>
        <v>0</v>
      </c>
      <c r="AM22" s="277">
        <f ca="1" t="shared" si="107"/>
        <v>5</v>
      </c>
      <c r="AN22" s="277" t="b">
        <f ca="1" t="shared" si="108"/>
        <v>0</v>
      </c>
      <c r="AO22" s="294" t="str">
        <f ca="1" t="shared" si="109"/>
        <v/>
      </c>
      <c r="AP22" s="1">
        <f t="shared" si="2"/>
        <v>59.65</v>
      </c>
      <c r="AQ22" s="1">
        <f>IF($B22=0,"",RANK(AP22,AP$8:AP$73,0)+COUNTIF(AP$8:AP22,AP22)-1)</f>
        <v>50</v>
      </c>
      <c r="AR22" s="1">
        <f ca="1" t="shared" si="110"/>
        <v>50</v>
      </c>
      <c r="AS22" s="273">
        <f ca="1" t="shared" si="111"/>
        <v>0.76</v>
      </c>
      <c r="AT22" s="275">
        <f ca="1" t="shared" si="112"/>
        <v>-13</v>
      </c>
      <c r="AU22" s="1">
        <f t="shared" si="113"/>
        <v>31</v>
      </c>
      <c r="AV22" s="269">
        <f t="shared" si="114"/>
        <v>15</v>
      </c>
      <c r="AW22" s="269">
        <f t="shared" si="115"/>
        <v>1</v>
      </c>
      <c r="AX22" s="269">
        <f t="shared" si="116"/>
        <v>1</v>
      </c>
      <c r="AY22" s="268">
        <f t="shared" si="117"/>
        <v>15</v>
      </c>
      <c r="AZ22" s="1" t="str">
        <f t="shared" si="118"/>
        <v>Madrid</v>
      </c>
      <c r="BA22" s="277">
        <f t="shared" si="119"/>
        <v>78.69</v>
      </c>
      <c r="BB22" s="277">
        <f ca="1" t="shared" si="120"/>
        <v>1.71</v>
      </c>
      <c r="BC22" s="277" t="b">
        <f ca="1" t="shared" si="121"/>
        <v>0</v>
      </c>
      <c r="BD22" s="277">
        <f ca="1" t="shared" si="122"/>
        <v>-4</v>
      </c>
      <c r="BE22" s="277" t="b">
        <f ca="1" t="shared" si="123"/>
        <v>0</v>
      </c>
      <c r="BF22" s="294" t="str">
        <f ca="1" t="shared" si="124"/>
        <v/>
      </c>
      <c r="BG22" s="1">
        <f t="shared" si="3"/>
        <v>58.49</v>
      </c>
      <c r="BH22" s="1">
        <f>IF($B22=0,"",RANK(BG22,BG$8:BG$73,0)+COUNTIF(BG$8:BG22,BG22)-1)</f>
        <v>52</v>
      </c>
      <c r="BI22" s="1">
        <f ca="1" t="shared" si="125"/>
        <v>52</v>
      </c>
      <c r="BJ22" s="273">
        <f ca="1" t="shared" si="126"/>
        <v>-0.2</v>
      </c>
      <c r="BK22" s="275">
        <f ca="1" t="shared" si="127"/>
        <v>-10</v>
      </c>
      <c r="BL22" s="1">
        <f t="shared" si="128"/>
        <v>44</v>
      </c>
      <c r="BM22" s="269">
        <f t="shared" si="129"/>
        <v>15</v>
      </c>
      <c r="BN22" s="269">
        <f t="shared" si="130"/>
        <v>1</v>
      </c>
      <c r="BO22" s="269">
        <f t="shared" si="131"/>
        <v>1</v>
      </c>
      <c r="BP22" s="268">
        <f t="shared" si="132"/>
        <v>15</v>
      </c>
      <c r="BQ22" s="1" t="str">
        <f t="shared" si="133"/>
        <v>Rome</v>
      </c>
      <c r="BR22" s="277">
        <f t="shared" si="134"/>
        <v>92.31</v>
      </c>
      <c r="BS22" s="277">
        <f ca="1" t="shared" si="135"/>
        <v>6.76</v>
      </c>
      <c r="BT22" s="277" t="b">
        <f ca="1" t="shared" si="136"/>
        <v>0</v>
      </c>
      <c r="BU22" s="277">
        <f ca="1" t="shared" si="137"/>
        <v>2</v>
      </c>
      <c r="BV22" s="277" t="b">
        <f ca="1" t="shared" si="138"/>
        <v>0</v>
      </c>
      <c r="BW22" s="294" t="str">
        <f ca="1" t="shared" si="139"/>
        <v/>
      </c>
      <c r="BX22" s="1">
        <f t="shared" si="4"/>
        <v>76.61</v>
      </c>
      <c r="BY22" s="1">
        <f>IF($B22=0,"",RANK(BX22,BX$8:BX$73,0)+COUNTIF(BX$8:BX22,BX22)-1)</f>
        <v>33</v>
      </c>
      <c r="BZ22" s="1">
        <f ca="1" t="shared" si="140"/>
        <v>33</v>
      </c>
      <c r="CA22" s="273">
        <f ca="1" t="shared" si="141"/>
        <v>8.3</v>
      </c>
      <c r="CB22" s="275">
        <f ca="1" t="shared" si="142"/>
        <v>-5</v>
      </c>
      <c r="CC22" s="1">
        <f t="shared" si="143"/>
        <v>29</v>
      </c>
      <c r="CD22" s="269">
        <f t="shared" si="144"/>
        <v>15</v>
      </c>
      <c r="CE22" s="269">
        <f t="shared" si="145"/>
        <v>1</v>
      </c>
      <c r="CF22" s="269">
        <f t="shared" si="146"/>
        <v>1</v>
      </c>
      <c r="CG22" s="268">
        <f t="shared" si="147"/>
        <v>15</v>
      </c>
      <c r="CH22" s="1" t="str">
        <f t="shared" si="148"/>
        <v>London</v>
      </c>
      <c r="CI22" s="277">
        <f t="shared" si="149"/>
        <v>85.52</v>
      </c>
      <c r="CJ22" s="277">
        <f ca="1" t="shared" si="150"/>
        <v>5.22</v>
      </c>
      <c r="CK22" s="277" t="b">
        <f ca="1" t="shared" si="151"/>
        <v>0</v>
      </c>
      <c r="CL22" s="277">
        <f ca="1" t="shared" si="152"/>
        <v>4</v>
      </c>
      <c r="CM22" s="277" t="b">
        <f ca="1" t="shared" si="153"/>
        <v>0</v>
      </c>
      <c r="CN22" s="294" t="str">
        <f ca="1" t="shared" si="154"/>
        <v/>
      </c>
    </row>
    <row r="23" spans="1:92">
      <c r="A23" s="1">
        <f>tblTerritories!A18</f>
        <v>16</v>
      </c>
      <c r="B23" s="1">
        <f>IF(tblTerritories!F18="",0,tblTerritories!F18)</f>
        <v>1</v>
      </c>
      <c r="C23" s="1" t="str">
        <f>tblTerritories!C18</f>
        <v>Dhaka</v>
      </c>
      <c r="D23" s="1">
        <f>tblTerritories!D18</f>
        <v>1</v>
      </c>
      <c r="E23" s="1">
        <f>tblTerritories!K18</f>
        <v>0</v>
      </c>
      <c r="F23" s="1">
        <f>IF($A23="","",VLOOKUP(C23,tblTerritories!$J$3:$P$100,7,FALSE)+10)</f>
        <v>18</v>
      </c>
      <c r="H23" s="1">
        <f t="shared" si="0"/>
        <v>47.37</v>
      </c>
      <c r="I23" s="1">
        <f>IF($B23=0,"",RANK(H23,H$8:H$73,0)+COUNTIF(H$8:H23,H23)-1)</f>
        <v>58</v>
      </c>
      <c r="J23" s="1">
        <f ca="1" t="shared" si="80"/>
        <v>58</v>
      </c>
      <c r="K23" s="273" t="e">
        <f ca="1" t="shared" si="81"/>
        <v>#N/A</v>
      </c>
      <c r="L23" s="275" t="e">
        <f ca="1" t="shared" si="82"/>
        <v>#N/A</v>
      </c>
      <c r="M23" s="1">
        <f t="shared" si="83"/>
        <v>58</v>
      </c>
      <c r="N23" s="269">
        <f t="shared" si="84"/>
        <v>16</v>
      </c>
      <c r="O23" s="269">
        <f t="shared" si="85"/>
        <v>1</v>
      </c>
      <c r="P23" s="269">
        <f t="shared" si="86"/>
        <v>1</v>
      </c>
      <c r="Q23" s="268">
        <f t="shared" si="87"/>
        <v>16</v>
      </c>
      <c r="R23" s="1" t="str">
        <f t="shared" si="88"/>
        <v>Wellington</v>
      </c>
      <c r="S23" s="277">
        <f t="shared" si="89"/>
        <v>83.18</v>
      </c>
      <c r="T23" s="277" t="str">
        <f ca="1" t="shared" si="90"/>
        <v/>
      </c>
      <c r="U23" s="277" t="b">
        <f ca="1" t="shared" si="91"/>
        <v>0</v>
      </c>
      <c r="V23" s="277" t="str">
        <f ca="1" t="shared" si="92"/>
        <v/>
      </c>
      <c r="W23" s="277" t="b">
        <f ca="1" t="shared" si="93"/>
        <v>0</v>
      </c>
      <c r="X23" s="294" t="str">
        <f ca="1" t="shared" si="94"/>
        <v> *</v>
      </c>
      <c r="Y23" s="1">
        <f t="shared" si="1"/>
        <v>38.33</v>
      </c>
      <c r="Z23" s="1">
        <f>IF($B23=0,"",RANK(Y23,Y$8:Y$73,0)+COUNTIF(Y$8:Y23,Y23)-1)</f>
        <v>58</v>
      </c>
      <c r="AA23" s="1">
        <f ca="1" t="shared" si="95"/>
        <v>58</v>
      </c>
      <c r="AB23" s="273" t="e">
        <f ca="1" t="shared" si="96"/>
        <v>#N/A</v>
      </c>
      <c r="AC23" s="275" t="e">
        <f ca="1" t="shared" si="97"/>
        <v>#N/A</v>
      </c>
      <c r="AD23" s="1">
        <f t="shared" si="98"/>
        <v>18</v>
      </c>
      <c r="AE23" s="269">
        <f t="shared" si="99"/>
        <v>16</v>
      </c>
      <c r="AF23" s="269">
        <f t="shared" si="100"/>
        <v>1</v>
      </c>
      <c r="AG23" s="269">
        <f t="shared" si="101"/>
        <v>1</v>
      </c>
      <c r="AH23" s="268">
        <f t="shared" si="102"/>
        <v>16</v>
      </c>
      <c r="AI23" s="1" t="str">
        <f t="shared" si="103"/>
        <v>Frankfurt</v>
      </c>
      <c r="AJ23" s="277">
        <f t="shared" si="104"/>
        <v>80.5</v>
      </c>
      <c r="AK23" s="277">
        <f ca="1" t="shared" si="105"/>
        <v>17.55</v>
      </c>
      <c r="AL23" s="277" t="b">
        <f ca="1" t="shared" si="106"/>
        <v>0</v>
      </c>
      <c r="AM23" s="277">
        <f ca="1" t="shared" si="107"/>
        <v>7</v>
      </c>
      <c r="AN23" s="277" t="b">
        <f ca="1" t="shared" si="108"/>
        <v>0</v>
      </c>
      <c r="AO23" s="294" t="str">
        <f ca="1" t="shared" si="109"/>
        <v/>
      </c>
      <c r="AP23" s="1">
        <f t="shared" si="2"/>
        <v>45.59</v>
      </c>
      <c r="AQ23" s="1">
        <f>IF($B23=0,"",RANK(AP23,AP$8:AP$73,0)+COUNTIF(AP$8:AP23,AP23)-1)</f>
        <v>59</v>
      </c>
      <c r="AR23" s="1">
        <f ca="1" t="shared" si="110"/>
        <v>59</v>
      </c>
      <c r="AS23" s="273" t="e">
        <f ca="1" t="shared" si="111"/>
        <v>#N/A</v>
      </c>
      <c r="AT23" s="275" t="e">
        <f ca="1" t="shared" si="112"/>
        <v>#N/A</v>
      </c>
      <c r="AU23" s="1">
        <f t="shared" si="113"/>
        <v>5</v>
      </c>
      <c r="AV23" s="269">
        <f t="shared" si="114"/>
        <v>16</v>
      </c>
      <c r="AW23" s="269">
        <f t="shared" si="115"/>
        <v>1</v>
      </c>
      <c r="AX23" s="269">
        <f t="shared" si="116"/>
        <v>1</v>
      </c>
      <c r="AY23" s="268">
        <f t="shared" si="117"/>
        <v>16</v>
      </c>
      <c r="AZ23" s="1" t="str">
        <f t="shared" si="118"/>
        <v>Barcelona</v>
      </c>
      <c r="BA23" s="277">
        <f t="shared" si="119"/>
        <v>78.54</v>
      </c>
      <c r="BB23" s="277">
        <f ca="1" t="shared" si="120"/>
        <v>1.04</v>
      </c>
      <c r="BC23" s="277" t="b">
        <f ca="1" t="shared" si="121"/>
        <v>0</v>
      </c>
      <c r="BD23" s="277">
        <f ca="1" t="shared" si="122"/>
        <v>-6</v>
      </c>
      <c r="BE23" s="277" t="b">
        <f ca="1" t="shared" si="123"/>
        <v>0</v>
      </c>
      <c r="BF23" s="294" t="str">
        <f ca="1" t="shared" si="124"/>
        <v/>
      </c>
      <c r="BG23" s="1">
        <f t="shared" si="3"/>
        <v>38.42</v>
      </c>
      <c r="BH23" s="1">
        <f>IF($B23=0,"",RANK(BG23,BG$8:BG$73,0)+COUNTIF(BG$8:BG23,BG23)-1)</f>
        <v>60</v>
      </c>
      <c r="BI23" s="1">
        <f ca="1" t="shared" si="125"/>
        <v>60</v>
      </c>
      <c r="BJ23" s="273" t="e">
        <f ca="1" t="shared" si="126"/>
        <v>#N/A</v>
      </c>
      <c r="BK23" s="275" t="e">
        <f ca="1" t="shared" si="127"/>
        <v>#N/A</v>
      </c>
      <c r="BL23" s="1">
        <f t="shared" si="128"/>
        <v>1</v>
      </c>
      <c r="BM23" s="269">
        <f t="shared" si="129"/>
        <v>16</v>
      </c>
      <c r="BN23" s="269">
        <f t="shared" si="130"/>
        <v>1</v>
      </c>
      <c r="BO23" s="269">
        <f t="shared" si="131"/>
        <v>1</v>
      </c>
      <c r="BP23" s="268">
        <f t="shared" si="132"/>
        <v>16</v>
      </c>
      <c r="BQ23" s="1" t="str">
        <f t="shared" si="133"/>
        <v>Abu Dhabi</v>
      </c>
      <c r="BR23" s="277">
        <f t="shared" si="134"/>
        <v>91.36</v>
      </c>
      <c r="BS23" s="277">
        <f ca="1" t="shared" si="135"/>
        <v>3.77</v>
      </c>
      <c r="BT23" s="277" t="b">
        <f ca="1" t="shared" si="136"/>
        <v>0</v>
      </c>
      <c r="BU23" s="277">
        <f ca="1" t="shared" si="137"/>
        <v>-5</v>
      </c>
      <c r="BV23" s="277" t="b">
        <f ca="1" t="shared" si="138"/>
        <v>0</v>
      </c>
      <c r="BW23" s="294" t="str">
        <f ca="1" t="shared" si="139"/>
        <v/>
      </c>
      <c r="BX23" s="1">
        <f t="shared" si="4"/>
        <v>67.15</v>
      </c>
      <c r="BY23" s="1">
        <f>IF($B23=0,"",RANK(BX23,BX$8:BX$73,0)+COUNTIF(BX$8:BX23,BX23)-1)</f>
        <v>43</v>
      </c>
      <c r="BZ23" s="1">
        <f ca="1" t="shared" si="140"/>
        <v>43</v>
      </c>
      <c r="CA23" s="273" t="e">
        <f ca="1" t="shared" si="141"/>
        <v>#N/A</v>
      </c>
      <c r="CB23" s="275" t="e">
        <f ca="1" t="shared" si="142"/>
        <v>#N/A</v>
      </c>
      <c r="CC23" s="1">
        <f t="shared" si="143"/>
        <v>48</v>
      </c>
      <c r="CD23" s="269">
        <f t="shared" si="144"/>
        <v>16</v>
      </c>
      <c r="CE23" s="269">
        <f t="shared" si="145"/>
        <v>1</v>
      </c>
      <c r="CF23" s="269">
        <f t="shared" si="146"/>
        <v>1</v>
      </c>
      <c r="CG23" s="268">
        <f t="shared" si="147"/>
        <v>16</v>
      </c>
      <c r="CH23" s="1" t="str">
        <f t="shared" si="148"/>
        <v>Seoul</v>
      </c>
      <c r="CI23" s="277">
        <f t="shared" si="149"/>
        <v>85.34</v>
      </c>
      <c r="CJ23" s="277">
        <f ca="1" t="shared" si="150"/>
        <v>9.27</v>
      </c>
      <c r="CK23" s="277" t="b">
        <f ca="1" t="shared" si="151"/>
        <v>0</v>
      </c>
      <c r="CL23" s="277">
        <f ca="1" t="shared" si="152"/>
        <v>6</v>
      </c>
      <c r="CM23" s="277" t="b">
        <f ca="1" t="shared" si="153"/>
        <v>0</v>
      </c>
      <c r="CN23" s="294" t="str">
        <f ca="1" t="shared" si="154"/>
        <v/>
      </c>
    </row>
    <row r="24" spans="1:92">
      <c r="A24" s="1">
        <f>tblTerritories!A19</f>
        <v>17</v>
      </c>
      <c r="B24" s="1">
        <f>IF(tblTerritories!F19="",0,tblTerritories!F19)</f>
        <v>1</v>
      </c>
      <c r="C24" s="1" t="str">
        <f>tblTerritories!C19</f>
        <v>Doha</v>
      </c>
      <c r="D24" s="1">
        <f>tblTerritories!D19</f>
        <v>1</v>
      </c>
      <c r="E24" s="1">
        <f>tblTerritories!K19</f>
        <v>0</v>
      </c>
      <c r="F24" s="1">
        <f>IF($A24="","",VLOOKUP(C24,tblTerritories!$J$3:$P$100,7,FALSE)+10)</f>
        <v>13</v>
      </c>
      <c r="H24" s="1">
        <f t="shared" si="0"/>
        <v>73.59</v>
      </c>
      <c r="I24" s="1">
        <f>IF($B24=0,"",RANK(H24,H$8:H$73,0)+COUNTIF(H$8:H24,H24)-1)</f>
        <v>30</v>
      </c>
      <c r="J24" s="1">
        <f ca="1" t="shared" si="80"/>
        <v>30</v>
      </c>
      <c r="K24" s="273">
        <f ca="1" t="shared" si="81"/>
        <v>4.78</v>
      </c>
      <c r="L24" s="275">
        <f ca="1" t="shared" si="82"/>
        <v>-2</v>
      </c>
      <c r="M24" s="1">
        <f t="shared" si="83"/>
        <v>8</v>
      </c>
      <c r="N24" s="269">
        <f t="shared" si="84"/>
        <v>17</v>
      </c>
      <c r="O24" s="269">
        <f t="shared" si="85"/>
        <v>1</v>
      </c>
      <c r="P24" s="269">
        <f t="shared" si="86"/>
        <v>1</v>
      </c>
      <c r="Q24" s="268">
        <f t="shared" si="87"/>
        <v>17</v>
      </c>
      <c r="R24" s="1" t="str">
        <f t="shared" si="88"/>
        <v>Brussels</v>
      </c>
      <c r="S24" s="277">
        <f t="shared" si="89"/>
        <v>83.01</v>
      </c>
      <c r="T24" s="277">
        <f ca="1" t="shared" si="90"/>
        <v>6.83</v>
      </c>
      <c r="U24" s="277" t="b">
        <f ca="1" t="shared" si="91"/>
        <v>0</v>
      </c>
      <c r="V24" s="277">
        <f ca="1" t="shared" si="92"/>
        <v>2</v>
      </c>
      <c r="W24" s="277" t="b">
        <f ca="1" t="shared" si="93"/>
        <v>0</v>
      </c>
      <c r="X24" s="294" t="str">
        <f ca="1" t="shared" si="94"/>
        <v/>
      </c>
      <c r="Y24" s="1">
        <f t="shared" si="1"/>
        <v>64.02</v>
      </c>
      <c r="Z24" s="1">
        <f>IF($B24=0,"",RANK(Y24,Y$8:Y$73,0)+COUNTIF(Y$8:Y24,Y24)-1)</f>
        <v>34</v>
      </c>
      <c r="AA24" s="1">
        <f ca="1" t="shared" si="95"/>
        <v>34</v>
      </c>
      <c r="AB24" s="273">
        <f ca="1" t="shared" si="96"/>
        <v>4.29</v>
      </c>
      <c r="AC24" s="275">
        <f ca="1" t="shared" si="97"/>
        <v>-3</v>
      </c>
      <c r="AD24" s="1">
        <f t="shared" si="98"/>
        <v>8</v>
      </c>
      <c r="AE24" s="269">
        <f t="shared" si="99"/>
        <v>17</v>
      </c>
      <c r="AF24" s="269">
        <f t="shared" si="100"/>
        <v>1</v>
      </c>
      <c r="AG24" s="269">
        <f t="shared" si="101"/>
        <v>1</v>
      </c>
      <c r="AH24" s="268">
        <f t="shared" si="102"/>
        <v>17</v>
      </c>
      <c r="AI24" s="1" t="str">
        <f t="shared" si="103"/>
        <v>Brussels</v>
      </c>
      <c r="AJ24" s="277">
        <f t="shared" si="104"/>
        <v>79.96</v>
      </c>
      <c r="AK24" s="277">
        <f ca="1" t="shared" si="105"/>
        <v>5.36</v>
      </c>
      <c r="AL24" s="277" t="b">
        <f ca="1" t="shared" si="106"/>
        <v>0</v>
      </c>
      <c r="AM24" s="277">
        <f ca="1" t="shared" si="107"/>
        <v>-10</v>
      </c>
      <c r="AN24" s="277" t="b">
        <f ca="1" t="shared" si="108"/>
        <v>0</v>
      </c>
      <c r="AO24" s="294" t="str">
        <f ca="1" t="shared" si="109"/>
        <v/>
      </c>
      <c r="AP24" s="1">
        <f t="shared" si="2"/>
        <v>62.6</v>
      </c>
      <c r="AQ24" s="1">
        <f>IF($B24=0,"",RANK(AP24,AP$8:AP$73,0)+COUNTIF(AP$8:AP24,AP24)-1)</f>
        <v>45</v>
      </c>
      <c r="AR24" s="1">
        <f ca="1" t="shared" si="110"/>
        <v>45</v>
      </c>
      <c r="AS24" s="273">
        <f ca="1" t="shared" si="111"/>
        <v>5.25</v>
      </c>
      <c r="AT24" s="275">
        <f ca="1" t="shared" si="112"/>
        <v>-6</v>
      </c>
      <c r="AU24" s="1">
        <f t="shared" si="113"/>
        <v>35</v>
      </c>
      <c r="AV24" s="269">
        <f t="shared" si="114"/>
        <v>17</v>
      </c>
      <c r="AW24" s="269">
        <f t="shared" si="115"/>
        <v>1</v>
      </c>
      <c r="AX24" s="269">
        <f t="shared" si="116"/>
        <v>1</v>
      </c>
      <c r="AY24" s="268">
        <f t="shared" si="117"/>
        <v>17</v>
      </c>
      <c r="AZ24" s="1" t="str">
        <f t="shared" si="118"/>
        <v>Milan</v>
      </c>
      <c r="BA24" s="277">
        <f t="shared" si="119"/>
        <v>76.72</v>
      </c>
      <c r="BB24" s="277">
        <f ca="1" t="shared" si="120"/>
        <v>8.37</v>
      </c>
      <c r="BC24" s="277" t="b">
        <f ca="1" t="shared" si="121"/>
        <v>0</v>
      </c>
      <c r="BD24" s="277">
        <f ca="1" t="shared" si="122"/>
        <v>8</v>
      </c>
      <c r="BE24" s="277" t="b">
        <f ca="1" t="shared" si="123"/>
        <v>0</v>
      </c>
      <c r="BF24" s="294" t="str">
        <f ca="1" t="shared" si="124"/>
        <v/>
      </c>
      <c r="BG24" s="1">
        <f t="shared" si="3"/>
        <v>81.72</v>
      </c>
      <c r="BH24" s="1">
        <f>IF($B24=0,"",RANK(BG24,BG$8:BG$73,0)+COUNTIF(BG$8:BG24,BG24)-1)</f>
        <v>30</v>
      </c>
      <c r="BI24" s="1">
        <f ca="1" t="shared" si="125"/>
        <v>30</v>
      </c>
      <c r="BJ24" s="273">
        <f ca="1" t="shared" si="126"/>
        <v>6.23</v>
      </c>
      <c r="BK24" s="275">
        <f ca="1" t="shared" si="127"/>
        <v>1</v>
      </c>
      <c r="BL24" s="1">
        <f t="shared" si="128"/>
        <v>45</v>
      </c>
      <c r="BM24" s="269">
        <f t="shared" si="129"/>
        <v>17</v>
      </c>
      <c r="BN24" s="269">
        <f t="shared" si="130"/>
        <v>1</v>
      </c>
      <c r="BO24" s="269">
        <f t="shared" si="131"/>
        <v>1</v>
      </c>
      <c r="BP24" s="268">
        <f t="shared" si="132"/>
        <v>17</v>
      </c>
      <c r="BQ24" s="1" t="str">
        <f t="shared" si="133"/>
        <v>San Francisco</v>
      </c>
      <c r="BR24" s="277">
        <f t="shared" si="134"/>
        <v>91.21</v>
      </c>
      <c r="BS24" s="277">
        <f ca="1" t="shared" si="135"/>
        <v>3.26</v>
      </c>
      <c r="BT24" s="277" t="b">
        <f ca="1" t="shared" si="136"/>
        <v>0</v>
      </c>
      <c r="BU24" s="277">
        <f ca="1" t="shared" si="137"/>
        <v>-7</v>
      </c>
      <c r="BV24" s="277" t="b">
        <f ca="1" t="shared" si="138"/>
        <v>0</v>
      </c>
      <c r="BW24" s="294" t="str">
        <f ca="1" t="shared" si="139"/>
        <v/>
      </c>
      <c r="BX24" s="1">
        <f t="shared" si="4"/>
        <v>86.04</v>
      </c>
      <c r="BY24" s="1">
        <f>IF($B24=0,"",RANK(BX24,BX$8:BX$73,0)+COUNTIF(BX$8:BX24,BX24)-1)</f>
        <v>13</v>
      </c>
      <c r="BZ24" s="1">
        <f ca="1" t="shared" si="140"/>
        <v>13</v>
      </c>
      <c r="CA24" s="273">
        <f ca="1" t="shared" si="141"/>
        <v>3.38</v>
      </c>
      <c r="CB24" s="275">
        <f ca="1" t="shared" si="142"/>
        <v>1</v>
      </c>
      <c r="CC24" s="1">
        <f t="shared" si="143"/>
        <v>5</v>
      </c>
      <c r="CD24" s="269">
        <f t="shared" si="144"/>
        <v>17</v>
      </c>
      <c r="CE24" s="269">
        <f t="shared" si="145"/>
        <v>1</v>
      </c>
      <c r="CF24" s="269">
        <f t="shared" si="146"/>
        <v>1</v>
      </c>
      <c r="CG24" s="268">
        <f t="shared" si="147"/>
        <v>17</v>
      </c>
      <c r="CH24" s="1" t="str">
        <f t="shared" si="148"/>
        <v>Barcelona</v>
      </c>
      <c r="CI24" s="277">
        <f t="shared" si="149"/>
        <v>85.28</v>
      </c>
      <c r="CJ24" s="277">
        <f ca="1" t="shared" si="150"/>
        <v>2.47</v>
      </c>
      <c r="CK24" s="277" t="b">
        <f ca="1" t="shared" si="151"/>
        <v>0</v>
      </c>
      <c r="CL24" s="277">
        <f ca="1" t="shared" si="152"/>
        <v>-4</v>
      </c>
      <c r="CM24" s="277" t="b">
        <f ca="1" t="shared" si="153"/>
        <v>0</v>
      </c>
      <c r="CN24" s="294" t="str">
        <f ca="1" t="shared" si="154"/>
        <v/>
      </c>
    </row>
    <row r="25" spans="1:92">
      <c r="A25" s="1">
        <f>tblTerritories!A20</f>
        <v>18</v>
      </c>
      <c r="B25" s="1">
        <f>IF(tblTerritories!F20="",0,tblTerritories!F20)</f>
        <v>1</v>
      </c>
      <c r="C25" s="1" t="str">
        <f>tblTerritories!C20</f>
        <v>Frankfurt</v>
      </c>
      <c r="D25" s="1">
        <f>tblTerritories!D20</f>
        <v>1</v>
      </c>
      <c r="E25" s="1">
        <f>tblTerritories!K20</f>
        <v>0</v>
      </c>
      <c r="F25" s="1">
        <f>IF($A25="","",VLOOKUP(C25,tblTerritories!$J$3:$P$100,7,FALSE)+10)</f>
        <v>11</v>
      </c>
      <c r="H25" s="1">
        <f t="shared" si="0"/>
        <v>84.86</v>
      </c>
      <c r="I25" s="1">
        <f>IF($B25=0,"",RANK(H25,H$8:H$73,0)+COUNTIF(H$8:H25,H25)-1)</f>
        <v>11</v>
      </c>
      <c r="J25" s="1">
        <f ca="1" t="shared" si="80"/>
        <v>11</v>
      </c>
      <c r="K25" s="273">
        <f ca="1" t="shared" si="81"/>
        <v>7.85</v>
      </c>
      <c r="L25" s="275">
        <f ca="1" t="shared" si="82"/>
        <v>5</v>
      </c>
      <c r="M25" s="1">
        <f t="shared" si="83"/>
        <v>30</v>
      </c>
      <c r="N25" s="269">
        <f t="shared" si="84"/>
        <v>18</v>
      </c>
      <c r="O25" s="269">
        <f t="shared" si="85"/>
        <v>1</v>
      </c>
      <c r="P25" s="269">
        <f t="shared" si="86"/>
        <v>1</v>
      </c>
      <c r="Q25" s="268">
        <f t="shared" si="87"/>
        <v>18</v>
      </c>
      <c r="R25" s="1" t="str">
        <f t="shared" si="88"/>
        <v>Los Angeles</v>
      </c>
      <c r="S25" s="277">
        <f t="shared" si="89"/>
        <v>82.26</v>
      </c>
      <c r="T25" s="277">
        <f ca="1" t="shared" si="90"/>
        <v>5.39</v>
      </c>
      <c r="U25" s="277" t="b">
        <f ca="1" t="shared" si="91"/>
        <v>0</v>
      </c>
      <c r="V25" s="277">
        <f ca="1" t="shared" si="92"/>
        <v>-1</v>
      </c>
      <c r="W25" s="277" t="b">
        <f ca="1" t="shared" si="93"/>
        <v>0</v>
      </c>
      <c r="X25" s="294" t="str">
        <f ca="1" t="shared" si="94"/>
        <v/>
      </c>
      <c r="Y25" s="1">
        <f t="shared" si="1"/>
        <v>80.5</v>
      </c>
      <c r="Z25" s="1">
        <f>IF($B25=0,"",RANK(Y25,Y$8:Y$73,0)+COUNTIF(Y$8:Y25,Y25)-1)</f>
        <v>16</v>
      </c>
      <c r="AA25" s="1">
        <f ca="1" t="shared" si="95"/>
        <v>16</v>
      </c>
      <c r="AB25" s="273">
        <f ca="1" t="shared" si="96"/>
        <v>17.55</v>
      </c>
      <c r="AC25" s="275">
        <f ca="1" t="shared" si="97"/>
        <v>7</v>
      </c>
      <c r="AD25" s="1">
        <f t="shared" si="98"/>
        <v>48</v>
      </c>
      <c r="AE25" s="269">
        <f t="shared" si="99"/>
        <v>18</v>
      </c>
      <c r="AF25" s="269">
        <f t="shared" si="100"/>
        <v>1</v>
      </c>
      <c r="AG25" s="269">
        <f t="shared" si="101"/>
        <v>1</v>
      </c>
      <c r="AH25" s="268">
        <f t="shared" si="102"/>
        <v>18</v>
      </c>
      <c r="AI25" s="1" t="str">
        <f t="shared" si="103"/>
        <v>Seoul</v>
      </c>
      <c r="AJ25" s="277">
        <f t="shared" si="104"/>
        <v>78.42</v>
      </c>
      <c r="AK25" s="277">
        <f ca="1" t="shared" si="105"/>
        <v>21.46</v>
      </c>
      <c r="AL25" s="277" t="b">
        <f ca="1" t="shared" si="106"/>
        <v>0</v>
      </c>
      <c r="AM25" s="277">
        <f ca="1" t="shared" si="107"/>
        <v>16</v>
      </c>
      <c r="AN25" s="277" t="b">
        <f ca="1" t="shared" si="108"/>
        <v>0</v>
      </c>
      <c r="AO25" s="294" t="str">
        <f ca="1" t="shared" si="109"/>
        <v/>
      </c>
      <c r="AP25" s="1">
        <f t="shared" si="2"/>
        <v>84.06</v>
      </c>
      <c r="AQ25" s="1">
        <f>IF($B25=0,"",RANK(AP25,AP$8:AP$73,0)+COUNTIF(AP$8:AP25,AP25)-1)</f>
        <v>3</v>
      </c>
      <c r="AR25" s="1">
        <f ca="1" t="shared" si="110"/>
        <v>3</v>
      </c>
      <c r="AS25" s="273">
        <f ca="1" t="shared" si="111"/>
        <v>5.43</v>
      </c>
      <c r="AT25" s="275">
        <f ca="1" t="shared" si="112"/>
        <v>3</v>
      </c>
      <c r="AU25" s="1">
        <f t="shared" si="113"/>
        <v>44</v>
      </c>
      <c r="AV25" s="269">
        <f t="shared" si="114"/>
        <v>18</v>
      </c>
      <c r="AW25" s="269">
        <f t="shared" si="115"/>
        <v>1</v>
      </c>
      <c r="AX25" s="269">
        <f t="shared" si="116"/>
        <v>1</v>
      </c>
      <c r="AY25" s="268">
        <f t="shared" si="117"/>
        <v>18</v>
      </c>
      <c r="AZ25" s="1" t="str">
        <f t="shared" si="118"/>
        <v>Rome</v>
      </c>
      <c r="BA25" s="277">
        <f t="shared" si="119"/>
        <v>76.38</v>
      </c>
      <c r="BB25" s="277">
        <f ca="1" t="shared" si="120"/>
        <v>7.05</v>
      </c>
      <c r="BC25" s="277" t="b">
        <f ca="1" t="shared" si="121"/>
        <v>0</v>
      </c>
      <c r="BD25" s="277">
        <f ca="1" t="shared" si="122"/>
        <v>6</v>
      </c>
      <c r="BE25" s="277" t="b">
        <f ca="1" t="shared" si="123"/>
        <v>0</v>
      </c>
      <c r="BF25" s="294" t="str">
        <f ca="1" t="shared" si="124"/>
        <v/>
      </c>
      <c r="BG25" s="1">
        <f t="shared" si="3"/>
        <v>88.16</v>
      </c>
      <c r="BH25" s="1">
        <f>IF($B25=0,"",RANK(BG25,BG$8:BG$73,0)+COUNTIF(BG$8:BG25,BG25)-1)</f>
        <v>23</v>
      </c>
      <c r="BI25" s="1">
        <f ca="1" t="shared" si="125"/>
        <v>23</v>
      </c>
      <c r="BJ25" s="273">
        <f ca="1" t="shared" si="126"/>
        <v>2.36</v>
      </c>
      <c r="BK25" s="275">
        <f ca="1" t="shared" si="127"/>
        <v>-7</v>
      </c>
      <c r="BL25" s="1">
        <f t="shared" si="128"/>
        <v>35</v>
      </c>
      <c r="BM25" s="269">
        <f t="shared" si="129"/>
        <v>18</v>
      </c>
      <c r="BN25" s="269">
        <f t="shared" si="130"/>
        <v>1</v>
      </c>
      <c r="BO25" s="269">
        <f t="shared" si="131"/>
        <v>1</v>
      </c>
      <c r="BP25" s="268">
        <f t="shared" si="132"/>
        <v>18</v>
      </c>
      <c r="BQ25" s="1" t="str">
        <f t="shared" si="133"/>
        <v>Milan</v>
      </c>
      <c r="BR25" s="277">
        <f t="shared" si="134"/>
        <v>90.36</v>
      </c>
      <c r="BS25" s="277">
        <f ca="1" t="shared" si="135"/>
        <v>8.37</v>
      </c>
      <c r="BT25" s="277" t="b">
        <f ca="1" t="shared" si="136"/>
        <v>0</v>
      </c>
      <c r="BU25" s="277">
        <f ca="1" t="shared" si="137"/>
        <v>3</v>
      </c>
      <c r="BV25" s="277" t="b">
        <f ca="1" t="shared" si="138"/>
        <v>0</v>
      </c>
      <c r="BW25" s="294" t="str">
        <f ca="1" t="shared" si="139"/>
        <v/>
      </c>
      <c r="BX25" s="1">
        <f t="shared" si="4"/>
        <v>86.7</v>
      </c>
      <c r="BY25" s="1">
        <f>IF($B25=0,"",RANK(BX25,BX$8:BX$73,0)+COUNTIF(BX$8:BX25,BX25)-1)</f>
        <v>11</v>
      </c>
      <c r="BZ25" s="1">
        <f ca="1" t="shared" si="140"/>
        <v>11</v>
      </c>
      <c r="CA25" s="273">
        <f ca="1" t="shared" si="141"/>
        <v>6.03</v>
      </c>
      <c r="CB25" s="275">
        <f ca="1" t="shared" si="142"/>
        <v>7</v>
      </c>
      <c r="CC25" s="1">
        <f t="shared" si="143"/>
        <v>57</v>
      </c>
      <c r="CD25" s="269">
        <f t="shared" si="144"/>
        <v>18</v>
      </c>
      <c r="CE25" s="269">
        <f t="shared" si="145"/>
        <v>1</v>
      </c>
      <c r="CF25" s="269">
        <f t="shared" si="146"/>
        <v>1</v>
      </c>
      <c r="CG25" s="268">
        <f t="shared" si="147"/>
        <v>18</v>
      </c>
      <c r="CH25" s="1" t="str">
        <f t="shared" si="148"/>
        <v>Washington DC</v>
      </c>
      <c r="CI25" s="277">
        <f t="shared" si="149"/>
        <v>84.82</v>
      </c>
      <c r="CJ25" s="277">
        <f ca="1" t="shared" si="150"/>
        <v>1.28</v>
      </c>
      <c r="CK25" s="277" t="b">
        <f ca="1" t="shared" si="151"/>
        <v>0</v>
      </c>
      <c r="CL25" s="277">
        <f ca="1" t="shared" si="152"/>
        <v>-6</v>
      </c>
      <c r="CM25" s="277" t="b">
        <f ca="1" t="shared" si="153"/>
        <v>0</v>
      </c>
      <c r="CN25" s="294" t="str">
        <f ca="1" t="shared" si="154"/>
        <v/>
      </c>
    </row>
    <row r="26" spans="1:92">
      <c r="A26" s="1">
        <f>tblTerritories!A21</f>
        <v>19</v>
      </c>
      <c r="B26" s="1">
        <f>IF(tblTerritories!F21="",0,tblTerritories!F21)</f>
        <v>1</v>
      </c>
      <c r="C26" s="1" t="str">
        <f>tblTerritories!C21</f>
        <v>Ho Chi Minh City</v>
      </c>
      <c r="D26" s="1">
        <f>tblTerritories!D21</f>
        <v>1</v>
      </c>
      <c r="E26" s="1">
        <f>tblTerritories!K21</f>
        <v>0</v>
      </c>
      <c r="F26" s="1">
        <f>IF($A26="","",VLOOKUP(C26,tblTerritories!$J$3:$P$100,7,FALSE)+10)</f>
        <v>18</v>
      </c>
      <c r="H26" s="1">
        <f t="shared" si="0"/>
        <v>54.33</v>
      </c>
      <c r="I26" s="1">
        <f>IF($B26=0,"",RANK(H26,H$8:H$73,0)+COUNTIF(H$8:H26,H26)-1)</f>
        <v>56</v>
      </c>
      <c r="J26" s="1">
        <f ca="1" t="shared" si="80"/>
        <v>56</v>
      </c>
      <c r="K26" s="273">
        <f ca="1" t="shared" si="81"/>
        <v>1.26</v>
      </c>
      <c r="L26" s="275">
        <f ca="1" t="shared" si="82"/>
        <v>-10</v>
      </c>
      <c r="M26" s="1">
        <f t="shared" si="83"/>
        <v>13</v>
      </c>
      <c r="N26" s="269">
        <f t="shared" si="84"/>
        <v>19</v>
      </c>
      <c r="O26" s="269">
        <f t="shared" si="85"/>
        <v>1</v>
      </c>
      <c r="P26" s="269">
        <f t="shared" si="86"/>
        <v>1</v>
      </c>
      <c r="Q26" s="268">
        <f t="shared" si="87"/>
        <v>19</v>
      </c>
      <c r="R26" s="1" t="str">
        <f t="shared" si="88"/>
        <v>Chicago</v>
      </c>
      <c r="S26" s="277">
        <f t="shared" si="89"/>
        <v>82.21</v>
      </c>
      <c r="T26" s="277">
        <f ca="1" t="shared" si="90"/>
        <v>4.48</v>
      </c>
      <c r="U26" s="277" t="b">
        <f ca="1" t="shared" si="91"/>
        <v>0</v>
      </c>
      <c r="V26" s="277">
        <f ca="1" t="shared" si="92"/>
        <v>-6</v>
      </c>
      <c r="W26" s="277" t="b">
        <f ca="1" t="shared" si="93"/>
        <v>0</v>
      </c>
      <c r="X26" s="294" t="str">
        <f ca="1" t="shared" si="94"/>
        <v/>
      </c>
      <c r="Y26" s="1">
        <f t="shared" si="1"/>
        <v>39.78</v>
      </c>
      <c r="Z26" s="1">
        <f>IF($B26=0,"",RANK(Y26,Y$8:Y$73,0)+COUNTIF(Y$8:Y26,Y26)-1)</f>
        <v>56</v>
      </c>
      <c r="AA26" s="1">
        <f ca="1" t="shared" si="95"/>
        <v>56</v>
      </c>
      <c r="AB26" s="273">
        <f ca="1" t="shared" si="96"/>
        <v>-5.53</v>
      </c>
      <c r="AC26" s="275">
        <f ca="1" t="shared" si="97"/>
        <v>-14</v>
      </c>
      <c r="AD26" s="1">
        <f t="shared" si="98"/>
        <v>60</v>
      </c>
      <c r="AE26" s="269">
        <f t="shared" si="99"/>
        <v>19</v>
      </c>
      <c r="AF26" s="269">
        <f t="shared" si="100"/>
        <v>1</v>
      </c>
      <c r="AG26" s="269">
        <f t="shared" si="101"/>
        <v>1</v>
      </c>
      <c r="AH26" s="268">
        <f t="shared" si="102"/>
        <v>19</v>
      </c>
      <c r="AI26" s="1" t="str">
        <f t="shared" si="103"/>
        <v>Zurich</v>
      </c>
      <c r="AJ26" s="277">
        <f t="shared" si="104"/>
        <v>77.98</v>
      </c>
      <c r="AK26" s="277">
        <f ca="1" t="shared" si="105"/>
        <v>9.94</v>
      </c>
      <c r="AL26" s="277" t="b">
        <f ca="1" t="shared" si="106"/>
        <v>0</v>
      </c>
      <c r="AM26" s="277">
        <f ca="1" t="shared" si="107"/>
        <v>-2</v>
      </c>
      <c r="AN26" s="277" t="b">
        <f ca="1" t="shared" si="108"/>
        <v>0</v>
      </c>
      <c r="AO26" s="294" t="str">
        <f ca="1" t="shared" si="109"/>
        <v/>
      </c>
      <c r="AP26" s="1">
        <f t="shared" si="2"/>
        <v>61.29</v>
      </c>
      <c r="AQ26" s="1">
        <f>IF($B26=0,"",RANK(AP26,AP$8:AP$73,0)+COUNTIF(AP$8:AP26,AP26)-1)</f>
        <v>48</v>
      </c>
      <c r="AR26" s="1">
        <f ca="1" t="shared" si="110"/>
        <v>48</v>
      </c>
      <c r="AS26" s="273">
        <f ca="1" t="shared" si="111"/>
        <v>8.28</v>
      </c>
      <c r="AT26" s="275">
        <f ca="1" t="shared" si="112"/>
        <v>-4</v>
      </c>
      <c r="AU26" s="1">
        <f t="shared" si="113"/>
        <v>29</v>
      </c>
      <c r="AV26" s="269">
        <f t="shared" si="114"/>
        <v>19</v>
      </c>
      <c r="AW26" s="269">
        <f t="shared" si="115"/>
        <v>1</v>
      </c>
      <c r="AX26" s="269">
        <f t="shared" si="116"/>
        <v>1</v>
      </c>
      <c r="AY26" s="268">
        <f t="shared" si="117"/>
        <v>19</v>
      </c>
      <c r="AZ26" s="1" t="str">
        <f t="shared" si="118"/>
        <v>London</v>
      </c>
      <c r="BA26" s="277">
        <f t="shared" si="119"/>
        <v>76.06</v>
      </c>
      <c r="BB26" s="277">
        <f ca="1" t="shared" si="120"/>
        <v>3.57</v>
      </c>
      <c r="BC26" s="277" t="b">
        <f ca="1" t="shared" si="121"/>
        <v>0</v>
      </c>
      <c r="BD26" s="277">
        <f ca="1" t="shared" si="122"/>
        <v>0</v>
      </c>
      <c r="BE26" s="277" t="b">
        <f ca="1" t="shared" si="123"/>
        <v>0</v>
      </c>
      <c r="BF26" s="294" t="str">
        <f ca="1" t="shared" si="124"/>
        <v/>
      </c>
      <c r="BG26" s="1">
        <f t="shared" si="3"/>
        <v>65.73</v>
      </c>
      <c r="BH26" s="1">
        <f>IF($B26=0,"",RANK(BG26,BG$8:BG$73,0)+COUNTIF(BG$8:BG26,BG26)-1)</f>
        <v>46</v>
      </c>
      <c r="BI26" s="1">
        <f ca="1" t="shared" si="125"/>
        <v>46</v>
      </c>
      <c r="BJ26" s="273">
        <f ca="1" t="shared" si="126"/>
        <v>13.29</v>
      </c>
      <c r="BK26" s="275">
        <f ca="1" t="shared" si="127"/>
        <v>0</v>
      </c>
      <c r="BL26" s="1">
        <f t="shared" si="128"/>
        <v>40</v>
      </c>
      <c r="BM26" s="269">
        <f t="shared" si="129"/>
        <v>19</v>
      </c>
      <c r="BN26" s="269">
        <f t="shared" si="130"/>
        <v>1</v>
      </c>
      <c r="BO26" s="269">
        <f t="shared" si="131"/>
        <v>1</v>
      </c>
      <c r="BP26" s="268">
        <f t="shared" si="132"/>
        <v>19</v>
      </c>
      <c r="BQ26" s="1" t="str">
        <f t="shared" si="133"/>
        <v>Paris</v>
      </c>
      <c r="BR26" s="277">
        <f t="shared" si="134"/>
        <v>89.9</v>
      </c>
      <c r="BS26" s="277">
        <f ca="1" t="shared" si="135"/>
        <v>12.06</v>
      </c>
      <c r="BT26" s="277" t="b">
        <f ca="1" t="shared" si="136"/>
        <v>0</v>
      </c>
      <c r="BU26" s="277">
        <f ca="1" t="shared" si="137"/>
        <v>9</v>
      </c>
      <c r="BV26" s="277" t="b">
        <f ca="1" t="shared" si="138"/>
        <v>0</v>
      </c>
      <c r="BW26" s="294" t="str">
        <f ca="1" t="shared" si="139"/>
        <v/>
      </c>
      <c r="BX26" s="1">
        <f t="shared" si="4"/>
        <v>50.53</v>
      </c>
      <c r="BY26" s="1">
        <f>IF($B26=0,"",RANK(BX26,BX$8:BX$73,0)+COUNTIF(BX$8:BX26,BX26)-1)</f>
        <v>58</v>
      </c>
      <c r="BZ26" s="1">
        <f ca="1" t="shared" si="140"/>
        <v>58</v>
      </c>
      <c r="CA26" s="273">
        <f ca="1" t="shared" si="141"/>
        <v>-10.97</v>
      </c>
      <c r="CB26" s="275">
        <f ca="1" t="shared" si="142"/>
        <v>-20</v>
      </c>
      <c r="CC26" s="1">
        <f t="shared" si="143"/>
        <v>45</v>
      </c>
      <c r="CD26" s="269">
        <f t="shared" si="144"/>
        <v>19</v>
      </c>
      <c r="CE26" s="269">
        <f t="shared" si="145"/>
        <v>1</v>
      </c>
      <c r="CF26" s="269">
        <f t="shared" si="146"/>
        <v>1</v>
      </c>
      <c r="CG26" s="268">
        <f t="shared" si="147"/>
        <v>19</v>
      </c>
      <c r="CH26" s="1" t="str">
        <f t="shared" si="148"/>
        <v>San Francisco</v>
      </c>
      <c r="CI26" s="277">
        <f t="shared" si="149"/>
        <v>83.74</v>
      </c>
      <c r="CJ26" s="277">
        <f ca="1" t="shared" si="150"/>
        <v>-0.01</v>
      </c>
      <c r="CK26" s="277" t="b">
        <f ca="1" t="shared" si="151"/>
        <v>0</v>
      </c>
      <c r="CL26" s="277">
        <f ca="1" t="shared" si="152"/>
        <v>-8</v>
      </c>
      <c r="CM26" s="277" t="b">
        <f ca="1" t="shared" si="153"/>
        <v>0</v>
      </c>
      <c r="CN26" s="294" t="str">
        <f ca="1" t="shared" si="154"/>
        <v/>
      </c>
    </row>
    <row r="27" spans="1:92">
      <c r="A27" s="1">
        <f>tblTerritories!A22</f>
        <v>20</v>
      </c>
      <c r="B27" s="1">
        <f>IF(tblTerritories!F22="",0,tblTerritories!F22)</f>
        <v>1</v>
      </c>
      <c r="C27" s="1" t="str">
        <f>tblTerritories!C22</f>
        <v>Hong Kong</v>
      </c>
      <c r="D27" s="1">
        <f>tblTerritories!D22</f>
        <v>1</v>
      </c>
      <c r="E27" s="1">
        <f>tblTerritories!K22</f>
        <v>0</v>
      </c>
      <c r="F27" s="1">
        <f>IF($A27="","",VLOOKUP(C27,tblTerritories!$J$3:$P$100,7,FALSE)+10)</f>
        <v>15</v>
      </c>
      <c r="H27" s="1">
        <f t="shared" si="0"/>
        <v>86.22</v>
      </c>
      <c r="I27" s="1">
        <f>IF($B27=0,"",RANK(H27,H$8:H$73,0)+COUNTIF(H$8:H27,H27)-1)</f>
        <v>9</v>
      </c>
      <c r="J27" s="1">
        <f ca="1" t="shared" si="80"/>
        <v>9</v>
      </c>
      <c r="K27" s="273">
        <f ca="1" t="shared" si="81"/>
        <v>7.69</v>
      </c>
      <c r="L27" s="275">
        <f ca="1" t="shared" si="82"/>
        <v>3</v>
      </c>
      <c r="M27" s="1">
        <f t="shared" si="83"/>
        <v>29</v>
      </c>
      <c r="N27" s="269">
        <f t="shared" si="84"/>
        <v>20</v>
      </c>
      <c r="O27" s="269">
        <f t="shared" si="85"/>
        <v>1</v>
      </c>
      <c r="P27" s="269">
        <f t="shared" si="86"/>
        <v>1</v>
      </c>
      <c r="Q27" s="268">
        <f t="shared" si="87"/>
        <v>20</v>
      </c>
      <c r="R27" s="1" t="str">
        <f t="shared" si="88"/>
        <v>London</v>
      </c>
      <c r="S27" s="277">
        <f t="shared" si="89"/>
        <v>82.1</v>
      </c>
      <c r="T27" s="277">
        <f ca="1" t="shared" si="90"/>
        <v>8.64</v>
      </c>
      <c r="U27" s="277" t="b">
        <f ca="1" t="shared" si="91"/>
        <v>0</v>
      </c>
      <c r="V27" s="277">
        <f ca="1" t="shared" si="92"/>
        <v>1</v>
      </c>
      <c r="W27" s="277" t="b">
        <f ca="1" t="shared" si="93"/>
        <v>0</v>
      </c>
      <c r="X27" s="294" t="str">
        <f ca="1" t="shared" si="94"/>
        <v/>
      </c>
      <c r="Y27" s="1">
        <f t="shared" si="1"/>
        <v>85.77</v>
      </c>
      <c r="Z27" s="1">
        <f>IF($B27=0,"",RANK(Y27,Y$8:Y$73,0)+COUNTIF(Y$8:Y27,Y27)-1)</f>
        <v>5</v>
      </c>
      <c r="AA27" s="1">
        <f ca="1" t="shared" si="95"/>
        <v>5</v>
      </c>
      <c r="AB27" s="273">
        <f ca="1" t="shared" si="96"/>
        <v>5.99</v>
      </c>
      <c r="AC27" s="275">
        <f ca="1" t="shared" si="97"/>
        <v>-2</v>
      </c>
      <c r="AD27" s="1">
        <f t="shared" si="98"/>
        <v>58</v>
      </c>
      <c r="AE27" s="269">
        <f t="shared" si="99"/>
        <v>20</v>
      </c>
      <c r="AF27" s="269">
        <f t="shared" si="100"/>
        <v>1</v>
      </c>
      <c r="AG27" s="269">
        <f t="shared" si="101"/>
        <v>1</v>
      </c>
      <c r="AH27" s="268">
        <f t="shared" si="102"/>
        <v>20</v>
      </c>
      <c r="AI27" s="1" t="str">
        <f t="shared" si="103"/>
        <v>Wellington</v>
      </c>
      <c r="AJ27" s="277">
        <f t="shared" si="104"/>
        <v>74.8</v>
      </c>
      <c r="AK27" s="277" t="str">
        <f ca="1" t="shared" si="105"/>
        <v/>
      </c>
      <c r="AL27" s="277" t="b">
        <f ca="1" t="shared" si="106"/>
        <v>0</v>
      </c>
      <c r="AM27" s="277" t="str">
        <f ca="1" t="shared" si="107"/>
        <v/>
      </c>
      <c r="AN27" s="277" t="b">
        <f ca="1" t="shared" si="108"/>
        <v>0</v>
      </c>
      <c r="AO27" s="294" t="str">
        <f ca="1" t="shared" si="109"/>
        <v> *</v>
      </c>
      <c r="AP27" s="1">
        <f t="shared" si="2"/>
        <v>73.29</v>
      </c>
      <c r="AQ27" s="1">
        <f>IF($B27=0,"",RANK(AP27,AP$8:AP$73,0)+COUNTIF(AP$8:AP27,AP27)-1)</f>
        <v>24</v>
      </c>
      <c r="AR27" s="1">
        <f ca="1" t="shared" si="110"/>
        <v>24</v>
      </c>
      <c r="AS27" s="273">
        <f ca="1" t="shared" si="111"/>
        <v>5.87</v>
      </c>
      <c r="AT27" s="275">
        <f ca="1" t="shared" si="112"/>
        <v>5</v>
      </c>
      <c r="AU27" s="1">
        <f t="shared" si="113"/>
        <v>9</v>
      </c>
      <c r="AV27" s="269">
        <f t="shared" si="114"/>
        <v>20</v>
      </c>
      <c r="AW27" s="269">
        <f t="shared" si="115"/>
        <v>1</v>
      </c>
      <c r="AX27" s="269">
        <f t="shared" si="116"/>
        <v>1</v>
      </c>
      <c r="AY27" s="268">
        <f t="shared" si="117"/>
        <v>20</v>
      </c>
      <c r="AZ27" s="1" t="str">
        <f t="shared" si="118"/>
        <v>Buenos Aires</v>
      </c>
      <c r="BA27" s="277">
        <f t="shared" si="119"/>
        <v>74.84</v>
      </c>
      <c r="BB27" s="277">
        <f ca="1" t="shared" si="120"/>
        <v>7.12</v>
      </c>
      <c r="BC27" s="277" t="b">
        <f ca="1" t="shared" si="121"/>
        <v>0</v>
      </c>
      <c r="BD27" s="277">
        <f ca="1" t="shared" si="122"/>
        <v>7</v>
      </c>
      <c r="BE27" s="277" t="b">
        <f ca="1" t="shared" si="123"/>
        <v>0</v>
      </c>
      <c r="BF27" s="294" t="str">
        <f ca="1" t="shared" si="124"/>
        <v/>
      </c>
      <c r="BG27" s="1">
        <f t="shared" si="3"/>
        <v>96.04</v>
      </c>
      <c r="BH27" s="1">
        <f>IF($B27=0,"",RANK(BG27,BG$8:BG$73,0)+COUNTIF(BG$8:BG27,BG27)-1)</f>
        <v>7</v>
      </c>
      <c r="BI27" s="1">
        <f ca="1" t="shared" si="125"/>
        <v>7</v>
      </c>
      <c r="BJ27" s="273">
        <f ca="1" t="shared" si="126"/>
        <v>20.87</v>
      </c>
      <c r="BK27" s="275">
        <f ca="1" t="shared" si="127"/>
        <v>26</v>
      </c>
      <c r="BL27" s="1">
        <f t="shared" si="128"/>
        <v>8</v>
      </c>
      <c r="BM27" s="269">
        <f t="shared" si="129"/>
        <v>20</v>
      </c>
      <c r="BN27" s="269">
        <f t="shared" si="130"/>
        <v>1</v>
      </c>
      <c r="BO27" s="269">
        <f t="shared" si="131"/>
        <v>1</v>
      </c>
      <c r="BP27" s="268">
        <f t="shared" si="132"/>
        <v>20</v>
      </c>
      <c r="BQ27" s="1" t="str">
        <f t="shared" si="133"/>
        <v>Brussels</v>
      </c>
      <c r="BR27" s="277">
        <f t="shared" si="134"/>
        <v>88.56</v>
      </c>
      <c r="BS27" s="277">
        <f ca="1" t="shared" si="135"/>
        <v>2.37</v>
      </c>
      <c r="BT27" s="277" t="b">
        <f ca="1" t="shared" si="136"/>
        <v>0</v>
      </c>
      <c r="BU27" s="277">
        <f ca="1" t="shared" si="137"/>
        <v>-6</v>
      </c>
      <c r="BV27" s="277" t="b">
        <f ca="1" t="shared" si="138"/>
        <v>0</v>
      </c>
      <c r="BW27" s="294" t="str">
        <f ca="1" t="shared" si="139"/>
        <v/>
      </c>
      <c r="BX27" s="1">
        <f t="shared" si="4"/>
        <v>89.75</v>
      </c>
      <c r="BY27" s="1">
        <f>IF($B27=0,"",RANK(BX27,BX$8:BX$73,0)+COUNTIF(BX$8:BX27,BX27)-1)</f>
        <v>7</v>
      </c>
      <c r="BZ27" s="1">
        <f ca="1" t="shared" si="140"/>
        <v>7</v>
      </c>
      <c r="CA27" s="273">
        <f ca="1" t="shared" si="141"/>
        <v>-2</v>
      </c>
      <c r="CB27" s="275">
        <f ca="1" t="shared" si="142"/>
        <v>-3</v>
      </c>
      <c r="CC27" s="1">
        <f t="shared" si="143"/>
        <v>60</v>
      </c>
      <c r="CD27" s="269">
        <f t="shared" si="144"/>
        <v>20</v>
      </c>
      <c r="CE27" s="269">
        <f t="shared" si="145"/>
        <v>1</v>
      </c>
      <c r="CF27" s="269">
        <f t="shared" si="146"/>
        <v>1</v>
      </c>
      <c r="CG27" s="268">
        <f t="shared" si="147"/>
        <v>20</v>
      </c>
      <c r="CH27" s="1" t="str">
        <f t="shared" si="148"/>
        <v>Zurich</v>
      </c>
      <c r="CI27" s="277">
        <f t="shared" si="149"/>
        <v>83.72</v>
      </c>
      <c r="CJ27" s="277">
        <f ca="1" t="shared" si="150"/>
        <v>2.08</v>
      </c>
      <c r="CK27" s="277" t="b">
        <f ca="1" t="shared" si="151"/>
        <v>0</v>
      </c>
      <c r="CL27" s="277">
        <f ca="1" t="shared" si="152"/>
        <v>-3</v>
      </c>
      <c r="CM27" s="277" t="b">
        <f ca="1" t="shared" si="153"/>
        <v>0</v>
      </c>
      <c r="CN27" s="294" t="str">
        <f ca="1" t="shared" si="154"/>
        <v/>
      </c>
    </row>
    <row r="28" spans="1:92">
      <c r="A28" s="1">
        <f>tblTerritories!A23</f>
        <v>21</v>
      </c>
      <c r="B28" s="1">
        <f>IF(tblTerritories!F23="",0,tblTerritories!F23)</f>
        <v>1</v>
      </c>
      <c r="C28" s="1" t="str">
        <f>tblTerritories!C23</f>
        <v>Istanbul</v>
      </c>
      <c r="D28" s="1">
        <f>tblTerritories!D23</f>
        <v>1</v>
      </c>
      <c r="E28" s="1">
        <f>tblTerritories!K23</f>
        <v>0</v>
      </c>
      <c r="F28" s="1">
        <f>IF($A28="","",VLOOKUP(C28,tblTerritories!$J$3:$P$100,7,FALSE)+10)</f>
        <v>11</v>
      </c>
      <c r="H28" s="1">
        <f t="shared" si="0"/>
        <v>65.23</v>
      </c>
      <c r="I28" s="1">
        <f>IF($B28=0,"",RANK(H28,H$8:H$73,0)+COUNTIF(H$8:H28,H28)-1)</f>
        <v>40</v>
      </c>
      <c r="J28" s="1">
        <f ca="1" t="shared" si="80"/>
        <v>40</v>
      </c>
      <c r="K28" s="273">
        <f ca="1" t="shared" si="81"/>
        <v>5.42</v>
      </c>
      <c r="L28" s="275">
        <f ca="1" t="shared" si="82"/>
        <v>-1</v>
      </c>
      <c r="M28" s="1">
        <f t="shared" si="83"/>
        <v>38</v>
      </c>
      <c r="N28" s="269">
        <f t="shared" si="84"/>
        <v>21</v>
      </c>
      <c r="O28" s="269">
        <f t="shared" si="85"/>
        <v>1</v>
      </c>
      <c r="P28" s="269">
        <f t="shared" si="86"/>
        <v>1</v>
      </c>
      <c r="Q28" s="268">
        <f t="shared" si="87"/>
        <v>21</v>
      </c>
      <c r="R28" s="1" t="str">
        <f t="shared" si="88"/>
        <v>New York</v>
      </c>
      <c r="S28" s="277">
        <f t="shared" si="89"/>
        <v>81.01</v>
      </c>
      <c r="T28" s="277">
        <f ca="1" t="shared" si="90"/>
        <v>0.73</v>
      </c>
      <c r="U28" s="277" t="b">
        <f ca="1" t="shared" si="91"/>
        <v>0</v>
      </c>
      <c r="V28" s="277">
        <f ca="1" t="shared" si="92"/>
        <v>-11</v>
      </c>
      <c r="W28" s="277" t="b">
        <f ca="1" t="shared" si="93"/>
        <v>0</v>
      </c>
      <c r="X28" s="294" t="str">
        <f ca="1" t="shared" si="94"/>
        <v/>
      </c>
      <c r="Y28" s="1">
        <f t="shared" si="1"/>
        <v>61.71</v>
      </c>
      <c r="Z28" s="1">
        <f>IF($B28=0,"",RANK(Y28,Y$8:Y$73,0)+COUNTIF(Y$8:Y28,Y28)-1)</f>
        <v>36</v>
      </c>
      <c r="AA28" s="1">
        <f ca="1" t="shared" si="95"/>
        <v>36</v>
      </c>
      <c r="AB28" s="273">
        <f ca="1" t="shared" si="96"/>
        <v>18.38</v>
      </c>
      <c r="AC28" s="275">
        <f ca="1" t="shared" si="97"/>
        <v>9</v>
      </c>
      <c r="AD28" s="1">
        <f t="shared" si="98"/>
        <v>5</v>
      </c>
      <c r="AE28" s="269">
        <f t="shared" si="99"/>
        <v>21</v>
      </c>
      <c r="AF28" s="269">
        <f t="shared" si="100"/>
        <v>2</v>
      </c>
      <c r="AG28" s="269">
        <f t="shared" si="101"/>
        <v>1</v>
      </c>
      <c r="AH28" s="268" t="str">
        <f t="shared" si="102"/>
        <v>=21</v>
      </c>
      <c r="AI28" s="1" t="str">
        <f t="shared" si="103"/>
        <v>Barcelona</v>
      </c>
      <c r="AJ28" s="277">
        <f t="shared" si="104"/>
        <v>74.44</v>
      </c>
      <c r="AK28" s="277">
        <f ca="1" t="shared" si="105"/>
        <v>13.15</v>
      </c>
      <c r="AL28" s="277" t="b">
        <f ca="1" t="shared" si="106"/>
        <v>0</v>
      </c>
      <c r="AM28" s="277">
        <f ca="1" t="shared" si="107"/>
        <v>7</v>
      </c>
      <c r="AN28" s="277" t="b">
        <f ca="1" t="shared" si="108"/>
        <v>0</v>
      </c>
      <c r="AO28" s="294" t="str">
        <f ca="1" t="shared" si="109"/>
        <v/>
      </c>
      <c r="AP28" s="1">
        <f t="shared" si="2"/>
        <v>62.6</v>
      </c>
      <c r="AQ28" s="1">
        <f>IF($B28=0,"",RANK(AP28,AP$8:AP$73,0)+COUNTIF(AP$8:AP28,AP28)-1)</f>
        <v>46</v>
      </c>
      <c r="AR28" s="1">
        <f ca="1" t="shared" si="110"/>
        <v>45</v>
      </c>
      <c r="AS28" s="273">
        <f ca="1" t="shared" si="111"/>
        <v>8.95</v>
      </c>
      <c r="AT28" s="275">
        <f ca="1" t="shared" si="112"/>
        <v>-2</v>
      </c>
      <c r="AU28" s="1">
        <f t="shared" si="113"/>
        <v>3</v>
      </c>
      <c r="AV28" s="269">
        <f t="shared" si="114"/>
        <v>21</v>
      </c>
      <c r="AW28" s="269">
        <f t="shared" si="115"/>
        <v>1</v>
      </c>
      <c r="AX28" s="269">
        <f t="shared" si="116"/>
        <v>1</v>
      </c>
      <c r="AY28" s="268">
        <f t="shared" si="117"/>
        <v>21</v>
      </c>
      <c r="AZ28" s="1" t="str">
        <f t="shared" si="118"/>
        <v>Athens</v>
      </c>
      <c r="BA28" s="277">
        <f t="shared" si="119"/>
        <v>74.57</v>
      </c>
      <c r="BB28" s="277" t="str">
        <f ca="1" t="shared" si="120"/>
        <v/>
      </c>
      <c r="BC28" s="277" t="b">
        <f ca="1" t="shared" si="121"/>
        <v>0</v>
      </c>
      <c r="BD28" s="277" t="str">
        <f ca="1" t="shared" si="122"/>
        <v/>
      </c>
      <c r="BE28" s="277" t="b">
        <f ca="1" t="shared" si="123"/>
        <v>0</v>
      </c>
      <c r="BF28" s="294" t="str">
        <f ca="1" t="shared" si="124"/>
        <v> *</v>
      </c>
      <c r="BG28" s="1">
        <f t="shared" si="3"/>
        <v>70.79</v>
      </c>
      <c r="BH28" s="1">
        <f>IF($B28=0,"",RANK(BG28,BG$8:BG$73,0)+COUNTIF(BG$8:BG28,BG28)-1)</f>
        <v>41</v>
      </c>
      <c r="BI28" s="1">
        <f ca="1" t="shared" si="125"/>
        <v>41</v>
      </c>
      <c r="BJ28" s="273">
        <f ca="1" t="shared" si="126"/>
        <v>-0.66</v>
      </c>
      <c r="BK28" s="275">
        <f ca="1" t="shared" si="127"/>
        <v>-5</v>
      </c>
      <c r="BL28" s="1">
        <f t="shared" si="128"/>
        <v>38</v>
      </c>
      <c r="BM28" s="269">
        <f t="shared" si="129"/>
        <v>21</v>
      </c>
      <c r="BN28" s="269">
        <f t="shared" si="130"/>
        <v>1</v>
      </c>
      <c r="BO28" s="269">
        <f t="shared" si="131"/>
        <v>1</v>
      </c>
      <c r="BP28" s="268">
        <f t="shared" si="132"/>
        <v>21</v>
      </c>
      <c r="BQ28" s="1" t="str">
        <f t="shared" si="133"/>
        <v>New York</v>
      </c>
      <c r="BR28" s="277">
        <f t="shared" si="134"/>
        <v>88.39</v>
      </c>
      <c r="BS28" s="277">
        <f ca="1" t="shared" si="135"/>
        <v>2.26</v>
      </c>
      <c r="BT28" s="277" t="b">
        <f ca="1" t="shared" si="136"/>
        <v>0</v>
      </c>
      <c r="BU28" s="277">
        <f ca="1" t="shared" si="137"/>
        <v>-6</v>
      </c>
      <c r="BV28" s="277" t="b">
        <f ca="1" t="shared" si="138"/>
        <v>0</v>
      </c>
      <c r="BW28" s="294" t="str">
        <f ca="1" t="shared" si="139"/>
        <v/>
      </c>
      <c r="BX28" s="1">
        <f t="shared" si="4"/>
        <v>65.84</v>
      </c>
      <c r="BY28" s="1">
        <f>IF($B28=0,"",RANK(BX28,BX$8:BX$73,0)+COUNTIF(BX$8:BX28,BX28)-1)</f>
        <v>44</v>
      </c>
      <c r="BZ28" s="1">
        <f ca="1" t="shared" si="140"/>
        <v>44</v>
      </c>
      <c r="CA28" s="273">
        <f ca="1" t="shared" si="141"/>
        <v>-4.97</v>
      </c>
      <c r="CB28" s="275">
        <f ca="1" t="shared" si="142"/>
        <v>-18</v>
      </c>
      <c r="CC28" s="1">
        <f t="shared" si="143"/>
        <v>30</v>
      </c>
      <c r="CD28" s="269">
        <f t="shared" si="144"/>
        <v>21</v>
      </c>
      <c r="CE28" s="269">
        <f t="shared" si="145"/>
        <v>1</v>
      </c>
      <c r="CF28" s="269">
        <f t="shared" si="146"/>
        <v>1</v>
      </c>
      <c r="CG28" s="268">
        <f t="shared" si="147"/>
        <v>21</v>
      </c>
      <c r="CH28" s="1" t="str">
        <f t="shared" si="148"/>
        <v>Los Angeles</v>
      </c>
      <c r="CI28" s="277">
        <f t="shared" si="149"/>
        <v>83.4</v>
      </c>
      <c r="CJ28" s="277">
        <f ca="1" t="shared" si="150"/>
        <v>1.46</v>
      </c>
      <c r="CK28" s="277" t="b">
        <f ca="1" t="shared" si="151"/>
        <v>0</v>
      </c>
      <c r="CL28" s="277">
        <f ca="1" t="shared" si="152"/>
        <v>-5</v>
      </c>
      <c r="CM28" s="277" t="b">
        <f ca="1" t="shared" si="153"/>
        <v>0</v>
      </c>
      <c r="CN28" s="294" t="str">
        <f ca="1" t="shared" si="154"/>
        <v/>
      </c>
    </row>
    <row r="29" spans="1:92">
      <c r="A29" s="1">
        <f>tblTerritories!A24</f>
        <v>22</v>
      </c>
      <c r="B29" s="1">
        <f>IF(tblTerritories!F24="",0,tblTerritories!F24)</f>
        <v>1</v>
      </c>
      <c r="C29" s="1" t="str">
        <f>tblTerritories!C24</f>
        <v>Jakarta</v>
      </c>
      <c r="D29" s="1">
        <f>tblTerritories!D24</f>
        <v>1</v>
      </c>
      <c r="E29" s="1">
        <f>tblTerritories!K24</f>
        <v>0</v>
      </c>
      <c r="F29" s="1">
        <f>IF($A29="","",VLOOKUP(C29,tblTerritories!$J$3:$P$100,7,FALSE)+10)</f>
        <v>17</v>
      </c>
      <c r="H29" s="1">
        <f t="shared" si="0"/>
        <v>53.39</v>
      </c>
      <c r="I29" s="1">
        <f>IF($B29=0,"",RANK(H29,H$8:H$73,0)+COUNTIF(H$8:H29,H29)-1)</f>
        <v>57</v>
      </c>
      <c r="J29" s="1">
        <f ca="1" t="shared" si="80"/>
        <v>57</v>
      </c>
      <c r="K29" s="273">
        <f ca="1" t="shared" si="81"/>
        <v>-1.11</v>
      </c>
      <c r="L29" s="275">
        <f ca="1" t="shared" si="82"/>
        <v>-13</v>
      </c>
      <c r="M29" s="1">
        <f t="shared" si="83"/>
        <v>53</v>
      </c>
      <c r="N29" s="269">
        <f t="shared" si="84"/>
        <v>22</v>
      </c>
      <c r="O29" s="269">
        <f t="shared" si="85"/>
        <v>1</v>
      </c>
      <c r="P29" s="269">
        <f t="shared" si="86"/>
        <v>1</v>
      </c>
      <c r="Q29" s="268">
        <f t="shared" si="87"/>
        <v>22</v>
      </c>
      <c r="R29" s="1" t="str">
        <f t="shared" si="88"/>
        <v>Taipei</v>
      </c>
      <c r="S29" s="277">
        <f t="shared" si="89"/>
        <v>80.7</v>
      </c>
      <c r="T29" s="277">
        <f ca="1" t="shared" si="90"/>
        <v>3.11</v>
      </c>
      <c r="U29" s="277" t="b">
        <f ca="1" t="shared" si="91"/>
        <v>0</v>
      </c>
      <c r="V29" s="277">
        <f ca="1" t="shared" si="92"/>
        <v>-8</v>
      </c>
      <c r="W29" s="277" t="b">
        <f ca="1" t="shared" si="93"/>
        <v>0</v>
      </c>
      <c r="X29" s="294" t="str">
        <f ca="1" t="shared" si="94"/>
        <v/>
      </c>
      <c r="Y29" s="1">
        <f t="shared" si="1"/>
        <v>36.6</v>
      </c>
      <c r="Z29" s="1">
        <f>IF($B29=0,"",RANK(Y29,Y$8:Y$73,0)+COUNTIF(Y$8:Y29,Y29)-1)</f>
        <v>60</v>
      </c>
      <c r="AA29" s="1">
        <f ca="1" t="shared" si="95"/>
        <v>60</v>
      </c>
      <c r="AB29" s="273">
        <f ca="1" t="shared" si="96"/>
        <v>-8.38</v>
      </c>
      <c r="AC29" s="275">
        <f ca="1" t="shared" si="97"/>
        <v>-17</v>
      </c>
      <c r="AD29" s="1">
        <f t="shared" si="98"/>
        <v>31</v>
      </c>
      <c r="AE29" s="269">
        <f t="shared" si="99"/>
        <v>21</v>
      </c>
      <c r="AF29" s="269">
        <f t="shared" si="100"/>
        <v>2</v>
      </c>
      <c r="AG29" s="269">
        <f t="shared" si="101"/>
        <v>1</v>
      </c>
      <c r="AH29" s="268" t="str">
        <f t="shared" si="102"/>
        <v>=21</v>
      </c>
      <c r="AI29" s="1" t="str">
        <f t="shared" si="103"/>
        <v>Madrid</v>
      </c>
      <c r="AJ29" s="277">
        <f t="shared" si="104"/>
        <v>74.44</v>
      </c>
      <c r="AK29" s="277">
        <f ca="1" t="shared" si="105"/>
        <v>12.66</v>
      </c>
      <c r="AL29" s="277" t="b">
        <f ca="1" t="shared" si="106"/>
        <v>0</v>
      </c>
      <c r="AM29" s="277">
        <f ca="1" t="shared" si="107"/>
        <v>5</v>
      </c>
      <c r="AN29" s="277" t="b">
        <f ca="1" t="shared" si="108"/>
        <v>0</v>
      </c>
      <c r="AO29" s="294" t="str">
        <f ca="1" t="shared" si="109"/>
        <v/>
      </c>
      <c r="AP29" s="1">
        <f t="shared" si="2"/>
        <v>54.4</v>
      </c>
      <c r="AQ29" s="1">
        <f>IF($B29=0,"",RANK(AP29,AP$8:AP$73,0)+COUNTIF(AP$8:AP29,AP29)-1)</f>
        <v>56</v>
      </c>
      <c r="AR29" s="1">
        <f ca="1" t="shared" si="110"/>
        <v>56</v>
      </c>
      <c r="AS29" s="273">
        <f ca="1" t="shared" si="111"/>
        <v>-3.69</v>
      </c>
      <c r="AT29" s="275">
        <f ca="1" t="shared" si="112"/>
        <v>-18</v>
      </c>
      <c r="AU29" s="1">
        <f t="shared" si="113"/>
        <v>45</v>
      </c>
      <c r="AV29" s="269">
        <f t="shared" si="114"/>
        <v>22</v>
      </c>
      <c r="AW29" s="269">
        <f t="shared" si="115"/>
        <v>1</v>
      </c>
      <c r="AX29" s="269">
        <f t="shared" si="116"/>
        <v>1</v>
      </c>
      <c r="AY29" s="268">
        <f t="shared" si="117"/>
        <v>22</v>
      </c>
      <c r="AZ29" s="1" t="str">
        <f t="shared" si="118"/>
        <v>San Francisco</v>
      </c>
      <c r="BA29" s="277">
        <f t="shared" si="119"/>
        <v>74.15</v>
      </c>
      <c r="BB29" s="277">
        <f ca="1" t="shared" si="120"/>
        <v>-1.08</v>
      </c>
      <c r="BC29" s="277" t="b">
        <f ca="1" t="shared" si="121"/>
        <v>0</v>
      </c>
      <c r="BD29" s="277">
        <f ca="1" t="shared" si="122"/>
        <v>-6</v>
      </c>
      <c r="BE29" s="277" t="b">
        <f ca="1" t="shared" si="123"/>
        <v>0</v>
      </c>
      <c r="BF29" s="294" t="str">
        <f ca="1" t="shared" si="124"/>
        <v/>
      </c>
      <c r="BG29" s="1">
        <f t="shared" si="3"/>
        <v>63.32</v>
      </c>
      <c r="BH29" s="1">
        <f>IF($B29=0,"",RANK(BG29,BG$8:BG$73,0)+COUNTIF(BG$8:BG29,BG29)-1)</f>
        <v>49</v>
      </c>
      <c r="BI29" s="1">
        <f ca="1" t="shared" si="125"/>
        <v>49</v>
      </c>
      <c r="BJ29" s="273">
        <f ca="1" t="shared" si="126"/>
        <v>4.67</v>
      </c>
      <c r="BK29" s="275">
        <f ca="1" t="shared" si="127"/>
        <v>-6</v>
      </c>
      <c r="BL29" s="1">
        <f t="shared" si="128"/>
        <v>30</v>
      </c>
      <c r="BM29" s="269">
        <f t="shared" si="129"/>
        <v>22</v>
      </c>
      <c r="BN29" s="269">
        <f t="shared" si="130"/>
        <v>1</v>
      </c>
      <c r="BO29" s="269">
        <f t="shared" si="131"/>
        <v>1</v>
      </c>
      <c r="BP29" s="268">
        <f t="shared" si="132"/>
        <v>22</v>
      </c>
      <c r="BQ29" s="1" t="str">
        <f t="shared" si="133"/>
        <v>Los Angeles</v>
      </c>
      <c r="BR29" s="277">
        <f t="shared" si="134"/>
        <v>88.27</v>
      </c>
      <c r="BS29" s="277">
        <f ca="1" t="shared" si="135"/>
        <v>3.61</v>
      </c>
      <c r="BT29" s="277" t="b">
        <f ca="1" t="shared" si="136"/>
        <v>0</v>
      </c>
      <c r="BU29" s="277">
        <f ca="1" t="shared" si="137"/>
        <v>-4</v>
      </c>
      <c r="BV29" s="277" t="b">
        <f ca="1" t="shared" si="138"/>
        <v>0</v>
      </c>
      <c r="BW29" s="294" t="str">
        <f ca="1" t="shared" si="139"/>
        <v/>
      </c>
      <c r="BX29" s="1">
        <f t="shared" si="4"/>
        <v>59.24</v>
      </c>
      <c r="BY29" s="1">
        <f>IF($B29=0,"",RANK(BX29,BX$8:BX$73,0)+COUNTIF(BX$8:BX29,BX29)-1)</f>
        <v>51</v>
      </c>
      <c r="BZ29" s="1">
        <f ca="1" t="shared" si="140"/>
        <v>51</v>
      </c>
      <c r="CA29" s="273">
        <f ca="1" t="shared" si="141"/>
        <v>2.96</v>
      </c>
      <c r="CB29" s="275">
        <f ca="1" t="shared" si="142"/>
        <v>-7</v>
      </c>
      <c r="CC29" s="1">
        <f t="shared" si="143"/>
        <v>13</v>
      </c>
      <c r="CD29" s="269">
        <f t="shared" si="144"/>
        <v>22</v>
      </c>
      <c r="CE29" s="269">
        <f t="shared" si="145"/>
        <v>1</v>
      </c>
      <c r="CF29" s="269">
        <f t="shared" si="146"/>
        <v>1</v>
      </c>
      <c r="CG29" s="268">
        <f t="shared" si="147"/>
        <v>22</v>
      </c>
      <c r="CH29" s="1" t="str">
        <f t="shared" si="148"/>
        <v>Chicago</v>
      </c>
      <c r="CI29" s="277">
        <f t="shared" si="149"/>
        <v>82.84</v>
      </c>
      <c r="CJ29" s="277">
        <f ca="1" t="shared" si="150"/>
        <v>0.85</v>
      </c>
      <c r="CK29" s="277" t="b">
        <f ca="1" t="shared" si="151"/>
        <v>0</v>
      </c>
      <c r="CL29" s="277">
        <f ca="1" t="shared" si="152"/>
        <v>-7</v>
      </c>
      <c r="CM29" s="277" t="b">
        <f ca="1" t="shared" si="153"/>
        <v>0</v>
      </c>
      <c r="CN29" s="294" t="str">
        <f ca="1" t="shared" si="154"/>
        <v/>
      </c>
    </row>
    <row r="30" spans="1:92">
      <c r="A30" s="1">
        <f>tblTerritories!A25</f>
        <v>23</v>
      </c>
      <c r="B30" s="1">
        <f>IF(tblTerritories!F25="",0,tblTerritories!F25)</f>
        <v>1</v>
      </c>
      <c r="C30" s="1" t="str">
        <f>tblTerritories!C25</f>
        <v>Jeddah</v>
      </c>
      <c r="D30" s="1">
        <f>tblTerritories!D25</f>
        <v>1</v>
      </c>
      <c r="E30" s="1">
        <f>tblTerritories!K25</f>
        <v>0</v>
      </c>
      <c r="F30" s="1">
        <f>IF($A30="","",VLOOKUP(C30,tblTerritories!$J$3:$P$100,7,FALSE)+10)</f>
        <v>13</v>
      </c>
      <c r="H30" s="1">
        <f t="shared" si="0"/>
        <v>62.8</v>
      </c>
      <c r="I30" s="1">
        <f>IF($B30=0,"",RANK(H30,H$8:H$73,0)+COUNTIF(H$8:H30,H30)-1)</f>
        <v>42</v>
      </c>
      <c r="J30" s="1">
        <f ca="1" t="shared" si="80"/>
        <v>42</v>
      </c>
      <c r="K30" s="273" t="e">
        <f ca="1" t="shared" si="81"/>
        <v>#N/A</v>
      </c>
      <c r="L30" s="275" t="e">
        <f ca="1" t="shared" si="82"/>
        <v>#N/A</v>
      </c>
      <c r="M30" s="1">
        <f t="shared" si="83"/>
        <v>57</v>
      </c>
      <c r="N30" s="269">
        <f t="shared" si="84"/>
        <v>23</v>
      </c>
      <c r="O30" s="269">
        <f t="shared" si="85"/>
        <v>1</v>
      </c>
      <c r="P30" s="269">
        <f t="shared" si="86"/>
        <v>1</v>
      </c>
      <c r="Q30" s="268">
        <f t="shared" si="87"/>
        <v>23</v>
      </c>
      <c r="R30" s="1" t="str">
        <f t="shared" si="88"/>
        <v>Washington DC</v>
      </c>
      <c r="S30" s="277">
        <f t="shared" si="89"/>
        <v>80.37</v>
      </c>
      <c r="T30" s="277">
        <f ca="1" t="shared" si="90"/>
        <v>3.93</v>
      </c>
      <c r="U30" s="277" t="b">
        <f ca="1" t="shared" si="91"/>
        <v>0</v>
      </c>
      <c r="V30" s="277">
        <f ca="1" t="shared" si="92"/>
        <v>-5</v>
      </c>
      <c r="W30" s="277" t="b">
        <f ca="1" t="shared" si="93"/>
        <v>0</v>
      </c>
      <c r="X30" s="294" t="str">
        <f ca="1" t="shared" si="94"/>
        <v/>
      </c>
      <c r="Y30" s="1">
        <f t="shared" si="1"/>
        <v>65.86</v>
      </c>
      <c r="Z30" s="1">
        <f>IF($B30=0,"",RANK(Y30,Y$8:Y$73,0)+COUNTIF(Y$8:Y30,Y30)-1)</f>
        <v>32</v>
      </c>
      <c r="AA30" s="1">
        <f ca="1" t="shared" si="95"/>
        <v>32</v>
      </c>
      <c r="AB30" s="273" t="e">
        <f ca="1" t="shared" si="96"/>
        <v>#N/A</v>
      </c>
      <c r="AC30" s="275" t="e">
        <f ca="1" t="shared" si="97"/>
        <v>#N/A</v>
      </c>
      <c r="AD30" s="1">
        <f t="shared" si="98"/>
        <v>9</v>
      </c>
      <c r="AE30" s="269">
        <f t="shared" si="99"/>
        <v>23</v>
      </c>
      <c r="AF30" s="269">
        <f t="shared" si="100"/>
        <v>1</v>
      </c>
      <c r="AG30" s="269">
        <f t="shared" si="101"/>
        <v>1</v>
      </c>
      <c r="AH30" s="268">
        <f t="shared" si="102"/>
        <v>23</v>
      </c>
      <c r="AI30" s="1" t="str">
        <f t="shared" si="103"/>
        <v>Buenos Aires</v>
      </c>
      <c r="AJ30" s="277">
        <f t="shared" si="104"/>
        <v>74.14</v>
      </c>
      <c r="AK30" s="277">
        <f ca="1" t="shared" si="105"/>
        <v>4.56</v>
      </c>
      <c r="AL30" s="277" t="b">
        <f ca="1" t="shared" si="106"/>
        <v>0</v>
      </c>
      <c r="AM30" s="277">
        <f ca="1" t="shared" si="107"/>
        <v>-9</v>
      </c>
      <c r="AN30" s="277" t="b">
        <f ca="1" t="shared" si="108"/>
        <v>0</v>
      </c>
      <c r="AO30" s="294" t="str">
        <f ca="1" t="shared" si="109"/>
        <v/>
      </c>
      <c r="AP30" s="1">
        <f t="shared" si="2"/>
        <v>63.56</v>
      </c>
      <c r="AQ30" s="1">
        <f>IF($B30=0,"",RANK(AP30,AP$8:AP$73,0)+COUNTIF(AP$8:AP30,AP30)-1)</f>
        <v>43</v>
      </c>
      <c r="AR30" s="1">
        <f ca="1" t="shared" si="110"/>
        <v>43</v>
      </c>
      <c r="AS30" s="273" t="e">
        <f ca="1" t="shared" si="111"/>
        <v>#N/A</v>
      </c>
      <c r="AT30" s="275" t="e">
        <f ca="1" t="shared" si="112"/>
        <v>#N/A</v>
      </c>
      <c r="AU30" s="1">
        <f t="shared" si="113"/>
        <v>57</v>
      </c>
      <c r="AV30" s="269">
        <f t="shared" si="114"/>
        <v>23</v>
      </c>
      <c r="AW30" s="269">
        <f t="shared" si="115"/>
        <v>1</v>
      </c>
      <c r="AX30" s="269">
        <f t="shared" si="116"/>
        <v>1</v>
      </c>
      <c r="AY30" s="268">
        <f t="shared" si="117"/>
        <v>23</v>
      </c>
      <c r="AZ30" s="1" t="str">
        <f t="shared" si="118"/>
        <v>Washington DC</v>
      </c>
      <c r="BA30" s="277">
        <f t="shared" si="119"/>
        <v>73.38</v>
      </c>
      <c r="BB30" s="277">
        <f ca="1" t="shared" si="120"/>
        <v>-1.74</v>
      </c>
      <c r="BC30" s="277" t="b">
        <f ca="1" t="shared" si="121"/>
        <v>0</v>
      </c>
      <c r="BD30" s="277">
        <f ca="1" t="shared" si="122"/>
        <v>-6</v>
      </c>
      <c r="BE30" s="277" t="b">
        <f ca="1" t="shared" si="123"/>
        <v>0</v>
      </c>
      <c r="BF30" s="294" t="str">
        <f ca="1" t="shared" si="124"/>
        <v/>
      </c>
      <c r="BG30" s="1">
        <f t="shared" si="3"/>
        <v>61.74</v>
      </c>
      <c r="BH30" s="1">
        <f>IF($B30=0,"",RANK(BG30,BG$8:BG$73,0)+COUNTIF(BG$8:BG30,BG30)-1)</f>
        <v>50</v>
      </c>
      <c r="BI30" s="1">
        <f ca="1" t="shared" si="125"/>
        <v>50</v>
      </c>
      <c r="BJ30" s="273" t="e">
        <f ca="1" t="shared" si="126"/>
        <v>#N/A</v>
      </c>
      <c r="BK30" s="275" t="e">
        <f ca="1" t="shared" si="127"/>
        <v>#N/A</v>
      </c>
      <c r="BL30" s="1">
        <f t="shared" si="128"/>
        <v>18</v>
      </c>
      <c r="BM30" s="269">
        <f t="shared" si="129"/>
        <v>23</v>
      </c>
      <c r="BN30" s="269">
        <f t="shared" si="130"/>
        <v>1</v>
      </c>
      <c r="BO30" s="269">
        <f t="shared" si="131"/>
        <v>1</v>
      </c>
      <c r="BP30" s="268">
        <f t="shared" si="132"/>
        <v>23</v>
      </c>
      <c r="BQ30" s="1" t="str">
        <f t="shared" si="133"/>
        <v>Frankfurt</v>
      </c>
      <c r="BR30" s="277">
        <f t="shared" si="134"/>
        <v>88.16</v>
      </c>
      <c r="BS30" s="277">
        <f ca="1" t="shared" si="135"/>
        <v>2.36</v>
      </c>
      <c r="BT30" s="277" t="b">
        <f ca="1" t="shared" si="136"/>
        <v>0</v>
      </c>
      <c r="BU30" s="277">
        <f ca="1" t="shared" si="137"/>
        <v>-7</v>
      </c>
      <c r="BV30" s="277" t="b">
        <f ca="1" t="shared" si="138"/>
        <v>0</v>
      </c>
      <c r="BW30" s="294" t="str">
        <f ca="1" t="shared" si="139"/>
        <v/>
      </c>
      <c r="BX30" s="1">
        <f t="shared" si="4"/>
        <v>60.05</v>
      </c>
      <c r="BY30" s="1">
        <f>IF($B30=0,"",RANK(BX30,BX$8:BX$73,0)+COUNTIF(BX$8:BX30,BX30)-1)</f>
        <v>50</v>
      </c>
      <c r="BZ30" s="1">
        <f ca="1" t="shared" si="140"/>
        <v>50</v>
      </c>
      <c r="CA30" s="273" t="e">
        <f ca="1" t="shared" si="141"/>
        <v>#N/A</v>
      </c>
      <c r="CB30" s="275" t="e">
        <f ca="1" t="shared" si="142"/>
        <v>#N/A</v>
      </c>
      <c r="CC30" s="1">
        <f t="shared" si="143"/>
        <v>8</v>
      </c>
      <c r="CD30" s="269">
        <f t="shared" si="144"/>
        <v>23</v>
      </c>
      <c r="CE30" s="269">
        <f t="shared" si="145"/>
        <v>1</v>
      </c>
      <c r="CF30" s="269">
        <f t="shared" si="146"/>
        <v>1</v>
      </c>
      <c r="CG30" s="268">
        <f t="shared" si="147"/>
        <v>23</v>
      </c>
      <c r="CH30" s="1" t="str">
        <f t="shared" si="148"/>
        <v>Brussels</v>
      </c>
      <c r="CI30" s="277">
        <f t="shared" si="149"/>
        <v>82.09</v>
      </c>
      <c r="CJ30" s="277">
        <f ca="1" t="shared" si="150"/>
        <v>17.54</v>
      </c>
      <c r="CK30" s="277" t="b">
        <f ca="1" t="shared" si="151"/>
        <v>0</v>
      </c>
      <c r="CL30" s="277">
        <f ca="1" t="shared" si="152"/>
        <v>9</v>
      </c>
      <c r="CM30" s="277" t="b">
        <f ca="1" t="shared" si="153"/>
        <v>0</v>
      </c>
      <c r="CN30" s="294" t="str">
        <f ca="1" t="shared" si="154"/>
        <v/>
      </c>
    </row>
    <row r="31" spans="1:92">
      <c r="A31" s="1">
        <f>tblTerritories!A26</f>
        <v>24</v>
      </c>
      <c r="B31" s="1">
        <f>IF(tblTerritories!F26="",0,tblTerritories!F26)</f>
        <v>1</v>
      </c>
      <c r="C31" s="1" t="str">
        <f>tblTerritories!C26</f>
        <v>Johannesburg</v>
      </c>
      <c r="D31" s="1">
        <f>tblTerritories!D26</f>
        <v>1</v>
      </c>
      <c r="E31" s="1">
        <f>tblTerritories!K26</f>
        <v>0</v>
      </c>
      <c r="F31" s="1">
        <f>IF($A31="","",VLOOKUP(C31,tblTerritories!$J$3:$P$100,7,FALSE)+10)</f>
        <v>13</v>
      </c>
      <c r="H31" s="1">
        <f t="shared" si="0"/>
        <v>59.17</v>
      </c>
      <c r="I31" s="1">
        <f>IF($B31=0,"",RANK(H31,H$8:H$73,0)+COUNTIF(H$8:H31,H31)-1)</f>
        <v>50</v>
      </c>
      <c r="J31" s="1">
        <f ca="1" t="shared" si="80"/>
        <v>50</v>
      </c>
      <c r="K31" s="273">
        <f ca="1" t="shared" si="81"/>
        <v>-0.15</v>
      </c>
      <c r="L31" s="275">
        <f ca="1" t="shared" si="82"/>
        <v>-9</v>
      </c>
      <c r="M31" s="1">
        <f t="shared" si="83"/>
        <v>40</v>
      </c>
      <c r="N31" s="269">
        <f t="shared" si="84"/>
        <v>24</v>
      </c>
      <c r="O31" s="269">
        <f t="shared" si="85"/>
        <v>1</v>
      </c>
      <c r="P31" s="269">
        <f t="shared" si="86"/>
        <v>1</v>
      </c>
      <c r="Q31" s="268">
        <f t="shared" si="87"/>
        <v>24</v>
      </c>
      <c r="R31" s="1" t="str">
        <f t="shared" si="88"/>
        <v>Paris</v>
      </c>
      <c r="S31" s="277">
        <f t="shared" si="89"/>
        <v>79.71</v>
      </c>
      <c r="T31" s="277">
        <f ca="1" t="shared" si="90"/>
        <v>6.5</v>
      </c>
      <c r="U31" s="277" t="b">
        <f ca="1" t="shared" si="91"/>
        <v>0</v>
      </c>
      <c r="V31" s="277">
        <f ca="1" t="shared" si="92"/>
        <v>-2</v>
      </c>
      <c r="W31" s="277" t="b">
        <f ca="1" t="shared" si="93"/>
        <v>0</v>
      </c>
      <c r="X31" s="294" t="str">
        <f ca="1" t="shared" si="94"/>
        <v/>
      </c>
      <c r="Y31" s="1">
        <f t="shared" si="1"/>
        <v>66.28</v>
      </c>
      <c r="Z31" s="1">
        <f>IF($B31=0,"",RANK(Y31,Y$8:Y$73,0)+COUNTIF(Y$8:Y31,Y31)-1)</f>
        <v>29</v>
      </c>
      <c r="AA31" s="1">
        <f ca="1" t="shared" si="95"/>
        <v>29</v>
      </c>
      <c r="AB31" s="273">
        <f ca="1" t="shared" si="96"/>
        <v>7.88</v>
      </c>
      <c r="AC31" s="275">
        <f ca="1" t="shared" si="97"/>
        <v>4</v>
      </c>
      <c r="AD31" s="1">
        <f t="shared" si="98"/>
        <v>29</v>
      </c>
      <c r="AE31" s="269">
        <f t="shared" si="99"/>
        <v>24</v>
      </c>
      <c r="AF31" s="269">
        <f t="shared" si="100"/>
        <v>1</v>
      </c>
      <c r="AG31" s="269">
        <f t="shared" si="101"/>
        <v>1</v>
      </c>
      <c r="AH31" s="268">
        <f t="shared" si="102"/>
        <v>24</v>
      </c>
      <c r="AI31" s="1" t="str">
        <f t="shared" si="103"/>
        <v>London</v>
      </c>
      <c r="AJ31" s="277">
        <f t="shared" si="104"/>
        <v>73.36</v>
      </c>
      <c r="AK31" s="277">
        <f ca="1" t="shared" si="105"/>
        <v>2.94</v>
      </c>
      <c r="AL31" s="277" t="b">
        <f ca="1" t="shared" si="106"/>
        <v>0</v>
      </c>
      <c r="AM31" s="277">
        <f ca="1" t="shared" si="107"/>
        <v>-12</v>
      </c>
      <c r="AN31" s="277" t="b">
        <f ca="1" t="shared" si="108"/>
        <v>0</v>
      </c>
      <c r="AO31" s="294" t="str">
        <f ca="1" t="shared" si="109"/>
        <v/>
      </c>
      <c r="AP31" s="1">
        <f t="shared" si="2"/>
        <v>57.71</v>
      </c>
      <c r="AQ31" s="1">
        <f>IF($B31=0,"",RANK(AP31,AP$8:AP$73,0)+COUNTIF(AP$8:AP31,AP31)-1)</f>
        <v>52</v>
      </c>
      <c r="AR31" s="1">
        <f ca="1" t="shared" si="110"/>
        <v>52</v>
      </c>
      <c r="AS31" s="273">
        <f ca="1" t="shared" si="111"/>
        <v>1.98</v>
      </c>
      <c r="AT31" s="275">
        <f ca="1" t="shared" si="112"/>
        <v>-11</v>
      </c>
      <c r="AU31" s="1">
        <f t="shared" si="113"/>
        <v>20</v>
      </c>
      <c r="AV31" s="269">
        <f t="shared" si="114"/>
        <v>24</v>
      </c>
      <c r="AW31" s="269">
        <f t="shared" si="115"/>
        <v>1</v>
      </c>
      <c r="AX31" s="269">
        <f t="shared" si="116"/>
        <v>1</v>
      </c>
      <c r="AY31" s="268">
        <f t="shared" si="117"/>
        <v>24</v>
      </c>
      <c r="AZ31" s="1" t="str">
        <f t="shared" si="118"/>
        <v>Hong Kong</v>
      </c>
      <c r="BA31" s="277">
        <f t="shared" si="119"/>
        <v>73.29</v>
      </c>
      <c r="BB31" s="277">
        <f ca="1" t="shared" si="120"/>
        <v>5.87</v>
      </c>
      <c r="BC31" s="277" t="b">
        <f ca="1" t="shared" si="121"/>
        <v>0</v>
      </c>
      <c r="BD31" s="277">
        <f ca="1" t="shared" si="122"/>
        <v>5</v>
      </c>
      <c r="BE31" s="277" t="b">
        <f ca="1" t="shared" si="123"/>
        <v>0</v>
      </c>
      <c r="BF31" s="294" t="str">
        <f ca="1" t="shared" si="124"/>
        <v/>
      </c>
      <c r="BG31" s="1">
        <f t="shared" si="3"/>
        <v>55.06</v>
      </c>
      <c r="BH31" s="1">
        <f>IF($B31=0,"",RANK(BG31,BG$8:BG$73,0)+COUNTIF(BG$8:BG31,BG31)-1)</f>
        <v>55</v>
      </c>
      <c r="BI31" s="1">
        <f ca="1" t="shared" si="125"/>
        <v>55</v>
      </c>
      <c r="BJ31" s="273">
        <f ca="1" t="shared" si="126"/>
        <v>-9.09</v>
      </c>
      <c r="BK31" s="275">
        <f ca="1" t="shared" si="127"/>
        <v>-16</v>
      </c>
      <c r="BL31" s="1">
        <f t="shared" si="128"/>
        <v>9</v>
      </c>
      <c r="BM31" s="269">
        <f t="shared" si="129"/>
        <v>24</v>
      </c>
      <c r="BN31" s="269">
        <f t="shared" si="130"/>
        <v>1</v>
      </c>
      <c r="BO31" s="269">
        <f t="shared" si="131"/>
        <v>1</v>
      </c>
      <c r="BP31" s="268">
        <f t="shared" si="132"/>
        <v>24</v>
      </c>
      <c r="BQ31" s="1" t="str">
        <f t="shared" si="133"/>
        <v>Buenos Aires</v>
      </c>
      <c r="BR31" s="277">
        <f t="shared" si="134"/>
        <v>87.99</v>
      </c>
      <c r="BS31" s="277">
        <f ca="1" t="shared" si="135"/>
        <v>9.33</v>
      </c>
      <c r="BT31" s="277" t="b">
        <f ca="1" t="shared" si="136"/>
        <v>0</v>
      </c>
      <c r="BU31" s="277">
        <f ca="1" t="shared" si="137"/>
        <v>1</v>
      </c>
      <c r="BV31" s="277" t="b">
        <f ca="1" t="shared" si="138"/>
        <v>0</v>
      </c>
      <c r="BW31" s="294" t="str">
        <f ca="1" t="shared" si="139"/>
        <v/>
      </c>
      <c r="BX31" s="1">
        <f t="shared" si="4"/>
        <v>57.65</v>
      </c>
      <c r="BY31" s="1">
        <f>IF($B31=0,"",RANK(BX31,BX$8:BX$73,0)+COUNTIF(BX$8:BX31,BX31)-1)</f>
        <v>54</v>
      </c>
      <c r="BZ31" s="1">
        <f ca="1" t="shared" si="140"/>
        <v>54</v>
      </c>
      <c r="CA31" s="273">
        <f ca="1" t="shared" si="141"/>
        <v>-1.36</v>
      </c>
      <c r="CB31" s="275">
        <f ca="1" t="shared" si="142"/>
        <v>-14</v>
      </c>
      <c r="CC31" s="1">
        <f t="shared" si="143"/>
        <v>26</v>
      </c>
      <c r="CD31" s="269">
        <f t="shared" si="144"/>
        <v>24</v>
      </c>
      <c r="CE31" s="269">
        <f t="shared" si="145"/>
        <v>1</v>
      </c>
      <c r="CF31" s="269">
        <f t="shared" si="146"/>
        <v>1</v>
      </c>
      <c r="CG31" s="268">
        <f t="shared" si="147"/>
        <v>24</v>
      </c>
      <c r="CH31" s="1" t="str">
        <f t="shared" si="148"/>
        <v>Kuala Lumpur</v>
      </c>
      <c r="CI31" s="277">
        <f t="shared" si="149"/>
        <v>81.02</v>
      </c>
      <c r="CJ31" s="277" t="str">
        <f ca="1" t="shared" si="150"/>
        <v/>
      </c>
      <c r="CK31" s="277" t="b">
        <f ca="1" t="shared" si="151"/>
        <v>0</v>
      </c>
      <c r="CL31" s="277" t="str">
        <f ca="1" t="shared" si="152"/>
        <v/>
      </c>
      <c r="CM31" s="277" t="b">
        <f ca="1" t="shared" si="153"/>
        <v>0</v>
      </c>
      <c r="CN31" s="294" t="str">
        <f ca="1" t="shared" si="154"/>
        <v> *</v>
      </c>
    </row>
    <row r="32" spans="1:92">
      <c r="A32" s="1">
        <f>tblTerritories!A27</f>
        <v>25</v>
      </c>
      <c r="B32" s="1">
        <f>IF(tblTerritories!F27="",0,tblTerritories!F27)</f>
        <v>1</v>
      </c>
      <c r="C32" s="1" t="str">
        <f>tblTerritories!C27</f>
        <v>Karachi</v>
      </c>
      <c r="D32" s="1">
        <f>tblTerritories!D27</f>
        <v>1</v>
      </c>
      <c r="E32" s="1">
        <f>tblTerritories!K27</f>
        <v>0</v>
      </c>
      <c r="F32" s="1">
        <f>IF($A32="","",VLOOKUP(C32,tblTerritories!$J$3:$P$100,7,FALSE)+10)</f>
        <v>18</v>
      </c>
      <c r="H32" s="1">
        <f t="shared" si="0"/>
        <v>38.77</v>
      </c>
      <c r="I32" s="1">
        <f>IF($B32=0,"",RANK(H32,H$8:H$73,0)+COUNTIF(H$8:H32,H32)-1)</f>
        <v>60</v>
      </c>
      <c r="J32" s="1">
        <f ca="1" t="shared" si="80"/>
        <v>60</v>
      </c>
      <c r="K32" s="273" t="e">
        <f ca="1" t="shared" si="81"/>
        <v>#N/A</v>
      </c>
      <c r="L32" s="275" t="e">
        <f ca="1" t="shared" si="82"/>
        <v>#N/A</v>
      </c>
      <c r="M32" s="1">
        <f t="shared" si="83"/>
        <v>35</v>
      </c>
      <c r="N32" s="269">
        <f t="shared" si="84"/>
        <v>25</v>
      </c>
      <c r="O32" s="269">
        <f t="shared" si="85"/>
        <v>1</v>
      </c>
      <c r="P32" s="269">
        <f t="shared" si="86"/>
        <v>1</v>
      </c>
      <c r="Q32" s="268">
        <f t="shared" si="87"/>
        <v>25</v>
      </c>
      <c r="R32" s="1" t="str">
        <f t="shared" si="88"/>
        <v>Milan</v>
      </c>
      <c r="S32" s="277">
        <f t="shared" si="89"/>
        <v>79.3</v>
      </c>
      <c r="T32" s="277">
        <f ca="1" t="shared" si="90"/>
        <v>6.72</v>
      </c>
      <c r="U32" s="277" t="b">
        <f ca="1" t="shared" si="91"/>
        <v>0</v>
      </c>
      <c r="V32" s="277">
        <f ca="1" t="shared" si="92"/>
        <v>-1</v>
      </c>
      <c r="W32" s="277" t="b">
        <f ca="1" t="shared" si="93"/>
        <v>0</v>
      </c>
      <c r="X32" s="294" t="str">
        <f ca="1" t="shared" si="94"/>
        <v/>
      </c>
      <c r="Y32" s="1">
        <f t="shared" si="1"/>
        <v>43.22</v>
      </c>
      <c r="Z32" s="1">
        <f>IF($B32=0,"",RANK(Y32,Y$8:Y$73,0)+COUNTIF(Y$8:Y32,Y32)-1)</f>
        <v>54</v>
      </c>
      <c r="AA32" s="1">
        <f ca="1" t="shared" si="95"/>
        <v>54</v>
      </c>
      <c r="AB32" s="273" t="e">
        <f ca="1" t="shared" si="96"/>
        <v>#N/A</v>
      </c>
      <c r="AC32" s="275" t="e">
        <f ca="1" t="shared" si="97"/>
        <v>#N/A</v>
      </c>
      <c r="AD32" s="1">
        <f t="shared" si="98"/>
        <v>35</v>
      </c>
      <c r="AE32" s="269">
        <f t="shared" si="99"/>
        <v>25</v>
      </c>
      <c r="AF32" s="269">
        <f t="shared" si="100"/>
        <v>1</v>
      </c>
      <c r="AG32" s="269">
        <f t="shared" si="101"/>
        <v>1</v>
      </c>
      <c r="AH32" s="268">
        <f t="shared" si="102"/>
        <v>25</v>
      </c>
      <c r="AI32" s="1" t="str">
        <f t="shared" si="103"/>
        <v>Milan</v>
      </c>
      <c r="AJ32" s="277">
        <f t="shared" si="104"/>
        <v>73.29</v>
      </c>
      <c r="AK32" s="277">
        <f ca="1" t="shared" si="105"/>
        <v>5.17</v>
      </c>
      <c r="AL32" s="277" t="b">
        <f ca="1" t="shared" si="106"/>
        <v>0</v>
      </c>
      <c r="AM32" s="277">
        <f ca="1" t="shared" si="107"/>
        <v>-9</v>
      </c>
      <c r="AN32" s="277" t="b">
        <f ca="1" t="shared" si="108"/>
        <v>0</v>
      </c>
      <c r="AO32" s="294" t="str">
        <f ca="1" t="shared" si="109"/>
        <v/>
      </c>
      <c r="AP32" s="1">
        <f t="shared" si="2"/>
        <v>39.92</v>
      </c>
      <c r="AQ32" s="1">
        <f>IF($B32=0,"",RANK(AP32,AP$8:AP$73,0)+COUNTIF(AP$8:AP32,AP32)-1)</f>
        <v>60</v>
      </c>
      <c r="AR32" s="1">
        <f ca="1" t="shared" si="110"/>
        <v>60</v>
      </c>
      <c r="AS32" s="273" t="e">
        <f ca="1" t="shared" si="111"/>
        <v>#N/A</v>
      </c>
      <c r="AT32" s="275" t="e">
        <f ca="1" t="shared" si="112"/>
        <v>#N/A</v>
      </c>
      <c r="AU32" s="1">
        <f t="shared" si="113"/>
        <v>36</v>
      </c>
      <c r="AV32" s="269">
        <f t="shared" si="114"/>
        <v>25</v>
      </c>
      <c r="AW32" s="269">
        <f t="shared" si="115"/>
        <v>1</v>
      </c>
      <c r="AX32" s="269">
        <f t="shared" si="116"/>
        <v>1</v>
      </c>
      <c r="AY32" s="268">
        <f t="shared" si="117"/>
        <v>25</v>
      </c>
      <c r="AZ32" s="1" t="str">
        <f t="shared" si="118"/>
        <v>Moscow</v>
      </c>
      <c r="BA32" s="277">
        <f t="shared" si="119"/>
        <v>72.59</v>
      </c>
      <c r="BB32" s="277">
        <f ca="1" t="shared" si="120"/>
        <v>1.52</v>
      </c>
      <c r="BC32" s="277" t="b">
        <f ca="1" t="shared" si="121"/>
        <v>0</v>
      </c>
      <c r="BD32" s="277">
        <f ca="1" t="shared" si="122"/>
        <v>-3</v>
      </c>
      <c r="BE32" s="277" t="b">
        <f ca="1" t="shared" si="123"/>
        <v>0</v>
      </c>
      <c r="BF32" s="294" t="str">
        <f ca="1" t="shared" si="124"/>
        <v/>
      </c>
      <c r="BG32" s="1">
        <f t="shared" si="3"/>
        <v>40.11</v>
      </c>
      <c r="BH32" s="1">
        <f>IF($B32=0,"",RANK(BG32,BG$8:BG$73,0)+COUNTIF(BG$8:BG32,BG32)-1)</f>
        <v>59</v>
      </c>
      <c r="BI32" s="1">
        <f ca="1" t="shared" si="125"/>
        <v>59</v>
      </c>
      <c r="BJ32" s="273" t="e">
        <f ca="1" t="shared" si="126"/>
        <v>#N/A</v>
      </c>
      <c r="BK32" s="275" t="e">
        <f ca="1" t="shared" si="127"/>
        <v>#N/A</v>
      </c>
      <c r="BL32" s="1">
        <f t="shared" si="128"/>
        <v>48</v>
      </c>
      <c r="BM32" s="269">
        <f t="shared" si="129"/>
        <v>25</v>
      </c>
      <c r="BN32" s="269">
        <f t="shared" si="130"/>
        <v>1</v>
      </c>
      <c r="BO32" s="269">
        <f t="shared" si="131"/>
        <v>1</v>
      </c>
      <c r="BP32" s="268">
        <f t="shared" si="132"/>
        <v>25</v>
      </c>
      <c r="BQ32" s="1" t="str">
        <f t="shared" si="133"/>
        <v>Seoul</v>
      </c>
      <c r="BR32" s="277">
        <f t="shared" si="134"/>
        <v>87.93</v>
      </c>
      <c r="BS32" s="277">
        <f ca="1" t="shared" si="135"/>
        <v>0.95</v>
      </c>
      <c r="BT32" s="277" t="b">
        <f ca="1" t="shared" si="136"/>
        <v>0</v>
      </c>
      <c r="BU32" s="277">
        <f ca="1" t="shared" si="137"/>
        <v>-12</v>
      </c>
      <c r="BV32" s="277" t="b">
        <f ca="1" t="shared" si="138"/>
        <v>0</v>
      </c>
      <c r="BW32" s="294" t="str">
        <f ca="1" t="shared" si="139"/>
        <v/>
      </c>
      <c r="BX32" s="1">
        <f t="shared" si="4"/>
        <v>31.85</v>
      </c>
      <c r="BY32" s="1">
        <f>IF($B32=0,"",RANK(BX32,BX$8:BX$73,0)+COUNTIF(BX$8:BX32,BX32)-1)</f>
        <v>60</v>
      </c>
      <c r="BZ32" s="1">
        <f ca="1" t="shared" si="140"/>
        <v>60</v>
      </c>
      <c r="CA32" s="273" t="e">
        <f ca="1" t="shared" si="141"/>
        <v>#N/A</v>
      </c>
      <c r="CB32" s="275" t="e">
        <f ca="1" t="shared" si="142"/>
        <v>#N/A</v>
      </c>
      <c r="CC32" s="1">
        <f t="shared" si="143"/>
        <v>38</v>
      </c>
      <c r="CD32" s="269">
        <f t="shared" si="144"/>
        <v>25</v>
      </c>
      <c r="CE32" s="269">
        <f t="shared" si="145"/>
        <v>1</v>
      </c>
      <c r="CF32" s="269">
        <f t="shared" si="146"/>
        <v>1</v>
      </c>
      <c r="CG32" s="268">
        <f t="shared" si="147"/>
        <v>25</v>
      </c>
      <c r="CH32" s="1" t="str">
        <f t="shared" si="148"/>
        <v>New York</v>
      </c>
      <c r="CI32" s="277">
        <f t="shared" si="149"/>
        <v>80.98</v>
      </c>
      <c r="CJ32" s="277">
        <f ca="1" t="shared" si="150"/>
        <v>1.51</v>
      </c>
      <c r="CK32" s="277" t="b">
        <f ca="1" t="shared" si="151"/>
        <v>0</v>
      </c>
      <c r="CL32" s="277">
        <f ca="1" t="shared" si="152"/>
        <v>-5</v>
      </c>
      <c r="CM32" s="277" t="b">
        <f ca="1" t="shared" si="153"/>
        <v>0</v>
      </c>
      <c r="CN32" s="294" t="str">
        <f ca="1" t="shared" si="154"/>
        <v/>
      </c>
    </row>
    <row r="33" spans="1:92">
      <c r="A33" s="1">
        <f>tblTerritories!A28</f>
        <v>26</v>
      </c>
      <c r="B33" s="1">
        <f>IF(tblTerritories!F28="",0,tblTerritories!F28)</f>
        <v>1</v>
      </c>
      <c r="C33" s="1" t="str">
        <f>tblTerritories!C28</f>
        <v>Kuala Lumpur</v>
      </c>
      <c r="D33" s="1">
        <f>tblTerritories!D28</f>
        <v>1</v>
      </c>
      <c r="E33" s="1">
        <f>tblTerritories!K28</f>
        <v>0</v>
      </c>
      <c r="F33" s="1">
        <f>IF($A33="","",VLOOKUP(C33,tblTerritories!$J$3:$P$100,7,FALSE)+10)</f>
        <v>17</v>
      </c>
      <c r="H33" s="1">
        <f t="shared" si="0"/>
        <v>73.11</v>
      </c>
      <c r="I33" s="1">
        <f>IF($B33=0,"",RANK(H33,H$8:H$73,0)+COUNTIF(H$8:H33,H33)-1)</f>
        <v>31</v>
      </c>
      <c r="J33" s="1">
        <f ca="1" t="shared" si="80"/>
        <v>31</v>
      </c>
      <c r="K33" s="273" t="e">
        <f ca="1" t="shared" si="81"/>
        <v>#N/A</v>
      </c>
      <c r="L33" s="275" t="e">
        <f ca="1" t="shared" si="82"/>
        <v>#N/A</v>
      </c>
      <c r="M33" s="1">
        <f t="shared" si="83"/>
        <v>14</v>
      </c>
      <c r="N33" s="269">
        <f t="shared" si="84"/>
        <v>26</v>
      </c>
      <c r="O33" s="269">
        <f t="shared" si="85"/>
        <v>1</v>
      </c>
      <c r="P33" s="269">
        <f t="shared" si="86"/>
        <v>1</v>
      </c>
      <c r="Q33" s="268">
        <f t="shared" si="87"/>
        <v>26</v>
      </c>
      <c r="R33" s="1" t="str">
        <f t="shared" si="88"/>
        <v>Dallas</v>
      </c>
      <c r="S33" s="277">
        <f t="shared" si="89"/>
        <v>78.73</v>
      </c>
      <c r="T33" s="277" t="str">
        <f ca="1" t="shared" si="90"/>
        <v/>
      </c>
      <c r="U33" s="277" t="b">
        <f ca="1" t="shared" si="91"/>
        <v>0</v>
      </c>
      <c r="V33" s="277" t="str">
        <f ca="1" t="shared" si="92"/>
        <v/>
      </c>
      <c r="W33" s="277" t="b">
        <f ca="1" t="shared" si="93"/>
        <v>0</v>
      </c>
      <c r="X33" s="294" t="str">
        <f ca="1" t="shared" si="94"/>
        <v> *</v>
      </c>
      <c r="Y33" s="1">
        <f t="shared" si="1"/>
        <v>66.17</v>
      </c>
      <c r="Z33" s="1">
        <f>IF($B33=0,"",RANK(Y33,Y$8:Y$73,0)+COUNTIF(Y$8:Y33,Y33)-1)</f>
        <v>30</v>
      </c>
      <c r="AA33" s="1">
        <f ca="1" t="shared" si="95"/>
        <v>30</v>
      </c>
      <c r="AB33" s="273" t="e">
        <f ca="1" t="shared" si="96"/>
        <v>#N/A</v>
      </c>
      <c r="AC33" s="275" t="e">
        <f ca="1" t="shared" si="97"/>
        <v>#N/A</v>
      </c>
      <c r="AD33" s="1">
        <f t="shared" si="98"/>
        <v>44</v>
      </c>
      <c r="AE33" s="269">
        <f t="shared" si="99"/>
        <v>26</v>
      </c>
      <c r="AF33" s="269">
        <f t="shared" si="100"/>
        <v>1</v>
      </c>
      <c r="AG33" s="269">
        <f t="shared" si="101"/>
        <v>1</v>
      </c>
      <c r="AH33" s="268">
        <f t="shared" si="102"/>
        <v>26</v>
      </c>
      <c r="AI33" s="1" t="str">
        <f t="shared" si="103"/>
        <v>Rome</v>
      </c>
      <c r="AJ33" s="277">
        <f t="shared" si="104"/>
        <v>71.62</v>
      </c>
      <c r="AK33" s="277">
        <f ca="1" t="shared" si="105"/>
        <v>9.45</v>
      </c>
      <c r="AL33" s="277" t="b">
        <f ca="1" t="shared" si="106"/>
        <v>0</v>
      </c>
      <c r="AM33" s="277">
        <f ca="1" t="shared" si="107"/>
        <v>-1</v>
      </c>
      <c r="AN33" s="277" t="b">
        <f ca="1" t="shared" si="108"/>
        <v>0</v>
      </c>
      <c r="AO33" s="294" t="str">
        <f ca="1" t="shared" si="109"/>
        <v/>
      </c>
      <c r="AP33" s="1">
        <f t="shared" si="2"/>
        <v>67.15</v>
      </c>
      <c r="AQ33" s="1">
        <f>IF($B33=0,"",RANK(AP33,AP$8:AP$73,0)+COUNTIF(AP$8:AP33,AP33)-1)</f>
        <v>36</v>
      </c>
      <c r="AR33" s="1">
        <f ca="1" t="shared" si="110"/>
        <v>36</v>
      </c>
      <c r="AS33" s="273" t="e">
        <f ca="1" t="shared" si="111"/>
        <v>#N/A</v>
      </c>
      <c r="AT33" s="275" t="e">
        <f ca="1" t="shared" si="112"/>
        <v>#N/A</v>
      </c>
      <c r="AU33" s="1">
        <f t="shared" si="113"/>
        <v>30</v>
      </c>
      <c r="AV33" s="269">
        <f t="shared" si="114"/>
        <v>26</v>
      </c>
      <c r="AW33" s="269">
        <f t="shared" si="115"/>
        <v>1</v>
      </c>
      <c r="AX33" s="269">
        <f t="shared" si="116"/>
        <v>1</v>
      </c>
      <c r="AY33" s="268">
        <f t="shared" si="117"/>
        <v>26</v>
      </c>
      <c r="AZ33" s="1" t="str">
        <f t="shared" si="118"/>
        <v>Los Angeles</v>
      </c>
      <c r="BA33" s="277">
        <f t="shared" si="119"/>
        <v>72.26</v>
      </c>
      <c r="BB33" s="277">
        <f ca="1" t="shared" si="120"/>
        <v>2.88</v>
      </c>
      <c r="BC33" s="277" t="b">
        <f ca="1" t="shared" si="121"/>
        <v>0</v>
      </c>
      <c r="BD33" s="277">
        <f ca="1" t="shared" si="122"/>
        <v>-3</v>
      </c>
      <c r="BE33" s="277" t="b">
        <f ca="1" t="shared" si="123"/>
        <v>0</v>
      </c>
      <c r="BF33" s="294" t="str">
        <f ca="1" t="shared" si="124"/>
        <v/>
      </c>
      <c r="BG33" s="1">
        <f t="shared" si="3"/>
        <v>78.12</v>
      </c>
      <c r="BH33" s="1">
        <f>IF($B33=0,"",RANK(BG33,BG$8:BG$73,0)+COUNTIF(BG$8:BG33,BG33)-1)</f>
        <v>35</v>
      </c>
      <c r="BI33" s="1">
        <f ca="1" t="shared" si="125"/>
        <v>35</v>
      </c>
      <c r="BJ33" s="273" t="e">
        <f ca="1" t="shared" si="126"/>
        <v>#N/A</v>
      </c>
      <c r="BK33" s="275" t="e">
        <f ca="1" t="shared" si="127"/>
        <v>#N/A</v>
      </c>
      <c r="BL33" s="1">
        <f t="shared" si="128"/>
        <v>53</v>
      </c>
      <c r="BM33" s="269">
        <f t="shared" si="129"/>
        <v>26</v>
      </c>
      <c r="BN33" s="269">
        <f t="shared" si="130"/>
        <v>1</v>
      </c>
      <c r="BO33" s="269">
        <f t="shared" si="131"/>
        <v>1</v>
      </c>
      <c r="BP33" s="268">
        <f t="shared" si="132"/>
        <v>26</v>
      </c>
      <c r="BQ33" s="1" t="str">
        <f t="shared" si="133"/>
        <v>Taipei</v>
      </c>
      <c r="BR33" s="277">
        <f t="shared" si="134"/>
        <v>87.59</v>
      </c>
      <c r="BS33" s="277">
        <f ca="1" t="shared" si="135"/>
        <v>7.67</v>
      </c>
      <c r="BT33" s="277" t="b">
        <f ca="1" t="shared" si="136"/>
        <v>0</v>
      </c>
      <c r="BU33" s="277">
        <f ca="1" t="shared" si="137"/>
        <v>-3</v>
      </c>
      <c r="BV33" s="277" t="b">
        <f ca="1" t="shared" si="138"/>
        <v>0</v>
      </c>
      <c r="BW33" s="294" t="str">
        <f ca="1" t="shared" si="139"/>
        <v/>
      </c>
      <c r="BX33" s="1">
        <f t="shared" si="4"/>
        <v>81.02</v>
      </c>
      <c r="BY33" s="1">
        <f>IF($B33=0,"",RANK(BX33,BX$8:BX$73,0)+COUNTIF(BX$8:BX33,BX33)-1)</f>
        <v>24</v>
      </c>
      <c r="BZ33" s="1">
        <f ca="1" t="shared" si="140"/>
        <v>24</v>
      </c>
      <c r="CA33" s="273" t="e">
        <f ca="1" t="shared" si="141"/>
        <v>#N/A</v>
      </c>
      <c r="CB33" s="275" t="e">
        <f ca="1" t="shared" si="142"/>
        <v>#N/A</v>
      </c>
      <c r="CC33" s="1">
        <f t="shared" si="143"/>
        <v>6</v>
      </c>
      <c r="CD33" s="269">
        <f t="shared" si="144"/>
        <v>26</v>
      </c>
      <c r="CE33" s="269">
        <f t="shared" si="145"/>
        <v>2</v>
      </c>
      <c r="CF33" s="269">
        <f t="shared" si="146"/>
        <v>1</v>
      </c>
      <c r="CG33" s="268" t="str">
        <f t="shared" si="147"/>
        <v>=26</v>
      </c>
      <c r="CH33" s="1" t="str">
        <f t="shared" si="148"/>
        <v>Beijing</v>
      </c>
      <c r="CI33" s="277">
        <f t="shared" si="149"/>
        <v>80.76</v>
      </c>
      <c r="CJ33" s="277">
        <f ca="1" t="shared" si="150"/>
        <v>18.68</v>
      </c>
      <c r="CK33" s="277" t="b">
        <f ca="1" t="shared" si="151"/>
        <v>0</v>
      </c>
      <c r="CL33" s="277">
        <f ca="1" t="shared" si="152"/>
        <v>11</v>
      </c>
      <c r="CM33" s="277" t="b">
        <f ca="1" t="shared" si="153"/>
        <v>0</v>
      </c>
      <c r="CN33" s="294" t="str">
        <f ca="1" t="shared" si="154"/>
        <v/>
      </c>
    </row>
    <row r="34" spans="1:92">
      <c r="A34" s="1">
        <f>tblTerritories!A29</f>
        <v>27</v>
      </c>
      <c r="B34" s="1">
        <f>IF(tblTerritories!F29="",0,tblTerritories!F29)</f>
        <v>1</v>
      </c>
      <c r="C34" s="1" t="str">
        <f>tblTerritories!C29</f>
        <v>Kuwait City</v>
      </c>
      <c r="D34" s="1">
        <f>tblTerritories!D29</f>
        <v>1</v>
      </c>
      <c r="E34" s="1">
        <f>tblTerritories!K29</f>
        <v>0</v>
      </c>
      <c r="F34" s="1">
        <f>IF($A34="","",VLOOKUP(C34,tblTerritories!$J$3:$P$100,7,FALSE)+10)</f>
        <v>13</v>
      </c>
      <c r="H34" s="1">
        <f t="shared" si="0"/>
        <v>67.61</v>
      </c>
      <c r="I34" s="1">
        <f>IF($B34=0,"",RANK(H34,H$8:H$73,0)+COUNTIF(H$8:H34,H34)-1)</f>
        <v>36</v>
      </c>
      <c r="J34" s="1">
        <f ca="1" t="shared" si="80"/>
        <v>36</v>
      </c>
      <c r="K34" s="273">
        <f ca="1" t="shared" si="81"/>
        <v>5.09</v>
      </c>
      <c r="L34" s="275">
        <f ca="1" t="shared" si="82"/>
        <v>-1</v>
      </c>
      <c r="M34" s="1">
        <f t="shared" si="83"/>
        <v>44</v>
      </c>
      <c r="N34" s="269">
        <f t="shared" si="84"/>
        <v>27</v>
      </c>
      <c r="O34" s="269">
        <f t="shared" si="85"/>
        <v>1</v>
      </c>
      <c r="P34" s="269">
        <f t="shared" si="86"/>
        <v>1</v>
      </c>
      <c r="Q34" s="268">
        <f t="shared" si="87"/>
        <v>27</v>
      </c>
      <c r="R34" s="1" t="str">
        <f t="shared" si="88"/>
        <v>Rome</v>
      </c>
      <c r="S34" s="277">
        <f t="shared" si="89"/>
        <v>78.67</v>
      </c>
      <c r="T34" s="277">
        <f ca="1" t="shared" si="90"/>
        <v>8.69</v>
      </c>
      <c r="U34" s="277" t="b">
        <f ca="1" t="shared" si="91"/>
        <v>0</v>
      </c>
      <c r="V34" s="277">
        <f ca="1" t="shared" si="92"/>
        <v>0</v>
      </c>
      <c r="W34" s="277" t="b">
        <f ca="1" t="shared" si="93"/>
        <v>0</v>
      </c>
      <c r="X34" s="294" t="str">
        <f ca="1" t="shared" si="94"/>
        <v/>
      </c>
      <c r="Y34" s="1">
        <f t="shared" si="1"/>
        <v>60.17</v>
      </c>
      <c r="Z34" s="1">
        <f>IF($B34=0,"",RANK(Y34,Y$8:Y$73,0)+COUNTIF(Y$8:Y34,Y34)-1)</f>
        <v>40</v>
      </c>
      <c r="AA34" s="1">
        <f ca="1" t="shared" si="95"/>
        <v>40</v>
      </c>
      <c r="AB34" s="273">
        <f ca="1" t="shared" si="96"/>
        <v>-0.54</v>
      </c>
      <c r="AC34" s="275">
        <f ca="1" t="shared" si="97"/>
        <v>-11</v>
      </c>
      <c r="AD34" s="1">
        <f t="shared" si="98"/>
        <v>40</v>
      </c>
      <c r="AE34" s="269">
        <f t="shared" si="99"/>
        <v>27</v>
      </c>
      <c r="AF34" s="269">
        <f t="shared" si="100"/>
        <v>1</v>
      </c>
      <c r="AG34" s="269">
        <f t="shared" si="101"/>
        <v>1</v>
      </c>
      <c r="AH34" s="268">
        <f t="shared" si="102"/>
        <v>27</v>
      </c>
      <c r="AI34" s="1" t="str">
        <f t="shared" si="103"/>
        <v>Paris</v>
      </c>
      <c r="AJ34" s="277">
        <f t="shared" si="104"/>
        <v>70.37</v>
      </c>
      <c r="AK34" s="277">
        <f ca="1" t="shared" si="105"/>
        <v>10.97</v>
      </c>
      <c r="AL34" s="277" t="b">
        <f ca="1" t="shared" si="106"/>
        <v>0</v>
      </c>
      <c r="AM34" s="277">
        <f ca="1" t="shared" si="107"/>
        <v>5</v>
      </c>
      <c r="AN34" s="277" t="b">
        <f ca="1" t="shared" si="108"/>
        <v>0</v>
      </c>
      <c r="AO34" s="294" t="str">
        <f ca="1" t="shared" si="109"/>
        <v/>
      </c>
      <c r="AP34" s="1">
        <f t="shared" si="2"/>
        <v>63.81</v>
      </c>
      <c r="AQ34" s="1">
        <f>IF($B34=0,"",RANK(AP34,AP$8:AP$73,0)+COUNTIF(AP$8:AP34,AP34)-1)</f>
        <v>41</v>
      </c>
      <c r="AR34" s="1">
        <f ca="1" t="shared" si="110"/>
        <v>41</v>
      </c>
      <c r="AS34" s="273">
        <f ca="1" t="shared" si="111"/>
        <v>3.94</v>
      </c>
      <c r="AT34" s="275">
        <f ca="1" t="shared" si="112"/>
        <v>-6</v>
      </c>
      <c r="AU34" s="1">
        <f t="shared" si="113"/>
        <v>13</v>
      </c>
      <c r="AV34" s="269">
        <f t="shared" si="114"/>
        <v>27</v>
      </c>
      <c r="AW34" s="269">
        <f t="shared" si="115"/>
        <v>1</v>
      </c>
      <c r="AX34" s="269">
        <f t="shared" si="116"/>
        <v>1</v>
      </c>
      <c r="AY34" s="268">
        <f t="shared" si="117"/>
        <v>27</v>
      </c>
      <c r="AZ34" s="1" t="str">
        <f t="shared" si="118"/>
        <v>Chicago</v>
      </c>
      <c r="BA34" s="277">
        <f t="shared" si="119"/>
        <v>71.78</v>
      </c>
      <c r="BB34" s="277">
        <f ca="1" t="shared" si="120"/>
        <v>-0.17</v>
      </c>
      <c r="BC34" s="277" t="b">
        <f ca="1" t="shared" si="121"/>
        <v>0</v>
      </c>
      <c r="BD34" s="277">
        <f ca="1" t="shared" si="122"/>
        <v>-6</v>
      </c>
      <c r="BE34" s="277" t="b">
        <f ca="1" t="shared" si="123"/>
        <v>0</v>
      </c>
      <c r="BF34" s="294" t="str">
        <f ca="1" t="shared" si="124"/>
        <v/>
      </c>
      <c r="BG34" s="1">
        <f t="shared" si="3"/>
        <v>71.66</v>
      </c>
      <c r="BH34" s="1">
        <f>IF($B34=0,"",RANK(BG34,BG$8:BG$73,0)+COUNTIF(BG$8:BG34,BG34)-1)</f>
        <v>40</v>
      </c>
      <c r="BI34" s="1">
        <f ca="1" t="shared" si="125"/>
        <v>40</v>
      </c>
      <c r="BJ34" s="273">
        <f ca="1" t="shared" si="126"/>
        <v>-0.67</v>
      </c>
      <c r="BK34" s="275">
        <f ca="1" t="shared" si="127"/>
        <v>-5</v>
      </c>
      <c r="BL34" s="1">
        <f t="shared" si="128"/>
        <v>13</v>
      </c>
      <c r="BM34" s="269">
        <f t="shared" si="129"/>
        <v>27</v>
      </c>
      <c r="BN34" s="269">
        <f t="shared" si="130"/>
        <v>1</v>
      </c>
      <c r="BO34" s="269">
        <f t="shared" si="131"/>
        <v>1</v>
      </c>
      <c r="BP34" s="268">
        <f t="shared" si="132"/>
        <v>27</v>
      </c>
      <c r="BQ34" s="1" t="str">
        <f t="shared" si="133"/>
        <v>Chicago</v>
      </c>
      <c r="BR34" s="277">
        <f t="shared" si="134"/>
        <v>87.47</v>
      </c>
      <c r="BS34" s="277">
        <f ca="1" t="shared" si="135"/>
        <v>-0.1</v>
      </c>
      <c r="BT34" s="277" t="b">
        <f ca="1" t="shared" si="136"/>
        <v>0</v>
      </c>
      <c r="BU34" s="277">
        <f ca="1" t="shared" si="137"/>
        <v>-15</v>
      </c>
      <c r="BV34" s="277" t="b">
        <f ca="1" t="shared" si="138"/>
        <v>0</v>
      </c>
      <c r="BW34" s="294" t="str">
        <f ca="1" t="shared" si="139"/>
        <v/>
      </c>
      <c r="BX34" s="1">
        <f t="shared" si="4"/>
        <v>74.82</v>
      </c>
      <c r="BY34" s="1">
        <f>IF($B34=0,"",RANK(BX34,BX$8:BX$73,0)+COUNTIF(BX$8:BX34,BX34)-1)</f>
        <v>34</v>
      </c>
      <c r="BZ34" s="1">
        <f ca="1" t="shared" si="140"/>
        <v>34</v>
      </c>
      <c r="CA34" s="273">
        <f ca="1" t="shared" si="141"/>
        <v>17.67</v>
      </c>
      <c r="CB34" s="275">
        <f ca="1" t="shared" si="142"/>
        <v>7</v>
      </c>
      <c r="CC34" s="1">
        <f t="shared" si="143"/>
        <v>14</v>
      </c>
      <c r="CD34" s="269">
        <f t="shared" si="144"/>
        <v>26</v>
      </c>
      <c r="CE34" s="269">
        <f t="shared" si="145"/>
        <v>2</v>
      </c>
      <c r="CF34" s="269">
        <f t="shared" si="146"/>
        <v>1</v>
      </c>
      <c r="CG34" s="268" t="str">
        <f t="shared" si="147"/>
        <v>=26</v>
      </c>
      <c r="CH34" s="1" t="str">
        <f t="shared" si="148"/>
        <v>Dallas</v>
      </c>
      <c r="CI34" s="277">
        <f t="shared" si="149"/>
        <v>80.76</v>
      </c>
      <c r="CJ34" s="277" t="str">
        <f ca="1" t="shared" si="150"/>
        <v/>
      </c>
      <c r="CK34" s="277" t="b">
        <f ca="1" t="shared" si="151"/>
        <v>0</v>
      </c>
      <c r="CL34" s="277" t="str">
        <f ca="1" t="shared" si="152"/>
        <v/>
      </c>
      <c r="CM34" s="277" t="b">
        <f ca="1" t="shared" si="153"/>
        <v>0</v>
      </c>
      <c r="CN34" s="294" t="str">
        <f ca="1" t="shared" si="154"/>
        <v> *</v>
      </c>
    </row>
    <row r="35" spans="1:92">
      <c r="A35" s="1">
        <f>tblTerritories!A30</f>
        <v>28</v>
      </c>
      <c r="B35" s="1">
        <f>IF(tblTerritories!F30="",0,tblTerritories!F30)</f>
        <v>1</v>
      </c>
      <c r="C35" s="1" t="str">
        <f>tblTerritories!C30</f>
        <v>Lima</v>
      </c>
      <c r="D35" s="1">
        <f>tblTerritories!D30</f>
        <v>1</v>
      </c>
      <c r="E35" s="1">
        <f>tblTerritories!K30</f>
        <v>0</v>
      </c>
      <c r="F35" s="1">
        <f>IF($A35="","",VLOOKUP(C35,tblTerritories!$J$3:$P$100,7,FALSE)+10)</f>
        <v>12</v>
      </c>
      <c r="H35" s="1">
        <f t="shared" si="0"/>
        <v>61.9</v>
      </c>
      <c r="I35" s="1">
        <f>IF($B35=0,"",RANK(H35,H$8:H$73,0)+COUNTIF(H$8:H35,H35)-1)</f>
        <v>44</v>
      </c>
      <c r="J35" s="1">
        <f ca="1" t="shared" si="80"/>
        <v>44</v>
      </c>
      <c r="K35" s="273">
        <f ca="1" t="shared" si="81"/>
        <v>-3.29</v>
      </c>
      <c r="L35" s="275">
        <f ca="1" t="shared" si="82"/>
        <v>-13</v>
      </c>
      <c r="M35" s="1">
        <f t="shared" si="83"/>
        <v>1</v>
      </c>
      <c r="N35" s="269">
        <f t="shared" si="84"/>
        <v>28</v>
      </c>
      <c r="O35" s="269">
        <f t="shared" si="85"/>
        <v>1</v>
      </c>
      <c r="P35" s="269">
        <f t="shared" si="86"/>
        <v>1</v>
      </c>
      <c r="Q35" s="268">
        <f t="shared" si="87"/>
        <v>28</v>
      </c>
      <c r="R35" s="1" t="str">
        <f t="shared" si="88"/>
        <v>Abu Dhabi</v>
      </c>
      <c r="S35" s="277">
        <f t="shared" si="89"/>
        <v>76.91</v>
      </c>
      <c r="T35" s="277">
        <f ca="1" t="shared" si="90"/>
        <v>4.18</v>
      </c>
      <c r="U35" s="277" t="b">
        <f ca="1" t="shared" si="91"/>
        <v>0</v>
      </c>
      <c r="V35" s="277">
        <f ca="1" t="shared" si="92"/>
        <v>-5</v>
      </c>
      <c r="W35" s="277" t="b">
        <f ca="1" t="shared" si="93"/>
        <v>0</v>
      </c>
      <c r="X35" s="294" t="str">
        <f ca="1" t="shared" si="94"/>
        <v/>
      </c>
      <c r="Y35" s="1">
        <f t="shared" si="1"/>
        <v>59.78</v>
      </c>
      <c r="Z35" s="1">
        <f>IF($B35=0,"",RANK(Y35,Y$8:Y$73,0)+COUNTIF(Y$8:Y35,Y35)-1)</f>
        <v>41</v>
      </c>
      <c r="AA35" s="1">
        <f ca="1" t="shared" si="95"/>
        <v>41</v>
      </c>
      <c r="AB35" s="273">
        <f ca="1" t="shared" si="96"/>
        <v>8.19</v>
      </c>
      <c r="AC35" s="275">
        <f ca="1" t="shared" si="97"/>
        <v>-6</v>
      </c>
      <c r="AD35" s="1">
        <f t="shared" si="98"/>
        <v>1</v>
      </c>
      <c r="AE35" s="269">
        <f t="shared" si="99"/>
        <v>28</v>
      </c>
      <c r="AF35" s="269">
        <f t="shared" si="100"/>
        <v>1</v>
      </c>
      <c r="AG35" s="269">
        <f t="shared" si="101"/>
        <v>1</v>
      </c>
      <c r="AH35" s="268">
        <f t="shared" si="102"/>
        <v>28</v>
      </c>
      <c r="AI35" s="1" t="str">
        <f t="shared" si="103"/>
        <v>Abu Dhabi</v>
      </c>
      <c r="AJ35" s="277">
        <f t="shared" si="104"/>
        <v>68.77</v>
      </c>
      <c r="AK35" s="277">
        <f ca="1" t="shared" si="105"/>
        <v>-10.44</v>
      </c>
      <c r="AL35" s="277" t="b">
        <f ca="1" t="shared" si="106"/>
        <v>0</v>
      </c>
      <c r="AM35" s="277">
        <f ca="1" t="shared" si="107"/>
        <v>-24</v>
      </c>
      <c r="AN35" s="277" t="b">
        <f ca="1" t="shared" si="108"/>
        <v>0</v>
      </c>
      <c r="AO35" s="294" t="str">
        <f ca="1" t="shared" si="109"/>
        <v/>
      </c>
      <c r="AP35" s="1">
        <f t="shared" si="2"/>
        <v>62.48</v>
      </c>
      <c r="AQ35" s="1">
        <f>IF($B35=0,"",RANK(AP35,AP$8:AP$73,0)+COUNTIF(AP$8:AP35,AP35)-1)</f>
        <v>47</v>
      </c>
      <c r="AR35" s="1">
        <f ca="1" t="shared" si="110"/>
        <v>47</v>
      </c>
      <c r="AS35" s="273">
        <f ca="1" t="shared" si="111"/>
        <v>3.07</v>
      </c>
      <c r="AT35" s="275">
        <f ca="1" t="shared" si="112"/>
        <v>-11</v>
      </c>
      <c r="AU35" s="1">
        <f t="shared" si="113"/>
        <v>34</v>
      </c>
      <c r="AV35" s="269">
        <f t="shared" si="114"/>
        <v>28</v>
      </c>
      <c r="AW35" s="269">
        <f t="shared" si="115"/>
        <v>1</v>
      </c>
      <c r="AX35" s="269">
        <f t="shared" si="116"/>
        <v>1</v>
      </c>
      <c r="AY35" s="268">
        <f t="shared" si="117"/>
        <v>28</v>
      </c>
      <c r="AZ35" s="1" t="str">
        <f t="shared" si="118"/>
        <v>Mexico City</v>
      </c>
      <c r="BA35" s="277">
        <f t="shared" si="119"/>
        <v>70.79</v>
      </c>
      <c r="BB35" s="277">
        <f ca="1" t="shared" si="120"/>
        <v>5.47</v>
      </c>
      <c r="BC35" s="277" t="b">
        <f ca="1" t="shared" si="121"/>
        <v>0</v>
      </c>
      <c r="BD35" s="277">
        <f ca="1" t="shared" si="122"/>
        <v>3</v>
      </c>
      <c r="BE35" s="277" t="b">
        <f ca="1" t="shared" si="123"/>
        <v>0</v>
      </c>
      <c r="BF35" s="294" t="str">
        <f ca="1" t="shared" si="124"/>
        <v/>
      </c>
      <c r="BG35" s="1">
        <f t="shared" si="3"/>
        <v>64.47</v>
      </c>
      <c r="BH35" s="1">
        <f>IF($B35=0,"",RANK(BG35,BG$8:BG$73,0)+COUNTIF(BG$8:BG35,BG35)-1)</f>
        <v>47</v>
      </c>
      <c r="BI35" s="1">
        <f ca="1" t="shared" si="125"/>
        <v>47</v>
      </c>
      <c r="BJ35" s="273">
        <f ca="1" t="shared" si="126"/>
        <v>-14.45</v>
      </c>
      <c r="BK35" s="275">
        <f ca="1" t="shared" si="127"/>
        <v>-23</v>
      </c>
      <c r="BL35" s="1">
        <f t="shared" si="128"/>
        <v>57</v>
      </c>
      <c r="BM35" s="269">
        <f t="shared" si="129"/>
        <v>28</v>
      </c>
      <c r="BN35" s="269">
        <f t="shared" si="130"/>
        <v>1</v>
      </c>
      <c r="BO35" s="269">
        <f t="shared" si="131"/>
        <v>1</v>
      </c>
      <c r="BP35" s="268">
        <f t="shared" si="132"/>
        <v>28</v>
      </c>
      <c r="BQ35" s="1" t="str">
        <f t="shared" si="133"/>
        <v>Washington DC</v>
      </c>
      <c r="BR35" s="277">
        <f t="shared" si="134"/>
        <v>82.38</v>
      </c>
      <c r="BS35" s="277">
        <f ca="1" t="shared" si="135"/>
        <v>1.76</v>
      </c>
      <c r="BT35" s="277" t="b">
        <f ca="1" t="shared" si="136"/>
        <v>0</v>
      </c>
      <c r="BU35" s="277">
        <f ca="1" t="shared" si="137"/>
        <v>-6</v>
      </c>
      <c r="BV35" s="277" t="b">
        <f ca="1" t="shared" si="138"/>
        <v>0</v>
      </c>
      <c r="BW35" s="294" t="str">
        <f ca="1" t="shared" si="139"/>
        <v/>
      </c>
      <c r="BX35" s="1">
        <f t="shared" si="4"/>
        <v>60.87</v>
      </c>
      <c r="BY35" s="1">
        <f>IF($B35=0,"",RANK(BX35,BX$8:BX$73,0)+COUNTIF(BX$8:BX35,BX35)-1)</f>
        <v>48</v>
      </c>
      <c r="BZ35" s="1">
        <f ca="1" t="shared" si="140"/>
        <v>48</v>
      </c>
      <c r="CA35" s="273">
        <f ca="1" t="shared" si="141"/>
        <v>-9.98</v>
      </c>
      <c r="CB35" s="275">
        <f ca="1" t="shared" si="142"/>
        <v>-23</v>
      </c>
      <c r="CC35" s="1">
        <f t="shared" si="143"/>
        <v>49</v>
      </c>
      <c r="CD35" s="269">
        <f t="shared" si="144"/>
        <v>28</v>
      </c>
      <c r="CE35" s="269">
        <f t="shared" si="145"/>
        <v>1</v>
      </c>
      <c r="CF35" s="269">
        <f t="shared" si="146"/>
        <v>1</v>
      </c>
      <c r="CG35" s="268">
        <f t="shared" si="147"/>
        <v>28</v>
      </c>
      <c r="CH35" s="1" t="str">
        <f t="shared" si="148"/>
        <v>Shanghai</v>
      </c>
      <c r="CI35" s="277">
        <f t="shared" si="149"/>
        <v>80.07</v>
      </c>
      <c r="CJ35" s="277">
        <f ca="1" t="shared" si="150"/>
        <v>6.21</v>
      </c>
      <c r="CK35" s="277" t="b">
        <f ca="1" t="shared" si="151"/>
        <v>0</v>
      </c>
      <c r="CL35" s="277">
        <f ca="1" t="shared" si="152"/>
        <v>-5</v>
      </c>
      <c r="CM35" s="277" t="b">
        <f ca="1" t="shared" si="153"/>
        <v>0</v>
      </c>
      <c r="CN35" s="294" t="str">
        <f ca="1" t="shared" si="154"/>
        <v/>
      </c>
    </row>
    <row r="36" spans="1:92">
      <c r="A36" s="1">
        <f>tblTerritories!A31</f>
        <v>29</v>
      </c>
      <c r="B36" s="1">
        <f>IF(tblTerritories!F31="",0,tblTerritories!F31)</f>
        <v>1</v>
      </c>
      <c r="C36" s="1" t="str">
        <f>tblTerritories!C31</f>
        <v>London</v>
      </c>
      <c r="D36" s="1">
        <f>tblTerritories!D31</f>
        <v>1</v>
      </c>
      <c r="E36" s="1">
        <f>tblTerritories!K31</f>
        <v>0</v>
      </c>
      <c r="F36" s="1">
        <f>IF($A36="","",VLOOKUP(C36,tblTerritories!$J$3:$P$100,7,FALSE)+10)</f>
        <v>11</v>
      </c>
      <c r="H36" s="1">
        <f t="shared" si="0"/>
        <v>82.1</v>
      </c>
      <c r="I36" s="1">
        <f>IF($B36=0,"",RANK(H36,H$8:H$73,0)+COUNTIF(H$8:H36,H36)-1)</f>
        <v>20</v>
      </c>
      <c r="J36" s="1">
        <f ca="1" t="shared" si="80"/>
        <v>20</v>
      </c>
      <c r="K36" s="273">
        <f ca="1" t="shared" si="81"/>
        <v>8.64</v>
      </c>
      <c r="L36" s="275">
        <f ca="1" t="shared" si="82"/>
        <v>1</v>
      </c>
      <c r="M36" s="1">
        <f t="shared" si="83"/>
        <v>9</v>
      </c>
      <c r="N36" s="269">
        <f t="shared" si="84"/>
        <v>29</v>
      </c>
      <c r="O36" s="269">
        <f t="shared" si="85"/>
        <v>1</v>
      </c>
      <c r="P36" s="269">
        <f t="shared" si="86"/>
        <v>1</v>
      </c>
      <c r="Q36" s="268">
        <f t="shared" si="87"/>
        <v>29</v>
      </c>
      <c r="R36" s="1" t="str">
        <f t="shared" si="88"/>
        <v>Buenos Aires</v>
      </c>
      <c r="S36" s="277">
        <f t="shared" si="89"/>
        <v>76.35</v>
      </c>
      <c r="T36" s="277">
        <f ca="1" t="shared" si="90"/>
        <v>6.33</v>
      </c>
      <c r="U36" s="277" t="b">
        <f ca="1" t="shared" si="91"/>
        <v>0</v>
      </c>
      <c r="V36" s="277">
        <f ca="1" t="shared" si="92"/>
        <v>-3</v>
      </c>
      <c r="W36" s="277" t="b">
        <f ca="1" t="shared" si="93"/>
        <v>0</v>
      </c>
      <c r="X36" s="294" t="str">
        <f ca="1" t="shared" si="94"/>
        <v/>
      </c>
      <c r="Y36" s="1">
        <f t="shared" si="1"/>
        <v>73.36</v>
      </c>
      <c r="Z36" s="1">
        <f>IF($B36=0,"",RANK(Y36,Y$8:Y$73,0)+COUNTIF(Y$8:Y36,Y36)-1)</f>
        <v>24</v>
      </c>
      <c r="AA36" s="1">
        <f ca="1" t="shared" si="95"/>
        <v>24</v>
      </c>
      <c r="AB36" s="273">
        <f ca="1" t="shared" si="96"/>
        <v>2.94</v>
      </c>
      <c r="AC36" s="275">
        <f ca="1" t="shared" si="97"/>
        <v>-12</v>
      </c>
      <c r="AD36" s="1">
        <f t="shared" si="98"/>
        <v>24</v>
      </c>
      <c r="AE36" s="269">
        <f t="shared" si="99"/>
        <v>29</v>
      </c>
      <c r="AF36" s="269">
        <f t="shared" si="100"/>
        <v>1</v>
      </c>
      <c r="AG36" s="269">
        <f t="shared" si="101"/>
        <v>1</v>
      </c>
      <c r="AH36" s="268">
        <f t="shared" si="102"/>
        <v>29</v>
      </c>
      <c r="AI36" s="1" t="str">
        <f t="shared" si="103"/>
        <v>Johannesburg</v>
      </c>
      <c r="AJ36" s="277">
        <f t="shared" si="104"/>
        <v>66.28</v>
      </c>
      <c r="AK36" s="277">
        <f ca="1" t="shared" si="105"/>
        <v>7.88</v>
      </c>
      <c r="AL36" s="277" t="b">
        <f ca="1" t="shared" si="106"/>
        <v>0</v>
      </c>
      <c r="AM36" s="277">
        <f ca="1" t="shared" si="107"/>
        <v>4</v>
      </c>
      <c r="AN36" s="277" t="b">
        <f ca="1" t="shared" si="108"/>
        <v>0</v>
      </c>
      <c r="AO36" s="294" t="str">
        <f ca="1" t="shared" si="109"/>
        <v/>
      </c>
      <c r="AP36" s="1">
        <f t="shared" si="2"/>
        <v>76.06</v>
      </c>
      <c r="AQ36" s="1">
        <f>IF($B36=0,"",RANK(AP36,AP$8:AP$73,0)+COUNTIF(AP$8:AP36,AP36)-1)</f>
        <v>19</v>
      </c>
      <c r="AR36" s="1">
        <f ca="1" t="shared" si="110"/>
        <v>19</v>
      </c>
      <c r="AS36" s="273">
        <f ca="1" t="shared" si="111"/>
        <v>3.57</v>
      </c>
      <c r="AT36" s="275">
        <f ca="1" t="shared" si="112"/>
        <v>0</v>
      </c>
      <c r="AU36" s="1">
        <f t="shared" si="113"/>
        <v>14</v>
      </c>
      <c r="AV36" s="269">
        <f t="shared" si="114"/>
        <v>29</v>
      </c>
      <c r="AW36" s="269">
        <f t="shared" si="115"/>
        <v>1</v>
      </c>
      <c r="AX36" s="269">
        <f t="shared" si="116"/>
        <v>1</v>
      </c>
      <c r="AY36" s="268">
        <f t="shared" si="117"/>
        <v>29</v>
      </c>
      <c r="AZ36" s="1" t="str">
        <f t="shared" si="118"/>
        <v>Dallas</v>
      </c>
      <c r="BA36" s="277">
        <f t="shared" si="119"/>
        <v>70.27</v>
      </c>
      <c r="BB36" s="277" t="str">
        <f ca="1" t="shared" si="120"/>
        <v/>
      </c>
      <c r="BC36" s="277" t="b">
        <f ca="1" t="shared" si="121"/>
        <v>0</v>
      </c>
      <c r="BD36" s="277" t="str">
        <f ca="1" t="shared" si="122"/>
        <v/>
      </c>
      <c r="BE36" s="277" t="b">
        <f ca="1" t="shared" si="123"/>
        <v>0</v>
      </c>
      <c r="BF36" s="294" t="str">
        <f ca="1" t="shared" si="124"/>
        <v> *</v>
      </c>
      <c r="BG36" s="1">
        <f t="shared" si="3"/>
        <v>93.44</v>
      </c>
      <c r="BH36" s="1">
        <f>IF($B36=0,"",RANK(BG36,BG$8:BG$73,0)+COUNTIF(BG$8:BG36,BG36)-1)</f>
        <v>13</v>
      </c>
      <c r="BI36" s="1">
        <f ca="1" t="shared" si="125"/>
        <v>13</v>
      </c>
      <c r="BJ36" s="273">
        <f ca="1" t="shared" si="126"/>
        <v>22.82</v>
      </c>
      <c r="BK36" s="275">
        <f ca="1" t="shared" si="127"/>
        <v>24</v>
      </c>
      <c r="BL36" s="1">
        <f t="shared" si="128"/>
        <v>3</v>
      </c>
      <c r="BM36" s="269">
        <f t="shared" si="129"/>
        <v>29</v>
      </c>
      <c r="BN36" s="269">
        <f t="shared" si="130"/>
        <v>1</v>
      </c>
      <c r="BO36" s="269">
        <f t="shared" si="131"/>
        <v>1</v>
      </c>
      <c r="BP36" s="268">
        <f t="shared" si="132"/>
        <v>29</v>
      </c>
      <c r="BQ36" s="1" t="str">
        <f t="shared" si="133"/>
        <v>Athens</v>
      </c>
      <c r="BR36" s="277">
        <f t="shared" si="134"/>
        <v>82.05</v>
      </c>
      <c r="BS36" s="277" t="str">
        <f ca="1" t="shared" si="135"/>
        <v/>
      </c>
      <c r="BT36" s="277" t="b">
        <f ca="1" t="shared" si="136"/>
        <v>0</v>
      </c>
      <c r="BU36" s="277" t="str">
        <f ca="1" t="shared" si="137"/>
        <v/>
      </c>
      <c r="BV36" s="277" t="b">
        <f ca="1" t="shared" si="138"/>
        <v>0</v>
      </c>
      <c r="BW36" s="294" t="str">
        <f ca="1" t="shared" si="139"/>
        <v> *</v>
      </c>
      <c r="BX36" s="1">
        <f t="shared" si="4"/>
        <v>85.52</v>
      </c>
      <c r="BY36" s="1">
        <f>IF($B36=0,"",RANK(BX36,BX$8:BX$73,0)+COUNTIF(BX$8:BX36,BX36)-1)</f>
        <v>15</v>
      </c>
      <c r="BZ36" s="1">
        <f ca="1" t="shared" si="140"/>
        <v>15</v>
      </c>
      <c r="CA36" s="273">
        <f ca="1" t="shared" si="141"/>
        <v>5.22</v>
      </c>
      <c r="CB36" s="275">
        <f ca="1" t="shared" si="142"/>
        <v>4</v>
      </c>
      <c r="CC36" s="1">
        <f t="shared" si="143"/>
        <v>1</v>
      </c>
      <c r="CD36" s="269">
        <f t="shared" si="144"/>
        <v>29</v>
      </c>
      <c r="CE36" s="269">
        <f t="shared" si="145"/>
        <v>1</v>
      </c>
      <c r="CF36" s="269">
        <f t="shared" si="146"/>
        <v>1</v>
      </c>
      <c r="CG36" s="268">
        <f t="shared" si="147"/>
        <v>29</v>
      </c>
      <c r="CH36" s="1" t="str">
        <f t="shared" si="148"/>
        <v>Abu Dhabi</v>
      </c>
      <c r="CI36" s="277">
        <f t="shared" si="149"/>
        <v>78.95</v>
      </c>
      <c r="CJ36" s="277">
        <f ca="1" t="shared" si="150"/>
        <v>10.37</v>
      </c>
      <c r="CK36" s="277" t="b">
        <f ca="1" t="shared" si="151"/>
        <v>0</v>
      </c>
      <c r="CL36" s="277">
        <f ca="1" t="shared" si="152"/>
        <v>-2</v>
      </c>
      <c r="CM36" s="277" t="b">
        <f ca="1" t="shared" si="153"/>
        <v>0</v>
      </c>
      <c r="CN36" s="294" t="str">
        <f ca="1" t="shared" si="154"/>
        <v/>
      </c>
    </row>
    <row r="37" spans="1:92">
      <c r="A37" s="1">
        <f>tblTerritories!A32</f>
        <v>30</v>
      </c>
      <c r="B37" s="1">
        <f>IF(tblTerritories!F32="",0,tblTerritories!F32)</f>
        <v>1</v>
      </c>
      <c r="C37" s="1" t="str">
        <f>tblTerritories!C32</f>
        <v>Los Angeles</v>
      </c>
      <c r="D37" s="1">
        <f>tblTerritories!D32</f>
        <v>1</v>
      </c>
      <c r="E37" s="1">
        <f>tblTerritories!K32</f>
        <v>0</v>
      </c>
      <c r="F37" s="1">
        <f>IF($A37="","",VLOOKUP(C37,tblTerritories!$J$3:$P$100,7,FALSE)+10)</f>
        <v>14</v>
      </c>
      <c r="H37" s="1">
        <f t="shared" si="0"/>
        <v>82.26</v>
      </c>
      <c r="I37" s="1">
        <f>IF($B37=0,"",RANK(H37,H$8:H$73,0)+COUNTIF(H$8:H37,H37)-1)</f>
        <v>18</v>
      </c>
      <c r="J37" s="1">
        <f ca="1" t="shared" si="80"/>
        <v>18</v>
      </c>
      <c r="K37" s="273">
        <f ca="1" t="shared" si="81"/>
        <v>5.39</v>
      </c>
      <c r="L37" s="275">
        <f ca="1" t="shared" si="82"/>
        <v>-1</v>
      </c>
      <c r="M37" s="1">
        <f t="shared" si="83"/>
        <v>17</v>
      </c>
      <c r="N37" s="269">
        <f t="shared" si="84"/>
        <v>30</v>
      </c>
      <c r="O37" s="269">
        <f t="shared" si="85"/>
        <v>1</v>
      </c>
      <c r="P37" s="269">
        <f t="shared" si="86"/>
        <v>1</v>
      </c>
      <c r="Q37" s="268">
        <f t="shared" si="87"/>
        <v>30</v>
      </c>
      <c r="R37" s="1" t="str">
        <f t="shared" si="88"/>
        <v>Doha</v>
      </c>
      <c r="S37" s="277">
        <f t="shared" si="89"/>
        <v>73.59</v>
      </c>
      <c r="T37" s="277">
        <f ca="1" t="shared" si="90"/>
        <v>4.78</v>
      </c>
      <c r="U37" s="277" t="b">
        <f ca="1" t="shared" si="91"/>
        <v>0</v>
      </c>
      <c r="V37" s="277">
        <f ca="1" t="shared" si="92"/>
        <v>-2</v>
      </c>
      <c r="W37" s="277" t="b">
        <f ca="1" t="shared" si="93"/>
        <v>0</v>
      </c>
      <c r="X37" s="294" t="str">
        <f ca="1" t="shared" si="94"/>
        <v/>
      </c>
      <c r="Y37" s="1">
        <f t="shared" si="1"/>
        <v>85.12</v>
      </c>
      <c r="Z37" s="1">
        <f>IF($B37=0,"",RANK(Y37,Y$8:Y$73,0)+COUNTIF(Y$8:Y37,Y37)-1)</f>
        <v>7</v>
      </c>
      <c r="AA37" s="1">
        <f ca="1" t="shared" si="95"/>
        <v>7</v>
      </c>
      <c r="AB37" s="273">
        <f ca="1" t="shared" si="96"/>
        <v>13.63</v>
      </c>
      <c r="AC37" s="275">
        <f ca="1" t="shared" si="97"/>
        <v>3</v>
      </c>
      <c r="AD37" s="1">
        <f t="shared" si="98"/>
        <v>26</v>
      </c>
      <c r="AE37" s="269">
        <f t="shared" si="99"/>
        <v>30</v>
      </c>
      <c r="AF37" s="269">
        <f t="shared" si="100"/>
        <v>1</v>
      </c>
      <c r="AG37" s="269">
        <f t="shared" si="101"/>
        <v>1</v>
      </c>
      <c r="AH37" s="268">
        <f t="shared" si="102"/>
        <v>30</v>
      </c>
      <c r="AI37" s="1" t="str">
        <f t="shared" si="103"/>
        <v>Kuala Lumpur</v>
      </c>
      <c r="AJ37" s="277">
        <f t="shared" si="104"/>
        <v>66.17</v>
      </c>
      <c r="AK37" s="277" t="str">
        <f ca="1" t="shared" si="105"/>
        <v/>
      </c>
      <c r="AL37" s="277" t="b">
        <f ca="1" t="shared" si="106"/>
        <v>0</v>
      </c>
      <c r="AM37" s="277" t="str">
        <f ca="1" t="shared" si="107"/>
        <v/>
      </c>
      <c r="AN37" s="277" t="b">
        <f ca="1" t="shared" si="108"/>
        <v>0</v>
      </c>
      <c r="AO37" s="294" t="str">
        <f ca="1" t="shared" si="109"/>
        <v> *</v>
      </c>
      <c r="AP37" s="1">
        <f t="shared" si="2"/>
        <v>72.26</v>
      </c>
      <c r="AQ37" s="1">
        <f>IF($B37=0,"",RANK(AP37,AP$8:AP$73,0)+COUNTIF(AP$8:AP37,AP37)-1)</f>
        <v>26</v>
      </c>
      <c r="AR37" s="1">
        <f ca="1" t="shared" si="110"/>
        <v>26</v>
      </c>
      <c r="AS37" s="273">
        <f ca="1" t="shared" si="111"/>
        <v>2.88</v>
      </c>
      <c r="AT37" s="275">
        <f ca="1" t="shared" si="112"/>
        <v>-3</v>
      </c>
      <c r="AU37" s="1">
        <f t="shared" si="113"/>
        <v>49</v>
      </c>
      <c r="AV37" s="269">
        <f t="shared" si="114"/>
        <v>30</v>
      </c>
      <c r="AW37" s="269">
        <f t="shared" si="115"/>
        <v>1</v>
      </c>
      <c r="AX37" s="269">
        <f t="shared" si="116"/>
        <v>1</v>
      </c>
      <c r="AY37" s="268">
        <f t="shared" si="117"/>
        <v>30</v>
      </c>
      <c r="AZ37" s="1" t="str">
        <f t="shared" si="118"/>
        <v>Shanghai</v>
      </c>
      <c r="BA37" s="277">
        <f t="shared" si="119"/>
        <v>69.92</v>
      </c>
      <c r="BB37" s="277">
        <f ca="1" t="shared" si="120"/>
        <v>3.63</v>
      </c>
      <c r="BC37" s="277" t="b">
        <f ca="1" t="shared" si="121"/>
        <v>0</v>
      </c>
      <c r="BD37" s="277">
        <f ca="1" t="shared" si="122"/>
        <v>0</v>
      </c>
      <c r="BE37" s="277" t="b">
        <f ca="1" t="shared" si="123"/>
        <v>0</v>
      </c>
      <c r="BF37" s="294" t="str">
        <f ca="1" t="shared" si="124"/>
        <v/>
      </c>
      <c r="BG37" s="1">
        <f t="shared" si="3"/>
        <v>88.27</v>
      </c>
      <c r="BH37" s="1">
        <f>IF($B37=0,"",RANK(BG37,BG$8:BG$73,0)+COUNTIF(BG$8:BG37,BG37)-1)</f>
        <v>22</v>
      </c>
      <c r="BI37" s="1">
        <f ca="1" t="shared" si="125"/>
        <v>22</v>
      </c>
      <c r="BJ37" s="273">
        <f ca="1" t="shared" si="126"/>
        <v>3.61</v>
      </c>
      <c r="BK37" s="275">
        <f ca="1" t="shared" si="127"/>
        <v>-4</v>
      </c>
      <c r="BL37" s="1">
        <f t="shared" si="128"/>
        <v>17</v>
      </c>
      <c r="BM37" s="269">
        <f t="shared" si="129"/>
        <v>30</v>
      </c>
      <c r="BN37" s="269">
        <f t="shared" si="130"/>
        <v>1</v>
      </c>
      <c r="BO37" s="269">
        <f t="shared" si="131"/>
        <v>1</v>
      </c>
      <c r="BP37" s="268">
        <f t="shared" si="132"/>
        <v>30</v>
      </c>
      <c r="BQ37" s="1" t="str">
        <f t="shared" si="133"/>
        <v>Doha</v>
      </c>
      <c r="BR37" s="277">
        <f t="shared" si="134"/>
        <v>81.72</v>
      </c>
      <c r="BS37" s="277">
        <f ca="1" t="shared" si="135"/>
        <v>6.23</v>
      </c>
      <c r="BT37" s="277" t="b">
        <f ca="1" t="shared" si="136"/>
        <v>0</v>
      </c>
      <c r="BU37" s="277">
        <f ca="1" t="shared" si="137"/>
        <v>1</v>
      </c>
      <c r="BV37" s="277" t="b">
        <f ca="1" t="shared" si="138"/>
        <v>0</v>
      </c>
      <c r="BW37" s="294" t="str">
        <f ca="1" t="shared" si="139"/>
        <v/>
      </c>
      <c r="BX37" s="1">
        <f t="shared" si="4"/>
        <v>83.4</v>
      </c>
      <c r="BY37" s="1">
        <f>IF($B37=0,"",RANK(BX37,BX$8:BX$73,0)+COUNTIF(BX$8:BX37,BX37)-1)</f>
        <v>21</v>
      </c>
      <c r="BZ37" s="1">
        <f ca="1" t="shared" si="140"/>
        <v>21</v>
      </c>
      <c r="CA37" s="273">
        <f ca="1" t="shared" si="141"/>
        <v>1.46</v>
      </c>
      <c r="CB37" s="275">
        <f ca="1" t="shared" si="142"/>
        <v>-5</v>
      </c>
      <c r="CC37" s="1">
        <f t="shared" si="143"/>
        <v>37</v>
      </c>
      <c r="CD37" s="269">
        <f t="shared" si="144"/>
        <v>30</v>
      </c>
      <c r="CE37" s="269">
        <f t="shared" si="145"/>
        <v>1</v>
      </c>
      <c r="CF37" s="269">
        <f t="shared" si="146"/>
        <v>1</v>
      </c>
      <c r="CG37" s="268">
        <f t="shared" si="147"/>
        <v>30</v>
      </c>
      <c r="CH37" s="1" t="str">
        <f t="shared" si="148"/>
        <v>Mumbai</v>
      </c>
      <c r="CI37" s="277">
        <f t="shared" si="149"/>
        <v>77.89</v>
      </c>
      <c r="CJ37" s="277">
        <f ca="1" t="shared" si="150"/>
        <v>10.24</v>
      </c>
      <c r="CK37" s="277" t="b">
        <f ca="1" t="shared" si="151"/>
        <v>0</v>
      </c>
      <c r="CL37" s="277">
        <f ca="1" t="shared" si="152"/>
        <v>-1</v>
      </c>
      <c r="CM37" s="277" t="b">
        <f ca="1" t="shared" si="153"/>
        <v>0</v>
      </c>
      <c r="CN37" s="294" t="str">
        <f ca="1" t="shared" si="154"/>
        <v/>
      </c>
    </row>
    <row r="38" spans="1:92">
      <c r="A38" s="1">
        <f>tblTerritories!A33</f>
        <v>31</v>
      </c>
      <c r="B38" s="1">
        <f>IF(tblTerritories!F33="",0,tblTerritories!F33)</f>
        <v>1</v>
      </c>
      <c r="C38" s="1" t="str">
        <f>tblTerritories!C33</f>
        <v>Madrid</v>
      </c>
      <c r="D38" s="1">
        <f>tblTerritories!D33</f>
        <v>1</v>
      </c>
      <c r="E38" s="1">
        <f>tblTerritories!K33</f>
        <v>0</v>
      </c>
      <c r="F38" s="1">
        <f>IF($A38="","",VLOOKUP(C38,tblTerritories!$J$3:$P$100,7,FALSE)+10)</f>
        <v>11</v>
      </c>
      <c r="H38" s="1">
        <f t="shared" si="0"/>
        <v>83.88</v>
      </c>
      <c r="I38" s="1">
        <f>IF($B38=0,"",RANK(H38,H$8:H$73,0)+COUNTIF(H$8:H38,H38)-1)</f>
        <v>12</v>
      </c>
      <c r="J38" s="1">
        <f ca="1" t="shared" si="80"/>
        <v>12</v>
      </c>
      <c r="K38" s="273">
        <f ca="1" t="shared" si="81"/>
        <v>11.31</v>
      </c>
      <c r="L38" s="275">
        <f ca="1" t="shared" si="82"/>
        <v>13</v>
      </c>
      <c r="M38" s="1">
        <f t="shared" si="83"/>
        <v>26</v>
      </c>
      <c r="N38" s="269">
        <f t="shared" si="84"/>
        <v>31</v>
      </c>
      <c r="O38" s="269">
        <f t="shared" si="85"/>
        <v>1</v>
      </c>
      <c r="P38" s="269">
        <f t="shared" si="86"/>
        <v>1</v>
      </c>
      <c r="Q38" s="268">
        <f t="shared" si="87"/>
        <v>31</v>
      </c>
      <c r="R38" s="1" t="str">
        <f t="shared" si="88"/>
        <v>Kuala Lumpur</v>
      </c>
      <c r="S38" s="277">
        <f t="shared" si="89"/>
        <v>73.11</v>
      </c>
      <c r="T38" s="277" t="str">
        <f ca="1" t="shared" si="90"/>
        <v/>
      </c>
      <c r="U38" s="277" t="b">
        <f ca="1" t="shared" si="91"/>
        <v>0</v>
      </c>
      <c r="V38" s="277" t="str">
        <f ca="1" t="shared" si="92"/>
        <v/>
      </c>
      <c r="W38" s="277" t="b">
        <f ca="1" t="shared" si="93"/>
        <v>0</v>
      </c>
      <c r="X38" s="294" t="str">
        <f ca="1" t="shared" si="94"/>
        <v> *</v>
      </c>
      <c r="Y38" s="1">
        <f t="shared" si="1"/>
        <v>74.44</v>
      </c>
      <c r="Z38" s="1">
        <f>IF($B38=0,"",RANK(Y38,Y$8:Y$73,0)+COUNTIF(Y$8:Y38,Y38)-1)</f>
        <v>22</v>
      </c>
      <c r="AA38" s="1">
        <f ca="1" t="shared" si="95"/>
        <v>21</v>
      </c>
      <c r="AB38" s="273">
        <f ca="1" t="shared" si="96"/>
        <v>12.66</v>
      </c>
      <c r="AC38" s="275">
        <f ca="1" t="shared" si="97"/>
        <v>5</v>
      </c>
      <c r="AD38" s="1">
        <f t="shared" si="98"/>
        <v>53</v>
      </c>
      <c r="AE38" s="269">
        <f t="shared" si="99"/>
        <v>31</v>
      </c>
      <c r="AF38" s="269">
        <f t="shared" si="100"/>
        <v>1</v>
      </c>
      <c r="AG38" s="269">
        <f t="shared" si="101"/>
        <v>1</v>
      </c>
      <c r="AH38" s="268">
        <f t="shared" si="102"/>
        <v>31</v>
      </c>
      <c r="AI38" s="1" t="str">
        <f t="shared" si="103"/>
        <v>Taipei</v>
      </c>
      <c r="AJ38" s="277">
        <f t="shared" si="104"/>
        <v>65.98</v>
      </c>
      <c r="AK38" s="277">
        <f ca="1" t="shared" si="105"/>
        <v>4.37</v>
      </c>
      <c r="AL38" s="277" t="b">
        <f ca="1" t="shared" si="106"/>
        <v>0</v>
      </c>
      <c r="AM38" s="277">
        <f ca="1" t="shared" si="107"/>
        <v>-4</v>
      </c>
      <c r="AN38" s="277" t="b">
        <f ca="1" t="shared" si="108"/>
        <v>0</v>
      </c>
      <c r="AO38" s="294" t="str">
        <f ca="1" t="shared" si="109"/>
        <v/>
      </c>
      <c r="AP38" s="1">
        <f t="shared" si="2"/>
        <v>78.69</v>
      </c>
      <c r="AQ38" s="1">
        <f>IF($B38=0,"",RANK(AP38,AP$8:AP$73,0)+COUNTIF(AP$8:AP38,AP38)-1)</f>
        <v>15</v>
      </c>
      <c r="AR38" s="1">
        <f ca="1" t="shared" si="110"/>
        <v>15</v>
      </c>
      <c r="AS38" s="273">
        <f ca="1" t="shared" si="111"/>
        <v>1.71</v>
      </c>
      <c r="AT38" s="275">
        <f ca="1" t="shared" si="112"/>
        <v>-4</v>
      </c>
      <c r="AU38" s="1">
        <f t="shared" si="113"/>
        <v>38</v>
      </c>
      <c r="AV38" s="269">
        <f t="shared" si="114"/>
        <v>31</v>
      </c>
      <c r="AW38" s="269">
        <f t="shared" si="115"/>
        <v>1</v>
      </c>
      <c r="AX38" s="269">
        <f t="shared" si="116"/>
        <v>1</v>
      </c>
      <c r="AY38" s="268">
        <f t="shared" si="117"/>
        <v>31</v>
      </c>
      <c r="AZ38" s="1" t="str">
        <f t="shared" si="118"/>
        <v>New York</v>
      </c>
      <c r="BA38" s="277">
        <f t="shared" si="119"/>
        <v>69.73</v>
      </c>
      <c r="BB38" s="277">
        <f ca="1" t="shared" si="120"/>
        <v>-9.87</v>
      </c>
      <c r="BC38" s="277" t="b">
        <f ca="1" t="shared" si="121"/>
        <v>0</v>
      </c>
      <c r="BD38" s="277">
        <f ca="1" t="shared" si="122"/>
        <v>-28</v>
      </c>
      <c r="BE38" s="277" t="b">
        <f ca="1" t="shared" si="123"/>
        <v>0</v>
      </c>
      <c r="BF38" s="294" t="str">
        <f ca="1" t="shared" si="124"/>
        <v/>
      </c>
      <c r="BG38" s="1">
        <f t="shared" si="3"/>
        <v>96.76</v>
      </c>
      <c r="BH38" s="1">
        <f>IF($B38=0,"",RANK(BG38,BG$8:BG$73,0)+COUNTIF(BG$8:BG38,BG38)-1)</f>
        <v>2</v>
      </c>
      <c r="BI38" s="1">
        <f ca="1" t="shared" si="125"/>
        <v>2</v>
      </c>
      <c r="BJ38" s="273">
        <f ca="1" t="shared" si="126"/>
        <v>12.46</v>
      </c>
      <c r="BK38" s="275">
        <f ca="1" t="shared" si="127"/>
        <v>17</v>
      </c>
      <c r="BL38" s="1">
        <f t="shared" si="128"/>
        <v>46</v>
      </c>
      <c r="BM38" s="269">
        <f t="shared" si="129"/>
        <v>31</v>
      </c>
      <c r="BN38" s="269">
        <f t="shared" si="130"/>
        <v>1</v>
      </c>
      <c r="BO38" s="269">
        <f t="shared" si="131"/>
        <v>1</v>
      </c>
      <c r="BP38" s="268">
        <f t="shared" si="132"/>
        <v>31</v>
      </c>
      <c r="BQ38" s="1" t="str">
        <f t="shared" si="133"/>
        <v>Santiago</v>
      </c>
      <c r="BR38" s="277">
        <f t="shared" si="134"/>
        <v>81.35</v>
      </c>
      <c r="BS38" s="277">
        <f ca="1" t="shared" si="135"/>
        <v>6.17</v>
      </c>
      <c r="BT38" s="277" t="b">
        <f ca="1" t="shared" si="136"/>
        <v>0</v>
      </c>
      <c r="BU38" s="277">
        <f ca="1" t="shared" si="137"/>
        <v>1</v>
      </c>
      <c r="BV38" s="277" t="b">
        <f ca="1" t="shared" si="138"/>
        <v>0</v>
      </c>
      <c r="BW38" s="294" t="str">
        <f ca="1" t="shared" si="139"/>
        <v/>
      </c>
      <c r="BX38" s="1">
        <f t="shared" si="4"/>
        <v>85.61</v>
      </c>
      <c r="BY38" s="1">
        <f>IF($B38=0,"",RANK(BX38,BX$8:BX$73,0)+COUNTIF(BX$8:BX38,BX38)-1)</f>
        <v>14</v>
      </c>
      <c r="BZ38" s="1">
        <f ca="1" t="shared" si="140"/>
        <v>14</v>
      </c>
      <c r="CA38" s="273">
        <f ca="1" t="shared" si="141"/>
        <v>18.37</v>
      </c>
      <c r="CB38" s="275">
        <f ca="1" t="shared" si="142"/>
        <v>16</v>
      </c>
      <c r="CC38" s="1">
        <f t="shared" si="143"/>
        <v>40</v>
      </c>
      <c r="CD38" s="269">
        <f t="shared" si="144"/>
        <v>31</v>
      </c>
      <c r="CE38" s="269">
        <f t="shared" si="145"/>
        <v>1</v>
      </c>
      <c r="CF38" s="269">
        <f t="shared" si="146"/>
        <v>1</v>
      </c>
      <c r="CG38" s="268">
        <f t="shared" si="147"/>
        <v>31</v>
      </c>
      <c r="CH38" s="1" t="str">
        <f t="shared" si="148"/>
        <v>Paris</v>
      </c>
      <c r="CI38" s="277">
        <f t="shared" si="149"/>
        <v>77.23</v>
      </c>
      <c r="CJ38" s="277">
        <f ca="1" t="shared" si="150"/>
        <v>0.14</v>
      </c>
      <c r="CK38" s="277" t="b">
        <f ca="1" t="shared" si="151"/>
        <v>0</v>
      </c>
      <c r="CL38" s="277">
        <f ca="1" t="shared" si="152"/>
        <v>-10</v>
      </c>
      <c r="CM38" s="277" t="b">
        <f ca="1" t="shared" si="153"/>
        <v>0</v>
      </c>
      <c r="CN38" s="294" t="str">
        <f ca="1" t="shared" si="154"/>
        <v/>
      </c>
    </row>
    <row r="39" spans="1:92">
      <c r="A39" s="1">
        <f>tblTerritories!A34</f>
        <v>32</v>
      </c>
      <c r="B39" s="1">
        <f>IF(tblTerritories!F34="",0,tblTerritories!F34)</f>
        <v>1</v>
      </c>
      <c r="C39" s="1" t="str">
        <f>tblTerritories!C34</f>
        <v>Manila</v>
      </c>
      <c r="D39" s="1">
        <f>tblTerritories!D34</f>
        <v>1</v>
      </c>
      <c r="E39" s="1">
        <f>tblTerritories!K34</f>
        <v>0</v>
      </c>
      <c r="F39" s="1">
        <f>IF($A39="","",VLOOKUP(C39,tblTerritories!$J$3:$P$100,7,FALSE)+10)</f>
        <v>18</v>
      </c>
      <c r="H39" s="1">
        <f t="shared" si="0"/>
        <v>54.86</v>
      </c>
      <c r="I39" s="1">
        <f>IF($B39=0,"",RANK(H39,H$8:H$73,0)+COUNTIF(H$8:H39,H39)-1)</f>
        <v>55</v>
      </c>
      <c r="J39" s="1">
        <f ca="1" t="shared" si="80"/>
        <v>55</v>
      </c>
      <c r="K39" s="273" t="e">
        <f ca="1" t="shared" si="81"/>
        <v>#N/A</v>
      </c>
      <c r="L39" s="275" t="e">
        <f ca="1" t="shared" si="82"/>
        <v>#N/A</v>
      </c>
      <c r="M39" s="1">
        <f t="shared" si="83"/>
        <v>6</v>
      </c>
      <c r="N39" s="269">
        <f t="shared" si="84"/>
        <v>32</v>
      </c>
      <c r="O39" s="269">
        <f t="shared" si="85"/>
        <v>1</v>
      </c>
      <c r="P39" s="269">
        <f t="shared" si="86"/>
        <v>1</v>
      </c>
      <c r="Q39" s="268">
        <f t="shared" si="87"/>
        <v>32</v>
      </c>
      <c r="R39" s="1" t="str">
        <f t="shared" si="88"/>
        <v>Beijing</v>
      </c>
      <c r="S39" s="277">
        <f t="shared" si="89"/>
        <v>72.06</v>
      </c>
      <c r="T39" s="277">
        <f ca="1" t="shared" si="90"/>
        <v>7.66</v>
      </c>
      <c r="U39" s="277" t="b">
        <f ca="1" t="shared" si="91"/>
        <v>0</v>
      </c>
      <c r="V39" s="277">
        <f ca="1" t="shared" si="92"/>
        <v>0</v>
      </c>
      <c r="W39" s="277" t="b">
        <f ca="1" t="shared" si="93"/>
        <v>0</v>
      </c>
      <c r="X39" s="294" t="str">
        <f ca="1" t="shared" si="94"/>
        <v/>
      </c>
      <c r="Y39" s="1">
        <f t="shared" si="1"/>
        <v>36.61</v>
      </c>
      <c r="Z39" s="1">
        <f>IF($B39=0,"",RANK(Y39,Y$8:Y$73,0)+COUNTIF(Y$8:Y39,Y39)-1)</f>
        <v>59</v>
      </c>
      <c r="AA39" s="1">
        <f ca="1" t="shared" si="95"/>
        <v>59</v>
      </c>
      <c r="AB39" s="273" t="e">
        <f ca="1" t="shared" si="96"/>
        <v>#N/A</v>
      </c>
      <c r="AC39" s="275" t="e">
        <f ca="1" t="shared" si="97"/>
        <v>#N/A</v>
      </c>
      <c r="AD39" s="1">
        <f t="shared" si="98"/>
        <v>23</v>
      </c>
      <c r="AE39" s="269">
        <f t="shared" si="99"/>
        <v>32</v>
      </c>
      <c r="AF39" s="269">
        <f t="shared" si="100"/>
        <v>1</v>
      </c>
      <c r="AG39" s="269">
        <f t="shared" si="101"/>
        <v>1</v>
      </c>
      <c r="AH39" s="268">
        <f t="shared" si="102"/>
        <v>32</v>
      </c>
      <c r="AI39" s="1" t="str">
        <f t="shared" si="103"/>
        <v>Jeddah</v>
      </c>
      <c r="AJ39" s="277">
        <f t="shared" si="104"/>
        <v>65.86</v>
      </c>
      <c r="AK39" s="277" t="str">
        <f ca="1" t="shared" si="105"/>
        <v/>
      </c>
      <c r="AL39" s="277" t="b">
        <f ca="1" t="shared" si="106"/>
        <v>0</v>
      </c>
      <c r="AM39" s="277" t="str">
        <f ca="1" t="shared" si="107"/>
        <v/>
      </c>
      <c r="AN39" s="277" t="b">
        <f ca="1" t="shared" si="108"/>
        <v>0</v>
      </c>
      <c r="AO39" s="294" t="str">
        <f ca="1" t="shared" si="109"/>
        <v> *</v>
      </c>
      <c r="AP39" s="1">
        <f t="shared" si="2"/>
        <v>60.12</v>
      </c>
      <c r="AQ39" s="1">
        <f>IF($B39=0,"",RANK(AP39,AP$8:AP$73,0)+COUNTIF(AP$8:AP39,AP39)-1)</f>
        <v>49</v>
      </c>
      <c r="AR39" s="1">
        <f ca="1" t="shared" si="110"/>
        <v>49</v>
      </c>
      <c r="AS39" s="273" t="e">
        <f ca="1" t="shared" si="111"/>
        <v>#N/A</v>
      </c>
      <c r="AT39" s="275" t="e">
        <f ca="1" t="shared" si="112"/>
        <v>#N/A</v>
      </c>
      <c r="AU39" s="1">
        <f t="shared" si="113"/>
        <v>58</v>
      </c>
      <c r="AV39" s="269">
        <f t="shared" si="114"/>
        <v>32</v>
      </c>
      <c r="AW39" s="269">
        <f t="shared" si="115"/>
        <v>1</v>
      </c>
      <c r="AX39" s="269">
        <f t="shared" si="116"/>
        <v>1</v>
      </c>
      <c r="AY39" s="268">
        <f t="shared" si="117"/>
        <v>32</v>
      </c>
      <c r="AZ39" s="1" t="str">
        <f t="shared" si="118"/>
        <v>Wellington</v>
      </c>
      <c r="BA39" s="277">
        <f t="shared" si="119"/>
        <v>69.51</v>
      </c>
      <c r="BB39" s="277" t="str">
        <f ca="1" t="shared" si="120"/>
        <v/>
      </c>
      <c r="BC39" s="277" t="b">
        <f ca="1" t="shared" si="121"/>
        <v>0</v>
      </c>
      <c r="BD39" s="277" t="str">
        <f ca="1" t="shared" si="122"/>
        <v/>
      </c>
      <c r="BE39" s="277" t="b">
        <f ca="1" t="shared" si="123"/>
        <v>0</v>
      </c>
      <c r="BF39" s="294" t="str">
        <f ca="1" t="shared" si="124"/>
        <v> *</v>
      </c>
      <c r="BG39" s="1">
        <f t="shared" si="3"/>
        <v>52.89</v>
      </c>
      <c r="BH39" s="1">
        <f>IF($B39=0,"",RANK(BG39,BG$8:BG$73,0)+COUNTIF(BG$8:BG39,BG39)-1)</f>
        <v>56</v>
      </c>
      <c r="BI39" s="1">
        <f ca="1" t="shared" si="125"/>
        <v>56</v>
      </c>
      <c r="BJ39" s="273" t="e">
        <f ca="1" t="shared" si="126"/>
        <v>#N/A</v>
      </c>
      <c r="BK39" s="275" t="e">
        <f ca="1" t="shared" si="127"/>
        <v>#N/A</v>
      </c>
      <c r="BL39" s="1">
        <f t="shared" si="128"/>
        <v>42</v>
      </c>
      <c r="BM39" s="269">
        <f t="shared" si="129"/>
        <v>32</v>
      </c>
      <c r="BN39" s="269">
        <f t="shared" si="130"/>
        <v>1</v>
      </c>
      <c r="BO39" s="269">
        <f t="shared" si="131"/>
        <v>1</v>
      </c>
      <c r="BP39" s="268">
        <f t="shared" si="132"/>
        <v>32</v>
      </c>
      <c r="BQ39" s="1" t="str">
        <f t="shared" si="133"/>
        <v>Rio de Janeiro</v>
      </c>
      <c r="BR39" s="277">
        <f t="shared" si="134"/>
        <v>79.53</v>
      </c>
      <c r="BS39" s="277">
        <f ca="1" t="shared" si="135"/>
        <v>2.74</v>
      </c>
      <c r="BT39" s="277" t="b">
        <f ca="1" t="shared" si="136"/>
        <v>0</v>
      </c>
      <c r="BU39" s="277">
        <f ca="1" t="shared" si="137"/>
        <v>-2</v>
      </c>
      <c r="BV39" s="277" t="b">
        <f ca="1" t="shared" si="138"/>
        <v>0</v>
      </c>
      <c r="BW39" s="294" t="str">
        <f ca="1" t="shared" si="139"/>
        <v/>
      </c>
      <c r="BX39" s="1">
        <f t="shared" si="4"/>
        <v>69.83</v>
      </c>
      <c r="BY39" s="1">
        <f>IF($B39=0,"",RANK(BX39,BX$8:BX$73,0)+COUNTIF(BX$8:BX39,BX39)-1)</f>
        <v>39</v>
      </c>
      <c r="BZ39" s="1">
        <f ca="1" t="shared" si="140"/>
        <v>39</v>
      </c>
      <c r="CA39" s="273" t="e">
        <f ca="1" t="shared" si="141"/>
        <v>#N/A</v>
      </c>
      <c r="CB39" s="275" t="e">
        <f ca="1" t="shared" si="142"/>
        <v>#N/A</v>
      </c>
      <c r="CC39" s="1">
        <f t="shared" si="143"/>
        <v>35</v>
      </c>
      <c r="CD39" s="269">
        <f t="shared" si="144"/>
        <v>32</v>
      </c>
      <c r="CE39" s="269">
        <f t="shared" si="145"/>
        <v>1</v>
      </c>
      <c r="CF39" s="269">
        <f t="shared" si="146"/>
        <v>1</v>
      </c>
      <c r="CG39" s="268">
        <f t="shared" si="147"/>
        <v>32</v>
      </c>
      <c r="CH39" s="1" t="str">
        <f t="shared" si="148"/>
        <v>Milan</v>
      </c>
      <c r="CI39" s="277">
        <f t="shared" si="149"/>
        <v>76.83</v>
      </c>
      <c r="CJ39" s="277">
        <f ca="1" t="shared" si="150"/>
        <v>4.95</v>
      </c>
      <c r="CK39" s="277" t="b">
        <f ca="1" t="shared" si="151"/>
        <v>0</v>
      </c>
      <c r="CL39" s="277">
        <f ca="1" t="shared" si="152"/>
        <v>-8</v>
      </c>
      <c r="CM39" s="277" t="b">
        <f ca="1" t="shared" si="153"/>
        <v>0</v>
      </c>
      <c r="CN39" s="294" t="str">
        <f ca="1" t="shared" si="154"/>
        <v/>
      </c>
    </row>
    <row r="40" spans="1:92">
      <c r="A40" s="1">
        <f>tblTerritories!A35</f>
        <v>33</v>
      </c>
      <c r="B40" s="1">
        <f>IF(tblTerritories!F35="",0,tblTerritories!F35)</f>
        <v>1</v>
      </c>
      <c r="C40" s="1" t="str">
        <f>tblTerritories!C35</f>
        <v>Melbourne</v>
      </c>
      <c r="D40" s="1">
        <f>tblTerritories!D35</f>
        <v>1</v>
      </c>
      <c r="E40" s="1">
        <f>tblTerritories!K35</f>
        <v>0</v>
      </c>
      <c r="F40" s="1">
        <f>IF($A40="","",VLOOKUP(C40,tblTerritories!$J$3:$P$100,7,FALSE)+10)</f>
        <v>16</v>
      </c>
      <c r="H40" s="1">
        <f t="shared" si="0"/>
        <v>87.3</v>
      </c>
      <c r="I40" s="1">
        <f>IF($B40=0,"",RANK(H40,H$8:H$73,0)+COUNTIF(H$8:H40,H40)-1)</f>
        <v>5</v>
      </c>
      <c r="J40" s="1">
        <f ca="1" t="shared" si="80"/>
        <v>5</v>
      </c>
      <c r="K40" s="273">
        <f ca="1" t="shared" si="81"/>
        <v>6.03</v>
      </c>
      <c r="L40" s="275">
        <f ca="1" t="shared" si="82"/>
        <v>2</v>
      </c>
      <c r="M40" s="1">
        <f t="shared" si="83"/>
        <v>3</v>
      </c>
      <c r="N40" s="269">
        <f t="shared" si="84"/>
        <v>33</v>
      </c>
      <c r="O40" s="269">
        <f t="shared" si="85"/>
        <v>1</v>
      </c>
      <c r="P40" s="269">
        <f t="shared" si="86"/>
        <v>1</v>
      </c>
      <c r="Q40" s="268">
        <f t="shared" si="87"/>
        <v>33</v>
      </c>
      <c r="R40" s="1" t="str">
        <f t="shared" si="88"/>
        <v>Athens</v>
      </c>
      <c r="S40" s="277">
        <f t="shared" si="89"/>
        <v>71.9</v>
      </c>
      <c r="T40" s="277" t="str">
        <f ca="1" t="shared" si="90"/>
        <v/>
      </c>
      <c r="U40" s="277" t="b">
        <f ca="1" t="shared" si="91"/>
        <v>0</v>
      </c>
      <c r="V40" s="277" t="str">
        <f ca="1" t="shared" si="92"/>
        <v/>
      </c>
      <c r="W40" s="277" t="b">
        <f ca="1" t="shared" si="93"/>
        <v>0</v>
      </c>
      <c r="X40" s="294" t="str">
        <f ca="1" t="shared" si="94"/>
        <v> *</v>
      </c>
      <c r="Y40" s="1">
        <f t="shared" si="1"/>
        <v>83.32</v>
      </c>
      <c r="Z40" s="1">
        <f>IF($B40=0,"",RANK(Y40,Y$8:Y$73,0)+COUNTIF(Y$8:Y40,Y40)-1)</f>
        <v>11</v>
      </c>
      <c r="AA40" s="1">
        <f ca="1" t="shared" si="95"/>
        <v>11</v>
      </c>
      <c r="AB40" s="273">
        <f ca="1" t="shared" si="96"/>
        <v>16.9</v>
      </c>
      <c r="AC40" s="275">
        <f ca="1" t="shared" si="97"/>
        <v>10</v>
      </c>
      <c r="AD40" s="1">
        <f t="shared" si="98"/>
        <v>6</v>
      </c>
      <c r="AE40" s="269">
        <f t="shared" si="99"/>
        <v>33</v>
      </c>
      <c r="AF40" s="269">
        <f t="shared" si="100"/>
        <v>1</v>
      </c>
      <c r="AG40" s="269">
        <f t="shared" si="101"/>
        <v>1</v>
      </c>
      <c r="AH40" s="268">
        <f t="shared" si="102"/>
        <v>33</v>
      </c>
      <c r="AI40" s="1" t="str">
        <f t="shared" si="103"/>
        <v>Beijing</v>
      </c>
      <c r="AJ40" s="277">
        <f t="shared" si="104"/>
        <v>65.38</v>
      </c>
      <c r="AK40" s="277">
        <f ca="1" t="shared" si="105"/>
        <v>16.51</v>
      </c>
      <c r="AL40" s="277" t="b">
        <f ca="1" t="shared" si="106"/>
        <v>0</v>
      </c>
      <c r="AM40" s="277">
        <f ca="1" t="shared" si="107"/>
        <v>6</v>
      </c>
      <c r="AN40" s="277" t="b">
        <f ca="1" t="shared" si="108"/>
        <v>0</v>
      </c>
      <c r="AO40" s="294" t="str">
        <f ca="1" t="shared" si="109"/>
        <v/>
      </c>
      <c r="AP40" s="1">
        <f t="shared" si="2"/>
        <v>81.34</v>
      </c>
      <c r="AQ40" s="1">
        <f>IF($B40=0,"",RANK(AP40,AP$8:AP$73,0)+COUNTIF(AP$8:AP40,AP40)-1)</f>
        <v>9</v>
      </c>
      <c r="AR40" s="1">
        <f ca="1" t="shared" si="110"/>
        <v>9</v>
      </c>
      <c r="AS40" s="273">
        <f ca="1" t="shared" si="111"/>
        <v>5.63</v>
      </c>
      <c r="AT40" s="275">
        <f ca="1" t="shared" si="112"/>
        <v>5</v>
      </c>
      <c r="AU40" s="1">
        <f t="shared" si="113"/>
        <v>1</v>
      </c>
      <c r="AV40" s="269">
        <f t="shared" si="114"/>
        <v>33</v>
      </c>
      <c r="AW40" s="269">
        <f t="shared" si="115"/>
        <v>1</v>
      </c>
      <c r="AX40" s="269">
        <f t="shared" si="116"/>
        <v>1</v>
      </c>
      <c r="AY40" s="268">
        <f t="shared" si="117"/>
        <v>33</v>
      </c>
      <c r="AZ40" s="1" t="str">
        <f t="shared" si="118"/>
        <v>Abu Dhabi</v>
      </c>
      <c r="BA40" s="277">
        <f t="shared" si="119"/>
        <v>68.54</v>
      </c>
      <c r="BB40" s="277">
        <f ca="1" t="shared" si="120"/>
        <v>12.99</v>
      </c>
      <c r="BC40" s="277" t="b">
        <f ca="1" t="shared" si="121"/>
        <v>0</v>
      </c>
      <c r="BD40" s="277">
        <f ca="1" t="shared" si="122"/>
        <v>9</v>
      </c>
      <c r="BE40" s="277" t="b">
        <f ca="1" t="shared" si="123"/>
        <v>0</v>
      </c>
      <c r="BF40" s="294" t="str">
        <f ca="1" t="shared" si="124"/>
        <v/>
      </c>
      <c r="BG40" s="1">
        <f t="shared" si="3"/>
        <v>96.04</v>
      </c>
      <c r="BH40" s="1">
        <f>IF($B40=0,"",RANK(BG40,BG$8:BG$73,0)+COUNTIF(BG$8:BG40,BG40)-1)</f>
        <v>8</v>
      </c>
      <c r="BI40" s="1">
        <f ca="1" t="shared" si="125"/>
        <v>7</v>
      </c>
      <c r="BJ40" s="273">
        <f ca="1" t="shared" si="126"/>
        <v>2.65</v>
      </c>
      <c r="BK40" s="275">
        <f ca="1" t="shared" si="127"/>
        <v>-5</v>
      </c>
      <c r="BL40" s="1">
        <f t="shared" si="128"/>
        <v>47</v>
      </c>
      <c r="BM40" s="269">
        <f t="shared" si="129"/>
        <v>33</v>
      </c>
      <c r="BN40" s="269">
        <f t="shared" si="130"/>
        <v>1</v>
      </c>
      <c r="BO40" s="269">
        <f t="shared" si="131"/>
        <v>1</v>
      </c>
      <c r="BP40" s="268">
        <f t="shared" si="132"/>
        <v>33</v>
      </c>
      <c r="BQ40" s="1" t="str">
        <f t="shared" si="133"/>
        <v>Sao Paulo</v>
      </c>
      <c r="BR40" s="277">
        <f t="shared" si="134"/>
        <v>79.44</v>
      </c>
      <c r="BS40" s="277">
        <f ca="1" t="shared" si="135"/>
        <v>1.38</v>
      </c>
      <c r="BT40" s="277" t="b">
        <f ca="1" t="shared" si="136"/>
        <v>0</v>
      </c>
      <c r="BU40" s="277">
        <f ca="1" t="shared" si="137"/>
        <v>-6</v>
      </c>
      <c r="BV40" s="277" t="b">
        <f ca="1" t="shared" si="138"/>
        <v>0</v>
      </c>
      <c r="BW40" s="294" t="str">
        <f ca="1" t="shared" si="139"/>
        <v/>
      </c>
      <c r="BX40" s="1">
        <f t="shared" si="4"/>
        <v>88.52</v>
      </c>
      <c r="BY40" s="1">
        <f>IF($B40=0,"",RANK(BX40,BX$8:BX$73,0)+COUNTIF(BX$8:BX40,BX40)-1)</f>
        <v>8</v>
      </c>
      <c r="BZ40" s="1">
        <f ca="1" t="shared" si="140"/>
        <v>8</v>
      </c>
      <c r="CA40" s="273">
        <f ca="1" t="shared" si="141"/>
        <v>-1.05</v>
      </c>
      <c r="CB40" s="275">
        <f ca="1" t="shared" si="142"/>
        <v>0</v>
      </c>
      <c r="CC40" s="1">
        <f t="shared" si="143"/>
        <v>15</v>
      </c>
      <c r="CD40" s="269">
        <f t="shared" si="144"/>
        <v>33</v>
      </c>
      <c r="CE40" s="269">
        <f t="shared" si="145"/>
        <v>1</v>
      </c>
      <c r="CF40" s="269">
        <f t="shared" si="146"/>
        <v>1</v>
      </c>
      <c r="CG40" s="268">
        <f t="shared" si="147"/>
        <v>33</v>
      </c>
      <c r="CH40" s="1" t="str">
        <f t="shared" si="148"/>
        <v>Delhi</v>
      </c>
      <c r="CI40" s="277">
        <f t="shared" si="149"/>
        <v>76.61</v>
      </c>
      <c r="CJ40" s="277">
        <f ca="1" t="shared" si="150"/>
        <v>8.3</v>
      </c>
      <c r="CK40" s="277" t="b">
        <f ca="1" t="shared" si="151"/>
        <v>0</v>
      </c>
      <c r="CL40" s="277">
        <f ca="1" t="shared" si="152"/>
        <v>-5</v>
      </c>
      <c r="CM40" s="277" t="b">
        <f ca="1" t="shared" si="153"/>
        <v>0</v>
      </c>
      <c r="CN40" s="294" t="str">
        <f ca="1" t="shared" si="154"/>
        <v/>
      </c>
    </row>
    <row r="41" spans="1:92">
      <c r="A41" s="1">
        <f>tblTerritories!A36</f>
        <v>34</v>
      </c>
      <c r="B41" s="1">
        <f>IF(tblTerritories!F36="",0,tblTerritories!F36)</f>
        <v>1</v>
      </c>
      <c r="C41" s="1" t="str">
        <f>tblTerritories!C36</f>
        <v>Mexico City</v>
      </c>
      <c r="D41" s="1">
        <f>tblTerritories!D36</f>
        <v>1</v>
      </c>
      <c r="E41" s="1">
        <f>tblTerritories!K36</f>
        <v>0</v>
      </c>
      <c r="F41" s="1">
        <f>IF($A41="","",VLOOKUP(C41,tblTerritories!$J$3:$P$100,7,FALSE)+10)</f>
        <v>12</v>
      </c>
      <c r="H41" s="1">
        <f t="shared" si="0"/>
        <v>65.52</v>
      </c>
      <c r="I41" s="1">
        <f>IF($B41=0,"",RANK(H41,H$8:H$73,0)+COUNTIF(H$8:H41,H41)-1)</f>
        <v>39</v>
      </c>
      <c r="J41" s="1">
        <f ca="1" t="shared" si="80"/>
        <v>39</v>
      </c>
      <c r="K41" s="273">
        <f ca="1" t="shared" si="81"/>
        <v>3.28</v>
      </c>
      <c r="L41" s="275">
        <f ca="1" t="shared" si="82"/>
        <v>-3</v>
      </c>
      <c r="M41" s="1">
        <f t="shared" si="83"/>
        <v>49</v>
      </c>
      <c r="N41" s="269">
        <f t="shared" si="84"/>
        <v>34</v>
      </c>
      <c r="O41" s="269">
        <f t="shared" si="85"/>
        <v>1</v>
      </c>
      <c r="P41" s="269">
        <f t="shared" si="86"/>
        <v>1</v>
      </c>
      <c r="Q41" s="268">
        <f t="shared" si="87"/>
        <v>34</v>
      </c>
      <c r="R41" s="1" t="str">
        <f t="shared" si="88"/>
        <v>Shanghai</v>
      </c>
      <c r="S41" s="277">
        <f t="shared" si="89"/>
        <v>70.93</v>
      </c>
      <c r="T41" s="277">
        <f ca="1" t="shared" si="90"/>
        <v>4.4</v>
      </c>
      <c r="U41" s="277" t="b">
        <f ca="1" t="shared" si="91"/>
        <v>0</v>
      </c>
      <c r="V41" s="277">
        <f ca="1" t="shared" si="92"/>
        <v>-4</v>
      </c>
      <c r="W41" s="277" t="b">
        <f ca="1" t="shared" si="93"/>
        <v>0</v>
      </c>
      <c r="X41" s="294" t="str">
        <f ca="1" t="shared" si="94"/>
        <v/>
      </c>
      <c r="Y41" s="1">
        <f t="shared" si="1"/>
        <v>53.69</v>
      </c>
      <c r="Z41" s="1">
        <f>IF($B41=0,"",RANK(Y41,Y$8:Y$73,0)+COUNTIF(Y$8:Y41,Y41)-1)</f>
        <v>48</v>
      </c>
      <c r="AA41" s="1">
        <f ca="1" t="shared" si="95"/>
        <v>48</v>
      </c>
      <c r="AB41" s="273">
        <f ca="1" t="shared" si="96"/>
        <v>-9</v>
      </c>
      <c r="AC41" s="275">
        <f ca="1" t="shared" si="97"/>
        <v>-24</v>
      </c>
      <c r="AD41" s="1">
        <f t="shared" si="98"/>
        <v>17</v>
      </c>
      <c r="AE41" s="269">
        <f t="shared" si="99"/>
        <v>34</v>
      </c>
      <c r="AF41" s="269">
        <f t="shared" si="100"/>
        <v>1</v>
      </c>
      <c r="AG41" s="269">
        <f t="shared" si="101"/>
        <v>1</v>
      </c>
      <c r="AH41" s="268">
        <f t="shared" si="102"/>
        <v>34</v>
      </c>
      <c r="AI41" s="1" t="str">
        <f t="shared" si="103"/>
        <v>Doha</v>
      </c>
      <c r="AJ41" s="277">
        <f t="shared" si="104"/>
        <v>64.02</v>
      </c>
      <c r="AK41" s="277">
        <f ca="1" t="shared" si="105"/>
        <v>4.29</v>
      </c>
      <c r="AL41" s="277" t="b">
        <f ca="1" t="shared" si="106"/>
        <v>0</v>
      </c>
      <c r="AM41" s="277">
        <f ca="1" t="shared" si="107"/>
        <v>-3</v>
      </c>
      <c r="AN41" s="277" t="b">
        <f ca="1" t="shared" si="108"/>
        <v>0</v>
      </c>
      <c r="AO41" s="294" t="str">
        <f ca="1" t="shared" si="109"/>
        <v/>
      </c>
      <c r="AP41" s="1">
        <f t="shared" si="2"/>
        <v>70.79</v>
      </c>
      <c r="AQ41" s="1">
        <f>IF($B41=0,"",RANK(AP41,AP$8:AP$73,0)+COUNTIF(AP$8:AP41,AP41)-1)</f>
        <v>28</v>
      </c>
      <c r="AR41" s="1">
        <f ca="1" t="shared" si="110"/>
        <v>28</v>
      </c>
      <c r="AS41" s="273">
        <f ca="1" t="shared" si="111"/>
        <v>5.47</v>
      </c>
      <c r="AT41" s="275">
        <f ca="1" t="shared" si="112"/>
        <v>3</v>
      </c>
      <c r="AU41" s="1">
        <f t="shared" si="113"/>
        <v>6</v>
      </c>
      <c r="AV41" s="269">
        <f t="shared" si="114"/>
        <v>34</v>
      </c>
      <c r="AW41" s="269">
        <f t="shared" si="115"/>
        <v>1</v>
      </c>
      <c r="AX41" s="269">
        <f t="shared" si="116"/>
        <v>1</v>
      </c>
      <c r="AY41" s="268">
        <f t="shared" si="117"/>
        <v>34</v>
      </c>
      <c r="AZ41" s="1" t="str">
        <f t="shared" si="118"/>
        <v>Beijing</v>
      </c>
      <c r="BA41" s="277">
        <f t="shared" si="119"/>
        <v>67.63</v>
      </c>
      <c r="BB41" s="277">
        <f ca="1" t="shared" si="120"/>
        <v>-0.44</v>
      </c>
      <c r="BC41" s="277" t="b">
        <f ca="1" t="shared" si="121"/>
        <v>0</v>
      </c>
      <c r="BD41" s="277">
        <f ca="1" t="shared" si="122"/>
        <v>-8</v>
      </c>
      <c r="BE41" s="277" t="b">
        <f ca="1" t="shared" si="123"/>
        <v>0</v>
      </c>
      <c r="BF41" s="294" t="str">
        <f ca="1" t="shared" si="124"/>
        <v/>
      </c>
      <c r="BG41" s="1">
        <f t="shared" si="3"/>
        <v>72.98</v>
      </c>
      <c r="BH41" s="1">
        <f>IF($B41=0,"",RANK(BG41,BG$8:BG$73,0)+COUNTIF(BG$8:BG41,BG41)-1)</f>
        <v>39</v>
      </c>
      <c r="BI41" s="1">
        <f ca="1" t="shared" si="125"/>
        <v>39</v>
      </c>
      <c r="BJ41" s="273">
        <f ca="1" t="shared" si="126"/>
        <v>14.14</v>
      </c>
      <c r="BK41" s="275">
        <f ca="1" t="shared" si="127"/>
        <v>2</v>
      </c>
      <c r="BL41" s="1">
        <f t="shared" si="128"/>
        <v>14</v>
      </c>
      <c r="BM41" s="269">
        <f t="shared" si="129"/>
        <v>34</v>
      </c>
      <c r="BN41" s="269">
        <f t="shared" si="130"/>
        <v>1</v>
      </c>
      <c r="BO41" s="269">
        <f t="shared" si="131"/>
        <v>1</v>
      </c>
      <c r="BP41" s="268">
        <f t="shared" si="132"/>
        <v>34</v>
      </c>
      <c r="BQ41" s="1" t="str">
        <f t="shared" si="133"/>
        <v>Dallas</v>
      </c>
      <c r="BR41" s="277">
        <f t="shared" si="134"/>
        <v>79.23</v>
      </c>
      <c r="BS41" s="277" t="str">
        <f ca="1" t="shared" si="135"/>
        <v/>
      </c>
      <c r="BT41" s="277" t="b">
        <f ca="1" t="shared" si="136"/>
        <v>0</v>
      </c>
      <c r="BU41" s="277" t="str">
        <f ca="1" t="shared" si="137"/>
        <v/>
      </c>
      <c r="BV41" s="277" t="b">
        <f ca="1" t="shared" si="138"/>
        <v>0</v>
      </c>
      <c r="BW41" s="294" t="str">
        <f ca="1" t="shared" si="139"/>
        <v> *</v>
      </c>
      <c r="BX41" s="1">
        <f t="shared" si="4"/>
        <v>64.62</v>
      </c>
      <c r="BY41" s="1">
        <f>IF($B41=0,"",RANK(BX41,BX$8:BX$73,0)+COUNTIF(BX$8:BX41,BX41)-1)</f>
        <v>45</v>
      </c>
      <c r="BZ41" s="1">
        <f ca="1" t="shared" si="140"/>
        <v>45</v>
      </c>
      <c r="CA41" s="273">
        <f ca="1" t="shared" si="141"/>
        <v>2.51</v>
      </c>
      <c r="CB41" s="275">
        <f ca="1" t="shared" si="142"/>
        <v>-9</v>
      </c>
      <c r="CC41" s="1">
        <f t="shared" si="143"/>
        <v>27</v>
      </c>
      <c r="CD41" s="269">
        <f t="shared" si="144"/>
        <v>34</v>
      </c>
      <c r="CE41" s="269">
        <f t="shared" si="145"/>
        <v>1</v>
      </c>
      <c r="CF41" s="269">
        <f t="shared" si="146"/>
        <v>1</v>
      </c>
      <c r="CG41" s="268">
        <f t="shared" si="147"/>
        <v>34</v>
      </c>
      <c r="CH41" s="1" t="str">
        <f t="shared" si="148"/>
        <v>Kuwait City</v>
      </c>
      <c r="CI41" s="277">
        <f t="shared" si="149"/>
        <v>74.82</v>
      </c>
      <c r="CJ41" s="277">
        <f ca="1" t="shared" si="150"/>
        <v>17.67</v>
      </c>
      <c r="CK41" s="277" t="b">
        <f ca="1" t="shared" si="151"/>
        <v>0</v>
      </c>
      <c r="CL41" s="277">
        <f ca="1" t="shared" si="152"/>
        <v>7</v>
      </c>
      <c r="CM41" s="277" t="b">
        <f ca="1" t="shared" si="153"/>
        <v>0</v>
      </c>
      <c r="CN41" s="294" t="str">
        <f ca="1" t="shared" si="154"/>
        <v/>
      </c>
    </row>
    <row r="42" spans="1:92">
      <c r="A42" s="1">
        <f>tblTerritories!A37</f>
        <v>35</v>
      </c>
      <c r="B42" s="1">
        <f>IF(tblTerritories!F37="",0,tblTerritories!F37)</f>
        <v>1</v>
      </c>
      <c r="C42" s="1" t="str">
        <f>tblTerritories!C37</f>
        <v>Milan</v>
      </c>
      <c r="D42" s="1">
        <f>tblTerritories!D37</f>
        <v>1</v>
      </c>
      <c r="E42" s="1">
        <f>tblTerritories!K37</f>
        <v>0</v>
      </c>
      <c r="F42" s="1">
        <f>IF($A42="","",VLOOKUP(C42,tblTerritories!$J$3:$P$100,7,FALSE)+10)</f>
        <v>11</v>
      </c>
      <c r="H42" s="1">
        <f t="shared" si="0"/>
        <v>79.3</v>
      </c>
      <c r="I42" s="1">
        <f>IF($B42=0,"",RANK(H42,H$8:H$73,0)+COUNTIF(H$8:H42,H42)-1)</f>
        <v>25</v>
      </c>
      <c r="J42" s="1">
        <f ca="1" t="shared" si="80"/>
        <v>25</v>
      </c>
      <c r="K42" s="273">
        <f ca="1" t="shared" si="81"/>
        <v>6.72</v>
      </c>
      <c r="L42" s="275">
        <f ca="1" t="shared" si="82"/>
        <v>-1</v>
      </c>
      <c r="M42" s="1">
        <f t="shared" si="83"/>
        <v>46</v>
      </c>
      <c r="N42" s="269">
        <f t="shared" si="84"/>
        <v>35</v>
      </c>
      <c r="O42" s="269">
        <f t="shared" si="85"/>
        <v>1</v>
      </c>
      <c r="P42" s="269">
        <f t="shared" si="86"/>
        <v>1</v>
      </c>
      <c r="Q42" s="268">
        <f t="shared" si="87"/>
        <v>35</v>
      </c>
      <c r="R42" s="1" t="str">
        <f t="shared" si="88"/>
        <v>Santiago</v>
      </c>
      <c r="S42" s="277">
        <f t="shared" si="89"/>
        <v>70.03</v>
      </c>
      <c r="T42" s="277">
        <f ca="1" t="shared" si="90"/>
        <v>2.49</v>
      </c>
      <c r="U42" s="277" t="b">
        <f ca="1" t="shared" si="91"/>
        <v>0</v>
      </c>
      <c r="V42" s="277">
        <f ca="1" t="shared" si="92"/>
        <v>-6</v>
      </c>
      <c r="W42" s="277" t="b">
        <f ca="1" t="shared" si="93"/>
        <v>0</v>
      </c>
      <c r="X42" s="294" t="str">
        <f ca="1" t="shared" si="94"/>
        <v/>
      </c>
      <c r="Y42" s="1">
        <f t="shared" si="1"/>
        <v>73.29</v>
      </c>
      <c r="Z42" s="1">
        <f>IF($B42=0,"",RANK(Y42,Y$8:Y$73,0)+COUNTIF(Y$8:Y42,Y42)-1)</f>
        <v>25</v>
      </c>
      <c r="AA42" s="1">
        <f ca="1" t="shared" si="95"/>
        <v>25</v>
      </c>
      <c r="AB42" s="273">
        <f ca="1" t="shared" si="96"/>
        <v>5.17</v>
      </c>
      <c r="AC42" s="275">
        <f ca="1" t="shared" si="97"/>
        <v>-9</v>
      </c>
      <c r="AD42" s="1">
        <f t="shared" si="98"/>
        <v>3</v>
      </c>
      <c r="AE42" s="269">
        <f t="shared" si="99"/>
        <v>35</v>
      </c>
      <c r="AF42" s="269">
        <f t="shared" si="100"/>
        <v>1</v>
      </c>
      <c r="AG42" s="269">
        <f t="shared" si="101"/>
        <v>1</v>
      </c>
      <c r="AH42" s="268">
        <f t="shared" si="102"/>
        <v>35</v>
      </c>
      <c r="AI42" s="1" t="str">
        <f t="shared" si="103"/>
        <v>Athens</v>
      </c>
      <c r="AJ42" s="277">
        <f t="shared" si="104"/>
        <v>61.94</v>
      </c>
      <c r="AK42" s="277" t="str">
        <f ca="1" t="shared" si="105"/>
        <v/>
      </c>
      <c r="AL42" s="277" t="b">
        <f ca="1" t="shared" si="106"/>
        <v>0</v>
      </c>
      <c r="AM42" s="277" t="str">
        <f ca="1" t="shared" si="107"/>
        <v/>
      </c>
      <c r="AN42" s="277" t="b">
        <f ca="1" t="shared" si="108"/>
        <v>0</v>
      </c>
      <c r="AO42" s="294" t="str">
        <f ca="1" t="shared" si="109"/>
        <v> *</v>
      </c>
      <c r="AP42" s="1">
        <f t="shared" si="2"/>
        <v>76.72</v>
      </c>
      <c r="AQ42" s="1">
        <f>IF($B42=0,"",RANK(AP42,AP$8:AP$73,0)+COUNTIF(AP$8:AP42,AP42)-1)</f>
        <v>17</v>
      </c>
      <c r="AR42" s="1">
        <f ca="1" t="shared" si="110"/>
        <v>17</v>
      </c>
      <c r="AS42" s="273">
        <f ca="1" t="shared" si="111"/>
        <v>8.37</v>
      </c>
      <c r="AT42" s="275">
        <f ca="1" t="shared" si="112"/>
        <v>8</v>
      </c>
      <c r="AU42" s="1">
        <f t="shared" si="113"/>
        <v>46</v>
      </c>
      <c r="AV42" s="269">
        <f t="shared" si="114"/>
        <v>35</v>
      </c>
      <c r="AW42" s="269">
        <f t="shared" si="115"/>
        <v>1</v>
      </c>
      <c r="AX42" s="269">
        <f t="shared" si="116"/>
        <v>1</v>
      </c>
      <c r="AY42" s="268">
        <f t="shared" si="117"/>
        <v>35</v>
      </c>
      <c r="AZ42" s="1" t="str">
        <f t="shared" si="118"/>
        <v>Santiago</v>
      </c>
      <c r="BA42" s="277">
        <f t="shared" si="119"/>
        <v>67.17</v>
      </c>
      <c r="BB42" s="277">
        <f ca="1" t="shared" si="120"/>
        <v>-0.27</v>
      </c>
      <c r="BC42" s="277" t="b">
        <f ca="1" t="shared" si="121"/>
        <v>0</v>
      </c>
      <c r="BD42" s="277">
        <f ca="1" t="shared" si="122"/>
        <v>-7</v>
      </c>
      <c r="BE42" s="277" t="b">
        <f ca="1" t="shared" si="123"/>
        <v>0</v>
      </c>
      <c r="BF42" s="294" t="str">
        <f ca="1" t="shared" si="124"/>
        <v/>
      </c>
      <c r="BG42" s="1">
        <f t="shared" si="3"/>
        <v>90.36</v>
      </c>
      <c r="BH42" s="1">
        <f>IF($B42=0,"",RANK(BG42,BG$8:BG$73,0)+COUNTIF(BG$8:BG42,BG42)-1)</f>
        <v>18</v>
      </c>
      <c r="BI42" s="1">
        <f ca="1" t="shared" si="125"/>
        <v>18</v>
      </c>
      <c r="BJ42" s="273">
        <f ca="1" t="shared" si="126"/>
        <v>8.37</v>
      </c>
      <c r="BK42" s="275">
        <f ca="1" t="shared" si="127"/>
        <v>3</v>
      </c>
      <c r="BL42" s="1">
        <f t="shared" si="128"/>
        <v>26</v>
      </c>
      <c r="BM42" s="269">
        <f t="shared" si="129"/>
        <v>35</v>
      </c>
      <c r="BN42" s="269">
        <f t="shared" si="130"/>
        <v>1</v>
      </c>
      <c r="BO42" s="269">
        <f t="shared" si="131"/>
        <v>1</v>
      </c>
      <c r="BP42" s="268">
        <f t="shared" si="132"/>
        <v>35</v>
      </c>
      <c r="BQ42" s="1" t="str">
        <f t="shared" si="133"/>
        <v>Kuala Lumpur</v>
      </c>
      <c r="BR42" s="277">
        <f t="shared" si="134"/>
        <v>78.12</v>
      </c>
      <c r="BS42" s="277" t="str">
        <f ca="1" t="shared" si="135"/>
        <v/>
      </c>
      <c r="BT42" s="277" t="b">
        <f ca="1" t="shared" si="136"/>
        <v>0</v>
      </c>
      <c r="BU42" s="277" t="str">
        <f ca="1" t="shared" si="137"/>
        <v/>
      </c>
      <c r="BV42" s="277" t="b">
        <f ca="1" t="shared" si="138"/>
        <v>0</v>
      </c>
      <c r="BW42" s="294" t="str">
        <f ca="1" t="shared" si="139"/>
        <v> *</v>
      </c>
      <c r="BX42" s="1">
        <f t="shared" si="4"/>
        <v>76.83</v>
      </c>
      <c r="BY42" s="1">
        <f>IF($B42=0,"",RANK(BX42,BX$8:BX$73,0)+COUNTIF(BX$8:BX42,BX42)-1)</f>
        <v>32</v>
      </c>
      <c r="BZ42" s="1">
        <f ca="1" t="shared" si="140"/>
        <v>32</v>
      </c>
      <c r="CA42" s="273">
        <f ca="1" t="shared" si="141"/>
        <v>4.95</v>
      </c>
      <c r="CB42" s="275">
        <f ca="1" t="shared" si="142"/>
        <v>-8</v>
      </c>
      <c r="CC42" s="1">
        <f t="shared" si="143"/>
        <v>44</v>
      </c>
      <c r="CD42" s="269">
        <f t="shared" si="144"/>
        <v>35</v>
      </c>
      <c r="CE42" s="269">
        <f t="shared" si="145"/>
        <v>1</v>
      </c>
      <c r="CF42" s="269">
        <f t="shared" si="146"/>
        <v>1</v>
      </c>
      <c r="CG42" s="268">
        <f t="shared" si="147"/>
        <v>35</v>
      </c>
      <c r="CH42" s="1" t="str">
        <f t="shared" si="148"/>
        <v>Rome</v>
      </c>
      <c r="CI42" s="277">
        <f t="shared" si="149"/>
        <v>74.39</v>
      </c>
      <c r="CJ42" s="277">
        <f ca="1" t="shared" si="150"/>
        <v>11.51</v>
      </c>
      <c r="CK42" s="277" t="b">
        <f ca="1" t="shared" si="151"/>
        <v>0</v>
      </c>
      <c r="CL42" s="277">
        <f ca="1" t="shared" si="152"/>
        <v>0</v>
      </c>
      <c r="CM42" s="277" t="b">
        <f ca="1" t="shared" si="153"/>
        <v>0</v>
      </c>
      <c r="CN42" s="294" t="str">
        <f ca="1" t="shared" si="154"/>
        <v/>
      </c>
    </row>
    <row r="43" spans="1:92">
      <c r="A43" s="1">
        <f>tblTerritories!A38</f>
        <v>36</v>
      </c>
      <c r="B43" s="1">
        <f>IF(tblTerritories!F38="",0,tblTerritories!F38)</f>
        <v>1</v>
      </c>
      <c r="C43" s="1" t="str">
        <f>tblTerritories!C38</f>
        <v>Moscow</v>
      </c>
      <c r="D43" s="1">
        <f>tblTerritories!D38</f>
        <v>1</v>
      </c>
      <c r="E43" s="1">
        <f>tblTerritories!K38</f>
        <v>0</v>
      </c>
      <c r="F43" s="1">
        <f>IF($A43="","",VLOOKUP(C43,tblTerritories!$J$3:$P$100,7,FALSE)+10)</f>
        <v>11</v>
      </c>
      <c r="H43" s="1">
        <f t="shared" si="0"/>
        <v>63.99</v>
      </c>
      <c r="I43" s="1">
        <f>IF($B43=0,"",RANK(H43,H$8:H$73,0)+COUNTIF(H$8:H43,H43)-1)</f>
        <v>41</v>
      </c>
      <c r="J43" s="1">
        <f ca="1" t="shared" si="80"/>
        <v>41</v>
      </c>
      <c r="K43" s="273">
        <f ca="1" t="shared" si="81"/>
        <v>4.4</v>
      </c>
      <c r="L43" s="275">
        <f ca="1" t="shared" si="82"/>
        <v>-1</v>
      </c>
      <c r="M43" s="1">
        <f t="shared" si="83"/>
        <v>27</v>
      </c>
      <c r="N43" s="269">
        <f t="shared" si="84"/>
        <v>36</v>
      </c>
      <c r="O43" s="269">
        <f t="shared" si="85"/>
        <v>1</v>
      </c>
      <c r="P43" s="269">
        <f t="shared" si="86"/>
        <v>1</v>
      </c>
      <c r="Q43" s="268">
        <f t="shared" si="87"/>
        <v>36</v>
      </c>
      <c r="R43" s="1" t="str">
        <f t="shared" si="88"/>
        <v>Kuwait City</v>
      </c>
      <c r="S43" s="277">
        <f t="shared" si="89"/>
        <v>67.61</v>
      </c>
      <c r="T43" s="277">
        <f ca="1" t="shared" si="90"/>
        <v>5.09</v>
      </c>
      <c r="U43" s="277" t="b">
        <f ca="1" t="shared" si="91"/>
        <v>0</v>
      </c>
      <c r="V43" s="277">
        <f ca="1" t="shared" si="92"/>
        <v>-1</v>
      </c>
      <c r="W43" s="277" t="b">
        <f ca="1" t="shared" si="93"/>
        <v>0</v>
      </c>
      <c r="X43" s="294" t="str">
        <f ca="1" t="shared" si="94"/>
        <v/>
      </c>
      <c r="Y43" s="1">
        <f t="shared" si="1"/>
        <v>49.03</v>
      </c>
      <c r="Z43" s="1">
        <f>IF($B43=0,"",RANK(Y43,Y$8:Y$73,0)+COUNTIF(Y$8:Y43,Y43)-1)</f>
        <v>51</v>
      </c>
      <c r="AA43" s="1">
        <f ca="1" t="shared" si="95"/>
        <v>51</v>
      </c>
      <c r="AB43" s="273">
        <f ca="1" t="shared" si="96"/>
        <v>0.99</v>
      </c>
      <c r="AC43" s="275">
        <f ca="1" t="shared" si="97"/>
        <v>-10</v>
      </c>
      <c r="AD43" s="1">
        <f t="shared" si="98"/>
        <v>21</v>
      </c>
      <c r="AE43" s="269">
        <f t="shared" si="99"/>
        <v>36</v>
      </c>
      <c r="AF43" s="269">
        <f t="shared" si="100"/>
        <v>1</v>
      </c>
      <c r="AG43" s="269">
        <f t="shared" si="101"/>
        <v>1</v>
      </c>
      <c r="AH43" s="268">
        <f t="shared" si="102"/>
        <v>36</v>
      </c>
      <c r="AI43" s="1" t="str">
        <f t="shared" si="103"/>
        <v>Istanbul</v>
      </c>
      <c r="AJ43" s="277">
        <f t="shared" si="104"/>
        <v>61.71</v>
      </c>
      <c r="AK43" s="277">
        <f ca="1" t="shared" si="105"/>
        <v>18.38</v>
      </c>
      <c r="AL43" s="277" t="b">
        <f ca="1" t="shared" si="106"/>
        <v>0</v>
      </c>
      <c r="AM43" s="277">
        <f ca="1" t="shared" si="107"/>
        <v>9</v>
      </c>
      <c r="AN43" s="277" t="b">
        <f ca="1" t="shared" si="108"/>
        <v>0</v>
      </c>
      <c r="AO43" s="294" t="str">
        <f ca="1" t="shared" si="109"/>
        <v/>
      </c>
      <c r="AP43" s="1">
        <f t="shared" si="2"/>
        <v>72.59</v>
      </c>
      <c r="AQ43" s="1">
        <f>IF($B43=0,"",RANK(AP43,AP$8:AP$73,0)+COUNTIF(AP$8:AP43,AP43)-1)</f>
        <v>25</v>
      </c>
      <c r="AR43" s="1">
        <f ca="1" t="shared" si="110"/>
        <v>25</v>
      </c>
      <c r="AS43" s="273">
        <f ca="1" t="shared" si="111"/>
        <v>1.52</v>
      </c>
      <c r="AT43" s="275">
        <f ca="1" t="shared" si="112"/>
        <v>-3</v>
      </c>
      <c r="AU43" s="1">
        <f t="shared" si="113"/>
        <v>26</v>
      </c>
      <c r="AV43" s="269">
        <f t="shared" si="114"/>
        <v>36</v>
      </c>
      <c r="AW43" s="269">
        <f t="shared" si="115"/>
        <v>1</v>
      </c>
      <c r="AX43" s="269">
        <f t="shared" si="116"/>
        <v>1</v>
      </c>
      <c r="AY43" s="268">
        <f t="shared" si="117"/>
        <v>36</v>
      </c>
      <c r="AZ43" s="1" t="str">
        <f t="shared" si="118"/>
        <v>Kuala Lumpur</v>
      </c>
      <c r="BA43" s="277">
        <f t="shared" si="119"/>
        <v>67.15</v>
      </c>
      <c r="BB43" s="277" t="str">
        <f ca="1" t="shared" si="120"/>
        <v/>
      </c>
      <c r="BC43" s="277" t="b">
        <f ca="1" t="shared" si="121"/>
        <v>0</v>
      </c>
      <c r="BD43" s="277" t="str">
        <f ca="1" t="shared" si="122"/>
        <v/>
      </c>
      <c r="BE43" s="277" t="b">
        <f ca="1" t="shared" si="123"/>
        <v>0</v>
      </c>
      <c r="BF43" s="294" t="str">
        <f ca="1" t="shared" si="124"/>
        <v> *</v>
      </c>
      <c r="BG43" s="1">
        <f t="shared" si="3"/>
        <v>76.36</v>
      </c>
      <c r="BH43" s="1">
        <f>IF($B43=0,"",RANK(BG43,BG$8:BG$73,0)+COUNTIF(BG$8:BG43,BG43)-1)</f>
        <v>36</v>
      </c>
      <c r="BI43" s="1">
        <f ca="1" t="shared" si="125"/>
        <v>36</v>
      </c>
      <c r="BJ43" s="273">
        <f ca="1" t="shared" si="126"/>
        <v>3.79</v>
      </c>
      <c r="BK43" s="275">
        <f ca="1" t="shared" si="127"/>
        <v>-2</v>
      </c>
      <c r="BL43" s="1">
        <f t="shared" si="128"/>
        <v>36</v>
      </c>
      <c r="BM43" s="269">
        <f t="shared" si="129"/>
        <v>36</v>
      </c>
      <c r="BN43" s="269">
        <f t="shared" si="130"/>
        <v>1</v>
      </c>
      <c r="BO43" s="269">
        <f t="shared" si="131"/>
        <v>1</v>
      </c>
      <c r="BP43" s="268">
        <f t="shared" si="132"/>
        <v>36</v>
      </c>
      <c r="BQ43" s="1" t="str">
        <f t="shared" si="133"/>
        <v>Moscow</v>
      </c>
      <c r="BR43" s="277">
        <f t="shared" si="134"/>
        <v>76.36</v>
      </c>
      <c r="BS43" s="277">
        <f ca="1" t="shared" si="135"/>
        <v>3.79</v>
      </c>
      <c r="BT43" s="277" t="b">
        <f ca="1" t="shared" si="136"/>
        <v>0</v>
      </c>
      <c r="BU43" s="277">
        <f ca="1" t="shared" si="137"/>
        <v>-2</v>
      </c>
      <c r="BV43" s="277" t="b">
        <f ca="1" t="shared" si="138"/>
        <v>0</v>
      </c>
      <c r="BW43" s="294" t="str">
        <f ca="1" t="shared" si="139"/>
        <v/>
      </c>
      <c r="BX43" s="1">
        <f t="shared" si="4"/>
        <v>58</v>
      </c>
      <c r="BY43" s="1">
        <f>IF($B43=0,"",RANK(BX43,BX$8:BX$73,0)+COUNTIF(BX$8:BX43,BX43)-1)</f>
        <v>53</v>
      </c>
      <c r="BZ43" s="1">
        <f ca="1" t="shared" si="140"/>
        <v>53</v>
      </c>
      <c r="CA43" s="273">
        <f ca="1" t="shared" si="141"/>
        <v>11.32</v>
      </c>
      <c r="CB43" s="275">
        <f ca="1" t="shared" si="142"/>
        <v>-7</v>
      </c>
      <c r="CC43" s="1">
        <f t="shared" si="143"/>
        <v>46</v>
      </c>
      <c r="CD43" s="269">
        <f t="shared" si="144"/>
        <v>36</v>
      </c>
      <c r="CE43" s="269">
        <f t="shared" si="145"/>
        <v>1</v>
      </c>
      <c r="CF43" s="269">
        <f t="shared" si="146"/>
        <v>1</v>
      </c>
      <c r="CG43" s="268">
        <f t="shared" si="147"/>
        <v>36</v>
      </c>
      <c r="CH43" s="1" t="str">
        <f t="shared" si="148"/>
        <v>Santiago</v>
      </c>
      <c r="CI43" s="277">
        <f t="shared" si="149"/>
        <v>71.02</v>
      </c>
      <c r="CJ43" s="277">
        <f ca="1" t="shared" si="150"/>
        <v>10.5</v>
      </c>
      <c r="CK43" s="277" t="b">
        <f ca="1" t="shared" si="151"/>
        <v>0</v>
      </c>
      <c r="CL43" s="277">
        <f ca="1" t="shared" si="152"/>
        <v>3</v>
      </c>
      <c r="CM43" s="277" t="b">
        <f ca="1" t="shared" si="153"/>
        <v>0</v>
      </c>
      <c r="CN43" s="294" t="str">
        <f ca="1" t="shared" si="154"/>
        <v/>
      </c>
    </row>
    <row r="44" spans="1:92">
      <c r="A44" s="1">
        <f>tblTerritories!A39</f>
        <v>37</v>
      </c>
      <c r="B44" s="1">
        <f>IF(tblTerritories!F39="",0,tblTerritories!F39)</f>
        <v>1</v>
      </c>
      <c r="C44" s="1" t="str">
        <f>tblTerritories!C39</f>
        <v>Mumbai</v>
      </c>
      <c r="D44" s="1">
        <f>tblTerritories!D39</f>
        <v>1</v>
      </c>
      <c r="E44" s="1">
        <f>tblTerritories!K39</f>
        <v>0</v>
      </c>
      <c r="F44" s="1">
        <f>IF($A44="","",VLOOKUP(C44,tblTerritories!$J$3:$P$100,7,FALSE)+10)</f>
        <v>18</v>
      </c>
      <c r="H44" s="1">
        <f t="shared" si="0"/>
        <v>61.84</v>
      </c>
      <c r="I44" s="1">
        <f>IF($B44=0,"",RANK(H44,H$8:H$73,0)+COUNTIF(H$8:H44,H44)-1)</f>
        <v>45</v>
      </c>
      <c r="J44" s="1">
        <f ca="1" t="shared" si="80"/>
        <v>45</v>
      </c>
      <c r="K44" s="273">
        <f ca="1" t="shared" si="81"/>
        <v>1.87</v>
      </c>
      <c r="L44" s="275">
        <f ca="1" t="shared" si="82"/>
        <v>-7</v>
      </c>
      <c r="M44" s="1">
        <f t="shared" si="83"/>
        <v>42</v>
      </c>
      <c r="N44" s="269">
        <f t="shared" si="84"/>
        <v>37</v>
      </c>
      <c r="O44" s="269">
        <f t="shared" si="85"/>
        <v>1</v>
      </c>
      <c r="P44" s="269">
        <f t="shared" si="86"/>
        <v>1</v>
      </c>
      <c r="Q44" s="268">
        <f t="shared" si="87"/>
        <v>37</v>
      </c>
      <c r="R44" s="1" t="str">
        <f t="shared" si="88"/>
        <v>Rio de Janeiro</v>
      </c>
      <c r="S44" s="277">
        <f t="shared" si="89"/>
        <v>66.54</v>
      </c>
      <c r="T44" s="277">
        <f ca="1" t="shared" si="90"/>
        <v>2.5</v>
      </c>
      <c r="U44" s="277" t="b">
        <f ca="1" t="shared" si="91"/>
        <v>0</v>
      </c>
      <c r="V44" s="277">
        <f ca="1" t="shared" si="92"/>
        <v>-4</v>
      </c>
      <c r="W44" s="277" t="b">
        <f ca="1" t="shared" si="93"/>
        <v>0</v>
      </c>
      <c r="X44" s="294" t="str">
        <f ca="1" t="shared" si="94"/>
        <v/>
      </c>
      <c r="Y44" s="1">
        <f t="shared" si="1"/>
        <v>54.61</v>
      </c>
      <c r="Z44" s="1">
        <f>IF($B44=0,"",RANK(Y44,Y$8:Y$73,0)+COUNTIF(Y$8:Y44,Y44)-1)</f>
        <v>47</v>
      </c>
      <c r="AA44" s="1">
        <f ca="1" t="shared" si="95"/>
        <v>46</v>
      </c>
      <c r="AB44" s="273">
        <f ca="1" t="shared" si="96"/>
        <v>-9.96</v>
      </c>
      <c r="AC44" s="275">
        <f ca="1" t="shared" si="97"/>
        <v>-24</v>
      </c>
      <c r="AD44" s="1">
        <f t="shared" si="98"/>
        <v>43</v>
      </c>
      <c r="AE44" s="269">
        <f t="shared" si="99"/>
        <v>37</v>
      </c>
      <c r="AF44" s="269">
        <f t="shared" si="100"/>
        <v>1</v>
      </c>
      <c r="AG44" s="269">
        <f t="shared" si="101"/>
        <v>1</v>
      </c>
      <c r="AH44" s="268">
        <f t="shared" si="102"/>
        <v>37</v>
      </c>
      <c r="AI44" s="1" t="str">
        <f t="shared" si="103"/>
        <v>Riyadh</v>
      </c>
      <c r="AJ44" s="277">
        <f t="shared" si="104"/>
        <v>60.86</v>
      </c>
      <c r="AK44" s="277">
        <f ca="1" t="shared" si="105"/>
        <v>11.1</v>
      </c>
      <c r="AL44" s="277" t="b">
        <f ca="1" t="shared" si="106"/>
        <v>0</v>
      </c>
      <c r="AM44" s="277">
        <f ca="1" t="shared" si="107"/>
        <v>1</v>
      </c>
      <c r="AN44" s="277" t="b">
        <f ca="1" t="shared" si="108"/>
        <v>0</v>
      </c>
      <c r="AO44" s="294" t="str">
        <f ca="1" t="shared" si="109"/>
        <v/>
      </c>
      <c r="AP44" s="1">
        <f t="shared" si="2"/>
        <v>55.74</v>
      </c>
      <c r="AQ44" s="1">
        <f>IF($B44=0,"",RANK(AP44,AP$8:AP$73,0)+COUNTIF(AP$8:AP44,AP44)-1)</f>
        <v>55</v>
      </c>
      <c r="AR44" s="1">
        <f ca="1" t="shared" si="110"/>
        <v>55</v>
      </c>
      <c r="AS44" s="273">
        <f ca="1" t="shared" si="111"/>
        <v>3.96</v>
      </c>
      <c r="AT44" s="275">
        <f ca="1" t="shared" si="112"/>
        <v>-9</v>
      </c>
      <c r="AU44" s="1">
        <f t="shared" si="113"/>
        <v>4</v>
      </c>
      <c r="AV44" s="269">
        <f t="shared" si="114"/>
        <v>37</v>
      </c>
      <c r="AW44" s="269">
        <f t="shared" si="115"/>
        <v>1</v>
      </c>
      <c r="AX44" s="269">
        <f t="shared" si="116"/>
        <v>1</v>
      </c>
      <c r="AY44" s="268">
        <f t="shared" si="117"/>
        <v>37</v>
      </c>
      <c r="AZ44" s="1" t="str">
        <f t="shared" si="118"/>
        <v>Bangkok</v>
      </c>
      <c r="BA44" s="277">
        <f t="shared" si="119"/>
        <v>66.64</v>
      </c>
      <c r="BB44" s="277">
        <f ca="1" t="shared" si="120"/>
        <v>2.24</v>
      </c>
      <c r="BC44" s="277" t="b">
        <f ca="1" t="shared" si="121"/>
        <v>0</v>
      </c>
      <c r="BD44" s="277">
        <f ca="1" t="shared" si="122"/>
        <v>-5</v>
      </c>
      <c r="BE44" s="277" t="b">
        <f ca="1" t="shared" si="123"/>
        <v>0</v>
      </c>
      <c r="BF44" s="294" t="str">
        <f ca="1" t="shared" si="124"/>
        <v/>
      </c>
      <c r="BG44" s="1">
        <f t="shared" si="3"/>
        <v>59.12</v>
      </c>
      <c r="BH44" s="1">
        <f>IF($B44=0,"",RANK(BG44,BG$8:BG$73,0)+COUNTIF(BG$8:BG44,BG44)-1)</f>
        <v>51</v>
      </c>
      <c r="BI44" s="1">
        <f ca="1" t="shared" si="125"/>
        <v>51</v>
      </c>
      <c r="BJ44" s="273">
        <f ca="1" t="shared" si="126"/>
        <v>3.22</v>
      </c>
      <c r="BK44" s="275">
        <f ca="1" t="shared" si="127"/>
        <v>-6</v>
      </c>
      <c r="BL44" s="1">
        <f t="shared" si="128"/>
        <v>6</v>
      </c>
      <c r="BM44" s="269">
        <f t="shared" si="129"/>
        <v>37</v>
      </c>
      <c r="BN44" s="269">
        <f t="shared" si="130"/>
        <v>1</v>
      </c>
      <c r="BO44" s="269">
        <f t="shared" si="131"/>
        <v>1</v>
      </c>
      <c r="BP44" s="268">
        <f t="shared" si="132"/>
        <v>37</v>
      </c>
      <c r="BQ44" s="1" t="str">
        <f t="shared" si="133"/>
        <v>Beijing</v>
      </c>
      <c r="BR44" s="277">
        <f t="shared" si="134"/>
        <v>74.49</v>
      </c>
      <c r="BS44" s="277">
        <f ca="1" t="shared" si="135"/>
        <v>-4.11</v>
      </c>
      <c r="BT44" s="277" t="b">
        <f ca="1" t="shared" si="136"/>
        <v>0</v>
      </c>
      <c r="BU44" s="277">
        <f ca="1" t="shared" si="137"/>
        <v>-11</v>
      </c>
      <c r="BV44" s="277" t="b">
        <f ca="1" t="shared" si="138"/>
        <v>0</v>
      </c>
      <c r="BW44" s="294" t="str">
        <f ca="1" t="shared" si="139"/>
        <v/>
      </c>
      <c r="BX44" s="1">
        <f t="shared" si="4"/>
        <v>77.89</v>
      </c>
      <c r="BY44" s="1">
        <f>IF($B44=0,"",RANK(BX44,BX$8:BX$73,0)+COUNTIF(BX$8:BX44,BX44)-1)</f>
        <v>30</v>
      </c>
      <c r="BZ44" s="1">
        <f ca="1" t="shared" si="140"/>
        <v>30</v>
      </c>
      <c r="CA44" s="273">
        <f ca="1" t="shared" si="141"/>
        <v>10.24</v>
      </c>
      <c r="CB44" s="275">
        <f ca="1" t="shared" si="142"/>
        <v>-1</v>
      </c>
      <c r="CC44" s="1">
        <f t="shared" si="143"/>
        <v>47</v>
      </c>
      <c r="CD44" s="269">
        <f t="shared" si="144"/>
        <v>37</v>
      </c>
      <c r="CE44" s="269">
        <f t="shared" si="145"/>
        <v>1</v>
      </c>
      <c r="CF44" s="269">
        <f t="shared" si="146"/>
        <v>1</v>
      </c>
      <c r="CG44" s="268">
        <f t="shared" si="147"/>
        <v>37</v>
      </c>
      <c r="CH44" s="1" t="str">
        <f t="shared" si="148"/>
        <v>Sao Paulo</v>
      </c>
      <c r="CI44" s="277">
        <f t="shared" si="149"/>
        <v>70.08</v>
      </c>
      <c r="CJ44" s="277">
        <f ca="1" t="shared" si="150"/>
        <v>13.28</v>
      </c>
      <c r="CK44" s="277" t="b">
        <f ca="1" t="shared" si="151"/>
        <v>0</v>
      </c>
      <c r="CL44" s="277">
        <f ca="1" t="shared" si="152"/>
        <v>6</v>
      </c>
      <c r="CM44" s="277" t="b">
        <f ca="1" t="shared" si="153"/>
        <v>0</v>
      </c>
      <c r="CN44" s="294" t="str">
        <f ca="1" t="shared" si="154"/>
        <v/>
      </c>
    </row>
    <row r="45" spans="1:92">
      <c r="A45" s="1">
        <f>tblTerritories!A40</f>
        <v>38</v>
      </c>
      <c r="B45" s="1">
        <f>IF(tblTerritories!F40="",0,tblTerritories!F40)</f>
        <v>1</v>
      </c>
      <c r="C45" s="1" t="str">
        <f>tblTerritories!C40</f>
        <v>New York</v>
      </c>
      <c r="D45" s="1">
        <f>tblTerritories!D40</f>
        <v>1</v>
      </c>
      <c r="E45" s="1">
        <f>tblTerritories!K40</f>
        <v>0</v>
      </c>
      <c r="F45" s="1">
        <f>IF($A45="","",VLOOKUP(C45,tblTerritories!$J$3:$P$100,7,FALSE)+10)</f>
        <v>14</v>
      </c>
      <c r="H45" s="1">
        <f t="shared" si="0"/>
        <v>81.01</v>
      </c>
      <c r="I45" s="1">
        <f>IF($B45=0,"",RANK(H45,H$8:H$73,0)+COUNTIF(H$8:H45,H45)-1)</f>
        <v>21</v>
      </c>
      <c r="J45" s="1">
        <f ca="1" t="shared" si="80"/>
        <v>21</v>
      </c>
      <c r="K45" s="273">
        <f ca="1" t="shared" si="81"/>
        <v>0.73</v>
      </c>
      <c r="L45" s="275">
        <f ca="1" t="shared" si="82"/>
        <v>-11</v>
      </c>
      <c r="M45" s="1">
        <f t="shared" si="83"/>
        <v>47</v>
      </c>
      <c r="N45" s="269">
        <f t="shared" si="84"/>
        <v>38</v>
      </c>
      <c r="O45" s="269">
        <f t="shared" si="85"/>
        <v>1</v>
      </c>
      <c r="P45" s="269">
        <f t="shared" si="86"/>
        <v>1</v>
      </c>
      <c r="Q45" s="268">
        <f t="shared" si="87"/>
        <v>38</v>
      </c>
      <c r="R45" s="1" t="str">
        <f t="shared" si="88"/>
        <v>Sao Paulo</v>
      </c>
      <c r="S45" s="277">
        <f t="shared" si="89"/>
        <v>66.3</v>
      </c>
      <c r="T45" s="277">
        <f ca="1" t="shared" si="90"/>
        <v>3.75</v>
      </c>
      <c r="U45" s="277" t="b">
        <f ca="1" t="shared" si="91"/>
        <v>0</v>
      </c>
      <c r="V45" s="277">
        <f ca="1" t="shared" si="92"/>
        <v>-4</v>
      </c>
      <c r="W45" s="277" t="b">
        <f ca="1" t="shared" si="93"/>
        <v>0</v>
      </c>
      <c r="X45" s="294" t="str">
        <f ca="1" t="shared" si="94"/>
        <v/>
      </c>
      <c r="Y45" s="1">
        <f t="shared" si="1"/>
        <v>84.95</v>
      </c>
      <c r="Z45" s="1">
        <f>IF($B45=0,"",RANK(Y45,Y$8:Y$73,0)+COUNTIF(Y$8:Y45,Y45)-1)</f>
        <v>9</v>
      </c>
      <c r="AA45" s="1">
        <f ca="1" t="shared" si="95"/>
        <v>9</v>
      </c>
      <c r="AB45" s="273">
        <f ca="1" t="shared" si="96"/>
        <v>9.03</v>
      </c>
      <c r="AC45" s="275">
        <f ca="1" t="shared" si="97"/>
        <v>-3</v>
      </c>
      <c r="AD45" s="1">
        <f t="shared" si="98"/>
        <v>41</v>
      </c>
      <c r="AE45" s="269">
        <f t="shared" si="99"/>
        <v>38</v>
      </c>
      <c r="AF45" s="269">
        <f t="shared" si="100"/>
        <v>1</v>
      </c>
      <c r="AG45" s="269">
        <f t="shared" si="101"/>
        <v>1</v>
      </c>
      <c r="AH45" s="268">
        <f t="shared" si="102"/>
        <v>38</v>
      </c>
      <c r="AI45" s="1" t="str">
        <f t="shared" si="103"/>
        <v>Quito</v>
      </c>
      <c r="AJ45" s="277">
        <f t="shared" si="104"/>
        <v>60.65</v>
      </c>
      <c r="AK45" s="277" t="str">
        <f ca="1" t="shared" si="105"/>
        <v/>
      </c>
      <c r="AL45" s="277" t="b">
        <f ca="1" t="shared" si="106"/>
        <v>0</v>
      </c>
      <c r="AM45" s="277" t="str">
        <f ca="1" t="shared" si="107"/>
        <v/>
      </c>
      <c r="AN45" s="277" t="b">
        <f ca="1" t="shared" si="108"/>
        <v>0</v>
      </c>
      <c r="AO45" s="294" t="str">
        <f ca="1" t="shared" si="109"/>
        <v> *</v>
      </c>
      <c r="AP45" s="1">
        <f t="shared" si="2"/>
        <v>69.73</v>
      </c>
      <c r="AQ45" s="1">
        <f>IF($B45=0,"",RANK(AP45,AP$8:AP$73,0)+COUNTIF(AP$8:AP45,AP45)-1)</f>
        <v>31</v>
      </c>
      <c r="AR45" s="1">
        <f ca="1" t="shared" si="110"/>
        <v>31</v>
      </c>
      <c r="AS45" s="273">
        <f ca="1" t="shared" si="111"/>
        <v>-9.87</v>
      </c>
      <c r="AT45" s="275">
        <f ca="1" t="shared" si="112"/>
        <v>-28</v>
      </c>
      <c r="AU45" s="1">
        <f t="shared" si="113"/>
        <v>43</v>
      </c>
      <c r="AV45" s="269">
        <f t="shared" si="114"/>
        <v>38</v>
      </c>
      <c r="AW45" s="269">
        <f t="shared" si="115"/>
        <v>1</v>
      </c>
      <c r="AX45" s="269">
        <f t="shared" si="116"/>
        <v>1</v>
      </c>
      <c r="AY45" s="268">
        <f t="shared" si="117"/>
        <v>38</v>
      </c>
      <c r="AZ45" s="1" t="str">
        <f t="shared" si="118"/>
        <v>Riyadh</v>
      </c>
      <c r="BA45" s="277">
        <f t="shared" si="119"/>
        <v>66.13</v>
      </c>
      <c r="BB45" s="277">
        <f ca="1" t="shared" si="120"/>
        <v>9.3</v>
      </c>
      <c r="BC45" s="277" t="b">
        <f ca="1" t="shared" si="121"/>
        <v>0</v>
      </c>
      <c r="BD45" s="277">
        <f ca="1" t="shared" si="122"/>
        <v>2</v>
      </c>
      <c r="BE45" s="277" t="b">
        <f ca="1" t="shared" si="123"/>
        <v>0</v>
      </c>
      <c r="BF45" s="294" t="str">
        <f ca="1" t="shared" si="124"/>
        <v/>
      </c>
      <c r="BG45" s="1">
        <f t="shared" si="3"/>
        <v>88.39</v>
      </c>
      <c r="BH45" s="1">
        <f>IF($B45=0,"",RANK(BG45,BG$8:BG$73,0)+COUNTIF(BG$8:BG45,BG45)-1)</f>
        <v>21</v>
      </c>
      <c r="BI45" s="1">
        <f ca="1" t="shared" si="125"/>
        <v>21</v>
      </c>
      <c r="BJ45" s="273">
        <f ca="1" t="shared" si="126"/>
        <v>2.26</v>
      </c>
      <c r="BK45" s="275">
        <f ca="1" t="shared" si="127"/>
        <v>-6</v>
      </c>
      <c r="BL45" s="1">
        <f t="shared" si="128"/>
        <v>49</v>
      </c>
      <c r="BM45" s="269">
        <f t="shared" si="129"/>
        <v>38</v>
      </c>
      <c r="BN45" s="269">
        <f t="shared" si="130"/>
        <v>1</v>
      </c>
      <c r="BO45" s="269">
        <f t="shared" si="131"/>
        <v>1</v>
      </c>
      <c r="BP45" s="268">
        <f t="shared" si="132"/>
        <v>38</v>
      </c>
      <c r="BQ45" s="1" t="str">
        <f t="shared" si="133"/>
        <v>Shanghai</v>
      </c>
      <c r="BR45" s="277">
        <f t="shared" si="134"/>
        <v>74.3</v>
      </c>
      <c r="BS45" s="277">
        <f ca="1" t="shared" si="135"/>
        <v>-3.54</v>
      </c>
      <c r="BT45" s="277" t="b">
        <f ca="1" t="shared" si="136"/>
        <v>0</v>
      </c>
      <c r="BU45" s="277">
        <f ca="1" t="shared" si="137"/>
        <v>-10</v>
      </c>
      <c r="BV45" s="277" t="b">
        <f ca="1" t="shared" si="138"/>
        <v>0</v>
      </c>
      <c r="BW45" s="294" t="str">
        <f ca="1" t="shared" si="139"/>
        <v/>
      </c>
      <c r="BX45" s="1">
        <f t="shared" si="4"/>
        <v>80.98</v>
      </c>
      <c r="BY45" s="1">
        <f>IF($B45=0,"",RANK(BX45,BX$8:BX$73,0)+COUNTIF(BX$8:BX45,BX45)-1)</f>
        <v>25</v>
      </c>
      <c r="BZ45" s="1">
        <f ca="1" t="shared" si="140"/>
        <v>25</v>
      </c>
      <c r="CA45" s="273">
        <f ca="1" t="shared" si="141"/>
        <v>1.51</v>
      </c>
      <c r="CB45" s="275">
        <f ca="1" t="shared" si="142"/>
        <v>-5</v>
      </c>
      <c r="CC45" s="1">
        <f t="shared" si="143"/>
        <v>42</v>
      </c>
      <c r="CD45" s="269">
        <f t="shared" si="144"/>
        <v>38</v>
      </c>
      <c r="CE45" s="269">
        <f t="shared" si="145"/>
        <v>1</v>
      </c>
      <c r="CF45" s="269">
        <f t="shared" si="146"/>
        <v>1</v>
      </c>
      <c r="CG45" s="268">
        <f t="shared" si="147"/>
        <v>38</v>
      </c>
      <c r="CH45" s="1" t="str">
        <f t="shared" si="148"/>
        <v>Rio de Janeiro</v>
      </c>
      <c r="CI45" s="277">
        <f t="shared" si="149"/>
        <v>69.85</v>
      </c>
      <c r="CJ45" s="277">
        <f ca="1" t="shared" si="150"/>
        <v>3.24</v>
      </c>
      <c r="CK45" s="277" t="b">
        <f ca="1" t="shared" si="151"/>
        <v>0</v>
      </c>
      <c r="CL45" s="277">
        <f ca="1" t="shared" si="152"/>
        <v>-7</v>
      </c>
      <c r="CM45" s="277" t="b">
        <f ca="1" t="shared" si="153"/>
        <v>0</v>
      </c>
      <c r="CN45" s="294" t="str">
        <f ca="1" t="shared" si="154"/>
        <v/>
      </c>
    </row>
    <row r="46" spans="1:92">
      <c r="A46" s="1">
        <f>tblTerritories!A41</f>
        <v>39</v>
      </c>
      <c r="B46" s="1">
        <f>IF(tblTerritories!F41="",0,tblTerritories!F41)</f>
        <v>1</v>
      </c>
      <c r="C46" s="1" t="str">
        <f>tblTerritories!C41</f>
        <v>Osaka</v>
      </c>
      <c r="D46" s="1">
        <f>tblTerritories!D41</f>
        <v>1</v>
      </c>
      <c r="E46" s="1">
        <f>tblTerritories!K41</f>
        <v>0</v>
      </c>
      <c r="F46" s="1">
        <f>IF($A46="","",VLOOKUP(C46,tblTerritories!$J$3:$P$100,7,FALSE)+10)</f>
        <v>16</v>
      </c>
      <c r="H46" s="1">
        <f t="shared" si="0"/>
        <v>88.87</v>
      </c>
      <c r="I46" s="1">
        <f>IF($B46=0,"",RANK(H46,H$8:H$73,0)+COUNTIF(H$8:H46,H46)-1)</f>
        <v>3</v>
      </c>
      <c r="J46" s="1">
        <f ca="1" t="shared" si="80"/>
        <v>3</v>
      </c>
      <c r="K46" s="273">
        <f ca="1" t="shared" si="81"/>
        <v>5.65</v>
      </c>
      <c r="L46" s="275">
        <f ca="1" t="shared" si="82"/>
        <v>1</v>
      </c>
      <c r="M46" s="1">
        <f t="shared" si="83"/>
        <v>34</v>
      </c>
      <c r="N46" s="269">
        <f t="shared" si="84"/>
        <v>39</v>
      </c>
      <c r="O46" s="269">
        <f t="shared" si="85"/>
        <v>1</v>
      </c>
      <c r="P46" s="269">
        <f t="shared" si="86"/>
        <v>1</v>
      </c>
      <c r="Q46" s="268">
        <f t="shared" si="87"/>
        <v>39</v>
      </c>
      <c r="R46" s="1" t="str">
        <f t="shared" si="88"/>
        <v>Mexico City</v>
      </c>
      <c r="S46" s="277">
        <f t="shared" si="89"/>
        <v>65.52</v>
      </c>
      <c r="T46" s="277">
        <f ca="1" t="shared" si="90"/>
        <v>3.28</v>
      </c>
      <c r="U46" s="277" t="b">
        <f ca="1" t="shared" si="91"/>
        <v>0</v>
      </c>
      <c r="V46" s="277">
        <f ca="1" t="shared" si="92"/>
        <v>-3</v>
      </c>
      <c r="W46" s="277" t="b">
        <f ca="1" t="shared" si="93"/>
        <v>0</v>
      </c>
      <c r="X46" s="294" t="str">
        <f ca="1" t="shared" si="94"/>
        <v/>
      </c>
      <c r="Y46" s="1">
        <f t="shared" si="1"/>
        <v>82.11</v>
      </c>
      <c r="Z46" s="1">
        <f>IF($B46=0,"",RANK(Y46,Y$8:Y$73,0)+COUNTIF(Y$8:Y46,Y46)-1)</f>
        <v>14</v>
      </c>
      <c r="AA46" s="1">
        <f ca="1" t="shared" si="95"/>
        <v>14</v>
      </c>
      <c r="AB46" s="273">
        <f ca="1" t="shared" si="96"/>
        <v>8.61</v>
      </c>
      <c r="AC46" s="275">
        <f ca="1" t="shared" si="97"/>
        <v>-6</v>
      </c>
      <c r="AD46" s="1">
        <f t="shared" si="98"/>
        <v>46</v>
      </c>
      <c r="AE46" s="269">
        <f t="shared" si="99"/>
        <v>39</v>
      </c>
      <c r="AF46" s="269">
        <f t="shared" si="100"/>
        <v>1</v>
      </c>
      <c r="AG46" s="269">
        <f t="shared" si="101"/>
        <v>1</v>
      </c>
      <c r="AH46" s="268">
        <f t="shared" si="102"/>
        <v>39</v>
      </c>
      <c r="AI46" s="1" t="str">
        <f t="shared" si="103"/>
        <v>Santiago</v>
      </c>
      <c r="AJ46" s="277">
        <f t="shared" si="104"/>
        <v>60.57</v>
      </c>
      <c r="AK46" s="277">
        <f ca="1" t="shared" si="105"/>
        <v>-6.44</v>
      </c>
      <c r="AL46" s="277" t="b">
        <f ca="1" t="shared" si="106"/>
        <v>0</v>
      </c>
      <c r="AM46" s="277">
        <f ca="1" t="shared" si="107"/>
        <v>-21</v>
      </c>
      <c r="AN46" s="277" t="b">
        <f ca="1" t="shared" si="108"/>
        <v>0</v>
      </c>
      <c r="AO46" s="294" t="str">
        <f ca="1" t="shared" si="109"/>
        <v/>
      </c>
      <c r="AP46" s="1">
        <f t="shared" si="2"/>
        <v>87.15</v>
      </c>
      <c r="AQ46" s="1">
        <f>IF($B46=0,"",RANK(AP46,AP$8:AP$73,0)+COUNTIF(AP$8:AP46,AP46)-1)</f>
        <v>1</v>
      </c>
      <c r="AR46" s="1">
        <f ca="1" t="shared" si="110"/>
        <v>1</v>
      </c>
      <c r="AS46" s="273">
        <f ca="1" t="shared" si="111"/>
        <v>8.61</v>
      </c>
      <c r="AT46" s="275">
        <f ca="1" t="shared" si="112"/>
        <v>6</v>
      </c>
      <c r="AU46" s="1">
        <f t="shared" si="113"/>
        <v>7</v>
      </c>
      <c r="AV46" s="269">
        <f t="shared" si="114"/>
        <v>39</v>
      </c>
      <c r="AW46" s="269">
        <f t="shared" si="115"/>
        <v>1</v>
      </c>
      <c r="AX46" s="269">
        <f t="shared" si="116"/>
        <v>1</v>
      </c>
      <c r="AY46" s="268">
        <f t="shared" si="117"/>
        <v>39</v>
      </c>
      <c r="AZ46" s="1" t="str">
        <f t="shared" si="118"/>
        <v>Bogota</v>
      </c>
      <c r="BA46" s="277">
        <f t="shared" si="119"/>
        <v>65.37</v>
      </c>
      <c r="BB46" s="277" t="str">
        <f ca="1" t="shared" si="120"/>
        <v/>
      </c>
      <c r="BC46" s="277" t="b">
        <f ca="1" t="shared" si="121"/>
        <v>0</v>
      </c>
      <c r="BD46" s="277" t="str">
        <f ca="1" t="shared" si="122"/>
        <v/>
      </c>
      <c r="BE46" s="277" t="b">
        <f ca="1" t="shared" si="123"/>
        <v>0</v>
      </c>
      <c r="BF46" s="294" t="str">
        <f ca="1" t="shared" si="124"/>
        <v> *</v>
      </c>
      <c r="BG46" s="1">
        <f t="shared" si="3"/>
        <v>94.61</v>
      </c>
      <c r="BH46" s="1">
        <f>IF($B46=0,"",RANK(BG46,BG$8:BG$73,0)+COUNTIF(BG$8:BG46,BG46)-1)</f>
        <v>11</v>
      </c>
      <c r="BI46" s="1">
        <f ca="1" t="shared" si="125"/>
        <v>11</v>
      </c>
      <c r="BJ46" s="273">
        <f ca="1" t="shared" si="126"/>
        <v>6.47</v>
      </c>
      <c r="BK46" s="275">
        <f ca="1" t="shared" si="127"/>
        <v>-3</v>
      </c>
      <c r="BL46" s="1">
        <f t="shared" si="128"/>
        <v>34</v>
      </c>
      <c r="BM46" s="269">
        <f t="shared" si="129"/>
        <v>39</v>
      </c>
      <c r="BN46" s="269">
        <f t="shared" si="130"/>
        <v>1</v>
      </c>
      <c r="BO46" s="269">
        <f t="shared" si="131"/>
        <v>1</v>
      </c>
      <c r="BP46" s="268">
        <f t="shared" si="132"/>
        <v>39</v>
      </c>
      <c r="BQ46" s="1" t="str">
        <f t="shared" si="133"/>
        <v>Mexico City</v>
      </c>
      <c r="BR46" s="277">
        <f t="shared" si="134"/>
        <v>72.98</v>
      </c>
      <c r="BS46" s="277">
        <f ca="1" t="shared" si="135"/>
        <v>14.14</v>
      </c>
      <c r="BT46" s="277" t="b">
        <f ca="1" t="shared" si="136"/>
        <v>0</v>
      </c>
      <c r="BU46" s="277">
        <f ca="1" t="shared" si="137"/>
        <v>2</v>
      </c>
      <c r="BV46" s="277" t="b">
        <f ca="1" t="shared" si="138"/>
        <v>0</v>
      </c>
      <c r="BW46" s="294" t="str">
        <f ca="1" t="shared" si="139"/>
        <v/>
      </c>
      <c r="BX46" s="1">
        <f t="shared" si="4"/>
        <v>91.59</v>
      </c>
      <c r="BY46" s="1">
        <f>IF($B46=0,"",RANK(BX46,BX$8:BX$73,0)+COUNTIF(BX$8:BX46,BX46)-1)</f>
        <v>3</v>
      </c>
      <c r="BZ46" s="1">
        <f ca="1" t="shared" si="140"/>
        <v>3</v>
      </c>
      <c r="CA46" s="273">
        <f ca="1" t="shared" si="141"/>
        <v>-1.1</v>
      </c>
      <c r="CB46" s="275">
        <f ca="1" t="shared" si="142"/>
        <v>-1</v>
      </c>
      <c r="CC46" s="1">
        <f t="shared" si="143"/>
        <v>32</v>
      </c>
      <c r="CD46" s="269">
        <f t="shared" si="144"/>
        <v>39</v>
      </c>
      <c r="CE46" s="269">
        <f t="shared" si="145"/>
        <v>1</v>
      </c>
      <c r="CF46" s="269">
        <f t="shared" si="146"/>
        <v>1</v>
      </c>
      <c r="CG46" s="268">
        <f t="shared" si="147"/>
        <v>39</v>
      </c>
      <c r="CH46" s="1" t="str">
        <f t="shared" si="148"/>
        <v>Manila</v>
      </c>
      <c r="CI46" s="277">
        <f t="shared" si="149"/>
        <v>69.83</v>
      </c>
      <c r="CJ46" s="277" t="str">
        <f ca="1" t="shared" si="150"/>
        <v/>
      </c>
      <c r="CK46" s="277" t="b">
        <f ca="1" t="shared" si="151"/>
        <v>0</v>
      </c>
      <c r="CL46" s="277" t="str">
        <f ca="1" t="shared" si="152"/>
        <v/>
      </c>
      <c r="CM46" s="277" t="b">
        <f ca="1" t="shared" si="153"/>
        <v>0</v>
      </c>
      <c r="CN46" s="294" t="str">
        <f ca="1" t="shared" si="154"/>
        <v> *</v>
      </c>
    </row>
    <row r="47" spans="1:92">
      <c r="A47" s="1">
        <f>tblTerritories!A42</f>
        <v>40</v>
      </c>
      <c r="B47" s="1">
        <f>IF(tblTerritories!F42="",0,tblTerritories!F42)</f>
        <v>1</v>
      </c>
      <c r="C47" s="1" t="str">
        <f>tblTerritories!C42</f>
        <v>Paris</v>
      </c>
      <c r="D47" s="1">
        <f>tblTerritories!D42</f>
        <v>1</v>
      </c>
      <c r="E47" s="1">
        <f>tblTerritories!K42</f>
        <v>0</v>
      </c>
      <c r="F47" s="1">
        <f>IF($A47="","",VLOOKUP(C47,tblTerritories!$J$3:$P$100,7,FALSE)+10)</f>
        <v>11</v>
      </c>
      <c r="H47" s="1">
        <f t="shared" si="0"/>
        <v>79.71</v>
      </c>
      <c r="I47" s="1">
        <f>IF($B47=0,"",RANK(H47,H$8:H$73,0)+COUNTIF(H$8:H47,H47)-1)</f>
        <v>24</v>
      </c>
      <c r="J47" s="1">
        <f ca="1" t="shared" si="80"/>
        <v>24</v>
      </c>
      <c r="K47" s="273">
        <f ca="1" t="shared" si="81"/>
        <v>6.5</v>
      </c>
      <c r="L47" s="275">
        <f ca="1" t="shared" si="82"/>
        <v>-2</v>
      </c>
      <c r="M47" s="1">
        <f t="shared" si="83"/>
        <v>21</v>
      </c>
      <c r="N47" s="269">
        <f t="shared" si="84"/>
        <v>40</v>
      </c>
      <c r="O47" s="269">
        <f t="shared" si="85"/>
        <v>1</v>
      </c>
      <c r="P47" s="269">
        <f t="shared" si="86"/>
        <v>1</v>
      </c>
      <c r="Q47" s="268">
        <f t="shared" si="87"/>
        <v>40</v>
      </c>
      <c r="R47" s="1" t="str">
        <f t="shared" si="88"/>
        <v>Istanbul</v>
      </c>
      <c r="S47" s="277">
        <f t="shared" si="89"/>
        <v>65.23</v>
      </c>
      <c r="T47" s="277">
        <f ca="1" t="shared" si="90"/>
        <v>5.42</v>
      </c>
      <c r="U47" s="277" t="b">
        <f ca="1" t="shared" si="91"/>
        <v>0</v>
      </c>
      <c r="V47" s="277">
        <f ca="1" t="shared" si="92"/>
        <v>-1</v>
      </c>
      <c r="W47" s="277" t="b">
        <f ca="1" t="shared" si="93"/>
        <v>0</v>
      </c>
      <c r="X47" s="294" t="str">
        <f ca="1" t="shared" si="94"/>
        <v/>
      </c>
      <c r="Y47" s="1">
        <f t="shared" si="1"/>
        <v>70.37</v>
      </c>
      <c r="Z47" s="1">
        <f>IF($B47=0,"",RANK(Y47,Y$8:Y$73,0)+COUNTIF(Y$8:Y47,Y47)-1)</f>
        <v>27</v>
      </c>
      <c r="AA47" s="1">
        <f ca="1" t="shared" si="95"/>
        <v>27</v>
      </c>
      <c r="AB47" s="273">
        <f ca="1" t="shared" si="96"/>
        <v>10.97</v>
      </c>
      <c r="AC47" s="275">
        <f ca="1" t="shared" si="97"/>
        <v>5</v>
      </c>
      <c r="AD47" s="1">
        <f t="shared" si="98"/>
        <v>27</v>
      </c>
      <c r="AE47" s="269">
        <f t="shared" si="99"/>
        <v>40</v>
      </c>
      <c r="AF47" s="269">
        <f t="shared" si="100"/>
        <v>1</v>
      </c>
      <c r="AG47" s="269">
        <f t="shared" si="101"/>
        <v>1</v>
      </c>
      <c r="AH47" s="268">
        <f t="shared" si="102"/>
        <v>40</v>
      </c>
      <c r="AI47" s="1" t="str">
        <f t="shared" si="103"/>
        <v>Kuwait City</v>
      </c>
      <c r="AJ47" s="277">
        <f t="shared" si="104"/>
        <v>60.17</v>
      </c>
      <c r="AK47" s="277">
        <f ca="1" t="shared" si="105"/>
        <v>-0.54</v>
      </c>
      <c r="AL47" s="277" t="b">
        <f ca="1" t="shared" si="106"/>
        <v>0</v>
      </c>
      <c r="AM47" s="277">
        <f ca="1" t="shared" si="107"/>
        <v>-11</v>
      </c>
      <c r="AN47" s="277" t="b">
        <f ca="1" t="shared" si="108"/>
        <v>0</v>
      </c>
      <c r="AO47" s="294" t="str">
        <f ca="1" t="shared" si="109"/>
        <v/>
      </c>
      <c r="AP47" s="1">
        <f t="shared" si="2"/>
        <v>81.35</v>
      </c>
      <c r="AQ47" s="1">
        <f>IF($B47=0,"",RANK(AP47,AP$8:AP$73,0)+COUNTIF(AP$8:AP47,AP47)-1)</f>
        <v>8</v>
      </c>
      <c r="AR47" s="1">
        <f ca="1" t="shared" si="110"/>
        <v>8</v>
      </c>
      <c r="AS47" s="273">
        <f ca="1" t="shared" si="111"/>
        <v>2.82</v>
      </c>
      <c r="AT47" s="275">
        <f ca="1" t="shared" si="112"/>
        <v>0</v>
      </c>
      <c r="AU47" s="1">
        <f t="shared" si="113"/>
        <v>42</v>
      </c>
      <c r="AV47" s="269">
        <f t="shared" si="114"/>
        <v>40</v>
      </c>
      <c r="AW47" s="269">
        <f t="shared" si="115"/>
        <v>1</v>
      </c>
      <c r="AX47" s="269">
        <f t="shared" si="116"/>
        <v>1</v>
      </c>
      <c r="AY47" s="268">
        <f t="shared" si="117"/>
        <v>40</v>
      </c>
      <c r="AZ47" s="1" t="str">
        <f t="shared" si="118"/>
        <v>Rio de Janeiro</v>
      </c>
      <c r="BA47" s="277">
        <f t="shared" si="119"/>
        <v>64.8</v>
      </c>
      <c r="BB47" s="277">
        <f ca="1" t="shared" si="120"/>
        <v>3.26</v>
      </c>
      <c r="BC47" s="277" t="b">
        <f ca="1" t="shared" si="121"/>
        <v>0</v>
      </c>
      <c r="BD47" s="277">
        <f ca="1" t="shared" si="122"/>
        <v>-6</v>
      </c>
      <c r="BE47" s="277" t="b">
        <f ca="1" t="shared" si="123"/>
        <v>0</v>
      </c>
      <c r="BF47" s="294" t="str">
        <f ca="1" t="shared" si="124"/>
        <v/>
      </c>
      <c r="BG47" s="1">
        <f t="shared" si="3"/>
        <v>89.9</v>
      </c>
      <c r="BH47" s="1">
        <f>IF($B47=0,"",RANK(BG47,BG$8:BG$73,0)+COUNTIF(BG$8:BG47,BG47)-1)</f>
        <v>19</v>
      </c>
      <c r="BI47" s="1">
        <f ca="1" t="shared" si="125"/>
        <v>19</v>
      </c>
      <c r="BJ47" s="273">
        <f ca="1" t="shared" si="126"/>
        <v>12.06</v>
      </c>
      <c r="BK47" s="275">
        <f ca="1" t="shared" si="127"/>
        <v>9</v>
      </c>
      <c r="BL47" s="1">
        <f t="shared" si="128"/>
        <v>27</v>
      </c>
      <c r="BM47" s="269">
        <f t="shared" si="129"/>
        <v>40</v>
      </c>
      <c r="BN47" s="269">
        <f t="shared" si="130"/>
        <v>1</v>
      </c>
      <c r="BO47" s="269">
        <f t="shared" si="131"/>
        <v>1</v>
      </c>
      <c r="BP47" s="268">
        <f t="shared" si="132"/>
        <v>40</v>
      </c>
      <c r="BQ47" s="1" t="str">
        <f t="shared" si="133"/>
        <v>Kuwait City</v>
      </c>
      <c r="BR47" s="277">
        <f t="shared" si="134"/>
        <v>71.66</v>
      </c>
      <c r="BS47" s="277">
        <f ca="1" t="shared" si="135"/>
        <v>-0.67</v>
      </c>
      <c r="BT47" s="277" t="b">
        <f ca="1" t="shared" si="136"/>
        <v>0</v>
      </c>
      <c r="BU47" s="277">
        <f ca="1" t="shared" si="137"/>
        <v>-5</v>
      </c>
      <c r="BV47" s="277" t="b">
        <f ca="1" t="shared" si="138"/>
        <v>0</v>
      </c>
      <c r="BW47" s="294" t="str">
        <f ca="1" t="shared" si="139"/>
        <v/>
      </c>
      <c r="BX47" s="1">
        <f t="shared" si="4"/>
        <v>77.23</v>
      </c>
      <c r="BY47" s="1">
        <f>IF($B47=0,"",RANK(BX47,BX$8:BX$73,0)+COUNTIF(BX$8:BX47,BX47)-1)</f>
        <v>31</v>
      </c>
      <c r="BZ47" s="1">
        <f ca="1" t="shared" si="140"/>
        <v>31</v>
      </c>
      <c r="CA47" s="273">
        <f ca="1" t="shared" si="141"/>
        <v>0.14</v>
      </c>
      <c r="CB47" s="275">
        <f ca="1" t="shared" si="142"/>
        <v>-10</v>
      </c>
      <c r="CC47" s="1">
        <f t="shared" si="143"/>
        <v>10</v>
      </c>
      <c r="CD47" s="269">
        <f t="shared" si="144"/>
        <v>40</v>
      </c>
      <c r="CE47" s="269">
        <f t="shared" si="145"/>
        <v>1</v>
      </c>
      <c r="CF47" s="269">
        <f t="shared" si="146"/>
        <v>1</v>
      </c>
      <c r="CG47" s="268">
        <f t="shared" si="147"/>
        <v>40</v>
      </c>
      <c r="CH47" s="1" t="str">
        <f t="shared" si="148"/>
        <v>Cairo</v>
      </c>
      <c r="CI47" s="277">
        <f t="shared" si="149"/>
        <v>69.75</v>
      </c>
      <c r="CJ47" s="277" t="str">
        <f ca="1" t="shared" si="150"/>
        <v/>
      </c>
      <c r="CK47" s="277" t="b">
        <f ca="1" t="shared" si="151"/>
        <v>0</v>
      </c>
      <c r="CL47" s="277" t="str">
        <f ca="1" t="shared" si="152"/>
        <v/>
      </c>
      <c r="CM47" s="277" t="b">
        <f ca="1" t="shared" si="153"/>
        <v>0</v>
      </c>
      <c r="CN47" s="294" t="str">
        <f ca="1" t="shared" si="154"/>
        <v> *</v>
      </c>
    </row>
    <row r="48" spans="1:92">
      <c r="A48" s="1">
        <f>tblTerritories!A43</f>
        <v>41</v>
      </c>
      <c r="B48" s="1">
        <f>IF(tblTerritories!F43="",0,tblTerritories!F43)</f>
        <v>1</v>
      </c>
      <c r="C48" s="1" t="str">
        <f>tblTerritories!C43</f>
        <v>Quito</v>
      </c>
      <c r="D48" s="1">
        <f>tblTerritories!D43</f>
        <v>1</v>
      </c>
      <c r="E48" s="1">
        <f>tblTerritories!K43</f>
        <v>0</v>
      </c>
      <c r="F48" s="1">
        <f>IF($A48="","",VLOOKUP(C48,tblTerritories!$J$3:$P$100,7,FALSE)+10)</f>
        <v>12</v>
      </c>
      <c r="H48" s="1">
        <f t="shared" si="0"/>
        <v>56.39</v>
      </c>
      <c r="I48" s="1">
        <f>IF($B48=0,"",RANK(H48,H$8:H$73,0)+COUNTIF(H$8:H48,H48)-1)</f>
        <v>53</v>
      </c>
      <c r="J48" s="1">
        <f ca="1" t="shared" si="80"/>
        <v>53</v>
      </c>
      <c r="K48" s="273" t="e">
        <f ca="1" t="shared" si="81"/>
        <v>#N/A</v>
      </c>
      <c r="L48" s="275" t="e">
        <f ca="1" t="shared" si="82"/>
        <v>#N/A</v>
      </c>
      <c r="M48" s="1">
        <f t="shared" si="83"/>
        <v>36</v>
      </c>
      <c r="N48" s="269">
        <f t="shared" si="84"/>
        <v>41</v>
      </c>
      <c r="O48" s="269">
        <f t="shared" si="85"/>
        <v>1</v>
      </c>
      <c r="P48" s="269">
        <f t="shared" si="86"/>
        <v>1</v>
      </c>
      <c r="Q48" s="268">
        <f t="shared" si="87"/>
        <v>41</v>
      </c>
      <c r="R48" s="1" t="str">
        <f t="shared" si="88"/>
        <v>Moscow</v>
      </c>
      <c r="S48" s="277">
        <f t="shared" si="89"/>
        <v>63.99</v>
      </c>
      <c r="T48" s="277">
        <f ca="1" t="shared" si="90"/>
        <v>4.4</v>
      </c>
      <c r="U48" s="277" t="b">
        <f ca="1" t="shared" si="91"/>
        <v>0</v>
      </c>
      <c r="V48" s="277">
        <f ca="1" t="shared" si="92"/>
        <v>-1</v>
      </c>
      <c r="W48" s="277" t="b">
        <f ca="1" t="shared" si="93"/>
        <v>0</v>
      </c>
      <c r="X48" s="294" t="str">
        <f ca="1" t="shared" si="94"/>
        <v/>
      </c>
      <c r="Y48" s="1">
        <f t="shared" si="1"/>
        <v>60.65</v>
      </c>
      <c r="Z48" s="1">
        <f>IF($B48=0,"",RANK(Y48,Y$8:Y$73,0)+COUNTIF(Y$8:Y48,Y48)-1)</f>
        <v>38</v>
      </c>
      <c r="AA48" s="1">
        <f ca="1" t="shared" si="95"/>
        <v>38</v>
      </c>
      <c r="AB48" s="273" t="e">
        <f ca="1" t="shared" si="96"/>
        <v>#N/A</v>
      </c>
      <c r="AC48" s="275" t="e">
        <f ca="1" t="shared" si="97"/>
        <v>#N/A</v>
      </c>
      <c r="AD48" s="1">
        <f t="shared" si="98"/>
        <v>28</v>
      </c>
      <c r="AE48" s="269">
        <f t="shared" si="99"/>
        <v>41</v>
      </c>
      <c r="AF48" s="269">
        <f t="shared" si="100"/>
        <v>1</v>
      </c>
      <c r="AG48" s="269">
        <f t="shared" si="101"/>
        <v>1</v>
      </c>
      <c r="AH48" s="268">
        <f t="shared" si="102"/>
        <v>41</v>
      </c>
      <c r="AI48" s="1" t="str">
        <f t="shared" si="103"/>
        <v>Lima</v>
      </c>
      <c r="AJ48" s="277">
        <f t="shared" si="104"/>
        <v>59.78</v>
      </c>
      <c r="AK48" s="277">
        <f ca="1" t="shared" si="105"/>
        <v>8.19</v>
      </c>
      <c r="AL48" s="277" t="b">
        <f ca="1" t="shared" si="106"/>
        <v>0</v>
      </c>
      <c r="AM48" s="277">
        <f ca="1" t="shared" si="107"/>
        <v>-6</v>
      </c>
      <c r="AN48" s="277" t="b">
        <f ca="1" t="shared" si="108"/>
        <v>0</v>
      </c>
      <c r="AO48" s="294" t="str">
        <f ca="1" t="shared" si="109"/>
        <v/>
      </c>
      <c r="AP48" s="1">
        <f t="shared" si="2"/>
        <v>57.46</v>
      </c>
      <c r="AQ48" s="1">
        <f>IF($B48=0,"",RANK(AP48,AP$8:AP$73,0)+COUNTIF(AP$8:AP48,AP48)-1)</f>
        <v>53</v>
      </c>
      <c r="AR48" s="1">
        <f ca="1" t="shared" si="110"/>
        <v>53</v>
      </c>
      <c r="AS48" s="273" t="e">
        <f ca="1" t="shared" si="111"/>
        <v>#N/A</v>
      </c>
      <c r="AT48" s="275" t="e">
        <f ca="1" t="shared" si="112"/>
        <v>#N/A</v>
      </c>
      <c r="AU48" s="1">
        <f t="shared" si="113"/>
        <v>27</v>
      </c>
      <c r="AV48" s="269">
        <f t="shared" si="114"/>
        <v>41</v>
      </c>
      <c r="AW48" s="269">
        <f t="shared" si="115"/>
        <v>1</v>
      </c>
      <c r="AX48" s="269">
        <f t="shared" si="116"/>
        <v>1</v>
      </c>
      <c r="AY48" s="268">
        <f t="shared" si="117"/>
        <v>41</v>
      </c>
      <c r="AZ48" s="1" t="str">
        <f t="shared" si="118"/>
        <v>Kuwait City</v>
      </c>
      <c r="BA48" s="277">
        <f t="shared" si="119"/>
        <v>63.81</v>
      </c>
      <c r="BB48" s="277">
        <f ca="1" t="shared" si="120"/>
        <v>3.94</v>
      </c>
      <c r="BC48" s="277" t="b">
        <f ca="1" t="shared" si="121"/>
        <v>0</v>
      </c>
      <c r="BD48" s="277">
        <f ca="1" t="shared" si="122"/>
        <v>-6</v>
      </c>
      <c r="BE48" s="277" t="b">
        <f ca="1" t="shared" si="123"/>
        <v>0</v>
      </c>
      <c r="BF48" s="294" t="str">
        <f ca="1" t="shared" si="124"/>
        <v/>
      </c>
      <c r="BG48" s="1">
        <f t="shared" si="3"/>
        <v>52.03</v>
      </c>
      <c r="BH48" s="1">
        <f>IF($B48=0,"",RANK(BG48,BG$8:BG$73,0)+COUNTIF(BG$8:BG48,BG48)-1)</f>
        <v>57</v>
      </c>
      <c r="BI48" s="1">
        <f ca="1" t="shared" si="125"/>
        <v>57</v>
      </c>
      <c r="BJ48" s="273" t="e">
        <f ca="1" t="shared" si="126"/>
        <v>#N/A</v>
      </c>
      <c r="BK48" s="275" t="e">
        <f ca="1" t="shared" si="127"/>
        <v>#N/A</v>
      </c>
      <c r="BL48" s="1">
        <f t="shared" si="128"/>
        <v>21</v>
      </c>
      <c r="BM48" s="269">
        <f t="shared" si="129"/>
        <v>41</v>
      </c>
      <c r="BN48" s="269">
        <f t="shared" si="130"/>
        <v>1</v>
      </c>
      <c r="BO48" s="269">
        <f t="shared" si="131"/>
        <v>1</v>
      </c>
      <c r="BP48" s="268">
        <f t="shared" si="132"/>
        <v>41</v>
      </c>
      <c r="BQ48" s="1" t="str">
        <f t="shared" si="133"/>
        <v>Istanbul</v>
      </c>
      <c r="BR48" s="277">
        <f t="shared" si="134"/>
        <v>70.79</v>
      </c>
      <c r="BS48" s="277">
        <f ca="1" t="shared" si="135"/>
        <v>-0.66</v>
      </c>
      <c r="BT48" s="277" t="b">
        <f ca="1" t="shared" si="136"/>
        <v>0</v>
      </c>
      <c r="BU48" s="277">
        <f ca="1" t="shared" si="137"/>
        <v>-5</v>
      </c>
      <c r="BV48" s="277" t="b">
        <f ca="1" t="shared" si="138"/>
        <v>0</v>
      </c>
      <c r="BW48" s="294" t="str">
        <f ca="1" t="shared" si="139"/>
        <v/>
      </c>
      <c r="BX48" s="1">
        <f t="shared" si="4"/>
        <v>55.41</v>
      </c>
      <c r="BY48" s="1">
        <f>IF($B48=0,"",RANK(BX48,BX$8:BX$73,0)+COUNTIF(BX$8:BX48,BX48)-1)</f>
        <v>56</v>
      </c>
      <c r="BZ48" s="1">
        <f ca="1" t="shared" si="140"/>
        <v>56</v>
      </c>
      <c r="CA48" s="273" t="e">
        <f ca="1" t="shared" si="141"/>
        <v>#N/A</v>
      </c>
      <c r="CB48" s="275" t="e">
        <f ca="1" t="shared" si="142"/>
        <v>#N/A</v>
      </c>
      <c r="CC48" s="1">
        <f t="shared" si="143"/>
        <v>3</v>
      </c>
      <c r="CD48" s="269">
        <f t="shared" si="144"/>
        <v>41</v>
      </c>
      <c r="CE48" s="269">
        <f t="shared" si="145"/>
        <v>1</v>
      </c>
      <c r="CF48" s="269">
        <f t="shared" si="146"/>
        <v>1</v>
      </c>
      <c r="CG48" s="268">
        <f t="shared" si="147"/>
        <v>41</v>
      </c>
      <c r="CH48" s="1" t="str">
        <f t="shared" si="148"/>
        <v>Athens</v>
      </c>
      <c r="CI48" s="277">
        <f t="shared" si="149"/>
        <v>69.03</v>
      </c>
      <c r="CJ48" s="277" t="str">
        <f ca="1" t="shared" si="150"/>
        <v/>
      </c>
      <c r="CK48" s="277" t="b">
        <f ca="1" t="shared" si="151"/>
        <v>0</v>
      </c>
      <c r="CL48" s="277" t="str">
        <f ca="1" t="shared" si="152"/>
        <v/>
      </c>
      <c r="CM48" s="277" t="b">
        <f ca="1" t="shared" si="153"/>
        <v>0</v>
      </c>
      <c r="CN48" s="294" t="str">
        <f ca="1" t="shared" si="154"/>
        <v> *</v>
      </c>
    </row>
    <row r="49" spans="1:92">
      <c r="A49" s="1">
        <f>tblTerritories!A44</f>
        <v>42</v>
      </c>
      <c r="B49" s="1">
        <f>IF(tblTerritories!F44="",0,tblTerritories!F44)</f>
        <v>1</v>
      </c>
      <c r="C49" s="1" t="str">
        <f>tblTerritories!C44</f>
        <v>Rio de Janeiro</v>
      </c>
      <c r="D49" s="1">
        <f>tblTerritories!D44</f>
        <v>1</v>
      </c>
      <c r="E49" s="1">
        <f>tblTerritories!K44</f>
        <v>0</v>
      </c>
      <c r="F49" s="1">
        <f>IF($A49="","",VLOOKUP(C49,tblTerritories!$J$3:$P$100,7,FALSE)+10)</f>
        <v>12</v>
      </c>
      <c r="H49" s="1">
        <f t="shared" si="0"/>
        <v>66.54</v>
      </c>
      <c r="I49" s="1">
        <f>IF($B49=0,"",RANK(H49,H$8:H$73,0)+COUNTIF(H$8:H49,H49)-1)</f>
        <v>37</v>
      </c>
      <c r="J49" s="1">
        <f ca="1" t="shared" si="80"/>
        <v>37</v>
      </c>
      <c r="K49" s="273">
        <f ca="1" t="shared" si="81"/>
        <v>2.5</v>
      </c>
      <c r="L49" s="275">
        <f ca="1" t="shared" si="82"/>
        <v>-4</v>
      </c>
      <c r="M49" s="1">
        <f t="shared" si="83"/>
        <v>23</v>
      </c>
      <c r="N49" s="269">
        <f t="shared" si="84"/>
        <v>42</v>
      </c>
      <c r="O49" s="269">
        <f t="shared" si="85"/>
        <v>1</v>
      </c>
      <c r="P49" s="269">
        <f t="shared" si="86"/>
        <v>1</v>
      </c>
      <c r="Q49" s="268">
        <f t="shared" si="87"/>
        <v>42</v>
      </c>
      <c r="R49" s="1" t="str">
        <f t="shared" si="88"/>
        <v>Jeddah</v>
      </c>
      <c r="S49" s="277">
        <f t="shared" si="89"/>
        <v>62.8</v>
      </c>
      <c r="T49" s="277" t="str">
        <f ca="1" t="shared" si="90"/>
        <v/>
      </c>
      <c r="U49" s="277" t="b">
        <f ca="1" t="shared" si="91"/>
        <v>0</v>
      </c>
      <c r="V49" s="277" t="str">
        <f ca="1" t="shared" si="92"/>
        <v/>
      </c>
      <c r="W49" s="277" t="b">
        <f ca="1" t="shared" si="93"/>
        <v>0</v>
      </c>
      <c r="X49" s="294" t="str">
        <f ca="1" t="shared" si="94"/>
        <v> *</v>
      </c>
      <c r="Y49" s="1">
        <f t="shared" si="1"/>
        <v>51.96</v>
      </c>
      <c r="Z49" s="1">
        <f>IF($B49=0,"",RANK(Y49,Y$8:Y$73,0)+COUNTIF(Y$8:Y49,Y49)-1)</f>
        <v>49</v>
      </c>
      <c r="AA49" s="1">
        <f ca="1" t="shared" si="95"/>
        <v>49</v>
      </c>
      <c r="AB49" s="273">
        <f ca="1" t="shared" si="96"/>
        <v>0.72</v>
      </c>
      <c r="AC49" s="275">
        <f ca="1" t="shared" si="97"/>
        <v>-12</v>
      </c>
      <c r="AD49" s="1">
        <f t="shared" si="98"/>
        <v>49</v>
      </c>
      <c r="AE49" s="269">
        <f t="shared" si="99"/>
        <v>42</v>
      </c>
      <c r="AF49" s="269">
        <f t="shared" si="100"/>
        <v>1</v>
      </c>
      <c r="AG49" s="269">
        <f t="shared" si="101"/>
        <v>1</v>
      </c>
      <c r="AH49" s="268">
        <f t="shared" si="102"/>
        <v>42</v>
      </c>
      <c r="AI49" s="1" t="str">
        <f t="shared" si="103"/>
        <v>Shanghai</v>
      </c>
      <c r="AJ49" s="277">
        <f t="shared" si="104"/>
        <v>59.42</v>
      </c>
      <c r="AK49" s="277">
        <f ca="1" t="shared" si="105"/>
        <v>11.28</v>
      </c>
      <c r="AL49" s="277" t="b">
        <f ca="1" t="shared" si="106"/>
        <v>0</v>
      </c>
      <c r="AM49" s="277">
        <f ca="1" t="shared" si="107"/>
        <v>-2</v>
      </c>
      <c r="AN49" s="277" t="b">
        <f ca="1" t="shared" si="108"/>
        <v>0</v>
      </c>
      <c r="AO49" s="294" t="str">
        <f ca="1" t="shared" si="109"/>
        <v/>
      </c>
      <c r="AP49" s="1">
        <f t="shared" si="2"/>
        <v>64.8</v>
      </c>
      <c r="AQ49" s="1">
        <f>IF($B49=0,"",RANK(AP49,AP$8:AP$73,0)+COUNTIF(AP$8:AP49,AP49)-1)</f>
        <v>40</v>
      </c>
      <c r="AR49" s="1">
        <f ca="1" t="shared" si="110"/>
        <v>40</v>
      </c>
      <c r="AS49" s="273">
        <f ca="1" t="shared" si="111"/>
        <v>3.26</v>
      </c>
      <c r="AT49" s="275">
        <f ca="1" t="shared" si="112"/>
        <v>-6</v>
      </c>
      <c r="AU49" s="1">
        <f t="shared" si="113"/>
        <v>47</v>
      </c>
      <c r="AV49" s="269">
        <f t="shared" si="114"/>
        <v>42</v>
      </c>
      <c r="AW49" s="269">
        <f t="shared" si="115"/>
        <v>1</v>
      </c>
      <c r="AX49" s="269">
        <f t="shared" si="116"/>
        <v>1</v>
      </c>
      <c r="AY49" s="268">
        <f t="shared" si="117"/>
        <v>42</v>
      </c>
      <c r="AZ49" s="1" t="str">
        <f t="shared" si="118"/>
        <v>Sao Paulo</v>
      </c>
      <c r="BA49" s="277">
        <f t="shared" si="119"/>
        <v>63.74</v>
      </c>
      <c r="BB49" s="277">
        <f ca="1" t="shared" si="120"/>
        <v>-0.18</v>
      </c>
      <c r="BC49" s="277" t="b">
        <f ca="1" t="shared" si="121"/>
        <v>0</v>
      </c>
      <c r="BD49" s="277">
        <f ca="1" t="shared" si="122"/>
        <v>-9</v>
      </c>
      <c r="BE49" s="277" t="b">
        <f ca="1" t="shared" si="123"/>
        <v>0</v>
      </c>
      <c r="BF49" s="294" t="str">
        <f ca="1" t="shared" si="124"/>
        <v/>
      </c>
      <c r="BG49" s="1">
        <f t="shared" si="3"/>
        <v>79.53</v>
      </c>
      <c r="BH49" s="1">
        <f>IF($B49=0,"",RANK(BG49,BG$8:BG$73,0)+COUNTIF(BG$8:BG49,BG49)-1)</f>
        <v>32</v>
      </c>
      <c r="BI49" s="1">
        <f ca="1" t="shared" si="125"/>
        <v>32</v>
      </c>
      <c r="BJ49" s="273">
        <f ca="1" t="shared" si="126"/>
        <v>2.74</v>
      </c>
      <c r="BK49" s="275">
        <f ca="1" t="shared" si="127"/>
        <v>-2</v>
      </c>
      <c r="BL49" s="1">
        <f t="shared" si="128"/>
        <v>7</v>
      </c>
      <c r="BM49" s="269">
        <f t="shared" si="129"/>
        <v>42</v>
      </c>
      <c r="BN49" s="269">
        <f t="shared" si="130"/>
        <v>1</v>
      </c>
      <c r="BO49" s="269">
        <f t="shared" si="131"/>
        <v>1</v>
      </c>
      <c r="BP49" s="268">
        <f t="shared" si="132"/>
        <v>42</v>
      </c>
      <c r="BQ49" s="1" t="str">
        <f t="shared" si="133"/>
        <v>Bogota</v>
      </c>
      <c r="BR49" s="277">
        <f t="shared" si="134"/>
        <v>69.79</v>
      </c>
      <c r="BS49" s="277" t="str">
        <f ca="1" t="shared" si="135"/>
        <v/>
      </c>
      <c r="BT49" s="277" t="b">
        <f ca="1" t="shared" si="136"/>
        <v>0</v>
      </c>
      <c r="BU49" s="277" t="str">
        <f ca="1" t="shared" si="137"/>
        <v/>
      </c>
      <c r="BV49" s="277" t="b">
        <f ca="1" t="shared" si="138"/>
        <v>0</v>
      </c>
      <c r="BW49" s="294" t="str">
        <f ca="1" t="shared" si="139"/>
        <v> *</v>
      </c>
      <c r="BX49" s="1">
        <f t="shared" si="4"/>
        <v>69.85</v>
      </c>
      <c r="BY49" s="1">
        <f>IF($B49=0,"",RANK(BX49,BX$8:BX$73,0)+COUNTIF(BX$8:BX49,BX49)-1)</f>
        <v>38</v>
      </c>
      <c r="BZ49" s="1">
        <f ca="1" t="shared" si="140"/>
        <v>38</v>
      </c>
      <c r="CA49" s="273">
        <f ca="1" t="shared" si="141"/>
        <v>3.24</v>
      </c>
      <c r="CB49" s="275">
        <f ca="1" t="shared" si="142"/>
        <v>-7</v>
      </c>
      <c r="CC49" s="1">
        <f t="shared" si="143"/>
        <v>9</v>
      </c>
      <c r="CD49" s="269">
        <f t="shared" si="144"/>
        <v>42</v>
      </c>
      <c r="CE49" s="269">
        <f t="shared" si="145"/>
        <v>1</v>
      </c>
      <c r="CF49" s="269">
        <f t="shared" si="146"/>
        <v>1</v>
      </c>
      <c r="CG49" s="268">
        <f t="shared" si="147"/>
        <v>42</v>
      </c>
      <c r="CH49" s="1" t="str">
        <f t="shared" si="148"/>
        <v>Buenos Aires</v>
      </c>
      <c r="CI49" s="277">
        <f t="shared" si="149"/>
        <v>68.41</v>
      </c>
      <c r="CJ49" s="277">
        <f ca="1" t="shared" si="150"/>
        <v>4.3</v>
      </c>
      <c r="CK49" s="277" t="b">
        <f ca="1" t="shared" si="151"/>
        <v>0</v>
      </c>
      <c r="CL49" s="277">
        <f ca="1" t="shared" si="152"/>
        <v>-8</v>
      </c>
      <c r="CM49" s="277" t="b">
        <f ca="1" t="shared" si="153"/>
        <v>0</v>
      </c>
      <c r="CN49" s="294" t="str">
        <f ca="1" t="shared" si="154"/>
        <v/>
      </c>
    </row>
    <row r="50" spans="1:92">
      <c r="A50" s="1">
        <f>tblTerritories!A45</f>
        <v>43</v>
      </c>
      <c r="B50" s="1">
        <f>IF(tblTerritories!F45="",0,tblTerritories!F45)</f>
        <v>1</v>
      </c>
      <c r="C50" s="1" t="str">
        <f>tblTerritories!C45</f>
        <v>Riyadh</v>
      </c>
      <c r="D50" s="1">
        <f>tblTerritories!D45</f>
        <v>1</v>
      </c>
      <c r="E50" s="1">
        <f>tblTerritories!K45</f>
        <v>0</v>
      </c>
      <c r="F50" s="1">
        <f>IF($A50="","",VLOOKUP(C50,tblTerritories!$J$3:$P$100,7,FALSE)+10)</f>
        <v>13</v>
      </c>
      <c r="H50" s="1">
        <f t="shared" si="0"/>
        <v>61.23</v>
      </c>
      <c r="I50" s="1">
        <f>IF($B50=0,"",RANK(H50,H$8:H$73,0)+COUNTIF(H$8:H50,H50)-1)</f>
        <v>47</v>
      </c>
      <c r="J50" s="1">
        <f ca="1" t="shared" si="80"/>
        <v>47</v>
      </c>
      <c r="K50" s="273">
        <f ca="1" t="shared" si="81"/>
        <v>5.39</v>
      </c>
      <c r="L50" s="275">
        <f ca="1" t="shared" si="82"/>
        <v>-4</v>
      </c>
      <c r="M50" s="1">
        <f t="shared" si="83"/>
        <v>15</v>
      </c>
      <c r="N50" s="269">
        <f t="shared" si="84"/>
        <v>43</v>
      </c>
      <c r="O50" s="269">
        <f t="shared" si="85"/>
        <v>1</v>
      </c>
      <c r="P50" s="269">
        <f t="shared" si="86"/>
        <v>1</v>
      </c>
      <c r="Q50" s="268">
        <f t="shared" si="87"/>
        <v>43</v>
      </c>
      <c r="R50" s="1" t="str">
        <f t="shared" si="88"/>
        <v>Delhi</v>
      </c>
      <c r="S50" s="277">
        <f t="shared" si="89"/>
        <v>62.34</v>
      </c>
      <c r="T50" s="277">
        <f ca="1" t="shared" si="90"/>
        <v>0.91</v>
      </c>
      <c r="U50" s="277" t="b">
        <f ca="1" t="shared" si="91"/>
        <v>0</v>
      </c>
      <c r="V50" s="277">
        <f ca="1" t="shared" si="92"/>
        <v>-6</v>
      </c>
      <c r="W50" s="277" t="b">
        <f ca="1" t="shared" si="93"/>
        <v>0</v>
      </c>
      <c r="X50" s="294" t="str">
        <f ca="1" t="shared" si="94"/>
        <v/>
      </c>
      <c r="Y50" s="1">
        <f t="shared" si="1"/>
        <v>60.86</v>
      </c>
      <c r="Z50" s="1">
        <f>IF($B50=0,"",RANK(Y50,Y$8:Y$73,0)+COUNTIF(Y$8:Y50,Y50)-1)</f>
        <v>37</v>
      </c>
      <c r="AA50" s="1">
        <f ca="1" t="shared" si="95"/>
        <v>37</v>
      </c>
      <c r="AB50" s="273">
        <f ca="1" t="shared" si="96"/>
        <v>11.1</v>
      </c>
      <c r="AC50" s="275">
        <f ca="1" t="shared" si="97"/>
        <v>1</v>
      </c>
      <c r="AD50" s="1">
        <f t="shared" si="98"/>
        <v>11</v>
      </c>
      <c r="AE50" s="269">
        <f t="shared" si="99"/>
        <v>43</v>
      </c>
      <c r="AF50" s="269">
        <f t="shared" si="100"/>
        <v>1</v>
      </c>
      <c r="AG50" s="269">
        <f t="shared" si="101"/>
        <v>1</v>
      </c>
      <c r="AH50" s="268">
        <f t="shared" si="102"/>
        <v>43</v>
      </c>
      <c r="AI50" s="1" t="str">
        <f t="shared" si="103"/>
        <v>Caracas</v>
      </c>
      <c r="AJ50" s="277">
        <f t="shared" si="104"/>
        <v>58.39</v>
      </c>
      <c r="AK50" s="277" t="str">
        <f ca="1" t="shared" si="105"/>
        <v/>
      </c>
      <c r="AL50" s="277" t="b">
        <f ca="1" t="shared" si="106"/>
        <v>0</v>
      </c>
      <c r="AM50" s="277" t="str">
        <f ca="1" t="shared" si="107"/>
        <v/>
      </c>
      <c r="AN50" s="277" t="b">
        <f ca="1" t="shared" si="108"/>
        <v>0</v>
      </c>
      <c r="AO50" s="294" t="str">
        <f ca="1" t="shared" si="109"/>
        <v> *</v>
      </c>
      <c r="AP50" s="1">
        <f t="shared" si="2"/>
        <v>66.13</v>
      </c>
      <c r="AQ50" s="1">
        <f>IF($B50=0,"",RANK(AP50,AP$8:AP$73,0)+COUNTIF(AP$8:AP50,AP50)-1)</f>
        <v>38</v>
      </c>
      <c r="AR50" s="1">
        <f ca="1" t="shared" si="110"/>
        <v>38</v>
      </c>
      <c r="AS50" s="273">
        <f ca="1" t="shared" si="111"/>
        <v>9.3</v>
      </c>
      <c r="AT50" s="275">
        <f ca="1" t="shared" si="112"/>
        <v>2</v>
      </c>
      <c r="AU50" s="1">
        <f t="shared" si="113"/>
        <v>23</v>
      </c>
      <c r="AV50" s="269">
        <f t="shared" si="114"/>
        <v>43</v>
      </c>
      <c r="AW50" s="269">
        <f t="shared" si="115"/>
        <v>1</v>
      </c>
      <c r="AX50" s="269">
        <f t="shared" si="116"/>
        <v>1</v>
      </c>
      <c r="AY50" s="268">
        <f t="shared" si="117"/>
        <v>43</v>
      </c>
      <c r="AZ50" s="1" t="str">
        <f t="shared" si="118"/>
        <v>Jeddah</v>
      </c>
      <c r="BA50" s="277">
        <f t="shared" si="119"/>
        <v>63.56</v>
      </c>
      <c r="BB50" s="277" t="str">
        <f ca="1" t="shared" si="120"/>
        <v/>
      </c>
      <c r="BC50" s="277" t="b">
        <f ca="1" t="shared" si="121"/>
        <v>0</v>
      </c>
      <c r="BD50" s="277" t="str">
        <f ca="1" t="shared" si="122"/>
        <v/>
      </c>
      <c r="BE50" s="277" t="b">
        <f ca="1" t="shared" si="123"/>
        <v>0</v>
      </c>
      <c r="BF50" s="294" t="str">
        <f ca="1" t="shared" si="124"/>
        <v> *</v>
      </c>
      <c r="BG50" s="1">
        <f t="shared" si="3"/>
        <v>56.88</v>
      </c>
      <c r="BH50" s="1">
        <f>IF($B50=0,"",RANK(BG50,BG$8:BG$73,0)+COUNTIF(BG$8:BG50,BG50)-1)</f>
        <v>54</v>
      </c>
      <c r="BI50" s="1">
        <f ca="1" t="shared" si="125"/>
        <v>54</v>
      </c>
      <c r="BJ50" s="273">
        <f ca="1" t="shared" si="126"/>
        <v>-5.21</v>
      </c>
      <c r="BK50" s="275">
        <f ca="1" t="shared" si="127"/>
        <v>-14</v>
      </c>
      <c r="BL50" s="1">
        <f t="shared" si="128"/>
        <v>4</v>
      </c>
      <c r="BM50" s="269">
        <f t="shared" si="129"/>
        <v>43</v>
      </c>
      <c r="BN50" s="269">
        <f t="shared" si="130"/>
        <v>1</v>
      </c>
      <c r="BO50" s="269">
        <f t="shared" si="131"/>
        <v>1</v>
      </c>
      <c r="BP50" s="268">
        <f t="shared" si="132"/>
        <v>43</v>
      </c>
      <c r="BQ50" s="1" t="str">
        <f t="shared" si="133"/>
        <v>Bangkok</v>
      </c>
      <c r="BR50" s="277">
        <f t="shared" si="134"/>
        <v>68.33</v>
      </c>
      <c r="BS50" s="277">
        <f ca="1" t="shared" si="135"/>
        <v>12.16</v>
      </c>
      <c r="BT50" s="277" t="b">
        <f ca="1" t="shared" si="136"/>
        <v>0</v>
      </c>
      <c r="BU50" s="277">
        <f ca="1" t="shared" si="137"/>
        <v>1</v>
      </c>
      <c r="BV50" s="277" t="b">
        <f ca="1" t="shared" si="138"/>
        <v>0</v>
      </c>
      <c r="BW50" s="294" t="str">
        <f ca="1" t="shared" si="139"/>
        <v/>
      </c>
      <c r="BX50" s="1">
        <f t="shared" si="4"/>
        <v>61.04</v>
      </c>
      <c r="BY50" s="1">
        <f>IF($B50=0,"",RANK(BX50,BX$8:BX$73,0)+COUNTIF(BX$8:BX50,BX50)-1)</f>
        <v>47</v>
      </c>
      <c r="BZ50" s="1">
        <f ca="1" t="shared" si="140"/>
        <v>47</v>
      </c>
      <c r="CA50" s="273">
        <f ca="1" t="shared" si="141"/>
        <v>6.34</v>
      </c>
      <c r="CB50" s="275">
        <f ca="1" t="shared" si="142"/>
        <v>-2</v>
      </c>
      <c r="CC50" s="1">
        <f t="shared" si="143"/>
        <v>16</v>
      </c>
      <c r="CD50" s="269">
        <f t="shared" si="144"/>
        <v>43</v>
      </c>
      <c r="CE50" s="269">
        <f t="shared" si="145"/>
        <v>1</v>
      </c>
      <c r="CF50" s="269">
        <f t="shared" si="146"/>
        <v>1</v>
      </c>
      <c r="CG50" s="268">
        <f t="shared" si="147"/>
        <v>43</v>
      </c>
      <c r="CH50" s="1" t="str">
        <f t="shared" si="148"/>
        <v>Dhaka</v>
      </c>
      <c r="CI50" s="277">
        <f t="shared" si="149"/>
        <v>67.15</v>
      </c>
      <c r="CJ50" s="277" t="str">
        <f ca="1" t="shared" si="150"/>
        <v/>
      </c>
      <c r="CK50" s="277" t="b">
        <f ca="1" t="shared" si="151"/>
        <v>0</v>
      </c>
      <c r="CL50" s="277" t="str">
        <f ca="1" t="shared" si="152"/>
        <v/>
      </c>
      <c r="CM50" s="277" t="b">
        <f ca="1" t="shared" si="153"/>
        <v>0</v>
      </c>
      <c r="CN50" s="294" t="str">
        <f ca="1" t="shared" si="154"/>
        <v> *</v>
      </c>
    </row>
    <row r="51" spans="1:92">
      <c r="A51" s="1">
        <f>tblTerritories!A46</f>
        <v>44</v>
      </c>
      <c r="B51" s="1">
        <f>IF(tblTerritories!F46="",0,tblTerritories!F46)</f>
        <v>1</v>
      </c>
      <c r="C51" s="1" t="str">
        <f>tblTerritories!C46</f>
        <v>Rome</v>
      </c>
      <c r="D51" s="1">
        <f>tblTerritories!D46</f>
        <v>1</v>
      </c>
      <c r="E51" s="1">
        <f>tblTerritories!K46</f>
        <v>0</v>
      </c>
      <c r="F51" s="1">
        <f>IF($A51="","",VLOOKUP(C51,tblTerritories!$J$3:$P$100,7,FALSE)+10)</f>
        <v>11</v>
      </c>
      <c r="H51" s="1">
        <f t="shared" si="0"/>
        <v>78.67</v>
      </c>
      <c r="I51" s="1">
        <f>IF($B51=0,"",RANK(H51,H$8:H$73,0)+COUNTIF(H$8:H51,H51)-1)</f>
        <v>27</v>
      </c>
      <c r="J51" s="1">
        <f ca="1" t="shared" si="80"/>
        <v>27</v>
      </c>
      <c r="K51" s="273">
        <f ca="1" t="shared" si="81"/>
        <v>8.69</v>
      </c>
      <c r="L51" s="275">
        <f ca="1" t="shared" si="82"/>
        <v>0</v>
      </c>
      <c r="M51" s="1">
        <f t="shared" si="83"/>
        <v>28</v>
      </c>
      <c r="N51" s="269">
        <f t="shared" si="84"/>
        <v>44</v>
      </c>
      <c r="O51" s="269">
        <f t="shared" si="85"/>
        <v>1</v>
      </c>
      <c r="P51" s="269">
        <f t="shared" si="86"/>
        <v>1</v>
      </c>
      <c r="Q51" s="268">
        <f t="shared" si="87"/>
        <v>44</v>
      </c>
      <c r="R51" s="1" t="str">
        <f t="shared" si="88"/>
        <v>Lima</v>
      </c>
      <c r="S51" s="277">
        <f t="shared" si="89"/>
        <v>61.9</v>
      </c>
      <c r="T51" s="277">
        <f ca="1" t="shared" si="90"/>
        <v>-3.29</v>
      </c>
      <c r="U51" s="277" t="b">
        <f ca="1" t="shared" si="91"/>
        <v>0</v>
      </c>
      <c r="V51" s="277">
        <f ca="1" t="shared" si="92"/>
        <v>-13</v>
      </c>
      <c r="W51" s="277" t="b">
        <f ca="1" t="shared" si="93"/>
        <v>0</v>
      </c>
      <c r="X51" s="294" t="str">
        <f ca="1" t="shared" si="94"/>
        <v/>
      </c>
      <c r="Y51" s="1">
        <f t="shared" si="1"/>
        <v>71.62</v>
      </c>
      <c r="Z51" s="1">
        <f>IF($B51=0,"",RANK(Y51,Y$8:Y$73,0)+COUNTIF(Y$8:Y51,Y51)-1)</f>
        <v>26</v>
      </c>
      <c r="AA51" s="1">
        <f ca="1" t="shared" si="95"/>
        <v>26</v>
      </c>
      <c r="AB51" s="273">
        <f ca="1" t="shared" si="96"/>
        <v>9.45</v>
      </c>
      <c r="AC51" s="275">
        <f ca="1" t="shared" si="97"/>
        <v>-1</v>
      </c>
      <c r="AD51" s="1">
        <f t="shared" si="98"/>
        <v>12</v>
      </c>
      <c r="AE51" s="269">
        <f t="shared" si="99"/>
        <v>44</v>
      </c>
      <c r="AF51" s="269">
        <f t="shared" si="100"/>
        <v>1</v>
      </c>
      <c r="AG51" s="269">
        <f t="shared" si="101"/>
        <v>1</v>
      </c>
      <c r="AH51" s="268">
        <f t="shared" si="102"/>
        <v>44</v>
      </c>
      <c r="AI51" s="1" t="str">
        <f t="shared" si="103"/>
        <v>Casablanca</v>
      </c>
      <c r="AJ51" s="277">
        <f t="shared" si="104"/>
        <v>57.37</v>
      </c>
      <c r="AK51" s="277" t="str">
        <f ca="1" t="shared" si="105"/>
        <v/>
      </c>
      <c r="AL51" s="277" t="b">
        <f ca="1" t="shared" si="106"/>
        <v>0</v>
      </c>
      <c r="AM51" s="277" t="str">
        <f ca="1" t="shared" si="107"/>
        <v/>
      </c>
      <c r="AN51" s="277" t="b">
        <f ca="1" t="shared" si="108"/>
        <v>0</v>
      </c>
      <c r="AO51" s="294" t="str">
        <f ca="1" t="shared" si="109"/>
        <v> *</v>
      </c>
      <c r="AP51" s="1">
        <f t="shared" si="2"/>
        <v>76.38</v>
      </c>
      <c r="AQ51" s="1">
        <f>IF($B51=0,"",RANK(AP51,AP$8:AP$73,0)+COUNTIF(AP$8:AP51,AP51)-1)</f>
        <v>18</v>
      </c>
      <c r="AR51" s="1">
        <f ca="1" t="shared" si="110"/>
        <v>18</v>
      </c>
      <c r="AS51" s="273">
        <f ca="1" t="shared" si="111"/>
        <v>7.05</v>
      </c>
      <c r="AT51" s="275">
        <f ca="1" t="shared" si="112"/>
        <v>6</v>
      </c>
      <c r="AU51" s="1">
        <f t="shared" si="113"/>
        <v>54</v>
      </c>
      <c r="AV51" s="269">
        <f t="shared" si="114"/>
        <v>44</v>
      </c>
      <c r="AW51" s="269">
        <f t="shared" si="115"/>
        <v>1</v>
      </c>
      <c r="AX51" s="269">
        <f t="shared" si="116"/>
        <v>1</v>
      </c>
      <c r="AY51" s="268">
        <f t="shared" si="117"/>
        <v>44</v>
      </c>
      <c r="AZ51" s="1" t="str">
        <f t="shared" si="118"/>
        <v>Tehran</v>
      </c>
      <c r="BA51" s="277">
        <f t="shared" si="119"/>
        <v>62.96</v>
      </c>
      <c r="BB51" s="277">
        <f ca="1" t="shared" si="120"/>
        <v>10.01</v>
      </c>
      <c r="BC51" s="277" t="b">
        <f ca="1" t="shared" si="121"/>
        <v>0</v>
      </c>
      <c r="BD51" s="277">
        <f ca="1" t="shared" si="122"/>
        <v>1</v>
      </c>
      <c r="BE51" s="277" t="b">
        <f ca="1" t="shared" si="123"/>
        <v>0</v>
      </c>
      <c r="BF51" s="294" t="str">
        <f ca="1" t="shared" si="124"/>
        <v/>
      </c>
      <c r="BG51" s="1">
        <f t="shared" si="3"/>
        <v>92.31</v>
      </c>
      <c r="BH51" s="1">
        <f>IF($B51=0,"",RANK(BG51,BG$8:BG$73,0)+COUNTIF(BG$8:BG51,BG51)-1)</f>
        <v>15</v>
      </c>
      <c r="BI51" s="1">
        <f ca="1" t="shared" si="125"/>
        <v>15</v>
      </c>
      <c r="BJ51" s="273">
        <f ca="1" t="shared" si="126"/>
        <v>6.76</v>
      </c>
      <c r="BK51" s="275">
        <f ca="1" t="shared" si="127"/>
        <v>2</v>
      </c>
      <c r="BL51" s="1">
        <f t="shared" si="128"/>
        <v>10</v>
      </c>
      <c r="BM51" s="269">
        <f t="shared" si="129"/>
        <v>44</v>
      </c>
      <c r="BN51" s="269">
        <f t="shared" si="130"/>
        <v>1</v>
      </c>
      <c r="BO51" s="269">
        <f t="shared" si="131"/>
        <v>1</v>
      </c>
      <c r="BP51" s="268">
        <f t="shared" si="132"/>
        <v>44</v>
      </c>
      <c r="BQ51" s="1" t="str">
        <f t="shared" si="133"/>
        <v>Cairo</v>
      </c>
      <c r="BR51" s="277">
        <f t="shared" si="134"/>
        <v>68</v>
      </c>
      <c r="BS51" s="277" t="str">
        <f ca="1" t="shared" si="135"/>
        <v/>
      </c>
      <c r="BT51" s="277" t="b">
        <f ca="1" t="shared" si="136"/>
        <v>0</v>
      </c>
      <c r="BU51" s="277" t="str">
        <f ca="1" t="shared" si="137"/>
        <v/>
      </c>
      <c r="BV51" s="277" t="b">
        <f ca="1" t="shared" si="138"/>
        <v>0</v>
      </c>
      <c r="BW51" s="294" t="str">
        <f ca="1" t="shared" si="139"/>
        <v> *</v>
      </c>
      <c r="BX51" s="1">
        <f t="shared" si="4"/>
        <v>74.39</v>
      </c>
      <c r="BY51" s="1">
        <f>IF($B51=0,"",RANK(BX51,BX$8:BX$73,0)+COUNTIF(BX$8:BX51,BX51)-1)</f>
        <v>35</v>
      </c>
      <c r="BZ51" s="1">
        <f ca="1" t="shared" si="140"/>
        <v>35</v>
      </c>
      <c r="CA51" s="273">
        <f ca="1" t="shared" si="141"/>
        <v>11.51</v>
      </c>
      <c r="CB51" s="275">
        <f ca="1" t="shared" si="142"/>
        <v>0</v>
      </c>
      <c r="CC51" s="1">
        <f t="shared" si="143"/>
        <v>21</v>
      </c>
      <c r="CD51" s="269">
        <f t="shared" si="144"/>
        <v>44</v>
      </c>
      <c r="CE51" s="269">
        <f t="shared" si="145"/>
        <v>1</v>
      </c>
      <c r="CF51" s="269">
        <f t="shared" si="146"/>
        <v>1</v>
      </c>
      <c r="CG51" s="268">
        <f t="shared" si="147"/>
        <v>44</v>
      </c>
      <c r="CH51" s="1" t="str">
        <f t="shared" si="148"/>
        <v>Istanbul</v>
      </c>
      <c r="CI51" s="277">
        <f t="shared" si="149"/>
        <v>65.84</v>
      </c>
      <c r="CJ51" s="277">
        <f ca="1" t="shared" si="150"/>
        <v>-4.97</v>
      </c>
      <c r="CK51" s="277" t="b">
        <f ca="1" t="shared" si="151"/>
        <v>0</v>
      </c>
      <c r="CL51" s="277">
        <f ca="1" t="shared" si="152"/>
        <v>-18</v>
      </c>
      <c r="CM51" s="277" t="b">
        <f ca="1" t="shared" si="153"/>
        <v>0</v>
      </c>
      <c r="CN51" s="294" t="str">
        <f ca="1" t="shared" si="154"/>
        <v/>
      </c>
    </row>
    <row r="52" spans="1:92">
      <c r="A52" s="1">
        <f>tblTerritories!A47</f>
        <v>45</v>
      </c>
      <c r="B52" s="1">
        <f>IF(tblTerritories!F47="",0,tblTerritories!F47)</f>
        <v>1</v>
      </c>
      <c r="C52" s="1" t="str">
        <f>tblTerritories!C47</f>
        <v>San Francisco</v>
      </c>
      <c r="D52" s="1">
        <f>tblTerritories!D47</f>
        <v>1</v>
      </c>
      <c r="E52" s="1">
        <f>tblTerritories!K47</f>
        <v>0</v>
      </c>
      <c r="F52" s="1">
        <f>IF($A52="","",VLOOKUP(C52,tblTerritories!$J$3:$P$100,7,FALSE)+10)</f>
        <v>14</v>
      </c>
      <c r="H52" s="1">
        <f t="shared" si="0"/>
        <v>83.55</v>
      </c>
      <c r="I52" s="1">
        <f>IF($B52=0,"",RANK(H52,H$8:H$73,0)+COUNTIF(H$8:H52,H52)-1)</f>
        <v>15</v>
      </c>
      <c r="J52" s="1">
        <f ca="1" t="shared" si="80"/>
        <v>15</v>
      </c>
      <c r="K52" s="273">
        <f ca="1" t="shared" si="81"/>
        <v>4.23</v>
      </c>
      <c r="L52" s="275">
        <f ca="1" t="shared" si="82"/>
        <v>-4</v>
      </c>
      <c r="M52" s="1">
        <f t="shared" si="83"/>
        <v>37</v>
      </c>
      <c r="N52" s="269">
        <f t="shared" si="84"/>
        <v>45</v>
      </c>
      <c r="O52" s="269">
        <f t="shared" si="85"/>
        <v>1</v>
      </c>
      <c r="P52" s="269">
        <f t="shared" si="86"/>
        <v>1</v>
      </c>
      <c r="Q52" s="268">
        <f t="shared" si="87"/>
        <v>45</v>
      </c>
      <c r="R52" s="1" t="str">
        <f t="shared" si="88"/>
        <v>Mumbai</v>
      </c>
      <c r="S52" s="277">
        <f t="shared" si="89"/>
        <v>61.84</v>
      </c>
      <c r="T52" s="277">
        <f ca="1" t="shared" si="90"/>
        <v>1.87</v>
      </c>
      <c r="U52" s="277" t="b">
        <f ca="1" t="shared" si="91"/>
        <v>0</v>
      </c>
      <c r="V52" s="277">
        <f ca="1" t="shared" si="92"/>
        <v>-7</v>
      </c>
      <c r="W52" s="277" t="b">
        <f ca="1" t="shared" si="93"/>
        <v>0</v>
      </c>
      <c r="X52" s="294" t="str">
        <f ca="1" t="shared" si="94"/>
        <v/>
      </c>
      <c r="Y52" s="1">
        <f t="shared" si="1"/>
        <v>85.12</v>
      </c>
      <c r="Z52" s="1">
        <f>IF($B52=0,"",RANK(Y52,Y$8:Y$73,0)+COUNTIF(Y$8:Y52,Y52)-1)</f>
        <v>8</v>
      </c>
      <c r="AA52" s="1">
        <f ca="1" t="shared" si="95"/>
        <v>7</v>
      </c>
      <c r="AB52" s="273">
        <f ca="1" t="shared" si="96"/>
        <v>14.77</v>
      </c>
      <c r="AC52" s="275">
        <f ca="1" t="shared" si="97"/>
        <v>6</v>
      </c>
      <c r="AD52" s="1">
        <f t="shared" si="98"/>
        <v>7</v>
      </c>
      <c r="AE52" s="269">
        <f t="shared" si="99"/>
        <v>45</v>
      </c>
      <c r="AF52" s="269">
        <f t="shared" si="100"/>
        <v>1</v>
      </c>
      <c r="AG52" s="269">
        <f t="shared" si="101"/>
        <v>1</v>
      </c>
      <c r="AH52" s="268">
        <f t="shared" si="102"/>
        <v>45</v>
      </c>
      <c r="AI52" s="1" t="str">
        <f t="shared" si="103"/>
        <v>Bogota</v>
      </c>
      <c r="AJ52" s="277">
        <f t="shared" si="104"/>
        <v>54.62</v>
      </c>
      <c r="AK52" s="277" t="str">
        <f ca="1" t="shared" si="105"/>
        <v/>
      </c>
      <c r="AL52" s="277" t="b">
        <f ca="1" t="shared" si="106"/>
        <v>0</v>
      </c>
      <c r="AM52" s="277" t="str">
        <f ca="1" t="shared" si="107"/>
        <v/>
      </c>
      <c r="AN52" s="277" t="b">
        <f ca="1" t="shared" si="108"/>
        <v>0</v>
      </c>
      <c r="AO52" s="294" t="str">
        <f ca="1" t="shared" si="109"/>
        <v> *</v>
      </c>
      <c r="AP52" s="1">
        <f t="shared" si="2"/>
        <v>74.15</v>
      </c>
      <c r="AQ52" s="1">
        <f>IF($B52=0,"",RANK(AP52,AP$8:AP$73,0)+COUNTIF(AP$8:AP52,AP52)-1)</f>
        <v>22</v>
      </c>
      <c r="AR52" s="1">
        <f ca="1" t="shared" si="110"/>
        <v>22</v>
      </c>
      <c r="AS52" s="273">
        <f ca="1" t="shared" si="111"/>
        <v>-1.08</v>
      </c>
      <c r="AT52" s="275">
        <f ca="1" t="shared" si="112"/>
        <v>-6</v>
      </c>
      <c r="AU52" s="1">
        <f t="shared" si="113"/>
        <v>17</v>
      </c>
      <c r="AV52" s="269">
        <f t="shared" si="114"/>
        <v>45</v>
      </c>
      <c r="AW52" s="269">
        <f t="shared" si="115"/>
        <v>2</v>
      </c>
      <c r="AX52" s="269">
        <f t="shared" si="116"/>
        <v>1</v>
      </c>
      <c r="AY52" s="268" t="str">
        <f t="shared" si="117"/>
        <v>=45</v>
      </c>
      <c r="AZ52" s="1" t="str">
        <f t="shared" si="118"/>
        <v>Doha</v>
      </c>
      <c r="BA52" s="277">
        <f t="shared" si="119"/>
        <v>62.6</v>
      </c>
      <c r="BB52" s="277">
        <f ca="1" t="shared" si="120"/>
        <v>5.25</v>
      </c>
      <c r="BC52" s="277" t="b">
        <f ca="1" t="shared" si="121"/>
        <v>0</v>
      </c>
      <c r="BD52" s="277">
        <f ca="1" t="shared" si="122"/>
        <v>-6</v>
      </c>
      <c r="BE52" s="277" t="b">
        <f ca="1" t="shared" si="123"/>
        <v>0</v>
      </c>
      <c r="BF52" s="294" t="str">
        <f ca="1" t="shared" si="124"/>
        <v/>
      </c>
      <c r="BG52" s="1">
        <f t="shared" si="3"/>
        <v>91.21</v>
      </c>
      <c r="BH52" s="1">
        <f>IF($B52=0,"",RANK(BG52,BG$8:BG$73,0)+COUNTIF(BG$8:BG52,BG52)-1)</f>
        <v>17</v>
      </c>
      <c r="BI52" s="1">
        <f ca="1" t="shared" si="125"/>
        <v>17</v>
      </c>
      <c r="BJ52" s="273">
        <f ca="1" t="shared" si="126"/>
        <v>3.26</v>
      </c>
      <c r="BK52" s="275">
        <f ca="1" t="shared" si="127"/>
        <v>-7</v>
      </c>
      <c r="BL52" s="1">
        <f t="shared" si="128"/>
        <v>12</v>
      </c>
      <c r="BM52" s="269">
        <f t="shared" si="129"/>
        <v>45</v>
      </c>
      <c r="BN52" s="269">
        <f t="shared" si="130"/>
        <v>1</v>
      </c>
      <c r="BO52" s="269">
        <f t="shared" si="131"/>
        <v>1</v>
      </c>
      <c r="BP52" s="268">
        <f t="shared" si="132"/>
        <v>45</v>
      </c>
      <c r="BQ52" s="1" t="str">
        <f t="shared" si="133"/>
        <v>Casablanca</v>
      </c>
      <c r="BR52" s="277">
        <f t="shared" si="134"/>
        <v>66.27</v>
      </c>
      <c r="BS52" s="277" t="str">
        <f ca="1" t="shared" si="135"/>
        <v/>
      </c>
      <c r="BT52" s="277" t="b">
        <f ca="1" t="shared" si="136"/>
        <v>0</v>
      </c>
      <c r="BU52" s="277" t="str">
        <f ca="1" t="shared" si="137"/>
        <v/>
      </c>
      <c r="BV52" s="277" t="b">
        <f ca="1" t="shared" si="138"/>
        <v>0</v>
      </c>
      <c r="BW52" s="294" t="str">
        <f ca="1" t="shared" si="139"/>
        <v> *</v>
      </c>
      <c r="BX52" s="1">
        <f t="shared" si="4"/>
        <v>83.74</v>
      </c>
      <c r="BY52" s="1">
        <f>IF($B52=0,"",RANK(BX52,BX$8:BX$73,0)+COUNTIF(BX$8:BX52,BX52)-1)</f>
        <v>19</v>
      </c>
      <c r="BZ52" s="1">
        <f ca="1" t="shared" si="140"/>
        <v>19</v>
      </c>
      <c r="CA52" s="273">
        <f ca="1" t="shared" si="141"/>
        <v>-0.01</v>
      </c>
      <c r="CB52" s="275">
        <f ca="1" t="shared" si="142"/>
        <v>-8</v>
      </c>
      <c r="CC52" s="1">
        <f t="shared" si="143"/>
        <v>34</v>
      </c>
      <c r="CD52" s="269">
        <f t="shared" si="144"/>
        <v>45</v>
      </c>
      <c r="CE52" s="269">
        <f t="shared" si="145"/>
        <v>1</v>
      </c>
      <c r="CF52" s="269">
        <f t="shared" si="146"/>
        <v>1</v>
      </c>
      <c r="CG52" s="268">
        <f t="shared" si="147"/>
        <v>45</v>
      </c>
      <c r="CH52" s="1" t="str">
        <f t="shared" si="148"/>
        <v>Mexico City</v>
      </c>
      <c r="CI52" s="277">
        <f t="shared" si="149"/>
        <v>64.62</v>
      </c>
      <c r="CJ52" s="277">
        <f ca="1" t="shared" si="150"/>
        <v>2.51</v>
      </c>
      <c r="CK52" s="277" t="b">
        <f ca="1" t="shared" si="151"/>
        <v>0</v>
      </c>
      <c r="CL52" s="277">
        <f ca="1" t="shared" si="152"/>
        <v>-9</v>
      </c>
      <c r="CM52" s="277" t="b">
        <f ca="1" t="shared" si="153"/>
        <v>0</v>
      </c>
      <c r="CN52" s="294" t="str">
        <f ca="1" t="shared" si="154"/>
        <v/>
      </c>
    </row>
    <row r="53" spans="1:92">
      <c r="A53" s="1">
        <f>tblTerritories!A48</f>
        <v>46</v>
      </c>
      <c r="B53" s="1">
        <f>IF(tblTerritories!F48="",0,tblTerritories!F48)</f>
        <v>1</v>
      </c>
      <c r="C53" s="1" t="str">
        <f>tblTerritories!C48</f>
        <v>Santiago</v>
      </c>
      <c r="D53" s="1">
        <f>tblTerritories!D48</f>
        <v>1</v>
      </c>
      <c r="E53" s="1">
        <f>tblTerritories!K48</f>
        <v>0</v>
      </c>
      <c r="F53" s="1">
        <f>IF($A53="","",VLOOKUP(C53,tblTerritories!$J$3:$P$100,7,FALSE)+10)</f>
        <v>12</v>
      </c>
      <c r="H53" s="1">
        <f t="shared" si="0"/>
        <v>70.03</v>
      </c>
      <c r="I53" s="1">
        <f>IF($B53=0,"",RANK(H53,H$8:H$73,0)+COUNTIF(H$8:H53,H53)-1)</f>
        <v>35</v>
      </c>
      <c r="J53" s="1">
        <f ca="1" t="shared" si="80"/>
        <v>35</v>
      </c>
      <c r="K53" s="273">
        <f ca="1" t="shared" si="81"/>
        <v>2.49</v>
      </c>
      <c r="L53" s="275">
        <f ca="1" t="shared" si="82"/>
        <v>-6</v>
      </c>
      <c r="M53" s="1">
        <f t="shared" si="83"/>
        <v>7</v>
      </c>
      <c r="N53" s="269">
        <f t="shared" si="84"/>
        <v>46</v>
      </c>
      <c r="O53" s="269">
        <f t="shared" si="85"/>
        <v>1</v>
      </c>
      <c r="P53" s="269">
        <f t="shared" si="86"/>
        <v>1</v>
      </c>
      <c r="Q53" s="268">
        <f t="shared" si="87"/>
        <v>46</v>
      </c>
      <c r="R53" s="1" t="str">
        <f t="shared" si="88"/>
        <v>Bogota</v>
      </c>
      <c r="S53" s="277">
        <f t="shared" si="89"/>
        <v>61.36</v>
      </c>
      <c r="T53" s="277" t="str">
        <f ca="1" t="shared" si="90"/>
        <v/>
      </c>
      <c r="U53" s="277" t="b">
        <f ca="1" t="shared" si="91"/>
        <v>0</v>
      </c>
      <c r="V53" s="277" t="str">
        <f ca="1" t="shared" si="92"/>
        <v/>
      </c>
      <c r="W53" s="277" t="b">
        <f ca="1" t="shared" si="93"/>
        <v>0</v>
      </c>
      <c r="X53" s="294" t="str">
        <f ca="1" t="shared" si="94"/>
        <v> *</v>
      </c>
      <c r="Y53" s="1">
        <f t="shared" si="1"/>
        <v>60.57</v>
      </c>
      <c r="Z53" s="1">
        <f>IF($B53=0,"",RANK(Y53,Y$8:Y$73,0)+COUNTIF(Y$8:Y53,Y53)-1)</f>
        <v>39</v>
      </c>
      <c r="AA53" s="1">
        <f ca="1" t="shared" si="95"/>
        <v>39</v>
      </c>
      <c r="AB53" s="273">
        <f ca="1" t="shared" si="96"/>
        <v>-6.44</v>
      </c>
      <c r="AC53" s="275">
        <f ca="1" t="shared" si="97"/>
        <v>-21</v>
      </c>
      <c r="AD53" s="1">
        <f t="shared" si="98"/>
        <v>15</v>
      </c>
      <c r="AE53" s="269">
        <f t="shared" si="99"/>
        <v>46</v>
      </c>
      <c r="AF53" s="269">
        <f t="shared" si="100"/>
        <v>2</v>
      </c>
      <c r="AG53" s="269">
        <f t="shared" si="101"/>
        <v>1</v>
      </c>
      <c r="AH53" s="268" t="str">
        <f t="shared" si="102"/>
        <v>=46</v>
      </c>
      <c r="AI53" s="1" t="str">
        <f t="shared" si="103"/>
        <v>Delhi</v>
      </c>
      <c r="AJ53" s="277">
        <f t="shared" si="104"/>
        <v>54.61</v>
      </c>
      <c r="AK53" s="277">
        <f ca="1" t="shared" si="105"/>
        <v>-5.22</v>
      </c>
      <c r="AL53" s="277" t="b">
        <f ca="1" t="shared" si="106"/>
        <v>0</v>
      </c>
      <c r="AM53" s="277">
        <f ca="1" t="shared" si="107"/>
        <v>-16</v>
      </c>
      <c r="AN53" s="277" t="b">
        <f ca="1" t="shared" si="108"/>
        <v>0</v>
      </c>
      <c r="AO53" s="294" t="str">
        <f ca="1" t="shared" si="109"/>
        <v/>
      </c>
      <c r="AP53" s="1">
        <f t="shared" si="2"/>
        <v>67.17</v>
      </c>
      <c r="AQ53" s="1">
        <f>IF($B53=0,"",RANK(AP53,AP$8:AP$73,0)+COUNTIF(AP$8:AP53,AP53)-1)</f>
        <v>35</v>
      </c>
      <c r="AR53" s="1">
        <f ca="1" t="shared" si="110"/>
        <v>35</v>
      </c>
      <c r="AS53" s="273">
        <f ca="1" t="shared" si="111"/>
        <v>-0.27</v>
      </c>
      <c r="AT53" s="275">
        <f ca="1" t="shared" si="112"/>
        <v>-7</v>
      </c>
      <c r="AU53" s="1">
        <f t="shared" si="113"/>
        <v>21</v>
      </c>
      <c r="AV53" s="269">
        <f t="shared" si="114"/>
        <v>45</v>
      </c>
      <c r="AW53" s="269">
        <f t="shared" si="115"/>
        <v>2</v>
      </c>
      <c r="AX53" s="269">
        <f t="shared" si="116"/>
        <v>1</v>
      </c>
      <c r="AY53" s="268" t="str">
        <f t="shared" si="117"/>
        <v>=45</v>
      </c>
      <c r="AZ53" s="1" t="str">
        <f t="shared" si="118"/>
        <v>Istanbul</v>
      </c>
      <c r="BA53" s="277">
        <f t="shared" si="119"/>
        <v>62.6</v>
      </c>
      <c r="BB53" s="277">
        <f ca="1" t="shared" si="120"/>
        <v>8.95</v>
      </c>
      <c r="BC53" s="277" t="b">
        <f ca="1" t="shared" si="121"/>
        <v>0</v>
      </c>
      <c r="BD53" s="277">
        <f ca="1" t="shared" si="122"/>
        <v>-2</v>
      </c>
      <c r="BE53" s="277" t="b">
        <f ca="1" t="shared" si="123"/>
        <v>0</v>
      </c>
      <c r="BF53" s="294" t="str">
        <f ca="1" t="shared" si="124"/>
        <v/>
      </c>
      <c r="BG53" s="1">
        <f t="shared" si="3"/>
        <v>81.35</v>
      </c>
      <c r="BH53" s="1">
        <f>IF($B53=0,"",RANK(BG53,BG$8:BG$73,0)+COUNTIF(BG$8:BG53,BG53)-1)</f>
        <v>31</v>
      </c>
      <c r="BI53" s="1">
        <f ca="1" t="shared" si="125"/>
        <v>31</v>
      </c>
      <c r="BJ53" s="273">
        <f ca="1" t="shared" si="126"/>
        <v>6.17</v>
      </c>
      <c r="BK53" s="275">
        <f ca="1" t="shared" si="127"/>
        <v>1</v>
      </c>
      <c r="BL53" s="1">
        <f t="shared" si="128"/>
        <v>19</v>
      </c>
      <c r="BM53" s="269">
        <f t="shared" si="129"/>
        <v>46</v>
      </c>
      <c r="BN53" s="269">
        <f t="shared" si="130"/>
        <v>1</v>
      </c>
      <c r="BO53" s="269">
        <f t="shared" si="131"/>
        <v>1</v>
      </c>
      <c r="BP53" s="268">
        <f t="shared" si="132"/>
        <v>46</v>
      </c>
      <c r="BQ53" s="1" t="str">
        <f t="shared" si="133"/>
        <v>Ho Chi Minh City</v>
      </c>
      <c r="BR53" s="277">
        <f t="shared" si="134"/>
        <v>65.73</v>
      </c>
      <c r="BS53" s="277">
        <f ca="1" t="shared" si="135"/>
        <v>13.29</v>
      </c>
      <c r="BT53" s="277" t="b">
        <f ca="1" t="shared" si="136"/>
        <v>0</v>
      </c>
      <c r="BU53" s="277">
        <f ca="1" t="shared" si="137"/>
        <v>0</v>
      </c>
      <c r="BV53" s="277" t="b">
        <f ca="1" t="shared" si="138"/>
        <v>0</v>
      </c>
      <c r="BW53" s="294" t="str">
        <f ca="1" t="shared" si="139"/>
        <v/>
      </c>
      <c r="BX53" s="1">
        <f t="shared" si="4"/>
        <v>71.02</v>
      </c>
      <c r="BY53" s="1">
        <f>IF($B53=0,"",RANK(BX53,BX$8:BX$73,0)+COUNTIF(BX$8:BX53,BX53)-1)</f>
        <v>36</v>
      </c>
      <c r="BZ53" s="1">
        <f ca="1" t="shared" si="140"/>
        <v>36</v>
      </c>
      <c r="CA53" s="273">
        <f ca="1" t="shared" si="141"/>
        <v>10.5</v>
      </c>
      <c r="CB53" s="275">
        <f ca="1" t="shared" si="142"/>
        <v>3</v>
      </c>
      <c r="CC53" s="1">
        <f t="shared" si="143"/>
        <v>12</v>
      </c>
      <c r="CD53" s="269">
        <f t="shared" si="144"/>
        <v>46</v>
      </c>
      <c r="CE53" s="269">
        <f t="shared" si="145"/>
        <v>1</v>
      </c>
      <c r="CF53" s="269">
        <f t="shared" si="146"/>
        <v>1</v>
      </c>
      <c r="CG53" s="268">
        <f t="shared" si="147"/>
        <v>46</v>
      </c>
      <c r="CH53" s="1" t="str">
        <f t="shared" si="148"/>
        <v>Casablanca</v>
      </c>
      <c r="CI53" s="277">
        <f t="shared" si="149"/>
        <v>62.63</v>
      </c>
      <c r="CJ53" s="277" t="str">
        <f ca="1" t="shared" si="150"/>
        <v/>
      </c>
      <c r="CK53" s="277" t="b">
        <f ca="1" t="shared" si="151"/>
        <v>0</v>
      </c>
      <c r="CL53" s="277" t="str">
        <f ca="1" t="shared" si="152"/>
        <v/>
      </c>
      <c r="CM53" s="277" t="b">
        <f ca="1" t="shared" si="153"/>
        <v>0</v>
      </c>
      <c r="CN53" s="294" t="str">
        <f ca="1" t="shared" si="154"/>
        <v> *</v>
      </c>
    </row>
    <row r="54" spans="1:92">
      <c r="A54" s="1">
        <f>tblTerritories!A49</f>
        <v>47</v>
      </c>
      <c r="B54" s="1">
        <f>IF(tblTerritories!F49="",0,tblTerritories!F49)</f>
        <v>1</v>
      </c>
      <c r="C54" s="1" t="str">
        <f>tblTerritories!C49</f>
        <v>Sao Paulo</v>
      </c>
      <c r="D54" s="1">
        <f>tblTerritories!D49</f>
        <v>1</v>
      </c>
      <c r="E54" s="1">
        <f>tblTerritories!K49</f>
        <v>0</v>
      </c>
      <c r="F54" s="1">
        <f>IF($A54="","",VLOOKUP(C54,tblTerritories!$J$3:$P$100,7,FALSE)+10)</f>
        <v>12</v>
      </c>
      <c r="H54" s="1">
        <f t="shared" si="0"/>
        <v>66.3</v>
      </c>
      <c r="I54" s="1">
        <f>IF($B54=0,"",RANK(H54,H$8:H$73,0)+COUNTIF(H$8:H54,H54)-1)</f>
        <v>38</v>
      </c>
      <c r="J54" s="1">
        <f ca="1" t="shared" si="80"/>
        <v>38</v>
      </c>
      <c r="K54" s="273">
        <f ca="1" t="shared" si="81"/>
        <v>3.75</v>
      </c>
      <c r="L54" s="275">
        <f ca="1" t="shared" si="82"/>
        <v>-4</v>
      </c>
      <c r="M54" s="1">
        <f t="shared" si="83"/>
        <v>43</v>
      </c>
      <c r="N54" s="269">
        <f t="shared" si="84"/>
        <v>47</v>
      </c>
      <c r="O54" s="269">
        <f t="shared" si="85"/>
        <v>1</v>
      </c>
      <c r="P54" s="269">
        <f t="shared" si="86"/>
        <v>1</v>
      </c>
      <c r="Q54" s="268">
        <f t="shared" si="87"/>
        <v>47</v>
      </c>
      <c r="R54" s="1" t="str">
        <f t="shared" si="88"/>
        <v>Riyadh</v>
      </c>
      <c r="S54" s="277">
        <f t="shared" si="89"/>
        <v>61.23</v>
      </c>
      <c r="T54" s="277">
        <f ca="1" t="shared" si="90"/>
        <v>5.39</v>
      </c>
      <c r="U54" s="277" t="b">
        <f ca="1" t="shared" si="91"/>
        <v>0</v>
      </c>
      <c r="V54" s="277">
        <f ca="1" t="shared" si="92"/>
        <v>-4</v>
      </c>
      <c r="W54" s="277" t="b">
        <f ca="1" t="shared" si="93"/>
        <v>0</v>
      </c>
      <c r="X54" s="294" t="str">
        <f ca="1" t="shared" si="94"/>
        <v/>
      </c>
      <c r="Y54" s="1">
        <f t="shared" si="1"/>
        <v>51.96</v>
      </c>
      <c r="Z54" s="1">
        <f>IF($B54=0,"",RANK(Y54,Y$8:Y$73,0)+COUNTIF(Y$8:Y54,Y54)-1)</f>
        <v>50</v>
      </c>
      <c r="AA54" s="1">
        <f ca="1" t="shared" si="95"/>
        <v>49</v>
      </c>
      <c r="AB54" s="273">
        <f ca="1" t="shared" si="96"/>
        <v>0.53</v>
      </c>
      <c r="AC54" s="275">
        <f ca="1" t="shared" si="97"/>
        <v>-13</v>
      </c>
      <c r="AD54" s="1">
        <f t="shared" si="98"/>
        <v>37</v>
      </c>
      <c r="AE54" s="269">
        <f t="shared" si="99"/>
        <v>46</v>
      </c>
      <c r="AF54" s="269">
        <f t="shared" si="100"/>
        <v>2</v>
      </c>
      <c r="AG54" s="269">
        <f t="shared" si="101"/>
        <v>1</v>
      </c>
      <c r="AH54" s="268" t="str">
        <f t="shared" si="102"/>
        <v>=46</v>
      </c>
      <c r="AI54" s="1" t="str">
        <f t="shared" si="103"/>
        <v>Mumbai</v>
      </c>
      <c r="AJ54" s="277">
        <f t="shared" si="104"/>
        <v>54.61</v>
      </c>
      <c r="AK54" s="277">
        <f ca="1" t="shared" si="105"/>
        <v>-9.96</v>
      </c>
      <c r="AL54" s="277" t="b">
        <f ca="1" t="shared" si="106"/>
        <v>0</v>
      </c>
      <c r="AM54" s="277">
        <f ca="1" t="shared" si="107"/>
        <v>-24</v>
      </c>
      <c r="AN54" s="277" t="b">
        <f ca="1" t="shared" si="108"/>
        <v>0</v>
      </c>
      <c r="AO54" s="294" t="str">
        <f ca="1" t="shared" si="109"/>
        <v/>
      </c>
      <c r="AP54" s="1">
        <f t="shared" si="2"/>
        <v>63.74</v>
      </c>
      <c r="AQ54" s="1">
        <f>IF($B54=0,"",RANK(AP54,AP$8:AP$73,0)+COUNTIF(AP$8:AP54,AP54)-1)</f>
        <v>42</v>
      </c>
      <c r="AR54" s="1">
        <f ca="1" t="shared" si="110"/>
        <v>42</v>
      </c>
      <c r="AS54" s="273">
        <f ca="1" t="shared" si="111"/>
        <v>-0.18</v>
      </c>
      <c r="AT54" s="275">
        <f ca="1" t="shared" si="112"/>
        <v>-9</v>
      </c>
      <c r="AU54" s="1">
        <f t="shared" si="113"/>
        <v>28</v>
      </c>
      <c r="AV54" s="269">
        <f t="shared" si="114"/>
        <v>47</v>
      </c>
      <c r="AW54" s="269">
        <f t="shared" si="115"/>
        <v>1</v>
      </c>
      <c r="AX54" s="269">
        <f t="shared" si="116"/>
        <v>1</v>
      </c>
      <c r="AY54" s="268">
        <f t="shared" si="117"/>
        <v>47</v>
      </c>
      <c r="AZ54" s="1" t="str">
        <f t="shared" si="118"/>
        <v>Lima</v>
      </c>
      <c r="BA54" s="277">
        <f t="shared" si="119"/>
        <v>62.48</v>
      </c>
      <c r="BB54" s="277">
        <f ca="1" t="shared" si="120"/>
        <v>3.07</v>
      </c>
      <c r="BC54" s="277" t="b">
        <f ca="1" t="shared" si="121"/>
        <v>0</v>
      </c>
      <c r="BD54" s="277">
        <f ca="1" t="shared" si="122"/>
        <v>-11</v>
      </c>
      <c r="BE54" s="277" t="b">
        <f ca="1" t="shared" si="123"/>
        <v>0</v>
      </c>
      <c r="BF54" s="294" t="str">
        <f ca="1" t="shared" si="124"/>
        <v/>
      </c>
      <c r="BG54" s="1">
        <f t="shared" si="3"/>
        <v>79.44</v>
      </c>
      <c r="BH54" s="1">
        <f>IF($B54=0,"",RANK(BG54,BG$8:BG$73,0)+COUNTIF(BG$8:BG54,BG54)-1)</f>
        <v>33</v>
      </c>
      <c r="BI54" s="1">
        <f ca="1" t="shared" si="125"/>
        <v>33</v>
      </c>
      <c r="BJ54" s="273">
        <f ca="1" t="shared" si="126"/>
        <v>1.38</v>
      </c>
      <c r="BK54" s="275">
        <f ca="1" t="shared" si="127"/>
        <v>-6</v>
      </c>
      <c r="BL54" s="1">
        <f t="shared" si="128"/>
        <v>28</v>
      </c>
      <c r="BM54" s="269">
        <f t="shared" si="129"/>
        <v>47</v>
      </c>
      <c r="BN54" s="269">
        <f t="shared" si="130"/>
        <v>1</v>
      </c>
      <c r="BO54" s="269">
        <f t="shared" si="131"/>
        <v>1</v>
      </c>
      <c r="BP54" s="268">
        <f t="shared" si="132"/>
        <v>47</v>
      </c>
      <c r="BQ54" s="1" t="str">
        <f t="shared" si="133"/>
        <v>Lima</v>
      </c>
      <c r="BR54" s="277">
        <f t="shared" si="134"/>
        <v>64.47</v>
      </c>
      <c r="BS54" s="277">
        <f ca="1" t="shared" si="135"/>
        <v>-14.45</v>
      </c>
      <c r="BT54" s="277" t="b">
        <f ca="1" t="shared" si="136"/>
        <v>0</v>
      </c>
      <c r="BU54" s="277">
        <f ca="1" t="shared" si="137"/>
        <v>-23</v>
      </c>
      <c r="BV54" s="277" t="b">
        <f ca="1" t="shared" si="138"/>
        <v>0</v>
      </c>
      <c r="BW54" s="294" t="str">
        <f ca="1" t="shared" si="139"/>
        <v/>
      </c>
      <c r="BX54" s="1">
        <f t="shared" si="4"/>
        <v>70.08</v>
      </c>
      <c r="BY54" s="1">
        <f>IF($B54=0,"",RANK(BX54,BX$8:BX$73,0)+COUNTIF(BX$8:BX54,BX54)-1)</f>
        <v>37</v>
      </c>
      <c r="BZ54" s="1">
        <f ca="1" t="shared" si="140"/>
        <v>37</v>
      </c>
      <c r="CA54" s="273">
        <f ca="1" t="shared" si="141"/>
        <v>13.28</v>
      </c>
      <c r="CB54" s="275">
        <f ca="1" t="shared" si="142"/>
        <v>6</v>
      </c>
      <c r="CC54" s="1">
        <f t="shared" si="143"/>
        <v>43</v>
      </c>
      <c r="CD54" s="269">
        <f t="shared" si="144"/>
        <v>47</v>
      </c>
      <c r="CE54" s="269">
        <f t="shared" si="145"/>
        <v>1</v>
      </c>
      <c r="CF54" s="269">
        <f t="shared" si="146"/>
        <v>1</v>
      </c>
      <c r="CG54" s="268">
        <f t="shared" si="147"/>
        <v>47</v>
      </c>
      <c r="CH54" s="1" t="str">
        <f t="shared" si="148"/>
        <v>Riyadh</v>
      </c>
      <c r="CI54" s="277">
        <f t="shared" si="149"/>
        <v>61.04</v>
      </c>
      <c r="CJ54" s="277">
        <f ca="1" t="shared" si="150"/>
        <v>6.34</v>
      </c>
      <c r="CK54" s="277" t="b">
        <f ca="1" t="shared" si="151"/>
        <v>0</v>
      </c>
      <c r="CL54" s="277">
        <f ca="1" t="shared" si="152"/>
        <v>-2</v>
      </c>
      <c r="CM54" s="277" t="b">
        <f ca="1" t="shared" si="153"/>
        <v>0</v>
      </c>
      <c r="CN54" s="294" t="str">
        <f ca="1" t="shared" si="154"/>
        <v/>
      </c>
    </row>
    <row r="55" spans="1:92">
      <c r="A55" s="1">
        <f>tblTerritories!A50</f>
        <v>48</v>
      </c>
      <c r="B55" s="1">
        <f>IF(tblTerritories!F50="",0,tblTerritories!F50)</f>
        <v>1</v>
      </c>
      <c r="C55" s="1" t="str">
        <f>tblTerritories!C50</f>
        <v>Seoul</v>
      </c>
      <c r="D55" s="1">
        <f>tblTerritories!D50</f>
        <v>1</v>
      </c>
      <c r="E55" s="1">
        <f>tblTerritories!K50</f>
        <v>0</v>
      </c>
      <c r="F55" s="1">
        <f>IF($A55="","",VLOOKUP(C55,tblTerritories!$J$3:$P$100,7,FALSE)+10)</f>
        <v>16</v>
      </c>
      <c r="H55" s="1">
        <f t="shared" si="0"/>
        <v>83.61</v>
      </c>
      <c r="I55" s="1">
        <f>IF($B55=0,"",RANK(H55,H$8:H$73,0)+COUNTIF(H$8:H55,H55)-1)</f>
        <v>14</v>
      </c>
      <c r="J55" s="1">
        <f ca="1" t="shared" si="80"/>
        <v>14</v>
      </c>
      <c r="K55" s="273">
        <f ca="1" t="shared" si="81"/>
        <v>9.7</v>
      </c>
      <c r="L55" s="275">
        <f ca="1" t="shared" si="82"/>
        <v>6</v>
      </c>
      <c r="M55" s="1">
        <f t="shared" si="83"/>
        <v>12</v>
      </c>
      <c r="N55" s="269">
        <f t="shared" si="84"/>
        <v>48</v>
      </c>
      <c r="O55" s="269">
        <f t="shared" si="85"/>
        <v>1</v>
      </c>
      <c r="P55" s="269">
        <f t="shared" si="86"/>
        <v>1</v>
      </c>
      <c r="Q55" s="268">
        <f t="shared" si="87"/>
        <v>48</v>
      </c>
      <c r="R55" s="1" t="str">
        <f t="shared" si="88"/>
        <v>Casablanca</v>
      </c>
      <c r="S55" s="277">
        <f t="shared" si="89"/>
        <v>61.2</v>
      </c>
      <c r="T55" s="277" t="str">
        <f ca="1" t="shared" si="90"/>
        <v/>
      </c>
      <c r="U55" s="277" t="b">
        <f ca="1" t="shared" si="91"/>
        <v>0</v>
      </c>
      <c r="V55" s="277" t="str">
        <f ca="1" t="shared" si="92"/>
        <v/>
      </c>
      <c r="W55" s="277" t="b">
        <f ca="1" t="shared" si="93"/>
        <v>0</v>
      </c>
      <c r="X55" s="294" t="str">
        <f ca="1" t="shared" si="94"/>
        <v> *</v>
      </c>
      <c r="Y55" s="1">
        <f t="shared" si="1"/>
        <v>78.42</v>
      </c>
      <c r="Z55" s="1">
        <f>IF($B55=0,"",RANK(Y55,Y$8:Y$73,0)+COUNTIF(Y$8:Y55,Y55)-1)</f>
        <v>18</v>
      </c>
      <c r="AA55" s="1">
        <f ca="1" t="shared" si="95"/>
        <v>18</v>
      </c>
      <c r="AB55" s="273">
        <f ca="1" t="shared" si="96"/>
        <v>21.46</v>
      </c>
      <c r="AC55" s="275">
        <f ca="1" t="shared" si="97"/>
        <v>16</v>
      </c>
      <c r="AD55" s="1">
        <f t="shared" si="98"/>
        <v>34</v>
      </c>
      <c r="AE55" s="269">
        <f t="shared" si="99"/>
        <v>48</v>
      </c>
      <c r="AF55" s="269">
        <f t="shared" si="100"/>
        <v>1</v>
      </c>
      <c r="AG55" s="269">
        <f t="shared" si="101"/>
        <v>1</v>
      </c>
      <c r="AH55" s="268">
        <f t="shared" si="102"/>
        <v>48</v>
      </c>
      <c r="AI55" s="1" t="str">
        <f t="shared" si="103"/>
        <v>Mexico City</v>
      </c>
      <c r="AJ55" s="277">
        <f t="shared" si="104"/>
        <v>53.69</v>
      </c>
      <c r="AK55" s="277">
        <f ca="1" t="shared" si="105"/>
        <v>-9</v>
      </c>
      <c r="AL55" s="277" t="b">
        <f ca="1" t="shared" si="106"/>
        <v>0</v>
      </c>
      <c r="AM55" s="277">
        <f ca="1" t="shared" si="107"/>
        <v>-24</v>
      </c>
      <c r="AN55" s="277" t="b">
        <f ca="1" t="shared" si="108"/>
        <v>0</v>
      </c>
      <c r="AO55" s="294" t="str">
        <f ca="1" t="shared" si="109"/>
        <v/>
      </c>
      <c r="AP55" s="1">
        <f t="shared" si="2"/>
        <v>82.72</v>
      </c>
      <c r="AQ55" s="1">
        <f>IF($B55=0,"",RANK(AP55,AP$8:AP$73,0)+COUNTIF(AP$8:AP55,AP55)-1)</f>
        <v>5</v>
      </c>
      <c r="AR55" s="1">
        <f ca="1" t="shared" si="110"/>
        <v>5</v>
      </c>
      <c r="AS55" s="273">
        <f ca="1" t="shared" si="111"/>
        <v>7.1</v>
      </c>
      <c r="AT55" s="275">
        <f ca="1" t="shared" si="112"/>
        <v>10</v>
      </c>
      <c r="AU55" s="1">
        <f t="shared" si="113"/>
        <v>19</v>
      </c>
      <c r="AV55" s="269">
        <f t="shared" si="114"/>
        <v>48</v>
      </c>
      <c r="AW55" s="269">
        <f t="shared" si="115"/>
        <v>1</v>
      </c>
      <c r="AX55" s="269">
        <f t="shared" si="116"/>
        <v>1</v>
      </c>
      <c r="AY55" s="268">
        <f t="shared" si="117"/>
        <v>48</v>
      </c>
      <c r="AZ55" s="1" t="str">
        <f t="shared" si="118"/>
        <v>Ho Chi Minh City</v>
      </c>
      <c r="BA55" s="277">
        <f t="shared" si="119"/>
        <v>61.29</v>
      </c>
      <c r="BB55" s="277">
        <f ca="1" t="shared" si="120"/>
        <v>8.28</v>
      </c>
      <c r="BC55" s="277" t="b">
        <f ca="1" t="shared" si="121"/>
        <v>0</v>
      </c>
      <c r="BD55" s="277">
        <f ca="1" t="shared" si="122"/>
        <v>-4</v>
      </c>
      <c r="BE55" s="277" t="b">
        <f ca="1" t="shared" si="123"/>
        <v>0</v>
      </c>
      <c r="BF55" s="294" t="str">
        <f ca="1" t="shared" si="124"/>
        <v/>
      </c>
      <c r="BG55" s="1">
        <f t="shared" si="3"/>
        <v>87.93</v>
      </c>
      <c r="BH55" s="1">
        <f>IF($B55=0,"",RANK(BG55,BG$8:BG$73,0)+COUNTIF(BG$8:BG55,BG55)-1)</f>
        <v>25</v>
      </c>
      <c r="BI55" s="1">
        <f ca="1" t="shared" si="125"/>
        <v>25</v>
      </c>
      <c r="BJ55" s="273">
        <f ca="1" t="shared" si="126"/>
        <v>0.95</v>
      </c>
      <c r="BK55" s="275">
        <f ca="1" t="shared" si="127"/>
        <v>-12</v>
      </c>
      <c r="BL55" s="1">
        <f t="shared" si="128"/>
        <v>54</v>
      </c>
      <c r="BM55" s="269">
        <f t="shared" si="129"/>
        <v>48</v>
      </c>
      <c r="BN55" s="269">
        <f t="shared" si="130"/>
        <v>1</v>
      </c>
      <c r="BO55" s="269">
        <f t="shared" si="131"/>
        <v>1</v>
      </c>
      <c r="BP55" s="268">
        <f t="shared" si="132"/>
        <v>48</v>
      </c>
      <c r="BQ55" s="1" t="str">
        <f t="shared" si="133"/>
        <v>Tehran</v>
      </c>
      <c r="BR55" s="277">
        <f t="shared" si="134"/>
        <v>63.95</v>
      </c>
      <c r="BS55" s="277">
        <f ca="1" t="shared" si="135"/>
        <v>-2.01</v>
      </c>
      <c r="BT55" s="277" t="b">
        <f ca="1" t="shared" si="136"/>
        <v>0</v>
      </c>
      <c r="BU55" s="277">
        <f ca="1" t="shared" si="137"/>
        <v>-10</v>
      </c>
      <c r="BV55" s="277" t="b">
        <f ca="1" t="shared" si="138"/>
        <v>0</v>
      </c>
      <c r="BW55" s="294" t="str">
        <f ca="1" t="shared" si="139"/>
        <v/>
      </c>
      <c r="BX55" s="1">
        <f t="shared" si="4"/>
        <v>85.34</v>
      </c>
      <c r="BY55" s="1">
        <f>IF($B55=0,"",RANK(BX55,BX$8:BX$73,0)+COUNTIF(BX$8:BX55,BX55)-1)</f>
        <v>16</v>
      </c>
      <c r="BZ55" s="1">
        <f ca="1" t="shared" si="140"/>
        <v>16</v>
      </c>
      <c r="CA55" s="273">
        <f ca="1" t="shared" si="141"/>
        <v>9.27</v>
      </c>
      <c r="CB55" s="275">
        <f ca="1" t="shared" si="142"/>
        <v>6</v>
      </c>
      <c r="CC55" s="1">
        <f t="shared" si="143"/>
        <v>28</v>
      </c>
      <c r="CD55" s="269">
        <f t="shared" si="144"/>
        <v>48</v>
      </c>
      <c r="CE55" s="269">
        <f t="shared" si="145"/>
        <v>1</v>
      </c>
      <c r="CF55" s="269">
        <f t="shared" si="146"/>
        <v>1</v>
      </c>
      <c r="CG55" s="268">
        <f t="shared" si="147"/>
        <v>48</v>
      </c>
      <c r="CH55" s="1" t="str">
        <f t="shared" si="148"/>
        <v>Lima</v>
      </c>
      <c r="CI55" s="277">
        <f t="shared" si="149"/>
        <v>60.87</v>
      </c>
      <c r="CJ55" s="277">
        <f ca="1" t="shared" si="150"/>
        <v>-9.98</v>
      </c>
      <c r="CK55" s="277" t="b">
        <f ca="1" t="shared" si="151"/>
        <v>0</v>
      </c>
      <c r="CL55" s="277">
        <f ca="1" t="shared" si="152"/>
        <v>-23</v>
      </c>
      <c r="CM55" s="277" t="b">
        <f ca="1" t="shared" si="153"/>
        <v>0</v>
      </c>
      <c r="CN55" s="294" t="str">
        <f ca="1" t="shared" si="154"/>
        <v/>
      </c>
    </row>
    <row r="56" spans="1:92">
      <c r="A56" s="1">
        <f>tblTerritories!A51</f>
        <v>49</v>
      </c>
      <c r="B56" s="1">
        <f>IF(tblTerritories!F51="",0,tblTerritories!F51)</f>
        <v>1</v>
      </c>
      <c r="C56" s="1" t="str">
        <f>tblTerritories!C51</f>
        <v>Shanghai</v>
      </c>
      <c r="D56" s="1">
        <f>tblTerritories!D51</f>
        <v>1</v>
      </c>
      <c r="E56" s="1">
        <f>tblTerritories!K51</f>
        <v>0</v>
      </c>
      <c r="F56" s="1">
        <f>IF($A56="","",VLOOKUP(C56,tblTerritories!$J$3:$P$100,7,FALSE)+10)</f>
        <v>17</v>
      </c>
      <c r="H56" s="1">
        <f t="shared" si="0"/>
        <v>70.93</v>
      </c>
      <c r="I56" s="1">
        <f>IF($B56=0,"",RANK(H56,H$8:H$73,0)+COUNTIF(H$8:H56,H56)-1)</f>
        <v>34</v>
      </c>
      <c r="J56" s="1">
        <f ca="1" t="shared" si="80"/>
        <v>34</v>
      </c>
      <c r="K56" s="273">
        <f ca="1" t="shared" si="81"/>
        <v>4.4</v>
      </c>
      <c r="L56" s="275">
        <f ca="1" t="shared" si="82"/>
        <v>-4</v>
      </c>
      <c r="M56" s="1">
        <f t="shared" si="83"/>
        <v>4</v>
      </c>
      <c r="N56" s="269">
        <f t="shared" si="84"/>
        <v>49</v>
      </c>
      <c r="O56" s="269">
        <f t="shared" si="85"/>
        <v>1</v>
      </c>
      <c r="P56" s="269">
        <f t="shared" si="86"/>
        <v>1</v>
      </c>
      <c r="Q56" s="268">
        <f t="shared" si="87"/>
        <v>49</v>
      </c>
      <c r="R56" s="1" t="str">
        <f t="shared" si="88"/>
        <v>Bangkok</v>
      </c>
      <c r="S56" s="277">
        <f t="shared" si="89"/>
        <v>60.05</v>
      </c>
      <c r="T56" s="277">
        <f ca="1" t="shared" si="90"/>
        <v>2.57</v>
      </c>
      <c r="U56" s="277" t="b">
        <f ca="1" t="shared" si="91"/>
        <v>0</v>
      </c>
      <c r="V56" s="277">
        <f ca="1" t="shared" si="92"/>
        <v>-7</v>
      </c>
      <c r="W56" s="277" t="b">
        <f ca="1" t="shared" si="93"/>
        <v>0</v>
      </c>
      <c r="X56" s="294" t="str">
        <f ca="1" t="shared" si="94"/>
        <v/>
      </c>
      <c r="Y56" s="1">
        <f t="shared" si="1"/>
        <v>59.42</v>
      </c>
      <c r="Z56" s="1">
        <f>IF($B56=0,"",RANK(Y56,Y$8:Y$73,0)+COUNTIF(Y$8:Y56,Y56)-1)</f>
        <v>42</v>
      </c>
      <c r="AA56" s="1">
        <f ca="1" t="shared" si="95"/>
        <v>42</v>
      </c>
      <c r="AB56" s="273">
        <f ca="1" t="shared" si="96"/>
        <v>11.28</v>
      </c>
      <c r="AC56" s="275">
        <f ca="1" t="shared" si="97"/>
        <v>-2</v>
      </c>
      <c r="AD56" s="1">
        <f t="shared" si="98"/>
        <v>42</v>
      </c>
      <c r="AE56" s="269">
        <f t="shared" si="99"/>
        <v>49</v>
      </c>
      <c r="AF56" s="269">
        <f t="shared" si="100"/>
        <v>2</v>
      </c>
      <c r="AG56" s="269">
        <f t="shared" si="101"/>
        <v>1</v>
      </c>
      <c r="AH56" s="268" t="str">
        <f t="shared" si="102"/>
        <v>=49</v>
      </c>
      <c r="AI56" s="1" t="str">
        <f t="shared" si="103"/>
        <v>Rio de Janeiro</v>
      </c>
      <c r="AJ56" s="277">
        <f t="shared" si="104"/>
        <v>51.96</v>
      </c>
      <c r="AK56" s="277">
        <f ca="1" t="shared" si="105"/>
        <v>0.72</v>
      </c>
      <c r="AL56" s="277" t="b">
        <f ca="1" t="shared" si="106"/>
        <v>0</v>
      </c>
      <c r="AM56" s="277">
        <f ca="1" t="shared" si="107"/>
        <v>-12</v>
      </c>
      <c r="AN56" s="277" t="b">
        <f ca="1" t="shared" si="108"/>
        <v>0</v>
      </c>
      <c r="AO56" s="294" t="str">
        <f ca="1" t="shared" si="109"/>
        <v/>
      </c>
      <c r="AP56" s="1">
        <f t="shared" si="2"/>
        <v>69.92</v>
      </c>
      <c r="AQ56" s="1">
        <f>IF($B56=0,"",RANK(AP56,AP$8:AP$73,0)+COUNTIF(AP$8:AP56,AP56)-1)</f>
        <v>30</v>
      </c>
      <c r="AR56" s="1">
        <f ca="1" t="shared" si="110"/>
        <v>30</v>
      </c>
      <c r="AS56" s="273">
        <f ca="1" t="shared" si="111"/>
        <v>3.63</v>
      </c>
      <c r="AT56" s="275">
        <f ca="1" t="shared" si="112"/>
        <v>0</v>
      </c>
      <c r="AU56" s="1">
        <f t="shared" si="113"/>
        <v>32</v>
      </c>
      <c r="AV56" s="269">
        <f t="shared" si="114"/>
        <v>49</v>
      </c>
      <c r="AW56" s="269">
        <f t="shared" si="115"/>
        <v>1</v>
      </c>
      <c r="AX56" s="269">
        <f t="shared" si="116"/>
        <v>1</v>
      </c>
      <c r="AY56" s="268">
        <f t="shared" si="117"/>
        <v>49</v>
      </c>
      <c r="AZ56" s="1" t="str">
        <f t="shared" si="118"/>
        <v>Manila</v>
      </c>
      <c r="BA56" s="277">
        <f t="shared" si="119"/>
        <v>60.12</v>
      </c>
      <c r="BB56" s="277" t="str">
        <f ca="1" t="shared" si="120"/>
        <v/>
      </c>
      <c r="BC56" s="277" t="b">
        <f ca="1" t="shared" si="121"/>
        <v>0</v>
      </c>
      <c r="BD56" s="277" t="str">
        <f ca="1" t="shared" si="122"/>
        <v/>
      </c>
      <c r="BE56" s="277" t="b">
        <f ca="1" t="shared" si="123"/>
        <v>0</v>
      </c>
      <c r="BF56" s="294" t="str">
        <f ca="1" t="shared" si="124"/>
        <v> *</v>
      </c>
      <c r="BG56" s="1">
        <f t="shared" si="3"/>
        <v>74.3</v>
      </c>
      <c r="BH56" s="1">
        <f>IF($B56=0,"",RANK(BG56,BG$8:BG$73,0)+COUNTIF(BG$8:BG56,BG56)-1)</f>
        <v>38</v>
      </c>
      <c r="BI56" s="1">
        <f ca="1" t="shared" si="125"/>
        <v>38</v>
      </c>
      <c r="BJ56" s="273">
        <f ca="1" t="shared" si="126"/>
        <v>-3.54</v>
      </c>
      <c r="BK56" s="275">
        <f ca="1" t="shared" si="127"/>
        <v>-10</v>
      </c>
      <c r="BL56" s="1">
        <f t="shared" si="128"/>
        <v>22</v>
      </c>
      <c r="BM56" s="269">
        <f t="shared" si="129"/>
        <v>49</v>
      </c>
      <c r="BN56" s="269">
        <f t="shared" si="130"/>
        <v>1</v>
      </c>
      <c r="BO56" s="269">
        <f t="shared" si="131"/>
        <v>1</v>
      </c>
      <c r="BP56" s="268">
        <f t="shared" si="132"/>
        <v>49</v>
      </c>
      <c r="BQ56" s="1" t="str">
        <f t="shared" si="133"/>
        <v>Jakarta</v>
      </c>
      <c r="BR56" s="277">
        <f t="shared" si="134"/>
        <v>63.32</v>
      </c>
      <c r="BS56" s="277">
        <f ca="1" t="shared" si="135"/>
        <v>4.67</v>
      </c>
      <c r="BT56" s="277" t="b">
        <f ca="1" t="shared" si="136"/>
        <v>0</v>
      </c>
      <c r="BU56" s="277">
        <f ca="1" t="shared" si="137"/>
        <v>-6</v>
      </c>
      <c r="BV56" s="277" t="b">
        <f ca="1" t="shared" si="138"/>
        <v>0</v>
      </c>
      <c r="BW56" s="294" t="str">
        <f ca="1" t="shared" si="139"/>
        <v/>
      </c>
      <c r="BX56" s="1">
        <f t="shared" si="4"/>
        <v>80.07</v>
      </c>
      <c r="BY56" s="1">
        <f>IF($B56=0,"",RANK(BX56,BX$8:BX$73,0)+COUNTIF(BX$8:BX56,BX56)-1)</f>
        <v>28</v>
      </c>
      <c r="BZ56" s="1">
        <f ca="1" t="shared" si="140"/>
        <v>28</v>
      </c>
      <c r="CA56" s="273">
        <f ca="1" t="shared" si="141"/>
        <v>6.21</v>
      </c>
      <c r="CB56" s="275">
        <f ca="1" t="shared" si="142"/>
        <v>-5</v>
      </c>
      <c r="CC56" s="1">
        <f t="shared" si="143"/>
        <v>4</v>
      </c>
      <c r="CD56" s="269">
        <f t="shared" si="144"/>
        <v>49</v>
      </c>
      <c r="CE56" s="269">
        <f t="shared" si="145"/>
        <v>1</v>
      </c>
      <c r="CF56" s="269">
        <f t="shared" si="146"/>
        <v>1</v>
      </c>
      <c r="CG56" s="268">
        <f t="shared" si="147"/>
        <v>49</v>
      </c>
      <c r="CH56" s="1" t="str">
        <f t="shared" si="148"/>
        <v>Bangkok</v>
      </c>
      <c r="CI56" s="277">
        <f t="shared" si="149"/>
        <v>60.8</v>
      </c>
      <c r="CJ56" s="277">
        <f ca="1" t="shared" si="150"/>
        <v>-3.68</v>
      </c>
      <c r="CK56" s="277" t="b">
        <f ca="1" t="shared" si="151"/>
        <v>0</v>
      </c>
      <c r="CL56" s="277">
        <f ca="1" t="shared" si="152"/>
        <v>-16</v>
      </c>
      <c r="CM56" s="277" t="b">
        <f ca="1" t="shared" si="153"/>
        <v>0</v>
      </c>
      <c r="CN56" s="294" t="str">
        <f ca="1" t="shared" si="154"/>
        <v/>
      </c>
    </row>
    <row r="57" spans="1:92">
      <c r="A57" s="1">
        <f>tblTerritories!A52</f>
        <v>50</v>
      </c>
      <c r="B57" s="1">
        <f>IF(tblTerritories!F52="",0,tblTerritories!F52)</f>
        <v>1</v>
      </c>
      <c r="C57" s="1" t="str">
        <f>tblTerritories!C52</f>
        <v>Singapore</v>
      </c>
      <c r="D57" s="1">
        <f>tblTerritories!D52</f>
        <v>1</v>
      </c>
      <c r="E57" s="1">
        <f>tblTerritories!K52</f>
        <v>0</v>
      </c>
      <c r="F57" s="1">
        <f>IF($A57="","",VLOOKUP(C57,tblTerritories!$J$3:$P$100,7,FALSE)+10)</f>
        <v>15</v>
      </c>
      <c r="H57" s="1">
        <f t="shared" si="0"/>
        <v>89.64</v>
      </c>
      <c r="I57" s="1">
        <f>IF($B57=0,"",RANK(H57,H$8:H$73,0)+COUNTIF(H$8:H57,H57)-1)</f>
        <v>2</v>
      </c>
      <c r="J57" s="1">
        <f ca="1" t="shared" si="80"/>
        <v>2</v>
      </c>
      <c r="K57" s="273">
        <f ca="1" t="shared" si="81"/>
        <v>3.9</v>
      </c>
      <c r="L57" s="275">
        <f ca="1" t="shared" si="82"/>
        <v>0</v>
      </c>
      <c r="M57" s="1">
        <f t="shared" si="83"/>
        <v>24</v>
      </c>
      <c r="N57" s="269">
        <f t="shared" si="84"/>
        <v>50</v>
      </c>
      <c r="O57" s="269">
        <f t="shared" si="85"/>
        <v>1</v>
      </c>
      <c r="P57" s="269">
        <f t="shared" si="86"/>
        <v>1</v>
      </c>
      <c r="Q57" s="268">
        <f t="shared" si="87"/>
        <v>50</v>
      </c>
      <c r="R57" s="1" t="str">
        <f t="shared" si="88"/>
        <v>Johannesburg</v>
      </c>
      <c r="S57" s="277">
        <f t="shared" si="89"/>
        <v>59.17</v>
      </c>
      <c r="T57" s="277">
        <f ca="1" t="shared" si="90"/>
        <v>-0.15</v>
      </c>
      <c r="U57" s="277" t="b">
        <f ca="1" t="shared" si="91"/>
        <v>0</v>
      </c>
      <c r="V57" s="277">
        <f ca="1" t="shared" si="92"/>
        <v>-9</v>
      </c>
      <c r="W57" s="277" t="b">
        <f ca="1" t="shared" si="93"/>
        <v>0</v>
      </c>
      <c r="X57" s="294" t="str">
        <f ca="1" t="shared" si="94"/>
        <v/>
      </c>
      <c r="Y57" s="1">
        <f t="shared" si="1"/>
        <v>86.84</v>
      </c>
      <c r="Z57" s="1">
        <f>IF($B57=0,"",RANK(Y57,Y$8:Y$73,0)+COUNTIF(Y$8:Y57,Y57)-1)</f>
        <v>2</v>
      </c>
      <c r="AA57" s="1">
        <f ca="1" t="shared" si="95"/>
        <v>2</v>
      </c>
      <c r="AB57" s="273">
        <f ca="1" t="shared" si="96"/>
        <v>6.49</v>
      </c>
      <c r="AC57" s="275">
        <f ca="1" t="shared" si="97"/>
        <v>0</v>
      </c>
      <c r="AD57" s="1">
        <f t="shared" si="98"/>
        <v>47</v>
      </c>
      <c r="AE57" s="269">
        <f t="shared" si="99"/>
        <v>49</v>
      </c>
      <c r="AF57" s="269">
        <f t="shared" si="100"/>
        <v>2</v>
      </c>
      <c r="AG57" s="269">
        <f t="shared" si="101"/>
        <v>1</v>
      </c>
      <c r="AH57" s="268" t="str">
        <f t="shared" si="102"/>
        <v>=49</v>
      </c>
      <c r="AI57" s="1" t="str">
        <f t="shared" si="103"/>
        <v>Sao Paulo</v>
      </c>
      <c r="AJ57" s="277">
        <f t="shared" si="104"/>
        <v>51.96</v>
      </c>
      <c r="AK57" s="277">
        <f ca="1" t="shared" si="105"/>
        <v>0.53</v>
      </c>
      <c r="AL57" s="277" t="b">
        <f ca="1" t="shared" si="106"/>
        <v>0</v>
      </c>
      <c r="AM57" s="277">
        <f ca="1" t="shared" si="107"/>
        <v>-13</v>
      </c>
      <c r="AN57" s="277" t="b">
        <f ca="1" t="shared" si="108"/>
        <v>0</v>
      </c>
      <c r="AO57" s="294" t="str">
        <f ca="1" t="shared" si="109"/>
        <v/>
      </c>
      <c r="AP57" s="1">
        <f t="shared" si="2"/>
        <v>79.72</v>
      </c>
      <c r="AQ57" s="1">
        <f>IF($B57=0,"",RANK(AP57,AP$8:AP$73,0)+COUNTIF(AP$8:AP57,AP57)-1)</f>
        <v>13</v>
      </c>
      <c r="AR57" s="1">
        <f ca="1" t="shared" si="110"/>
        <v>13</v>
      </c>
      <c r="AS57" s="273">
        <f ca="1" t="shared" si="111"/>
        <v>2.76</v>
      </c>
      <c r="AT57" s="275">
        <f ca="1" t="shared" si="112"/>
        <v>-1</v>
      </c>
      <c r="AU57" s="1">
        <f t="shared" si="113"/>
        <v>15</v>
      </c>
      <c r="AV57" s="269">
        <f t="shared" si="114"/>
        <v>50</v>
      </c>
      <c r="AW57" s="269">
        <f t="shared" si="115"/>
        <v>1</v>
      </c>
      <c r="AX57" s="269">
        <f t="shared" si="116"/>
        <v>1</v>
      </c>
      <c r="AY57" s="268">
        <f t="shared" si="117"/>
        <v>50</v>
      </c>
      <c r="AZ57" s="1" t="str">
        <f t="shared" si="118"/>
        <v>Delhi</v>
      </c>
      <c r="BA57" s="277">
        <f t="shared" si="119"/>
        <v>59.65</v>
      </c>
      <c r="BB57" s="277">
        <f ca="1" t="shared" si="120"/>
        <v>0.76</v>
      </c>
      <c r="BC57" s="277" t="b">
        <f ca="1" t="shared" si="121"/>
        <v>0</v>
      </c>
      <c r="BD57" s="277">
        <f ca="1" t="shared" si="122"/>
        <v>-13</v>
      </c>
      <c r="BE57" s="277" t="b">
        <f ca="1" t="shared" si="123"/>
        <v>0</v>
      </c>
      <c r="BF57" s="294" t="str">
        <f ca="1" t="shared" si="124"/>
        <v/>
      </c>
      <c r="BG57" s="1">
        <f t="shared" si="3"/>
        <v>97.05</v>
      </c>
      <c r="BH57" s="1">
        <f>IF($B57=0,"",RANK(BG57,BG$8:BG$73,0)+COUNTIF(BG$8:BG57,BG57)-1)</f>
        <v>1</v>
      </c>
      <c r="BI57" s="1">
        <f ca="1" t="shared" si="125"/>
        <v>1</v>
      </c>
      <c r="BJ57" s="273">
        <f ca="1" t="shared" si="126"/>
        <v>6.3</v>
      </c>
      <c r="BK57" s="275">
        <f ca="1" t="shared" si="127"/>
        <v>5</v>
      </c>
      <c r="BL57" s="1">
        <f t="shared" si="128"/>
        <v>23</v>
      </c>
      <c r="BM57" s="269">
        <f t="shared" si="129"/>
        <v>50</v>
      </c>
      <c r="BN57" s="269">
        <f t="shared" si="130"/>
        <v>1</v>
      </c>
      <c r="BO57" s="269">
        <f t="shared" si="131"/>
        <v>1</v>
      </c>
      <c r="BP57" s="268">
        <f t="shared" si="132"/>
        <v>50</v>
      </c>
      <c r="BQ57" s="1" t="str">
        <f t="shared" si="133"/>
        <v>Jeddah</v>
      </c>
      <c r="BR57" s="277">
        <f t="shared" si="134"/>
        <v>61.74</v>
      </c>
      <c r="BS57" s="277" t="str">
        <f ca="1" t="shared" si="135"/>
        <v/>
      </c>
      <c r="BT57" s="277" t="b">
        <f ca="1" t="shared" si="136"/>
        <v>0</v>
      </c>
      <c r="BU57" s="277" t="str">
        <f ca="1" t="shared" si="137"/>
        <v/>
      </c>
      <c r="BV57" s="277" t="b">
        <f ca="1" t="shared" si="138"/>
        <v>0</v>
      </c>
      <c r="BW57" s="294" t="str">
        <f ca="1" t="shared" si="139"/>
        <v> *</v>
      </c>
      <c r="BX57" s="1">
        <f t="shared" si="4"/>
        <v>94.94</v>
      </c>
      <c r="BY57" s="1">
        <f>IF($B57=0,"",RANK(BX57,BX$8:BX$73,0)+COUNTIF(BX$8:BX57,BX57)-1)</f>
        <v>1</v>
      </c>
      <c r="BZ57" s="1">
        <f ca="1" t="shared" si="140"/>
        <v>1</v>
      </c>
      <c r="CA57" s="273">
        <f ca="1" t="shared" si="141"/>
        <v>0.06</v>
      </c>
      <c r="CB57" s="275">
        <f ca="1" t="shared" si="142"/>
        <v>0</v>
      </c>
      <c r="CC57" s="1">
        <f t="shared" si="143"/>
        <v>23</v>
      </c>
      <c r="CD57" s="269">
        <f t="shared" si="144"/>
        <v>50</v>
      </c>
      <c r="CE57" s="269">
        <f t="shared" si="145"/>
        <v>1</v>
      </c>
      <c r="CF57" s="269">
        <f t="shared" si="146"/>
        <v>1</v>
      </c>
      <c r="CG57" s="268">
        <f t="shared" si="147"/>
        <v>50</v>
      </c>
      <c r="CH57" s="1" t="str">
        <f t="shared" si="148"/>
        <v>Jeddah</v>
      </c>
      <c r="CI57" s="277">
        <f t="shared" si="149"/>
        <v>60.05</v>
      </c>
      <c r="CJ57" s="277" t="str">
        <f ca="1" t="shared" si="150"/>
        <v/>
      </c>
      <c r="CK57" s="277" t="b">
        <f ca="1" t="shared" si="151"/>
        <v>0</v>
      </c>
      <c r="CL57" s="277" t="str">
        <f ca="1" t="shared" si="152"/>
        <v/>
      </c>
      <c r="CM57" s="277" t="b">
        <f ca="1" t="shared" si="153"/>
        <v>0</v>
      </c>
      <c r="CN57" s="294" t="str">
        <f ca="1" t="shared" si="154"/>
        <v> *</v>
      </c>
    </row>
    <row r="58" spans="1:92">
      <c r="A58" s="1">
        <f>tblTerritories!A53</f>
        <v>51</v>
      </c>
      <c r="B58" s="1">
        <f>IF(tblTerritories!F53="",0,tblTerritories!F53)</f>
        <v>1</v>
      </c>
      <c r="C58" s="1" t="str">
        <f>tblTerritories!C53</f>
        <v>Stockholm</v>
      </c>
      <c r="D58" s="1">
        <f>tblTerritories!D53</f>
        <v>1</v>
      </c>
      <c r="E58" s="1">
        <f>tblTerritories!K53</f>
        <v>0</v>
      </c>
      <c r="F58" s="1">
        <f>IF($A58="","",VLOOKUP(C58,tblTerritories!$J$3:$P$100,7,FALSE)+10)</f>
        <v>11</v>
      </c>
      <c r="H58" s="1">
        <f t="shared" si="0"/>
        <v>86.72</v>
      </c>
      <c r="I58" s="1">
        <f>IF($B58=0,"",RANK(H58,H$8:H$73,0)+COUNTIF(H$8:H58,H58)-1)</f>
        <v>8</v>
      </c>
      <c r="J58" s="1">
        <f ca="1" t="shared" si="80"/>
        <v>8</v>
      </c>
      <c r="K58" s="273">
        <f ca="1" t="shared" si="81"/>
        <v>5.66</v>
      </c>
      <c r="L58" s="275">
        <f ca="1" t="shared" si="82"/>
        <v>0</v>
      </c>
      <c r="M58" s="1">
        <f t="shared" si="83"/>
        <v>10</v>
      </c>
      <c r="N58" s="269">
        <f t="shared" si="84"/>
        <v>51</v>
      </c>
      <c r="O58" s="269">
        <f t="shared" si="85"/>
        <v>1</v>
      </c>
      <c r="P58" s="269">
        <f t="shared" si="86"/>
        <v>1</v>
      </c>
      <c r="Q58" s="268">
        <f t="shared" si="87"/>
        <v>51</v>
      </c>
      <c r="R58" s="1" t="str">
        <f t="shared" si="88"/>
        <v>Cairo</v>
      </c>
      <c r="S58" s="277">
        <f t="shared" si="89"/>
        <v>58.33</v>
      </c>
      <c r="T58" s="277" t="str">
        <f ca="1" t="shared" si="90"/>
        <v/>
      </c>
      <c r="U58" s="277" t="b">
        <f ca="1" t="shared" si="91"/>
        <v>0</v>
      </c>
      <c r="V58" s="277" t="str">
        <f ca="1" t="shared" si="92"/>
        <v/>
      </c>
      <c r="W58" s="277" t="b">
        <f ca="1" t="shared" si="93"/>
        <v>0</v>
      </c>
      <c r="X58" s="294" t="str">
        <f ca="1" t="shared" si="94"/>
        <v> *</v>
      </c>
      <c r="Y58" s="1">
        <f t="shared" si="1"/>
        <v>82.81</v>
      </c>
      <c r="Z58" s="1">
        <f>IF($B58=0,"",RANK(Y58,Y$8:Y$73,0)+COUNTIF(Y$8:Y58,Y58)-1)</f>
        <v>13</v>
      </c>
      <c r="AA58" s="1">
        <f ca="1" t="shared" si="95"/>
        <v>13</v>
      </c>
      <c r="AB58" s="273">
        <f ca="1" t="shared" si="96"/>
        <v>15.99</v>
      </c>
      <c r="AC58" s="275">
        <f ca="1" t="shared" si="97"/>
        <v>6</v>
      </c>
      <c r="AD58" s="1">
        <f t="shared" si="98"/>
        <v>36</v>
      </c>
      <c r="AE58" s="269">
        <f t="shared" si="99"/>
        <v>51</v>
      </c>
      <c r="AF58" s="269">
        <f t="shared" si="100"/>
        <v>1</v>
      </c>
      <c r="AG58" s="269">
        <f t="shared" si="101"/>
        <v>1</v>
      </c>
      <c r="AH58" s="268">
        <f t="shared" si="102"/>
        <v>51</v>
      </c>
      <c r="AI58" s="1" t="str">
        <f t="shared" si="103"/>
        <v>Moscow</v>
      </c>
      <c r="AJ58" s="277">
        <f t="shared" si="104"/>
        <v>49.03</v>
      </c>
      <c r="AK58" s="277">
        <f ca="1" t="shared" si="105"/>
        <v>0.99</v>
      </c>
      <c r="AL58" s="277" t="b">
        <f ca="1" t="shared" si="106"/>
        <v>0</v>
      </c>
      <c r="AM58" s="277">
        <f ca="1" t="shared" si="107"/>
        <v>-10</v>
      </c>
      <c r="AN58" s="277" t="b">
        <f ca="1" t="shared" si="108"/>
        <v>0</v>
      </c>
      <c r="AO58" s="294" t="str">
        <f ca="1" t="shared" si="109"/>
        <v/>
      </c>
      <c r="AP58" s="1">
        <f t="shared" si="2"/>
        <v>79.94</v>
      </c>
      <c r="AQ58" s="1">
        <f>IF($B58=0,"",RANK(AP58,AP$8:AP$73,0)+COUNTIF(AP$8:AP58,AP58)-1)</f>
        <v>10</v>
      </c>
      <c r="AR58" s="1">
        <f ca="1" t="shared" si="110"/>
        <v>10</v>
      </c>
      <c r="AS58" s="273">
        <f ca="1" t="shared" si="111"/>
        <v>-5.06</v>
      </c>
      <c r="AT58" s="275">
        <f ca="1" t="shared" si="112"/>
        <v>-9</v>
      </c>
      <c r="AU58" s="1">
        <f t="shared" si="113"/>
        <v>12</v>
      </c>
      <c r="AV58" s="269">
        <f t="shared" si="114"/>
        <v>51</v>
      </c>
      <c r="AW58" s="269">
        <f t="shared" si="115"/>
        <v>1</v>
      </c>
      <c r="AX58" s="269">
        <f t="shared" si="116"/>
        <v>1</v>
      </c>
      <c r="AY58" s="268">
        <f t="shared" si="117"/>
        <v>51</v>
      </c>
      <c r="AZ58" s="1" t="str">
        <f t="shared" si="118"/>
        <v>Casablanca</v>
      </c>
      <c r="BA58" s="277">
        <f t="shared" si="119"/>
        <v>58.52</v>
      </c>
      <c r="BB58" s="277" t="str">
        <f ca="1" t="shared" si="120"/>
        <v/>
      </c>
      <c r="BC58" s="277" t="b">
        <f ca="1" t="shared" si="121"/>
        <v>0</v>
      </c>
      <c r="BD58" s="277" t="str">
        <f ca="1" t="shared" si="122"/>
        <v/>
      </c>
      <c r="BE58" s="277" t="b">
        <f ca="1" t="shared" si="123"/>
        <v>0</v>
      </c>
      <c r="BF58" s="294" t="str">
        <f ca="1" t="shared" si="124"/>
        <v> *</v>
      </c>
      <c r="BG58" s="1">
        <f t="shared" si="3"/>
        <v>96.18</v>
      </c>
      <c r="BH58" s="1">
        <f>IF($B58=0,"",RANK(BG58,BG$8:BG$73,0)+COUNTIF(BG$8:BG58,BG58)-1)</f>
        <v>4</v>
      </c>
      <c r="BI58" s="1">
        <f ca="1" t="shared" si="125"/>
        <v>4</v>
      </c>
      <c r="BJ58" s="273">
        <f ca="1" t="shared" si="126"/>
        <v>13.37</v>
      </c>
      <c r="BK58" s="275">
        <f ca="1" t="shared" si="127"/>
        <v>16</v>
      </c>
      <c r="BL58" s="1">
        <f t="shared" si="128"/>
        <v>37</v>
      </c>
      <c r="BM58" s="269">
        <f t="shared" si="129"/>
        <v>51</v>
      </c>
      <c r="BN58" s="269">
        <f t="shared" si="130"/>
        <v>1</v>
      </c>
      <c r="BO58" s="269">
        <f t="shared" si="131"/>
        <v>1</v>
      </c>
      <c r="BP58" s="268">
        <f t="shared" si="132"/>
        <v>51</v>
      </c>
      <c r="BQ58" s="1" t="str">
        <f t="shared" si="133"/>
        <v>Mumbai</v>
      </c>
      <c r="BR58" s="277">
        <f t="shared" si="134"/>
        <v>59.12</v>
      </c>
      <c r="BS58" s="277">
        <f ca="1" t="shared" si="135"/>
        <v>3.22</v>
      </c>
      <c r="BT58" s="277" t="b">
        <f ca="1" t="shared" si="136"/>
        <v>0</v>
      </c>
      <c r="BU58" s="277">
        <f ca="1" t="shared" si="137"/>
        <v>-6</v>
      </c>
      <c r="BV58" s="277" t="b">
        <f ca="1" t="shared" si="138"/>
        <v>0</v>
      </c>
      <c r="BW58" s="294" t="str">
        <f ca="1" t="shared" si="139"/>
        <v/>
      </c>
      <c r="BX58" s="1">
        <f t="shared" si="4"/>
        <v>87.93</v>
      </c>
      <c r="BY58" s="1">
        <f>IF($B58=0,"",RANK(BX58,BX$8:BX$73,0)+COUNTIF(BX$8:BX58,BX58)-1)</f>
        <v>9</v>
      </c>
      <c r="BZ58" s="1">
        <f ca="1" t="shared" si="140"/>
        <v>9</v>
      </c>
      <c r="CA58" s="273">
        <f ca="1" t="shared" si="141"/>
        <v>-1.68</v>
      </c>
      <c r="CB58" s="275">
        <f ca="1" t="shared" si="142"/>
        <v>-2</v>
      </c>
      <c r="CC58" s="1">
        <f t="shared" si="143"/>
        <v>22</v>
      </c>
      <c r="CD58" s="269">
        <f t="shared" si="144"/>
        <v>51</v>
      </c>
      <c r="CE58" s="269">
        <f t="shared" si="145"/>
        <v>1</v>
      </c>
      <c r="CF58" s="269">
        <f t="shared" si="146"/>
        <v>1</v>
      </c>
      <c r="CG58" s="268">
        <f t="shared" si="147"/>
        <v>51</v>
      </c>
      <c r="CH58" s="1" t="str">
        <f t="shared" si="148"/>
        <v>Jakarta</v>
      </c>
      <c r="CI58" s="277">
        <f t="shared" si="149"/>
        <v>59.24</v>
      </c>
      <c r="CJ58" s="277">
        <f ca="1" t="shared" si="150"/>
        <v>2.96</v>
      </c>
      <c r="CK58" s="277" t="b">
        <f ca="1" t="shared" si="151"/>
        <v>0</v>
      </c>
      <c r="CL58" s="277">
        <f ca="1" t="shared" si="152"/>
        <v>-7</v>
      </c>
      <c r="CM58" s="277" t="b">
        <f ca="1" t="shared" si="153"/>
        <v>0</v>
      </c>
      <c r="CN58" s="294" t="str">
        <f ca="1" t="shared" si="154"/>
        <v/>
      </c>
    </row>
    <row r="59" spans="1:92">
      <c r="A59" s="1">
        <f>tblTerritories!A54</f>
        <v>52</v>
      </c>
      <c r="B59" s="1">
        <f>IF(tblTerritories!F54="",0,tblTerritories!F54)</f>
        <v>1</v>
      </c>
      <c r="C59" s="1" t="str">
        <f>tblTerritories!C54</f>
        <v>Sydney</v>
      </c>
      <c r="D59" s="1">
        <f>tblTerritories!D54</f>
        <v>1</v>
      </c>
      <c r="E59" s="1">
        <f>tblTerritories!K54</f>
        <v>0</v>
      </c>
      <c r="F59" s="1">
        <f>IF($A59="","",VLOOKUP(C59,tblTerritories!$J$3:$P$100,7,FALSE)+10)</f>
        <v>16</v>
      </c>
      <c r="H59" s="1">
        <f t="shared" si="0"/>
        <v>86.74</v>
      </c>
      <c r="I59" s="1">
        <f>IF($B59=0,"",RANK(H59,H$8:H$73,0)+COUNTIF(H$8:H59,H59)-1)</f>
        <v>7</v>
      </c>
      <c r="J59" s="1">
        <f ca="1" t="shared" si="80"/>
        <v>7</v>
      </c>
      <c r="K59" s="273">
        <f ca="1" t="shared" si="81"/>
        <v>4.86</v>
      </c>
      <c r="L59" s="275">
        <f ca="1" t="shared" si="82"/>
        <v>-2</v>
      </c>
      <c r="M59" s="1">
        <f t="shared" si="83"/>
        <v>54</v>
      </c>
      <c r="N59" s="269">
        <f t="shared" si="84"/>
        <v>52</v>
      </c>
      <c r="O59" s="269">
        <f t="shared" si="85"/>
        <v>1</v>
      </c>
      <c r="P59" s="269">
        <f t="shared" si="86"/>
        <v>1</v>
      </c>
      <c r="Q59" s="268">
        <f t="shared" si="87"/>
        <v>52</v>
      </c>
      <c r="R59" s="1" t="str">
        <f t="shared" si="88"/>
        <v>Tehran</v>
      </c>
      <c r="S59" s="277">
        <f t="shared" si="89"/>
        <v>56.49</v>
      </c>
      <c r="T59" s="277">
        <f ca="1" t="shared" si="90"/>
        <v>2.91</v>
      </c>
      <c r="U59" s="277" t="b">
        <f ca="1" t="shared" si="91"/>
        <v>0</v>
      </c>
      <c r="V59" s="277">
        <f ca="1" t="shared" si="92"/>
        <v>-7</v>
      </c>
      <c r="W59" s="277" t="b">
        <f ca="1" t="shared" si="93"/>
        <v>0</v>
      </c>
      <c r="X59" s="294" t="str">
        <f ca="1" t="shared" si="94"/>
        <v/>
      </c>
      <c r="Y59" s="1">
        <f t="shared" si="1"/>
        <v>82.96</v>
      </c>
      <c r="Z59" s="1">
        <f>IF($B59=0,"",RANK(Y59,Y$8:Y$73,0)+COUNTIF(Y$8:Y59,Y59)-1)</f>
        <v>12</v>
      </c>
      <c r="AA59" s="1">
        <f ca="1" t="shared" si="95"/>
        <v>12</v>
      </c>
      <c r="AB59" s="273">
        <f ca="1" t="shared" si="96"/>
        <v>11.48</v>
      </c>
      <c r="AC59" s="275">
        <f ca="1" t="shared" si="97"/>
        <v>-1</v>
      </c>
      <c r="AD59" s="1">
        <f t="shared" si="98"/>
        <v>4</v>
      </c>
      <c r="AE59" s="269">
        <f t="shared" si="99"/>
        <v>52</v>
      </c>
      <c r="AF59" s="269">
        <f t="shared" si="100"/>
        <v>1</v>
      </c>
      <c r="AG59" s="269">
        <f t="shared" si="101"/>
        <v>1</v>
      </c>
      <c r="AH59" s="268">
        <f t="shared" si="102"/>
        <v>52</v>
      </c>
      <c r="AI59" s="1" t="str">
        <f t="shared" si="103"/>
        <v>Bangkok</v>
      </c>
      <c r="AJ59" s="277">
        <f t="shared" si="104"/>
        <v>44.44</v>
      </c>
      <c r="AK59" s="277">
        <f ca="1" t="shared" si="105"/>
        <v>-0.42</v>
      </c>
      <c r="AL59" s="277" t="b">
        <f ca="1" t="shared" si="106"/>
        <v>0</v>
      </c>
      <c r="AM59" s="277">
        <f ca="1" t="shared" si="107"/>
        <v>-8</v>
      </c>
      <c r="AN59" s="277" t="b">
        <f ca="1" t="shared" si="108"/>
        <v>0</v>
      </c>
      <c r="AO59" s="294" t="str">
        <f ca="1" t="shared" si="109"/>
        <v/>
      </c>
      <c r="AP59" s="1">
        <f t="shared" si="2"/>
        <v>81.8</v>
      </c>
      <c r="AQ59" s="1">
        <f>IF($B59=0,"",RANK(AP59,AP$8:AP$73,0)+COUNTIF(AP$8:AP59,AP59)-1)</f>
        <v>6</v>
      </c>
      <c r="AR59" s="1">
        <f ca="1" t="shared" si="110"/>
        <v>6</v>
      </c>
      <c r="AS59" s="273">
        <f ca="1" t="shared" si="111"/>
        <v>7.04</v>
      </c>
      <c r="AT59" s="275">
        <f ca="1" t="shared" si="112"/>
        <v>12</v>
      </c>
      <c r="AU59" s="1">
        <f t="shared" si="113"/>
        <v>24</v>
      </c>
      <c r="AV59" s="269">
        <f t="shared" si="114"/>
        <v>52</v>
      </c>
      <c r="AW59" s="269">
        <f t="shared" si="115"/>
        <v>1</v>
      </c>
      <c r="AX59" s="269">
        <f t="shared" si="116"/>
        <v>1</v>
      </c>
      <c r="AY59" s="268">
        <f t="shared" si="117"/>
        <v>52</v>
      </c>
      <c r="AZ59" s="1" t="str">
        <f t="shared" si="118"/>
        <v>Johannesburg</v>
      </c>
      <c r="BA59" s="277">
        <f t="shared" si="119"/>
        <v>57.71</v>
      </c>
      <c r="BB59" s="277">
        <f ca="1" t="shared" si="120"/>
        <v>1.98</v>
      </c>
      <c r="BC59" s="277" t="b">
        <f ca="1" t="shared" si="121"/>
        <v>0</v>
      </c>
      <c r="BD59" s="277">
        <f ca="1" t="shared" si="122"/>
        <v>-11</v>
      </c>
      <c r="BE59" s="277" t="b">
        <f ca="1" t="shared" si="123"/>
        <v>0</v>
      </c>
      <c r="BF59" s="294" t="str">
        <f ca="1" t="shared" si="124"/>
        <v/>
      </c>
      <c r="BG59" s="1">
        <f t="shared" si="3"/>
        <v>95.73</v>
      </c>
      <c r="BH59" s="1">
        <f>IF($B59=0,"",RANK(BG59,BG$8:BG$73,0)+COUNTIF(BG$8:BG59,BG59)-1)</f>
        <v>9</v>
      </c>
      <c r="BI59" s="1">
        <f ca="1" t="shared" si="125"/>
        <v>9</v>
      </c>
      <c r="BJ59" s="273">
        <f ca="1" t="shared" si="126"/>
        <v>3.04</v>
      </c>
      <c r="BK59" s="275">
        <f ca="1" t="shared" si="127"/>
        <v>-6</v>
      </c>
      <c r="BL59" s="1">
        <f t="shared" si="128"/>
        <v>15</v>
      </c>
      <c r="BM59" s="269">
        <f t="shared" si="129"/>
        <v>52</v>
      </c>
      <c r="BN59" s="269">
        <f t="shared" si="130"/>
        <v>1</v>
      </c>
      <c r="BO59" s="269">
        <f t="shared" si="131"/>
        <v>1</v>
      </c>
      <c r="BP59" s="268">
        <f t="shared" si="132"/>
        <v>52</v>
      </c>
      <c r="BQ59" s="1" t="str">
        <f t="shared" si="133"/>
        <v>Delhi</v>
      </c>
      <c r="BR59" s="277">
        <f t="shared" si="134"/>
        <v>58.49</v>
      </c>
      <c r="BS59" s="277">
        <f ca="1" t="shared" si="135"/>
        <v>-0.2</v>
      </c>
      <c r="BT59" s="277" t="b">
        <f ca="1" t="shared" si="136"/>
        <v>0</v>
      </c>
      <c r="BU59" s="277">
        <f ca="1" t="shared" si="137"/>
        <v>-10</v>
      </c>
      <c r="BV59" s="277" t="b">
        <f ca="1" t="shared" si="138"/>
        <v>0</v>
      </c>
      <c r="BW59" s="294" t="str">
        <f ca="1" t="shared" si="139"/>
        <v/>
      </c>
      <c r="BX59" s="1">
        <f t="shared" si="4"/>
        <v>86.46</v>
      </c>
      <c r="BY59" s="1">
        <f>IF($B59=0,"",RANK(BX59,BX$8:BX$73,0)+COUNTIF(BX$8:BX59,BX59)-1)</f>
        <v>12</v>
      </c>
      <c r="BZ59" s="1">
        <f ca="1" t="shared" si="140"/>
        <v>12</v>
      </c>
      <c r="CA59" s="273">
        <f ca="1" t="shared" si="141"/>
        <v>-2.12</v>
      </c>
      <c r="CB59" s="275">
        <f ca="1" t="shared" si="142"/>
        <v>-2</v>
      </c>
      <c r="CC59" s="1">
        <f t="shared" si="143"/>
        <v>54</v>
      </c>
      <c r="CD59" s="269">
        <f t="shared" si="144"/>
        <v>52</v>
      </c>
      <c r="CE59" s="269">
        <f t="shared" si="145"/>
        <v>1</v>
      </c>
      <c r="CF59" s="269">
        <f t="shared" si="146"/>
        <v>1</v>
      </c>
      <c r="CG59" s="268">
        <f t="shared" si="147"/>
        <v>52</v>
      </c>
      <c r="CH59" s="1" t="str">
        <f t="shared" si="148"/>
        <v>Tehran</v>
      </c>
      <c r="CI59" s="277">
        <f t="shared" si="149"/>
        <v>59.18</v>
      </c>
      <c r="CJ59" s="277">
        <f ca="1" t="shared" si="150"/>
        <v>2.34</v>
      </c>
      <c r="CK59" s="277" t="b">
        <f ca="1" t="shared" si="151"/>
        <v>0</v>
      </c>
      <c r="CL59" s="277">
        <f ca="1" t="shared" si="152"/>
        <v>-10</v>
      </c>
      <c r="CM59" s="277" t="b">
        <f ca="1" t="shared" si="153"/>
        <v>0</v>
      </c>
      <c r="CN59" s="294" t="str">
        <f ca="1" t="shared" si="154"/>
        <v/>
      </c>
    </row>
    <row r="60" spans="1:92">
      <c r="A60" s="1">
        <f>tblTerritories!A55</f>
        <v>53</v>
      </c>
      <c r="B60" s="1">
        <f>IF(tblTerritories!F55="",0,tblTerritories!F55)</f>
        <v>1</v>
      </c>
      <c r="C60" s="1" t="str">
        <f>tblTerritories!C55</f>
        <v>Taipei</v>
      </c>
      <c r="D60" s="1">
        <f>tblTerritories!D55</f>
        <v>1</v>
      </c>
      <c r="E60" s="1">
        <f>tblTerritories!K55</f>
        <v>0</v>
      </c>
      <c r="F60" s="1">
        <f>IF($A60="","",VLOOKUP(C60,tblTerritories!$J$3:$P$100,7,FALSE)+10)</f>
        <v>16</v>
      </c>
      <c r="H60" s="1">
        <f t="shared" si="0"/>
        <v>80.7</v>
      </c>
      <c r="I60" s="1">
        <f>IF($B60=0,"",RANK(H60,H$8:H$73,0)+COUNTIF(H$8:H60,H60)-1)</f>
        <v>22</v>
      </c>
      <c r="J60" s="1">
        <f ca="1" t="shared" si="80"/>
        <v>22</v>
      </c>
      <c r="K60" s="273">
        <f ca="1" t="shared" si="81"/>
        <v>3.11</v>
      </c>
      <c r="L60" s="275">
        <f ca="1" t="shared" si="82"/>
        <v>-8</v>
      </c>
      <c r="M60" s="1">
        <f t="shared" si="83"/>
        <v>41</v>
      </c>
      <c r="N60" s="269">
        <f t="shared" si="84"/>
        <v>53</v>
      </c>
      <c r="O60" s="269">
        <f t="shared" si="85"/>
        <v>1</v>
      </c>
      <c r="P60" s="269">
        <f t="shared" si="86"/>
        <v>1</v>
      </c>
      <c r="Q60" s="268">
        <f t="shared" si="87"/>
        <v>53</v>
      </c>
      <c r="R60" s="1" t="str">
        <f t="shared" si="88"/>
        <v>Quito</v>
      </c>
      <c r="S60" s="277">
        <f t="shared" si="89"/>
        <v>56.39</v>
      </c>
      <c r="T60" s="277" t="str">
        <f ca="1" t="shared" si="90"/>
        <v/>
      </c>
      <c r="U60" s="277" t="b">
        <f ca="1" t="shared" si="91"/>
        <v>0</v>
      </c>
      <c r="V60" s="277" t="str">
        <f ca="1" t="shared" si="92"/>
        <v/>
      </c>
      <c r="W60" s="277" t="b">
        <f ca="1" t="shared" si="93"/>
        <v>0</v>
      </c>
      <c r="X60" s="294" t="str">
        <f ca="1" t="shared" si="94"/>
        <v> *</v>
      </c>
      <c r="Y60" s="1">
        <f t="shared" si="1"/>
        <v>65.98</v>
      </c>
      <c r="Z60" s="1">
        <f>IF($B60=0,"",RANK(Y60,Y$8:Y$73,0)+COUNTIF(Y$8:Y60,Y60)-1)</f>
        <v>31</v>
      </c>
      <c r="AA60" s="1">
        <f ca="1" t="shared" si="95"/>
        <v>31</v>
      </c>
      <c r="AB60" s="273">
        <f ca="1" t="shared" si="96"/>
        <v>4.37</v>
      </c>
      <c r="AC60" s="275">
        <f ca="1" t="shared" si="97"/>
        <v>-4</v>
      </c>
      <c r="AD60" s="1">
        <f t="shared" si="98"/>
        <v>10</v>
      </c>
      <c r="AE60" s="269">
        <f t="shared" si="99"/>
        <v>53</v>
      </c>
      <c r="AF60" s="269">
        <f t="shared" si="100"/>
        <v>1</v>
      </c>
      <c r="AG60" s="269">
        <f t="shared" si="101"/>
        <v>1</v>
      </c>
      <c r="AH60" s="268">
        <f t="shared" si="102"/>
        <v>53</v>
      </c>
      <c r="AI60" s="1" t="str">
        <f t="shared" si="103"/>
        <v>Cairo</v>
      </c>
      <c r="AJ60" s="277">
        <f t="shared" si="104"/>
        <v>43.29</v>
      </c>
      <c r="AK60" s="277" t="str">
        <f ca="1" t="shared" si="105"/>
        <v/>
      </c>
      <c r="AL60" s="277" t="b">
        <f ca="1" t="shared" si="106"/>
        <v>0</v>
      </c>
      <c r="AM60" s="277" t="str">
        <f ca="1" t="shared" si="107"/>
        <v/>
      </c>
      <c r="AN60" s="277" t="b">
        <f ca="1" t="shared" si="108"/>
        <v>0</v>
      </c>
      <c r="AO60" s="294" t="str">
        <f ca="1" t="shared" si="109"/>
        <v> *</v>
      </c>
      <c r="AP60" s="1">
        <f t="shared" si="2"/>
        <v>79.23</v>
      </c>
      <c r="AQ60" s="1">
        <f>IF($B60=0,"",RANK(AP60,AP$8:AP$73,0)+COUNTIF(AP$8:AP60,AP60)-1)</f>
        <v>14</v>
      </c>
      <c r="AR60" s="1">
        <f ca="1" t="shared" si="110"/>
        <v>14</v>
      </c>
      <c r="AS60" s="273">
        <f ca="1" t="shared" si="111"/>
        <v>0.48</v>
      </c>
      <c r="AT60" s="275">
        <f ca="1" t="shared" si="112"/>
        <v>-9</v>
      </c>
      <c r="AU60" s="1">
        <f t="shared" si="113"/>
        <v>41</v>
      </c>
      <c r="AV60" s="269">
        <f t="shared" si="114"/>
        <v>53</v>
      </c>
      <c r="AW60" s="269">
        <f t="shared" si="115"/>
        <v>1</v>
      </c>
      <c r="AX60" s="269">
        <f t="shared" si="116"/>
        <v>1</v>
      </c>
      <c r="AY60" s="268">
        <f t="shared" si="117"/>
        <v>53</v>
      </c>
      <c r="AZ60" s="1" t="str">
        <f t="shared" si="118"/>
        <v>Quito</v>
      </c>
      <c r="BA60" s="277">
        <f t="shared" si="119"/>
        <v>57.46</v>
      </c>
      <c r="BB60" s="277" t="str">
        <f ca="1" t="shared" si="120"/>
        <v/>
      </c>
      <c r="BC60" s="277" t="b">
        <f ca="1" t="shared" si="121"/>
        <v>0</v>
      </c>
      <c r="BD60" s="277" t="str">
        <f ca="1" t="shared" si="122"/>
        <v/>
      </c>
      <c r="BE60" s="277" t="b">
        <f ca="1" t="shared" si="123"/>
        <v>0</v>
      </c>
      <c r="BF60" s="294" t="str">
        <f ca="1" t="shared" si="124"/>
        <v> *</v>
      </c>
      <c r="BG60" s="1">
        <f t="shared" si="3"/>
        <v>87.59</v>
      </c>
      <c r="BH60" s="1">
        <f>IF($B60=0,"",RANK(BG60,BG$8:BG$73,0)+COUNTIF(BG$8:BG60,BG60)-1)</f>
        <v>26</v>
      </c>
      <c r="BI60" s="1">
        <f ca="1" t="shared" si="125"/>
        <v>26</v>
      </c>
      <c r="BJ60" s="273">
        <f ca="1" t="shared" si="126"/>
        <v>7.67</v>
      </c>
      <c r="BK60" s="275">
        <f ca="1" t="shared" si="127"/>
        <v>-3</v>
      </c>
      <c r="BL60" s="1">
        <f t="shared" si="128"/>
        <v>11</v>
      </c>
      <c r="BM60" s="269">
        <f t="shared" si="129"/>
        <v>53</v>
      </c>
      <c r="BN60" s="269">
        <f t="shared" si="130"/>
        <v>1</v>
      </c>
      <c r="BO60" s="269">
        <f t="shared" si="131"/>
        <v>1</v>
      </c>
      <c r="BP60" s="268">
        <f t="shared" si="132"/>
        <v>53</v>
      </c>
      <c r="BQ60" s="1" t="str">
        <f t="shared" si="133"/>
        <v>Caracas</v>
      </c>
      <c r="BR60" s="277">
        <f t="shared" si="134"/>
        <v>58.42</v>
      </c>
      <c r="BS60" s="277" t="str">
        <f ca="1" t="shared" si="135"/>
        <v/>
      </c>
      <c r="BT60" s="277" t="b">
        <f ca="1" t="shared" si="136"/>
        <v>0</v>
      </c>
      <c r="BU60" s="277" t="str">
        <f ca="1" t="shared" si="137"/>
        <v/>
      </c>
      <c r="BV60" s="277" t="b">
        <f ca="1" t="shared" si="138"/>
        <v>0</v>
      </c>
      <c r="BW60" s="294" t="str">
        <f ca="1" t="shared" si="139"/>
        <v> *</v>
      </c>
      <c r="BX60" s="1">
        <f t="shared" si="4"/>
        <v>90.02</v>
      </c>
      <c r="BY60" s="1">
        <f>IF($B60=0,"",RANK(BX60,BX$8:BX$73,0)+COUNTIF(BX$8:BX60,BX60)-1)</f>
        <v>6</v>
      </c>
      <c r="BZ60" s="1">
        <f ca="1" t="shared" si="140"/>
        <v>6</v>
      </c>
      <c r="CA60" s="273">
        <f ca="1" t="shared" si="141"/>
        <v>-0.08</v>
      </c>
      <c r="CB60" s="275">
        <f ca="1" t="shared" si="142"/>
        <v>0</v>
      </c>
      <c r="CC60" s="1">
        <f t="shared" si="143"/>
        <v>36</v>
      </c>
      <c r="CD60" s="269">
        <f t="shared" si="144"/>
        <v>53</v>
      </c>
      <c r="CE60" s="269">
        <f t="shared" si="145"/>
        <v>1</v>
      </c>
      <c r="CF60" s="269">
        <f t="shared" si="146"/>
        <v>1</v>
      </c>
      <c r="CG60" s="268">
        <f t="shared" si="147"/>
        <v>53</v>
      </c>
      <c r="CH60" s="1" t="str">
        <f t="shared" si="148"/>
        <v>Moscow</v>
      </c>
      <c r="CI60" s="277">
        <f t="shared" si="149"/>
        <v>58</v>
      </c>
      <c r="CJ60" s="277">
        <f ca="1" t="shared" si="150"/>
        <v>11.32</v>
      </c>
      <c r="CK60" s="277" t="b">
        <f ca="1" t="shared" si="151"/>
        <v>0</v>
      </c>
      <c r="CL60" s="277">
        <f ca="1" t="shared" si="152"/>
        <v>-7</v>
      </c>
      <c r="CM60" s="277" t="b">
        <f ca="1" t="shared" si="153"/>
        <v>0</v>
      </c>
      <c r="CN60" s="294" t="str">
        <f ca="1" t="shared" si="154"/>
        <v/>
      </c>
    </row>
    <row r="61" spans="1:92">
      <c r="A61" s="1">
        <f>tblTerritories!A56</f>
        <v>54</v>
      </c>
      <c r="B61" s="1">
        <f>IF(tblTerritories!F56="",0,tblTerritories!F56)</f>
        <v>1</v>
      </c>
      <c r="C61" s="1" t="str">
        <f>tblTerritories!C56</f>
        <v>Tehran</v>
      </c>
      <c r="D61" s="1">
        <f>tblTerritories!D56</f>
        <v>1</v>
      </c>
      <c r="E61" s="1">
        <f>tblTerritories!K56</f>
        <v>0</v>
      </c>
      <c r="F61" s="1">
        <f>IF($A61="","",VLOOKUP(C61,tblTerritories!$J$3:$P$100,7,FALSE)+10)</f>
        <v>13</v>
      </c>
      <c r="H61" s="1">
        <f t="shared" si="0"/>
        <v>56.49</v>
      </c>
      <c r="I61" s="1">
        <f>IF($B61=0,"",RANK(H61,H$8:H$73,0)+COUNTIF(H$8:H61,H61)-1)</f>
        <v>52</v>
      </c>
      <c r="J61" s="1">
        <f ca="1" t="shared" si="80"/>
        <v>52</v>
      </c>
      <c r="K61" s="273">
        <f ca="1" t="shared" si="81"/>
        <v>2.91</v>
      </c>
      <c r="L61" s="275">
        <f ca="1" t="shared" si="82"/>
        <v>-7</v>
      </c>
      <c r="M61" s="1">
        <f t="shared" si="83"/>
        <v>11</v>
      </c>
      <c r="N61" s="269">
        <f t="shared" si="84"/>
        <v>54</v>
      </c>
      <c r="O61" s="269">
        <f t="shared" si="85"/>
        <v>1</v>
      </c>
      <c r="P61" s="269">
        <f t="shared" si="86"/>
        <v>1</v>
      </c>
      <c r="Q61" s="268">
        <f t="shared" si="87"/>
        <v>54</v>
      </c>
      <c r="R61" s="1" t="str">
        <f t="shared" si="88"/>
        <v>Caracas</v>
      </c>
      <c r="S61" s="277">
        <f t="shared" si="89"/>
        <v>55.22</v>
      </c>
      <c r="T61" s="277" t="str">
        <f ca="1" t="shared" si="90"/>
        <v/>
      </c>
      <c r="U61" s="277" t="b">
        <f ca="1" t="shared" si="91"/>
        <v>0</v>
      </c>
      <c r="V61" s="277" t="str">
        <f ca="1" t="shared" si="92"/>
        <v/>
      </c>
      <c r="W61" s="277" t="b">
        <f ca="1" t="shared" si="93"/>
        <v>0</v>
      </c>
      <c r="X61" s="294" t="str">
        <f ca="1" t="shared" si="94"/>
        <v> *</v>
      </c>
      <c r="Y61" s="1">
        <f t="shared" si="1"/>
        <v>39.88</v>
      </c>
      <c r="Z61" s="1">
        <f>IF($B61=0,"",RANK(Y61,Y$8:Y$73,0)+COUNTIF(Y$8:Y61,Y61)-1)</f>
        <v>55</v>
      </c>
      <c r="AA61" s="1">
        <f ca="1" t="shared" si="95"/>
        <v>55</v>
      </c>
      <c r="AB61" s="273">
        <f ca="1" t="shared" si="96"/>
        <v>1.3</v>
      </c>
      <c r="AC61" s="275">
        <f ca="1" t="shared" si="97"/>
        <v>-9</v>
      </c>
      <c r="AD61" s="1">
        <f t="shared" si="98"/>
        <v>25</v>
      </c>
      <c r="AE61" s="269">
        <f t="shared" si="99"/>
        <v>54</v>
      </c>
      <c r="AF61" s="269">
        <f t="shared" si="100"/>
        <v>1</v>
      </c>
      <c r="AG61" s="269">
        <f t="shared" si="101"/>
        <v>1</v>
      </c>
      <c r="AH61" s="268">
        <f t="shared" si="102"/>
        <v>54</v>
      </c>
      <c r="AI61" s="1" t="str">
        <f t="shared" si="103"/>
        <v>Karachi</v>
      </c>
      <c r="AJ61" s="277">
        <f t="shared" si="104"/>
        <v>43.22</v>
      </c>
      <c r="AK61" s="277" t="str">
        <f ca="1" t="shared" si="105"/>
        <v/>
      </c>
      <c r="AL61" s="277" t="b">
        <f ca="1" t="shared" si="106"/>
        <v>0</v>
      </c>
      <c r="AM61" s="277" t="str">
        <f ca="1" t="shared" si="107"/>
        <v/>
      </c>
      <c r="AN61" s="277" t="b">
        <f ca="1" t="shared" si="108"/>
        <v>0</v>
      </c>
      <c r="AO61" s="294" t="str">
        <f ca="1" t="shared" si="109"/>
        <v> *</v>
      </c>
      <c r="AP61" s="1">
        <f t="shared" si="2"/>
        <v>62.96</v>
      </c>
      <c r="AQ61" s="1">
        <f>IF($B61=0,"",RANK(AP61,AP$8:AP$73,0)+COUNTIF(AP$8:AP61,AP61)-1)</f>
        <v>44</v>
      </c>
      <c r="AR61" s="1">
        <f ca="1" t="shared" si="110"/>
        <v>44</v>
      </c>
      <c r="AS61" s="273">
        <f ca="1" t="shared" si="111"/>
        <v>10.01</v>
      </c>
      <c r="AT61" s="275">
        <f ca="1" t="shared" si="112"/>
        <v>1</v>
      </c>
      <c r="AU61" s="1">
        <f t="shared" si="113"/>
        <v>11</v>
      </c>
      <c r="AV61" s="269">
        <f t="shared" si="114"/>
        <v>54</v>
      </c>
      <c r="AW61" s="269">
        <f t="shared" si="115"/>
        <v>1</v>
      </c>
      <c r="AX61" s="269">
        <f t="shared" si="116"/>
        <v>1</v>
      </c>
      <c r="AY61" s="268">
        <f t="shared" si="117"/>
        <v>54</v>
      </c>
      <c r="AZ61" s="1" t="str">
        <f t="shared" si="118"/>
        <v>Caracas</v>
      </c>
      <c r="BA61" s="277">
        <f t="shared" si="119"/>
        <v>56.72</v>
      </c>
      <c r="BB61" s="277" t="str">
        <f ca="1" t="shared" si="120"/>
        <v/>
      </c>
      <c r="BC61" s="277" t="b">
        <f ca="1" t="shared" si="121"/>
        <v>0</v>
      </c>
      <c r="BD61" s="277" t="str">
        <f ca="1" t="shared" si="122"/>
        <v/>
      </c>
      <c r="BE61" s="277" t="b">
        <f ca="1" t="shared" si="123"/>
        <v>0</v>
      </c>
      <c r="BF61" s="294" t="str">
        <f ca="1" t="shared" si="124"/>
        <v> *</v>
      </c>
      <c r="BG61" s="1">
        <f t="shared" si="3"/>
        <v>63.95</v>
      </c>
      <c r="BH61" s="1">
        <f>IF($B61=0,"",RANK(BG61,BG$8:BG$73,0)+COUNTIF(BG$8:BG61,BG61)-1)</f>
        <v>48</v>
      </c>
      <c r="BI61" s="1">
        <f ca="1" t="shared" si="125"/>
        <v>48</v>
      </c>
      <c r="BJ61" s="273">
        <f ca="1" t="shared" si="126"/>
        <v>-2.01</v>
      </c>
      <c r="BK61" s="275">
        <f ca="1" t="shared" si="127"/>
        <v>-10</v>
      </c>
      <c r="BL61" s="1">
        <f t="shared" si="128"/>
        <v>43</v>
      </c>
      <c r="BM61" s="269">
        <f t="shared" si="129"/>
        <v>54</v>
      </c>
      <c r="BN61" s="269">
        <f t="shared" si="130"/>
        <v>1</v>
      </c>
      <c r="BO61" s="269">
        <f t="shared" si="131"/>
        <v>1</v>
      </c>
      <c r="BP61" s="268">
        <f t="shared" si="132"/>
        <v>54</v>
      </c>
      <c r="BQ61" s="1" t="str">
        <f t="shared" si="133"/>
        <v>Riyadh</v>
      </c>
      <c r="BR61" s="277">
        <f t="shared" si="134"/>
        <v>56.88</v>
      </c>
      <c r="BS61" s="277">
        <f ca="1" t="shared" si="135"/>
        <v>-5.21</v>
      </c>
      <c r="BT61" s="277" t="b">
        <f ca="1" t="shared" si="136"/>
        <v>0</v>
      </c>
      <c r="BU61" s="277">
        <f ca="1" t="shared" si="137"/>
        <v>-14</v>
      </c>
      <c r="BV61" s="277" t="b">
        <f ca="1" t="shared" si="138"/>
        <v>0</v>
      </c>
      <c r="BW61" s="294" t="str">
        <f ca="1" t="shared" si="139"/>
        <v/>
      </c>
      <c r="BX61" s="1">
        <f t="shared" si="4"/>
        <v>59.18</v>
      </c>
      <c r="BY61" s="1">
        <f>IF($B61=0,"",RANK(BX61,BX$8:BX$73,0)+COUNTIF(BX$8:BX61,BX61)-1)</f>
        <v>52</v>
      </c>
      <c r="BZ61" s="1">
        <f ca="1" t="shared" si="140"/>
        <v>52</v>
      </c>
      <c r="CA61" s="273">
        <f ca="1" t="shared" si="141"/>
        <v>2.34</v>
      </c>
      <c r="CB61" s="275">
        <f ca="1" t="shared" si="142"/>
        <v>-10</v>
      </c>
      <c r="CC61" s="1">
        <f t="shared" si="143"/>
        <v>24</v>
      </c>
      <c r="CD61" s="269">
        <f t="shared" si="144"/>
        <v>54</v>
      </c>
      <c r="CE61" s="269">
        <f t="shared" si="145"/>
        <v>1</v>
      </c>
      <c r="CF61" s="269">
        <f t="shared" si="146"/>
        <v>1</v>
      </c>
      <c r="CG61" s="268">
        <f t="shared" si="147"/>
        <v>54</v>
      </c>
      <c r="CH61" s="1" t="str">
        <f t="shared" si="148"/>
        <v>Johannesburg</v>
      </c>
      <c r="CI61" s="277">
        <f t="shared" si="149"/>
        <v>57.65</v>
      </c>
      <c r="CJ61" s="277">
        <f ca="1" t="shared" si="150"/>
        <v>-1.36</v>
      </c>
      <c r="CK61" s="277" t="b">
        <f ca="1" t="shared" si="151"/>
        <v>0</v>
      </c>
      <c r="CL61" s="277">
        <f ca="1" t="shared" si="152"/>
        <v>-14</v>
      </c>
      <c r="CM61" s="277" t="b">
        <f ca="1" t="shared" si="153"/>
        <v>0</v>
      </c>
      <c r="CN61" s="294" t="str">
        <f ca="1" t="shared" si="154"/>
        <v/>
      </c>
    </row>
    <row r="62" spans="1:92">
      <c r="A62" s="1">
        <f>tblTerritories!A57</f>
        <v>55</v>
      </c>
      <c r="B62" s="1">
        <f>IF(tblTerritories!F57="",0,tblTerritories!F57)</f>
        <v>1</v>
      </c>
      <c r="C62" s="1" t="str">
        <f>tblTerritories!C57</f>
        <v>Tokyo</v>
      </c>
      <c r="D62" s="1">
        <f>tblTerritories!D57</f>
        <v>1</v>
      </c>
      <c r="E62" s="1">
        <f>tblTerritories!K57</f>
        <v>0</v>
      </c>
      <c r="F62" s="1">
        <f>IF($A62="","",VLOOKUP(C62,tblTerritories!$J$3:$P$100,7,FALSE)+10)</f>
        <v>16</v>
      </c>
      <c r="H62" s="1">
        <f t="shared" si="0"/>
        <v>89.8</v>
      </c>
      <c r="I62" s="1">
        <f>IF($B62=0,"",RANK(H62,H$8:H$73,0)+COUNTIF(H$8:H62,H62)-1)</f>
        <v>1</v>
      </c>
      <c r="J62" s="1">
        <f ca="1" t="shared" si="80"/>
        <v>1</v>
      </c>
      <c r="K62" s="273">
        <f ca="1" t="shared" si="81"/>
        <v>3.5</v>
      </c>
      <c r="L62" s="275">
        <f ca="1" t="shared" si="82"/>
        <v>0</v>
      </c>
      <c r="M62" s="1">
        <f t="shared" si="83"/>
        <v>32</v>
      </c>
      <c r="N62" s="269">
        <f t="shared" si="84"/>
        <v>55</v>
      </c>
      <c r="O62" s="269">
        <f t="shared" si="85"/>
        <v>1</v>
      </c>
      <c r="P62" s="269">
        <f t="shared" si="86"/>
        <v>1</v>
      </c>
      <c r="Q62" s="268">
        <f t="shared" si="87"/>
        <v>55</v>
      </c>
      <c r="R62" s="1" t="str">
        <f t="shared" si="88"/>
        <v>Manila</v>
      </c>
      <c r="S62" s="277">
        <f t="shared" si="89"/>
        <v>54.86</v>
      </c>
      <c r="T62" s="277" t="str">
        <f ca="1" t="shared" si="90"/>
        <v/>
      </c>
      <c r="U62" s="277" t="b">
        <f ca="1" t="shared" si="91"/>
        <v>0</v>
      </c>
      <c r="V62" s="277" t="str">
        <f ca="1" t="shared" si="92"/>
        <v/>
      </c>
      <c r="W62" s="277" t="b">
        <f ca="1" t="shared" si="93"/>
        <v>0</v>
      </c>
      <c r="X62" s="294" t="str">
        <f ca="1" t="shared" si="94"/>
        <v> *</v>
      </c>
      <c r="Y62" s="1">
        <f t="shared" si="1"/>
        <v>88.4</v>
      </c>
      <c r="Z62" s="1">
        <f>IF($B62=0,"",RANK(Y62,Y$8:Y$73,0)+COUNTIF(Y$8:Y62,Y62)-1)</f>
        <v>1</v>
      </c>
      <c r="AA62" s="1">
        <f ca="1" t="shared" si="95"/>
        <v>1</v>
      </c>
      <c r="AB62" s="273">
        <f ca="1" t="shared" si="96"/>
        <v>4.72</v>
      </c>
      <c r="AC62" s="275">
        <f ca="1" t="shared" si="97"/>
        <v>0</v>
      </c>
      <c r="AD62" s="1">
        <f t="shared" si="98"/>
        <v>54</v>
      </c>
      <c r="AE62" s="269">
        <f t="shared" si="99"/>
        <v>55</v>
      </c>
      <c r="AF62" s="269">
        <f t="shared" si="100"/>
        <v>1</v>
      </c>
      <c r="AG62" s="269">
        <f t="shared" si="101"/>
        <v>1</v>
      </c>
      <c r="AH62" s="268">
        <f t="shared" si="102"/>
        <v>55</v>
      </c>
      <c r="AI62" s="1" t="str">
        <f t="shared" si="103"/>
        <v>Tehran</v>
      </c>
      <c r="AJ62" s="277">
        <f t="shared" si="104"/>
        <v>39.88</v>
      </c>
      <c r="AK62" s="277">
        <f ca="1" t="shared" si="105"/>
        <v>1.3</v>
      </c>
      <c r="AL62" s="277" t="b">
        <f ca="1" t="shared" si="106"/>
        <v>0</v>
      </c>
      <c r="AM62" s="277">
        <f ca="1" t="shared" si="107"/>
        <v>-9</v>
      </c>
      <c r="AN62" s="277" t="b">
        <f ca="1" t="shared" si="108"/>
        <v>0</v>
      </c>
      <c r="AO62" s="294" t="str">
        <f ca="1" t="shared" si="109"/>
        <v/>
      </c>
      <c r="AP62" s="1">
        <f t="shared" si="2"/>
        <v>85.63</v>
      </c>
      <c r="AQ62" s="1">
        <f>IF($B62=0,"",RANK(AP62,AP$8:AP$73,0)+COUNTIF(AP$8:AP62,AP62)-1)</f>
        <v>2</v>
      </c>
      <c r="AR62" s="1">
        <f ca="1" t="shared" si="110"/>
        <v>2</v>
      </c>
      <c r="AS62" s="273">
        <f ca="1" t="shared" si="111"/>
        <v>7.61</v>
      </c>
      <c r="AT62" s="275">
        <f ca="1" t="shared" si="112"/>
        <v>7</v>
      </c>
      <c r="AU62" s="1">
        <f t="shared" si="113"/>
        <v>37</v>
      </c>
      <c r="AV62" s="269">
        <f t="shared" si="114"/>
        <v>55</v>
      </c>
      <c r="AW62" s="269">
        <f t="shared" si="115"/>
        <v>1</v>
      </c>
      <c r="AX62" s="269">
        <f t="shared" si="116"/>
        <v>1</v>
      </c>
      <c r="AY62" s="268">
        <f t="shared" si="117"/>
        <v>55</v>
      </c>
      <c r="AZ62" s="1" t="str">
        <f t="shared" si="118"/>
        <v>Mumbai</v>
      </c>
      <c r="BA62" s="277">
        <f t="shared" si="119"/>
        <v>55.74</v>
      </c>
      <c r="BB62" s="277">
        <f ca="1" t="shared" si="120"/>
        <v>3.96</v>
      </c>
      <c r="BC62" s="277" t="b">
        <f ca="1" t="shared" si="121"/>
        <v>0</v>
      </c>
      <c r="BD62" s="277">
        <f ca="1" t="shared" si="122"/>
        <v>-9</v>
      </c>
      <c r="BE62" s="277" t="b">
        <f ca="1" t="shared" si="123"/>
        <v>0</v>
      </c>
      <c r="BF62" s="294" t="str">
        <f ca="1" t="shared" si="124"/>
        <v/>
      </c>
      <c r="BG62" s="1">
        <f t="shared" si="3"/>
        <v>93.59</v>
      </c>
      <c r="BH62" s="1">
        <f>IF($B62=0,"",RANK(BG62,BG$8:BG$73,0)+COUNTIF(BG$8:BG62,BG62)-1)</f>
        <v>12</v>
      </c>
      <c r="BI62" s="1">
        <f ca="1" t="shared" si="125"/>
        <v>12</v>
      </c>
      <c r="BJ62" s="273">
        <f ca="1" t="shared" si="126"/>
        <v>2.19</v>
      </c>
      <c r="BK62" s="275">
        <f ca="1" t="shared" si="127"/>
        <v>-7</v>
      </c>
      <c r="BL62" s="1">
        <f t="shared" si="128"/>
        <v>24</v>
      </c>
      <c r="BM62" s="269">
        <f t="shared" si="129"/>
        <v>55</v>
      </c>
      <c r="BN62" s="269">
        <f t="shared" si="130"/>
        <v>1</v>
      </c>
      <c r="BO62" s="269">
        <f t="shared" si="131"/>
        <v>1</v>
      </c>
      <c r="BP62" s="268">
        <f t="shared" si="132"/>
        <v>55</v>
      </c>
      <c r="BQ62" s="1" t="str">
        <f t="shared" si="133"/>
        <v>Johannesburg</v>
      </c>
      <c r="BR62" s="277">
        <f t="shared" si="134"/>
        <v>55.06</v>
      </c>
      <c r="BS62" s="277">
        <f ca="1" t="shared" si="135"/>
        <v>-9.09</v>
      </c>
      <c r="BT62" s="277" t="b">
        <f ca="1" t="shared" si="136"/>
        <v>0</v>
      </c>
      <c r="BU62" s="277">
        <f ca="1" t="shared" si="137"/>
        <v>-16</v>
      </c>
      <c r="BV62" s="277" t="b">
        <f ca="1" t="shared" si="138"/>
        <v>0</v>
      </c>
      <c r="BW62" s="294" t="str">
        <f ca="1" t="shared" si="139"/>
        <v/>
      </c>
      <c r="BX62" s="1">
        <f t="shared" si="4"/>
        <v>91.57</v>
      </c>
      <c r="BY62" s="1">
        <f>IF($B62=0,"",RANK(BX62,BX$8:BX$73,0)+COUNTIF(BX$8:BX62,BX62)-1)</f>
        <v>4</v>
      </c>
      <c r="BZ62" s="1">
        <f ca="1" t="shared" si="140"/>
        <v>4</v>
      </c>
      <c r="CA62" s="273">
        <f ca="1" t="shared" si="141"/>
        <v>-0.53</v>
      </c>
      <c r="CB62" s="275">
        <f ca="1" t="shared" si="142"/>
        <v>-1</v>
      </c>
      <c r="CC62" s="1">
        <f t="shared" si="143"/>
        <v>7</v>
      </c>
      <c r="CD62" s="269">
        <f t="shared" si="144"/>
        <v>55</v>
      </c>
      <c r="CE62" s="269">
        <f t="shared" si="145"/>
        <v>1</v>
      </c>
      <c r="CF62" s="269">
        <f t="shared" si="146"/>
        <v>1</v>
      </c>
      <c r="CG62" s="268">
        <f t="shared" si="147"/>
        <v>55</v>
      </c>
      <c r="CH62" s="1" t="str">
        <f t="shared" si="148"/>
        <v>Bogota</v>
      </c>
      <c r="CI62" s="277">
        <f t="shared" si="149"/>
        <v>55.66</v>
      </c>
      <c r="CJ62" s="277" t="str">
        <f ca="1" t="shared" si="150"/>
        <v/>
      </c>
      <c r="CK62" s="277" t="b">
        <f ca="1" t="shared" si="151"/>
        <v>0</v>
      </c>
      <c r="CL62" s="277" t="str">
        <f ca="1" t="shared" si="152"/>
        <v/>
      </c>
      <c r="CM62" s="277" t="b">
        <f ca="1" t="shared" si="153"/>
        <v>0</v>
      </c>
      <c r="CN62" s="294" t="str">
        <f ca="1" t="shared" si="154"/>
        <v> *</v>
      </c>
    </row>
    <row r="63" spans="1:92">
      <c r="A63" s="1">
        <f>tblTerritories!A58</f>
        <v>56</v>
      </c>
      <c r="B63" s="1">
        <f>IF(tblTerritories!F58="",0,tblTerritories!F58)</f>
        <v>1</v>
      </c>
      <c r="C63" s="1" t="str">
        <f>tblTerritories!C58</f>
        <v>Toronto</v>
      </c>
      <c r="D63" s="1">
        <f>tblTerritories!D58</f>
        <v>1</v>
      </c>
      <c r="E63" s="1">
        <f>tblTerritories!K58</f>
        <v>0</v>
      </c>
      <c r="F63" s="1">
        <f>IF($A63="","",VLOOKUP(C63,tblTerritories!$J$3:$P$100,7,FALSE)+10)</f>
        <v>14</v>
      </c>
      <c r="H63" s="1">
        <f t="shared" si="0"/>
        <v>87.36</v>
      </c>
      <c r="I63" s="1">
        <f>IF($B63=0,"",RANK(H63,H$8:H$73,0)+COUNTIF(H$8:H63,H63)-1)</f>
        <v>4</v>
      </c>
      <c r="J63" s="1">
        <f ca="1" t="shared" si="80"/>
        <v>4</v>
      </c>
      <c r="K63" s="273">
        <f ca="1" t="shared" si="81"/>
        <v>5.99</v>
      </c>
      <c r="L63" s="275">
        <f ca="1" t="shared" si="82"/>
        <v>2</v>
      </c>
      <c r="M63" s="1">
        <f t="shared" si="83"/>
        <v>19</v>
      </c>
      <c r="N63" s="269">
        <f t="shared" si="84"/>
        <v>56</v>
      </c>
      <c r="O63" s="269">
        <f t="shared" si="85"/>
        <v>1</v>
      </c>
      <c r="P63" s="269">
        <f t="shared" si="86"/>
        <v>1</v>
      </c>
      <c r="Q63" s="268">
        <f t="shared" si="87"/>
        <v>56</v>
      </c>
      <c r="R63" s="1" t="str">
        <f t="shared" si="88"/>
        <v>Ho Chi Minh City</v>
      </c>
      <c r="S63" s="277">
        <f t="shared" si="89"/>
        <v>54.33</v>
      </c>
      <c r="T63" s="277">
        <f ca="1" t="shared" si="90"/>
        <v>1.26</v>
      </c>
      <c r="U63" s="277" t="b">
        <f ca="1" t="shared" si="91"/>
        <v>0</v>
      </c>
      <c r="V63" s="277">
        <f ca="1" t="shared" si="92"/>
        <v>-10</v>
      </c>
      <c r="W63" s="277" t="b">
        <f ca="1" t="shared" si="93"/>
        <v>0</v>
      </c>
      <c r="X63" s="294" t="str">
        <f ca="1" t="shared" si="94"/>
        <v/>
      </c>
      <c r="Y63" s="1">
        <f t="shared" si="1"/>
        <v>85.33</v>
      </c>
      <c r="Z63" s="1">
        <f>IF($B63=0,"",RANK(Y63,Y$8:Y$73,0)+COUNTIF(Y$8:Y63,Y63)-1)</f>
        <v>6</v>
      </c>
      <c r="AA63" s="1">
        <f ca="1" t="shared" si="95"/>
        <v>6</v>
      </c>
      <c r="AB63" s="273">
        <f ca="1" t="shared" si="96"/>
        <v>12.29</v>
      </c>
      <c r="AC63" s="275">
        <f ca="1" t="shared" si="97"/>
        <v>3</v>
      </c>
      <c r="AD63" s="1">
        <f t="shared" si="98"/>
        <v>19</v>
      </c>
      <c r="AE63" s="269">
        <f t="shared" si="99"/>
        <v>56</v>
      </c>
      <c r="AF63" s="269">
        <f t="shared" si="100"/>
        <v>1</v>
      </c>
      <c r="AG63" s="269">
        <f t="shared" si="101"/>
        <v>1</v>
      </c>
      <c r="AH63" s="268">
        <f t="shared" si="102"/>
        <v>56</v>
      </c>
      <c r="AI63" s="1" t="str">
        <f t="shared" si="103"/>
        <v>Ho Chi Minh City</v>
      </c>
      <c r="AJ63" s="277">
        <f t="shared" si="104"/>
        <v>39.78</v>
      </c>
      <c r="AK63" s="277">
        <f ca="1" t="shared" si="105"/>
        <v>-5.53</v>
      </c>
      <c r="AL63" s="277" t="b">
        <f ca="1" t="shared" si="106"/>
        <v>0</v>
      </c>
      <c r="AM63" s="277">
        <f ca="1" t="shared" si="107"/>
        <v>-14</v>
      </c>
      <c r="AN63" s="277" t="b">
        <f ca="1" t="shared" si="108"/>
        <v>0</v>
      </c>
      <c r="AO63" s="294" t="str">
        <f ca="1" t="shared" si="109"/>
        <v/>
      </c>
      <c r="AP63" s="1">
        <f t="shared" si="2"/>
        <v>79.84</v>
      </c>
      <c r="AQ63" s="1">
        <f>IF($B63=0,"",RANK(AP63,AP$8:AP$73,0)+COUNTIF(AP$8:AP63,AP63)-1)</f>
        <v>11</v>
      </c>
      <c r="AR63" s="1">
        <f ca="1" t="shared" si="110"/>
        <v>11</v>
      </c>
      <c r="AS63" s="273">
        <f ca="1" t="shared" si="111"/>
        <v>7.51</v>
      </c>
      <c r="AT63" s="275">
        <f ca="1" t="shared" si="112"/>
        <v>9</v>
      </c>
      <c r="AU63" s="1">
        <f t="shared" si="113"/>
        <v>22</v>
      </c>
      <c r="AV63" s="269">
        <f t="shared" si="114"/>
        <v>56</v>
      </c>
      <c r="AW63" s="269">
        <f t="shared" si="115"/>
        <v>1</v>
      </c>
      <c r="AX63" s="269">
        <f t="shared" si="116"/>
        <v>1</v>
      </c>
      <c r="AY63" s="268">
        <f t="shared" si="117"/>
        <v>56</v>
      </c>
      <c r="AZ63" s="1" t="str">
        <f t="shared" si="118"/>
        <v>Jakarta</v>
      </c>
      <c r="BA63" s="277">
        <f t="shared" si="119"/>
        <v>54.4</v>
      </c>
      <c r="BB63" s="277">
        <f ca="1" t="shared" si="120"/>
        <v>-3.69</v>
      </c>
      <c r="BC63" s="277" t="b">
        <f ca="1" t="shared" si="121"/>
        <v>0</v>
      </c>
      <c r="BD63" s="277">
        <f ca="1" t="shared" si="122"/>
        <v>-18</v>
      </c>
      <c r="BE63" s="277" t="b">
        <f ca="1" t="shared" si="123"/>
        <v>0</v>
      </c>
      <c r="BF63" s="294" t="str">
        <f ca="1" t="shared" si="124"/>
        <v/>
      </c>
      <c r="BG63" s="1">
        <f t="shared" si="3"/>
        <v>92.75</v>
      </c>
      <c r="BH63" s="1">
        <f>IF($B63=0,"",RANK(BG63,BG$8:BG$73,0)+COUNTIF(BG$8:BG63,BG63)-1)</f>
        <v>14</v>
      </c>
      <c r="BI63" s="1">
        <f ca="1" t="shared" si="125"/>
        <v>14</v>
      </c>
      <c r="BJ63" s="273">
        <f ca="1" t="shared" si="126"/>
        <v>3.68</v>
      </c>
      <c r="BK63" s="275">
        <f ca="1" t="shared" si="127"/>
        <v>-7</v>
      </c>
      <c r="BL63" s="1">
        <f t="shared" si="128"/>
        <v>32</v>
      </c>
      <c r="BM63" s="269">
        <f t="shared" si="129"/>
        <v>56</v>
      </c>
      <c r="BN63" s="269">
        <f t="shared" si="130"/>
        <v>1</v>
      </c>
      <c r="BO63" s="269">
        <f t="shared" si="131"/>
        <v>1</v>
      </c>
      <c r="BP63" s="268">
        <f t="shared" si="132"/>
        <v>56</v>
      </c>
      <c r="BQ63" s="1" t="str">
        <f t="shared" si="133"/>
        <v>Manila</v>
      </c>
      <c r="BR63" s="277">
        <f t="shared" si="134"/>
        <v>52.89</v>
      </c>
      <c r="BS63" s="277" t="str">
        <f ca="1" t="shared" si="135"/>
        <v/>
      </c>
      <c r="BT63" s="277" t="b">
        <f ca="1" t="shared" si="136"/>
        <v>0</v>
      </c>
      <c r="BU63" s="277" t="str">
        <f ca="1" t="shared" si="137"/>
        <v/>
      </c>
      <c r="BV63" s="277" t="b">
        <f ca="1" t="shared" si="138"/>
        <v>0</v>
      </c>
      <c r="BW63" s="294" t="str">
        <f ca="1" t="shared" si="139"/>
        <v> *</v>
      </c>
      <c r="BX63" s="1">
        <f t="shared" si="4"/>
        <v>91.52</v>
      </c>
      <c r="BY63" s="1">
        <f>IF($B63=0,"",RANK(BX63,BX$8:BX$73,0)+COUNTIF(BX$8:BX63,BX63)-1)</f>
        <v>5</v>
      </c>
      <c r="BZ63" s="1">
        <f ca="1" t="shared" si="140"/>
        <v>5</v>
      </c>
      <c r="CA63" s="273">
        <f ca="1" t="shared" si="141"/>
        <v>0.49</v>
      </c>
      <c r="CB63" s="275">
        <f ca="1" t="shared" si="142"/>
        <v>0</v>
      </c>
      <c r="CC63" s="1">
        <f t="shared" si="143"/>
        <v>41</v>
      </c>
      <c r="CD63" s="269">
        <f t="shared" si="144"/>
        <v>56</v>
      </c>
      <c r="CE63" s="269">
        <f t="shared" si="145"/>
        <v>1</v>
      </c>
      <c r="CF63" s="269">
        <f t="shared" si="146"/>
        <v>1</v>
      </c>
      <c r="CG63" s="268">
        <f t="shared" si="147"/>
        <v>56</v>
      </c>
      <c r="CH63" s="1" t="str">
        <f t="shared" si="148"/>
        <v>Quito</v>
      </c>
      <c r="CI63" s="277">
        <f t="shared" si="149"/>
        <v>55.41</v>
      </c>
      <c r="CJ63" s="277" t="str">
        <f ca="1" t="shared" si="150"/>
        <v/>
      </c>
      <c r="CK63" s="277" t="b">
        <f ca="1" t="shared" si="151"/>
        <v>0</v>
      </c>
      <c r="CL63" s="277" t="str">
        <f ca="1" t="shared" si="152"/>
        <v/>
      </c>
      <c r="CM63" s="277" t="b">
        <f ca="1" t="shared" si="153"/>
        <v>0</v>
      </c>
      <c r="CN63" s="294" t="str">
        <f ca="1" t="shared" si="154"/>
        <v> *</v>
      </c>
    </row>
    <row r="64" spans="1:92">
      <c r="A64" s="1">
        <f>tblTerritories!A59</f>
        <v>57</v>
      </c>
      <c r="B64" s="1">
        <f>IF(tblTerritories!F59="",0,tblTerritories!F59)</f>
        <v>1</v>
      </c>
      <c r="C64" s="1" t="str">
        <f>tblTerritories!C59</f>
        <v>Washington DC</v>
      </c>
      <c r="D64" s="1">
        <f>tblTerritories!D59</f>
        <v>1</v>
      </c>
      <c r="E64" s="1">
        <f>tblTerritories!K59</f>
        <v>0</v>
      </c>
      <c r="F64" s="1">
        <f>IF($A64="","",VLOOKUP(C64,tblTerritories!$J$3:$P$100,7,FALSE)+10)</f>
        <v>14</v>
      </c>
      <c r="H64" s="1">
        <f t="shared" si="0"/>
        <v>80.37</v>
      </c>
      <c r="I64" s="1">
        <f>IF($B64=0,"",RANK(H64,H$8:H$73,0)+COUNTIF(H$8:H64,H64)-1)</f>
        <v>23</v>
      </c>
      <c r="J64" s="1">
        <f ca="1" t="shared" si="80"/>
        <v>23</v>
      </c>
      <c r="K64" s="273">
        <f ca="1" t="shared" si="81"/>
        <v>3.93</v>
      </c>
      <c r="L64" s="275">
        <f ca="1" t="shared" si="82"/>
        <v>-5</v>
      </c>
      <c r="M64" s="1">
        <f t="shared" si="83"/>
        <v>22</v>
      </c>
      <c r="N64" s="269">
        <f t="shared" si="84"/>
        <v>57</v>
      </c>
      <c r="O64" s="269">
        <f t="shared" si="85"/>
        <v>1</v>
      </c>
      <c r="P64" s="269">
        <f t="shared" si="86"/>
        <v>1</v>
      </c>
      <c r="Q64" s="268">
        <f t="shared" si="87"/>
        <v>57</v>
      </c>
      <c r="R64" s="1" t="str">
        <f t="shared" si="88"/>
        <v>Jakarta</v>
      </c>
      <c r="S64" s="277">
        <f t="shared" si="89"/>
        <v>53.39</v>
      </c>
      <c r="T64" s="277">
        <f ca="1" t="shared" si="90"/>
        <v>-1.11</v>
      </c>
      <c r="U64" s="277" t="b">
        <f ca="1" t="shared" si="91"/>
        <v>0</v>
      </c>
      <c r="V64" s="277">
        <f ca="1" t="shared" si="92"/>
        <v>-13</v>
      </c>
      <c r="W64" s="277" t="b">
        <f ca="1" t="shared" si="93"/>
        <v>0</v>
      </c>
      <c r="X64" s="294" t="str">
        <f ca="1" t="shared" si="94"/>
        <v/>
      </c>
      <c r="Y64" s="1">
        <f t="shared" si="1"/>
        <v>80.88</v>
      </c>
      <c r="Z64" s="1">
        <f>IF($B64=0,"",RANK(Y64,Y$8:Y$73,0)+COUNTIF(Y$8:Y64,Y64)-1)</f>
        <v>15</v>
      </c>
      <c r="AA64" s="1">
        <f ca="1" t="shared" si="95"/>
        <v>15</v>
      </c>
      <c r="AB64" s="273">
        <f ca="1" t="shared" si="96"/>
        <v>14.39</v>
      </c>
      <c r="AC64" s="275">
        <f ca="1" t="shared" si="97"/>
        <v>5</v>
      </c>
      <c r="AD64" s="1">
        <f t="shared" si="98"/>
        <v>59</v>
      </c>
      <c r="AE64" s="269">
        <f t="shared" si="99"/>
        <v>57</v>
      </c>
      <c r="AF64" s="269">
        <f t="shared" si="100"/>
        <v>1</v>
      </c>
      <c r="AG64" s="269">
        <f t="shared" si="101"/>
        <v>1</v>
      </c>
      <c r="AH64" s="268">
        <f t="shared" si="102"/>
        <v>57</v>
      </c>
      <c r="AI64" s="1" t="str">
        <f t="shared" si="103"/>
        <v>Yangon</v>
      </c>
      <c r="AJ64" s="277">
        <f t="shared" si="104"/>
        <v>39.07</v>
      </c>
      <c r="AK64" s="277" t="str">
        <f ca="1" t="shared" si="105"/>
        <v/>
      </c>
      <c r="AL64" s="277" t="b">
        <f ca="1" t="shared" si="106"/>
        <v>0</v>
      </c>
      <c r="AM64" s="277" t="str">
        <f ca="1" t="shared" si="107"/>
        <v/>
      </c>
      <c r="AN64" s="277" t="b">
        <f ca="1" t="shared" si="108"/>
        <v>0</v>
      </c>
      <c r="AO64" s="294" t="str">
        <f ca="1" t="shared" si="109"/>
        <v> *</v>
      </c>
      <c r="AP64" s="1">
        <f t="shared" si="2"/>
        <v>73.38</v>
      </c>
      <c r="AQ64" s="1">
        <f>IF($B64=0,"",RANK(AP64,AP$8:AP$73,0)+COUNTIF(AP$8:AP64,AP64)-1)</f>
        <v>23</v>
      </c>
      <c r="AR64" s="1">
        <f ca="1" t="shared" si="110"/>
        <v>23</v>
      </c>
      <c r="AS64" s="273">
        <f ca="1" t="shared" si="111"/>
        <v>-1.74</v>
      </c>
      <c r="AT64" s="275">
        <f ca="1" t="shared" si="112"/>
        <v>-6</v>
      </c>
      <c r="AU64" s="1">
        <f t="shared" si="113"/>
        <v>10</v>
      </c>
      <c r="AV64" s="269">
        <f t="shared" si="114"/>
        <v>57</v>
      </c>
      <c r="AW64" s="269">
        <f t="shared" si="115"/>
        <v>1</v>
      </c>
      <c r="AX64" s="269">
        <f t="shared" si="116"/>
        <v>1</v>
      </c>
      <c r="AY64" s="268">
        <f t="shared" si="117"/>
        <v>57</v>
      </c>
      <c r="AZ64" s="1" t="str">
        <f t="shared" si="118"/>
        <v>Cairo</v>
      </c>
      <c r="BA64" s="277">
        <f t="shared" si="119"/>
        <v>52.28</v>
      </c>
      <c r="BB64" s="277" t="str">
        <f ca="1" t="shared" si="120"/>
        <v/>
      </c>
      <c r="BC64" s="277" t="b">
        <f ca="1" t="shared" si="121"/>
        <v>0</v>
      </c>
      <c r="BD64" s="277" t="str">
        <f ca="1" t="shared" si="122"/>
        <v/>
      </c>
      <c r="BE64" s="277" t="b">
        <f ca="1" t="shared" si="123"/>
        <v>0</v>
      </c>
      <c r="BF64" s="294" t="str">
        <f ca="1" t="shared" si="124"/>
        <v> *</v>
      </c>
      <c r="BG64" s="1">
        <f t="shared" si="3"/>
        <v>82.38</v>
      </c>
      <c r="BH64" s="1">
        <f>IF($B64=0,"",RANK(BG64,BG$8:BG$73,0)+COUNTIF(BG$8:BG64,BG64)-1)</f>
        <v>28</v>
      </c>
      <c r="BI64" s="1">
        <f ca="1" t="shared" si="125"/>
        <v>28</v>
      </c>
      <c r="BJ64" s="273">
        <f ca="1" t="shared" si="126"/>
        <v>1.76</v>
      </c>
      <c r="BK64" s="275">
        <f ca="1" t="shared" si="127"/>
        <v>-6</v>
      </c>
      <c r="BL64" s="1">
        <f t="shared" si="128"/>
        <v>41</v>
      </c>
      <c r="BM64" s="269">
        <f t="shared" si="129"/>
        <v>57</v>
      </c>
      <c r="BN64" s="269">
        <f t="shared" si="130"/>
        <v>1</v>
      </c>
      <c r="BO64" s="269">
        <f t="shared" si="131"/>
        <v>1</v>
      </c>
      <c r="BP64" s="268">
        <f t="shared" si="132"/>
        <v>57</v>
      </c>
      <c r="BQ64" s="1" t="str">
        <f t="shared" si="133"/>
        <v>Quito</v>
      </c>
      <c r="BR64" s="277">
        <f t="shared" si="134"/>
        <v>52.03</v>
      </c>
      <c r="BS64" s="277" t="str">
        <f ca="1" t="shared" si="135"/>
        <v/>
      </c>
      <c r="BT64" s="277" t="b">
        <f ca="1" t="shared" si="136"/>
        <v>0</v>
      </c>
      <c r="BU64" s="277" t="str">
        <f ca="1" t="shared" si="137"/>
        <v/>
      </c>
      <c r="BV64" s="277" t="b">
        <f ca="1" t="shared" si="138"/>
        <v>0</v>
      </c>
      <c r="BW64" s="294" t="str">
        <f ca="1" t="shared" si="139"/>
        <v> *</v>
      </c>
      <c r="BX64" s="1">
        <f t="shared" si="4"/>
        <v>84.82</v>
      </c>
      <c r="BY64" s="1">
        <f>IF($B64=0,"",RANK(BX64,BX$8:BX$73,0)+COUNTIF(BX$8:BX64,BX64)-1)</f>
        <v>18</v>
      </c>
      <c r="BZ64" s="1">
        <f ca="1" t="shared" si="140"/>
        <v>18</v>
      </c>
      <c r="CA64" s="273">
        <f ca="1" t="shared" si="141"/>
        <v>1.28</v>
      </c>
      <c r="CB64" s="275">
        <f ca="1" t="shared" si="142"/>
        <v>-6</v>
      </c>
      <c r="CC64" s="1">
        <f t="shared" si="143"/>
        <v>59</v>
      </c>
      <c r="CD64" s="269">
        <f t="shared" si="144"/>
        <v>57</v>
      </c>
      <c r="CE64" s="269">
        <f t="shared" si="145"/>
        <v>1</v>
      </c>
      <c r="CF64" s="269">
        <f t="shared" si="146"/>
        <v>1</v>
      </c>
      <c r="CG64" s="268">
        <f t="shared" si="147"/>
        <v>57</v>
      </c>
      <c r="CH64" s="1" t="str">
        <f t="shared" si="148"/>
        <v>Yangon</v>
      </c>
      <c r="CI64" s="277">
        <f t="shared" si="149"/>
        <v>52.43</v>
      </c>
      <c r="CJ64" s="277" t="str">
        <f ca="1" t="shared" si="150"/>
        <v/>
      </c>
      <c r="CK64" s="277" t="b">
        <f ca="1" t="shared" si="151"/>
        <v>0</v>
      </c>
      <c r="CL64" s="277" t="str">
        <f ca="1" t="shared" si="152"/>
        <v/>
      </c>
      <c r="CM64" s="277" t="b">
        <f ca="1" t="shared" si="153"/>
        <v>0</v>
      </c>
      <c r="CN64" s="294" t="str">
        <f ca="1" t="shared" si="154"/>
        <v> *</v>
      </c>
    </row>
    <row r="65" spans="1:92">
      <c r="A65" s="1">
        <f>tblTerritories!A60</f>
        <v>58</v>
      </c>
      <c r="B65" s="1">
        <f>IF(tblTerritories!F60="",0,tblTerritories!F60)</f>
        <v>1</v>
      </c>
      <c r="C65" s="1" t="str">
        <f>tblTerritories!C60</f>
        <v>Wellington</v>
      </c>
      <c r="D65" s="1">
        <f>tblTerritories!D60</f>
        <v>1</v>
      </c>
      <c r="E65" s="1">
        <f>tblTerritories!K60</f>
        <v>0</v>
      </c>
      <c r="F65" s="1">
        <f>IF($A65="","",VLOOKUP(C65,tblTerritories!$J$3:$P$100,7,FALSE)+10)</f>
        <v>16</v>
      </c>
      <c r="H65" s="1">
        <f t="shared" si="0"/>
        <v>83.18</v>
      </c>
      <c r="I65" s="1">
        <f>IF($B65=0,"",RANK(H65,H$8:H$73,0)+COUNTIF(H$8:H65,H65)-1)</f>
        <v>16</v>
      </c>
      <c r="J65" s="1">
        <f ca="1" t="shared" si="80"/>
        <v>16</v>
      </c>
      <c r="K65" s="273" t="e">
        <f ca="1" t="shared" si="81"/>
        <v>#N/A</v>
      </c>
      <c r="L65" s="275" t="e">
        <f ca="1" t="shared" si="82"/>
        <v>#N/A</v>
      </c>
      <c r="M65" s="1">
        <f t="shared" si="83"/>
        <v>16</v>
      </c>
      <c r="N65" s="269">
        <f t="shared" si="84"/>
        <v>58</v>
      </c>
      <c r="O65" s="269">
        <f t="shared" si="85"/>
        <v>1</v>
      </c>
      <c r="P65" s="269">
        <f t="shared" si="86"/>
        <v>1</v>
      </c>
      <c r="Q65" s="268">
        <f t="shared" si="87"/>
        <v>58</v>
      </c>
      <c r="R65" s="1" t="str">
        <f t="shared" si="88"/>
        <v>Dhaka</v>
      </c>
      <c r="S65" s="277">
        <f t="shared" si="89"/>
        <v>47.37</v>
      </c>
      <c r="T65" s="277" t="str">
        <f ca="1" t="shared" si="90"/>
        <v/>
      </c>
      <c r="U65" s="277" t="b">
        <f ca="1" t="shared" si="91"/>
        <v>0</v>
      </c>
      <c r="V65" s="277" t="str">
        <f ca="1" t="shared" si="92"/>
        <v/>
      </c>
      <c r="W65" s="277" t="b">
        <f ca="1" t="shared" si="93"/>
        <v>0</v>
      </c>
      <c r="X65" s="294" t="str">
        <f ca="1" t="shared" si="94"/>
        <v> *</v>
      </c>
      <c r="Y65" s="1">
        <f t="shared" si="1"/>
        <v>74.8</v>
      </c>
      <c r="Z65" s="1">
        <f>IF($B65=0,"",RANK(Y65,Y$8:Y$73,0)+COUNTIF(Y$8:Y65,Y65)-1)</f>
        <v>20</v>
      </c>
      <c r="AA65" s="1">
        <f ca="1" t="shared" si="95"/>
        <v>20</v>
      </c>
      <c r="AB65" s="273" t="e">
        <f ca="1" t="shared" si="96"/>
        <v>#N/A</v>
      </c>
      <c r="AC65" s="275" t="e">
        <f ca="1" t="shared" si="97"/>
        <v>#N/A</v>
      </c>
      <c r="AD65" s="1">
        <f t="shared" si="98"/>
        <v>16</v>
      </c>
      <c r="AE65" s="269">
        <f t="shared" si="99"/>
        <v>58</v>
      </c>
      <c r="AF65" s="269">
        <f t="shared" si="100"/>
        <v>1</v>
      </c>
      <c r="AG65" s="269">
        <f t="shared" si="101"/>
        <v>1</v>
      </c>
      <c r="AH65" s="268">
        <f t="shared" si="102"/>
        <v>58</v>
      </c>
      <c r="AI65" s="1" t="str">
        <f t="shared" si="103"/>
        <v>Dhaka</v>
      </c>
      <c r="AJ65" s="277">
        <f t="shared" si="104"/>
        <v>38.33</v>
      </c>
      <c r="AK65" s="277" t="str">
        <f ca="1" t="shared" si="105"/>
        <v/>
      </c>
      <c r="AL65" s="277" t="b">
        <f ca="1" t="shared" si="106"/>
        <v>0</v>
      </c>
      <c r="AM65" s="277" t="str">
        <f ca="1" t="shared" si="107"/>
        <v/>
      </c>
      <c r="AN65" s="277" t="b">
        <f ca="1" t="shared" si="108"/>
        <v>0</v>
      </c>
      <c r="AO65" s="294" t="str">
        <f ca="1" t="shared" si="109"/>
        <v> *</v>
      </c>
      <c r="AP65" s="1">
        <f t="shared" si="2"/>
        <v>69.51</v>
      </c>
      <c r="AQ65" s="1">
        <f>IF($B65=0,"",RANK(AP65,AP$8:AP$73,0)+COUNTIF(AP$8:AP65,AP65)-1)</f>
        <v>32</v>
      </c>
      <c r="AR65" s="1">
        <f ca="1" t="shared" si="110"/>
        <v>32</v>
      </c>
      <c r="AS65" s="273" t="e">
        <f ca="1" t="shared" si="111"/>
        <v>#N/A</v>
      </c>
      <c r="AT65" s="275" t="e">
        <f ca="1" t="shared" si="112"/>
        <v>#N/A</v>
      </c>
      <c r="AU65" s="1">
        <f t="shared" si="113"/>
        <v>59</v>
      </c>
      <c r="AV65" s="269">
        <f t="shared" si="114"/>
        <v>58</v>
      </c>
      <c r="AW65" s="269">
        <f t="shared" si="115"/>
        <v>1</v>
      </c>
      <c r="AX65" s="269">
        <f t="shared" si="116"/>
        <v>1</v>
      </c>
      <c r="AY65" s="268">
        <f t="shared" si="117"/>
        <v>58</v>
      </c>
      <c r="AZ65" s="1" t="str">
        <f t="shared" si="118"/>
        <v>Yangon</v>
      </c>
      <c r="BA65" s="277">
        <f t="shared" si="119"/>
        <v>45.79</v>
      </c>
      <c r="BB65" s="277" t="str">
        <f ca="1" t="shared" si="120"/>
        <v/>
      </c>
      <c r="BC65" s="277" t="b">
        <f ca="1" t="shared" si="121"/>
        <v>0</v>
      </c>
      <c r="BD65" s="277" t="str">
        <f ca="1" t="shared" si="122"/>
        <v/>
      </c>
      <c r="BE65" s="277" t="b">
        <f ca="1" t="shared" si="123"/>
        <v>0</v>
      </c>
      <c r="BF65" s="294" t="str">
        <f ca="1" t="shared" si="124"/>
        <v> *</v>
      </c>
      <c r="BG65" s="1">
        <f t="shared" si="3"/>
        <v>96.13</v>
      </c>
      <c r="BH65" s="1">
        <f>IF($B65=0,"",RANK(BG65,BG$8:BG$73,0)+COUNTIF(BG$8:BG65,BG65)-1)</f>
        <v>5</v>
      </c>
      <c r="BI65" s="1">
        <f ca="1" t="shared" si="125"/>
        <v>5</v>
      </c>
      <c r="BJ65" s="273" t="e">
        <f ca="1" t="shared" si="126"/>
        <v>#N/A</v>
      </c>
      <c r="BK65" s="275" t="e">
        <f ca="1" t="shared" si="127"/>
        <v>#N/A</v>
      </c>
      <c r="BL65" s="1">
        <f t="shared" si="128"/>
        <v>59</v>
      </c>
      <c r="BM65" s="269">
        <f t="shared" si="129"/>
        <v>58</v>
      </c>
      <c r="BN65" s="269">
        <f t="shared" si="130"/>
        <v>1</v>
      </c>
      <c r="BO65" s="269">
        <f t="shared" si="131"/>
        <v>1</v>
      </c>
      <c r="BP65" s="268">
        <f t="shared" si="132"/>
        <v>58</v>
      </c>
      <c r="BQ65" s="1" t="str">
        <f t="shared" si="133"/>
        <v>Yangon</v>
      </c>
      <c r="BR65" s="277">
        <f t="shared" si="134"/>
        <v>48.58</v>
      </c>
      <c r="BS65" s="277" t="str">
        <f ca="1" t="shared" si="135"/>
        <v/>
      </c>
      <c r="BT65" s="277" t="b">
        <f ca="1" t="shared" si="136"/>
        <v>0</v>
      </c>
      <c r="BU65" s="277" t="str">
        <f ca="1" t="shared" si="137"/>
        <v/>
      </c>
      <c r="BV65" s="277" t="b">
        <f ca="1" t="shared" si="138"/>
        <v>0</v>
      </c>
      <c r="BW65" s="294" t="str">
        <f ca="1" t="shared" si="139"/>
        <v> *</v>
      </c>
      <c r="BX65" s="1">
        <f t="shared" si="4"/>
        <v>92.28</v>
      </c>
      <c r="BY65" s="1">
        <f>IF($B65=0,"",RANK(BX65,BX$8:BX$73,0)+COUNTIF(BX$8:BX65,BX65)-1)</f>
        <v>2</v>
      </c>
      <c r="BZ65" s="1">
        <f ca="1" t="shared" si="140"/>
        <v>2</v>
      </c>
      <c r="CA65" s="273" t="e">
        <f ca="1" t="shared" si="141"/>
        <v>#N/A</v>
      </c>
      <c r="CB65" s="275" t="e">
        <f ca="1" t="shared" si="142"/>
        <v>#N/A</v>
      </c>
      <c r="CC65" s="1">
        <f t="shared" si="143"/>
        <v>19</v>
      </c>
      <c r="CD65" s="269">
        <f t="shared" si="144"/>
        <v>58</v>
      </c>
      <c r="CE65" s="269">
        <f t="shared" si="145"/>
        <v>1</v>
      </c>
      <c r="CF65" s="269">
        <f t="shared" si="146"/>
        <v>1</v>
      </c>
      <c r="CG65" s="268">
        <f t="shared" si="147"/>
        <v>58</v>
      </c>
      <c r="CH65" s="1" t="str">
        <f t="shared" si="148"/>
        <v>Ho Chi Minh City</v>
      </c>
      <c r="CI65" s="277">
        <f t="shared" si="149"/>
        <v>50.53</v>
      </c>
      <c r="CJ65" s="277">
        <f ca="1" t="shared" si="150"/>
        <v>-10.97</v>
      </c>
      <c r="CK65" s="277" t="b">
        <f ca="1" t="shared" si="151"/>
        <v>0</v>
      </c>
      <c r="CL65" s="277">
        <f ca="1" t="shared" si="152"/>
        <v>-20</v>
      </c>
      <c r="CM65" s="277" t="b">
        <f ca="1" t="shared" si="153"/>
        <v>0</v>
      </c>
      <c r="CN65" s="294" t="str">
        <f ca="1" t="shared" si="154"/>
        <v/>
      </c>
    </row>
    <row r="66" spans="1:92">
      <c r="A66" s="1">
        <f>tblTerritories!A61</f>
        <v>59</v>
      </c>
      <c r="B66" s="1">
        <f>IF(tblTerritories!F61="",0,tblTerritories!F61)</f>
        <v>1</v>
      </c>
      <c r="C66" s="1" t="str">
        <f>tblTerritories!C61</f>
        <v>Yangon</v>
      </c>
      <c r="D66" s="1">
        <f>tblTerritories!D61</f>
        <v>1</v>
      </c>
      <c r="E66" s="1">
        <f>tblTerritories!K61</f>
        <v>0</v>
      </c>
      <c r="F66" s="1">
        <f>IF($A66="","",VLOOKUP(C66,tblTerritories!$J$3:$P$100,7,FALSE)+10)</f>
        <v>18</v>
      </c>
      <c r="H66" s="1">
        <f t="shared" si="0"/>
        <v>46.47</v>
      </c>
      <c r="I66" s="1">
        <f>IF($B66=0,"",RANK(H66,H$8:H$73,0)+COUNTIF(H$8:H66,H66)-1)</f>
        <v>59</v>
      </c>
      <c r="J66" s="1">
        <f ca="1" t="shared" si="80"/>
        <v>59</v>
      </c>
      <c r="K66" s="273" t="e">
        <f ca="1" t="shared" si="81"/>
        <v>#N/A</v>
      </c>
      <c r="L66" s="275" t="e">
        <f ca="1" t="shared" si="82"/>
        <v>#N/A</v>
      </c>
      <c r="M66" s="1">
        <f t="shared" si="83"/>
        <v>59</v>
      </c>
      <c r="N66" s="269">
        <f t="shared" si="84"/>
        <v>59</v>
      </c>
      <c r="O66" s="269">
        <f t="shared" si="85"/>
        <v>1</v>
      </c>
      <c r="P66" s="269">
        <f t="shared" si="86"/>
        <v>1</v>
      </c>
      <c r="Q66" s="268">
        <f t="shared" si="87"/>
        <v>59</v>
      </c>
      <c r="R66" s="1" t="str">
        <f t="shared" si="88"/>
        <v>Yangon</v>
      </c>
      <c r="S66" s="277">
        <f t="shared" si="89"/>
        <v>46.47</v>
      </c>
      <c r="T66" s="277" t="str">
        <f ca="1" t="shared" si="90"/>
        <v/>
      </c>
      <c r="U66" s="277" t="b">
        <f ca="1" t="shared" si="91"/>
        <v>0</v>
      </c>
      <c r="V66" s="277" t="str">
        <f ca="1" t="shared" si="92"/>
        <v/>
      </c>
      <c r="W66" s="277" t="b">
        <f ca="1" t="shared" si="93"/>
        <v>0</v>
      </c>
      <c r="X66" s="294" t="str">
        <f ca="1" t="shared" si="94"/>
        <v> *</v>
      </c>
      <c r="Y66" s="1">
        <f t="shared" si="1"/>
        <v>39.07</v>
      </c>
      <c r="Z66" s="1">
        <f>IF($B66=0,"",RANK(Y66,Y$8:Y$73,0)+COUNTIF(Y$8:Y66,Y66)-1)</f>
        <v>57</v>
      </c>
      <c r="AA66" s="1">
        <f ca="1" t="shared" si="95"/>
        <v>57</v>
      </c>
      <c r="AB66" s="273" t="e">
        <f ca="1" t="shared" si="96"/>
        <v>#N/A</v>
      </c>
      <c r="AC66" s="275" t="e">
        <f ca="1" t="shared" si="97"/>
        <v>#N/A</v>
      </c>
      <c r="AD66" s="1">
        <f t="shared" si="98"/>
        <v>32</v>
      </c>
      <c r="AE66" s="269">
        <f t="shared" si="99"/>
        <v>59</v>
      </c>
      <c r="AF66" s="269">
        <f t="shared" si="100"/>
        <v>1</v>
      </c>
      <c r="AG66" s="269">
        <f t="shared" si="101"/>
        <v>1</v>
      </c>
      <c r="AH66" s="268">
        <f t="shared" si="102"/>
        <v>59</v>
      </c>
      <c r="AI66" s="1" t="str">
        <f t="shared" si="103"/>
        <v>Manila</v>
      </c>
      <c r="AJ66" s="277">
        <f t="shared" si="104"/>
        <v>36.61</v>
      </c>
      <c r="AK66" s="277" t="str">
        <f ca="1" t="shared" si="105"/>
        <v/>
      </c>
      <c r="AL66" s="277" t="b">
        <f ca="1" t="shared" si="106"/>
        <v>0</v>
      </c>
      <c r="AM66" s="277" t="str">
        <f ca="1" t="shared" si="107"/>
        <v/>
      </c>
      <c r="AN66" s="277" t="b">
        <f ca="1" t="shared" si="108"/>
        <v>0</v>
      </c>
      <c r="AO66" s="294" t="str">
        <f ca="1" t="shared" si="109"/>
        <v> *</v>
      </c>
      <c r="AP66" s="1">
        <f t="shared" si="2"/>
        <v>45.79</v>
      </c>
      <c r="AQ66" s="1">
        <f>IF($B66=0,"",RANK(AP66,AP$8:AP$73,0)+COUNTIF(AP$8:AP66,AP66)-1)</f>
        <v>58</v>
      </c>
      <c r="AR66" s="1">
        <f ca="1" t="shared" si="110"/>
        <v>58</v>
      </c>
      <c r="AS66" s="273" t="e">
        <f ca="1" t="shared" si="111"/>
        <v>#N/A</v>
      </c>
      <c r="AT66" s="275" t="e">
        <f ca="1" t="shared" si="112"/>
        <v>#N/A</v>
      </c>
      <c r="AU66" s="1">
        <f t="shared" si="113"/>
        <v>16</v>
      </c>
      <c r="AV66" s="269">
        <f t="shared" si="114"/>
        <v>59</v>
      </c>
      <c r="AW66" s="269">
        <f t="shared" si="115"/>
        <v>1</v>
      </c>
      <c r="AX66" s="269">
        <f t="shared" si="116"/>
        <v>1</v>
      </c>
      <c r="AY66" s="268">
        <f t="shared" si="117"/>
        <v>59</v>
      </c>
      <c r="AZ66" s="1" t="str">
        <f t="shared" si="118"/>
        <v>Dhaka</v>
      </c>
      <c r="BA66" s="277">
        <f t="shared" si="119"/>
        <v>45.59</v>
      </c>
      <c r="BB66" s="277" t="str">
        <f ca="1" t="shared" si="120"/>
        <v/>
      </c>
      <c r="BC66" s="277" t="b">
        <f ca="1" t="shared" si="121"/>
        <v>0</v>
      </c>
      <c r="BD66" s="277" t="str">
        <f ca="1" t="shared" si="122"/>
        <v/>
      </c>
      <c r="BE66" s="277" t="b">
        <f ca="1" t="shared" si="123"/>
        <v>0</v>
      </c>
      <c r="BF66" s="294" t="str">
        <f ca="1" t="shared" si="124"/>
        <v> *</v>
      </c>
      <c r="BG66" s="1">
        <f t="shared" si="3"/>
        <v>48.58</v>
      </c>
      <c r="BH66" s="1">
        <f>IF($B66=0,"",RANK(BG66,BG$8:BG$73,0)+COUNTIF(BG$8:BG66,BG66)-1)</f>
        <v>58</v>
      </c>
      <c r="BI66" s="1">
        <f ca="1" t="shared" si="125"/>
        <v>58</v>
      </c>
      <c r="BJ66" s="273" t="e">
        <f ca="1" t="shared" si="126"/>
        <v>#N/A</v>
      </c>
      <c r="BK66" s="275" t="e">
        <f ca="1" t="shared" si="127"/>
        <v>#N/A</v>
      </c>
      <c r="BL66" s="1">
        <f t="shared" si="128"/>
        <v>25</v>
      </c>
      <c r="BM66" s="269">
        <f t="shared" si="129"/>
        <v>59</v>
      </c>
      <c r="BN66" s="269">
        <f t="shared" si="130"/>
        <v>1</v>
      </c>
      <c r="BO66" s="269">
        <f t="shared" si="131"/>
        <v>1</v>
      </c>
      <c r="BP66" s="268">
        <f t="shared" si="132"/>
        <v>59</v>
      </c>
      <c r="BQ66" s="1" t="str">
        <f t="shared" si="133"/>
        <v>Karachi</v>
      </c>
      <c r="BR66" s="277">
        <f t="shared" si="134"/>
        <v>40.11</v>
      </c>
      <c r="BS66" s="277" t="str">
        <f ca="1" t="shared" si="135"/>
        <v/>
      </c>
      <c r="BT66" s="277" t="b">
        <f ca="1" t="shared" si="136"/>
        <v>0</v>
      </c>
      <c r="BU66" s="277" t="str">
        <f ca="1" t="shared" si="137"/>
        <v/>
      </c>
      <c r="BV66" s="277" t="b">
        <f ca="1" t="shared" si="138"/>
        <v>0</v>
      </c>
      <c r="BW66" s="294" t="str">
        <f ca="1" t="shared" si="139"/>
        <v> *</v>
      </c>
      <c r="BX66" s="1">
        <f t="shared" si="4"/>
        <v>52.43</v>
      </c>
      <c r="BY66" s="1">
        <f>IF($B66=0,"",RANK(BX66,BX$8:BX$73,0)+COUNTIF(BX$8:BX66,BX66)-1)</f>
        <v>57</v>
      </c>
      <c r="BZ66" s="1">
        <f ca="1" t="shared" si="140"/>
        <v>57</v>
      </c>
      <c r="CA66" s="273" t="e">
        <f ca="1" t="shared" si="141"/>
        <v>#N/A</v>
      </c>
      <c r="CB66" s="275" t="e">
        <f ca="1" t="shared" si="142"/>
        <v>#N/A</v>
      </c>
      <c r="CC66" s="1">
        <f t="shared" si="143"/>
        <v>11</v>
      </c>
      <c r="CD66" s="269">
        <f t="shared" si="144"/>
        <v>59</v>
      </c>
      <c r="CE66" s="269">
        <f t="shared" si="145"/>
        <v>1</v>
      </c>
      <c r="CF66" s="269">
        <f t="shared" si="146"/>
        <v>1</v>
      </c>
      <c r="CG66" s="268">
        <f t="shared" si="147"/>
        <v>59</v>
      </c>
      <c r="CH66" s="1" t="str">
        <f t="shared" si="148"/>
        <v>Caracas</v>
      </c>
      <c r="CI66" s="277">
        <f t="shared" si="149"/>
        <v>47.36</v>
      </c>
      <c r="CJ66" s="277" t="str">
        <f ca="1" t="shared" si="150"/>
        <v/>
      </c>
      <c r="CK66" s="277" t="b">
        <f ca="1" t="shared" si="151"/>
        <v>0</v>
      </c>
      <c r="CL66" s="277" t="str">
        <f ca="1" t="shared" si="152"/>
        <v/>
      </c>
      <c r="CM66" s="277" t="b">
        <f ca="1" t="shared" si="153"/>
        <v>0</v>
      </c>
      <c r="CN66" s="294" t="str">
        <f ca="1" t="shared" si="154"/>
        <v> *</v>
      </c>
    </row>
    <row r="67" spans="1:92">
      <c r="A67" s="1">
        <f>tblTerritories!A62</f>
        <v>60</v>
      </c>
      <c r="B67" s="1">
        <f>IF(tblTerritories!F62="",0,tblTerritories!F62)</f>
        <v>1</v>
      </c>
      <c r="C67" s="1" t="str">
        <f>tblTerritories!C62</f>
        <v>Zurich</v>
      </c>
      <c r="D67" s="1">
        <f>tblTerritories!D62</f>
        <v>1</v>
      </c>
      <c r="E67" s="1">
        <f>tblTerritories!K62</f>
        <v>0</v>
      </c>
      <c r="F67" s="1">
        <f>IF($A67="","",VLOOKUP(C67,tblTerritories!$J$3:$P$100,7,FALSE)+10)</f>
        <v>11</v>
      </c>
      <c r="H67" s="1">
        <f t="shared" si="0"/>
        <v>85.2</v>
      </c>
      <c r="I67" s="1">
        <f>IF($B67=0,"",RANK(H67,H$8:H$73,0)+COUNTIF(H$8:H67,H67)-1)</f>
        <v>10</v>
      </c>
      <c r="J67" s="1">
        <f ca="1" t="shared" si="80"/>
        <v>10</v>
      </c>
      <c r="K67" s="273">
        <f ca="1" t="shared" si="81"/>
        <v>4.38</v>
      </c>
      <c r="L67" s="275">
        <f ca="1" t="shared" si="82"/>
        <v>-1</v>
      </c>
      <c r="M67" s="1">
        <f t="shared" si="83"/>
        <v>25</v>
      </c>
      <c r="N67" s="269">
        <f t="shared" si="84"/>
        <v>60</v>
      </c>
      <c r="O67" s="269">
        <f t="shared" si="85"/>
        <v>1</v>
      </c>
      <c r="P67" s="269">
        <f t="shared" si="86"/>
        <v>1</v>
      </c>
      <c r="Q67" s="268">
        <f t="shared" si="87"/>
        <v>60</v>
      </c>
      <c r="R67" s="1" t="str">
        <f t="shared" si="88"/>
        <v>Karachi</v>
      </c>
      <c r="S67" s="277">
        <f t="shared" si="89"/>
        <v>38.77</v>
      </c>
      <c r="T67" s="277" t="str">
        <f ca="1" t="shared" si="90"/>
        <v/>
      </c>
      <c r="U67" s="277" t="b">
        <f ca="1" t="shared" si="91"/>
        <v>0</v>
      </c>
      <c r="V67" s="277" t="str">
        <f ca="1" t="shared" si="92"/>
        <v/>
      </c>
      <c r="W67" s="277" t="b">
        <f ca="1" t="shared" si="93"/>
        <v>0</v>
      </c>
      <c r="X67" s="294" t="str">
        <f ca="1" t="shared" si="94"/>
        <v> *</v>
      </c>
      <c r="Y67" s="1">
        <f t="shared" si="1"/>
        <v>77.98</v>
      </c>
      <c r="Z67" s="1">
        <f>IF($B67=0,"",RANK(Y67,Y$8:Y$73,0)+COUNTIF(Y$8:Y67,Y67)-1)</f>
        <v>19</v>
      </c>
      <c r="AA67" s="1">
        <f ca="1" t="shared" si="95"/>
        <v>19</v>
      </c>
      <c r="AB67" s="273">
        <f ca="1" t="shared" si="96"/>
        <v>9.94</v>
      </c>
      <c r="AC67" s="275">
        <f ca="1" t="shared" si="97"/>
        <v>-2</v>
      </c>
      <c r="AD67" s="1">
        <f t="shared" si="98"/>
        <v>22</v>
      </c>
      <c r="AE67" s="269">
        <f t="shared" si="99"/>
        <v>60</v>
      </c>
      <c r="AF67" s="269">
        <f t="shared" si="100"/>
        <v>1</v>
      </c>
      <c r="AG67" s="269">
        <f t="shared" si="101"/>
        <v>1</v>
      </c>
      <c r="AH67" s="268">
        <f t="shared" si="102"/>
        <v>60</v>
      </c>
      <c r="AI67" s="1" t="str">
        <f t="shared" si="103"/>
        <v>Jakarta</v>
      </c>
      <c r="AJ67" s="277">
        <f t="shared" si="104"/>
        <v>36.6</v>
      </c>
      <c r="AK67" s="277">
        <f ca="1" t="shared" si="105"/>
        <v>-8.38</v>
      </c>
      <c r="AL67" s="277" t="b">
        <f ca="1" t="shared" si="106"/>
        <v>0</v>
      </c>
      <c r="AM67" s="277">
        <f ca="1" t="shared" si="107"/>
        <v>-17</v>
      </c>
      <c r="AN67" s="277" t="b">
        <f ca="1" t="shared" si="108"/>
        <v>0</v>
      </c>
      <c r="AO67" s="294" t="str">
        <f ca="1" t="shared" si="109"/>
        <v/>
      </c>
      <c r="AP67" s="1">
        <f t="shared" si="2"/>
        <v>83.39</v>
      </c>
      <c r="AQ67" s="1">
        <f>IF($B67=0,"",RANK(AP67,AP$8:AP$73,0)+COUNTIF(AP$8:AP67,AP67)-1)</f>
        <v>4</v>
      </c>
      <c r="AR67" s="1">
        <f ca="1" t="shared" si="110"/>
        <v>4</v>
      </c>
      <c r="AS67" s="273">
        <f ca="1" t="shared" si="111"/>
        <v>3.31</v>
      </c>
      <c r="AT67" s="275">
        <f ca="1" t="shared" si="112"/>
        <v>-2</v>
      </c>
      <c r="AU67" s="1">
        <f t="shared" si="113"/>
        <v>25</v>
      </c>
      <c r="AV67" s="269">
        <f t="shared" si="114"/>
        <v>60</v>
      </c>
      <c r="AW67" s="269">
        <f t="shared" si="115"/>
        <v>1</v>
      </c>
      <c r="AX67" s="269">
        <f t="shared" si="116"/>
        <v>1</v>
      </c>
      <c r="AY67" s="268">
        <f t="shared" si="117"/>
        <v>60</v>
      </c>
      <c r="AZ67" s="1" t="str">
        <f t="shared" si="118"/>
        <v>Karachi</v>
      </c>
      <c r="BA67" s="277">
        <f t="shared" si="119"/>
        <v>39.92</v>
      </c>
      <c r="BB67" s="277" t="str">
        <f ca="1" t="shared" si="120"/>
        <v/>
      </c>
      <c r="BC67" s="277" t="b">
        <f ca="1" t="shared" si="121"/>
        <v>0</v>
      </c>
      <c r="BD67" s="277" t="str">
        <f ca="1" t="shared" si="122"/>
        <v/>
      </c>
      <c r="BE67" s="277" t="b">
        <f ca="1" t="shared" si="123"/>
        <v>0</v>
      </c>
      <c r="BF67" s="294" t="str">
        <f ca="1" t="shared" si="124"/>
        <v> *</v>
      </c>
      <c r="BG67" s="1">
        <f t="shared" si="3"/>
        <v>95.71</v>
      </c>
      <c r="BH67" s="1">
        <f>IF($B67=0,"",RANK(BG67,BG$8:BG$73,0)+COUNTIF(BG$8:BG67,BG67)-1)</f>
        <v>10</v>
      </c>
      <c r="BI67" s="1">
        <f ca="1" t="shared" si="125"/>
        <v>10</v>
      </c>
      <c r="BJ67" s="273">
        <f ca="1" t="shared" si="126"/>
        <v>2.19</v>
      </c>
      <c r="BK67" s="275">
        <f ca="1" t="shared" si="127"/>
        <v>-9</v>
      </c>
      <c r="BL67" s="1">
        <f t="shared" si="128"/>
        <v>16</v>
      </c>
      <c r="BM67" s="269">
        <f t="shared" si="129"/>
        <v>60</v>
      </c>
      <c r="BN67" s="269">
        <f t="shared" si="130"/>
        <v>1</v>
      </c>
      <c r="BO67" s="269">
        <f t="shared" si="131"/>
        <v>1</v>
      </c>
      <c r="BP67" s="268">
        <f t="shared" si="132"/>
        <v>60</v>
      </c>
      <c r="BQ67" s="1" t="str">
        <f t="shared" si="133"/>
        <v>Dhaka</v>
      </c>
      <c r="BR67" s="277">
        <f t="shared" si="134"/>
        <v>38.42</v>
      </c>
      <c r="BS67" s="277" t="str">
        <f ca="1" t="shared" si="135"/>
        <v/>
      </c>
      <c r="BT67" s="277" t="b">
        <f ca="1" t="shared" si="136"/>
        <v>0</v>
      </c>
      <c r="BU67" s="277" t="str">
        <f ca="1" t="shared" si="137"/>
        <v/>
      </c>
      <c r="BV67" s="277" t="b">
        <f ca="1" t="shared" si="138"/>
        <v>0</v>
      </c>
      <c r="BW67" s="294" t="str">
        <f ca="1" t="shared" si="139"/>
        <v> *</v>
      </c>
      <c r="BX67" s="1">
        <f t="shared" si="4"/>
        <v>83.72</v>
      </c>
      <c r="BY67" s="1">
        <f>IF($B67=0,"",RANK(BX67,BX$8:BX$73,0)+COUNTIF(BX$8:BX67,BX67)-1)</f>
        <v>20</v>
      </c>
      <c r="BZ67" s="1">
        <f ca="1" t="shared" si="140"/>
        <v>20</v>
      </c>
      <c r="CA67" s="273">
        <f ca="1" t="shared" si="141"/>
        <v>2.08</v>
      </c>
      <c r="CB67" s="275">
        <f ca="1" t="shared" si="142"/>
        <v>-3</v>
      </c>
      <c r="CC67" s="1">
        <f t="shared" si="143"/>
        <v>25</v>
      </c>
      <c r="CD67" s="269">
        <f t="shared" si="144"/>
        <v>60</v>
      </c>
      <c r="CE67" s="269">
        <f t="shared" si="145"/>
        <v>1</v>
      </c>
      <c r="CF67" s="269">
        <f t="shared" si="146"/>
        <v>1</v>
      </c>
      <c r="CG67" s="268">
        <f t="shared" si="147"/>
        <v>60</v>
      </c>
      <c r="CH67" s="1" t="str">
        <f t="shared" si="148"/>
        <v>Karachi</v>
      </c>
      <c r="CI67" s="277">
        <f t="shared" si="149"/>
        <v>31.85</v>
      </c>
      <c r="CJ67" s="277" t="str">
        <f ca="1" t="shared" si="150"/>
        <v/>
      </c>
      <c r="CK67" s="277" t="b">
        <f ca="1" t="shared" si="151"/>
        <v>0</v>
      </c>
      <c r="CL67" s="277" t="str">
        <f ca="1" t="shared" si="152"/>
        <v/>
      </c>
      <c r="CM67" s="277" t="b">
        <f ca="1" t="shared" si="153"/>
        <v>0</v>
      </c>
      <c r="CN67" s="294" t="str">
        <f ca="1" t="shared" si="154"/>
        <v> *</v>
      </c>
    </row>
    <row r="68" spans="1:92">
      <c r="A68" s="1">
        <f>tblTerritories!A63</f>
        <v>61</v>
      </c>
      <c r="B68" s="1">
        <f>IF(tblTerritories!F63="",0,tblTerritories!F63)</f>
        <v>0</v>
      </c>
      <c r="C68" s="1" t="str">
        <f>tblTerritories!C63</f>
        <v>Kyoto</v>
      </c>
      <c r="D68" s="1">
        <f>tblTerritories!D63</f>
        <v>0</v>
      </c>
      <c r="E68" s="1">
        <f>tblTerritories!K63</f>
        <v>0</v>
      </c>
      <c r="F68" s="1" t="e">
        <f>IF($A68="","",VLOOKUP(C68,tblTerritories!$J$3:$P$100,7,FALSE)+10)</f>
        <v>#N/A</v>
      </c>
      <c r="H68" s="1" t="str">
        <f t="shared" si="0"/>
        <v/>
      </c>
      <c r="I68" s="1" t="str">
        <f>IF($B68=0,"",RANK(H68,H$8:H$73,0)+COUNTIF(H$8:H68,H68)-1)</f>
        <v/>
      </c>
      <c r="J68" s="1">
        <f ca="1" t="shared" si="80"/>
        <v>3</v>
      </c>
      <c r="K68" s="273" t="str">
        <f ca="1" t="shared" si="81"/>
        <v/>
      </c>
      <c r="L68" s="275" t="str">
        <f ca="1" t="shared" si="82"/>
        <v/>
      </c>
      <c r="M68" s="1" t="str">
        <f t="shared" si="83"/>
        <v/>
      </c>
      <c r="N68" s="269" t="str">
        <f t="shared" si="84"/>
        <v/>
      </c>
      <c r="O68" s="269" t="str">
        <f t="shared" si="85"/>
        <v/>
      </c>
      <c r="P68" s="269">
        <f t="shared" si="86"/>
        <v>0</v>
      </c>
      <c r="Q68" s="268" t="str">
        <f t="shared" si="87"/>
        <v/>
      </c>
      <c r="R68" s="1" t="str">
        <f t="shared" si="88"/>
        <v/>
      </c>
      <c r="S68" s="277" t="str">
        <f t="shared" si="89"/>
        <v/>
      </c>
      <c r="T68" s="277" t="str">
        <f ca="1" t="shared" si="90"/>
        <v/>
      </c>
      <c r="U68" s="277" t="b">
        <f ca="1" t="shared" si="91"/>
        <v>0</v>
      </c>
      <c r="V68" s="277" t="str">
        <f ca="1" t="shared" si="92"/>
        <v/>
      </c>
      <c r="W68" s="277" t="b">
        <f ca="1" t="shared" si="93"/>
        <v>0</v>
      </c>
      <c r="X68" s="294" t="str">
        <f ca="1" t="shared" si="94"/>
        <v/>
      </c>
      <c r="Y68" s="1" t="str">
        <f t="shared" si="1"/>
        <v/>
      </c>
      <c r="Z68" s="1" t="str">
        <f>IF($B68=0,"",RANK(Y68,Y$8:Y$73,0)+COUNTIF(Y$8:Y68,Y68)-1)</f>
        <v/>
      </c>
      <c r="AA68" s="1">
        <f ca="1" t="shared" si="95"/>
        <v>14</v>
      </c>
      <c r="AB68" s="273" t="str">
        <f ca="1" t="shared" si="96"/>
        <v/>
      </c>
      <c r="AC68" s="275" t="str">
        <f ca="1" t="shared" si="97"/>
        <v/>
      </c>
      <c r="AD68" s="1" t="str">
        <f t="shared" si="98"/>
        <v/>
      </c>
      <c r="AE68" s="269" t="str">
        <f t="shared" si="99"/>
        <v/>
      </c>
      <c r="AF68" s="269" t="str">
        <f t="shared" si="100"/>
        <v/>
      </c>
      <c r="AG68" s="269">
        <f t="shared" si="101"/>
        <v>0</v>
      </c>
      <c r="AH68" s="268" t="str">
        <f t="shared" si="102"/>
        <v/>
      </c>
      <c r="AI68" s="1" t="str">
        <f t="shared" si="103"/>
        <v/>
      </c>
      <c r="AJ68" s="277" t="str">
        <f t="shared" si="104"/>
        <v/>
      </c>
      <c r="AK68" s="277" t="str">
        <f ca="1" t="shared" si="105"/>
        <v/>
      </c>
      <c r="AL68" s="277" t="b">
        <f ca="1" t="shared" si="106"/>
        <v>0</v>
      </c>
      <c r="AM68" s="277" t="str">
        <f ca="1" t="shared" si="107"/>
        <v/>
      </c>
      <c r="AN68" s="277" t="b">
        <f ca="1" t="shared" si="108"/>
        <v>0</v>
      </c>
      <c r="AO68" s="294" t="str">
        <f ca="1" t="shared" si="109"/>
        <v/>
      </c>
      <c r="AP68" s="1" t="str">
        <f t="shared" si="2"/>
        <v/>
      </c>
      <c r="AQ68" s="1" t="str">
        <f>IF($B68=0,"",RANK(AP68,AP$8:AP$73,0)+COUNTIF(AP$8:AP68,AP68)-1)</f>
        <v/>
      </c>
      <c r="AR68" s="1">
        <f ca="1" t="shared" si="110"/>
        <v>1</v>
      </c>
      <c r="AS68" s="273" t="str">
        <f ca="1" t="shared" si="111"/>
        <v/>
      </c>
      <c r="AT68" s="275" t="str">
        <f ca="1" t="shared" si="112"/>
        <v/>
      </c>
      <c r="AU68" s="1" t="str">
        <f t="shared" si="113"/>
        <v/>
      </c>
      <c r="AV68" s="269" t="str">
        <f t="shared" si="114"/>
        <v/>
      </c>
      <c r="AW68" s="269" t="str">
        <f t="shared" si="115"/>
        <v/>
      </c>
      <c r="AX68" s="269">
        <f t="shared" si="116"/>
        <v>0</v>
      </c>
      <c r="AY68" s="268" t="str">
        <f t="shared" si="117"/>
        <v/>
      </c>
      <c r="AZ68" s="1" t="str">
        <f t="shared" si="118"/>
        <v/>
      </c>
      <c r="BA68" s="277" t="str">
        <f t="shared" si="119"/>
        <v/>
      </c>
      <c r="BB68" s="277" t="str">
        <f ca="1" t="shared" si="120"/>
        <v/>
      </c>
      <c r="BC68" s="277" t="b">
        <f ca="1" t="shared" si="121"/>
        <v>0</v>
      </c>
      <c r="BD68" s="277" t="str">
        <f ca="1" t="shared" si="122"/>
        <v/>
      </c>
      <c r="BE68" s="277" t="b">
        <f ca="1" t="shared" si="123"/>
        <v>0</v>
      </c>
      <c r="BF68" s="294" t="str">
        <f ca="1" t="shared" si="124"/>
        <v/>
      </c>
      <c r="BG68" s="1" t="str">
        <f t="shared" si="3"/>
        <v/>
      </c>
      <c r="BH68" s="1" t="str">
        <f>IF($B68=0,"",RANK(BG68,BG$8:BG$73,0)+COUNTIF(BG$8:BG68,BG68)-1)</f>
        <v/>
      </c>
      <c r="BI68" s="1">
        <f ca="1" t="shared" si="125"/>
        <v>11</v>
      </c>
      <c r="BJ68" s="273" t="str">
        <f ca="1" t="shared" si="126"/>
        <v/>
      </c>
      <c r="BK68" s="275" t="str">
        <f ca="1" t="shared" si="127"/>
        <v/>
      </c>
      <c r="BL68" s="1" t="str">
        <f t="shared" si="128"/>
        <v/>
      </c>
      <c r="BM68" s="269" t="str">
        <f t="shared" si="129"/>
        <v/>
      </c>
      <c r="BN68" s="269" t="str">
        <f t="shared" si="130"/>
        <v/>
      </c>
      <c r="BO68" s="269">
        <f t="shared" si="131"/>
        <v>0</v>
      </c>
      <c r="BP68" s="268" t="str">
        <f t="shared" si="132"/>
        <v/>
      </c>
      <c r="BQ68" s="1" t="str">
        <f t="shared" si="133"/>
        <v/>
      </c>
      <c r="BR68" s="277" t="str">
        <f t="shared" si="134"/>
        <v/>
      </c>
      <c r="BS68" s="277" t="str">
        <f ca="1" t="shared" si="135"/>
        <v/>
      </c>
      <c r="BT68" s="277" t="b">
        <f ca="1" t="shared" si="136"/>
        <v>0</v>
      </c>
      <c r="BU68" s="277" t="str">
        <f ca="1" t="shared" si="137"/>
        <v/>
      </c>
      <c r="BV68" s="277" t="b">
        <f ca="1" t="shared" si="138"/>
        <v>0</v>
      </c>
      <c r="BW68" s="294" t="str">
        <f ca="1" t="shared" si="139"/>
        <v/>
      </c>
      <c r="BX68" s="1" t="str">
        <f t="shared" si="4"/>
        <v/>
      </c>
      <c r="BY68" s="1" t="str">
        <f>IF($B68=0,"",RANK(BX68,BX$8:BX$73,0)+COUNTIF(BX$8:BX68,BX68)-1)</f>
        <v/>
      </c>
      <c r="BZ68" s="1">
        <f ca="1" t="shared" si="140"/>
        <v>3</v>
      </c>
      <c r="CA68" s="273" t="str">
        <f ca="1" t="shared" si="141"/>
        <v/>
      </c>
      <c r="CB68" s="275" t="str">
        <f ca="1" t="shared" si="142"/>
        <v/>
      </c>
      <c r="CC68" s="1" t="str">
        <f t="shared" si="143"/>
        <v/>
      </c>
      <c r="CD68" s="269" t="str">
        <f t="shared" si="144"/>
        <v/>
      </c>
      <c r="CE68" s="269" t="str">
        <f t="shared" si="145"/>
        <v/>
      </c>
      <c r="CF68" s="269">
        <f t="shared" si="146"/>
        <v>0</v>
      </c>
      <c r="CG68" s="268" t="str">
        <f t="shared" si="147"/>
        <v/>
      </c>
      <c r="CH68" s="1" t="str">
        <f t="shared" si="148"/>
        <v/>
      </c>
      <c r="CI68" s="277" t="str">
        <f t="shared" si="149"/>
        <v/>
      </c>
      <c r="CJ68" s="277" t="str">
        <f ca="1" t="shared" si="150"/>
        <v/>
      </c>
      <c r="CK68" s="277" t="b">
        <f ca="1" t="shared" si="151"/>
        <v>0</v>
      </c>
      <c r="CL68" s="277" t="str">
        <f ca="1" t="shared" si="152"/>
        <v/>
      </c>
      <c r="CM68" s="277" t="b">
        <f ca="1" t="shared" si="153"/>
        <v>0</v>
      </c>
      <c r="CN68" s="294" t="str">
        <f ca="1" t="shared" si="154"/>
        <v/>
      </c>
    </row>
    <row r="69" spans="14:89">
      <c r="N69" s="269"/>
      <c r="O69" s="269"/>
      <c r="P69" s="269"/>
      <c r="Q69" s="268"/>
      <c r="S69" s="277"/>
      <c r="T69" s="277"/>
      <c r="U69" s="277"/>
      <c r="AE69" s="269"/>
      <c r="AF69" s="269"/>
      <c r="AG69" s="269"/>
      <c r="AH69" s="268"/>
      <c r="AJ69" s="277"/>
      <c r="AK69" s="277"/>
      <c r="AL69" s="277"/>
      <c r="AV69" s="269"/>
      <c r="AW69" s="269"/>
      <c r="AX69" s="269"/>
      <c r="AY69" s="268"/>
      <c r="BA69" s="277"/>
      <c r="BB69" s="277"/>
      <c r="BC69" s="277"/>
      <c r="BM69" s="269"/>
      <c r="BN69" s="269"/>
      <c r="BO69" s="269"/>
      <c r="BP69" s="268"/>
      <c r="BR69" s="277"/>
      <c r="BS69" s="277"/>
      <c r="BT69" s="277"/>
      <c r="CD69" s="269"/>
      <c r="CE69" s="269"/>
      <c r="CF69" s="269"/>
      <c r="CG69" s="268"/>
      <c r="CI69" s="277"/>
      <c r="CJ69" s="277"/>
      <c r="CK69" s="277"/>
    </row>
    <row r="70" spans="14:89">
      <c r="N70" s="269"/>
      <c r="O70" s="269"/>
      <c r="P70" s="269"/>
      <c r="Q70" s="268"/>
      <c r="S70" s="277"/>
      <c r="T70" s="277"/>
      <c r="U70" s="277"/>
      <c r="AE70" s="269"/>
      <c r="AF70" s="269"/>
      <c r="AG70" s="269"/>
      <c r="AH70" s="268"/>
      <c r="AJ70" s="277"/>
      <c r="AK70" s="277"/>
      <c r="AL70" s="277"/>
      <c r="AV70" s="269"/>
      <c r="AW70" s="269"/>
      <c r="AX70" s="269"/>
      <c r="AY70" s="268"/>
      <c r="BA70" s="277"/>
      <c r="BB70" s="277"/>
      <c r="BC70" s="277"/>
      <c r="BM70" s="269"/>
      <c r="BN70" s="269"/>
      <c r="BO70" s="269"/>
      <c r="BP70" s="268"/>
      <c r="BR70" s="277"/>
      <c r="BS70" s="277"/>
      <c r="BT70" s="277"/>
      <c r="CD70" s="269"/>
      <c r="CE70" s="269"/>
      <c r="CF70" s="269"/>
      <c r="CG70" s="268"/>
      <c r="CI70" s="277"/>
      <c r="CJ70" s="277"/>
      <c r="CK70" s="277"/>
    </row>
    <row r="71" spans="14:89">
      <c r="N71" s="269"/>
      <c r="O71" s="269"/>
      <c r="P71" s="269"/>
      <c r="Q71" s="268"/>
      <c r="S71" s="277"/>
      <c r="T71" s="277"/>
      <c r="U71" s="277"/>
      <c r="AE71" s="269"/>
      <c r="AF71" s="269"/>
      <c r="AG71" s="269"/>
      <c r="AH71" s="268"/>
      <c r="AJ71" s="277"/>
      <c r="AK71" s="277"/>
      <c r="AL71" s="277"/>
      <c r="AV71" s="269"/>
      <c r="AW71" s="269"/>
      <c r="AX71" s="269"/>
      <c r="AY71" s="268"/>
      <c r="BA71" s="277"/>
      <c r="BB71" s="277"/>
      <c r="BC71" s="277"/>
      <c r="BM71" s="269"/>
      <c r="BN71" s="269"/>
      <c r="BO71" s="269"/>
      <c r="BP71" s="268"/>
      <c r="BR71" s="277"/>
      <c r="BS71" s="277"/>
      <c r="BT71" s="277"/>
      <c r="CD71" s="269"/>
      <c r="CE71" s="269"/>
      <c r="CF71" s="269"/>
      <c r="CG71" s="268"/>
      <c r="CI71" s="277"/>
      <c r="CJ71" s="277"/>
      <c r="CK71" s="277"/>
    </row>
    <row r="72" spans="14:89">
      <c r="N72" s="269"/>
      <c r="O72" s="269"/>
      <c r="P72" s="269"/>
      <c r="Q72" s="268"/>
      <c r="S72" s="277"/>
      <c r="T72" s="277"/>
      <c r="U72" s="277"/>
      <c r="AE72" s="269"/>
      <c r="AF72" s="269"/>
      <c r="AG72" s="269"/>
      <c r="AH72" s="268"/>
      <c r="AJ72" s="277"/>
      <c r="AK72" s="277"/>
      <c r="AL72" s="277"/>
      <c r="AV72" s="269"/>
      <c r="AW72" s="269"/>
      <c r="AX72" s="269"/>
      <c r="AY72" s="268"/>
      <c r="BA72" s="277"/>
      <c r="BB72" s="277"/>
      <c r="BC72" s="277"/>
      <c r="BM72" s="269"/>
      <c r="BN72" s="269"/>
      <c r="BO72" s="269"/>
      <c r="BP72" s="268"/>
      <c r="BR72" s="277"/>
      <c r="BS72" s="277"/>
      <c r="BT72" s="277"/>
      <c r="CD72" s="269"/>
      <c r="CE72" s="269"/>
      <c r="CF72" s="269"/>
      <c r="CG72" s="268"/>
      <c r="CI72" s="277"/>
      <c r="CJ72" s="277"/>
      <c r="CK72" s="277"/>
    </row>
    <row r="73" spans="14:89">
      <c r="N73" s="269"/>
      <c r="O73" s="269"/>
      <c r="P73" s="269"/>
      <c r="Q73" s="268"/>
      <c r="S73" s="277"/>
      <c r="T73" s="277"/>
      <c r="U73" s="277"/>
      <c r="AE73" s="269"/>
      <c r="AF73" s="269"/>
      <c r="AG73" s="269"/>
      <c r="AH73" s="268"/>
      <c r="AJ73" s="277"/>
      <c r="AK73" s="277"/>
      <c r="AL73" s="277"/>
      <c r="AV73" s="269"/>
      <c r="AW73" s="269"/>
      <c r="AX73" s="269"/>
      <c r="AY73" s="268"/>
      <c r="BA73" s="277"/>
      <c r="BB73" s="277"/>
      <c r="BC73" s="277"/>
      <c r="BM73" s="269"/>
      <c r="BN73" s="269"/>
      <c r="BO73" s="269"/>
      <c r="BP73" s="268"/>
      <c r="BR73" s="277"/>
      <c r="BS73" s="277"/>
      <c r="BT73" s="277"/>
      <c r="CD73" s="269"/>
      <c r="CE73" s="269"/>
      <c r="CF73" s="269"/>
      <c r="CG73" s="268"/>
      <c r="CI73" s="277"/>
      <c r="CJ73" s="277"/>
      <c r="CK73" s="277"/>
    </row>
    <row r="74" spans="14:89">
      <c r="N74" s="269"/>
      <c r="O74" s="269"/>
      <c r="P74" s="269"/>
      <c r="Q74" s="268"/>
      <c r="S74" s="277"/>
      <c r="T74" s="277"/>
      <c r="U74" s="277"/>
      <c r="AE74" s="269"/>
      <c r="AF74" s="269"/>
      <c r="AG74" s="269"/>
      <c r="AH74" s="268"/>
      <c r="AJ74" s="277"/>
      <c r="AK74" s="277"/>
      <c r="AL74" s="277"/>
      <c r="AV74" s="269"/>
      <c r="AW74" s="269"/>
      <c r="AX74" s="269"/>
      <c r="AY74" s="268"/>
      <c r="BA74" s="277"/>
      <c r="BB74" s="277"/>
      <c r="BC74" s="277"/>
      <c r="BM74" s="269"/>
      <c r="BN74" s="269"/>
      <c r="BO74" s="269"/>
      <c r="BP74" s="268"/>
      <c r="BR74" s="277"/>
      <c r="BS74" s="277"/>
      <c r="BT74" s="277"/>
      <c r="CD74" s="269"/>
      <c r="CE74" s="269"/>
      <c r="CF74" s="269"/>
      <c r="CG74" s="268"/>
      <c r="CI74" s="277"/>
      <c r="CJ74" s="277"/>
      <c r="CK74" s="277"/>
    </row>
    <row r="75" spans="14:89">
      <c r="N75" s="269"/>
      <c r="O75" s="269"/>
      <c r="P75" s="269"/>
      <c r="Q75" s="268"/>
      <c r="S75" s="277"/>
      <c r="T75" s="277"/>
      <c r="U75" s="277"/>
      <c r="AE75" s="269"/>
      <c r="AF75" s="269"/>
      <c r="AG75" s="269"/>
      <c r="AH75" s="268"/>
      <c r="AJ75" s="277"/>
      <c r="AK75" s="277"/>
      <c r="AL75" s="277"/>
      <c r="AV75" s="269"/>
      <c r="AW75" s="269"/>
      <c r="AX75" s="269"/>
      <c r="AY75" s="268"/>
      <c r="BA75" s="277"/>
      <c r="BB75" s="277"/>
      <c r="BC75" s="277"/>
      <c r="BM75" s="269"/>
      <c r="BN75" s="269"/>
      <c r="BO75" s="269"/>
      <c r="BP75" s="268"/>
      <c r="BR75" s="277"/>
      <c r="BS75" s="277"/>
      <c r="BT75" s="277"/>
      <c r="CD75" s="269"/>
      <c r="CE75" s="269"/>
      <c r="CF75" s="269"/>
      <c r="CG75" s="268"/>
      <c r="CI75" s="277"/>
      <c r="CJ75" s="277"/>
      <c r="CK75" s="277"/>
    </row>
    <row r="76" spans="6:89">
      <c r="F76" s="268"/>
      <c r="N76" s="269"/>
      <c r="O76" s="269"/>
      <c r="P76" s="269"/>
      <c r="Q76" s="268"/>
      <c r="S76" s="277"/>
      <c r="T76" s="277"/>
      <c r="U76" s="277"/>
      <c r="AE76" s="269"/>
      <c r="AF76" s="269"/>
      <c r="AG76" s="269"/>
      <c r="AH76" s="268"/>
      <c r="AJ76" s="277"/>
      <c r="AK76" s="277"/>
      <c r="AL76" s="277"/>
      <c r="AV76" s="269"/>
      <c r="AW76" s="269"/>
      <c r="AX76" s="269"/>
      <c r="AY76" s="268"/>
      <c r="BA76" s="277"/>
      <c r="BB76" s="277"/>
      <c r="BC76" s="277"/>
      <c r="BM76" s="269"/>
      <c r="BN76" s="269"/>
      <c r="BO76" s="269"/>
      <c r="BP76" s="268"/>
      <c r="BR76" s="277"/>
      <c r="BS76" s="277"/>
      <c r="BT76" s="277"/>
      <c r="CD76" s="269"/>
      <c r="CE76" s="269"/>
      <c r="CF76" s="269"/>
      <c r="CG76" s="268"/>
      <c r="CI76" s="277"/>
      <c r="CJ76" s="277"/>
      <c r="CK76" s="277"/>
    </row>
    <row r="77" spans="14:89">
      <c r="N77" s="269"/>
      <c r="O77" s="269"/>
      <c r="P77" s="269"/>
      <c r="Q77" s="268"/>
      <c r="S77" s="277"/>
      <c r="T77" s="277"/>
      <c r="U77" s="277"/>
      <c r="AE77" s="269"/>
      <c r="AF77" s="269"/>
      <c r="AG77" s="269"/>
      <c r="AH77" s="268"/>
      <c r="AJ77" s="277"/>
      <c r="AK77" s="277"/>
      <c r="AL77" s="277"/>
      <c r="AV77" s="269"/>
      <c r="AW77" s="269"/>
      <c r="AX77" s="269"/>
      <c r="AY77" s="268"/>
      <c r="BA77" s="277"/>
      <c r="BB77" s="277"/>
      <c r="BC77" s="277"/>
      <c r="BM77" s="269"/>
      <c r="BN77" s="269"/>
      <c r="BO77" s="269"/>
      <c r="BP77" s="268"/>
      <c r="BR77" s="277"/>
      <c r="BS77" s="277"/>
      <c r="BT77" s="277"/>
      <c r="CD77" s="269"/>
      <c r="CE77" s="269"/>
      <c r="CF77" s="269"/>
      <c r="CG77" s="268"/>
      <c r="CI77" s="277"/>
      <c r="CJ77" s="277"/>
      <c r="CK77" s="277"/>
    </row>
    <row r="78" spans="14:89">
      <c r="N78" s="269"/>
      <c r="O78" s="269"/>
      <c r="P78" s="269"/>
      <c r="Q78" s="268"/>
      <c r="S78" s="277"/>
      <c r="T78" s="277"/>
      <c r="U78" s="277"/>
      <c r="AE78" s="269"/>
      <c r="AF78" s="269"/>
      <c r="AG78" s="269"/>
      <c r="AH78" s="268"/>
      <c r="AJ78" s="277"/>
      <c r="AK78" s="277"/>
      <c r="AL78" s="277"/>
      <c r="AV78" s="269"/>
      <c r="AW78" s="269"/>
      <c r="AX78" s="269"/>
      <c r="AY78" s="268"/>
      <c r="BA78" s="277"/>
      <c r="BB78" s="277"/>
      <c r="BC78" s="277"/>
      <c r="BM78" s="269"/>
      <c r="BN78" s="269"/>
      <c r="BO78" s="269"/>
      <c r="BP78" s="268"/>
      <c r="BR78" s="277"/>
      <c r="BS78" s="277"/>
      <c r="BT78" s="277"/>
      <c r="CD78" s="269"/>
      <c r="CE78" s="269"/>
      <c r="CF78" s="269"/>
      <c r="CG78" s="268"/>
      <c r="CI78" s="277"/>
      <c r="CJ78" s="277"/>
      <c r="CK78" s="277"/>
    </row>
    <row r="79" spans="14:89">
      <c r="N79" s="269"/>
      <c r="O79" s="269"/>
      <c r="P79" s="269"/>
      <c r="Q79" s="268"/>
      <c r="S79" s="277"/>
      <c r="T79" s="277"/>
      <c r="U79" s="277"/>
      <c r="AE79" s="269"/>
      <c r="AF79" s="269"/>
      <c r="AG79" s="269"/>
      <c r="AH79" s="268"/>
      <c r="AJ79" s="277"/>
      <c r="AK79" s="277"/>
      <c r="AL79" s="277"/>
      <c r="AV79" s="269"/>
      <c r="AW79" s="269"/>
      <c r="AX79" s="269"/>
      <c r="AY79" s="268"/>
      <c r="BA79" s="277"/>
      <c r="BB79" s="277"/>
      <c r="BC79" s="277"/>
      <c r="BM79" s="269"/>
      <c r="BN79" s="269"/>
      <c r="BO79" s="269"/>
      <c r="BP79" s="268"/>
      <c r="BR79" s="277"/>
      <c r="BS79" s="277"/>
      <c r="BT79" s="277"/>
      <c r="CD79" s="269"/>
      <c r="CE79" s="269"/>
      <c r="CF79" s="269"/>
      <c r="CG79" s="268"/>
      <c r="CI79" s="277"/>
      <c r="CJ79" s="277"/>
      <c r="CK79" s="277"/>
    </row>
    <row r="80" spans="14:89">
      <c r="N80" s="269"/>
      <c r="O80" s="269"/>
      <c r="P80" s="269"/>
      <c r="Q80" s="268"/>
      <c r="S80" s="277"/>
      <c r="T80" s="277"/>
      <c r="U80" s="277"/>
      <c r="AE80" s="269"/>
      <c r="AF80" s="269"/>
      <c r="AG80" s="269"/>
      <c r="AH80" s="268"/>
      <c r="AJ80" s="277"/>
      <c r="AK80" s="277"/>
      <c r="AL80" s="277"/>
      <c r="AV80" s="269"/>
      <c r="AW80" s="269"/>
      <c r="AX80" s="269"/>
      <c r="AY80" s="268"/>
      <c r="BA80" s="277"/>
      <c r="BB80" s="277"/>
      <c r="BC80" s="277"/>
      <c r="BM80" s="269"/>
      <c r="BN80" s="269"/>
      <c r="BO80" s="269"/>
      <c r="BP80" s="268"/>
      <c r="BR80" s="277"/>
      <c r="BS80" s="277"/>
      <c r="BT80" s="277"/>
      <c r="CD80" s="269"/>
      <c r="CE80" s="269"/>
      <c r="CF80" s="269"/>
      <c r="CG80" s="268"/>
      <c r="CI80" s="277"/>
      <c r="CJ80" s="277"/>
      <c r="CK80" s="277"/>
    </row>
  </sheetData>
  <pageMargins left="0.551181102362205" right="0.551181102362205" top="0.590551181102362" bottom="0.78740157480315" header="0.511811023622047" footer="0.511811023622047"/>
  <pageSetup paperSize="9" scale="26" orientation="landscape"/>
  <headerFooter alignWithMargins="0">
    <oddHeader>&amp;RSafe Cities Index : 2017</oddHead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FFC000"/>
    <pageSetUpPr fitToPage="1"/>
  </sheetPr>
  <dimension ref="A1:AR89"/>
  <sheetViews>
    <sheetView showRowColHeaders="0" zoomScale="90" zoomScaleNormal="90" topLeftCell="A65" workbookViewId="0">
      <selection activeCell="F68" sqref="F68"/>
    </sheetView>
  </sheetViews>
  <sheetFormatPr defaultColWidth="9" defaultRowHeight="11.25"/>
  <cols>
    <col min="1" max="1" width="16.1428571428571" style="1" customWidth="1"/>
    <col min="2" max="2" width="9.42857142857143" style="1" customWidth="1"/>
    <col min="3" max="3" width="17.4285714285714" style="1" customWidth="1"/>
    <col min="4" max="4" width="15.2857142857143" style="1" customWidth="1"/>
    <col min="5" max="5" width="14" style="1" customWidth="1"/>
    <col min="6" max="6" width="14.7142857142857" style="1" customWidth="1"/>
    <col min="7" max="7" width="23.2857142857143" style="1" customWidth="1"/>
    <col min="8" max="9" width="9.42857142857143" style="1" customWidth="1"/>
    <col min="10" max="10" width="9.28571428571429" style="1" customWidth="1"/>
    <col min="11" max="11" width="11.1428571428571" style="1" customWidth="1"/>
    <col min="12" max="12" width="9.42857142857143" style="1" customWidth="1"/>
    <col min="13" max="13" width="14.7142857142857" style="1" customWidth="1"/>
    <col min="14" max="14" width="15" style="1" customWidth="1"/>
    <col min="15" max="15" width="15.8571428571429" style="1" customWidth="1"/>
    <col min="16" max="17" width="5.28571428571429" style="1" customWidth="1"/>
    <col min="18" max="18" width="4" style="1" customWidth="1"/>
    <col min="19" max="19" width="21.7142857142857" style="1" customWidth="1"/>
    <col min="20" max="20" width="9.42857142857143" style="1" customWidth="1"/>
    <col min="21" max="21" width="9.28571428571429" style="290" customWidth="1"/>
    <col min="22" max="22" width="9.14285714285714" style="1"/>
    <col min="23" max="24" width="9.28571428571429" style="1" customWidth="1"/>
    <col min="25" max="25" width="9.14285714285714" style="1"/>
    <col min="26" max="26" width="10.2857142857143" style="1" customWidth="1"/>
    <col min="27" max="27" width="11.5714285714286" style="1" customWidth="1"/>
    <col min="28" max="28" width="9.42857142857143" style="1" customWidth="1"/>
    <col min="29" max="29" width="11.5714285714286" style="1" customWidth="1"/>
    <col min="30" max="31" width="9.28571428571429" style="1" customWidth="1"/>
    <col min="32" max="16384" width="9.14285714285714" style="1"/>
  </cols>
  <sheetData>
    <row r="1" spans="2:12">
      <c r="B1" s="1">
        <f>uxb_works!B18</f>
        <v>0</v>
      </c>
      <c r="D1" s="1" t="s">
        <v>332</v>
      </c>
      <c r="E1" s="1" t="str">
        <f>uxb_works!E18</f>
        <v>Format</v>
      </c>
      <c r="F1" s="1" t="str">
        <f>uxb_works!F18</f>
        <v>Child</v>
      </c>
      <c r="G1" s="1" t="str">
        <f>uxb_works!G18</f>
        <v>Parent</v>
      </c>
      <c r="H1" s="1" t="str">
        <f>uxb_works!H18</f>
        <v>Ref</v>
      </c>
      <c r="K1" s="1" t="s">
        <v>318</v>
      </c>
      <c r="L1" s="1" t="s">
        <v>333</v>
      </c>
    </row>
    <row r="2" spans="1:12">
      <c r="A2" s="1" t="str">
        <f>uxb_works!A19</f>
        <v>INDI_ID</v>
      </c>
      <c r="B2" s="1">
        <f>uxb_works!B19</f>
        <v>1</v>
      </c>
      <c r="C2" s="1" t="str">
        <f>uxb_works!C19</f>
        <v>OVERALL SCORE</v>
      </c>
      <c r="D2" s="1">
        <f>uxb_works!D19</f>
        <v>0</v>
      </c>
      <c r="E2" s="1" t="str">
        <f>uxb_works!E19</f>
        <v>0.0</v>
      </c>
      <c r="F2" s="1" t="str">
        <f>IF($B$2=1,"",uxb_works!F19)</f>
        <v/>
      </c>
      <c r="G2" s="1" t="str">
        <f>uxb_works!G19</f>
        <v>OVERALL SCORE</v>
      </c>
      <c r="H2" s="1">
        <f>uxb_works!H19</f>
        <v>0</v>
      </c>
      <c r="L2" s="1">
        <f>IF(K1=C6,INDEX(tblIndiSets!$B$246:$B$307,MATCH($H$2,tblIndiSets!$A$246:$A$307,0)),MATCH($H$2,tblIndicators!$G$2:$G$69,0))</f>
        <v>1</v>
      </c>
    </row>
    <row r="3" spans="1:4">
      <c r="A3" s="1" t="str">
        <f>uxb_works!A44</f>
        <v>COMPARE_YES/NO</v>
      </c>
      <c r="B3" s="1" t="b">
        <f>uxb_works!B44</f>
        <v>0</v>
      </c>
      <c r="C3" s="1">
        <f>uxb_works!C44</f>
        <v>0</v>
      </c>
      <c r="D3" s="1">
        <f>INDEX(Year_Select,B5)</f>
        <v>2017</v>
      </c>
    </row>
    <row r="4" spans="1:40">
      <c r="A4" s="1" t="s">
        <v>334</v>
      </c>
      <c r="B4" s="1" t="b">
        <f>IF(AE2=1,FALSE,TRUE)</f>
        <v>1</v>
      </c>
      <c r="AC4" s="1" t="s">
        <v>335</v>
      </c>
      <c r="AH4" s="1" t="s">
        <v>336</v>
      </c>
      <c r="AK4" s="1" t="s">
        <v>337</v>
      </c>
      <c r="AN4" s="1" t="s">
        <v>323</v>
      </c>
    </row>
    <row r="5" spans="1:13">
      <c r="A5" s="1" t="str">
        <f>uxb_works!A46</f>
        <v>YEAR_SELECT</v>
      </c>
      <c r="B5" s="1">
        <f>uxb_works!B46</f>
        <v>3</v>
      </c>
      <c r="C5" s="1" t="str">
        <f>"Compare "&amp;D3&amp;" with "&amp;C6</f>
        <v>Compare 2017 with 2015 Updated</v>
      </c>
      <c r="D5" s="1" t="str">
        <f>uxb_works!A6</f>
        <v>CITY_HIGHLIGHT_DD</v>
      </c>
      <c r="E5" s="1">
        <f>uxb_works!B6</f>
        <v>1</v>
      </c>
      <c r="F5" s="1" t="str">
        <f ca="1">uxb_works!C6</f>
        <v>&lt;none&gt;</v>
      </c>
      <c r="G5" s="1" t="str">
        <f>INDEX(tblIndiSets!$T$167:$T$169,B5)</f>
        <v>aRankNumber_2017</v>
      </c>
      <c r="L5" s="1" t="s">
        <v>323</v>
      </c>
      <c r="M5" s="1">
        <f>uxb_works!B8</f>
        <v>1</v>
      </c>
    </row>
    <row r="6" ht="12" spans="1:8">
      <c r="A6" s="1" t="str">
        <f>uxb_works!A47</f>
        <v>COMPARE_YEAR</v>
      </c>
      <c r="B6" s="1">
        <f>uxb_works!B47</f>
        <v>2</v>
      </c>
      <c r="C6" s="1" t="str">
        <f>uxb_works!C47</f>
        <v>2015 Updated</v>
      </c>
      <c r="D6" s="1" t="str">
        <f>uxb_works!D47</f>
        <v>aData_2014_N</v>
      </c>
      <c r="E6" s="1" t="str">
        <f>uxb_works!E47</f>
        <v>aScores_2014_N</v>
      </c>
      <c r="F6" s="1" t="str">
        <f>uxb_works!F47</f>
        <v>lu_Cities_2014_N</v>
      </c>
      <c r="G6" s="1" t="str">
        <f>uxb_works!G47</f>
        <v>aRankNumber_2014_N</v>
      </c>
      <c r="H6" s="1" t="str">
        <f>uxb_works!H47</f>
        <v>2017 Compared to 2015 Updated</v>
      </c>
    </row>
    <row r="7" spans="1:44">
      <c r="A7" s="1" t="s">
        <v>319</v>
      </c>
      <c r="B7" s="1">
        <v>2</v>
      </c>
      <c r="D7" s="1" t="s">
        <v>321</v>
      </c>
      <c r="E7" s="1" t="s">
        <v>338</v>
      </c>
      <c r="F7" s="1" t="s">
        <v>322</v>
      </c>
      <c r="G7" s="1" t="s">
        <v>339</v>
      </c>
      <c r="H7" s="1" t="s">
        <v>340</v>
      </c>
      <c r="J7" s="270" t="s">
        <v>325</v>
      </c>
      <c r="K7" s="274" t="s">
        <v>326</v>
      </c>
      <c r="L7" s="1" t="s">
        <v>327</v>
      </c>
      <c r="M7" s="1" t="s">
        <v>341</v>
      </c>
      <c r="N7" s="1" t="s">
        <v>328</v>
      </c>
      <c r="T7" s="268" t="s">
        <v>24</v>
      </c>
      <c r="U7" s="291" t="s">
        <v>329</v>
      </c>
      <c r="V7" s="268" t="s">
        <v>330</v>
      </c>
      <c r="W7" s="1" t="s">
        <v>331</v>
      </c>
      <c r="X7" s="268" t="s">
        <v>330</v>
      </c>
      <c r="Y7" s="1" t="s">
        <v>342</v>
      </c>
      <c r="Z7" s="268" t="str">
        <f>IF($B$4,"Data","")</f>
        <v>Data</v>
      </c>
      <c r="AA7" s="1" t="s">
        <v>343</v>
      </c>
      <c r="AC7" s="1" t="s">
        <v>344</v>
      </c>
      <c r="AD7" s="1" t="s">
        <v>345</v>
      </c>
      <c r="AE7" s="1" t="s">
        <v>346</v>
      </c>
      <c r="AF7" s="1" t="s">
        <v>347</v>
      </c>
      <c r="AR7" s="1" t="s">
        <v>348</v>
      </c>
    </row>
    <row r="8" spans="1:44">
      <c r="A8" s="1">
        <v>1</v>
      </c>
      <c r="B8" s="1" t="str">
        <f>tblTerritories!B3</f>
        <v/>
      </c>
      <c r="C8" s="1" t="str">
        <f>tblTerritories!C3</f>
        <v>Abu Dhabi</v>
      </c>
      <c r="D8" s="1">
        <f>tblTerritories!D3</f>
        <v>1</v>
      </c>
      <c r="E8" s="1">
        <f>IF(AND(OR(tblTerritories!$O$5=4,tblTerritories!$O$5=5),$D$2=3),0,IF(AND(OR(tblTerritories!$O$5=2,tblTerritories!$O$5=3),$D$2=3),tblTerritories!K3,IF(AND($D$2=3,tblTerritories!$O$5=1),AG8,tblTerritories!K3)))</f>
        <v>0</v>
      </c>
      <c r="F8" s="1">
        <f>IF(tblTerritories!F3="",0,tblTerritories!F3)</f>
        <v>1</v>
      </c>
      <c r="G8" s="290">
        <f t="shared" ref="G8:G39" si="0">IF(F8=0,"",CHOOSE($B$5,ROUND(INDEX(aScores_2014_O,$B$2,$A8),$B$7),ROUND(INDEX(aScores_2014_N,$B$2,$A8),5),ROUND(INDEX(aScores_2017,$B$2,$A8),$B$7)))</f>
        <v>76.91</v>
      </c>
      <c r="H8" s="1">
        <f>IF(F8=0,"",RANK(G8,G$8:G$68,0)+COUNTIF(G$8:G8,G8)-1)</f>
        <v>28</v>
      </c>
      <c r="I8" s="1">
        <f ca="1">IF(ISERROR(INDEX(INDIRECT($G$5),$B$2,A8)),"",INDEX(INDIRECT($G$5),$B$2,A8))</f>
        <v>28</v>
      </c>
      <c r="J8" s="273">
        <f ca="1">ROUND(IF($L$2="x","n.a.",IF(F8&gt;=1,G8-INDEX(INDIRECT($E$6),$L$2,MATCH($C8,INDIRECT($F$6),0)),"")),2)</f>
        <v>4.18</v>
      </c>
      <c r="K8" s="275">
        <f ca="1">IF($L$2="x","n.a.",IF(F8&gt;=1,INDEX(INDIRECT($G$6),$L$2,MATCH($C8,INDIRECT($F$6),0))-I8,""))</f>
        <v>-5</v>
      </c>
      <c r="L8" s="1">
        <f>IF(ISERROR(MATCH($A8,H$8:H$68,0)),"",MATCH($A8,H$8:H$68,0))</f>
        <v>55</v>
      </c>
      <c r="M8" s="1">
        <f>IF(L8="","",1)</f>
        <v>1</v>
      </c>
      <c r="N8" s="269">
        <f>IF(OR(A8="",L8=""),"",RANK(T8,T$8:T$68,0))</f>
        <v>1</v>
      </c>
      <c r="O8" s="269">
        <f>IF(L8="",0,INDEX($F$8:$F$68,L8))</f>
        <v>1</v>
      </c>
      <c r="Q8" s="269"/>
      <c r="R8" s="268">
        <f>IF(L8="","",IF(OR(N8=N7,N8=N9),CONCATENATE("=",N8),N8))</f>
        <v>1</v>
      </c>
      <c r="S8" s="1" t="str">
        <f ca="1">IF(L8="","",INDEX($C$8:$C$68,L8))&amp;Y8</f>
        <v>Tokyo</v>
      </c>
      <c r="T8" s="1">
        <f>IF(O8=0,"",ROUND(INDEX($G$8:$G$68,L8),2))</f>
        <v>89.8</v>
      </c>
      <c r="U8" s="290">
        <f ca="1">IF(L8="","",IF(ISNA(INDEX(J$8:J$73,L8)),"",INDEX(J$8:J$73,L8)))</f>
        <v>3.5</v>
      </c>
      <c r="V8" s="277" t="b">
        <f ca="1">IF($L$2="x","",IF($B$3,IF(U8="","",IF(U8&gt;0,"p",IF(U8&lt;0,"q","")))))</f>
        <v>0</v>
      </c>
      <c r="W8" s="277">
        <f ca="1">IF(O8=0,"",IF(ISNA(INDEX(K$8:K$73,L8)),"",INDEX(K$8:K$73,L8)))</f>
        <v>0</v>
      </c>
      <c r="X8" s="277" t="b">
        <f ca="1">IF($L$2="x","",IF($B$3,IF(W8="","",IF(W8&gt;0,"p",IF(W8&lt;0,"q","")))))</f>
        <v>0</v>
      </c>
      <c r="Y8" s="1" t="str">
        <f ca="1">IF(L8="","",IF(ISNA(INDEX($J$8:$J$68,L8))," *",""))</f>
        <v/>
      </c>
      <c r="AA8" s="268">
        <f>IF(O8=0,"",IF($C$2=1,"-",T8))</f>
        <v>89.8</v>
      </c>
      <c r="AB8" s="268"/>
      <c r="AC8" s="1">
        <f>IF(ISNUMBER(T8),T8,NA())</f>
        <v>89.8</v>
      </c>
      <c r="AD8" s="1">
        <f t="shared" ref="AD8:AD68" si="1">1</f>
        <v>1</v>
      </c>
      <c r="AE8" s="1" t="e">
        <f>IF(O8=2,AC8,NA())</f>
        <v>#N/A</v>
      </c>
      <c r="AF8" s="1">
        <v>0</v>
      </c>
      <c r="AG8" s="1">
        <f>IF(AF8=1,tblTerritories!K3,0)</f>
        <v>0</v>
      </c>
      <c r="AH8" s="1" t="e">
        <f>IF(O8=2,AC8,NA())</f>
        <v>#N/A</v>
      </c>
      <c r="AI8" s="1" t="e">
        <f>IF(O8=2,1,NA())</f>
        <v>#N/A</v>
      </c>
      <c r="AK8" s="1" t="e">
        <f>IF(O8=3,AC8,NA())</f>
        <v>#N/A</v>
      </c>
      <c r="AL8" s="1" t="e">
        <f>IF(O8=3,1,NA())</f>
        <v>#N/A</v>
      </c>
      <c r="AN8" s="1">
        <f>VLOOKUP(C8,tblTerritories!$J$3:$P$28,7,FALSE)+10</f>
        <v>13</v>
      </c>
      <c r="AO8" s="1">
        <f>tblTerritories!P3</f>
        <v>3</v>
      </c>
      <c r="AP8" s="1">
        <f>IF($D$2=3,IF(OR(AO8=3,AO8=4),0,1),1)</f>
        <v>1</v>
      </c>
      <c r="AR8" s="1">
        <f>CHOOSE(uxb_works!$B$10,tblTerritories!V3,tblTerritories!X3,tblTerritories!Z3,tblTerritories!#REF!,tblTerritories!#REF!)</f>
        <v>0</v>
      </c>
    </row>
    <row r="9" spans="1:44">
      <c r="A9" s="1">
        <f>A8+1</f>
        <v>2</v>
      </c>
      <c r="B9" s="1" t="str">
        <f>tblTerritories!B4</f>
        <v/>
      </c>
      <c r="C9" s="1" t="str">
        <f>tblTerritories!C4</f>
        <v>Amsterdam</v>
      </c>
      <c r="D9" s="1">
        <f>tblTerritories!D4</f>
        <v>1</v>
      </c>
      <c r="E9" s="1">
        <f>IF(AND(OR(tblTerritories!$O$5=4,tblTerritories!$O$5=5),$D$2=3),0,IF(AND(OR(tblTerritories!$O$5=2,tblTerritories!$O$5=3),$D$2=3),tblTerritories!K4,IF(AND($D$2=3,tblTerritories!$O$5=1),AG9,tblTerritories!K4)))</f>
        <v>0</v>
      </c>
      <c r="F9" s="1">
        <f>IF(tblTerritories!F4="",0,tblTerritories!F4)</f>
        <v>1</v>
      </c>
      <c r="G9" s="290">
        <f t="shared" si="0"/>
        <v>87.26</v>
      </c>
      <c r="H9" s="1">
        <f>IF(F9=0,"",RANK(G9,G$8:G$68,0)+COUNTIF(G$8:G9,G9)-1)</f>
        <v>6</v>
      </c>
      <c r="I9" s="1">
        <f ca="1" t="shared" ref="I9:I68" si="2">IF(ISERROR(INDEX(INDIRECT($G$5),$B$2,A9)),"",INDEX(INDIRECT($G$5),$B$2,A9))</f>
        <v>6</v>
      </c>
      <c r="J9" s="273">
        <f ca="1" t="shared" ref="J9:J68" si="3">ROUND(IF($L$2="x","n.a.",IF(F9&gt;=1,G9-INDEX(INDIRECT($E$6),$L$2,MATCH($C9,INDIRECT($F$6),0)),"")),2)</f>
        <v>3.22</v>
      </c>
      <c r="K9" s="275">
        <f ca="1" t="shared" ref="K9:K68" si="4">IF($L$2="x","n.a.",IF(F9&gt;=1,INDEX(INDIRECT($G$6),$L$2,MATCH($C9,INDIRECT($F$6),0))-I9,""))</f>
        <v>-3</v>
      </c>
      <c r="L9" s="1">
        <f t="shared" ref="L9" si="5">IF(ISERROR(MATCH($A9,H$8:H$68,0)),"",MATCH($A9,H$8:H$68,0))</f>
        <v>50</v>
      </c>
      <c r="M9" s="1">
        <f t="shared" ref="M9:M68" si="6">IF(L9="","",1)</f>
        <v>1</v>
      </c>
      <c r="N9" s="269">
        <f t="shared" ref="N9" si="7">IF(OR(A9="",L9=""),"",RANK(T9,T$8:T$68,0))</f>
        <v>2</v>
      </c>
      <c r="O9" s="269">
        <f t="shared" ref="O9" si="8">IF(L9="",0,INDEX($F$8:$F$68,L9))</f>
        <v>1</v>
      </c>
      <c r="Q9" s="269"/>
      <c r="R9" s="268">
        <f t="shared" ref="R9" si="9">IF(L9="","",IF(OR(N9=N8,N9=N10),CONCATENATE("=",N9),N9))</f>
        <v>2</v>
      </c>
      <c r="S9" s="1" t="str">
        <f ca="1" t="shared" ref="S9" si="10">IF(L9="","",INDEX($C$8:$C$68,L9))&amp;Y9</f>
        <v>Singapore</v>
      </c>
      <c r="T9" s="1">
        <f t="shared" ref="T9" si="11">IF(O9=0,"",ROUND(INDEX($G$8:$G$68,L9),2))</f>
        <v>89.64</v>
      </c>
      <c r="U9" s="290">
        <f ca="1" t="shared" ref="U9" si="12">IF(L9="","",IF(ISNA(INDEX(J$8:J$73,L9)),"",INDEX(J$8:J$73,L9)))</f>
        <v>3.9</v>
      </c>
      <c r="V9" s="277" t="b">
        <f ca="1" t="shared" ref="V9:V68" si="13">IF($L$2="x","",IF($B$3,IF(U9="","",IF(U9&gt;0,"p",IF(U9&lt;0,"q","")))))</f>
        <v>0</v>
      </c>
      <c r="W9" s="277">
        <f ca="1" t="shared" ref="W9" si="14">IF(O9=0,"",IF(ISNA(INDEX(K$8:K$73,L9)),"",INDEX(K$8:K$73,L9)))</f>
        <v>0</v>
      </c>
      <c r="X9" s="277" t="b">
        <f ca="1" t="shared" ref="X9:X68" si="15">IF($L$2="x","",IF($B$3,IF(W9="","",IF(W9&gt;0,"p",IF(W9&lt;0,"q","")))))</f>
        <v>0</v>
      </c>
      <c r="Y9" s="1" t="str">
        <f ca="1" t="shared" ref="Y9" si="16">IF(L9="","",IF(ISNA(INDEX($J$8:$J$68,L9))," *",""))</f>
        <v/>
      </c>
      <c r="AA9" s="268">
        <f t="shared" ref="AA9" si="17">IF(O9=0,"",IF($C$2=1,"-",T9))</f>
        <v>89.64</v>
      </c>
      <c r="AB9" s="268"/>
      <c r="AC9" s="1">
        <f t="shared" ref="AC9" si="18">IF(ISNUMBER(T9),T9,NA())</f>
        <v>89.64</v>
      </c>
      <c r="AD9" s="1">
        <f t="shared" si="1"/>
        <v>1</v>
      </c>
      <c r="AE9" s="1" t="e">
        <f t="shared" ref="AE9" si="19">IF(O9=2,AC9,NA())</f>
        <v>#N/A</v>
      </c>
      <c r="AF9" s="1">
        <v>0</v>
      </c>
      <c r="AG9" s="1">
        <f>IF(AF9=1,tblTerritories!K4,0)</f>
        <v>0</v>
      </c>
      <c r="AH9" s="1" t="e">
        <f t="shared" ref="AH9" si="20">IF(O9=2,AC9,NA())</f>
        <v>#N/A</v>
      </c>
      <c r="AI9" s="1" t="e">
        <f t="shared" ref="AI9" si="21">IF(O9=2,1,NA())</f>
        <v>#N/A</v>
      </c>
      <c r="AK9" s="1" t="e">
        <f t="shared" ref="AK9" si="22">IF(O9=3,AC9,NA())</f>
        <v>#N/A</v>
      </c>
      <c r="AL9" s="1" t="e">
        <f t="shared" ref="AL9" si="23">IF(O9=3,1,NA())</f>
        <v>#N/A</v>
      </c>
      <c r="AN9" s="1">
        <f>VLOOKUP(C9,tblTerritories!$J$3:$P$28,7,FALSE)+10</f>
        <v>11</v>
      </c>
      <c r="AO9" s="1">
        <f>tblTerritories!P4</f>
        <v>1</v>
      </c>
      <c r="AP9" s="1">
        <f t="shared" ref="AP9:AP68" si="24">IF($D$2=3,IF(OR(AO9=3,AO9=4),0,1),1)</f>
        <v>1</v>
      </c>
      <c r="AR9" s="1">
        <f>CHOOSE(uxb_works!$B$10,tblTerritories!V4,tblTerritories!X4,tblTerritories!Z4,tblTerritories!#REF!,tblTerritories!#REF!)</f>
        <v>0</v>
      </c>
    </row>
    <row r="10" spans="1:44">
      <c r="A10" s="1">
        <f t="shared" ref="A10:A68" si="25">A9+1</f>
        <v>3</v>
      </c>
      <c r="B10" s="1" t="str">
        <f>tblTerritories!B5</f>
        <v/>
      </c>
      <c r="C10" s="1" t="str">
        <f>tblTerritories!C5</f>
        <v>Athens</v>
      </c>
      <c r="D10" s="1">
        <f>tblTerritories!D5</f>
        <v>1</v>
      </c>
      <c r="E10" s="1">
        <f>IF(AND(OR(tblTerritories!$O$5=4,tblTerritories!$O$5=5),$D$2=3),0,IF(AND(OR(tblTerritories!$O$5=2,tblTerritories!$O$5=3),$D$2=3),tblTerritories!K5,IF(AND($D$2=3,tblTerritories!$O$5=1),AG10,tblTerritories!K5)))</f>
        <v>0</v>
      </c>
      <c r="F10" s="1">
        <f>IF(tblTerritories!F5="",0,tblTerritories!F5)</f>
        <v>1</v>
      </c>
      <c r="G10" s="290">
        <f t="shared" si="0"/>
        <v>71.9</v>
      </c>
      <c r="H10" s="1">
        <f>IF(F10=0,"",RANK(G10,G$8:G$68,0)+COUNTIF(G$8:G10,G10)-1)</f>
        <v>33</v>
      </c>
      <c r="I10" s="1">
        <f ca="1" t="shared" si="2"/>
        <v>33</v>
      </c>
      <c r="J10" s="273" t="e">
        <f ca="1" t="shared" si="3"/>
        <v>#N/A</v>
      </c>
      <c r="K10" s="275" t="e">
        <f ca="1" t="shared" si="4"/>
        <v>#N/A</v>
      </c>
      <c r="L10" s="1">
        <f t="shared" ref="L10:L68" si="26">IF(ISERROR(MATCH($A10,H$8:H$68,0)),"",MATCH($A10,H$8:H$68,0))</f>
        <v>39</v>
      </c>
      <c r="M10" s="1">
        <f t="shared" si="6"/>
        <v>1</v>
      </c>
      <c r="N10" s="269">
        <f t="shared" ref="N10:N68" si="27">IF(OR(A10="",L10=""),"",RANK(T10,T$8:T$68,0))</f>
        <v>3</v>
      </c>
      <c r="O10" s="269">
        <f t="shared" ref="O10:O68" si="28">IF(L10="",0,INDEX($F$8:$F$68,L10))</f>
        <v>1</v>
      </c>
      <c r="Q10" s="269"/>
      <c r="R10" s="268">
        <f t="shared" ref="R10:R68" si="29">IF(L10="","",IF(OR(N10=N9,N10=N11),CONCATENATE("=",N10),N10))</f>
        <v>3</v>
      </c>
      <c r="S10" s="1" t="str">
        <f ca="1" t="shared" ref="S10:S68" si="30">IF(L10="","",INDEX($C$8:$C$68,L10))&amp;Y10</f>
        <v>Osaka</v>
      </c>
      <c r="T10" s="1">
        <f t="shared" ref="T10:T68" si="31">IF(O10=0,"",ROUND(INDEX($G$8:$G$68,L10),2))</f>
        <v>88.87</v>
      </c>
      <c r="U10" s="290">
        <f ca="1" t="shared" ref="U10:U68" si="32">IF(L10="","",IF(ISNA(INDEX(J$8:J$73,L10)),"",INDEX(J$8:J$73,L10)))</f>
        <v>5.65</v>
      </c>
      <c r="V10" s="277" t="b">
        <f ca="1" t="shared" si="13"/>
        <v>0</v>
      </c>
      <c r="W10" s="277">
        <f ca="1" t="shared" ref="W10:W68" si="33">IF(O10=0,"",IF(ISNA(INDEX(K$8:K$73,L10)),"",INDEX(K$8:K$73,L10)))</f>
        <v>1</v>
      </c>
      <c r="X10" s="277" t="b">
        <f ca="1" t="shared" si="15"/>
        <v>0</v>
      </c>
      <c r="Y10" s="1" t="str">
        <f ca="1" t="shared" ref="Y10:Y68" si="34">IF(L10="","",IF(ISNA(INDEX($J$8:$J$68,L10))," *",""))</f>
        <v/>
      </c>
      <c r="AA10" s="268">
        <f t="shared" ref="AA10:AA68" si="35">IF(O10=0,"",IF($C$2=1,"-",T10))</f>
        <v>88.87</v>
      </c>
      <c r="AB10" s="268"/>
      <c r="AC10" s="1">
        <f t="shared" ref="AC10:AC68" si="36">IF(ISNUMBER(T10),T10,NA())</f>
        <v>88.87</v>
      </c>
      <c r="AD10" s="1">
        <f t="shared" si="1"/>
        <v>1</v>
      </c>
      <c r="AE10" s="1" t="e">
        <f t="shared" ref="AE10:AE68" si="37">IF(O10=2,AC10,NA())</f>
        <v>#N/A</v>
      </c>
      <c r="AF10" s="1">
        <v>0</v>
      </c>
      <c r="AG10" s="1">
        <f>IF(AF10=1,tblTerritories!K5,0)</f>
        <v>0</v>
      </c>
      <c r="AH10" s="1" t="e">
        <f t="shared" ref="AH10:AH68" si="38">IF(O10=2,AC10,NA())</f>
        <v>#N/A</v>
      </c>
      <c r="AI10" s="1" t="e">
        <f t="shared" ref="AI10:AI68" si="39">IF(O10=2,1,NA())</f>
        <v>#N/A</v>
      </c>
      <c r="AK10" s="1" t="e">
        <f t="shared" ref="AK10:AK68" si="40">IF(O10=3,AC10,NA())</f>
        <v>#N/A</v>
      </c>
      <c r="AL10" s="1" t="e">
        <f t="shared" ref="AL10:AL68" si="41">IF(O10=3,1,NA())</f>
        <v>#N/A</v>
      </c>
      <c r="AN10" s="1">
        <f>VLOOKUP(C10,tblTerritories!$J$3:$P$28,7,FALSE)+10</f>
        <v>11</v>
      </c>
      <c r="AO10" s="1">
        <f>tblTerritories!P5</f>
        <v>1</v>
      </c>
      <c r="AP10" s="1">
        <f t="shared" si="24"/>
        <v>1</v>
      </c>
      <c r="AR10" s="1">
        <f>CHOOSE(uxb_works!$B$10,tblTerritories!V5,tblTerritories!X5,tblTerritories!Z5,tblTerritories!#REF!,tblTerritories!#REF!)</f>
        <v>0</v>
      </c>
    </row>
    <row r="11" spans="1:44">
      <c r="A11" s="1">
        <f t="shared" si="25"/>
        <v>4</v>
      </c>
      <c r="B11" s="1" t="str">
        <f>tblTerritories!B6</f>
        <v/>
      </c>
      <c r="C11" s="1" t="str">
        <f>tblTerritories!C6</f>
        <v>Bangkok</v>
      </c>
      <c r="D11" s="1">
        <f>tblTerritories!D6</f>
        <v>1</v>
      </c>
      <c r="E11" s="1">
        <f>IF(AND(OR(tblTerritories!$O$5=4,tblTerritories!$O$5=5),$D$2=3),0,IF(AND(OR(tblTerritories!$O$5=2,tblTerritories!$O$5=3),$D$2=3),tblTerritories!K6,IF(AND($D$2=3,tblTerritories!$O$5=1),AG11,tblTerritories!K6)))</f>
        <v>0</v>
      </c>
      <c r="F11" s="1">
        <f>IF(tblTerritories!F6="",0,tblTerritories!F6)</f>
        <v>1</v>
      </c>
      <c r="G11" s="290">
        <f t="shared" si="0"/>
        <v>60.05</v>
      </c>
      <c r="H11" s="1">
        <f>IF(F11=0,"",RANK(G11,G$8:G$68,0)+COUNTIF(G$8:G11,G11)-1)</f>
        <v>49</v>
      </c>
      <c r="I11" s="1">
        <f ca="1" t="shared" si="2"/>
        <v>49</v>
      </c>
      <c r="J11" s="273">
        <f ca="1" t="shared" si="3"/>
        <v>2.57</v>
      </c>
      <c r="K11" s="275">
        <f ca="1" t="shared" si="4"/>
        <v>-7</v>
      </c>
      <c r="L11" s="1">
        <f t="shared" si="26"/>
        <v>56</v>
      </c>
      <c r="M11" s="1">
        <f t="shared" si="6"/>
        <v>1</v>
      </c>
      <c r="N11" s="269">
        <f t="shared" si="27"/>
        <v>4</v>
      </c>
      <c r="O11" s="269">
        <f t="shared" si="28"/>
        <v>1</v>
      </c>
      <c r="Q11" s="269"/>
      <c r="R11" s="268">
        <f t="shared" si="29"/>
        <v>4</v>
      </c>
      <c r="S11" s="1" t="str">
        <f ca="1" t="shared" si="30"/>
        <v>Toronto</v>
      </c>
      <c r="T11" s="1">
        <f t="shared" si="31"/>
        <v>87.36</v>
      </c>
      <c r="U11" s="290">
        <f ca="1" t="shared" si="32"/>
        <v>5.99</v>
      </c>
      <c r="V11" s="277" t="b">
        <f ca="1" t="shared" si="13"/>
        <v>0</v>
      </c>
      <c r="W11" s="277">
        <f ca="1" t="shared" si="33"/>
        <v>2</v>
      </c>
      <c r="X11" s="277" t="b">
        <f ca="1" t="shared" si="15"/>
        <v>0</v>
      </c>
      <c r="Y11" s="1" t="str">
        <f ca="1" t="shared" si="34"/>
        <v/>
      </c>
      <c r="AA11" s="268">
        <f t="shared" si="35"/>
        <v>87.36</v>
      </c>
      <c r="AB11" s="268"/>
      <c r="AC11" s="1">
        <f t="shared" si="36"/>
        <v>87.36</v>
      </c>
      <c r="AD11" s="1">
        <f t="shared" si="1"/>
        <v>1</v>
      </c>
      <c r="AE11" s="1" t="e">
        <f t="shared" si="37"/>
        <v>#N/A</v>
      </c>
      <c r="AF11" s="1">
        <v>0</v>
      </c>
      <c r="AG11" s="1">
        <f>IF(AF11=1,tblTerritories!K6,0)</f>
        <v>0</v>
      </c>
      <c r="AH11" s="1" t="e">
        <f t="shared" si="38"/>
        <v>#N/A</v>
      </c>
      <c r="AI11" s="1" t="e">
        <f t="shared" si="39"/>
        <v>#N/A</v>
      </c>
      <c r="AK11" s="1" t="e">
        <f t="shared" si="40"/>
        <v>#N/A</v>
      </c>
      <c r="AL11" s="1" t="e">
        <f t="shared" si="41"/>
        <v>#N/A</v>
      </c>
      <c r="AN11" s="1">
        <f>VLOOKUP(C11,tblTerritories!$J$3:$P$28,7,FALSE)+10</f>
        <v>17</v>
      </c>
      <c r="AO11" s="1">
        <f>tblTerritories!P6</f>
        <v>7</v>
      </c>
      <c r="AP11" s="1">
        <f t="shared" si="24"/>
        <v>1</v>
      </c>
      <c r="AR11" s="1">
        <f>CHOOSE(uxb_works!$B$10,tblTerritories!V6,tblTerritories!X6,tblTerritories!Z6,tblTerritories!#REF!,tblTerritories!#REF!)</f>
        <v>0</v>
      </c>
    </row>
    <row r="12" spans="1:44">
      <c r="A12" s="1">
        <f t="shared" si="25"/>
        <v>5</v>
      </c>
      <c r="B12" s="1" t="str">
        <f>tblTerritories!B7</f>
        <v/>
      </c>
      <c r="C12" s="1" t="str">
        <f>tblTerritories!C7</f>
        <v>Barcelona</v>
      </c>
      <c r="D12" s="1">
        <f>tblTerritories!D7</f>
        <v>1</v>
      </c>
      <c r="E12" s="1">
        <f>IF(AND(OR(tblTerritories!$O$5=4,tblTerritories!$O$5=5),$D$2=3),0,IF(AND(OR(tblTerritories!$O$5=2,tblTerritories!$O$5=3),$D$2=3),tblTerritories!K7,IF(AND($D$2=3,tblTerritories!$O$5=1),AG12,tblTerritories!K7)))</f>
        <v>0</v>
      </c>
      <c r="F12" s="1">
        <f>IF(tblTerritories!F7="",0,tblTerritories!F7)</f>
        <v>1</v>
      </c>
      <c r="G12" s="290">
        <f t="shared" si="0"/>
        <v>83.71</v>
      </c>
      <c r="H12" s="1">
        <f>IF(F12=0,"",RANK(G12,G$8:G$68,0)+COUNTIF(G$8:G12,G12)-1)</f>
        <v>13</v>
      </c>
      <c r="I12" s="1">
        <f ca="1" t="shared" si="2"/>
        <v>13</v>
      </c>
      <c r="J12" s="273">
        <f ca="1" t="shared" si="3"/>
        <v>6.32</v>
      </c>
      <c r="K12" s="275">
        <f ca="1" t="shared" si="4"/>
        <v>2</v>
      </c>
      <c r="L12" s="1">
        <f t="shared" si="26"/>
        <v>33</v>
      </c>
      <c r="M12" s="1">
        <f t="shared" si="6"/>
        <v>1</v>
      </c>
      <c r="N12" s="269">
        <f t="shared" si="27"/>
        <v>5</v>
      </c>
      <c r="O12" s="269">
        <f t="shared" si="28"/>
        <v>1</v>
      </c>
      <c r="Q12" s="269"/>
      <c r="R12" s="268">
        <f t="shared" si="29"/>
        <v>5</v>
      </c>
      <c r="S12" s="1" t="str">
        <f ca="1" t="shared" si="30"/>
        <v>Melbourne</v>
      </c>
      <c r="T12" s="1">
        <f t="shared" si="31"/>
        <v>87.3</v>
      </c>
      <c r="U12" s="290">
        <f ca="1" t="shared" si="32"/>
        <v>6.03</v>
      </c>
      <c r="V12" s="277" t="b">
        <f ca="1" t="shared" si="13"/>
        <v>0</v>
      </c>
      <c r="W12" s="277">
        <f ca="1" t="shared" si="33"/>
        <v>2</v>
      </c>
      <c r="X12" s="277" t="b">
        <f ca="1" t="shared" si="15"/>
        <v>0</v>
      </c>
      <c r="Y12" s="1" t="str">
        <f ca="1" t="shared" si="34"/>
        <v/>
      </c>
      <c r="AA12" s="268">
        <f t="shared" si="35"/>
        <v>87.3</v>
      </c>
      <c r="AB12" s="268"/>
      <c r="AC12" s="1">
        <f t="shared" si="36"/>
        <v>87.3</v>
      </c>
      <c r="AD12" s="1">
        <f t="shared" si="1"/>
        <v>1</v>
      </c>
      <c r="AE12" s="1" t="e">
        <f t="shared" si="37"/>
        <v>#N/A</v>
      </c>
      <c r="AF12" s="1">
        <v>0</v>
      </c>
      <c r="AG12" s="1">
        <f>IF(AF12=1,tblTerritories!K7,0)</f>
        <v>0</v>
      </c>
      <c r="AH12" s="1" t="e">
        <f t="shared" si="38"/>
        <v>#N/A</v>
      </c>
      <c r="AI12" s="1" t="e">
        <f t="shared" si="39"/>
        <v>#N/A</v>
      </c>
      <c r="AK12" s="1" t="e">
        <f t="shared" si="40"/>
        <v>#N/A</v>
      </c>
      <c r="AL12" s="1" t="e">
        <f t="shared" si="41"/>
        <v>#N/A</v>
      </c>
      <c r="AN12" s="1">
        <f>VLOOKUP(C12,tblTerritories!$J$3:$P$28,7,FALSE)+10</f>
        <v>11</v>
      </c>
      <c r="AO12" s="1">
        <f>tblTerritories!P7</f>
        <v>1</v>
      </c>
      <c r="AP12" s="1">
        <f t="shared" si="24"/>
        <v>1</v>
      </c>
      <c r="AR12" s="1">
        <f>CHOOSE(uxb_works!$B$10,tblTerritories!V7,tblTerritories!X7,tblTerritories!Z7,tblTerritories!#REF!,tblTerritories!#REF!)</f>
        <v>0</v>
      </c>
    </row>
    <row r="13" spans="1:44">
      <c r="A13" s="1">
        <f t="shared" si="25"/>
        <v>6</v>
      </c>
      <c r="B13" s="1" t="str">
        <f>tblTerritories!B8</f>
        <v/>
      </c>
      <c r="C13" s="1" t="str">
        <f>tblTerritories!C8</f>
        <v>Beijing</v>
      </c>
      <c r="D13" s="1">
        <f>tblTerritories!D8</f>
        <v>1</v>
      </c>
      <c r="E13" s="1">
        <f>IF(AND(OR(tblTerritories!$O$5=4,tblTerritories!$O$5=5),$D$2=3),0,IF(AND(OR(tblTerritories!$O$5=2,tblTerritories!$O$5=3),$D$2=3),tblTerritories!K8,IF(AND($D$2=3,tblTerritories!$O$5=1),AG13,tblTerritories!K8)))</f>
        <v>0</v>
      </c>
      <c r="F13" s="1">
        <f>IF(tblTerritories!F8="",0,tblTerritories!F8)</f>
        <v>1</v>
      </c>
      <c r="G13" s="290">
        <f t="shared" si="0"/>
        <v>72.06</v>
      </c>
      <c r="H13" s="1">
        <f>IF(F13=0,"",RANK(G13,G$8:G$68,0)+COUNTIF(G$8:G13,G13)-1)</f>
        <v>32</v>
      </c>
      <c r="I13" s="1">
        <f ca="1" t="shared" si="2"/>
        <v>32</v>
      </c>
      <c r="J13" s="273">
        <f ca="1" t="shared" si="3"/>
        <v>7.66</v>
      </c>
      <c r="K13" s="275">
        <f ca="1" t="shared" si="4"/>
        <v>0</v>
      </c>
      <c r="L13" s="1">
        <f t="shared" si="26"/>
        <v>2</v>
      </c>
      <c r="M13" s="1">
        <f t="shared" si="6"/>
        <v>1</v>
      </c>
      <c r="N13" s="269">
        <f t="shared" si="27"/>
        <v>6</v>
      </c>
      <c r="O13" s="269">
        <f t="shared" si="28"/>
        <v>1</v>
      </c>
      <c r="Q13" s="269"/>
      <c r="R13" s="268">
        <f t="shared" si="29"/>
        <v>6</v>
      </c>
      <c r="S13" s="1" t="str">
        <f ca="1" t="shared" si="30"/>
        <v>Amsterdam</v>
      </c>
      <c r="T13" s="1">
        <f t="shared" si="31"/>
        <v>87.26</v>
      </c>
      <c r="U13" s="290">
        <f ca="1" t="shared" si="32"/>
        <v>3.22</v>
      </c>
      <c r="V13" s="277" t="b">
        <f ca="1" t="shared" si="13"/>
        <v>0</v>
      </c>
      <c r="W13" s="277">
        <f ca="1" t="shared" si="33"/>
        <v>-3</v>
      </c>
      <c r="X13" s="277" t="b">
        <f ca="1" t="shared" si="15"/>
        <v>0</v>
      </c>
      <c r="Y13" s="1" t="str">
        <f ca="1" t="shared" si="34"/>
        <v/>
      </c>
      <c r="AA13" s="268">
        <f t="shared" si="35"/>
        <v>87.26</v>
      </c>
      <c r="AB13" s="268"/>
      <c r="AC13" s="1">
        <f t="shared" si="36"/>
        <v>87.26</v>
      </c>
      <c r="AD13" s="1">
        <f t="shared" si="1"/>
        <v>1</v>
      </c>
      <c r="AE13" s="1" t="e">
        <f t="shared" si="37"/>
        <v>#N/A</v>
      </c>
      <c r="AF13" s="1">
        <v>0</v>
      </c>
      <c r="AG13" s="1">
        <f>IF(AF13=1,tblTerritories!K8,0)</f>
        <v>0</v>
      </c>
      <c r="AH13" s="1" t="e">
        <f t="shared" si="38"/>
        <v>#N/A</v>
      </c>
      <c r="AI13" s="1" t="e">
        <f t="shared" si="39"/>
        <v>#N/A</v>
      </c>
      <c r="AK13" s="1" t="e">
        <f t="shared" si="40"/>
        <v>#N/A</v>
      </c>
      <c r="AL13" s="1" t="e">
        <f t="shared" si="41"/>
        <v>#N/A</v>
      </c>
      <c r="AN13" s="1">
        <f>VLOOKUP(C13,tblTerritories!$J$3:$P$28,7,FALSE)+10</f>
        <v>17</v>
      </c>
      <c r="AO13" s="1">
        <f>tblTerritories!P8</f>
        <v>7</v>
      </c>
      <c r="AP13" s="1">
        <f t="shared" si="24"/>
        <v>1</v>
      </c>
      <c r="AR13" s="1">
        <f>CHOOSE(uxb_works!$B$10,tblTerritories!V8,tblTerritories!X8,tblTerritories!Z8,tblTerritories!#REF!,tblTerritories!#REF!)</f>
        <v>0</v>
      </c>
    </row>
    <row r="14" spans="1:44">
      <c r="A14" s="1">
        <f t="shared" si="25"/>
        <v>7</v>
      </c>
      <c r="B14" s="1" t="str">
        <f>tblTerritories!B9</f>
        <v/>
      </c>
      <c r="C14" s="1" t="str">
        <f>tblTerritories!C9</f>
        <v>Bogota</v>
      </c>
      <c r="D14" s="1">
        <f>tblTerritories!D9</f>
        <v>1</v>
      </c>
      <c r="E14" s="1">
        <f>IF(AND(OR(tblTerritories!$O$5=4,tblTerritories!$O$5=5),$D$2=3),0,IF(AND(OR(tblTerritories!$O$5=2,tblTerritories!$O$5=3),$D$2=3),tblTerritories!K9,IF(AND($D$2=3,tblTerritories!$O$5=1),AG14,tblTerritories!K9)))</f>
        <v>0</v>
      </c>
      <c r="F14" s="1">
        <f>IF(tblTerritories!F9="",0,tblTerritories!F9)</f>
        <v>1</v>
      </c>
      <c r="G14" s="290">
        <f t="shared" si="0"/>
        <v>61.36</v>
      </c>
      <c r="H14" s="1">
        <f>IF(F14=0,"",RANK(G14,G$8:G$68,0)+COUNTIF(G$8:G14,G14)-1)</f>
        <v>46</v>
      </c>
      <c r="I14" s="1">
        <f ca="1" t="shared" si="2"/>
        <v>46</v>
      </c>
      <c r="J14" s="273" t="e">
        <f ca="1" t="shared" si="3"/>
        <v>#N/A</v>
      </c>
      <c r="K14" s="275" t="e">
        <f ca="1" t="shared" si="4"/>
        <v>#N/A</v>
      </c>
      <c r="L14" s="1">
        <f t="shared" si="26"/>
        <v>52</v>
      </c>
      <c r="M14" s="1">
        <f t="shared" si="6"/>
        <v>1</v>
      </c>
      <c r="N14" s="269">
        <f t="shared" si="27"/>
        <v>7</v>
      </c>
      <c r="O14" s="269">
        <f t="shared" si="28"/>
        <v>1</v>
      </c>
      <c r="Q14" s="269"/>
      <c r="R14" s="268">
        <f t="shared" si="29"/>
        <v>7</v>
      </c>
      <c r="S14" s="1" t="str">
        <f ca="1" t="shared" si="30"/>
        <v>Sydney</v>
      </c>
      <c r="T14" s="1">
        <f t="shared" si="31"/>
        <v>86.74</v>
      </c>
      <c r="U14" s="290">
        <f ca="1" t="shared" si="32"/>
        <v>4.86</v>
      </c>
      <c r="V14" s="277" t="b">
        <f ca="1" t="shared" si="13"/>
        <v>0</v>
      </c>
      <c r="W14" s="277">
        <f ca="1" t="shared" si="33"/>
        <v>-2</v>
      </c>
      <c r="X14" s="277" t="b">
        <f ca="1" t="shared" si="15"/>
        <v>0</v>
      </c>
      <c r="Y14" s="1" t="str">
        <f ca="1" t="shared" si="34"/>
        <v/>
      </c>
      <c r="AA14" s="268">
        <f t="shared" si="35"/>
        <v>86.74</v>
      </c>
      <c r="AB14" s="268"/>
      <c r="AC14" s="1">
        <f t="shared" si="36"/>
        <v>86.74</v>
      </c>
      <c r="AD14" s="1">
        <f t="shared" si="1"/>
        <v>1</v>
      </c>
      <c r="AE14" s="1" t="e">
        <f t="shared" si="37"/>
        <v>#N/A</v>
      </c>
      <c r="AF14" s="1">
        <v>0</v>
      </c>
      <c r="AG14" s="1">
        <f>IF(AF14=1,tblTerritories!K9,0)</f>
        <v>0</v>
      </c>
      <c r="AH14" s="1" t="e">
        <f t="shared" si="38"/>
        <v>#N/A</v>
      </c>
      <c r="AI14" s="1" t="e">
        <f t="shared" si="39"/>
        <v>#N/A</v>
      </c>
      <c r="AK14" s="1" t="e">
        <f t="shared" si="40"/>
        <v>#N/A</v>
      </c>
      <c r="AL14" s="1" t="e">
        <f t="shared" si="41"/>
        <v>#N/A</v>
      </c>
      <c r="AN14" s="1">
        <f>VLOOKUP(C14,tblTerritories!$J$3:$P$28,7,FALSE)+10</f>
        <v>12</v>
      </c>
      <c r="AO14" s="1">
        <f>tblTerritories!P9</f>
        <v>2</v>
      </c>
      <c r="AP14" s="1">
        <f t="shared" si="24"/>
        <v>1</v>
      </c>
      <c r="AR14" s="1">
        <f>CHOOSE(uxb_works!$B$10,tblTerritories!V9,tblTerritories!X9,tblTerritories!Z9,tblTerritories!#REF!,tblTerritories!#REF!)</f>
        <v>0</v>
      </c>
    </row>
    <row r="15" spans="1:44">
      <c r="A15" s="1">
        <f t="shared" si="25"/>
        <v>8</v>
      </c>
      <c r="B15" s="1" t="str">
        <f>tblTerritories!B10</f>
        <v/>
      </c>
      <c r="C15" s="1" t="str">
        <f>tblTerritories!C10</f>
        <v>Brussels</v>
      </c>
      <c r="D15" s="1">
        <f>tblTerritories!D10</f>
        <v>1</v>
      </c>
      <c r="E15" s="1">
        <f>IF(AND(OR(tblTerritories!$O$5=4,tblTerritories!$O$5=5),$D$2=3),0,IF(AND(OR(tblTerritories!$O$5=2,tblTerritories!$O$5=3),$D$2=3),tblTerritories!K10,IF(AND($D$2=3,tblTerritories!$O$5=1),AG15,tblTerritories!K10)))</f>
        <v>0</v>
      </c>
      <c r="F15" s="1">
        <f>IF(tblTerritories!F10="",0,tblTerritories!F10)</f>
        <v>1</v>
      </c>
      <c r="G15" s="290">
        <f t="shared" si="0"/>
        <v>83.01</v>
      </c>
      <c r="H15" s="1">
        <f>IF(F15=0,"",RANK(G15,G$8:G$68,0)+COUNTIF(G$8:G15,G15)-1)</f>
        <v>17</v>
      </c>
      <c r="I15" s="1">
        <f ca="1" t="shared" si="2"/>
        <v>17</v>
      </c>
      <c r="J15" s="273">
        <f ca="1" t="shared" si="3"/>
        <v>6.83</v>
      </c>
      <c r="K15" s="275">
        <f ca="1" t="shared" si="4"/>
        <v>2</v>
      </c>
      <c r="L15" s="1">
        <f t="shared" si="26"/>
        <v>51</v>
      </c>
      <c r="M15" s="1">
        <f t="shared" si="6"/>
        <v>1</v>
      </c>
      <c r="N15" s="269">
        <f t="shared" si="27"/>
        <v>8</v>
      </c>
      <c r="O15" s="269">
        <f t="shared" si="28"/>
        <v>1</v>
      </c>
      <c r="Q15" s="269"/>
      <c r="R15" s="268">
        <f t="shared" si="29"/>
        <v>8</v>
      </c>
      <c r="S15" s="1" t="str">
        <f ca="1" t="shared" si="30"/>
        <v>Stockholm</v>
      </c>
      <c r="T15" s="1">
        <f t="shared" si="31"/>
        <v>86.72</v>
      </c>
      <c r="U15" s="290">
        <f ca="1" t="shared" si="32"/>
        <v>5.66</v>
      </c>
      <c r="V15" s="277" t="b">
        <f ca="1" t="shared" si="13"/>
        <v>0</v>
      </c>
      <c r="W15" s="277">
        <f ca="1" t="shared" si="33"/>
        <v>0</v>
      </c>
      <c r="X15" s="277" t="b">
        <f ca="1" t="shared" si="15"/>
        <v>0</v>
      </c>
      <c r="Y15" s="1" t="str">
        <f ca="1" t="shared" si="34"/>
        <v/>
      </c>
      <c r="AA15" s="268">
        <f t="shared" si="35"/>
        <v>86.72</v>
      </c>
      <c r="AB15" s="268"/>
      <c r="AC15" s="1">
        <f t="shared" si="36"/>
        <v>86.72</v>
      </c>
      <c r="AD15" s="1">
        <f t="shared" si="1"/>
        <v>1</v>
      </c>
      <c r="AE15" s="1" t="e">
        <f t="shared" si="37"/>
        <v>#N/A</v>
      </c>
      <c r="AF15" s="1">
        <v>0</v>
      </c>
      <c r="AG15" s="1">
        <f>IF(AF15=1,tblTerritories!K10,0)</f>
        <v>0</v>
      </c>
      <c r="AH15" s="1" t="e">
        <f t="shared" si="38"/>
        <v>#N/A</v>
      </c>
      <c r="AI15" s="1" t="e">
        <f t="shared" si="39"/>
        <v>#N/A</v>
      </c>
      <c r="AK15" s="1" t="e">
        <f t="shared" si="40"/>
        <v>#N/A</v>
      </c>
      <c r="AL15" s="1" t="e">
        <f t="shared" si="41"/>
        <v>#N/A</v>
      </c>
      <c r="AN15" s="1">
        <f>VLOOKUP(C15,tblTerritories!$J$3:$P$28,7,FALSE)+10</f>
        <v>11</v>
      </c>
      <c r="AO15" s="1">
        <f>tblTerritories!P10</f>
        <v>1</v>
      </c>
      <c r="AP15" s="1">
        <f t="shared" si="24"/>
        <v>1</v>
      </c>
      <c r="AR15" s="1">
        <f>CHOOSE(uxb_works!$B$10,tblTerritories!V10,tblTerritories!X10,tblTerritories!Z10,tblTerritories!#REF!,tblTerritories!#REF!)</f>
        <v>0</v>
      </c>
    </row>
    <row r="16" spans="1:44">
      <c r="A16" s="1">
        <f t="shared" si="25"/>
        <v>9</v>
      </c>
      <c r="B16" s="1" t="str">
        <f>tblTerritories!B11</f>
        <v/>
      </c>
      <c r="C16" s="1" t="str">
        <f>tblTerritories!C11</f>
        <v>Buenos Aires</v>
      </c>
      <c r="D16" s="1">
        <f>tblTerritories!D11</f>
        <v>1</v>
      </c>
      <c r="E16" s="1">
        <f>IF(AND(OR(tblTerritories!$O$5=4,tblTerritories!$O$5=5),$D$2=3),0,IF(AND(OR(tblTerritories!$O$5=2,tblTerritories!$O$5=3),$D$2=3),tblTerritories!K11,IF(AND($D$2=3,tblTerritories!$O$5=1),AG16,tblTerritories!K11)))</f>
        <v>0</v>
      </c>
      <c r="F16" s="1">
        <f>IF(tblTerritories!F11="",0,tblTerritories!F11)</f>
        <v>1</v>
      </c>
      <c r="G16" s="290">
        <f t="shared" si="0"/>
        <v>76.35</v>
      </c>
      <c r="H16" s="1">
        <f>IF(F16=0,"",RANK(G16,G$8:G$68,0)+COUNTIF(G$8:G16,G16)-1)</f>
        <v>29</v>
      </c>
      <c r="I16" s="1">
        <f ca="1" t="shared" si="2"/>
        <v>29</v>
      </c>
      <c r="J16" s="273">
        <f ca="1" t="shared" si="3"/>
        <v>6.33</v>
      </c>
      <c r="K16" s="275">
        <f ca="1" t="shared" si="4"/>
        <v>-3</v>
      </c>
      <c r="L16" s="1">
        <f t="shared" si="26"/>
        <v>20</v>
      </c>
      <c r="M16" s="1">
        <f t="shared" si="6"/>
        <v>1</v>
      </c>
      <c r="N16" s="269">
        <f t="shared" si="27"/>
        <v>9</v>
      </c>
      <c r="O16" s="269">
        <f t="shared" si="28"/>
        <v>1</v>
      </c>
      <c r="Q16" s="269"/>
      <c r="R16" s="268">
        <f t="shared" si="29"/>
        <v>9</v>
      </c>
      <c r="S16" s="1" t="str">
        <f ca="1" t="shared" si="30"/>
        <v>Hong Kong</v>
      </c>
      <c r="T16" s="1">
        <f t="shared" si="31"/>
        <v>86.22</v>
      </c>
      <c r="U16" s="290">
        <f ca="1" t="shared" si="32"/>
        <v>7.69</v>
      </c>
      <c r="V16" s="277" t="b">
        <f ca="1" t="shared" si="13"/>
        <v>0</v>
      </c>
      <c r="W16" s="277">
        <f ca="1" t="shared" si="33"/>
        <v>3</v>
      </c>
      <c r="X16" s="277" t="b">
        <f ca="1" t="shared" si="15"/>
        <v>0</v>
      </c>
      <c r="Y16" s="1" t="str">
        <f ca="1" t="shared" si="34"/>
        <v/>
      </c>
      <c r="AA16" s="268">
        <f t="shared" si="35"/>
        <v>86.22</v>
      </c>
      <c r="AB16" s="268"/>
      <c r="AC16" s="1">
        <f t="shared" si="36"/>
        <v>86.22</v>
      </c>
      <c r="AD16" s="1">
        <f t="shared" si="1"/>
        <v>1</v>
      </c>
      <c r="AE16" s="1" t="e">
        <f t="shared" si="37"/>
        <v>#N/A</v>
      </c>
      <c r="AF16" s="1">
        <v>0</v>
      </c>
      <c r="AG16" s="1">
        <f>IF(AF16=1,tblTerritories!K11,0)</f>
        <v>0</v>
      </c>
      <c r="AH16" s="1" t="e">
        <f t="shared" si="38"/>
        <v>#N/A</v>
      </c>
      <c r="AI16" s="1" t="e">
        <f t="shared" si="39"/>
        <v>#N/A</v>
      </c>
      <c r="AK16" s="1" t="e">
        <f t="shared" si="40"/>
        <v>#N/A</v>
      </c>
      <c r="AL16" s="1" t="e">
        <f t="shared" si="41"/>
        <v>#N/A</v>
      </c>
      <c r="AN16" s="1">
        <f>VLOOKUP(C16,tblTerritories!$J$3:$P$28,7,FALSE)+10</f>
        <v>12</v>
      </c>
      <c r="AO16" s="1">
        <f>tblTerritories!P11</f>
        <v>2</v>
      </c>
      <c r="AP16" s="1">
        <f t="shared" si="24"/>
        <v>1</v>
      </c>
      <c r="AR16" s="1">
        <f>CHOOSE(uxb_works!$B$10,tblTerritories!V11,tblTerritories!X11,tblTerritories!Z11,tblTerritories!#REF!,tblTerritories!#REF!)</f>
        <v>0</v>
      </c>
    </row>
    <row r="17" spans="1:44">
      <c r="A17" s="1">
        <f t="shared" si="25"/>
        <v>10</v>
      </c>
      <c r="B17" s="1" t="str">
        <f>tblTerritories!B12</f>
        <v/>
      </c>
      <c r="C17" s="1" t="str">
        <f>tblTerritories!C12</f>
        <v>Cairo</v>
      </c>
      <c r="D17" s="1">
        <f>tblTerritories!D12</f>
        <v>1</v>
      </c>
      <c r="E17" s="1">
        <f>IF(AND(OR(tblTerritories!$O$5=4,tblTerritories!$O$5=5),$D$2=3),0,IF(AND(OR(tblTerritories!$O$5=2,tblTerritories!$O$5=3),$D$2=3),tblTerritories!K12,IF(AND($D$2=3,tblTerritories!$O$5=1),AG17,tblTerritories!K12)))</f>
        <v>0</v>
      </c>
      <c r="F17" s="1">
        <f>IF(tblTerritories!F12="",0,tblTerritories!F12)</f>
        <v>1</v>
      </c>
      <c r="G17" s="290">
        <f t="shared" si="0"/>
        <v>58.33</v>
      </c>
      <c r="H17" s="1">
        <f>IF(F17=0,"",RANK(G17,G$8:G$68,0)+COUNTIF(G$8:G17,G17)-1)</f>
        <v>51</v>
      </c>
      <c r="I17" s="1">
        <f ca="1" t="shared" si="2"/>
        <v>51</v>
      </c>
      <c r="J17" s="273" t="e">
        <f ca="1" t="shared" si="3"/>
        <v>#N/A</v>
      </c>
      <c r="K17" s="275" t="e">
        <f ca="1" t="shared" si="4"/>
        <v>#N/A</v>
      </c>
      <c r="L17" s="1">
        <f t="shared" si="26"/>
        <v>60</v>
      </c>
      <c r="M17" s="1">
        <f t="shared" si="6"/>
        <v>1</v>
      </c>
      <c r="N17" s="269">
        <f t="shared" si="27"/>
        <v>10</v>
      </c>
      <c r="O17" s="269">
        <f t="shared" si="28"/>
        <v>1</v>
      </c>
      <c r="Q17" s="269"/>
      <c r="R17" s="268">
        <f t="shared" si="29"/>
        <v>10</v>
      </c>
      <c r="S17" s="1" t="str">
        <f ca="1" t="shared" si="30"/>
        <v>Zurich</v>
      </c>
      <c r="T17" s="1">
        <f t="shared" si="31"/>
        <v>85.2</v>
      </c>
      <c r="U17" s="290">
        <f ca="1" t="shared" si="32"/>
        <v>4.38</v>
      </c>
      <c r="V17" s="277" t="b">
        <f ca="1" t="shared" si="13"/>
        <v>0</v>
      </c>
      <c r="W17" s="277">
        <f ca="1" t="shared" si="33"/>
        <v>-1</v>
      </c>
      <c r="X17" s="277" t="b">
        <f ca="1" t="shared" si="15"/>
        <v>0</v>
      </c>
      <c r="Y17" s="1" t="str">
        <f ca="1" t="shared" si="34"/>
        <v/>
      </c>
      <c r="AA17" s="268">
        <f t="shared" si="35"/>
        <v>85.2</v>
      </c>
      <c r="AB17" s="268"/>
      <c r="AC17" s="1">
        <f t="shared" si="36"/>
        <v>85.2</v>
      </c>
      <c r="AD17" s="1">
        <f t="shared" si="1"/>
        <v>1</v>
      </c>
      <c r="AE17" s="1" t="e">
        <f t="shared" si="37"/>
        <v>#N/A</v>
      </c>
      <c r="AF17" s="1">
        <v>0</v>
      </c>
      <c r="AG17" s="1">
        <f>IF(AF17=1,tblTerritories!K12,0)</f>
        <v>0</v>
      </c>
      <c r="AH17" s="1" t="e">
        <f t="shared" si="38"/>
        <v>#N/A</v>
      </c>
      <c r="AI17" s="1" t="e">
        <f t="shared" si="39"/>
        <v>#N/A</v>
      </c>
      <c r="AK17" s="1" t="e">
        <f t="shared" si="40"/>
        <v>#N/A</v>
      </c>
      <c r="AL17" s="1" t="e">
        <f t="shared" si="41"/>
        <v>#N/A</v>
      </c>
      <c r="AN17" s="1">
        <f>VLOOKUP(C17,tblTerritories!$J$3:$P$28,7,FALSE)+10</f>
        <v>13</v>
      </c>
      <c r="AO17" s="1">
        <f>tblTerritories!P12</f>
        <v>3</v>
      </c>
      <c r="AP17" s="1">
        <f t="shared" si="24"/>
        <v>1</v>
      </c>
      <c r="AR17" s="1">
        <f>CHOOSE(uxb_works!$B$10,tblTerritories!V12,tblTerritories!X12,tblTerritories!Z12,tblTerritories!#REF!,tblTerritories!#REF!)</f>
        <v>0</v>
      </c>
    </row>
    <row r="18" spans="1:44">
      <c r="A18" s="1">
        <f t="shared" si="25"/>
        <v>11</v>
      </c>
      <c r="B18" s="1" t="str">
        <f>tblTerritories!B13</f>
        <v/>
      </c>
      <c r="C18" s="1" t="str">
        <f>tblTerritories!C13</f>
        <v>Caracas</v>
      </c>
      <c r="D18" s="1">
        <f>tblTerritories!D13</f>
        <v>1</v>
      </c>
      <c r="E18" s="1">
        <f>IF(AND(OR(tblTerritories!$O$5=4,tblTerritories!$O$5=5),$D$2=3),0,IF(AND(OR(tblTerritories!$O$5=2,tblTerritories!$O$5=3),$D$2=3),tblTerritories!K13,IF(AND($D$2=3,tblTerritories!$O$5=1),AG18,tblTerritories!K13)))</f>
        <v>0</v>
      </c>
      <c r="F18" s="1">
        <f>IF(tblTerritories!F13="",0,tblTerritories!F13)</f>
        <v>1</v>
      </c>
      <c r="G18" s="290">
        <f t="shared" si="0"/>
        <v>55.22</v>
      </c>
      <c r="H18" s="1">
        <f>IF(F18=0,"",RANK(G18,G$8:G$68,0)+COUNTIF(G$8:G18,G18)-1)</f>
        <v>54</v>
      </c>
      <c r="I18" s="1">
        <f ca="1" t="shared" si="2"/>
        <v>54</v>
      </c>
      <c r="J18" s="273" t="e">
        <f ca="1" t="shared" si="3"/>
        <v>#N/A</v>
      </c>
      <c r="K18" s="275" t="e">
        <f ca="1" t="shared" si="4"/>
        <v>#N/A</v>
      </c>
      <c r="L18" s="1">
        <f t="shared" si="26"/>
        <v>18</v>
      </c>
      <c r="M18" s="1">
        <f t="shared" si="6"/>
        <v>1</v>
      </c>
      <c r="N18" s="269">
        <f t="shared" si="27"/>
        <v>11</v>
      </c>
      <c r="O18" s="269">
        <f t="shared" si="28"/>
        <v>1</v>
      </c>
      <c r="Q18" s="269"/>
      <c r="R18" s="268">
        <f t="shared" si="29"/>
        <v>11</v>
      </c>
      <c r="S18" s="1" t="str">
        <f ca="1" t="shared" si="30"/>
        <v>Frankfurt</v>
      </c>
      <c r="T18" s="1">
        <f t="shared" si="31"/>
        <v>84.86</v>
      </c>
      <c r="U18" s="290">
        <f ca="1" t="shared" si="32"/>
        <v>7.85</v>
      </c>
      <c r="V18" s="277" t="b">
        <f ca="1" t="shared" si="13"/>
        <v>0</v>
      </c>
      <c r="W18" s="277">
        <f ca="1" t="shared" si="33"/>
        <v>5</v>
      </c>
      <c r="X18" s="277" t="b">
        <f ca="1" t="shared" si="15"/>
        <v>0</v>
      </c>
      <c r="Y18" s="1" t="str">
        <f ca="1" t="shared" si="34"/>
        <v/>
      </c>
      <c r="AA18" s="268">
        <f t="shared" si="35"/>
        <v>84.86</v>
      </c>
      <c r="AB18" s="268"/>
      <c r="AC18" s="1">
        <f t="shared" si="36"/>
        <v>84.86</v>
      </c>
      <c r="AD18" s="1">
        <f t="shared" si="1"/>
        <v>1</v>
      </c>
      <c r="AE18" s="1" t="e">
        <f t="shared" si="37"/>
        <v>#N/A</v>
      </c>
      <c r="AF18" s="1">
        <v>0</v>
      </c>
      <c r="AG18" s="1">
        <f>IF(AF18=1,tblTerritories!K13,0)</f>
        <v>0</v>
      </c>
      <c r="AH18" s="1" t="e">
        <f t="shared" si="38"/>
        <v>#N/A</v>
      </c>
      <c r="AI18" s="1" t="e">
        <f t="shared" si="39"/>
        <v>#N/A</v>
      </c>
      <c r="AK18" s="1" t="e">
        <f t="shared" si="40"/>
        <v>#N/A</v>
      </c>
      <c r="AL18" s="1" t="e">
        <f t="shared" si="41"/>
        <v>#N/A</v>
      </c>
      <c r="AN18" s="1">
        <f>VLOOKUP(C18,tblTerritories!$J$3:$P$28,7,FALSE)+10</f>
        <v>12</v>
      </c>
      <c r="AO18" s="1">
        <f>tblTerritories!P13</f>
        <v>2</v>
      </c>
      <c r="AP18" s="1">
        <f t="shared" si="24"/>
        <v>1</v>
      </c>
      <c r="AR18" s="1">
        <f>CHOOSE(uxb_works!$B$10,tblTerritories!V13,tblTerritories!X13,tblTerritories!Z13,tblTerritories!#REF!,tblTerritories!#REF!)</f>
        <v>0</v>
      </c>
    </row>
    <row r="19" spans="1:44">
      <c r="A19" s="1">
        <f t="shared" si="25"/>
        <v>12</v>
      </c>
      <c r="B19" s="1" t="str">
        <f>tblTerritories!B14</f>
        <v/>
      </c>
      <c r="C19" s="1" t="str">
        <f>tblTerritories!C14</f>
        <v>Casablanca</v>
      </c>
      <c r="D19" s="1">
        <f>tblTerritories!D14</f>
        <v>1</v>
      </c>
      <c r="E19" s="1">
        <f>IF(AND(OR(tblTerritories!$O$5=4,tblTerritories!$O$5=5),$D$2=3),0,IF(AND(OR(tblTerritories!$O$5=2,tblTerritories!$O$5=3),$D$2=3),tblTerritories!K14,IF(AND($D$2=3,tblTerritories!$O$5=1),AG19,tblTerritories!K14)))</f>
        <v>0</v>
      </c>
      <c r="F19" s="1">
        <f>IF(tblTerritories!F14="",0,tblTerritories!F14)</f>
        <v>1</v>
      </c>
      <c r="G19" s="290">
        <f t="shared" si="0"/>
        <v>61.2</v>
      </c>
      <c r="H19" s="1">
        <f>IF(F19=0,"",RANK(G19,G$8:G$68,0)+COUNTIF(G$8:G19,G19)-1)</f>
        <v>48</v>
      </c>
      <c r="I19" s="1">
        <f ca="1" t="shared" si="2"/>
        <v>48</v>
      </c>
      <c r="J19" s="273" t="e">
        <f ca="1" t="shared" si="3"/>
        <v>#N/A</v>
      </c>
      <c r="K19" s="275" t="e">
        <f ca="1" t="shared" si="4"/>
        <v>#N/A</v>
      </c>
      <c r="L19" s="1">
        <f t="shared" si="26"/>
        <v>31</v>
      </c>
      <c r="M19" s="1">
        <f t="shared" si="6"/>
        <v>1</v>
      </c>
      <c r="N19" s="269">
        <f t="shared" si="27"/>
        <v>12</v>
      </c>
      <c r="O19" s="269">
        <f t="shared" si="28"/>
        <v>1</v>
      </c>
      <c r="Q19" s="269"/>
      <c r="R19" s="268">
        <f t="shared" si="29"/>
        <v>12</v>
      </c>
      <c r="S19" s="1" t="str">
        <f ca="1" t="shared" si="30"/>
        <v>Madrid</v>
      </c>
      <c r="T19" s="1">
        <f t="shared" si="31"/>
        <v>83.88</v>
      </c>
      <c r="U19" s="290">
        <f ca="1" t="shared" si="32"/>
        <v>11.31</v>
      </c>
      <c r="V19" s="277" t="b">
        <f ca="1" t="shared" si="13"/>
        <v>0</v>
      </c>
      <c r="W19" s="277">
        <f ca="1" t="shared" si="33"/>
        <v>13</v>
      </c>
      <c r="X19" s="277" t="b">
        <f ca="1" t="shared" si="15"/>
        <v>0</v>
      </c>
      <c r="Y19" s="1" t="str">
        <f ca="1" t="shared" si="34"/>
        <v/>
      </c>
      <c r="AA19" s="268">
        <f t="shared" si="35"/>
        <v>83.88</v>
      </c>
      <c r="AB19" s="268"/>
      <c r="AC19" s="1">
        <f t="shared" si="36"/>
        <v>83.88</v>
      </c>
      <c r="AD19" s="1">
        <f t="shared" si="1"/>
        <v>1</v>
      </c>
      <c r="AE19" s="1" t="e">
        <f t="shared" si="37"/>
        <v>#N/A</v>
      </c>
      <c r="AF19" s="1">
        <v>0</v>
      </c>
      <c r="AG19" s="1">
        <f>IF(AF19=1,tblTerritories!K14,0)</f>
        <v>0</v>
      </c>
      <c r="AH19" s="1" t="e">
        <f t="shared" si="38"/>
        <v>#N/A</v>
      </c>
      <c r="AI19" s="1" t="e">
        <f t="shared" si="39"/>
        <v>#N/A</v>
      </c>
      <c r="AK19" s="1" t="e">
        <f t="shared" si="40"/>
        <v>#N/A</v>
      </c>
      <c r="AL19" s="1" t="e">
        <f t="shared" si="41"/>
        <v>#N/A</v>
      </c>
      <c r="AN19" s="1">
        <f>VLOOKUP(C19,tblTerritories!$J$3:$P$28,7,FALSE)+10</f>
        <v>13</v>
      </c>
      <c r="AO19" s="1">
        <f>tblTerritories!P14</f>
        <v>3</v>
      </c>
      <c r="AP19" s="1">
        <f t="shared" si="24"/>
        <v>1</v>
      </c>
      <c r="AR19" s="1">
        <f>CHOOSE(uxb_works!$B$10,tblTerritories!V14,tblTerritories!X14,tblTerritories!Z14,tblTerritories!#REF!,tblTerritories!#REF!)</f>
        <v>0</v>
      </c>
    </row>
    <row r="20" spans="1:44">
      <c r="A20" s="1">
        <f t="shared" si="25"/>
        <v>13</v>
      </c>
      <c r="B20" s="1" t="str">
        <f>tblTerritories!B15</f>
        <v/>
      </c>
      <c r="C20" s="1" t="str">
        <f>tblTerritories!C15</f>
        <v>Chicago</v>
      </c>
      <c r="D20" s="1">
        <f>tblTerritories!D15</f>
        <v>1</v>
      </c>
      <c r="E20" s="1">
        <f>IF(AND(OR(tblTerritories!$O$5=4,tblTerritories!$O$5=5),$D$2=3),0,IF(AND(OR(tblTerritories!$O$5=2,tblTerritories!$O$5=3),$D$2=3),tblTerritories!K15,IF(AND($D$2=3,tblTerritories!$O$5=1),AG20,tblTerritories!K15)))</f>
        <v>0</v>
      </c>
      <c r="F20" s="1">
        <f>IF(tblTerritories!F15="",0,tblTerritories!F15)</f>
        <v>1</v>
      </c>
      <c r="G20" s="290">
        <f t="shared" si="0"/>
        <v>82.21</v>
      </c>
      <c r="H20" s="1">
        <f>IF(F20=0,"",RANK(G20,G$8:G$68,0)+COUNTIF(G$8:G20,G20)-1)</f>
        <v>19</v>
      </c>
      <c r="I20" s="1">
        <f ca="1" t="shared" si="2"/>
        <v>19</v>
      </c>
      <c r="J20" s="273">
        <f ca="1" t="shared" si="3"/>
        <v>4.48</v>
      </c>
      <c r="K20" s="275">
        <f ca="1" t="shared" si="4"/>
        <v>-6</v>
      </c>
      <c r="L20" s="1">
        <f t="shared" si="26"/>
        <v>5</v>
      </c>
      <c r="M20" s="1">
        <f t="shared" si="6"/>
        <v>1</v>
      </c>
      <c r="N20" s="269">
        <f t="shared" si="27"/>
        <v>13</v>
      </c>
      <c r="O20" s="269">
        <f t="shared" si="28"/>
        <v>1</v>
      </c>
      <c r="Q20" s="269"/>
      <c r="R20" s="268">
        <f t="shared" si="29"/>
        <v>13</v>
      </c>
      <c r="S20" s="1" t="str">
        <f ca="1" t="shared" si="30"/>
        <v>Barcelona</v>
      </c>
      <c r="T20" s="1">
        <f t="shared" si="31"/>
        <v>83.71</v>
      </c>
      <c r="U20" s="290">
        <f ca="1" t="shared" si="32"/>
        <v>6.32</v>
      </c>
      <c r="V20" s="277" t="b">
        <f ca="1" t="shared" si="13"/>
        <v>0</v>
      </c>
      <c r="W20" s="277">
        <f ca="1" t="shared" si="33"/>
        <v>2</v>
      </c>
      <c r="X20" s="277" t="b">
        <f ca="1" t="shared" si="15"/>
        <v>0</v>
      </c>
      <c r="Y20" s="1" t="str">
        <f ca="1" t="shared" si="34"/>
        <v/>
      </c>
      <c r="AA20" s="268">
        <f t="shared" si="35"/>
        <v>83.71</v>
      </c>
      <c r="AB20" s="268"/>
      <c r="AC20" s="1">
        <f t="shared" si="36"/>
        <v>83.71</v>
      </c>
      <c r="AD20" s="1">
        <f t="shared" si="1"/>
        <v>1</v>
      </c>
      <c r="AE20" s="1" t="e">
        <f t="shared" si="37"/>
        <v>#N/A</v>
      </c>
      <c r="AF20" s="1">
        <v>0</v>
      </c>
      <c r="AG20" s="1">
        <f>IF(AF20=1,tblTerritories!K15,0)</f>
        <v>0</v>
      </c>
      <c r="AH20" s="1" t="e">
        <f t="shared" si="38"/>
        <v>#N/A</v>
      </c>
      <c r="AI20" s="1" t="e">
        <f t="shared" si="39"/>
        <v>#N/A</v>
      </c>
      <c r="AK20" s="1" t="e">
        <f t="shared" si="40"/>
        <v>#N/A</v>
      </c>
      <c r="AL20" s="1" t="e">
        <f t="shared" si="41"/>
        <v>#N/A</v>
      </c>
      <c r="AN20" s="1">
        <f>VLOOKUP(C20,tblTerritories!$J$3:$P$28,7,FALSE)+10</f>
        <v>14</v>
      </c>
      <c r="AO20" s="1">
        <f>tblTerritories!P15</f>
        <v>4</v>
      </c>
      <c r="AP20" s="1">
        <f t="shared" si="24"/>
        <v>1</v>
      </c>
      <c r="AR20" s="1">
        <f>CHOOSE(uxb_works!$B$10,tblTerritories!V15,tblTerritories!X15,tblTerritories!Z15,tblTerritories!#REF!,tblTerritories!#REF!)</f>
        <v>0</v>
      </c>
    </row>
    <row r="21" spans="1:44">
      <c r="A21" s="1">
        <f t="shared" si="25"/>
        <v>14</v>
      </c>
      <c r="B21" s="1" t="str">
        <f>tblTerritories!B16</f>
        <v/>
      </c>
      <c r="C21" s="1" t="str">
        <f>tblTerritories!C16</f>
        <v>Dallas</v>
      </c>
      <c r="D21" s="1">
        <f>tblTerritories!D16</f>
        <v>1</v>
      </c>
      <c r="E21" s="1">
        <f>IF(AND(OR(tblTerritories!$O$5=4,tblTerritories!$O$5=5),$D$2=3),0,IF(AND(OR(tblTerritories!$O$5=2,tblTerritories!$O$5=3),$D$2=3),tblTerritories!K16,IF(AND($D$2=3,tblTerritories!$O$5=1),AG21,tblTerritories!K16)))</f>
        <v>0</v>
      </c>
      <c r="F21" s="1">
        <f>IF(tblTerritories!F16="",0,tblTerritories!F16)</f>
        <v>1</v>
      </c>
      <c r="G21" s="290">
        <f t="shared" si="0"/>
        <v>78.73</v>
      </c>
      <c r="H21" s="1">
        <f>IF(F21=0,"",RANK(G21,G$8:G$68,0)+COUNTIF(G$8:G21,G21)-1)</f>
        <v>26</v>
      </c>
      <c r="I21" s="1">
        <f ca="1" t="shared" si="2"/>
        <v>26</v>
      </c>
      <c r="J21" s="273" t="e">
        <f ca="1" t="shared" si="3"/>
        <v>#N/A</v>
      </c>
      <c r="K21" s="275" t="e">
        <f ca="1" t="shared" si="4"/>
        <v>#N/A</v>
      </c>
      <c r="L21" s="1">
        <f t="shared" si="26"/>
        <v>48</v>
      </c>
      <c r="M21" s="1">
        <f t="shared" si="6"/>
        <v>1</v>
      </c>
      <c r="N21" s="269">
        <f t="shared" si="27"/>
        <v>14</v>
      </c>
      <c r="O21" s="269">
        <f t="shared" si="28"/>
        <v>1</v>
      </c>
      <c r="Q21" s="269"/>
      <c r="R21" s="268">
        <f t="shared" si="29"/>
        <v>14</v>
      </c>
      <c r="S21" s="1" t="str">
        <f ca="1" t="shared" si="30"/>
        <v>Seoul</v>
      </c>
      <c r="T21" s="1">
        <f t="shared" si="31"/>
        <v>83.61</v>
      </c>
      <c r="U21" s="290">
        <f ca="1" t="shared" si="32"/>
        <v>9.7</v>
      </c>
      <c r="V21" s="277" t="b">
        <f ca="1" t="shared" si="13"/>
        <v>0</v>
      </c>
      <c r="W21" s="277">
        <f ca="1" t="shared" si="33"/>
        <v>6</v>
      </c>
      <c r="X21" s="277" t="b">
        <f ca="1" t="shared" si="15"/>
        <v>0</v>
      </c>
      <c r="Y21" s="1" t="str">
        <f ca="1" t="shared" si="34"/>
        <v/>
      </c>
      <c r="AA21" s="268">
        <f t="shared" si="35"/>
        <v>83.61</v>
      </c>
      <c r="AB21" s="268"/>
      <c r="AC21" s="1">
        <f t="shared" si="36"/>
        <v>83.61</v>
      </c>
      <c r="AD21" s="1">
        <f t="shared" si="1"/>
        <v>1</v>
      </c>
      <c r="AE21" s="1" t="e">
        <f t="shared" si="37"/>
        <v>#N/A</v>
      </c>
      <c r="AF21" s="1">
        <v>0</v>
      </c>
      <c r="AG21" s="1">
        <f>IF(AF21=1,tblTerritories!K16,0)</f>
        <v>0</v>
      </c>
      <c r="AH21" s="1" t="e">
        <f t="shared" si="38"/>
        <v>#N/A</v>
      </c>
      <c r="AI21" s="1" t="e">
        <f t="shared" si="39"/>
        <v>#N/A</v>
      </c>
      <c r="AK21" s="1" t="e">
        <f t="shared" si="40"/>
        <v>#N/A</v>
      </c>
      <c r="AL21" s="1" t="e">
        <f t="shared" si="41"/>
        <v>#N/A</v>
      </c>
      <c r="AN21" s="1">
        <f>VLOOKUP(C21,tblTerritories!$J$3:$P$28,7,FALSE)+10</f>
        <v>14</v>
      </c>
      <c r="AO21" s="1">
        <f>tblTerritories!P16</f>
        <v>4</v>
      </c>
      <c r="AP21" s="1">
        <f t="shared" si="24"/>
        <v>1</v>
      </c>
      <c r="AR21" s="1">
        <f>CHOOSE(uxb_works!$B$10,tblTerritories!V16,tblTerritories!X16,tblTerritories!Z16,tblTerritories!#REF!,tblTerritories!#REF!)</f>
        <v>0</v>
      </c>
    </row>
    <row r="22" spans="1:44">
      <c r="A22" s="1">
        <f t="shared" si="25"/>
        <v>15</v>
      </c>
      <c r="B22" s="1" t="str">
        <f>tblTerritories!B17</f>
        <v/>
      </c>
      <c r="C22" s="1" t="str">
        <f>tblTerritories!C17</f>
        <v>Delhi</v>
      </c>
      <c r="D22" s="1">
        <f>tblTerritories!D17</f>
        <v>1</v>
      </c>
      <c r="E22" s="1">
        <f>IF(AND(OR(tblTerritories!$O$5=4,tblTerritories!$O$5=5),$D$2=3),0,IF(AND(OR(tblTerritories!$O$5=2,tblTerritories!$O$5=3),$D$2=3),tblTerritories!K17,IF(AND($D$2=3,tblTerritories!$O$5=1),AG22,tblTerritories!K17)))</f>
        <v>0</v>
      </c>
      <c r="F22" s="1">
        <f>IF(tblTerritories!F17="",0,tblTerritories!F17)</f>
        <v>1</v>
      </c>
      <c r="G22" s="290">
        <f t="shared" si="0"/>
        <v>62.34</v>
      </c>
      <c r="H22" s="1">
        <f>IF(F22=0,"",RANK(G22,G$8:G$68,0)+COUNTIF(G$8:G22,G22)-1)</f>
        <v>43</v>
      </c>
      <c r="I22" s="1">
        <f ca="1" t="shared" si="2"/>
        <v>43</v>
      </c>
      <c r="J22" s="273">
        <f ca="1" t="shared" si="3"/>
        <v>0.91</v>
      </c>
      <c r="K22" s="275">
        <f ca="1" t="shared" si="4"/>
        <v>-6</v>
      </c>
      <c r="L22" s="1">
        <f t="shared" si="26"/>
        <v>45</v>
      </c>
      <c r="M22" s="1">
        <f t="shared" si="6"/>
        <v>1</v>
      </c>
      <c r="N22" s="269">
        <f t="shared" si="27"/>
        <v>15</v>
      </c>
      <c r="O22" s="269">
        <f t="shared" si="28"/>
        <v>1</v>
      </c>
      <c r="Q22" s="269"/>
      <c r="R22" s="268">
        <f t="shared" si="29"/>
        <v>15</v>
      </c>
      <c r="S22" s="1" t="str">
        <f ca="1" t="shared" si="30"/>
        <v>San Francisco</v>
      </c>
      <c r="T22" s="1">
        <f t="shared" si="31"/>
        <v>83.55</v>
      </c>
      <c r="U22" s="290">
        <f ca="1" t="shared" si="32"/>
        <v>4.23</v>
      </c>
      <c r="V22" s="277" t="b">
        <f ca="1" t="shared" si="13"/>
        <v>0</v>
      </c>
      <c r="W22" s="277">
        <f ca="1" t="shared" si="33"/>
        <v>-4</v>
      </c>
      <c r="X22" s="277" t="b">
        <f ca="1" t="shared" si="15"/>
        <v>0</v>
      </c>
      <c r="Y22" s="1" t="str">
        <f ca="1" t="shared" si="34"/>
        <v/>
      </c>
      <c r="AA22" s="268">
        <f t="shared" si="35"/>
        <v>83.55</v>
      </c>
      <c r="AB22" s="268"/>
      <c r="AC22" s="1">
        <f t="shared" si="36"/>
        <v>83.55</v>
      </c>
      <c r="AD22" s="1">
        <f t="shared" si="1"/>
        <v>1</v>
      </c>
      <c r="AE22" s="1" t="e">
        <f t="shared" si="37"/>
        <v>#N/A</v>
      </c>
      <c r="AF22" s="1">
        <v>0</v>
      </c>
      <c r="AG22" s="1">
        <f>IF(AF22=1,tblTerritories!K17,0)</f>
        <v>0</v>
      </c>
      <c r="AH22" s="1" t="e">
        <f t="shared" si="38"/>
        <v>#N/A</v>
      </c>
      <c r="AI22" s="1" t="e">
        <f t="shared" si="39"/>
        <v>#N/A</v>
      </c>
      <c r="AK22" s="1" t="e">
        <f t="shared" si="40"/>
        <v>#N/A</v>
      </c>
      <c r="AL22" s="1" t="e">
        <f t="shared" si="41"/>
        <v>#N/A</v>
      </c>
      <c r="AN22" s="1">
        <f>VLOOKUP(C22,tblTerritories!$J$3:$P$28,7,FALSE)+10</f>
        <v>18</v>
      </c>
      <c r="AO22" s="1">
        <f>tblTerritories!P17</f>
        <v>8</v>
      </c>
      <c r="AP22" s="1">
        <f t="shared" si="24"/>
        <v>1</v>
      </c>
      <c r="AR22" s="1">
        <f>CHOOSE(uxb_works!$B$10,tblTerritories!V17,tblTerritories!X17,tblTerritories!Z17,tblTerritories!#REF!,tblTerritories!#REF!)</f>
        <v>0</v>
      </c>
    </row>
    <row r="23" spans="1:44">
      <c r="A23" s="1">
        <f t="shared" si="25"/>
        <v>16</v>
      </c>
      <c r="B23" s="1" t="str">
        <f>tblTerritories!B18</f>
        <v/>
      </c>
      <c r="C23" s="1" t="str">
        <f>tblTerritories!C18</f>
        <v>Dhaka</v>
      </c>
      <c r="D23" s="1">
        <f>tblTerritories!D18</f>
        <v>1</v>
      </c>
      <c r="E23" s="1">
        <f>IF(AND(OR(tblTerritories!$O$5=4,tblTerritories!$O$5=5),$D$2=3),0,IF(AND(OR(tblTerritories!$O$5=2,tblTerritories!$O$5=3),$D$2=3),tblTerritories!K18,IF(AND($D$2=3,tblTerritories!$O$5=1),AG23,tblTerritories!K18)))</f>
        <v>0</v>
      </c>
      <c r="F23" s="1">
        <f>IF(tblTerritories!F18="",0,tblTerritories!F18)</f>
        <v>1</v>
      </c>
      <c r="G23" s="290">
        <f t="shared" si="0"/>
        <v>47.37</v>
      </c>
      <c r="H23" s="1">
        <f>IF(F23=0,"",RANK(G23,G$8:G$68,0)+COUNTIF(G$8:G23,G23)-1)</f>
        <v>58</v>
      </c>
      <c r="I23" s="1">
        <f ca="1" t="shared" si="2"/>
        <v>58</v>
      </c>
      <c r="J23" s="273" t="e">
        <f ca="1" t="shared" si="3"/>
        <v>#N/A</v>
      </c>
      <c r="K23" s="275" t="e">
        <f ca="1" t="shared" si="4"/>
        <v>#N/A</v>
      </c>
      <c r="L23" s="1">
        <f t="shared" si="26"/>
        <v>58</v>
      </c>
      <c r="M23" s="1">
        <f t="shared" si="6"/>
        <v>1</v>
      </c>
      <c r="N23" s="269">
        <f t="shared" si="27"/>
        <v>16</v>
      </c>
      <c r="O23" s="269">
        <f t="shared" si="28"/>
        <v>1</v>
      </c>
      <c r="Q23" s="269"/>
      <c r="R23" s="268">
        <f t="shared" si="29"/>
        <v>16</v>
      </c>
      <c r="S23" s="1" t="str">
        <f ca="1" t="shared" si="30"/>
        <v>Wellington *</v>
      </c>
      <c r="T23" s="1">
        <f t="shared" si="31"/>
        <v>83.18</v>
      </c>
      <c r="U23" s="290" t="str">
        <f ca="1" t="shared" si="32"/>
        <v/>
      </c>
      <c r="V23" s="277" t="b">
        <f ca="1" t="shared" si="13"/>
        <v>0</v>
      </c>
      <c r="W23" s="277" t="str">
        <f ca="1" t="shared" si="33"/>
        <v/>
      </c>
      <c r="X23" s="277" t="b">
        <f ca="1" t="shared" si="15"/>
        <v>0</v>
      </c>
      <c r="Y23" s="1" t="str">
        <f ca="1" t="shared" si="34"/>
        <v> *</v>
      </c>
      <c r="AA23" s="268">
        <f t="shared" si="35"/>
        <v>83.18</v>
      </c>
      <c r="AB23" s="268"/>
      <c r="AC23" s="1">
        <f t="shared" si="36"/>
        <v>83.18</v>
      </c>
      <c r="AD23" s="1">
        <f t="shared" si="1"/>
        <v>1</v>
      </c>
      <c r="AE23" s="1" t="e">
        <f t="shared" si="37"/>
        <v>#N/A</v>
      </c>
      <c r="AF23" s="1">
        <v>0</v>
      </c>
      <c r="AG23" s="1">
        <f>IF(AF23=1,tblTerritories!K18,0)</f>
        <v>0</v>
      </c>
      <c r="AH23" s="1" t="e">
        <f t="shared" si="38"/>
        <v>#N/A</v>
      </c>
      <c r="AI23" s="1" t="e">
        <f t="shared" si="39"/>
        <v>#N/A</v>
      </c>
      <c r="AK23" s="1" t="e">
        <f t="shared" si="40"/>
        <v>#N/A</v>
      </c>
      <c r="AL23" s="1" t="e">
        <f t="shared" si="41"/>
        <v>#N/A</v>
      </c>
      <c r="AN23" s="1">
        <f>VLOOKUP(C23,tblTerritories!$J$3:$P$28,7,FALSE)+10</f>
        <v>18</v>
      </c>
      <c r="AO23" s="1">
        <f>tblTerritories!P18</f>
        <v>8</v>
      </c>
      <c r="AP23" s="1">
        <f t="shared" si="24"/>
        <v>1</v>
      </c>
      <c r="AR23" s="1">
        <f>CHOOSE(uxb_works!$B$10,tblTerritories!V18,tblTerritories!X18,tblTerritories!Z18,tblTerritories!#REF!,tblTerritories!#REF!)</f>
        <v>0</v>
      </c>
    </row>
    <row r="24" spans="1:44">
      <c r="A24" s="1">
        <f t="shared" si="25"/>
        <v>17</v>
      </c>
      <c r="B24" s="1" t="str">
        <f>tblTerritories!B19</f>
        <v/>
      </c>
      <c r="C24" s="1" t="str">
        <f>tblTerritories!C19</f>
        <v>Doha</v>
      </c>
      <c r="D24" s="1">
        <f>tblTerritories!D19</f>
        <v>1</v>
      </c>
      <c r="E24" s="1">
        <f>IF(AND(OR(tblTerritories!$O$5=4,tblTerritories!$O$5=5),$D$2=3),0,IF(AND(OR(tblTerritories!$O$5=2,tblTerritories!$O$5=3),$D$2=3),tblTerritories!K19,IF(AND($D$2=3,tblTerritories!$O$5=1),AG24,tblTerritories!K19)))</f>
        <v>0</v>
      </c>
      <c r="F24" s="1">
        <f>IF(tblTerritories!F19="",0,tblTerritories!F19)</f>
        <v>1</v>
      </c>
      <c r="G24" s="290">
        <f t="shared" si="0"/>
        <v>73.59</v>
      </c>
      <c r="H24" s="1">
        <f>IF(F24=0,"",RANK(G24,G$8:G$68,0)+COUNTIF(G$8:G24,G24)-1)</f>
        <v>30</v>
      </c>
      <c r="I24" s="1">
        <f ca="1" t="shared" si="2"/>
        <v>30</v>
      </c>
      <c r="J24" s="273">
        <f ca="1" t="shared" si="3"/>
        <v>4.78</v>
      </c>
      <c r="K24" s="275">
        <f ca="1" t="shared" si="4"/>
        <v>-2</v>
      </c>
      <c r="L24" s="1">
        <f t="shared" si="26"/>
        <v>8</v>
      </c>
      <c r="M24" s="1">
        <f t="shared" si="6"/>
        <v>1</v>
      </c>
      <c r="N24" s="269">
        <f t="shared" si="27"/>
        <v>17</v>
      </c>
      <c r="O24" s="269">
        <f t="shared" si="28"/>
        <v>1</v>
      </c>
      <c r="Q24" s="269"/>
      <c r="R24" s="268">
        <f t="shared" si="29"/>
        <v>17</v>
      </c>
      <c r="S24" s="1" t="str">
        <f ca="1" t="shared" si="30"/>
        <v>Brussels</v>
      </c>
      <c r="T24" s="1">
        <f t="shared" si="31"/>
        <v>83.01</v>
      </c>
      <c r="U24" s="290">
        <f ca="1" t="shared" si="32"/>
        <v>6.83</v>
      </c>
      <c r="V24" s="277" t="b">
        <f ca="1" t="shared" si="13"/>
        <v>0</v>
      </c>
      <c r="W24" s="277">
        <f ca="1" t="shared" si="33"/>
        <v>2</v>
      </c>
      <c r="X24" s="277" t="b">
        <f ca="1" t="shared" si="15"/>
        <v>0</v>
      </c>
      <c r="Y24" s="1" t="str">
        <f ca="1" t="shared" si="34"/>
        <v/>
      </c>
      <c r="AA24" s="268">
        <f t="shared" si="35"/>
        <v>83.01</v>
      </c>
      <c r="AB24" s="268"/>
      <c r="AC24" s="1">
        <f t="shared" si="36"/>
        <v>83.01</v>
      </c>
      <c r="AD24" s="1">
        <f t="shared" si="1"/>
        <v>1</v>
      </c>
      <c r="AE24" s="1" t="e">
        <f t="shared" si="37"/>
        <v>#N/A</v>
      </c>
      <c r="AF24" s="1">
        <v>0</v>
      </c>
      <c r="AG24" s="1">
        <f>IF(AF24=1,tblTerritories!K19,0)</f>
        <v>0</v>
      </c>
      <c r="AH24" s="1" t="e">
        <f t="shared" si="38"/>
        <v>#N/A</v>
      </c>
      <c r="AI24" s="1" t="e">
        <f t="shared" si="39"/>
        <v>#N/A</v>
      </c>
      <c r="AK24" s="1" t="e">
        <f t="shared" si="40"/>
        <v>#N/A</v>
      </c>
      <c r="AL24" s="1" t="e">
        <f t="shared" si="41"/>
        <v>#N/A</v>
      </c>
      <c r="AN24" s="1">
        <f>VLOOKUP(C24,tblTerritories!$J$3:$P$28,7,FALSE)+10</f>
        <v>13</v>
      </c>
      <c r="AO24" s="1">
        <f>tblTerritories!P19</f>
        <v>3</v>
      </c>
      <c r="AP24" s="1">
        <f t="shared" si="24"/>
        <v>1</v>
      </c>
      <c r="AR24" s="1">
        <f>CHOOSE(uxb_works!$B$10,tblTerritories!V19,tblTerritories!X19,tblTerritories!Z19,tblTerritories!#REF!,tblTerritories!#REF!)</f>
        <v>0</v>
      </c>
    </row>
    <row r="25" spans="1:44">
      <c r="A25" s="1">
        <f t="shared" si="25"/>
        <v>18</v>
      </c>
      <c r="B25" s="1" t="str">
        <f>tblTerritories!B20</f>
        <v/>
      </c>
      <c r="C25" s="1" t="str">
        <f>tblTerritories!C20</f>
        <v>Frankfurt</v>
      </c>
      <c r="D25" s="1">
        <f>tblTerritories!D20</f>
        <v>1</v>
      </c>
      <c r="E25" s="1">
        <f>IF(AND(OR(tblTerritories!$O$5=4,tblTerritories!$O$5=5),$D$2=3),0,IF(AND(OR(tblTerritories!$O$5=2,tblTerritories!$O$5=3),$D$2=3),tblTerritories!K20,IF(AND($D$2=3,tblTerritories!$O$5=1),AG25,tblTerritories!K20)))</f>
        <v>0</v>
      </c>
      <c r="F25" s="1">
        <f>IF(tblTerritories!F20="",0,tblTerritories!F20)</f>
        <v>1</v>
      </c>
      <c r="G25" s="290">
        <f t="shared" si="0"/>
        <v>84.86</v>
      </c>
      <c r="H25" s="1">
        <f>IF(F25=0,"",RANK(G25,G$8:G$68,0)+COUNTIF(G$8:G25,G25)-1)</f>
        <v>11</v>
      </c>
      <c r="I25" s="1">
        <f ca="1" t="shared" si="2"/>
        <v>11</v>
      </c>
      <c r="J25" s="273">
        <f ca="1" t="shared" si="3"/>
        <v>7.85</v>
      </c>
      <c r="K25" s="275">
        <f ca="1" t="shared" si="4"/>
        <v>5</v>
      </c>
      <c r="L25" s="1">
        <f t="shared" si="26"/>
        <v>30</v>
      </c>
      <c r="M25" s="1">
        <f t="shared" si="6"/>
        <v>1</v>
      </c>
      <c r="N25" s="269">
        <f t="shared" si="27"/>
        <v>18</v>
      </c>
      <c r="O25" s="269">
        <f t="shared" si="28"/>
        <v>1</v>
      </c>
      <c r="Q25" s="269"/>
      <c r="R25" s="268">
        <f t="shared" si="29"/>
        <v>18</v>
      </c>
      <c r="S25" s="1" t="str">
        <f ca="1" t="shared" si="30"/>
        <v>Los Angeles</v>
      </c>
      <c r="T25" s="1">
        <f t="shared" si="31"/>
        <v>82.26</v>
      </c>
      <c r="U25" s="290">
        <f ca="1" t="shared" si="32"/>
        <v>5.39</v>
      </c>
      <c r="V25" s="277" t="b">
        <f ca="1" t="shared" si="13"/>
        <v>0</v>
      </c>
      <c r="W25" s="277">
        <f ca="1" t="shared" si="33"/>
        <v>-1</v>
      </c>
      <c r="X25" s="277" t="b">
        <f ca="1" t="shared" si="15"/>
        <v>0</v>
      </c>
      <c r="Y25" s="1" t="str">
        <f ca="1" t="shared" si="34"/>
        <v/>
      </c>
      <c r="AA25" s="268">
        <f t="shared" si="35"/>
        <v>82.26</v>
      </c>
      <c r="AB25" s="268"/>
      <c r="AC25" s="1">
        <f t="shared" si="36"/>
        <v>82.26</v>
      </c>
      <c r="AD25" s="1">
        <f t="shared" si="1"/>
        <v>1</v>
      </c>
      <c r="AE25" s="1" t="e">
        <f t="shared" si="37"/>
        <v>#N/A</v>
      </c>
      <c r="AF25" s="1">
        <v>0</v>
      </c>
      <c r="AG25" s="1">
        <f>IF(AF25=1,tblTerritories!K20,0)</f>
        <v>0</v>
      </c>
      <c r="AH25" s="1" t="e">
        <f t="shared" si="38"/>
        <v>#N/A</v>
      </c>
      <c r="AI25" s="1" t="e">
        <f t="shared" si="39"/>
        <v>#N/A</v>
      </c>
      <c r="AK25" s="1" t="e">
        <f t="shared" si="40"/>
        <v>#N/A</v>
      </c>
      <c r="AL25" s="1" t="e">
        <f t="shared" si="41"/>
        <v>#N/A</v>
      </c>
      <c r="AN25" s="1">
        <f>VLOOKUP(C25,tblTerritories!$J$3:$P$28,7,FALSE)+10</f>
        <v>11</v>
      </c>
      <c r="AO25" s="1">
        <f>tblTerritories!P20</f>
        <v>1</v>
      </c>
      <c r="AP25" s="1">
        <f t="shared" si="24"/>
        <v>1</v>
      </c>
      <c r="AR25" s="1">
        <f>CHOOSE(uxb_works!$B$10,tblTerritories!V20,tblTerritories!X20,tblTerritories!Z20,tblTerritories!#REF!,tblTerritories!#REF!)</f>
        <v>0</v>
      </c>
    </row>
    <row r="26" spans="1:44">
      <c r="A26" s="1">
        <f t="shared" si="25"/>
        <v>19</v>
      </c>
      <c r="B26" s="1" t="str">
        <f>tblTerritories!B21</f>
        <v/>
      </c>
      <c r="C26" s="1" t="str">
        <f>tblTerritories!C21</f>
        <v>Ho Chi Minh City</v>
      </c>
      <c r="D26" s="1">
        <f>tblTerritories!D21</f>
        <v>1</v>
      </c>
      <c r="E26" s="1">
        <f>IF(AND(OR(tblTerritories!$O$5=4,tblTerritories!$O$5=5),$D$2=3),0,IF(AND(OR(tblTerritories!$O$5=2,tblTerritories!$O$5=3),$D$2=3),tblTerritories!K21,IF(AND($D$2=3,tblTerritories!$O$5=1),AG26,tblTerritories!K21)))</f>
        <v>0</v>
      </c>
      <c r="F26" s="1">
        <f>IF(tblTerritories!F21="",0,tblTerritories!F21)</f>
        <v>1</v>
      </c>
      <c r="G26" s="290">
        <f t="shared" si="0"/>
        <v>54.33</v>
      </c>
      <c r="H26" s="1">
        <f>IF(F26=0,"",RANK(G26,G$8:G$68,0)+COUNTIF(G$8:G26,G26)-1)</f>
        <v>56</v>
      </c>
      <c r="I26" s="1">
        <f ca="1" t="shared" si="2"/>
        <v>56</v>
      </c>
      <c r="J26" s="273">
        <f ca="1" t="shared" si="3"/>
        <v>1.26</v>
      </c>
      <c r="K26" s="275">
        <f ca="1" t="shared" si="4"/>
        <v>-10</v>
      </c>
      <c r="L26" s="1">
        <f t="shared" si="26"/>
        <v>13</v>
      </c>
      <c r="M26" s="1">
        <f t="shared" si="6"/>
        <v>1</v>
      </c>
      <c r="N26" s="269">
        <f t="shared" si="27"/>
        <v>19</v>
      </c>
      <c r="O26" s="269">
        <f t="shared" si="28"/>
        <v>1</v>
      </c>
      <c r="Q26" s="269"/>
      <c r="R26" s="268">
        <f t="shared" si="29"/>
        <v>19</v>
      </c>
      <c r="S26" s="1" t="str">
        <f ca="1" t="shared" si="30"/>
        <v>Chicago</v>
      </c>
      <c r="T26" s="1">
        <f t="shared" si="31"/>
        <v>82.21</v>
      </c>
      <c r="U26" s="290">
        <f ca="1" t="shared" si="32"/>
        <v>4.48</v>
      </c>
      <c r="V26" s="277" t="b">
        <f ca="1" t="shared" si="13"/>
        <v>0</v>
      </c>
      <c r="W26" s="277">
        <f ca="1" t="shared" si="33"/>
        <v>-6</v>
      </c>
      <c r="X26" s="277" t="b">
        <f ca="1" t="shared" si="15"/>
        <v>0</v>
      </c>
      <c r="Y26" s="1" t="str">
        <f ca="1" t="shared" si="34"/>
        <v/>
      </c>
      <c r="AA26" s="268">
        <f t="shared" si="35"/>
        <v>82.21</v>
      </c>
      <c r="AB26" s="268"/>
      <c r="AC26" s="1">
        <f t="shared" si="36"/>
        <v>82.21</v>
      </c>
      <c r="AD26" s="1">
        <f t="shared" si="1"/>
        <v>1</v>
      </c>
      <c r="AE26" s="1" t="e">
        <f t="shared" si="37"/>
        <v>#N/A</v>
      </c>
      <c r="AF26" s="1">
        <v>0</v>
      </c>
      <c r="AG26" s="1">
        <f>IF(AF26=1,tblTerritories!K21,0)</f>
        <v>0</v>
      </c>
      <c r="AH26" s="1" t="e">
        <f t="shared" si="38"/>
        <v>#N/A</v>
      </c>
      <c r="AI26" s="1" t="e">
        <f t="shared" si="39"/>
        <v>#N/A</v>
      </c>
      <c r="AK26" s="1" t="e">
        <f t="shared" si="40"/>
        <v>#N/A</v>
      </c>
      <c r="AL26" s="1" t="e">
        <f t="shared" si="41"/>
        <v>#N/A</v>
      </c>
      <c r="AN26" s="1">
        <f>VLOOKUP(C26,tblTerritories!$J$3:$P$28,7,FALSE)+10</f>
        <v>18</v>
      </c>
      <c r="AO26" s="1">
        <f>tblTerritories!P21</f>
        <v>8</v>
      </c>
      <c r="AP26" s="1">
        <f t="shared" si="24"/>
        <v>1</v>
      </c>
      <c r="AR26" s="1">
        <f>CHOOSE(uxb_works!$B$10,tblTerritories!V21,tblTerritories!X21,tblTerritories!Z21,tblTerritories!#REF!,tblTerritories!#REF!)</f>
        <v>0</v>
      </c>
    </row>
    <row r="27" spans="1:44">
      <c r="A27" s="1">
        <f t="shared" si="25"/>
        <v>20</v>
      </c>
      <c r="B27" s="1" t="str">
        <f>tblTerritories!B22</f>
        <v/>
      </c>
      <c r="C27" s="1" t="str">
        <f>tblTerritories!C22</f>
        <v>Hong Kong</v>
      </c>
      <c r="D27" s="1">
        <f>tblTerritories!D22</f>
        <v>1</v>
      </c>
      <c r="E27" s="1">
        <f>IF(AND(OR(tblTerritories!$O$5=4,tblTerritories!$O$5=5),$D$2=3),0,IF(AND(OR(tblTerritories!$O$5=2,tblTerritories!$O$5=3),$D$2=3),tblTerritories!K22,IF(AND($D$2=3,tblTerritories!$O$5=1),AG27,tblTerritories!K22)))</f>
        <v>0</v>
      </c>
      <c r="F27" s="1">
        <f>IF(tblTerritories!F22="",0,tblTerritories!F22)</f>
        <v>1</v>
      </c>
      <c r="G27" s="290">
        <f t="shared" si="0"/>
        <v>86.22</v>
      </c>
      <c r="H27" s="1">
        <f>IF(F27=0,"",RANK(G27,G$8:G$68,0)+COUNTIF(G$8:G27,G27)-1)</f>
        <v>9</v>
      </c>
      <c r="I27" s="1">
        <f ca="1" t="shared" si="2"/>
        <v>9</v>
      </c>
      <c r="J27" s="273">
        <f ca="1" t="shared" si="3"/>
        <v>7.69</v>
      </c>
      <c r="K27" s="275">
        <f ca="1" t="shared" si="4"/>
        <v>3</v>
      </c>
      <c r="L27" s="1">
        <f t="shared" si="26"/>
        <v>29</v>
      </c>
      <c r="M27" s="1">
        <f t="shared" si="6"/>
        <v>1</v>
      </c>
      <c r="N27" s="269">
        <f t="shared" si="27"/>
        <v>20</v>
      </c>
      <c r="O27" s="269">
        <f t="shared" si="28"/>
        <v>1</v>
      </c>
      <c r="Q27" s="269"/>
      <c r="R27" s="268">
        <f t="shared" si="29"/>
        <v>20</v>
      </c>
      <c r="S27" s="1" t="str">
        <f ca="1" t="shared" si="30"/>
        <v>London</v>
      </c>
      <c r="T27" s="1">
        <f t="shared" si="31"/>
        <v>82.1</v>
      </c>
      <c r="U27" s="290">
        <f ca="1" t="shared" si="32"/>
        <v>8.64</v>
      </c>
      <c r="V27" s="277" t="b">
        <f ca="1" t="shared" si="13"/>
        <v>0</v>
      </c>
      <c r="W27" s="277">
        <f ca="1" t="shared" si="33"/>
        <v>1</v>
      </c>
      <c r="X27" s="277" t="b">
        <f ca="1" t="shared" si="15"/>
        <v>0</v>
      </c>
      <c r="Y27" s="1" t="str">
        <f ca="1" t="shared" si="34"/>
        <v/>
      </c>
      <c r="AA27" s="268">
        <f t="shared" si="35"/>
        <v>82.1</v>
      </c>
      <c r="AB27" s="268"/>
      <c r="AC27" s="1">
        <f t="shared" si="36"/>
        <v>82.1</v>
      </c>
      <c r="AD27" s="1">
        <f t="shared" si="1"/>
        <v>1</v>
      </c>
      <c r="AE27" s="1" t="e">
        <f t="shared" si="37"/>
        <v>#N/A</v>
      </c>
      <c r="AF27" s="1">
        <v>0</v>
      </c>
      <c r="AG27" s="1">
        <f>IF(AF27=1,tblTerritories!K22,0)</f>
        <v>0</v>
      </c>
      <c r="AH27" s="1" t="e">
        <f t="shared" si="38"/>
        <v>#N/A</v>
      </c>
      <c r="AI27" s="1" t="e">
        <f t="shared" si="39"/>
        <v>#N/A</v>
      </c>
      <c r="AK27" s="1" t="e">
        <f t="shared" si="40"/>
        <v>#N/A</v>
      </c>
      <c r="AL27" s="1" t="e">
        <f t="shared" si="41"/>
        <v>#N/A</v>
      </c>
      <c r="AN27" s="1">
        <f>VLOOKUP(C27,tblTerritories!$J$3:$P$28,7,FALSE)+10</f>
        <v>15</v>
      </c>
      <c r="AO27" s="1">
        <f>tblTerritories!P22</f>
        <v>5</v>
      </c>
      <c r="AP27" s="1">
        <f t="shared" si="24"/>
        <v>1</v>
      </c>
      <c r="AR27" s="1">
        <f>CHOOSE(uxb_works!$B$10,tblTerritories!V22,tblTerritories!X22,tblTerritories!Z22,tblTerritories!#REF!,tblTerritories!#REF!)</f>
        <v>0</v>
      </c>
    </row>
    <row r="28" spans="1:44">
      <c r="A28" s="1">
        <f t="shared" si="25"/>
        <v>21</v>
      </c>
      <c r="B28" s="1" t="str">
        <f>tblTerritories!B23</f>
        <v/>
      </c>
      <c r="C28" s="1" t="str">
        <f>tblTerritories!C23</f>
        <v>Istanbul</v>
      </c>
      <c r="D28" s="1">
        <f>tblTerritories!D23</f>
        <v>1</v>
      </c>
      <c r="E28" s="1">
        <f>IF(AND(OR(tblTerritories!$O$5=4,tblTerritories!$O$5=5),$D$2=3),0,IF(AND(OR(tblTerritories!$O$5=2,tblTerritories!$O$5=3),$D$2=3),tblTerritories!K23,IF(AND($D$2=3,tblTerritories!$O$5=1),AG28,tblTerritories!K23)))</f>
        <v>0</v>
      </c>
      <c r="F28" s="1">
        <f>IF(tblTerritories!F23="",0,tblTerritories!F23)</f>
        <v>1</v>
      </c>
      <c r="G28" s="290">
        <f t="shared" si="0"/>
        <v>65.23</v>
      </c>
      <c r="H28" s="1">
        <f>IF(F28=0,"",RANK(G28,G$8:G$68,0)+COUNTIF(G$8:G28,G28)-1)</f>
        <v>40</v>
      </c>
      <c r="I28" s="1">
        <f ca="1" t="shared" si="2"/>
        <v>40</v>
      </c>
      <c r="J28" s="273">
        <f ca="1" t="shared" si="3"/>
        <v>5.42</v>
      </c>
      <c r="K28" s="275">
        <f ca="1" t="shared" si="4"/>
        <v>-1</v>
      </c>
      <c r="L28" s="1">
        <f t="shared" si="26"/>
        <v>38</v>
      </c>
      <c r="M28" s="1">
        <f t="shared" si="6"/>
        <v>1</v>
      </c>
      <c r="N28" s="269">
        <f t="shared" si="27"/>
        <v>21</v>
      </c>
      <c r="O28" s="269">
        <f t="shared" si="28"/>
        <v>1</v>
      </c>
      <c r="Q28" s="269"/>
      <c r="R28" s="268">
        <f t="shared" si="29"/>
        <v>21</v>
      </c>
      <c r="S28" s="1" t="str">
        <f ca="1" t="shared" si="30"/>
        <v>New York</v>
      </c>
      <c r="T28" s="1">
        <f t="shared" si="31"/>
        <v>81.01</v>
      </c>
      <c r="U28" s="290">
        <f ca="1" t="shared" si="32"/>
        <v>0.73</v>
      </c>
      <c r="V28" s="277" t="b">
        <f ca="1" t="shared" si="13"/>
        <v>0</v>
      </c>
      <c r="W28" s="277">
        <f ca="1" t="shared" si="33"/>
        <v>-11</v>
      </c>
      <c r="X28" s="277" t="b">
        <f ca="1" t="shared" si="15"/>
        <v>0</v>
      </c>
      <c r="Y28" s="1" t="str">
        <f ca="1" t="shared" si="34"/>
        <v/>
      </c>
      <c r="AA28" s="268">
        <f t="shared" si="35"/>
        <v>81.01</v>
      </c>
      <c r="AB28" s="268"/>
      <c r="AC28" s="1">
        <f t="shared" si="36"/>
        <v>81.01</v>
      </c>
      <c r="AD28" s="1">
        <f t="shared" si="1"/>
        <v>1</v>
      </c>
      <c r="AE28" s="1" t="e">
        <f t="shared" si="37"/>
        <v>#N/A</v>
      </c>
      <c r="AF28" s="1">
        <v>0</v>
      </c>
      <c r="AG28" s="1">
        <f>IF(AF28=1,tblTerritories!K23,0)</f>
        <v>0</v>
      </c>
      <c r="AH28" s="1" t="e">
        <f t="shared" si="38"/>
        <v>#N/A</v>
      </c>
      <c r="AI28" s="1" t="e">
        <f t="shared" si="39"/>
        <v>#N/A</v>
      </c>
      <c r="AK28" s="1" t="e">
        <f t="shared" si="40"/>
        <v>#N/A</v>
      </c>
      <c r="AL28" s="1" t="e">
        <f t="shared" si="41"/>
        <v>#N/A</v>
      </c>
      <c r="AN28" s="1">
        <f>VLOOKUP(C28,tblTerritories!$J$3:$P$28,7,FALSE)+10</f>
        <v>11</v>
      </c>
      <c r="AO28" s="1">
        <f>tblTerritories!P23</f>
        <v>1</v>
      </c>
      <c r="AP28" s="1">
        <f t="shared" si="24"/>
        <v>1</v>
      </c>
      <c r="AR28" s="1">
        <f>CHOOSE(uxb_works!$B$10,tblTerritories!V23,tblTerritories!X23,tblTerritories!Z23,tblTerritories!#REF!,tblTerritories!#REF!)</f>
        <v>0</v>
      </c>
    </row>
    <row r="29" spans="1:44">
      <c r="A29" s="1">
        <f t="shared" si="25"/>
        <v>22</v>
      </c>
      <c r="B29" s="1" t="str">
        <f>tblTerritories!B24</f>
        <v/>
      </c>
      <c r="C29" s="1" t="str">
        <f>tblTerritories!C24</f>
        <v>Jakarta</v>
      </c>
      <c r="D29" s="1">
        <f>tblTerritories!D24</f>
        <v>1</v>
      </c>
      <c r="E29" s="1">
        <f>IF(AND(OR(tblTerritories!$O$5=4,tblTerritories!$O$5=5),$D$2=3),0,IF(AND(OR(tblTerritories!$O$5=2,tblTerritories!$O$5=3),$D$2=3),tblTerritories!K24,IF(AND($D$2=3,tblTerritories!$O$5=1),AG29,tblTerritories!K24)))</f>
        <v>0</v>
      </c>
      <c r="F29" s="1">
        <f>IF(tblTerritories!F24="",0,tblTerritories!F24)</f>
        <v>1</v>
      </c>
      <c r="G29" s="290">
        <f t="shared" si="0"/>
        <v>53.39</v>
      </c>
      <c r="H29" s="1">
        <f>IF(F29=0,"",RANK(G29,G$8:G$68,0)+COUNTIF(G$8:G29,G29)-1)</f>
        <v>57</v>
      </c>
      <c r="I29" s="1">
        <f ca="1" t="shared" si="2"/>
        <v>57</v>
      </c>
      <c r="J29" s="273">
        <f ca="1" t="shared" si="3"/>
        <v>-1.11</v>
      </c>
      <c r="K29" s="275">
        <f ca="1" t="shared" si="4"/>
        <v>-13</v>
      </c>
      <c r="L29" s="1">
        <f t="shared" si="26"/>
        <v>53</v>
      </c>
      <c r="M29" s="1">
        <f t="shared" si="6"/>
        <v>1</v>
      </c>
      <c r="N29" s="269">
        <f t="shared" si="27"/>
        <v>22</v>
      </c>
      <c r="O29" s="269">
        <f t="shared" si="28"/>
        <v>1</v>
      </c>
      <c r="Q29" s="269"/>
      <c r="R29" s="268">
        <f t="shared" si="29"/>
        <v>22</v>
      </c>
      <c r="S29" s="1" t="str">
        <f ca="1" t="shared" si="30"/>
        <v>Taipei</v>
      </c>
      <c r="T29" s="1">
        <f t="shared" si="31"/>
        <v>80.7</v>
      </c>
      <c r="U29" s="290">
        <f ca="1" t="shared" si="32"/>
        <v>3.11</v>
      </c>
      <c r="V29" s="277" t="b">
        <f ca="1" t="shared" si="13"/>
        <v>0</v>
      </c>
      <c r="W29" s="277">
        <f ca="1" t="shared" si="33"/>
        <v>-8</v>
      </c>
      <c r="X29" s="277" t="b">
        <f ca="1" t="shared" si="15"/>
        <v>0</v>
      </c>
      <c r="Y29" s="1" t="str">
        <f ca="1" t="shared" si="34"/>
        <v/>
      </c>
      <c r="AA29" s="268">
        <f t="shared" si="35"/>
        <v>80.7</v>
      </c>
      <c r="AB29" s="268"/>
      <c r="AC29" s="1">
        <f t="shared" si="36"/>
        <v>80.7</v>
      </c>
      <c r="AD29" s="1">
        <f t="shared" si="1"/>
        <v>1</v>
      </c>
      <c r="AE29" s="1" t="e">
        <f t="shared" si="37"/>
        <v>#N/A</v>
      </c>
      <c r="AF29" s="1">
        <v>0</v>
      </c>
      <c r="AG29" s="1">
        <f>IF(AF29=1,tblTerritories!K24,0)</f>
        <v>0</v>
      </c>
      <c r="AH29" s="1" t="e">
        <f t="shared" si="38"/>
        <v>#N/A</v>
      </c>
      <c r="AI29" s="1" t="e">
        <f t="shared" si="39"/>
        <v>#N/A</v>
      </c>
      <c r="AK29" s="1" t="e">
        <f t="shared" si="40"/>
        <v>#N/A</v>
      </c>
      <c r="AL29" s="1" t="e">
        <f t="shared" si="41"/>
        <v>#N/A</v>
      </c>
      <c r="AN29" s="1">
        <f>VLOOKUP(C29,tblTerritories!$J$3:$P$28,7,FALSE)+10</f>
        <v>17</v>
      </c>
      <c r="AO29" s="1">
        <f>tblTerritories!P24</f>
        <v>7</v>
      </c>
      <c r="AP29" s="1">
        <f t="shared" si="24"/>
        <v>1</v>
      </c>
      <c r="AR29" s="1">
        <f>CHOOSE(uxb_works!$B$10,tblTerritories!V24,tblTerritories!X24,tblTerritories!Z24,tblTerritories!#REF!,tblTerritories!#REF!)</f>
        <v>0</v>
      </c>
    </row>
    <row r="30" spans="1:44">
      <c r="A30" s="1">
        <f t="shared" si="25"/>
        <v>23</v>
      </c>
      <c r="B30" s="1" t="str">
        <f>tblTerritories!B25</f>
        <v/>
      </c>
      <c r="C30" s="1" t="str">
        <f>tblTerritories!C25</f>
        <v>Jeddah</v>
      </c>
      <c r="D30" s="1">
        <f>tblTerritories!D25</f>
        <v>1</v>
      </c>
      <c r="E30" s="1">
        <f>IF(AND(OR(tblTerritories!$O$5=4,tblTerritories!$O$5=5),$D$2=3),0,IF(AND(OR(tblTerritories!$O$5=2,tblTerritories!$O$5=3),$D$2=3),tblTerritories!K25,IF(AND($D$2=3,tblTerritories!$O$5=1),AG30,tblTerritories!K25)))</f>
        <v>0</v>
      </c>
      <c r="F30" s="1">
        <f>IF(tblTerritories!F25="",0,tblTerritories!F25)</f>
        <v>1</v>
      </c>
      <c r="G30" s="290">
        <f t="shared" si="0"/>
        <v>62.8</v>
      </c>
      <c r="H30" s="1">
        <f>IF(F30=0,"",RANK(G30,G$8:G$68,0)+COUNTIF(G$8:G30,G30)-1)</f>
        <v>42</v>
      </c>
      <c r="I30" s="1">
        <f ca="1" t="shared" si="2"/>
        <v>42</v>
      </c>
      <c r="J30" s="273" t="e">
        <f ca="1" t="shared" si="3"/>
        <v>#N/A</v>
      </c>
      <c r="K30" s="275" t="e">
        <f ca="1" t="shared" si="4"/>
        <v>#N/A</v>
      </c>
      <c r="L30" s="1">
        <f t="shared" si="26"/>
        <v>57</v>
      </c>
      <c r="M30" s="1">
        <f t="shared" si="6"/>
        <v>1</v>
      </c>
      <c r="N30" s="269">
        <f t="shared" si="27"/>
        <v>23</v>
      </c>
      <c r="O30" s="269">
        <f t="shared" si="28"/>
        <v>1</v>
      </c>
      <c r="Q30" s="269"/>
      <c r="R30" s="268">
        <f t="shared" si="29"/>
        <v>23</v>
      </c>
      <c r="S30" s="1" t="str">
        <f ca="1" t="shared" si="30"/>
        <v>Washington DC</v>
      </c>
      <c r="T30" s="1">
        <f t="shared" si="31"/>
        <v>80.37</v>
      </c>
      <c r="U30" s="290">
        <f ca="1" t="shared" si="32"/>
        <v>3.93</v>
      </c>
      <c r="V30" s="277" t="b">
        <f ca="1" t="shared" si="13"/>
        <v>0</v>
      </c>
      <c r="W30" s="277">
        <f ca="1" t="shared" si="33"/>
        <v>-5</v>
      </c>
      <c r="X30" s="277" t="b">
        <f ca="1" t="shared" si="15"/>
        <v>0</v>
      </c>
      <c r="Y30" s="1" t="str">
        <f ca="1" t="shared" si="34"/>
        <v/>
      </c>
      <c r="AA30" s="268">
        <f t="shared" si="35"/>
        <v>80.37</v>
      </c>
      <c r="AB30" s="268"/>
      <c r="AC30" s="1">
        <f t="shared" si="36"/>
        <v>80.37</v>
      </c>
      <c r="AD30" s="1">
        <f t="shared" si="1"/>
        <v>1</v>
      </c>
      <c r="AE30" s="1" t="e">
        <f t="shared" si="37"/>
        <v>#N/A</v>
      </c>
      <c r="AF30" s="1">
        <v>0</v>
      </c>
      <c r="AG30" s="1">
        <f>IF(AF30=1,tblTerritories!K25,0)</f>
        <v>0</v>
      </c>
      <c r="AH30" s="1" t="e">
        <f t="shared" si="38"/>
        <v>#N/A</v>
      </c>
      <c r="AI30" s="1" t="e">
        <f t="shared" si="39"/>
        <v>#N/A</v>
      </c>
      <c r="AK30" s="1" t="e">
        <f t="shared" si="40"/>
        <v>#N/A</v>
      </c>
      <c r="AL30" s="1" t="e">
        <f t="shared" si="41"/>
        <v>#N/A</v>
      </c>
      <c r="AN30" s="1">
        <f>VLOOKUP(C30,tblTerritories!$J$3:$P$28,7,FALSE)+10</f>
        <v>13</v>
      </c>
      <c r="AO30" s="1">
        <f>tblTerritories!P25</f>
        <v>3</v>
      </c>
      <c r="AP30" s="1">
        <f t="shared" si="24"/>
        <v>1</v>
      </c>
      <c r="AR30" s="1">
        <f>CHOOSE(uxb_works!$B$10,tblTerritories!V25,tblTerritories!X25,tblTerritories!Z25,tblTerritories!#REF!,tblTerritories!#REF!)</f>
        <v>0</v>
      </c>
    </row>
    <row r="31" spans="1:44">
      <c r="A31" s="1">
        <f t="shared" si="25"/>
        <v>24</v>
      </c>
      <c r="B31" s="1" t="str">
        <f>tblTerritories!B26</f>
        <v/>
      </c>
      <c r="C31" s="1" t="str">
        <f>tblTerritories!C26</f>
        <v>Johannesburg</v>
      </c>
      <c r="D31" s="1">
        <f>tblTerritories!D26</f>
        <v>1</v>
      </c>
      <c r="E31" s="1">
        <f>IF(AND(OR(tblTerritories!$O$5=4,tblTerritories!$O$5=5),$D$2=3),0,IF(AND(OR(tblTerritories!$O$5=2,tblTerritories!$O$5=3),$D$2=3),tblTerritories!K26,IF(AND($D$2=3,tblTerritories!$O$5=1),AG31,tblTerritories!K26)))</f>
        <v>0</v>
      </c>
      <c r="F31" s="1">
        <f>IF(tblTerritories!F26="",0,tblTerritories!F26)</f>
        <v>1</v>
      </c>
      <c r="G31" s="290">
        <f t="shared" si="0"/>
        <v>59.17</v>
      </c>
      <c r="H31" s="1">
        <f>IF(F31=0,"",RANK(G31,G$8:G$68,0)+COUNTIF(G$8:G31,G31)-1)</f>
        <v>50</v>
      </c>
      <c r="I31" s="1">
        <f ca="1" t="shared" si="2"/>
        <v>50</v>
      </c>
      <c r="J31" s="273">
        <f ca="1" t="shared" si="3"/>
        <v>-0.15</v>
      </c>
      <c r="K31" s="275">
        <f ca="1" t="shared" si="4"/>
        <v>-9</v>
      </c>
      <c r="L31" s="1">
        <f t="shared" si="26"/>
        <v>40</v>
      </c>
      <c r="M31" s="1">
        <f t="shared" si="6"/>
        <v>1</v>
      </c>
      <c r="N31" s="269">
        <f t="shared" si="27"/>
        <v>24</v>
      </c>
      <c r="O31" s="269">
        <f t="shared" si="28"/>
        <v>1</v>
      </c>
      <c r="Q31" s="269"/>
      <c r="R31" s="268">
        <f t="shared" si="29"/>
        <v>24</v>
      </c>
      <c r="S31" s="1" t="str">
        <f ca="1" t="shared" si="30"/>
        <v>Paris</v>
      </c>
      <c r="T31" s="1">
        <f t="shared" si="31"/>
        <v>79.71</v>
      </c>
      <c r="U31" s="290">
        <f ca="1" t="shared" si="32"/>
        <v>6.5</v>
      </c>
      <c r="V31" s="277" t="b">
        <f ca="1" t="shared" si="13"/>
        <v>0</v>
      </c>
      <c r="W31" s="277">
        <f ca="1" t="shared" si="33"/>
        <v>-2</v>
      </c>
      <c r="X31" s="277" t="b">
        <f ca="1" t="shared" si="15"/>
        <v>0</v>
      </c>
      <c r="Y31" s="1" t="str">
        <f ca="1" t="shared" si="34"/>
        <v/>
      </c>
      <c r="AA31" s="268">
        <f t="shared" si="35"/>
        <v>79.71</v>
      </c>
      <c r="AB31" s="268"/>
      <c r="AC31" s="1">
        <f t="shared" si="36"/>
        <v>79.71</v>
      </c>
      <c r="AD31" s="1">
        <f t="shared" si="1"/>
        <v>1</v>
      </c>
      <c r="AE31" s="1" t="e">
        <f t="shared" si="37"/>
        <v>#N/A</v>
      </c>
      <c r="AF31" s="1">
        <v>0</v>
      </c>
      <c r="AG31" s="1">
        <f>IF(AF31=1,tblTerritories!K26,0)</f>
        <v>0</v>
      </c>
      <c r="AH31" s="1" t="e">
        <f t="shared" si="38"/>
        <v>#N/A</v>
      </c>
      <c r="AI31" s="1" t="e">
        <f t="shared" si="39"/>
        <v>#N/A</v>
      </c>
      <c r="AK31" s="1" t="e">
        <f t="shared" si="40"/>
        <v>#N/A</v>
      </c>
      <c r="AL31" s="1" t="e">
        <f t="shared" si="41"/>
        <v>#N/A</v>
      </c>
      <c r="AN31" s="1">
        <f>VLOOKUP(C31,tblTerritories!$J$3:$P$28,7,FALSE)+10</f>
        <v>13</v>
      </c>
      <c r="AO31" s="1">
        <f>tblTerritories!P26</f>
        <v>3</v>
      </c>
      <c r="AP31" s="1">
        <f t="shared" si="24"/>
        <v>1</v>
      </c>
      <c r="AR31" s="1">
        <f>CHOOSE(uxb_works!$B$10,tblTerritories!V26,tblTerritories!X26,tblTerritories!Z26,tblTerritories!#REF!,tblTerritories!#REF!)</f>
        <v>0</v>
      </c>
    </row>
    <row r="32" spans="1:44">
      <c r="A32" s="1">
        <f t="shared" si="25"/>
        <v>25</v>
      </c>
      <c r="B32" s="1" t="str">
        <f>tblTerritories!B27</f>
        <v/>
      </c>
      <c r="C32" s="1" t="str">
        <f>tblTerritories!C27</f>
        <v>Karachi</v>
      </c>
      <c r="D32" s="1">
        <f>tblTerritories!D27</f>
        <v>1</v>
      </c>
      <c r="E32" s="1">
        <f>IF(AND(OR(tblTerritories!$O$5=4,tblTerritories!$O$5=5),$D$2=3),0,IF(AND(OR(tblTerritories!$O$5=2,tblTerritories!$O$5=3),$D$2=3),tblTerritories!K27,IF(AND($D$2=3,tblTerritories!$O$5=1),AG32,tblTerritories!K27)))</f>
        <v>0</v>
      </c>
      <c r="F32" s="1">
        <f>IF(tblTerritories!F27="",0,tblTerritories!F27)</f>
        <v>1</v>
      </c>
      <c r="G32" s="290">
        <f t="shared" si="0"/>
        <v>38.77</v>
      </c>
      <c r="H32" s="1">
        <f>IF(F32=0,"",RANK(G32,G$8:G$68,0)+COUNTIF(G$8:G32,G32)-1)</f>
        <v>60</v>
      </c>
      <c r="I32" s="1">
        <f ca="1" t="shared" si="2"/>
        <v>60</v>
      </c>
      <c r="J32" s="273" t="e">
        <f ca="1" t="shared" si="3"/>
        <v>#N/A</v>
      </c>
      <c r="K32" s="275" t="e">
        <f ca="1" t="shared" si="4"/>
        <v>#N/A</v>
      </c>
      <c r="L32" s="1">
        <f t="shared" si="26"/>
        <v>35</v>
      </c>
      <c r="M32" s="1">
        <f t="shared" si="6"/>
        <v>1</v>
      </c>
      <c r="N32" s="269">
        <f t="shared" si="27"/>
        <v>25</v>
      </c>
      <c r="O32" s="269">
        <f t="shared" si="28"/>
        <v>1</v>
      </c>
      <c r="Q32" s="269"/>
      <c r="R32" s="268">
        <f t="shared" si="29"/>
        <v>25</v>
      </c>
      <c r="S32" s="1" t="str">
        <f ca="1" t="shared" si="30"/>
        <v>Milan</v>
      </c>
      <c r="T32" s="1">
        <f t="shared" si="31"/>
        <v>79.3</v>
      </c>
      <c r="U32" s="290">
        <f ca="1" t="shared" si="32"/>
        <v>6.72</v>
      </c>
      <c r="V32" s="277" t="b">
        <f ca="1" t="shared" si="13"/>
        <v>0</v>
      </c>
      <c r="W32" s="277">
        <f ca="1" t="shared" si="33"/>
        <v>-1</v>
      </c>
      <c r="X32" s="277" t="b">
        <f ca="1" t="shared" si="15"/>
        <v>0</v>
      </c>
      <c r="Y32" s="1" t="str">
        <f ca="1" t="shared" si="34"/>
        <v/>
      </c>
      <c r="AA32" s="268">
        <f t="shared" si="35"/>
        <v>79.3</v>
      </c>
      <c r="AB32" s="268"/>
      <c r="AC32" s="1">
        <f t="shared" si="36"/>
        <v>79.3</v>
      </c>
      <c r="AD32" s="1">
        <f t="shared" si="1"/>
        <v>1</v>
      </c>
      <c r="AE32" s="1" t="e">
        <f t="shared" si="37"/>
        <v>#N/A</v>
      </c>
      <c r="AF32" s="1">
        <v>0</v>
      </c>
      <c r="AG32" s="1">
        <f>IF(AF32=1,tblTerritories!K27,0)</f>
        <v>0</v>
      </c>
      <c r="AH32" s="1" t="e">
        <f t="shared" si="38"/>
        <v>#N/A</v>
      </c>
      <c r="AI32" s="1" t="e">
        <f t="shared" si="39"/>
        <v>#N/A</v>
      </c>
      <c r="AK32" s="1" t="e">
        <f t="shared" si="40"/>
        <v>#N/A</v>
      </c>
      <c r="AL32" s="1" t="e">
        <f t="shared" si="41"/>
        <v>#N/A</v>
      </c>
      <c r="AN32" s="1">
        <f>VLOOKUP(C32,tblTerritories!$J$3:$P$28,7,FALSE)+10</f>
        <v>18</v>
      </c>
      <c r="AO32" s="1">
        <f>tblTerritories!P27</f>
        <v>8</v>
      </c>
      <c r="AP32" s="1">
        <f t="shared" si="24"/>
        <v>1</v>
      </c>
      <c r="AR32" s="1">
        <f>CHOOSE(uxb_works!$B$10,tblTerritories!V27,tblTerritories!X27,tblTerritories!Z27,tblTerritories!#REF!,tblTerritories!#REF!)</f>
        <v>0</v>
      </c>
    </row>
    <row r="33" spans="1:44">
      <c r="A33" s="1">
        <f t="shared" si="25"/>
        <v>26</v>
      </c>
      <c r="B33" s="1" t="str">
        <f>tblTerritories!B28</f>
        <v/>
      </c>
      <c r="C33" s="1" t="str">
        <f>tblTerritories!C28</f>
        <v>Kuala Lumpur</v>
      </c>
      <c r="D33" s="1">
        <f>tblTerritories!D28</f>
        <v>1</v>
      </c>
      <c r="E33" s="1">
        <f>IF(AND(OR(tblTerritories!$O$5=4,tblTerritories!$O$5=5),$D$2=3),0,IF(AND(OR(tblTerritories!$O$5=2,tblTerritories!$O$5=3),$D$2=3),tblTerritories!K28,IF(AND($D$2=3,tblTerritories!$O$5=1),AG33,tblTerritories!K28)))</f>
        <v>0</v>
      </c>
      <c r="F33" s="1">
        <f>IF(tblTerritories!F28="",0,tblTerritories!F28)</f>
        <v>1</v>
      </c>
      <c r="G33" s="290">
        <f t="shared" si="0"/>
        <v>73.11</v>
      </c>
      <c r="H33" s="1">
        <f>IF(F33=0,"",RANK(G33,G$8:G$68,0)+COUNTIF(G$8:G33,G33)-1)</f>
        <v>31</v>
      </c>
      <c r="I33" s="1">
        <f ca="1" t="shared" si="2"/>
        <v>31</v>
      </c>
      <c r="J33" s="273" t="e">
        <f ca="1" t="shared" si="3"/>
        <v>#N/A</v>
      </c>
      <c r="K33" s="275" t="e">
        <f ca="1" t="shared" si="4"/>
        <v>#N/A</v>
      </c>
      <c r="L33" s="1">
        <f t="shared" si="26"/>
        <v>14</v>
      </c>
      <c r="M33" s="1">
        <f t="shared" si="6"/>
        <v>1</v>
      </c>
      <c r="N33" s="269">
        <f t="shared" si="27"/>
        <v>26</v>
      </c>
      <c r="O33" s="269">
        <f t="shared" si="28"/>
        <v>1</v>
      </c>
      <c r="Q33" s="269"/>
      <c r="R33" s="268">
        <f t="shared" si="29"/>
        <v>26</v>
      </c>
      <c r="S33" s="1" t="str">
        <f ca="1" t="shared" si="30"/>
        <v>Dallas *</v>
      </c>
      <c r="T33" s="1">
        <f t="shared" si="31"/>
        <v>78.73</v>
      </c>
      <c r="U33" s="290" t="str">
        <f ca="1" t="shared" si="32"/>
        <v/>
      </c>
      <c r="V33" s="277" t="b">
        <f ca="1" t="shared" si="13"/>
        <v>0</v>
      </c>
      <c r="W33" s="277" t="str">
        <f ca="1" t="shared" si="33"/>
        <v/>
      </c>
      <c r="X33" s="277" t="b">
        <f ca="1" t="shared" si="15"/>
        <v>0</v>
      </c>
      <c r="Y33" s="1" t="str">
        <f ca="1" t="shared" si="34"/>
        <v> *</v>
      </c>
      <c r="AA33" s="268">
        <f t="shared" si="35"/>
        <v>78.73</v>
      </c>
      <c r="AB33" s="268"/>
      <c r="AC33" s="1">
        <f t="shared" si="36"/>
        <v>78.73</v>
      </c>
      <c r="AD33" s="1">
        <f t="shared" si="1"/>
        <v>1</v>
      </c>
      <c r="AE33" s="1" t="e">
        <f t="shared" si="37"/>
        <v>#N/A</v>
      </c>
      <c r="AF33" s="1">
        <v>0</v>
      </c>
      <c r="AG33" s="1">
        <f>IF(AF33=1,tblTerritories!K28,0)</f>
        <v>0</v>
      </c>
      <c r="AH33" s="1" t="e">
        <f t="shared" si="38"/>
        <v>#N/A</v>
      </c>
      <c r="AI33" s="1" t="e">
        <f t="shared" si="39"/>
        <v>#N/A</v>
      </c>
      <c r="AK33" s="1" t="e">
        <f t="shared" si="40"/>
        <v>#N/A</v>
      </c>
      <c r="AL33" s="1" t="e">
        <f t="shared" si="41"/>
        <v>#N/A</v>
      </c>
      <c r="AN33" s="1">
        <f>VLOOKUP(C33,tblTerritories!$J$3:$P$28,7,FALSE)+10</f>
        <v>17</v>
      </c>
      <c r="AO33" s="1">
        <f>tblTerritories!P28</f>
        <v>7</v>
      </c>
      <c r="AP33" s="1">
        <f t="shared" si="24"/>
        <v>1</v>
      </c>
      <c r="AR33" s="1">
        <f>CHOOSE(uxb_works!$B$10,tblTerritories!V28,tblTerritories!X28,tblTerritories!Z28,tblTerritories!#REF!,tblTerritories!#REF!)</f>
        <v>0</v>
      </c>
    </row>
    <row r="34" spans="1:44">
      <c r="A34" s="1">
        <f t="shared" si="25"/>
        <v>27</v>
      </c>
      <c r="B34" s="1" t="str">
        <f>tblTerritories!B29</f>
        <v/>
      </c>
      <c r="C34" s="1" t="str">
        <f>tblTerritories!C29</f>
        <v>Kuwait City</v>
      </c>
      <c r="D34" s="1">
        <f>tblTerritories!D29</f>
        <v>1</v>
      </c>
      <c r="E34" s="1">
        <f>IF(AND(OR(tblTerritories!$O$5=4,tblTerritories!$O$5=5),$D$2=3),0,IF(AND(OR(tblTerritories!$O$5=2,tblTerritories!$O$5=3),$D$2=3),tblTerritories!K29,IF(AND($D$2=3,tblTerritories!$O$5=1),AG34,tblTerritories!K29)))</f>
        <v>0</v>
      </c>
      <c r="F34" s="1">
        <f>IF(tblTerritories!F29="",0,tblTerritories!F29)</f>
        <v>1</v>
      </c>
      <c r="G34" s="290">
        <f t="shared" si="0"/>
        <v>67.61</v>
      </c>
      <c r="H34" s="1">
        <f>IF(F34=0,"",RANK(G34,G$8:G$68,0)+COUNTIF(G$8:G34,G34)-1)</f>
        <v>36</v>
      </c>
      <c r="I34" s="1">
        <f ca="1" t="shared" si="2"/>
        <v>36</v>
      </c>
      <c r="J34" s="273">
        <f ca="1" t="shared" si="3"/>
        <v>5.09</v>
      </c>
      <c r="K34" s="275">
        <f ca="1" t="shared" si="4"/>
        <v>-1</v>
      </c>
      <c r="L34" s="1">
        <f t="shared" si="26"/>
        <v>44</v>
      </c>
      <c r="M34" s="1">
        <f t="shared" si="6"/>
        <v>1</v>
      </c>
      <c r="N34" s="269">
        <f t="shared" si="27"/>
        <v>27</v>
      </c>
      <c r="O34" s="269">
        <f t="shared" si="28"/>
        <v>1</v>
      </c>
      <c r="Q34" s="269"/>
      <c r="R34" s="268">
        <f t="shared" si="29"/>
        <v>27</v>
      </c>
      <c r="S34" s="1" t="str">
        <f ca="1" t="shared" si="30"/>
        <v>Rome</v>
      </c>
      <c r="T34" s="1">
        <f t="shared" si="31"/>
        <v>78.67</v>
      </c>
      <c r="U34" s="290">
        <f ca="1" t="shared" si="32"/>
        <v>8.69</v>
      </c>
      <c r="V34" s="277" t="b">
        <f ca="1" t="shared" si="13"/>
        <v>0</v>
      </c>
      <c r="W34" s="277">
        <f ca="1" t="shared" si="33"/>
        <v>0</v>
      </c>
      <c r="X34" s="277" t="b">
        <f ca="1" t="shared" si="15"/>
        <v>0</v>
      </c>
      <c r="Y34" s="1" t="str">
        <f ca="1" t="shared" si="34"/>
        <v/>
      </c>
      <c r="AA34" s="268">
        <f t="shared" si="35"/>
        <v>78.67</v>
      </c>
      <c r="AB34" s="268"/>
      <c r="AC34" s="1">
        <f t="shared" si="36"/>
        <v>78.67</v>
      </c>
      <c r="AD34" s="1">
        <f t="shared" si="1"/>
        <v>1</v>
      </c>
      <c r="AE34" s="1" t="e">
        <f t="shared" si="37"/>
        <v>#N/A</v>
      </c>
      <c r="AF34" s="1">
        <v>0</v>
      </c>
      <c r="AG34" s="1">
        <f>IF(AF34=1,tblTerritories!K29,0)</f>
        <v>0</v>
      </c>
      <c r="AH34" s="1" t="e">
        <f t="shared" si="38"/>
        <v>#N/A</v>
      </c>
      <c r="AI34" s="1" t="e">
        <f t="shared" si="39"/>
        <v>#N/A</v>
      </c>
      <c r="AK34" s="1" t="e">
        <f t="shared" si="40"/>
        <v>#N/A</v>
      </c>
      <c r="AL34" s="1" t="e">
        <f t="shared" si="41"/>
        <v>#N/A</v>
      </c>
      <c r="AN34" s="1" t="e">
        <f>VLOOKUP(C34,tblTerritories!$J$3:$P$28,7,FALSE)+10</f>
        <v>#N/A</v>
      </c>
      <c r="AO34" s="1">
        <f>tblTerritories!P29</f>
        <v>3</v>
      </c>
      <c r="AP34" s="1">
        <f t="shared" si="24"/>
        <v>1</v>
      </c>
      <c r="AR34" s="1">
        <f>CHOOSE(uxb_works!$B$10,tblTerritories!V29,tblTerritories!X29,tblTerritories!Z29,tblTerritories!#REF!,tblTerritories!#REF!)</f>
        <v>0</v>
      </c>
    </row>
    <row r="35" spans="1:44">
      <c r="A35" s="1">
        <f t="shared" si="25"/>
        <v>28</v>
      </c>
      <c r="B35" s="1" t="str">
        <f>tblTerritories!B30</f>
        <v/>
      </c>
      <c r="C35" s="1" t="str">
        <f>tblTerritories!C30</f>
        <v>Lima</v>
      </c>
      <c r="D35" s="1">
        <f>tblTerritories!D30</f>
        <v>1</v>
      </c>
      <c r="E35" s="1">
        <f>IF(AND(OR(tblTerritories!$O$5=4,tblTerritories!$O$5=5),$D$2=3),0,IF(AND(OR(tblTerritories!$O$5=2,tblTerritories!$O$5=3),$D$2=3),tblTerritories!K30,IF(AND($D$2=3,tblTerritories!$O$5=1),AG35,tblTerritories!K30)))</f>
        <v>0</v>
      </c>
      <c r="F35" s="1">
        <f>IF(tblTerritories!F30="",0,tblTerritories!F30)</f>
        <v>1</v>
      </c>
      <c r="G35" s="290">
        <f t="shared" si="0"/>
        <v>61.9</v>
      </c>
      <c r="H35" s="1">
        <f>IF(F35=0,"",RANK(G35,G$8:G$68,0)+COUNTIF(G$8:G35,G35)-1)</f>
        <v>44</v>
      </c>
      <c r="I35" s="1">
        <f ca="1" t="shared" si="2"/>
        <v>44</v>
      </c>
      <c r="J35" s="273">
        <f ca="1" t="shared" si="3"/>
        <v>-3.29</v>
      </c>
      <c r="K35" s="275">
        <f ca="1" t="shared" si="4"/>
        <v>-13</v>
      </c>
      <c r="L35" s="1">
        <f t="shared" si="26"/>
        <v>1</v>
      </c>
      <c r="M35" s="1">
        <f t="shared" si="6"/>
        <v>1</v>
      </c>
      <c r="N35" s="269">
        <f t="shared" si="27"/>
        <v>28</v>
      </c>
      <c r="O35" s="269">
        <f t="shared" si="28"/>
        <v>1</v>
      </c>
      <c r="Q35" s="269"/>
      <c r="R35" s="268">
        <f t="shared" si="29"/>
        <v>28</v>
      </c>
      <c r="S35" s="1" t="str">
        <f ca="1" t="shared" si="30"/>
        <v>Abu Dhabi</v>
      </c>
      <c r="T35" s="1">
        <f t="shared" si="31"/>
        <v>76.91</v>
      </c>
      <c r="U35" s="290">
        <f ca="1" t="shared" si="32"/>
        <v>4.18</v>
      </c>
      <c r="V35" s="277" t="b">
        <f ca="1" t="shared" si="13"/>
        <v>0</v>
      </c>
      <c r="W35" s="277">
        <f ca="1" t="shared" si="33"/>
        <v>-5</v>
      </c>
      <c r="X35" s="277" t="b">
        <f ca="1" t="shared" si="15"/>
        <v>0</v>
      </c>
      <c r="Y35" s="1" t="str">
        <f ca="1" t="shared" si="34"/>
        <v/>
      </c>
      <c r="AA35" s="268">
        <f t="shared" si="35"/>
        <v>76.91</v>
      </c>
      <c r="AB35" s="268"/>
      <c r="AC35" s="1">
        <f t="shared" si="36"/>
        <v>76.91</v>
      </c>
      <c r="AD35" s="1">
        <f t="shared" si="1"/>
        <v>1</v>
      </c>
      <c r="AE35" s="1" t="e">
        <f t="shared" si="37"/>
        <v>#N/A</v>
      </c>
      <c r="AF35" s="1">
        <v>0</v>
      </c>
      <c r="AG35" s="1">
        <f>IF(AF35=1,tblTerritories!K30,0)</f>
        <v>0</v>
      </c>
      <c r="AH35" s="1" t="e">
        <f t="shared" si="38"/>
        <v>#N/A</v>
      </c>
      <c r="AI35" s="1" t="e">
        <f t="shared" si="39"/>
        <v>#N/A</v>
      </c>
      <c r="AK35" s="1" t="e">
        <f t="shared" si="40"/>
        <v>#N/A</v>
      </c>
      <c r="AL35" s="1" t="e">
        <f t="shared" si="41"/>
        <v>#N/A</v>
      </c>
      <c r="AN35" s="1" t="e">
        <f>VLOOKUP(C35,tblTerritories!$J$3:$P$28,7,FALSE)+10</f>
        <v>#N/A</v>
      </c>
      <c r="AO35" s="1">
        <f>tblTerritories!P30</f>
        <v>2</v>
      </c>
      <c r="AP35" s="1">
        <f t="shared" si="24"/>
        <v>1</v>
      </c>
      <c r="AR35" s="1">
        <f>CHOOSE(uxb_works!$B$10,tblTerritories!V30,tblTerritories!X30,tblTerritories!Z30,tblTerritories!#REF!,tblTerritories!#REF!)</f>
        <v>0</v>
      </c>
    </row>
    <row r="36" spans="1:44">
      <c r="A36" s="1">
        <f t="shared" si="25"/>
        <v>29</v>
      </c>
      <c r="B36" s="1" t="str">
        <f>tblTerritories!B31</f>
        <v/>
      </c>
      <c r="C36" s="1" t="str">
        <f>tblTerritories!C31</f>
        <v>London</v>
      </c>
      <c r="D36" s="1">
        <f>tblTerritories!D31</f>
        <v>1</v>
      </c>
      <c r="E36" s="1">
        <f>IF(AND(OR(tblTerritories!$O$5=4,tblTerritories!$O$5=5),$D$2=3),0,IF(AND(OR(tblTerritories!$O$5=2,tblTerritories!$O$5=3),$D$2=3),tblTerritories!K31,IF(AND($D$2=3,tblTerritories!$O$5=1),AG36,tblTerritories!K31)))</f>
        <v>0</v>
      </c>
      <c r="F36" s="1">
        <f>IF(tblTerritories!F31="",0,tblTerritories!F31)</f>
        <v>1</v>
      </c>
      <c r="G36" s="290">
        <f t="shared" si="0"/>
        <v>82.1</v>
      </c>
      <c r="H36" s="1">
        <f>IF(F36=0,"",RANK(G36,G$8:G$68,0)+COUNTIF(G$8:G36,G36)-1)</f>
        <v>20</v>
      </c>
      <c r="I36" s="1">
        <f ca="1" t="shared" si="2"/>
        <v>20</v>
      </c>
      <c r="J36" s="273">
        <f ca="1" t="shared" si="3"/>
        <v>8.64</v>
      </c>
      <c r="K36" s="275">
        <f ca="1" t="shared" si="4"/>
        <v>1</v>
      </c>
      <c r="L36" s="1">
        <f t="shared" si="26"/>
        <v>9</v>
      </c>
      <c r="M36" s="1">
        <f t="shared" si="6"/>
        <v>1</v>
      </c>
      <c r="N36" s="269">
        <f t="shared" si="27"/>
        <v>29</v>
      </c>
      <c r="O36" s="269">
        <f t="shared" si="28"/>
        <v>1</v>
      </c>
      <c r="Q36" s="269"/>
      <c r="R36" s="268">
        <f t="shared" si="29"/>
        <v>29</v>
      </c>
      <c r="S36" s="1" t="str">
        <f ca="1" t="shared" si="30"/>
        <v>Buenos Aires</v>
      </c>
      <c r="T36" s="1">
        <f t="shared" si="31"/>
        <v>76.35</v>
      </c>
      <c r="U36" s="290">
        <f ca="1" t="shared" si="32"/>
        <v>6.33</v>
      </c>
      <c r="V36" s="277" t="b">
        <f ca="1" t="shared" si="13"/>
        <v>0</v>
      </c>
      <c r="W36" s="277">
        <f ca="1" t="shared" si="33"/>
        <v>-3</v>
      </c>
      <c r="X36" s="277" t="b">
        <f ca="1" t="shared" si="15"/>
        <v>0</v>
      </c>
      <c r="Y36" s="1" t="str">
        <f ca="1" t="shared" si="34"/>
        <v/>
      </c>
      <c r="AA36" s="268">
        <f t="shared" si="35"/>
        <v>76.35</v>
      </c>
      <c r="AB36" s="268"/>
      <c r="AC36" s="1">
        <f t="shared" si="36"/>
        <v>76.35</v>
      </c>
      <c r="AD36" s="1">
        <f t="shared" si="1"/>
        <v>1</v>
      </c>
      <c r="AE36" s="1" t="e">
        <f t="shared" si="37"/>
        <v>#N/A</v>
      </c>
      <c r="AF36" s="1">
        <v>0</v>
      </c>
      <c r="AG36" s="1">
        <f>IF(AF36=1,tblTerritories!K31,0)</f>
        <v>0</v>
      </c>
      <c r="AH36" s="1" t="e">
        <f t="shared" si="38"/>
        <v>#N/A</v>
      </c>
      <c r="AI36" s="1" t="e">
        <f t="shared" si="39"/>
        <v>#N/A</v>
      </c>
      <c r="AK36" s="1" t="e">
        <f t="shared" si="40"/>
        <v>#N/A</v>
      </c>
      <c r="AL36" s="1" t="e">
        <f t="shared" si="41"/>
        <v>#N/A</v>
      </c>
      <c r="AN36" s="1" t="e">
        <f>VLOOKUP(C36,tblTerritories!$J$3:$P$28,7,FALSE)+10</f>
        <v>#N/A</v>
      </c>
      <c r="AO36" s="1">
        <f>tblTerritories!P31</f>
        <v>1</v>
      </c>
      <c r="AP36" s="1">
        <f t="shared" si="24"/>
        <v>1</v>
      </c>
      <c r="AR36" s="1">
        <f>CHOOSE(uxb_works!$B$10,tblTerritories!V31,tblTerritories!X31,tblTerritories!Z31,tblTerritories!#REF!,tblTerritories!#REF!)</f>
        <v>0</v>
      </c>
    </row>
    <row r="37" spans="1:44">
      <c r="A37" s="1">
        <f t="shared" si="25"/>
        <v>30</v>
      </c>
      <c r="B37" s="1" t="str">
        <f>tblTerritories!B32</f>
        <v/>
      </c>
      <c r="C37" s="1" t="str">
        <f>tblTerritories!C32</f>
        <v>Los Angeles</v>
      </c>
      <c r="D37" s="1">
        <f>tblTerritories!D32</f>
        <v>1</v>
      </c>
      <c r="E37" s="1">
        <f>IF(AND(OR(tblTerritories!$O$5=4,tblTerritories!$O$5=5),$D$2=3),0,IF(AND(OR(tblTerritories!$O$5=2,tblTerritories!$O$5=3),$D$2=3),tblTerritories!K32,IF(AND($D$2=3,tblTerritories!$O$5=1),AG37,tblTerritories!K32)))</f>
        <v>0</v>
      </c>
      <c r="F37" s="1">
        <f>IF(tblTerritories!F32="",0,tblTerritories!F32)</f>
        <v>1</v>
      </c>
      <c r="G37" s="290">
        <f t="shared" si="0"/>
        <v>82.26</v>
      </c>
      <c r="H37" s="1">
        <f>IF(F37=0,"",RANK(G37,G$8:G$68,0)+COUNTIF(G$8:G37,G37)-1)</f>
        <v>18</v>
      </c>
      <c r="I37" s="1">
        <f ca="1" t="shared" si="2"/>
        <v>18</v>
      </c>
      <c r="J37" s="273">
        <f ca="1" t="shared" si="3"/>
        <v>5.39</v>
      </c>
      <c r="K37" s="275">
        <f ca="1" t="shared" si="4"/>
        <v>-1</v>
      </c>
      <c r="L37" s="1">
        <f t="shared" si="26"/>
        <v>17</v>
      </c>
      <c r="M37" s="1">
        <f t="shared" si="6"/>
        <v>1</v>
      </c>
      <c r="N37" s="269">
        <f t="shared" si="27"/>
        <v>30</v>
      </c>
      <c r="O37" s="269">
        <f t="shared" si="28"/>
        <v>1</v>
      </c>
      <c r="Q37" s="269"/>
      <c r="R37" s="268">
        <f t="shared" si="29"/>
        <v>30</v>
      </c>
      <c r="S37" s="1" t="str">
        <f ca="1" t="shared" si="30"/>
        <v>Doha</v>
      </c>
      <c r="T37" s="1">
        <f t="shared" si="31"/>
        <v>73.59</v>
      </c>
      <c r="U37" s="290">
        <f ca="1" t="shared" si="32"/>
        <v>4.78</v>
      </c>
      <c r="V37" s="277" t="b">
        <f ca="1" t="shared" si="13"/>
        <v>0</v>
      </c>
      <c r="W37" s="277">
        <f ca="1" t="shared" si="33"/>
        <v>-2</v>
      </c>
      <c r="X37" s="277" t="b">
        <f ca="1" t="shared" si="15"/>
        <v>0</v>
      </c>
      <c r="Y37" s="1" t="str">
        <f ca="1" t="shared" si="34"/>
        <v/>
      </c>
      <c r="AA37" s="268">
        <f t="shared" si="35"/>
        <v>73.59</v>
      </c>
      <c r="AB37" s="268"/>
      <c r="AC37" s="1">
        <f t="shared" si="36"/>
        <v>73.59</v>
      </c>
      <c r="AD37" s="1">
        <f t="shared" si="1"/>
        <v>1</v>
      </c>
      <c r="AE37" s="1" t="e">
        <f t="shared" si="37"/>
        <v>#N/A</v>
      </c>
      <c r="AF37" s="1">
        <v>0</v>
      </c>
      <c r="AG37" s="1">
        <f>IF(AF37=1,tblTerritories!K32,0)</f>
        <v>0</v>
      </c>
      <c r="AH37" s="1" t="e">
        <f t="shared" si="38"/>
        <v>#N/A</v>
      </c>
      <c r="AI37" s="1" t="e">
        <f t="shared" si="39"/>
        <v>#N/A</v>
      </c>
      <c r="AK37" s="1" t="e">
        <f t="shared" si="40"/>
        <v>#N/A</v>
      </c>
      <c r="AL37" s="1" t="e">
        <f t="shared" si="41"/>
        <v>#N/A</v>
      </c>
      <c r="AN37" s="1" t="e">
        <f>VLOOKUP(C37,tblTerritories!$J$3:$P$28,7,FALSE)+10</f>
        <v>#N/A</v>
      </c>
      <c r="AO37" s="1">
        <f>tblTerritories!P32</f>
        <v>4</v>
      </c>
      <c r="AP37" s="1">
        <f t="shared" si="24"/>
        <v>1</v>
      </c>
      <c r="AR37" s="1">
        <f>CHOOSE(uxb_works!$B$10,tblTerritories!V32,tblTerritories!X32,tblTerritories!Z32,tblTerritories!#REF!,tblTerritories!#REF!)</f>
        <v>0</v>
      </c>
    </row>
    <row r="38" spans="1:44">
      <c r="A38" s="1">
        <f t="shared" si="25"/>
        <v>31</v>
      </c>
      <c r="B38" s="1" t="str">
        <f>tblTerritories!B33</f>
        <v/>
      </c>
      <c r="C38" s="1" t="str">
        <f>tblTerritories!C33</f>
        <v>Madrid</v>
      </c>
      <c r="D38" s="1">
        <f>tblTerritories!D33</f>
        <v>1</v>
      </c>
      <c r="E38" s="1">
        <f>IF(AND(OR(tblTerritories!$O$5=4,tblTerritories!$O$5=5),$D$2=3),0,IF(AND(OR(tblTerritories!$O$5=2,tblTerritories!$O$5=3),$D$2=3),tblTerritories!K33,IF(AND($D$2=3,tblTerritories!$O$5=1),AG38,tblTerritories!K33)))</f>
        <v>0</v>
      </c>
      <c r="F38" s="1">
        <f>IF(tblTerritories!F33="",0,tblTerritories!F33)</f>
        <v>1</v>
      </c>
      <c r="G38" s="290">
        <f t="shared" si="0"/>
        <v>83.88</v>
      </c>
      <c r="H38" s="1">
        <f>IF(F38=0,"",RANK(G38,G$8:G$68,0)+COUNTIF(G$8:G38,G38)-1)</f>
        <v>12</v>
      </c>
      <c r="I38" s="1">
        <f ca="1" t="shared" si="2"/>
        <v>12</v>
      </c>
      <c r="J38" s="273">
        <f ca="1" t="shared" si="3"/>
        <v>11.31</v>
      </c>
      <c r="K38" s="275">
        <f ca="1" t="shared" si="4"/>
        <v>13</v>
      </c>
      <c r="L38" s="1">
        <f t="shared" si="26"/>
        <v>26</v>
      </c>
      <c r="M38" s="1">
        <f t="shared" si="6"/>
        <v>1</v>
      </c>
      <c r="N38" s="269">
        <f t="shared" si="27"/>
        <v>31</v>
      </c>
      <c r="O38" s="269">
        <f t="shared" si="28"/>
        <v>1</v>
      </c>
      <c r="Q38" s="269"/>
      <c r="R38" s="268">
        <f t="shared" si="29"/>
        <v>31</v>
      </c>
      <c r="S38" s="1" t="str">
        <f ca="1" t="shared" si="30"/>
        <v>Kuala Lumpur *</v>
      </c>
      <c r="T38" s="1">
        <f t="shared" si="31"/>
        <v>73.11</v>
      </c>
      <c r="U38" s="290" t="str">
        <f ca="1" t="shared" si="32"/>
        <v/>
      </c>
      <c r="V38" s="277" t="b">
        <f ca="1" t="shared" si="13"/>
        <v>0</v>
      </c>
      <c r="W38" s="277" t="str">
        <f ca="1" t="shared" si="33"/>
        <v/>
      </c>
      <c r="X38" s="277" t="b">
        <f ca="1" t="shared" si="15"/>
        <v>0</v>
      </c>
      <c r="Y38" s="1" t="str">
        <f ca="1" t="shared" si="34"/>
        <v> *</v>
      </c>
      <c r="AA38" s="268">
        <f t="shared" si="35"/>
        <v>73.11</v>
      </c>
      <c r="AB38" s="268"/>
      <c r="AC38" s="1">
        <f t="shared" si="36"/>
        <v>73.11</v>
      </c>
      <c r="AD38" s="1">
        <f t="shared" si="1"/>
        <v>1</v>
      </c>
      <c r="AE38" s="1" t="e">
        <f t="shared" si="37"/>
        <v>#N/A</v>
      </c>
      <c r="AF38" s="1">
        <v>0</v>
      </c>
      <c r="AG38" s="1">
        <f>IF(AF38=1,tblTerritories!K33,0)</f>
        <v>0</v>
      </c>
      <c r="AH38" s="1" t="e">
        <f t="shared" si="38"/>
        <v>#N/A</v>
      </c>
      <c r="AI38" s="1" t="e">
        <f t="shared" si="39"/>
        <v>#N/A</v>
      </c>
      <c r="AK38" s="1" t="e">
        <f t="shared" si="40"/>
        <v>#N/A</v>
      </c>
      <c r="AL38" s="1" t="e">
        <f t="shared" si="41"/>
        <v>#N/A</v>
      </c>
      <c r="AN38" s="1" t="e">
        <f>VLOOKUP(C38,tblTerritories!$J$3:$P$28,7,FALSE)+10</f>
        <v>#N/A</v>
      </c>
      <c r="AO38" s="1">
        <f>tblTerritories!P33</f>
        <v>1</v>
      </c>
      <c r="AP38" s="1">
        <f t="shared" si="24"/>
        <v>1</v>
      </c>
      <c r="AR38" s="1">
        <f>CHOOSE(uxb_works!$B$10,tblTerritories!V33,tblTerritories!X33,tblTerritories!Z33,tblTerritories!#REF!,tblTerritories!#REF!)</f>
        <v>0</v>
      </c>
    </row>
    <row r="39" spans="1:44">
      <c r="A39" s="1">
        <f t="shared" si="25"/>
        <v>32</v>
      </c>
      <c r="B39" s="1" t="str">
        <f>tblTerritories!B34</f>
        <v/>
      </c>
      <c r="C39" s="1" t="str">
        <f>tblTerritories!C34</f>
        <v>Manila</v>
      </c>
      <c r="D39" s="1">
        <f>tblTerritories!D34</f>
        <v>1</v>
      </c>
      <c r="E39" s="1">
        <f>IF(AND(OR(tblTerritories!$O$5=4,tblTerritories!$O$5=5),$D$2=3),0,IF(AND(OR(tblTerritories!$O$5=2,tblTerritories!$O$5=3),$D$2=3),tblTerritories!K34,IF(AND($D$2=3,tblTerritories!$O$5=1),AG39,tblTerritories!K34)))</f>
        <v>0</v>
      </c>
      <c r="F39" s="1">
        <f>IF(tblTerritories!F34="",0,tblTerritories!F34)</f>
        <v>1</v>
      </c>
      <c r="G39" s="290">
        <f t="shared" si="0"/>
        <v>54.86</v>
      </c>
      <c r="H39" s="1">
        <f>IF(F39=0,"",RANK(G39,G$8:G$68,0)+COUNTIF(G$8:G39,G39)-1)</f>
        <v>55</v>
      </c>
      <c r="I39" s="1">
        <f ca="1" t="shared" si="2"/>
        <v>55</v>
      </c>
      <c r="J39" s="273" t="e">
        <f ca="1" t="shared" si="3"/>
        <v>#N/A</v>
      </c>
      <c r="K39" s="275" t="e">
        <f ca="1" t="shared" si="4"/>
        <v>#N/A</v>
      </c>
      <c r="L39" s="1">
        <f t="shared" si="26"/>
        <v>6</v>
      </c>
      <c r="M39" s="1">
        <f t="shared" si="6"/>
        <v>1</v>
      </c>
      <c r="N39" s="269">
        <f t="shared" si="27"/>
        <v>32</v>
      </c>
      <c r="O39" s="269">
        <f t="shared" si="28"/>
        <v>1</v>
      </c>
      <c r="Q39" s="269"/>
      <c r="R39" s="268">
        <f t="shared" si="29"/>
        <v>32</v>
      </c>
      <c r="S39" s="1" t="str">
        <f ca="1" t="shared" si="30"/>
        <v>Beijing</v>
      </c>
      <c r="T39" s="1">
        <f t="shared" si="31"/>
        <v>72.06</v>
      </c>
      <c r="U39" s="290">
        <f ca="1" t="shared" si="32"/>
        <v>7.66</v>
      </c>
      <c r="V39" s="277" t="b">
        <f ca="1" t="shared" si="13"/>
        <v>0</v>
      </c>
      <c r="W39" s="277">
        <f ca="1" t="shared" si="33"/>
        <v>0</v>
      </c>
      <c r="X39" s="277" t="b">
        <f ca="1" t="shared" si="15"/>
        <v>0</v>
      </c>
      <c r="Y39" s="1" t="str">
        <f ca="1" t="shared" si="34"/>
        <v/>
      </c>
      <c r="AA39" s="268">
        <f t="shared" si="35"/>
        <v>72.06</v>
      </c>
      <c r="AB39" s="268"/>
      <c r="AC39" s="1">
        <f t="shared" si="36"/>
        <v>72.06</v>
      </c>
      <c r="AD39" s="1">
        <f t="shared" si="1"/>
        <v>1</v>
      </c>
      <c r="AE39" s="1" t="e">
        <f t="shared" si="37"/>
        <v>#N/A</v>
      </c>
      <c r="AF39" s="1">
        <v>0</v>
      </c>
      <c r="AG39" s="1">
        <f>IF(AF39=1,tblTerritories!K34,0)</f>
        <v>0</v>
      </c>
      <c r="AH39" s="1" t="e">
        <f t="shared" si="38"/>
        <v>#N/A</v>
      </c>
      <c r="AI39" s="1" t="e">
        <f t="shared" si="39"/>
        <v>#N/A</v>
      </c>
      <c r="AK39" s="1" t="e">
        <f t="shared" si="40"/>
        <v>#N/A</v>
      </c>
      <c r="AL39" s="1" t="e">
        <f t="shared" si="41"/>
        <v>#N/A</v>
      </c>
      <c r="AN39" s="1" t="e">
        <f>VLOOKUP(C39,tblTerritories!$J$3:$P$28,7,FALSE)+10</f>
        <v>#N/A</v>
      </c>
      <c r="AO39" s="1">
        <f>tblTerritories!P34</f>
        <v>8</v>
      </c>
      <c r="AP39" s="1">
        <f t="shared" si="24"/>
        <v>1</v>
      </c>
      <c r="AR39" s="1">
        <f>CHOOSE(uxb_works!$B$10,tblTerritories!V34,tblTerritories!X34,tblTerritories!Z34,tblTerritories!#REF!,tblTerritories!#REF!)</f>
        <v>0</v>
      </c>
    </row>
    <row r="40" spans="1:44">
      <c r="A40" s="1">
        <f t="shared" si="25"/>
        <v>33</v>
      </c>
      <c r="B40" s="1" t="str">
        <f>tblTerritories!B35</f>
        <v/>
      </c>
      <c r="C40" s="1" t="str">
        <f>tblTerritories!C35</f>
        <v>Melbourne</v>
      </c>
      <c r="D40" s="1">
        <f>tblTerritories!D35</f>
        <v>1</v>
      </c>
      <c r="E40" s="1">
        <f>IF(AND(OR(tblTerritories!$O$5=4,tblTerritories!$O$5=5),$D$2=3),0,IF(AND(OR(tblTerritories!$O$5=2,tblTerritories!$O$5=3),$D$2=3),tblTerritories!K35,IF(AND($D$2=3,tblTerritories!$O$5=1),AG40,tblTerritories!K35)))</f>
        <v>0</v>
      </c>
      <c r="F40" s="1">
        <f>IF(tblTerritories!F35="",0,tblTerritories!F35)</f>
        <v>1</v>
      </c>
      <c r="G40" s="290">
        <f t="shared" ref="G40:G68" si="42">IF(F40=0,"",CHOOSE($B$5,ROUND(INDEX(aScores_2014_O,$B$2,$A40),$B$7),ROUND(INDEX(aScores_2014_N,$B$2,$A40),5),ROUND(INDEX(aScores_2017,$B$2,$A40),$B$7)))</f>
        <v>87.3</v>
      </c>
      <c r="H40" s="1">
        <f>IF(F40=0,"",RANK(G40,G$8:G$68,0)+COUNTIF(G$8:G40,G40)-1)</f>
        <v>5</v>
      </c>
      <c r="I40" s="1">
        <f ca="1" t="shared" si="2"/>
        <v>5</v>
      </c>
      <c r="J40" s="273">
        <f ca="1" t="shared" si="3"/>
        <v>6.03</v>
      </c>
      <c r="K40" s="275">
        <f ca="1" t="shared" si="4"/>
        <v>2</v>
      </c>
      <c r="L40" s="1">
        <f t="shared" si="26"/>
        <v>3</v>
      </c>
      <c r="M40" s="1">
        <f t="shared" si="6"/>
        <v>1</v>
      </c>
      <c r="N40" s="269">
        <f t="shared" si="27"/>
        <v>33</v>
      </c>
      <c r="O40" s="269">
        <f t="shared" si="28"/>
        <v>1</v>
      </c>
      <c r="Q40" s="269"/>
      <c r="R40" s="268">
        <f t="shared" si="29"/>
        <v>33</v>
      </c>
      <c r="S40" s="1" t="str">
        <f ca="1" t="shared" si="30"/>
        <v>Athens *</v>
      </c>
      <c r="T40" s="1">
        <f t="shared" si="31"/>
        <v>71.9</v>
      </c>
      <c r="U40" s="290" t="str">
        <f ca="1" t="shared" si="32"/>
        <v/>
      </c>
      <c r="V40" s="277" t="b">
        <f ca="1" t="shared" si="13"/>
        <v>0</v>
      </c>
      <c r="W40" s="277" t="str">
        <f ca="1" t="shared" si="33"/>
        <v/>
      </c>
      <c r="X40" s="277" t="b">
        <f ca="1" t="shared" si="15"/>
        <v>0</v>
      </c>
      <c r="Y40" s="1" t="str">
        <f ca="1" t="shared" si="34"/>
        <v> *</v>
      </c>
      <c r="AA40" s="268">
        <f t="shared" si="35"/>
        <v>71.9</v>
      </c>
      <c r="AB40" s="268"/>
      <c r="AC40" s="1">
        <f t="shared" si="36"/>
        <v>71.9</v>
      </c>
      <c r="AD40" s="1">
        <f t="shared" si="1"/>
        <v>1</v>
      </c>
      <c r="AE40" s="1" t="e">
        <f t="shared" si="37"/>
        <v>#N/A</v>
      </c>
      <c r="AF40" s="1">
        <v>0</v>
      </c>
      <c r="AG40" s="1">
        <f>IF(AF40=1,tblTerritories!K35,0)</f>
        <v>0</v>
      </c>
      <c r="AH40" s="1" t="e">
        <f t="shared" si="38"/>
        <v>#N/A</v>
      </c>
      <c r="AI40" s="1" t="e">
        <f t="shared" si="39"/>
        <v>#N/A</v>
      </c>
      <c r="AK40" s="1" t="e">
        <f t="shared" si="40"/>
        <v>#N/A</v>
      </c>
      <c r="AL40" s="1" t="e">
        <f t="shared" si="41"/>
        <v>#N/A</v>
      </c>
      <c r="AN40" s="1" t="e">
        <f>VLOOKUP(C40,tblTerritories!$J$3:$P$28,7,FALSE)+10</f>
        <v>#N/A</v>
      </c>
      <c r="AO40" s="1">
        <f>tblTerritories!P35</f>
        <v>6</v>
      </c>
      <c r="AP40" s="1">
        <f t="shared" si="24"/>
        <v>1</v>
      </c>
      <c r="AR40" s="1">
        <f>CHOOSE(uxb_works!$B$10,tblTerritories!V35,tblTerritories!X35,tblTerritories!Z35,tblTerritories!#REF!,tblTerritories!#REF!)</f>
        <v>0</v>
      </c>
    </row>
    <row r="41" spans="1:44">
      <c r="A41" s="1">
        <f t="shared" si="25"/>
        <v>34</v>
      </c>
      <c r="B41" s="1" t="str">
        <f>tblTerritories!B36</f>
        <v/>
      </c>
      <c r="C41" s="1" t="str">
        <f>tblTerritories!C36</f>
        <v>Mexico City</v>
      </c>
      <c r="D41" s="1">
        <f>tblTerritories!D36</f>
        <v>1</v>
      </c>
      <c r="E41" s="1">
        <f>IF(AND(OR(tblTerritories!$O$5=4,tblTerritories!$O$5=5),$D$2=3),0,IF(AND(OR(tblTerritories!$O$5=2,tblTerritories!$O$5=3),$D$2=3),tblTerritories!K36,IF(AND($D$2=3,tblTerritories!$O$5=1),AG41,tblTerritories!K36)))</f>
        <v>0</v>
      </c>
      <c r="F41" s="1">
        <f>IF(tblTerritories!F36="",0,tblTerritories!F36)</f>
        <v>1</v>
      </c>
      <c r="G41" s="290">
        <f t="shared" si="42"/>
        <v>65.52</v>
      </c>
      <c r="H41" s="1">
        <f>IF(F41=0,"",RANK(G41,G$8:G$68,0)+COUNTIF(G$8:G41,G41)-1)</f>
        <v>39</v>
      </c>
      <c r="I41" s="1">
        <f ca="1" t="shared" si="2"/>
        <v>39</v>
      </c>
      <c r="J41" s="273">
        <f ca="1" t="shared" si="3"/>
        <v>3.28</v>
      </c>
      <c r="K41" s="275">
        <f ca="1" t="shared" si="4"/>
        <v>-3</v>
      </c>
      <c r="L41" s="1">
        <f t="shared" si="26"/>
        <v>49</v>
      </c>
      <c r="M41" s="1">
        <f t="shared" si="6"/>
        <v>1</v>
      </c>
      <c r="N41" s="269">
        <f t="shared" si="27"/>
        <v>34</v>
      </c>
      <c r="O41" s="269">
        <f t="shared" si="28"/>
        <v>1</v>
      </c>
      <c r="Q41" s="269"/>
      <c r="R41" s="268">
        <f t="shared" si="29"/>
        <v>34</v>
      </c>
      <c r="S41" s="1" t="str">
        <f ca="1" t="shared" si="30"/>
        <v>Shanghai</v>
      </c>
      <c r="T41" s="1">
        <f t="shared" si="31"/>
        <v>70.93</v>
      </c>
      <c r="U41" s="290">
        <f ca="1" t="shared" si="32"/>
        <v>4.4</v>
      </c>
      <c r="V41" s="277" t="b">
        <f ca="1" t="shared" si="13"/>
        <v>0</v>
      </c>
      <c r="W41" s="277">
        <f ca="1" t="shared" si="33"/>
        <v>-4</v>
      </c>
      <c r="X41" s="277" t="b">
        <f ca="1" t="shared" si="15"/>
        <v>0</v>
      </c>
      <c r="Y41" s="1" t="str">
        <f ca="1" t="shared" si="34"/>
        <v/>
      </c>
      <c r="AA41" s="268">
        <f t="shared" si="35"/>
        <v>70.93</v>
      </c>
      <c r="AB41" s="268"/>
      <c r="AC41" s="1">
        <f t="shared" si="36"/>
        <v>70.93</v>
      </c>
      <c r="AD41" s="1">
        <f t="shared" si="1"/>
        <v>1</v>
      </c>
      <c r="AE41" s="1" t="e">
        <f t="shared" si="37"/>
        <v>#N/A</v>
      </c>
      <c r="AF41" s="1">
        <v>0</v>
      </c>
      <c r="AG41" s="1">
        <f>IF(AF41=1,tblTerritories!K36,0)</f>
        <v>0</v>
      </c>
      <c r="AH41" s="1" t="e">
        <f t="shared" si="38"/>
        <v>#N/A</v>
      </c>
      <c r="AI41" s="1" t="e">
        <f t="shared" si="39"/>
        <v>#N/A</v>
      </c>
      <c r="AK41" s="1" t="e">
        <f t="shared" si="40"/>
        <v>#N/A</v>
      </c>
      <c r="AL41" s="1" t="e">
        <f t="shared" si="41"/>
        <v>#N/A</v>
      </c>
      <c r="AN41" s="1" t="e">
        <f>VLOOKUP(C41,tblTerritories!$J$3:$P$28,7,FALSE)+10</f>
        <v>#N/A</v>
      </c>
      <c r="AO41" s="1">
        <f>tblTerritories!P36</f>
        <v>2</v>
      </c>
      <c r="AP41" s="1">
        <f t="shared" si="24"/>
        <v>1</v>
      </c>
      <c r="AR41" s="1">
        <f>CHOOSE(uxb_works!$B$10,tblTerritories!V36,tblTerritories!X36,tblTerritories!Z36,tblTerritories!#REF!,tblTerritories!#REF!)</f>
        <v>0</v>
      </c>
    </row>
    <row r="42" spans="1:44">
      <c r="A42" s="1">
        <f t="shared" si="25"/>
        <v>35</v>
      </c>
      <c r="B42" s="1" t="str">
        <f>tblTerritories!B37</f>
        <v/>
      </c>
      <c r="C42" s="1" t="str">
        <f>tblTerritories!C37</f>
        <v>Milan</v>
      </c>
      <c r="D42" s="1">
        <f>tblTerritories!D37</f>
        <v>1</v>
      </c>
      <c r="E42" s="1">
        <f>IF(AND(OR(tblTerritories!$O$5=4,tblTerritories!$O$5=5),$D$2=3),0,IF(AND(OR(tblTerritories!$O$5=2,tblTerritories!$O$5=3),$D$2=3),tblTerritories!K37,IF(AND($D$2=3,tblTerritories!$O$5=1),AG42,tblTerritories!K37)))</f>
        <v>0</v>
      </c>
      <c r="F42" s="1">
        <f>IF(tblTerritories!F37="",0,tblTerritories!F37)</f>
        <v>1</v>
      </c>
      <c r="G42" s="290">
        <f t="shared" si="42"/>
        <v>79.3</v>
      </c>
      <c r="H42" s="1">
        <f>IF(F42=0,"",RANK(G42,G$8:G$68,0)+COUNTIF(G$8:G42,G42)-1)</f>
        <v>25</v>
      </c>
      <c r="I42" s="1">
        <f ca="1" t="shared" si="2"/>
        <v>25</v>
      </c>
      <c r="J42" s="273">
        <f ca="1" t="shared" si="3"/>
        <v>6.72</v>
      </c>
      <c r="K42" s="275">
        <f ca="1" t="shared" si="4"/>
        <v>-1</v>
      </c>
      <c r="L42" s="1">
        <f t="shared" si="26"/>
        <v>46</v>
      </c>
      <c r="M42" s="1">
        <f t="shared" si="6"/>
        <v>1</v>
      </c>
      <c r="N42" s="269">
        <f t="shared" si="27"/>
        <v>35</v>
      </c>
      <c r="O42" s="269">
        <f t="shared" si="28"/>
        <v>1</v>
      </c>
      <c r="Q42" s="269"/>
      <c r="R42" s="268">
        <f t="shared" si="29"/>
        <v>35</v>
      </c>
      <c r="S42" s="1" t="str">
        <f ca="1" t="shared" si="30"/>
        <v>Santiago</v>
      </c>
      <c r="T42" s="1">
        <f t="shared" si="31"/>
        <v>70.03</v>
      </c>
      <c r="U42" s="290">
        <f ca="1" t="shared" si="32"/>
        <v>2.49</v>
      </c>
      <c r="V42" s="277" t="b">
        <f ca="1" t="shared" si="13"/>
        <v>0</v>
      </c>
      <c r="W42" s="277">
        <f ca="1" t="shared" si="33"/>
        <v>-6</v>
      </c>
      <c r="X42" s="277" t="b">
        <f ca="1" t="shared" si="15"/>
        <v>0</v>
      </c>
      <c r="Y42" s="1" t="str">
        <f ca="1" t="shared" si="34"/>
        <v/>
      </c>
      <c r="AA42" s="268">
        <f t="shared" si="35"/>
        <v>70.03</v>
      </c>
      <c r="AB42" s="268"/>
      <c r="AC42" s="1">
        <f t="shared" si="36"/>
        <v>70.03</v>
      </c>
      <c r="AD42" s="1">
        <f t="shared" si="1"/>
        <v>1</v>
      </c>
      <c r="AE42" s="1" t="e">
        <f t="shared" si="37"/>
        <v>#N/A</v>
      </c>
      <c r="AF42" s="1">
        <v>0</v>
      </c>
      <c r="AG42" s="1">
        <f>IF(AF42=1,tblTerritories!K37,0)</f>
        <v>0</v>
      </c>
      <c r="AH42" s="1" t="e">
        <f t="shared" si="38"/>
        <v>#N/A</v>
      </c>
      <c r="AI42" s="1" t="e">
        <f t="shared" si="39"/>
        <v>#N/A</v>
      </c>
      <c r="AK42" s="1" t="e">
        <f t="shared" si="40"/>
        <v>#N/A</v>
      </c>
      <c r="AL42" s="1" t="e">
        <f t="shared" si="41"/>
        <v>#N/A</v>
      </c>
      <c r="AN42" s="1" t="e">
        <f>VLOOKUP(C42,tblTerritories!$J$3:$P$28,7,FALSE)+10</f>
        <v>#N/A</v>
      </c>
      <c r="AO42" s="1">
        <f>tblTerritories!P37</f>
        <v>1</v>
      </c>
      <c r="AP42" s="1">
        <f t="shared" si="24"/>
        <v>1</v>
      </c>
      <c r="AR42" s="1">
        <f>CHOOSE(uxb_works!$B$10,tblTerritories!V37,tblTerritories!X37,tblTerritories!Z37,tblTerritories!#REF!,tblTerritories!#REF!)</f>
        <v>0</v>
      </c>
    </row>
    <row r="43" spans="1:44">
      <c r="A43" s="1">
        <f t="shared" si="25"/>
        <v>36</v>
      </c>
      <c r="B43" s="1" t="str">
        <f>tblTerritories!B38</f>
        <v/>
      </c>
      <c r="C43" s="1" t="str">
        <f>tblTerritories!C38</f>
        <v>Moscow</v>
      </c>
      <c r="D43" s="1">
        <f>tblTerritories!D38</f>
        <v>1</v>
      </c>
      <c r="E43" s="1">
        <f>IF(AND(OR(tblTerritories!$O$5=4,tblTerritories!$O$5=5),$D$2=3),0,IF(AND(OR(tblTerritories!$O$5=2,tblTerritories!$O$5=3),$D$2=3),tblTerritories!K38,IF(AND($D$2=3,tblTerritories!$O$5=1),AG43,tblTerritories!K38)))</f>
        <v>0</v>
      </c>
      <c r="F43" s="1">
        <f>IF(tblTerritories!F38="",0,tblTerritories!F38)</f>
        <v>1</v>
      </c>
      <c r="G43" s="290">
        <f t="shared" si="42"/>
        <v>63.99</v>
      </c>
      <c r="H43" s="1">
        <f>IF(F43=0,"",RANK(G43,G$8:G$68,0)+COUNTIF(G$8:G43,G43)-1)</f>
        <v>41</v>
      </c>
      <c r="I43" s="1">
        <f ca="1" t="shared" si="2"/>
        <v>41</v>
      </c>
      <c r="J43" s="273">
        <f ca="1" t="shared" si="3"/>
        <v>4.4</v>
      </c>
      <c r="K43" s="275">
        <f ca="1" t="shared" si="4"/>
        <v>-1</v>
      </c>
      <c r="L43" s="1">
        <f t="shared" si="26"/>
        <v>27</v>
      </c>
      <c r="M43" s="1">
        <f t="shared" si="6"/>
        <v>1</v>
      </c>
      <c r="N43" s="269">
        <f t="shared" si="27"/>
        <v>36</v>
      </c>
      <c r="O43" s="269">
        <f t="shared" si="28"/>
        <v>1</v>
      </c>
      <c r="Q43" s="269"/>
      <c r="R43" s="268">
        <f t="shared" si="29"/>
        <v>36</v>
      </c>
      <c r="S43" s="1" t="str">
        <f ca="1" t="shared" si="30"/>
        <v>Kuwait City</v>
      </c>
      <c r="T43" s="1">
        <f t="shared" si="31"/>
        <v>67.61</v>
      </c>
      <c r="U43" s="290">
        <f ca="1" t="shared" si="32"/>
        <v>5.09</v>
      </c>
      <c r="V43" s="277" t="b">
        <f ca="1" t="shared" si="13"/>
        <v>0</v>
      </c>
      <c r="W43" s="277">
        <f ca="1" t="shared" si="33"/>
        <v>-1</v>
      </c>
      <c r="X43" s="277" t="b">
        <f ca="1" t="shared" si="15"/>
        <v>0</v>
      </c>
      <c r="Y43" s="1" t="str">
        <f ca="1" t="shared" si="34"/>
        <v/>
      </c>
      <c r="AA43" s="268">
        <f t="shared" si="35"/>
        <v>67.61</v>
      </c>
      <c r="AB43" s="268"/>
      <c r="AC43" s="1">
        <f t="shared" si="36"/>
        <v>67.61</v>
      </c>
      <c r="AD43" s="1">
        <f t="shared" si="1"/>
        <v>1</v>
      </c>
      <c r="AE43" s="1" t="e">
        <f t="shared" si="37"/>
        <v>#N/A</v>
      </c>
      <c r="AF43" s="1">
        <v>0</v>
      </c>
      <c r="AG43" s="1">
        <f>IF(AF43=1,tblTerritories!K38,0)</f>
        <v>0</v>
      </c>
      <c r="AH43" s="1" t="e">
        <f t="shared" si="38"/>
        <v>#N/A</v>
      </c>
      <c r="AI43" s="1" t="e">
        <f t="shared" si="39"/>
        <v>#N/A</v>
      </c>
      <c r="AK43" s="1" t="e">
        <f t="shared" si="40"/>
        <v>#N/A</v>
      </c>
      <c r="AL43" s="1" t="e">
        <f t="shared" si="41"/>
        <v>#N/A</v>
      </c>
      <c r="AN43" s="1" t="e">
        <f>VLOOKUP(C43,tblTerritories!$J$3:$P$28,7,FALSE)+10</f>
        <v>#N/A</v>
      </c>
      <c r="AO43" s="1">
        <f>tblTerritories!P38</f>
        <v>1</v>
      </c>
      <c r="AP43" s="1">
        <f t="shared" si="24"/>
        <v>1</v>
      </c>
      <c r="AR43" s="1">
        <f>CHOOSE(uxb_works!$B$10,tblTerritories!V38,tblTerritories!X38,tblTerritories!Z38,tblTerritories!#REF!,tblTerritories!#REF!)</f>
        <v>0</v>
      </c>
    </row>
    <row r="44" spans="1:44">
      <c r="A44" s="1">
        <f t="shared" si="25"/>
        <v>37</v>
      </c>
      <c r="B44" s="1" t="str">
        <f>tblTerritories!B39</f>
        <v/>
      </c>
      <c r="C44" s="1" t="str">
        <f>tblTerritories!C39</f>
        <v>Mumbai</v>
      </c>
      <c r="D44" s="1">
        <f>tblTerritories!D39</f>
        <v>1</v>
      </c>
      <c r="E44" s="1">
        <f>IF(AND(OR(tblTerritories!$O$5=4,tblTerritories!$O$5=5),$D$2=3),0,IF(AND(OR(tblTerritories!$O$5=2,tblTerritories!$O$5=3),$D$2=3),tblTerritories!K39,IF(AND($D$2=3,tblTerritories!$O$5=1),AG44,tblTerritories!K39)))</f>
        <v>0</v>
      </c>
      <c r="F44" s="1">
        <f>IF(tblTerritories!F39="",0,tblTerritories!F39)</f>
        <v>1</v>
      </c>
      <c r="G44" s="290">
        <f t="shared" si="42"/>
        <v>61.84</v>
      </c>
      <c r="H44" s="1">
        <f>IF(F44=0,"",RANK(G44,G$8:G$68,0)+COUNTIF(G$8:G44,G44)-1)</f>
        <v>45</v>
      </c>
      <c r="I44" s="1">
        <f ca="1" t="shared" si="2"/>
        <v>45</v>
      </c>
      <c r="J44" s="273">
        <f ca="1" t="shared" si="3"/>
        <v>1.87</v>
      </c>
      <c r="K44" s="275">
        <f ca="1" t="shared" si="4"/>
        <v>-7</v>
      </c>
      <c r="L44" s="1">
        <f t="shared" si="26"/>
        <v>42</v>
      </c>
      <c r="M44" s="1">
        <f t="shared" si="6"/>
        <v>1</v>
      </c>
      <c r="N44" s="269">
        <f t="shared" si="27"/>
        <v>37</v>
      </c>
      <c r="O44" s="269">
        <f t="shared" si="28"/>
        <v>1</v>
      </c>
      <c r="Q44" s="269"/>
      <c r="R44" s="268">
        <f t="shared" si="29"/>
        <v>37</v>
      </c>
      <c r="S44" s="1" t="str">
        <f ca="1" t="shared" si="30"/>
        <v>Rio de Janeiro</v>
      </c>
      <c r="T44" s="1">
        <f t="shared" si="31"/>
        <v>66.54</v>
      </c>
      <c r="U44" s="290">
        <f ca="1" t="shared" si="32"/>
        <v>2.5</v>
      </c>
      <c r="V44" s="277" t="b">
        <f ca="1" t="shared" si="13"/>
        <v>0</v>
      </c>
      <c r="W44" s="277">
        <f ca="1" t="shared" si="33"/>
        <v>-4</v>
      </c>
      <c r="X44" s="277" t="b">
        <f ca="1" t="shared" si="15"/>
        <v>0</v>
      </c>
      <c r="Y44" s="1" t="str">
        <f ca="1" t="shared" si="34"/>
        <v/>
      </c>
      <c r="AA44" s="268">
        <f t="shared" si="35"/>
        <v>66.54</v>
      </c>
      <c r="AB44" s="268"/>
      <c r="AC44" s="1">
        <f t="shared" si="36"/>
        <v>66.54</v>
      </c>
      <c r="AD44" s="1">
        <f t="shared" si="1"/>
        <v>1</v>
      </c>
      <c r="AE44" s="1" t="e">
        <f t="shared" si="37"/>
        <v>#N/A</v>
      </c>
      <c r="AF44" s="1">
        <v>0</v>
      </c>
      <c r="AG44" s="1">
        <f>IF(AF44=1,tblTerritories!K39,0)</f>
        <v>0</v>
      </c>
      <c r="AH44" s="1" t="e">
        <f t="shared" si="38"/>
        <v>#N/A</v>
      </c>
      <c r="AI44" s="1" t="e">
        <f t="shared" si="39"/>
        <v>#N/A</v>
      </c>
      <c r="AK44" s="1" t="e">
        <f t="shared" si="40"/>
        <v>#N/A</v>
      </c>
      <c r="AL44" s="1" t="e">
        <f t="shared" si="41"/>
        <v>#N/A</v>
      </c>
      <c r="AN44" s="1" t="e">
        <f>VLOOKUP(C44,tblTerritories!$J$3:$P$28,7,FALSE)+10</f>
        <v>#N/A</v>
      </c>
      <c r="AO44" s="1">
        <f>tblTerritories!P39</f>
        <v>8</v>
      </c>
      <c r="AP44" s="1">
        <f t="shared" si="24"/>
        <v>1</v>
      </c>
      <c r="AR44" s="1">
        <f>CHOOSE(uxb_works!$B$10,tblTerritories!V39,tblTerritories!X39,tblTerritories!Z39,tblTerritories!#REF!,tblTerritories!#REF!)</f>
        <v>0</v>
      </c>
    </row>
    <row r="45" spans="1:44">
      <c r="A45" s="1">
        <f t="shared" si="25"/>
        <v>38</v>
      </c>
      <c r="B45" s="1" t="str">
        <f>tblTerritories!B40</f>
        <v/>
      </c>
      <c r="C45" s="1" t="str">
        <f>tblTerritories!C40</f>
        <v>New York</v>
      </c>
      <c r="D45" s="1">
        <f>tblTerritories!D40</f>
        <v>1</v>
      </c>
      <c r="E45" s="1">
        <f>IF(AND(OR(tblTerritories!$O$5=4,tblTerritories!$O$5=5),$D$2=3),0,IF(AND(OR(tblTerritories!$O$5=2,tblTerritories!$O$5=3),$D$2=3),tblTerritories!K40,IF(AND($D$2=3,tblTerritories!$O$5=1),AG45,tblTerritories!K40)))</f>
        <v>0</v>
      </c>
      <c r="F45" s="1">
        <f>IF(tblTerritories!F40="",0,tblTerritories!F40)</f>
        <v>1</v>
      </c>
      <c r="G45" s="290">
        <f t="shared" si="42"/>
        <v>81.01</v>
      </c>
      <c r="H45" s="1">
        <f>IF(F45=0,"",RANK(G45,G$8:G$68,0)+COUNTIF(G$8:G45,G45)-1)</f>
        <v>21</v>
      </c>
      <c r="I45" s="1">
        <f ca="1" t="shared" si="2"/>
        <v>21</v>
      </c>
      <c r="J45" s="273">
        <f ca="1" t="shared" si="3"/>
        <v>0.73</v>
      </c>
      <c r="K45" s="275">
        <f ca="1" t="shared" si="4"/>
        <v>-11</v>
      </c>
      <c r="L45" s="1">
        <f t="shared" si="26"/>
        <v>47</v>
      </c>
      <c r="M45" s="1">
        <f t="shared" si="6"/>
        <v>1</v>
      </c>
      <c r="N45" s="269">
        <f t="shared" si="27"/>
        <v>38</v>
      </c>
      <c r="O45" s="269">
        <f t="shared" si="28"/>
        <v>1</v>
      </c>
      <c r="Q45" s="269"/>
      <c r="R45" s="268">
        <f t="shared" si="29"/>
        <v>38</v>
      </c>
      <c r="S45" s="1" t="str">
        <f ca="1" t="shared" si="30"/>
        <v>Sao Paulo</v>
      </c>
      <c r="T45" s="1">
        <f t="shared" si="31"/>
        <v>66.3</v>
      </c>
      <c r="U45" s="290">
        <f ca="1" t="shared" si="32"/>
        <v>3.75</v>
      </c>
      <c r="V45" s="277" t="b">
        <f ca="1" t="shared" si="13"/>
        <v>0</v>
      </c>
      <c r="W45" s="277">
        <f ca="1" t="shared" si="33"/>
        <v>-4</v>
      </c>
      <c r="X45" s="277" t="b">
        <f ca="1" t="shared" si="15"/>
        <v>0</v>
      </c>
      <c r="Y45" s="1" t="str">
        <f ca="1" t="shared" si="34"/>
        <v/>
      </c>
      <c r="AA45" s="268">
        <f t="shared" si="35"/>
        <v>66.3</v>
      </c>
      <c r="AB45" s="268"/>
      <c r="AC45" s="1">
        <f t="shared" si="36"/>
        <v>66.3</v>
      </c>
      <c r="AD45" s="1">
        <f t="shared" si="1"/>
        <v>1</v>
      </c>
      <c r="AE45" s="1" t="e">
        <f t="shared" si="37"/>
        <v>#N/A</v>
      </c>
      <c r="AF45" s="1">
        <v>0</v>
      </c>
      <c r="AG45" s="1">
        <f>IF(AF45=1,tblTerritories!K40,0)</f>
        <v>0</v>
      </c>
      <c r="AH45" s="1" t="e">
        <f t="shared" si="38"/>
        <v>#N/A</v>
      </c>
      <c r="AI45" s="1" t="e">
        <f t="shared" si="39"/>
        <v>#N/A</v>
      </c>
      <c r="AK45" s="1" t="e">
        <f t="shared" si="40"/>
        <v>#N/A</v>
      </c>
      <c r="AL45" s="1" t="e">
        <f t="shared" si="41"/>
        <v>#N/A</v>
      </c>
      <c r="AN45" s="1" t="e">
        <f>VLOOKUP(C45,tblTerritories!$J$3:$P$28,7,FALSE)+10</f>
        <v>#N/A</v>
      </c>
      <c r="AO45" s="1">
        <f>tblTerritories!P40</f>
        <v>4</v>
      </c>
      <c r="AP45" s="1">
        <f t="shared" si="24"/>
        <v>1</v>
      </c>
      <c r="AR45" s="1">
        <f>CHOOSE(uxb_works!$B$10,tblTerritories!V40,tblTerritories!X40,tblTerritories!Z40,tblTerritories!#REF!,tblTerritories!#REF!)</f>
        <v>0</v>
      </c>
    </row>
    <row r="46" spans="1:44">
      <c r="A46" s="1">
        <f t="shared" si="25"/>
        <v>39</v>
      </c>
      <c r="B46" s="1" t="str">
        <f>tblTerritories!B41</f>
        <v/>
      </c>
      <c r="C46" s="1" t="str">
        <f>tblTerritories!C41</f>
        <v>Osaka</v>
      </c>
      <c r="D46" s="1">
        <f>tblTerritories!D41</f>
        <v>1</v>
      </c>
      <c r="E46" s="1">
        <f>IF(AND(OR(tblTerritories!$O$5=4,tblTerritories!$O$5=5),$D$2=3),0,IF(AND(OR(tblTerritories!$O$5=2,tblTerritories!$O$5=3),$D$2=3),tblTerritories!K41,IF(AND($D$2=3,tblTerritories!$O$5=1),AG46,tblTerritories!K41)))</f>
        <v>0</v>
      </c>
      <c r="F46" s="1">
        <f>IF(tblTerritories!F41="",0,tblTerritories!F41)</f>
        <v>1</v>
      </c>
      <c r="G46" s="290">
        <f t="shared" si="42"/>
        <v>88.87</v>
      </c>
      <c r="H46" s="1">
        <f>IF(F46=0,"",RANK(G46,G$8:G$68,0)+COUNTIF(G$8:G46,G46)-1)</f>
        <v>3</v>
      </c>
      <c r="I46" s="1">
        <f ca="1" t="shared" si="2"/>
        <v>3</v>
      </c>
      <c r="J46" s="273">
        <f ca="1" t="shared" si="3"/>
        <v>5.65</v>
      </c>
      <c r="K46" s="275">
        <f ca="1" t="shared" si="4"/>
        <v>1</v>
      </c>
      <c r="L46" s="1">
        <f t="shared" si="26"/>
        <v>34</v>
      </c>
      <c r="M46" s="1">
        <f t="shared" si="6"/>
        <v>1</v>
      </c>
      <c r="N46" s="269">
        <f t="shared" si="27"/>
        <v>39</v>
      </c>
      <c r="O46" s="269">
        <f t="shared" si="28"/>
        <v>1</v>
      </c>
      <c r="Q46" s="269"/>
      <c r="R46" s="268">
        <f t="shared" si="29"/>
        <v>39</v>
      </c>
      <c r="S46" s="1" t="str">
        <f ca="1" t="shared" si="30"/>
        <v>Mexico City</v>
      </c>
      <c r="T46" s="1">
        <f t="shared" si="31"/>
        <v>65.52</v>
      </c>
      <c r="U46" s="290">
        <f ca="1" t="shared" si="32"/>
        <v>3.28</v>
      </c>
      <c r="V46" s="277" t="b">
        <f ca="1" t="shared" si="13"/>
        <v>0</v>
      </c>
      <c r="W46" s="277">
        <f ca="1" t="shared" si="33"/>
        <v>-3</v>
      </c>
      <c r="X46" s="277" t="b">
        <f ca="1" t="shared" si="15"/>
        <v>0</v>
      </c>
      <c r="Y46" s="1" t="str">
        <f ca="1" t="shared" si="34"/>
        <v/>
      </c>
      <c r="AA46" s="268">
        <f t="shared" si="35"/>
        <v>65.52</v>
      </c>
      <c r="AB46" s="268"/>
      <c r="AC46" s="1">
        <f t="shared" si="36"/>
        <v>65.52</v>
      </c>
      <c r="AD46" s="1">
        <f t="shared" si="1"/>
        <v>1</v>
      </c>
      <c r="AE46" s="1" t="e">
        <f t="shared" si="37"/>
        <v>#N/A</v>
      </c>
      <c r="AF46" s="1">
        <v>0</v>
      </c>
      <c r="AG46" s="1">
        <f>IF(AF46=1,tblTerritories!K41,0)</f>
        <v>0</v>
      </c>
      <c r="AH46" s="1" t="e">
        <f t="shared" si="38"/>
        <v>#N/A</v>
      </c>
      <c r="AI46" s="1" t="e">
        <f t="shared" si="39"/>
        <v>#N/A</v>
      </c>
      <c r="AK46" s="1" t="e">
        <f t="shared" si="40"/>
        <v>#N/A</v>
      </c>
      <c r="AL46" s="1" t="e">
        <f t="shared" si="41"/>
        <v>#N/A</v>
      </c>
      <c r="AN46" s="1" t="e">
        <f>VLOOKUP(C46,tblTerritories!$J$3:$P$28,7,FALSE)+10</f>
        <v>#N/A</v>
      </c>
      <c r="AO46" s="1">
        <f>tblTerritories!P41</f>
        <v>6</v>
      </c>
      <c r="AP46" s="1">
        <f t="shared" si="24"/>
        <v>1</v>
      </c>
      <c r="AR46" s="1">
        <f>CHOOSE(uxb_works!$B$10,tblTerritories!V41,tblTerritories!X41,tblTerritories!Z41,tblTerritories!#REF!,tblTerritories!#REF!)</f>
        <v>0</v>
      </c>
    </row>
    <row r="47" spans="1:44">
      <c r="A47" s="1">
        <f t="shared" si="25"/>
        <v>40</v>
      </c>
      <c r="B47" s="1" t="str">
        <f>tblTerritories!B42</f>
        <v/>
      </c>
      <c r="C47" s="1" t="str">
        <f>tblTerritories!C42</f>
        <v>Paris</v>
      </c>
      <c r="D47" s="1">
        <f>tblTerritories!D42</f>
        <v>1</v>
      </c>
      <c r="E47" s="1">
        <f>IF(AND(OR(tblTerritories!$O$5=4,tblTerritories!$O$5=5),$D$2=3),0,IF(AND(OR(tblTerritories!$O$5=2,tblTerritories!$O$5=3),$D$2=3),tblTerritories!K42,IF(AND($D$2=3,tblTerritories!$O$5=1),AG47,tblTerritories!K42)))</f>
        <v>0</v>
      </c>
      <c r="F47" s="1">
        <f>IF(tblTerritories!F42="",0,tblTerritories!F42)</f>
        <v>1</v>
      </c>
      <c r="G47" s="290">
        <f t="shared" si="42"/>
        <v>79.71</v>
      </c>
      <c r="H47" s="1">
        <f>IF(F47=0,"",RANK(G47,G$8:G$68,0)+COUNTIF(G$8:G47,G47)-1)</f>
        <v>24</v>
      </c>
      <c r="I47" s="1">
        <f ca="1" t="shared" si="2"/>
        <v>24</v>
      </c>
      <c r="J47" s="273">
        <f ca="1" t="shared" si="3"/>
        <v>6.5</v>
      </c>
      <c r="K47" s="275">
        <f ca="1" t="shared" si="4"/>
        <v>-2</v>
      </c>
      <c r="L47" s="1">
        <f t="shared" si="26"/>
        <v>21</v>
      </c>
      <c r="M47" s="1">
        <f t="shared" si="6"/>
        <v>1</v>
      </c>
      <c r="N47" s="269">
        <f t="shared" si="27"/>
        <v>40</v>
      </c>
      <c r="O47" s="269">
        <f t="shared" si="28"/>
        <v>1</v>
      </c>
      <c r="Q47" s="269"/>
      <c r="R47" s="268">
        <f t="shared" si="29"/>
        <v>40</v>
      </c>
      <c r="S47" s="1" t="str">
        <f ca="1" t="shared" si="30"/>
        <v>Istanbul</v>
      </c>
      <c r="T47" s="1">
        <f t="shared" si="31"/>
        <v>65.23</v>
      </c>
      <c r="U47" s="290">
        <f ca="1" t="shared" si="32"/>
        <v>5.42</v>
      </c>
      <c r="V47" s="277" t="b">
        <f ca="1" t="shared" si="13"/>
        <v>0</v>
      </c>
      <c r="W47" s="277">
        <f ca="1" t="shared" si="33"/>
        <v>-1</v>
      </c>
      <c r="X47" s="277" t="b">
        <f ca="1" t="shared" si="15"/>
        <v>0</v>
      </c>
      <c r="Y47" s="1" t="str">
        <f ca="1" t="shared" si="34"/>
        <v/>
      </c>
      <c r="AA47" s="268">
        <f t="shared" si="35"/>
        <v>65.23</v>
      </c>
      <c r="AB47" s="268"/>
      <c r="AC47" s="1">
        <f t="shared" si="36"/>
        <v>65.23</v>
      </c>
      <c r="AD47" s="1">
        <f t="shared" si="1"/>
        <v>1</v>
      </c>
      <c r="AE47" s="1" t="e">
        <f t="shared" si="37"/>
        <v>#N/A</v>
      </c>
      <c r="AF47" s="1">
        <v>0</v>
      </c>
      <c r="AG47" s="1">
        <f>IF(AF47=1,tblTerritories!K42,0)</f>
        <v>0</v>
      </c>
      <c r="AH47" s="1" t="e">
        <f t="shared" si="38"/>
        <v>#N/A</v>
      </c>
      <c r="AI47" s="1" t="e">
        <f t="shared" si="39"/>
        <v>#N/A</v>
      </c>
      <c r="AK47" s="1" t="e">
        <f t="shared" si="40"/>
        <v>#N/A</v>
      </c>
      <c r="AL47" s="1" t="e">
        <f t="shared" si="41"/>
        <v>#N/A</v>
      </c>
      <c r="AN47" s="1" t="e">
        <f>VLOOKUP(C47,tblTerritories!$J$3:$P$28,7,FALSE)+10</f>
        <v>#N/A</v>
      </c>
      <c r="AO47" s="1">
        <f>tblTerritories!P42</f>
        <v>1</v>
      </c>
      <c r="AP47" s="1">
        <f t="shared" si="24"/>
        <v>1</v>
      </c>
      <c r="AR47" s="1">
        <f>CHOOSE(uxb_works!$B$10,tblTerritories!V42,tblTerritories!X42,tblTerritories!Z42,tblTerritories!#REF!,tblTerritories!#REF!)</f>
        <v>0</v>
      </c>
    </row>
    <row r="48" spans="1:44">
      <c r="A48" s="1">
        <f t="shared" si="25"/>
        <v>41</v>
      </c>
      <c r="B48" s="1" t="str">
        <f>tblTerritories!B43</f>
        <v/>
      </c>
      <c r="C48" s="1" t="str">
        <f>tblTerritories!C43</f>
        <v>Quito</v>
      </c>
      <c r="D48" s="1">
        <f>tblTerritories!D43</f>
        <v>1</v>
      </c>
      <c r="E48" s="1">
        <f>IF(AND(OR(tblTerritories!$O$5=4,tblTerritories!$O$5=5),$D$2=3),0,IF(AND(OR(tblTerritories!$O$5=2,tblTerritories!$O$5=3),$D$2=3),tblTerritories!K43,IF(AND($D$2=3,tblTerritories!$O$5=1),AG48,tblTerritories!K43)))</f>
        <v>0</v>
      </c>
      <c r="F48" s="1">
        <f>IF(tblTerritories!F43="",0,tblTerritories!F43)</f>
        <v>1</v>
      </c>
      <c r="G48" s="290">
        <f t="shared" si="42"/>
        <v>56.39</v>
      </c>
      <c r="H48" s="1">
        <f>IF(F48=0,"",RANK(G48,G$8:G$68,0)+COUNTIF(G$8:G48,G48)-1)</f>
        <v>53</v>
      </c>
      <c r="I48" s="1">
        <f ca="1" t="shared" si="2"/>
        <v>53</v>
      </c>
      <c r="J48" s="273" t="e">
        <f ca="1" t="shared" si="3"/>
        <v>#N/A</v>
      </c>
      <c r="K48" s="275" t="e">
        <f ca="1" t="shared" si="4"/>
        <v>#N/A</v>
      </c>
      <c r="L48" s="1">
        <f t="shared" si="26"/>
        <v>36</v>
      </c>
      <c r="M48" s="1">
        <f t="shared" si="6"/>
        <v>1</v>
      </c>
      <c r="N48" s="269">
        <f t="shared" si="27"/>
        <v>41</v>
      </c>
      <c r="O48" s="269">
        <f t="shared" si="28"/>
        <v>1</v>
      </c>
      <c r="Q48" s="269"/>
      <c r="R48" s="268">
        <f t="shared" si="29"/>
        <v>41</v>
      </c>
      <c r="S48" s="1" t="str">
        <f ca="1" t="shared" si="30"/>
        <v>Moscow</v>
      </c>
      <c r="T48" s="1">
        <f t="shared" si="31"/>
        <v>63.99</v>
      </c>
      <c r="U48" s="290">
        <f ca="1" t="shared" si="32"/>
        <v>4.4</v>
      </c>
      <c r="V48" s="277" t="b">
        <f ca="1" t="shared" si="13"/>
        <v>0</v>
      </c>
      <c r="W48" s="277">
        <f ca="1" t="shared" si="33"/>
        <v>-1</v>
      </c>
      <c r="X48" s="277" t="b">
        <f ca="1" t="shared" si="15"/>
        <v>0</v>
      </c>
      <c r="Y48" s="1" t="str">
        <f ca="1" t="shared" si="34"/>
        <v/>
      </c>
      <c r="AA48" s="268">
        <f t="shared" si="35"/>
        <v>63.99</v>
      </c>
      <c r="AB48" s="268"/>
      <c r="AC48" s="1">
        <f t="shared" si="36"/>
        <v>63.99</v>
      </c>
      <c r="AD48" s="1">
        <f t="shared" si="1"/>
        <v>1</v>
      </c>
      <c r="AE48" s="1" t="e">
        <f t="shared" si="37"/>
        <v>#N/A</v>
      </c>
      <c r="AF48" s="1">
        <v>0</v>
      </c>
      <c r="AG48" s="1">
        <f>IF(AF48=1,tblTerritories!K43,0)</f>
        <v>0</v>
      </c>
      <c r="AH48" s="1" t="e">
        <f t="shared" si="38"/>
        <v>#N/A</v>
      </c>
      <c r="AI48" s="1" t="e">
        <f t="shared" si="39"/>
        <v>#N/A</v>
      </c>
      <c r="AK48" s="1" t="e">
        <f t="shared" si="40"/>
        <v>#N/A</v>
      </c>
      <c r="AL48" s="1" t="e">
        <f t="shared" si="41"/>
        <v>#N/A</v>
      </c>
      <c r="AN48" s="1" t="e">
        <f>VLOOKUP(C48,tblTerritories!$J$3:$P$28,7,FALSE)+10</f>
        <v>#N/A</v>
      </c>
      <c r="AO48" s="1">
        <f>tblTerritories!P43</f>
        <v>2</v>
      </c>
      <c r="AP48" s="1">
        <f t="shared" si="24"/>
        <v>1</v>
      </c>
      <c r="AR48" s="1">
        <f>CHOOSE(uxb_works!$B$10,tblTerritories!V43,tblTerritories!X43,tblTerritories!Z43,tblTerritories!#REF!,tblTerritories!#REF!)</f>
        <v>0</v>
      </c>
    </row>
    <row r="49" spans="1:44">
      <c r="A49" s="1">
        <f t="shared" si="25"/>
        <v>42</v>
      </c>
      <c r="B49" s="1" t="str">
        <f>tblTerritories!B44</f>
        <v/>
      </c>
      <c r="C49" s="1" t="str">
        <f>tblTerritories!C44</f>
        <v>Rio de Janeiro</v>
      </c>
      <c r="D49" s="1">
        <f>tblTerritories!D44</f>
        <v>1</v>
      </c>
      <c r="E49" s="1">
        <f>IF(AND(OR(tblTerritories!$O$5=4,tblTerritories!$O$5=5),$D$2=3),0,IF(AND(OR(tblTerritories!$O$5=2,tblTerritories!$O$5=3),$D$2=3),tblTerritories!K44,IF(AND($D$2=3,tblTerritories!$O$5=1),AG49,tblTerritories!K44)))</f>
        <v>0</v>
      </c>
      <c r="F49" s="1">
        <f>IF(tblTerritories!F44="",0,tblTerritories!F44)</f>
        <v>1</v>
      </c>
      <c r="G49" s="290">
        <f t="shared" si="42"/>
        <v>66.54</v>
      </c>
      <c r="H49" s="1">
        <f>IF(F49=0,"",RANK(G49,G$8:G$68,0)+COUNTIF(G$8:G49,G49)-1)</f>
        <v>37</v>
      </c>
      <c r="I49" s="1">
        <f ca="1" t="shared" si="2"/>
        <v>37</v>
      </c>
      <c r="J49" s="273">
        <f ca="1" t="shared" si="3"/>
        <v>2.5</v>
      </c>
      <c r="K49" s="275">
        <f ca="1" t="shared" si="4"/>
        <v>-4</v>
      </c>
      <c r="L49" s="1">
        <f t="shared" si="26"/>
        <v>23</v>
      </c>
      <c r="M49" s="1">
        <f t="shared" si="6"/>
        <v>1</v>
      </c>
      <c r="N49" s="269">
        <f t="shared" si="27"/>
        <v>42</v>
      </c>
      <c r="O49" s="269">
        <f t="shared" si="28"/>
        <v>1</v>
      </c>
      <c r="Q49" s="269"/>
      <c r="R49" s="268">
        <f t="shared" si="29"/>
        <v>42</v>
      </c>
      <c r="S49" s="1" t="str">
        <f ca="1" t="shared" si="30"/>
        <v>Jeddah *</v>
      </c>
      <c r="T49" s="1">
        <f t="shared" si="31"/>
        <v>62.8</v>
      </c>
      <c r="U49" s="290" t="str">
        <f ca="1" t="shared" si="32"/>
        <v/>
      </c>
      <c r="V49" s="277" t="b">
        <f ca="1" t="shared" si="13"/>
        <v>0</v>
      </c>
      <c r="W49" s="277" t="str">
        <f ca="1" t="shared" si="33"/>
        <v/>
      </c>
      <c r="X49" s="277" t="b">
        <f ca="1" t="shared" si="15"/>
        <v>0</v>
      </c>
      <c r="Y49" s="1" t="str">
        <f ca="1" t="shared" si="34"/>
        <v> *</v>
      </c>
      <c r="AA49" s="268">
        <f t="shared" si="35"/>
        <v>62.8</v>
      </c>
      <c r="AB49" s="268"/>
      <c r="AC49" s="1">
        <f t="shared" si="36"/>
        <v>62.8</v>
      </c>
      <c r="AD49" s="1">
        <f t="shared" si="1"/>
        <v>1</v>
      </c>
      <c r="AE49" s="1" t="e">
        <f t="shared" si="37"/>
        <v>#N/A</v>
      </c>
      <c r="AF49" s="1">
        <v>0</v>
      </c>
      <c r="AG49" s="1">
        <f>IF(AF49=1,tblTerritories!K44,0)</f>
        <v>0</v>
      </c>
      <c r="AH49" s="1" t="e">
        <f t="shared" si="38"/>
        <v>#N/A</v>
      </c>
      <c r="AI49" s="1" t="e">
        <f t="shared" si="39"/>
        <v>#N/A</v>
      </c>
      <c r="AK49" s="1" t="e">
        <f t="shared" si="40"/>
        <v>#N/A</v>
      </c>
      <c r="AL49" s="1" t="e">
        <f t="shared" si="41"/>
        <v>#N/A</v>
      </c>
      <c r="AN49" s="1" t="e">
        <f>VLOOKUP(C49,tblTerritories!$J$3:$P$28,7,FALSE)+10</f>
        <v>#N/A</v>
      </c>
      <c r="AO49" s="1">
        <f>tblTerritories!P44</f>
        <v>2</v>
      </c>
      <c r="AP49" s="1">
        <f t="shared" si="24"/>
        <v>1</v>
      </c>
      <c r="AR49" s="1">
        <f>CHOOSE(uxb_works!$B$10,tblTerritories!V44,tblTerritories!X44,tblTerritories!Z44,tblTerritories!#REF!,tblTerritories!#REF!)</f>
        <v>0</v>
      </c>
    </row>
    <row r="50" spans="1:44">
      <c r="A50" s="1">
        <f t="shared" si="25"/>
        <v>43</v>
      </c>
      <c r="B50" s="1" t="str">
        <f>tblTerritories!B45</f>
        <v/>
      </c>
      <c r="C50" s="1" t="str">
        <f>tblTerritories!C45</f>
        <v>Riyadh</v>
      </c>
      <c r="D50" s="1">
        <f>tblTerritories!D45</f>
        <v>1</v>
      </c>
      <c r="E50" s="1">
        <f>IF(AND(OR(tblTerritories!$O$5=4,tblTerritories!$O$5=5),$D$2=3),0,IF(AND(OR(tblTerritories!$O$5=2,tblTerritories!$O$5=3),$D$2=3),tblTerritories!K45,IF(AND($D$2=3,tblTerritories!$O$5=1),AG50,tblTerritories!K45)))</f>
        <v>0</v>
      </c>
      <c r="F50" s="1">
        <f>IF(tblTerritories!F45="",0,tblTerritories!F45)</f>
        <v>1</v>
      </c>
      <c r="G50" s="290">
        <f t="shared" si="42"/>
        <v>61.23</v>
      </c>
      <c r="H50" s="1">
        <f>IF(F50=0,"",RANK(G50,G$8:G$68,0)+COUNTIF(G$8:G50,G50)-1)</f>
        <v>47</v>
      </c>
      <c r="I50" s="1">
        <f ca="1" t="shared" si="2"/>
        <v>47</v>
      </c>
      <c r="J50" s="273">
        <f ca="1" t="shared" si="3"/>
        <v>5.39</v>
      </c>
      <c r="K50" s="275">
        <f ca="1" t="shared" si="4"/>
        <v>-4</v>
      </c>
      <c r="L50" s="1">
        <f t="shared" si="26"/>
        <v>15</v>
      </c>
      <c r="M50" s="1">
        <f t="shared" si="6"/>
        <v>1</v>
      </c>
      <c r="N50" s="269">
        <f t="shared" si="27"/>
        <v>43</v>
      </c>
      <c r="O50" s="269">
        <f t="shared" si="28"/>
        <v>1</v>
      </c>
      <c r="Q50" s="269"/>
      <c r="R50" s="268">
        <f t="shared" si="29"/>
        <v>43</v>
      </c>
      <c r="S50" s="1" t="str">
        <f ca="1" t="shared" si="30"/>
        <v>Delhi</v>
      </c>
      <c r="T50" s="1">
        <f t="shared" si="31"/>
        <v>62.34</v>
      </c>
      <c r="U50" s="290">
        <f ca="1" t="shared" si="32"/>
        <v>0.91</v>
      </c>
      <c r="V50" s="277" t="b">
        <f ca="1" t="shared" si="13"/>
        <v>0</v>
      </c>
      <c r="W50" s="277">
        <f ca="1" t="shared" si="33"/>
        <v>-6</v>
      </c>
      <c r="X50" s="277" t="b">
        <f ca="1" t="shared" si="15"/>
        <v>0</v>
      </c>
      <c r="Y50" s="1" t="str">
        <f ca="1" t="shared" si="34"/>
        <v/>
      </c>
      <c r="AA50" s="268">
        <f t="shared" si="35"/>
        <v>62.34</v>
      </c>
      <c r="AB50" s="268"/>
      <c r="AC50" s="1">
        <f t="shared" si="36"/>
        <v>62.34</v>
      </c>
      <c r="AD50" s="1">
        <f t="shared" si="1"/>
        <v>1</v>
      </c>
      <c r="AE50" s="1" t="e">
        <f t="shared" si="37"/>
        <v>#N/A</v>
      </c>
      <c r="AF50" s="1">
        <v>0</v>
      </c>
      <c r="AG50" s="1">
        <f>IF(AF50=1,tblTerritories!K45,0)</f>
        <v>0</v>
      </c>
      <c r="AH50" s="1" t="e">
        <f t="shared" si="38"/>
        <v>#N/A</v>
      </c>
      <c r="AI50" s="1" t="e">
        <f t="shared" si="39"/>
        <v>#N/A</v>
      </c>
      <c r="AK50" s="1" t="e">
        <f t="shared" si="40"/>
        <v>#N/A</v>
      </c>
      <c r="AL50" s="1" t="e">
        <f t="shared" si="41"/>
        <v>#N/A</v>
      </c>
      <c r="AN50" s="1" t="e">
        <f>VLOOKUP(C50,tblTerritories!$J$3:$P$28,7,FALSE)+10</f>
        <v>#N/A</v>
      </c>
      <c r="AO50" s="1">
        <f>tblTerritories!P45</f>
        <v>3</v>
      </c>
      <c r="AP50" s="1">
        <f t="shared" si="24"/>
        <v>1</v>
      </c>
      <c r="AR50" s="1">
        <f>CHOOSE(uxb_works!$B$10,tblTerritories!V45,tblTerritories!X45,tblTerritories!Z45,tblTerritories!#REF!,tblTerritories!#REF!)</f>
        <v>0</v>
      </c>
    </row>
    <row r="51" spans="1:44">
      <c r="A51" s="1">
        <f t="shared" si="25"/>
        <v>44</v>
      </c>
      <c r="B51" s="1" t="str">
        <f>tblTerritories!B46</f>
        <v/>
      </c>
      <c r="C51" s="1" t="str">
        <f>tblTerritories!C46</f>
        <v>Rome</v>
      </c>
      <c r="D51" s="1">
        <f>tblTerritories!D46</f>
        <v>1</v>
      </c>
      <c r="E51" s="1">
        <f>IF(AND(OR(tblTerritories!$O$5=4,tblTerritories!$O$5=5),$D$2=3),0,IF(AND(OR(tblTerritories!$O$5=2,tblTerritories!$O$5=3),$D$2=3),tblTerritories!K46,IF(AND($D$2=3,tblTerritories!$O$5=1),AG51,tblTerritories!K46)))</f>
        <v>0</v>
      </c>
      <c r="F51" s="1">
        <f>IF(tblTerritories!F46="",0,tblTerritories!F46)</f>
        <v>1</v>
      </c>
      <c r="G51" s="290">
        <f t="shared" si="42"/>
        <v>78.67</v>
      </c>
      <c r="H51" s="1">
        <f>IF(F51=0,"",RANK(G51,G$8:G$68,0)+COUNTIF(G$8:G51,G51)-1)</f>
        <v>27</v>
      </c>
      <c r="I51" s="1">
        <f ca="1" t="shared" si="2"/>
        <v>27</v>
      </c>
      <c r="J51" s="273">
        <f ca="1" t="shared" si="3"/>
        <v>8.69</v>
      </c>
      <c r="K51" s="275">
        <f ca="1" t="shared" si="4"/>
        <v>0</v>
      </c>
      <c r="L51" s="1">
        <f t="shared" si="26"/>
        <v>28</v>
      </c>
      <c r="M51" s="1">
        <f t="shared" si="6"/>
        <v>1</v>
      </c>
      <c r="N51" s="269">
        <f t="shared" si="27"/>
        <v>44</v>
      </c>
      <c r="O51" s="269">
        <f t="shared" si="28"/>
        <v>1</v>
      </c>
      <c r="Q51" s="269"/>
      <c r="R51" s="268">
        <f t="shared" si="29"/>
        <v>44</v>
      </c>
      <c r="S51" s="1" t="str">
        <f ca="1" t="shared" si="30"/>
        <v>Lima</v>
      </c>
      <c r="T51" s="1">
        <f t="shared" si="31"/>
        <v>61.9</v>
      </c>
      <c r="U51" s="290">
        <f ca="1" t="shared" si="32"/>
        <v>-3.29</v>
      </c>
      <c r="V51" s="277" t="b">
        <f ca="1" t="shared" si="13"/>
        <v>0</v>
      </c>
      <c r="W51" s="277">
        <f ca="1" t="shared" si="33"/>
        <v>-13</v>
      </c>
      <c r="X51" s="277" t="b">
        <f ca="1" t="shared" si="15"/>
        <v>0</v>
      </c>
      <c r="Y51" s="1" t="str">
        <f ca="1" t="shared" si="34"/>
        <v/>
      </c>
      <c r="AA51" s="268">
        <f t="shared" si="35"/>
        <v>61.9</v>
      </c>
      <c r="AB51" s="268"/>
      <c r="AC51" s="1">
        <f t="shared" si="36"/>
        <v>61.9</v>
      </c>
      <c r="AD51" s="1">
        <f t="shared" si="1"/>
        <v>1</v>
      </c>
      <c r="AE51" s="1" t="e">
        <f t="shared" si="37"/>
        <v>#N/A</v>
      </c>
      <c r="AF51" s="1">
        <v>0</v>
      </c>
      <c r="AG51" s="1">
        <f>IF(AF51=1,tblTerritories!K46,0)</f>
        <v>0</v>
      </c>
      <c r="AH51" s="1" t="e">
        <f t="shared" si="38"/>
        <v>#N/A</v>
      </c>
      <c r="AI51" s="1" t="e">
        <f t="shared" si="39"/>
        <v>#N/A</v>
      </c>
      <c r="AK51" s="1" t="e">
        <f t="shared" si="40"/>
        <v>#N/A</v>
      </c>
      <c r="AL51" s="1" t="e">
        <f t="shared" si="41"/>
        <v>#N/A</v>
      </c>
      <c r="AN51" s="1" t="e">
        <f>VLOOKUP(C51,tblTerritories!$J$3:$P$28,7,FALSE)+10</f>
        <v>#N/A</v>
      </c>
      <c r="AO51" s="1">
        <f>tblTerritories!P46</f>
        <v>1</v>
      </c>
      <c r="AP51" s="1">
        <f t="shared" si="24"/>
        <v>1</v>
      </c>
      <c r="AR51" s="1">
        <f>CHOOSE(uxb_works!$B$10,tblTerritories!V46,tblTerritories!X46,tblTerritories!Z46,tblTerritories!#REF!,tblTerritories!#REF!)</f>
        <v>0</v>
      </c>
    </row>
    <row r="52" spans="1:44">
      <c r="A52" s="1">
        <f t="shared" si="25"/>
        <v>45</v>
      </c>
      <c r="B52" s="1" t="str">
        <f>tblTerritories!B47</f>
        <v/>
      </c>
      <c r="C52" s="1" t="str">
        <f>tblTerritories!C47</f>
        <v>San Francisco</v>
      </c>
      <c r="D52" s="1">
        <f>tblTerritories!D47</f>
        <v>1</v>
      </c>
      <c r="E52" s="1">
        <f>IF(AND(OR(tblTerritories!$O$5=4,tblTerritories!$O$5=5),$D$2=3),0,IF(AND(OR(tblTerritories!$O$5=2,tblTerritories!$O$5=3),$D$2=3),tblTerritories!K47,IF(AND($D$2=3,tblTerritories!$O$5=1),AG52,tblTerritories!K47)))</f>
        <v>0</v>
      </c>
      <c r="F52" s="1">
        <f>IF(tblTerritories!F47="",0,tblTerritories!F47)</f>
        <v>1</v>
      </c>
      <c r="G52" s="290">
        <f t="shared" si="42"/>
        <v>83.55</v>
      </c>
      <c r="H52" s="1">
        <f>IF(F52=0,"",RANK(G52,G$8:G$68,0)+COUNTIF(G$8:G52,G52)-1)</f>
        <v>15</v>
      </c>
      <c r="I52" s="1">
        <f ca="1" t="shared" si="2"/>
        <v>15</v>
      </c>
      <c r="J52" s="273">
        <f ca="1" t="shared" si="3"/>
        <v>4.23</v>
      </c>
      <c r="K52" s="275">
        <f ca="1" t="shared" si="4"/>
        <v>-4</v>
      </c>
      <c r="L52" s="1">
        <f t="shared" si="26"/>
        <v>37</v>
      </c>
      <c r="M52" s="1">
        <f t="shared" si="6"/>
        <v>1</v>
      </c>
      <c r="N52" s="269">
        <f t="shared" si="27"/>
        <v>45</v>
      </c>
      <c r="O52" s="269">
        <f t="shared" si="28"/>
        <v>1</v>
      </c>
      <c r="Q52" s="269"/>
      <c r="R52" s="268">
        <f t="shared" si="29"/>
        <v>45</v>
      </c>
      <c r="S52" s="1" t="str">
        <f ca="1" t="shared" si="30"/>
        <v>Mumbai</v>
      </c>
      <c r="T52" s="1">
        <f t="shared" si="31"/>
        <v>61.84</v>
      </c>
      <c r="U52" s="290">
        <f ca="1" t="shared" si="32"/>
        <v>1.87</v>
      </c>
      <c r="V52" s="277" t="b">
        <f ca="1" t="shared" si="13"/>
        <v>0</v>
      </c>
      <c r="W52" s="277">
        <f ca="1" t="shared" si="33"/>
        <v>-7</v>
      </c>
      <c r="X52" s="277" t="b">
        <f ca="1" t="shared" si="15"/>
        <v>0</v>
      </c>
      <c r="Y52" s="1" t="str">
        <f ca="1" t="shared" si="34"/>
        <v/>
      </c>
      <c r="AA52" s="268">
        <f t="shared" si="35"/>
        <v>61.84</v>
      </c>
      <c r="AB52" s="268"/>
      <c r="AC52" s="1">
        <f t="shared" si="36"/>
        <v>61.84</v>
      </c>
      <c r="AD52" s="1">
        <f t="shared" si="1"/>
        <v>1</v>
      </c>
      <c r="AE52" s="1" t="e">
        <f t="shared" si="37"/>
        <v>#N/A</v>
      </c>
      <c r="AF52" s="1">
        <v>0</v>
      </c>
      <c r="AG52" s="1">
        <f>IF(AF52=1,tblTerritories!K47,0)</f>
        <v>0</v>
      </c>
      <c r="AH52" s="1" t="e">
        <f t="shared" si="38"/>
        <v>#N/A</v>
      </c>
      <c r="AI52" s="1" t="e">
        <f t="shared" si="39"/>
        <v>#N/A</v>
      </c>
      <c r="AK52" s="1" t="e">
        <f t="shared" si="40"/>
        <v>#N/A</v>
      </c>
      <c r="AL52" s="1" t="e">
        <f t="shared" si="41"/>
        <v>#N/A</v>
      </c>
      <c r="AN52" s="1" t="e">
        <f>VLOOKUP(C52,tblTerritories!$J$3:$P$28,7,FALSE)+10</f>
        <v>#N/A</v>
      </c>
      <c r="AO52" s="1">
        <f>tblTerritories!P47</f>
        <v>4</v>
      </c>
      <c r="AP52" s="1">
        <f t="shared" si="24"/>
        <v>1</v>
      </c>
      <c r="AR52" s="1">
        <f>CHOOSE(uxb_works!$B$10,tblTerritories!V47,tblTerritories!X47,tblTerritories!Z47,tblTerritories!#REF!,tblTerritories!#REF!)</f>
        <v>0</v>
      </c>
    </row>
    <row r="53" spans="1:44">
      <c r="A53" s="1">
        <f t="shared" si="25"/>
        <v>46</v>
      </c>
      <c r="B53" s="1" t="str">
        <f>tblTerritories!B48</f>
        <v/>
      </c>
      <c r="C53" s="1" t="str">
        <f>tblTerritories!C48</f>
        <v>Santiago</v>
      </c>
      <c r="D53" s="1">
        <f>tblTerritories!D48</f>
        <v>1</v>
      </c>
      <c r="E53" s="1">
        <f>IF(AND(OR(tblTerritories!$O$5=4,tblTerritories!$O$5=5),$D$2=3),0,IF(AND(OR(tblTerritories!$O$5=2,tblTerritories!$O$5=3),$D$2=3),tblTerritories!K48,IF(AND($D$2=3,tblTerritories!$O$5=1),AG53,tblTerritories!K48)))</f>
        <v>0</v>
      </c>
      <c r="F53" s="1">
        <f>IF(tblTerritories!F48="",0,tblTerritories!F48)</f>
        <v>1</v>
      </c>
      <c r="G53" s="290">
        <f t="shared" si="42"/>
        <v>70.03</v>
      </c>
      <c r="H53" s="1">
        <f>IF(F53=0,"",RANK(G53,G$8:G$68,0)+COUNTIF(G$8:G53,G53)-1)</f>
        <v>35</v>
      </c>
      <c r="I53" s="1">
        <f ca="1" t="shared" si="2"/>
        <v>35</v>
      </c>
      <c r="J53" s="273">
        <f ca="1" t="shared" si="3"/>
        <v>2.49</v>
      </c>
      <c r="K53" s="275">
        <f ca="1" t="shared" si="4"/>
        <v>-6</v>
      </c>
      <c r="L53" s="1">
        <f t="shared" si="26"/>
        <v>7</v>
      </c>
      <c r="M53" s="1">
        <f t="shared" si="6"/>
        <v>1</v>
      </c>
      <c r="N53" s="269">
        <f t="shared" si="27"/>
        <v>46</v>
      </c>
      <c r="O53" s="269">
        <f t="shared" si="28"/>
        <v>1</v>
      </c>
      <c r="Q53" s="269"/>
      <c r="R53" s="268">
        <f t="shared" si="29"/>
        <v>46</v>
      </c>
      <c r="S53" s="1" t="str">
        <f ca="1" t="shared" si="30"/>
        <v>Bogota *</v>
      </c>
      <c r="T53" s="1">
        <f t="shared" si="31"/>
        <v>61.36</v>
      </c>
      <c r="U53" s="290" t="str">
        <f ca="1" t="shared" si="32"/>
        <v/>
      </c>
      <c r="V53" s="277" t="b">
        <f ca="1" t="shared" si="13"/>
        <v>0</v>
      </c>
      <c r="W53" s="277" t="str">
        <f ca="1" t="shared" si="33"/>
        <v/>
      </c>
      <c r="X53" s="277" t="b">
        <f ca="1" t="shared" si="15"/>
        <v>0</v>
      </c>
      <c r="Y53" s="1" t="str">
        <f ca="1" t="shared" si="34"/>
        <v> *</v>
      </c>
      <c r="AA53" s="268">
        <f t="shared" si="35"/>
        <v>61.36</v>
      </c>
      <c r="AB53" s="268"/>
      <c r="AC53" s="1">
        <f t="shared" si="36"/>
        <v>61.36</v>
      </c>
      <c r="AD53" s="1">
        <f t="shared" si="1"/>
        <v>1</v>
      </c>
      <c r="AE53" s="1" t="e">
        <f t="shared" si="37"/>
        <v>#N/A</v>
      </c>
      <c r="AF53" s="1">
        <v>0</v>
      </c>
      <c r="AG53" s="1">
        <f>IF(AF53=1,tblTerritories!K48,0)</f>
        <v>0</v>
      </c>
      <c r="AH53" s="1" t="e">
        <f t="shared" si="38"/>
        <v>#N/A</v>
      </c>
      <c r="AI53" s="1" t="e">
        <f t="shared" si="39"/>
        <v>#N/A</v>
      </c>
      <c r="AK53" s="1" t="e">
        <f t="shared" si="40"/>
        <v>#N/A</v>
      </c>
      <c r="AL53" s="1" t="e">
        <f t="shared" si="41"/>
        <v>#N/A</v>
      </c>
      <c r="AN53" s="1" t="e">
        <f>VLOOKUP(C53,tblTerritories!$J$3:$P$28,7,FALSE)+10</f>
        <v>#N/A</v>
      </c>
      <c r="AO53" s="1">
        <f>tblTerritories!P48</f>
        <v>2</v>
      </c>
      <c r="AP53" s="1">
        <f t="shared" si="24"/>
        <v>1</v>
      </c>
      <c r="AR53" s="1">
        <f>CHOOSE(uxb_works!$B$10,tblTerritories!V48,tblTerritories!X48,tblTerritories!Z48,tblTerritories!#REF!,tblTerritories!#REF!)</f>
        <v>0</v>
      </c>
    </row>
    <row r="54" spans="1:44">
      <c r="A54" s="1">
        <f t="shared" si="25"/>
        <v>47</v>
      </c>
      <c r="B54" s="1" t="str">
        <f>tblTerritories!B49</f>
        <v/>
      </c>
      <c r="C54" s="1" t="str">
        <f>tblTerritories!C49</f>
        <v>Sao Paulo</v>
      </c>
      <c r="D54" s="1">
        <f>tblTerritories!D49</f>
        <v>1</v>
      </c>
      <c r="E54" s="1">
        <f>IF(AND(OR(tblTerritories!$O$5=4,tblTerritories!$O$5=5),$D$2=3),0,IF(AND(OR(tblTerritories!$O$5=2,tblTerritories!$O$5=3),$D$2=3),tblTerritories!K49,IF(AND($D$2=3,tblTerritories!$O$5=1),AG54,tblTerritories!K49)))</f>
        <v>0</v>
      </c>
      <c r="F54" s="1">
        <f>IF(tblTerritories!F49="",0,tblTerritories!F49)</f>
        <v>1</v>
      </c>
      <c r="G54" s="290">
        <f t="shared" si="42"/>
        <v>66.3</v>
      </c>
      <c r="H54" s="1">
        <f>IF(F54=0,"",RANK(G54,G$8:G$68,0)+COUNTIF(G$8:G54,G54)-1)</f>
        <v>38</v>
      </c>
      <c r="I54" s="1">
        <f ca="1" t="shared" si="2"/>
        <v>38</v>
      </c>
      <c r="J54" s="273">
        <f ca="1" t="shared" si="3"/>
        <v>3.75</v>
      </c>
      <c r="K54" s="275">
        <f ca="1" t="shared" si="4"/>
        <v>-4</v>
      </c>
      <c r="L54" s="1">
        <f t="shared" si="26"/>
        <v>43</v>
      </c>
      <c r="M54" s="1">
        <f t="shared" si="6"/>
        <v>1</v>
      </c>
      <c r="N54" s="269">
        <f t="shared" si="27"/>
        <v>47</v>
      </c>
      <c r="O54" s="269">
        <f t="shared" si="28"/>
        <v>1</v>
      </c>
      <c r="Q54" s="269"/>
      <c r="R54" s="268">
        <f t="shared" si="29"/>
        <v>47</v>
      </c>
      <c r="S54" s="1" t="str">
        <f ca="1" t="shared" si="30"/>
        <v>Riyadh</v>
      </c>
      <c r="T54" s="1">
        <f t="shared" si="31"/>
        <v>61.23</v>
      </c>
      <c r="U54" s="290">
        <f ca="1" t="shared" si="32"/>
        <v>5.39</v>
      </c>
      <c r="V54" s="277" t="b">
        <f ca="1" t="shared" si="13"/>
        <v>0</v>
      </c>
      <c r="W54" s="277">
        <f ca="1" t="shared" si="33"/>
        <v>-4</v>
      </c>
      <c r="X54" s="277" t="b">
        <f ca="1" t="shared" si="15"/>
        <v>0</v>
      </c>
      <c r="Y54" s="1" t="str">
        <f ca="1" t="shared" si="34"/>
        <v/>
      </c>
      <c r="AA54" s="268">
        <f t="shared" si="35"/>
        <v>61.23</v>
      </c>
      <c r="AB54" s="268"/>
      <c r="AC54" s="1">
        <f t="shared" si="36"/>
        <v>61.23</v>
      </c>
      <c r="AD54" s="1">
        <f t="shared" si="1"/>
        <v>1</v>
      </c>
      <c r="AE54" s="1" t="e">
        <f t="shared" si="37"/>
        <v>#N/A</v>
      </c>
      <c r="AF54" s="1">
        <v>0</v>
      </c>
      <c r="AG54" s="1">
        <f>IF(AF54=1,tblTerritories!K49,0)</f>
        <v>0</v>
      </c>
      <c r="AH54" s="1" t="e">
        <f t="shared" si="38"/>
        <v>#N/A</v>
      </c>
      <c r="AI54" s="1" t="e">
        <f t="shared" si="39"/>
        <v>#N/A</v>
      </c>
      <c r="AK54" s="1" t="e">
        <f t="shared" si="40"/>
        <v>#N/A</v>
      </c>
      <c r="AL54" s="1" t="e">
        <f t="shared" si="41"/>
        <v>#N/A</v>
      </c>
      <c r="AN54" s="1" t="e">
        <f>VLOOKUP(C54,tblTerritories!$J$3:$P$28,7,FALSE)+10</f>
        <v>#N/A</v>
      </c>
      <c r="AO54" s="1">
        <f>tblTerritories!P49</f>
        <v>2</v>
      </c>
      <c r="AP54" s="1">
        <f t="shared" si="24"/>
        <v>1</v>
      </c>
      <c r="AR54" s="1">
        <f>CHOOSE(uxb_works!$B$10,tblTerritories!V49,tblTerritories!X49,tblTerritories!Z49,tblTerritories!#REF!,tblTerritories!#REF!)</f>
        <v>0</v>
      </c>
    </row>
    <row r="55" spans="1:44">
      <c r="A55" s="1">
        <f t="shared" si="25"/>
        <v>48</v>
      </c>
      <c r="B55" s="1" t="str">
        <f>tblTerritories!B50</f>
        <v/>
      </c>
      <c r="C55" s="1" t="str">
        <f>tblTerritories!C50</f>
        <v>Seoul</v>
      </c>
      <c r="D55" s="1">
        <f>tblTerritories!D50</f>
        <v>1</v>
      </c>
      <c r="E55" s="1">
        <f>IF(AND(OR(tblTerritories!$O$5=4,tblTerritories!$O$5=5),$D$2=3),0,IF(AND(OR(tblTerritories!$O$5=2,tblTerritories!$O$5=3),$D$2=3),tblTerritories!K50,IF(AND($D$2=3,tblTerritories!$O$5=1),AG55,tblTerritories!K50)))</f>
        <v>0</v>
      </c>
      <c r="F55" s="1">
        <f>IF(tblTerritories!F50="",0,tblTerritories!F50)</f>
        <v>1</v>
      </c>
      <c r="G55" s="290">
        <f t="shared" si="42"/>
        <v>83.61</v>
      </c>
      <c r="H55" s="1">
        <f>IF(F55=0,"",RANK(G55,G$8:G$68,0)+COUNTIF(G$8:G55,G55)-1)</f>
        <v>14</v>
      </c>
      <c r="I55" s="1">
        <f ca="1" t="shared" si="2"/>
        <v>14</v>
      </c>
      <c r="J55" s="273">
        <f ca="1" t="shared" si="3"/>
        <v>9.7</v>
      </c>
      <c r="K55" s="275">
        <f ca="1" t="shared" si="4"/>
        <v>6</v>
      </c>
      <c r="L55" s="1">
        <f t="shared" si="26"/>
        <v>12</v>
      </c>
      <c r="M55" s="1">
        <f t="shared" si="6"/>
        <v>1</v>
      </c>
      <c r="N55" s="269">
        <f t="shared" si="27"/>
        <v>48</v>
      </c>
      <c r="O55" s="269">
        <f t="shared" si="28"/>
        <v>1</v>
      </c>
      <c r="Q55" s="269"/>
      <c r="R55" s="268">
        <f t="shared" si="29"/>
        <v>48</v>
      </c>
      <c r="S55" s="1" t="str">
        <f ca="1" t="shared" si="30"/>
        <v>Casablanca *</v>
      </c>
      <c r="T55" s="1">
        <f t="shared" si="31"/>
        <v>61.2</v>
      </c>
      <c r="U55" s="290" t="str">
        <f ca="1" t="shared" si="32"/>
        <v/>
      </c>
      <c r="V55" s="277" t="b">
        <f ca="1" t="shared" si="13"/>
        <v>0</v>
      </c>
      <c r="W55" s="277" t="str">
        <f ca="1" t="shared" si="33"/>
        <v/>
      </c>
      <c r="X55" s="277" t="b">
        <f ca="1" t="shared" si="15"/>
        <v>0</v>
      </c>
      <c r="Y55" s="1" t="str">
        <f ca="1" t="shared" si="34"/>
        <v> *</v>
      </c>
      <c r="AA55" s="268">
        <f t="shared" si="35"/>
        <v>61.2</v>
      </c>
      <c r="AB55" s="268"/>
      <c r="AC55" s="1">
        <f t="shared" si="36"/>
        <v>61.2</v>
      </c>
      <c r="AD55" s="1">
        <f t="shared" si="1"/>
        <v>1</v>
      </c>
      <c r="AE55" s="1" t="e">
        <f t="shared" si="37"/>
        <v>#N/A</v>
      </c>
      <c r="AF55" s="1">
        <v>0</v>
      </c>
      <c r="AG55" s="1">
        <f>IF(AF55=1,tblTerritories!K50,0)</f>
        <v>0</v>
      </c>
      <c r="AH55" s="1" t="e">
        <f t="shared" si="38"/>
        <v>#N/A</v>
      </c>
      <c r="AI55" s="1" t="e">
        <f t="shared" si="39"/>
        <v>#N/A</v>
      </c>
      <c r="AK55" s="1" t="e">
        <f t="shared" si="40"/>
        <v>#N/A</v>
      </c>
      <c r="AL55" s="1" t="e">
        <f t="shared" si="41"/>
        <v>#N/A</v>
      </c>
      <c r="AN55" s="1" t="e">
        <f>VLOOKUP(C55,tblTerritories!$J$3:$P$28,7,FALSE)+10</f>
        <v>#N/A</v>
      </c>
      <c r="AO55" s="1">
        <f>tblTerritories!P50</f>
        <v>6</v>
      </c>
      <c r="AP55" s="1">
        <f t="shared" si="24"/>
        <v>1</v>
      </c>
      <c r="AR55" s="1">
        <f>CHOOSE(uxb_works!$B$10,tblTerritories!V50,tblTerritories!X50,tblTerritories!Z50,tblTerritories!#REF!,tblTerritories!#REF!)</f>
        <v>0</v>
      </c>
    </row>
    <row r="56" spans="1:44">
      <c r="A56" s="1">
        <f t="shared" si="25"/>
        <v>49</v>
      </c>
      <c r="B56" s="1" t="str">
        <f>tblTerritories!B51</f>
        <v/>
      </c>
      <c r="C56" s="1" t="str">
        <f>tblTerritories!C51</f>
        <v>Shanghai</v>
      </c>
      <c r="D56" s="1">
        <f>tblTerritories!D51</f>
        <v>1</v>
      </c>
      <c r="E56" s="1">
        <f>IF(AND(OR(tblTerritories!$O$5=4,tblTerritories!$O$5=5),$D$2=3),0,IF(AND(OR(tblTerritories!$O$5=2,tblTerritories!$O$5=3),$D$2=3),tblTerritories!K51,IF(AND($D$2=3,tblTerritories!$O$5=1),AG56,tblTerritories!K51)))</f>
        <v>0</v>
      </c>
      <c r="F56" s="1">
        <f>IF(tblTerritories!F51="",0,tblTerritories!F51)</f>
        <v>1</v>
      </c>
      <c r="G56" s="290">
        <f t="shared" si="42"/>
        <v>70.93</v>
      </c>
      <c r="H56" s="1">
        <f>IF(F56=0,"",RANK(G56,G$8:G$68,0)+COUNTIF(G$8:G56,G56)-1)</f>
        <v>34</v>
      </c>
      <c r="I56" s="1">
        <f ca="1" t="shared" si="2"/>
        <v>34</v>
      </c>
      <c r="J56" s="273">
        <f ca="1" t="shared" si="3"/>
        <v>4.4</v>
      </c>
      <c r="K56" s="275">
        <f ca="1" t="shared" si="4"/>
        <v>-4</v>
      </c>
      <c r="L56" s="1">
        <f t="shared" si="26"/>
        <v>4</v>
      </c>
      <c r="M56" s="1">
        <f t="shared" si="6"/>
        <v>1</v>
      </c>
      <c r="N56" s="269">
        <f t="shared" si="27"/>
        <v>49</v>
      </c>
      <c r="O56" s="269">
        <f t="shared" si="28"/>
        <v>1</v>
      </c>
      <c r="Q56" s="269"/>
      <c r="R56" s="268">
        <f t="shared" si="29"/>
        <v>49</v>
      </c>
      <c r="S56" s="1" t="str">
        <f ca="1" t="shared" si="30"/>
        <v>Bangkok</v>
      </c>
      <c r="T56" s="1">
        <f t="shared" si="31"/>
        <v>60.05</v>
      </c>
      <c r="U56" s="290">
        <f ca="1" t="shared" si="32"/>
        <v>2.57</v>
      </c>
      <c r="V56" s="277" t="b">
        <f ca="1" t="shared" si="13"/>
        <v>0</v>
      </c>
      <c r="W56" s="277">
        <f ca="1" t="shared" si="33"/>
        <v>-7</v>
      </c>
      <c r="X56" s="277" t="b">
        <f ca="1" t="shared" si="15"/>
        <v>0</v>
      </c>
      <c r="Y56" s="1" t="str">
        <f ca="1" t="shared" si="34"/>
        <v/>
      </c>
      <c r="AA56" s="268">
        <f t="shared" si="35"/>
        <v>60.05</v>
      </c>
      <c r="AB56" s="268"/>
      <c r="AC56" s="1">
        <f t="shared" si="36"/>
        <v>60.05</v>
      </c>
      <c r="AD56" s="1">
        <f t="shared" si="1"/>
        <v>1</v>
      </c>
      <c r="AE56" s="1" t="e">
        <f t="shared" si="37"/>
        <v>#N/A</v>
      </c>
      <c r="AF56" s="1">
        <v>0</v>
      </c>
      <c r="AG56" s="1">
        <f>IF(AF56=1,tblTerritories!K51,0)</f>
        <v>0</v>
      </c>
      <c r="AH56" s="1" t="e">
        <f t="shared" si="38"/>
        <v>#N/A</v>
      </c>
      <c r="AI56" s="1" t="e">
        <f t="shared" si="39"/>
        <v>#N/A</v>
      </c>
      <c r="AK56" s="1" t="e">
        <f t="shared" si="40"/>
        <v>#N/A</v>
      </c>
      <c r="AL56" s="1" t="e">
        <f t="shared" si="41"/>
        <v>#N/A</v>
      </c>
      <c r="AN56" s="1" t="e">
        <f>VLOOKUP(C56,tblTerritories!$J$3:$P$28,7,FALSE)+10</f>
        <v>#N/A</v>
      </c>
      <c r="AO56" s="1">
        <f>tblTerritories!P51</f>
        <v>7</v>
      </c>
      <c r="AP56" s="1">
        <f t="shared" si="24"/>
        <v>1</v>
      </c>
      <c r="AR56" s="1">
        <f>CHOOSE(uxb_works!$B$10,tblTerritories!V51,tblTerritories!X51,tblTerritories!Z51,tblTerritories!#REF!,tblTerritories!#REF!)</f>
        <v>0</v>
      </c>
    </row>
    <row r="57" spans="1:44">
      <c r="A57" s="1">
        <f t="shared" si="25"/>
        <v>50</v>
      </c>
      <c r="B57" s="1" t="str">
        <f>tblTerritories!B52</f>
        <v/>
      </c>
      <c r="C57" s="1" t="str">
        <f>tblTerritories!C52</f>
        <v>Singapore</v>
      </c>
      <c r="D57" s="1">
        <f>tblTerritories!D52</f>
        <v>1</v>
      </c>
      <c r="E57" s="1">
        <f>IF(AND(OR(tblTerritories!$O$5=4,tblTerritories!$O$5=5),$D$2=3),0,IF(AND(OR(tblTerritories!$O$5=2,tblTerritories!$O$5=3),$D$2=3),tblTerritories!K52,IF(AND($D$2=3,tblTerritories!$O$5=1),AG57,tblTerritories!K52)))</f>
        <v>0</v>
      </c>
      <c r="F57" s="1">
        <f>IF(tblTerritories!F52="",0,tblTerritories!F52)</f>
        <v>1</v>
      </c>
      <c r="G57" s="290">
        <f t="shared" si="42"/>
        <v>89.64</v>
      </c>
      <c r="H57" s="1">
        <f>IF(F57=0,"",RANK(G57,G$8:G$68,0)+COUNTIF(G$8:G57,G57)-1)</f>
        <v>2</v>
      </c>
      <c r="I57" s="1">
        <f ca="1" t="shared" si="2"/>
        <v>2</v>
      </c>
      <c r="J57" s="273">
        <f ca="1" t="shared" si="3"/>
        <v>3.9</v>
      </c>
      <c r="K57" s="275">
        <f ca="1" t="shared" si="4"/>
        <v>0</v>
      </c>
      <c r="L57" s="1">
        <f t="shared" si="26"/>
        <v>24</v>
      </c>
      <c r="M57" s="1">
        <f t="shared" si="6"/>
        <v>1</v>
      </c>
      <c r="N57" s="269">
        <f t="shared" si="27"/>
        <v>50</v>
      </c>
      <c r="O57" s="269">
        <f t="shared" si="28"/>
        <v>1</v>
      </c>
      <c r="Q57" s="269"/>
      <c r="R57" s="268">
        <f t="shared" si="29"/>
        <v>50</v>
      </c>
      <c r="S57" s="1" t="str">
        <f ca="1" t="shared" si="30"/>
        <v>Johannesburg</v>
      </c>
      <c r="T57" s="1">
        <f t="shared" si="31"/>
        <v>59.17</v>
      </c>
      <c r="U57" s="290">
        <f ca="1" t="shared" si="32"/>
        <v>-0.15</v>
      </c>
      <c r="V57" s="277" t="b">
        <f ca="1" t="shared" si="13"/>
        <v>0</v>
      </c>
      <c r="W57" s="277">
        <f ca="1" t="shared" si="33"/>
        <v>-9</v>
      </c>
      <c r="X57" s="277" t="b">
        <f ca="1" t="shared" si="15"/>
        <v>0</v>
      </c>
      <c r="Y57" s="1" t="str">
        <f ca="1" t="shared" si="34"/>
        <v/>
      </c>
      <c r="AA57" s="268">
        <f t="shared" si="35"/>
        <v>59.17</v>
      </c>
      <c r="AB57" s="268"/>
      <c r="AC57" s="1">
        <f t="shared" si="36"/>
        <v>59.17</v>
      </c>
      <c r="AD57" s="1">
        <f t="shared" si="1"/>
        <v>1</v>
      </c>
      <c r="AE57" s="1" t="e">
        <f t="shared" si="37"/>
        <v>#N/A</v>
      </c>
      <c r="AF57" s="1">
        <v>0</v>
      </c>
      <c r="AG57" s="1">
        <f>IF(AF57=1,tblTerritories!K52,0)</f>
        <v>0</v>
      </c>
      <c r="AH57" s="1" t="e">
        <f t="shared" si="38"/>
        <v>#N/A</v>
      </c>
      <c r="AI57" s="1" t="e">
        <f t="shared" si="39"/>
        <v>#N/A</v>
      </c>
      <c r="AK57" s="1" t="e">
        <f t="shared" si="40"/>
        <v>#N/A</v>
      </c>
      <c r="AL57" s="1" t="e">
        <f t="shared" si="41"/>
        <v>#N/A</v>
      </c>
      <c r="AN57" s="1" t="e">
        <f>VLOOKUP(C57,tblTerritories!$J$3:$P$28,7,FALSE)+10</f>
        <v>#N/A</v>
      </c>
      <c r="AO57" s="1">
        <f>tblTerritories!P52</f>
        <v>5</v>
      </c>
      <c r="AP57" s="1">
        <f t="shared" si="24"/>
        <v>1</v>
      </c>
      <c r="AR57" s="1">
        <f>CHOOSE(uxb_works!$B$10,tblTerritories!V52,tblTerritories!X52,tblTerritories!Z52,tblTerritories!#REF!,tblTerritories!#REF!)</f>
        <v>0</v>
      </c>
    </row>
    <row r="58" spans="1:44">
      <c r="A58" s="1">
        <f t="shared" si="25"/>
        <v>51</v>
      </c>
      <c r="B58" s="1" t="str">
        <f>tblTerritories!B53</f>
        <v/>
      </c>
      <c r="C58" s="1" t="str">
        <f>tblTerritories!C53</f>
        <v>Stockholm</v>
      </c>
      <c r="D58" s="1">
        <f>tblTerritories!D53</f>
        <v>1</v>
      </c>
      <c r="E58" s="1">
        <f>IF(AND(OR(tblTerritories!$O$5=4,tblTerritories!$O$5=5),$D$2=3),0,IF(AND(OR(tblTerritories!$O$5=2,tblTerritories!$O$5=3),$D$2=3),tblTerritories!K53,IF(AND($D$2=3,tblTerritories!$O$5=1),AG58,tblTerritories!K53)))</f>
        <v>0</v>
      </c>
      <c r="F58" s="1">
        <f>IF(tblTerritories!F53="",0,tblTerritories!F53)</f>
        <v>1</v>
      </c>
      <c r="G58" s="290">
        <f t="shared" si="42"/>
        <v>86.72</v>
      </c>
      <c r="H58" s="1">
        <f>IF(F58=0,"",RANK(G58,G$8:G$68,0)+COUNTIF(G$8:G58,G58)-1)</f>
        <v>8</v>
      </c>
      <c r="I58" s="1">
        <f ca="1" t="shared" si="2"/>
        <v>8</v>
      </c>
      <c r="J58" s="273">
        <f ca="1" t="shared" si="3"/>
        <v>5.66</v>
      </c>
      <c r="K58" s="275">
        <f ca="1" t="shared" si="4"/>
        <v>0</v>
      </c>
      <c r="L58" s="1">
        <f t="shared" si="26"/>
        <v>10</v>
      </c>
      <c r="M58" s="1">
        <f t="shared" si="6"/>
        <v>1</v>
      </c>
      <c r="N58" s="269">
        <f t="shared" si="27"/>
        <v>51</v>
      </c>
      <c r="O58" s="269">
        <f t="shared" si="28"/>
        <v>1</v>
      </c>
      <c r="Q58" s="269"/>
      <c r="R58" s="268">
        <f t="shared" si="29"/>
        <v>51</v>
      </c>
      <c r="S58" s="1" t="str">
        <f ca="1" t="shared" si="30"/>
        <v>Cairo *</v>
      </c>
      <c r="T58" s="1">
        <f t="shared" si="31"/>
        <v>58.33</v>
      </c>
      <c r="U58" s="290" t="str">
        <f ca="1" t="shared" si="32"/>
        <v/>
      </c>
      <c r="V58" s="277" t="b">
        <f ca="1" t="shared" si="13"/>
        <v>0</v>
      </c>
      <c r="W58" s="277" t="str">
        <f ca="1" t="shared" si="33"/>
        <v/>
      </c>
      <c r="X58" s="277" t="b">
        <f ca="1" t="shared" si="15"/>
        <v>0</v>
      </c>
      <c r="Y58" s="1" t="str">
        <f ca="1" t="shared" si="34"/>
        <v> *</v>
      </c>
      <c r="AA58" s="268">
        <f t="shared" si="35"/>
        <v>58.33</v>
      </c>
      <c r="AB58" s="268"/>
      <c r="AC58" s="1">
        <f t="shared" si="36"/>
        <v>58.33</v>
      </c>
      <c r="AD58" s="1">
        <f t="shared" si="1"/>
        <v>1</v>
      </c>
      <c r="AE58" s="1" t="e">
        <f t="shared" si="37"/>
        <v>#N/A</v>
      </c>
      <c r="AF58" s="1">
        <v>0</v>
      </c>
      <c r="AG58" s="1">
        <f>IF(AF58=1,tblTerritories!K53,0)</f>
        <v>0</v>
      </c>
      <c r="AH58" s="1" t="e">
        <f t="shared" si="38"/>
        <v>#N/A</v>
      </c>
      <c r="AI58" s="1" t="e">
        <f t="shared" si="39"/>
        <v>#N/A</v>
      </c>
      <c r="AK58" s="1" t="e">
        <f t="shared" si="40"/>
        <v>#N/A</v>
      </c>
      <c r="AL58" s="1" t="e">
        <f t="shared" si="41"/>
        <v>#N/A</v>
      </c>
      <c r="AN58" s="1" t="e">
        <f>VLOOKUP(C58,tblTerritories!$J$3:$P$28,7,FALSE)+10</f>
        <v>#N/A</v>
      </c>
      <c r="AO58" s="1">
        <f>tblTerritories!P53</f>
        <v>1</v>
      </c>
      <c r="AP58" s="1">
        <f t="shared" si="24"/>
        <v>1</v>
      </c>
      <c r="AR58" s="1">
        <f>CHOOSE(uxb_works!$B$10,tblTerritories!V53,tblTerritories!X53,tblTerritories!Z53,tblTerritories!#REF!,tblTerritories!#REF!)</f>
        <v>0</v>
      </c>
    </row>
    <row r="59" spans="1:44">
      <c r="A59" s="1">
        <f t="shared" si="25"/>
        <v>52</v>
      </c>
      <c r="B59" s="1" t="str">
        <f>tblTerritories!B54</f>
        <v/>
      </c>
      <c r="C59" s="1" t="str">
        <f>tblTerritories!C54</f>
        <v>Sydney</v>
      </c>
      <c r="D59" s="1">
        <f>tblTerritories!D54</f>
        <v>1</v>
      </c>
      <c r="E59" s="1">
        <f>IF(AND(OR(tblTerritories!$O$5=4,tblTerritories!$O$5=5),$D$2=3),0,IF(AND(OR(tblTerritories!$O$5=2,tblTerritories!$O$5=3),$D$2=3),tblTerritories!K54,IF(AND($D$2=3,tblTerritories!$O$5=1),AG59,tblTerritories!K54)))</f>
        <v>0</v>
      </c>
      <c r="F59" s="1">
        <f>IF(tblTerritories!F54="",0,tblTerritories!F54)</f>
        <v>1</v>
      </c>
      <c r="G59" s="290">
        <f t="shared" si="42"/>
        <v>86.74</v>
      </c>
      <c r="H59" s="1">
        <f>IF(F59=0,"",RANK(G59,G$8:G$68,0)+COUNTIF(G$8:G59,G59)-1)</f>
        <v>7</v>
      </c>
      <c r="I59" s="1">
        <f ca="1" t="shared" si="2"/>
        <v>7</v>
      </c>
      <c r="J59" s="273">
        <f ca="1" t="shared" si="3"/>
        <v>4.86</v>
      </c>
      <c r="K59" s="275">
        <f ca="1" t="shared" si="4"/>
        <v>-2</v>
      </c>
      <c r="L59" s="1">
        <f t="shared" si="26"/>
        <v>54</v>
      </c>
      <c r="M59" s="1">
        <f t="shared" si="6"/>
        <v>1</v>
      </c>
      <c r="N59" s="269">
        <f t="shared" si="27"/>
        <v>52</v>
      </c>
      <c r="O59" s="269">
        <f t="shared" si="28"/>
        <v>1</v>
      </c>
      <c r="Q59" s="269"/>
      <c r="R59" s="268">
        <f t="shared" si="29"/>
        <v>52</v>
      </c>
      <c r="S59" s="1" t="str">
        <f ca="1" t="shared" si="30"/>
        <v>Tehran</v>
      </c>
      <c r="T59" s="1">
        <f t="shared" si="31"/>
        <v>56.49</v>
      </c>
      <c r="U59" s="290">
        <f ca="1" t="shared" si="32"/>
        <v>2.91</v>
      </c>
      <c r="V59" s="277" t="b">
        <f ca="1" t="shared" si="13"/>
        <v>0</v>
      </c>
      <c r="W59" s="277">
        <f ca="1" t="shared" si="33"/>
        <v>-7</v>
      </c>
      <c r="X59" s="277" t="b">
        <f ca="1" t="shared" si="15"/>
        <v>0</v>
      </c>
      <c r="Y59" s="1" t="str">
        <f ca="1" t="shared" si="34"/>
        <v/>
      </c>
      <c r="AA59" s="268">
        <f t="shared" si="35"/>
        <v>56.49</v>
      </c>
      <c r="AB59" s="268"/>
      <c r="AC59" s="1">
        <f t="shared" si="36"/>
        <v>56.49</v>
      </c>
      <c r="AD59" s="1">
        <f t="shared" si="1"/>
        <v>1</v>
      </c>
      <c r="AE59" s="1" t="e">
        <f t="shared" si="37"/>
        <v>#N/A</v>
      </c>
      <c r="AF59" s="1">
        <v>0</v>
      </c>
      <c r="AG59" s="1">
        <f>IF(AF59=1,tblTerritories!K54,0)</f>
        <v>0</v>
      </c>
      <c r="AH59" s="1" t="e">
        <f t="shared" si="38"/>
        <v>#N/A</v>
      </c>
      <c r="AI59" s="1" t="e">
        <f t="shared" si="39"/>
        <v>#N/A</v>
      </c>
      <c r="AK59" s="1" t="e">
        <f t="shared" si="40"/>
        <v>#N/A</v>
      </c>
      <c r="AL59" s="1" t="e">
        <f t="shared" si="41"/>
        <v>#N/A</v>
      </c>
      <c r="AN59" s="1" t="e">
        <f>VLOOKUP(C59,tblTerritories!$J$3:$P$28,7,FALSE)+10</f>
        <v>#N/A</v>
      </c>
      <c r="AO59" s="1">
        <f>tblTerritories!P54</f>
        <v>6</v>
      </c>
      <c r="AP59" s="1">
        <f t="shared" si="24"/>
        <v>1</v>
      </c>
      <c r="AR59" s="1">
        <f>CHOOSE(uxb_works!$B$10,tblTerritories!V54,tblTerritories!X54,tblTerritories!Z54,tblTerritories!#REF!,tblTerritories!#REF!)</f>
        <v>0</v>
      </c>
    </row>
    <row r="60" spans="1:44">
      <c r="A60" s="1">
        <f t="shared" si="25"/>
        <v>53</v>
      </c>
      <c r="B60" s="1" t="str">
        <f>tblTerritories!B55</f>
        <v/>
      </c>
      <c r="C60" s="1" t="str">
        <f>tblTerritories!C55</f>
        <v>Taipei</v>
      </c>
      <c r="D60" s="1">
        <f>tblTerritories!D55</f>
        <v>1</v>
      </c>
      <c r="E60" s="1">
        <f>IF(AND(OR(tblTerritories!$O$5=4,tblTerritories!$O$5=5),$D$2=3),0,IF(AND(OR(tblTerritories!$O$5=2,tblTerritories!$O$5=3),$D$2=3),tblTerritories!K55,IF(AND($D$2=3,tblTerritories!$O$5=1),AG60,tblTerritories!K55)))</f>
        <v>0</v>
      </c>
      <c r="F60" s="1">
        <f>IF(tblTerritories!F55="",0,tblTerritories!F55)</f>
        <v>1</v>
      </c>
      <c r="G60" s="290">
        <f t="shared" si="42"/>
        <v>80.7</v>
      </c>
      <c r="H60" s="1">
        <f>IF(F60=0,"",RANK(G60,G$8:G$68,0)+COUNTIF(G$8:G60,G60)-1)</f>
        <v>22</v>
      </c>
      <c r="I60" s="1">
        <f ca="1" t="shared" si="2"/>
        <v>22</v>
      </c>
      <c r="J60" s="273">
        <f ca="1" t="shared" si="3"/>
        <v>3.11</v>
      </c>
      <c r="K60" s="275">
        <f ca="1" t="shared" si="4"/>
        <v>-8</v>
      </c>
      <c r="L60" s="1">
        <f t="shared" si="26"/>
        <v>41</v>
      </c>
      <c r="M60" s="1">
        <f t="shared" si="6"/>
        <v>1</v>
      </c>
      <c r="N60" s="269">
        <f t="shared" si="27"/>
        <v>53</v>
      </c>
      <c r="O60" s="269">
        <f t="shared" si="28"/>
        <v>1</v>
      </c>
      <c r="Q60" s="269"/>
      <c r="R60" s="268">
        <f t="shared" si="29"/>
        <v>53</v>
      </c>
      <c r="S60" s="1" t="str">
        <f ca="1" t="shared" si="30"/>
        <v>Quito *</v>
      </c>
      <c r="T60" s="1">
        <f t="shared" si="31"/>
        <v>56.39</v>
      </c>
      <c r="U60" s="290" t="str">
        <f ca="1" t="shared" si="32"/>
        <v/>
      </c>
      <c r="V60" s="277" t="b">
        <f ca="1" t="shared" si="13"/>
        <v>0</v>
      </c>
      <c r="W60" s="277" t="str">
        <f ca="1" t="shared" si="33"/>
        <v/>
      </c>
      <c r="X60" s="277" t="b">
        <f ca="1" t="shared" si="15"/>
        <v>0</v>
      </c>
      <c r="Y60" s="1" t="str">
        <f ca="1" t="shared" si="34"/>
        <v> *</v>
      </c>
      <c r="AA60" s="268">
        <f t="shared" si="35"/>
        <v>56.39</v>
      </c>
      <c r="AB60" s="268"/>
      <c r="AC60" s="1">
        <f t="shared" si="36"/>
        <v>56.39</v>
      </c>
      <c r="AD60" s="1">
        <f t="shared" si="1"/>
        <v>1</v>
      </c>
      <c r="AE60" s="1" t="e">
        <f t="shared" si="37"/>
        <v>#N/A</v>
      </c>
      <c r="AF60" s="1">
        <v>0</v>
      </c>
      <c r="AG60" s="1">
        <f>IF(AF60=1,tblTerritories!K55,0)</f>
        <v>0</v>
      </c>
      <c r="AH60" s="1" t="e">
        <f t="shared" si="38"/>
        <v>#N/A</v>
      </c>
      <c r="AI60" s="1" t="e">
        <f t="shared" si="39"/>
        <v>#N/A</v>
      </c>
      <c r="AK60" s="1" t="e">
        <f t="shared" si="40"/>
        <v>#N/A</v>
      </c>
      <c r="AL60" s="1" t="e">
        <f t="shared" si="41"/>
        <v>#N/A</v>
      </c>
      <c r="AN60" s="1" t="e">
        <f>VLOOKUP(C60,tblTerritories!$J$3:$P$28,7,FALSE)+10</f>
        <v>#N/A</v>
      </c>
      <c r="AO60" s="1">
        <f>tblTerritories!P55</f>
        <v>6</v>
      </c>
      <c r="AP60" s="1">
        <f t="shared" si="24"/>
        <v>1</v>
      </c>
      <c r="AR60" s="1">
        <f>CHOOSE(uxb_works!$B$10,tblTerritories!V55,tblTerritories!X55,tblTerritories!Z55,tblTerritories!#REF!,tblTerritories!#REF!)</f>
        <v>0</v>
      </c>
    </row>
    <row r="61" spans="1:44">
      <c r="A61" s="1">
        <f t="shared" si="25"/>
        <v>54</v>
      </c>
      <c r="B61" s="1" t="str">
        <f>tblTerritories!B56</f>
        <v/>
      </c>
      <c r="C61" s="1" t="str">
        <f>tblTerritories!C56</f>
        <v>Tehran</v>
      </c>
      <c r="D61" s="1">
        <f>tblTerritories!D56</f>
        <v>1</v>
      </c>
      <c r="E61" s="1">
        <f>IF(AND(OR(tblTerritories!$O$5=4,tblTerritories!$O$5=5),$D$2=3),0,IF(AND(OR(tblTerritories!$O$5=2,tblTerritories!$O$5=3),$D$2=3),tblTerritories!K56,IF(AND($D$2=3,tblTerritories!$O$5=1),AG61,tblTerritories!K56)))</f>
        <v>0</v>
      </c>
      <c r="F61" s="1">
        <f>IF(tblTerritories!F56="",0,tblTerritories!F56)</f>
        <v>1</v>
      </c>
      <c r="G61" s="290">
        <f t="shared" si="42"/>
        <v>56.49</v>
      </c>
      <c r="H61" s="1">
        <f>IF(F61=0,"",RANK(G61,G$8:G$68,0)+COUNTIF(G$8:G61,G61)-1)</f>
        <v>52</v>
      </c>
      <c r="I61" s="1">
        <f ca="1" t="shared" si="2"/>
        <v>52</v>
      </c>
      <c r="J61" s="273">
        <f ca="1" t="shared" si="3"/>
        <v>2.91</v>
      </c>
      <c r="K61" s="275">
        <f ca="1" t="shared" si="4"/>
        <v>-7</v>
      </c>
      <c r="L61" s="1">
        <f t="shared" si="26"/>
        <v>11</v>
      </c>
      <c r="M61" s="1">
        <f t="shared" si="6"/>
        <v>1</v>
      </c>
      <c r="N61" s="269">
        <f t="shared" si="27"/>
        <v>54</v>
      </c>
      <c r="O61" s="269">
        <f t="shared" si="28"/>
        <v>1</v>
      </c>
      <c r="Q61" s="269"/>
      <c r="R61" s="268">
        <f t="shared" si="29"/>
        <v>54</v>
      </c>
      <c r="S61" s="1" t="str">
        <f ca="1" t="shared" si="30"/>
        <v>Caracas *</v>
      </c>
      <c r="T61" s="1">
        <f t="shared" si="31"/>
        <v>55.22</v>
      </c>
      <c r="U61" s="290" t="str">
        <f ca="1" t="shared" si="32"/>
        <v/>
      </c>
      <c r="V61" s="277" t="b">
        <f ca="1" t="shared" si="13"/>
        <v>0</v>
      </c>
      <c r="W61" s="277" t="str">
        <f ca="1" t="shared" si="33"/>
        <v/>
      </c>
      <c r="X61" s="277" t="b">
        <f ca="1" t="shared" si="15"/>
        <v>0</v>
      </c>
      <c r="Y61" s="1" t="str">
        <f ca="1" t="shared" si="34"/>
        <v> *</v>
      </c>
      <c r="AA61" s="268">
        <f t="shared" si="35"/>
        <v>55.22</v>
      </c>
      <c r="AB61" s="268"/>
      <c r="AC61" s="1">
        <f t="shared" si="36"/>
        <v>55.22</v>
      </c>
      <c r="AD61" s="1">
        <f t="shared" si="1"/>
        <v>1</v>
      </c>
      <c r="AE61" s="1" t="e">
        <f t="shared" si="37"/>
        <v>#N/A</v>
      </c>
      <c r="AF61" s="1">
        <v>0</v>
      </c>
      <c r="AG61" s="1">
        <f>IF(AF61=1,tblTerritories!K56,0)</f>
        <v>0</v>
      </c>
      <c r="AH61" s="1" t="e">
        <f t="shared" si="38"/>
        <v>#N/A</v>
      </c>
      <c r="AI61" s="1" t="e">
        <f t="shared" si="39"/>
        <v>#N/A</v>
      </c>
      <c r="AK61" s="1" t="e">
        <f t="shared" si="40"/>
        <v>#N/A</v>
      </c>
      <c r="AL61" s="1" t="e">
        <f t="shared" si="41"/>
        <v>#N/A</v>
      </c>
      <c r="AN61" s="1" t="e">
        <f>VLOOKUP(C61,tblTerritories!$J$3:$P$28,7,FALSE)+10</f>
        <v>#N/A</v>
      </c>
      <c r="AO61" s="1">
        <f>tblTerritories!P56</f>
        <v>3</v>
      </c>
      <c r="AP61" s="1">
        <f t="shared" si="24"/>
        <v>1</v>
      </c>
      <c r="AR61" s="1">
        <f>CHOOSE(uxb_works!$B$10,tblTerritories!V56,tblTerritories!X56,tblTerritories!Z56,tblTerritories!#REF!,tblTerritories!#REF!)</f>
        <v>0</v>
      </c>
    </row>
    <row r="62" spans="1:44">
      <c r="A62" s="1">
        <f t="shared" si="25"/>
        <v>55</v>
      </c>
      <c r="B62" s="1" t="str">
        <f>tblTerritories!B57</f>
        <v/>
      </c>
      <c r="C62" s="1" t="str">
        <f>tblTerritories!C57</f>
        <v>Tokyo</v>
      </c>
      <c r="D62" s="1">
        <f>tblTerritories!D57</f>
        <v>1</v>
      </c>
      <c r="E62" s="1">
        <f>IF(AND(OR(tblTerritories!$O$5=4,tblTerritories!$O$5=5),$D$2=3),0,IF(AND(OR(tblTerritories!$O$5=2,tblTerritories!$O$5=3),$D$2=3),tblTerritories!K57,IF(AND($D$2=3,tblTerritories!$O$5=1),AG62,tblTerritories!K57)))</f>
        <v>0</v>
      </c>
      <c r="F62" s="1">
        <f>IF(tblTerritories!F57="",0,tblTerritories!F57)</f>
        <v>1</v>
      </c>
      <c r="G62" s="290">
        <f t="shared" si="42"/>
        <v>89.8</v>
      </c>
      <c r="H62" s="1">
        <f>IF(F62=0,"",RANK(G62,G$8:G$68,0)+COUNTIF(G$8:G62,G62)-1)</f>
        <v>1</v>
      </c>
      <c r="I62" s="1">
        <f ca="1" t="shared" si="2"/>
        <v>1</v>
      </c>
      <c r="J62" s="273">
        <f ca="1" t="shared" si="3"/>
        <v>3.5</v>
      </c>
      <c r="K62" s="275">
        <f ca="1" t="shared" si="4"/>
        <v>0</v>
      </c>
      <c r="L62" s="1">
        <f t="shared" si="26"/>
        <v>32</v>
      </c>
      <c r="M62" s="1">
        <f t="shared" si="6"/>
        <v>1</v>
      </c>
      <c r="N62" s="269">
        <f t="shared" si="27"/>
        <v>55</v>
      </c>
      <c r="O62" s="269">
        <f t="shared" si="28"/>
        <v>1</v>
      </c>
      <c r="Q62" s="269"/>
      <c r="R62" s="268">
        <f t="shared" si="29"/>
        <v>55</v>
      </c>
      <c r="S62" s="1" t="str">
        <f ca="1" t="shared" si="30"/>
        <v>Manila *</v>
      </c>
      <c r="T62" s="1">
        <f t="shared" si="31"/>
        <v>54.86</v>
      </c>
      <c r="U62" s="290" t="str">
        <f ca="1" t="shared" si="32"/>
        <v/>
      </c>
      <c r="V62" s="277" t="b">
        <f ca="1" t="shared" si="13"/>
        <v>0</v>
      </c>
      <c r="W62" s="277" t="str">
        <f ca="1" t="shared" si="33"/>
        <v/>
      </c>
      <c r="X62" s="277" t="b">
        <f ca="1" t="shared" si="15"/>
        <v>0</v>
      </c>
      <c r="Y62" s="1" t="str">
        <f ca="1" t="shared" si="34"/>
        <v> *</v>
      </c>
      <c r="AA62" s="268">
        <f t="shared" si="35"/>
        <v>54.86</v>
      </c>
      <c r="AB62" s="268"/>
      <c r="AC62" s="1">
        <f t="shared" si="36"/>
        <v>54.86</v>
      </c>
      <c r="AD62" s="1">
        <f t="shared" si="1"/>
        <v>1</v>
      </c>
      <c r="AE62" s="1" t="e">
        <f t="shared" si="37"/>
        <v>#N/A</v>
      </c>
      <c r="AF62" s="1">
        <v>0</v>
      </c>
      <c r="AG62" s="1">
        <f>IF(AF62=1,tblTerritories!K57,0)</f>
        <v>0</v>
      </c>
      <c r="AH62" s="1" t="e">
        <f t="shared" si="38"/>
        <v>#N/A</v>
      </c>
      <c r="AI62" s="1" t="e">
        <f t="shared" si="39"/>
        <v>#N/A</v>
      </c>
      <c r="AK62" s="1" t="e">
        <f t="shared" si="40"/>
        <v>#N/A</v>
      </c>
      <c r="AL62" s="1" t="e">
        <f t="shared" si="41"/>
        <v>#N/A</v>
      </c>
      <c r="AN62" s="1" t="e">
        <f>VLOOKUP(C62,tblTerritories!$J$3:$P$28,7,FALSE)+10</f>
        <v>#N/A</v>
      </c>
      <c r="AO62" s="1">
        <f>tblTerritories!P57</f>
        <v>6</v>
      </c>
      <c r="AP62" s="1">
        <f t="shared" si="24"/>
        <v>1</v>
      </c>
      <c r="AR62" s="1">
        <f>CHOOSE(uxb_works!$B$10,tblTerritories!V57,tblTerritories!X57,tblTerritories!Z57,tblTerritories!#REF!,tblTerritories!#REF!)</f>
        <v>0</v>
      </c>
    </row>
    <row r="63" spans="1:44">
      <c r="A63" s="1">
        <f t="shared" si="25"/>
        <v>56</v>
      </c>
      <c r="B63" s="1" t="str">
        <f>tblTerritories!B58</f>
        <v/>
      </c>
      <c r="C63" s="1" t="str">
        <f>tblTerritories!C58</f>
        <v>Toronto</v>
      </c>
      <c r="D63" s="1">
        <f>tblTerritories!D58</f>
        <v>1</v>
      </c>
      <c r="E63" s="1">
        <f>IF(AND(OR(tblTerritories!$O$5=4,tblTerritories!$O$5=5),$D$2=3),0,IF(AND(OR(tblTerritories!$O$5=2,tblTerritories!$O$5=3),$D$2=3),tblTerritories!K58,IF(AND($D$2=3,tblTerritories!$O$5=1),AG63,tblTerritories!K58)))</f>
        <v>0</v>
      </c>
      <c r="F63" s="1">
        <f>IF(tblTerritories!F58="",0,tblTerritories!F58)</f>
        <v>1</v>
      </c>
      <c r="G63" s="290">
        <f t="shared" si="42"/>
        <v>87.36</v>
      </c>
      <c r="H63" s="1">
        <f>IF(F63=0,"",RANK(G63,G$8:G$68,0)+COUNTIF(G$8:G63,G63)-1)</f>
        <v>4</v>
      </c>
      <c r="I63" s="1">
        <f ca="1" t="shared" si="2"/>
        <v>4</v>
      </c>
      <c r="J63" s="273">
        <f ca="1" t="shared" si="3"/>
        <v>5.99</v>
      </c>
      <c r="K63" s="275">
        <f ca="1" t="shared" si="4"/>
        <v>2</v>
      </c>
      <c r="L63" s="1">
        <f t="shared" si="26"/>
        <v>19</v>
      </c>
      <c r="M63" s="1">
        <f t="shared" si="6"/>
        <v>1</v>
      </c>
      <c r="N63" s="269">
        <f t="shared" si="27"/>
        <v>56</v>
      </c>
      <c r="O63" s="269">
        <f t="shared" si="28"/>
        <v>1</v>
      </c>
      <c r="Q63" s="269"/>
      <c r="R63" s="268">
        <f t="shared" si="29"/>
        <v>56</v>
      </c>
      <c r="S63" s="1" t="str">
        <f ca="1" t="shared" si="30"/>
        <v>Ho Chi Minh City</v>
      </c>
      <c r="T63" s="1">
        <f t="shared" si="31"/>
        <v>54.33</v>
      </c>
      <c r="U63" s="290">
        <f ca="1" t="shared" si="32"/>
        <v>1.26</v>
      </c>
      <c r="V63" s="277" t="b">
        <f ca="1" t="shared" si="13"/>
        <v>0</v>
      </c>
      <c r="W63" s="277">
        <f ca="1" t="shared" si="33"/>
        <v>-10</v>
      </c>
      <c r="X63" s="277" t="b">
        <f ca="1" t="shared" si="15"/>
        <v>0</v>
      </c>
      <c r="Y63" s="1" t="str">
        <f ca="1" t="shared" si="34"/>
        <v/>
      </c>
      <c r="AA63" s="268">
        <f t="shared" si="35"/>
        <v>54.33</v>
      </c>
      <c r="AB63" s="268"/>
      <c r="AC63" s="1">
        <f t="shared" si="36"/>
        <v>54.33</v>
      </c>
      <c r="AD63" s="1">
        <f t="shared" si="1"/>
        <v>1</v>
      </c>
      <c r="AE63" s="1" t="e">
        <f t="shared" si="37"/>
        <v>#N/A</v>
      </c>
      <c r="AF63" s="1">
        <v>0</v>
      </c>
      <c r="AG63" s="1">
        <f>IF(AF63=1,tblTerritories!K58,0)</f>
        <v>0</v>
      </c>
      <c r="AH63" s="1" t="e">
        <f t="shared" si="38"/>
        <v>#N/A</v>
      </c>
      <c r="AI63" s="1" t="e">
        <f t="shared" si="39"/>
        <v>#N/A</v>
      </c>
      <c r="AK63" s="1" t="e">
        <f t="shared" si="40"/>
        <v>#N/A</v>
      </c>
      <c r="AL63" s="1" t="e">
        <f t="shared" si="41"/>
        <v>#N/A</v>
      </c>
      <c r="AN63" s="1" t="e">
        <f>VLOOKUP(C63,tblTerritories!$J$3:$P$28,7,FALSE)+10</f>
        <v>#N/A</v>
      </c>
      <c r="AO63" s="1">
        <f>tblTerritories!P58</f>
        <v>4</v>
      </c>
      <c r="AP63" s="1">
        <f t="shared" si="24"/>
        <v>1</v>
      </c>
      <c r="AR63" s="1">
        <f>CHOOSE(uxb_works!$B$10,tblTerritories!V58,tblTerritories!X58,tblTerritories!Z58,tblTerritories!#REF!,tblTerritories!#REF!)</f>
        <v>0</v>
      </c>
    </row>
    <row r="64" spans="1:44">
      <c r="A64" s="1">
        <f t="shared" si="25"/>
        <v>57</v>
      </c>
      <c r="B64" s="1" t="str">
        <f>tblTerritories!B59</f>
        <v/>
      </c>
      <c r="C64" s="1" t="str">
        <f>tblTerritories!C59</f>
        <v>Washington DC</v>
      </c>
      <c r="D64" s="1">
        <f>tblTerritories!D59</f>
        <v>1</v>
      </c>
      <c r="E64" s="1">
        <f>IF(AND(OR(tblTerritories!$O$5=4,tblTerritories!$O$5=5),$D$2=3),0,IF(AND(OR(tblTerritories!$O$5=2,tblTerritories!$O$5=3),$D$2=3),tblTerritories!K59,IF(AND($D$2=3,tblTerritories!$O$5=1),AG64,tblTerritories!K59)))</f>
        <v>0</v>
      </c>
      <c r="F64" s="1">
        <f>IF(tblTerritories!F59="",0,tblTerritories!F59)</f>
        <v>1</v>
      </c>
      <c r="G64" s="290">
        <f t="shared" si="42"/>
        <v>80.37</v>
      </c>
      <c r="H64" s="1">
        <f>IF(F64=0,"",RANK(G64,G$8:G$68,0)+COUNTIF(G$8:G64,G64)-1)</f>
        <v>23</v>
      </c>
      <c r="I64" s="1">
        <f ca="1" t="shared" si="2"/>
        <v>23</v>
      </c>
      <c r="J64" s="273">
        <f ca="1" t="shared" si="3"/>
        <v>3.93</v>
      </c>
      <c r="K64" s="275">
        <f ca="1" t="shared" si="4"/>
        <v>-5</v>
      </c>
      <c r="L64" s="1">
        <f t="shared" si="26"/>
        <v>22</v>
      </c>
      <c r="M64" s="1">
        <f t="shared" si="6"/>
        <v>1</v>
      </c>
      <c r="N64" s="269">
        <f t="shared" si="27"/>
        <v>57</v>
      </c>
      <c r="O64" s="269">
        <f t="shared" si="28"/>
        <v>1</v>
      </c>
      <c r="Q64" s="269"/>
      <c r="R64" s="268">
        <f t="shared" si="29"/>
        <v>57</v>
      </c>
      <c r="S64" s="1" t="str">
        <f ca="1" t="shared" si="30"/>
        <v>Jakarta</v>
      </c>
      <c r="T64" s="1">
        <f t="shared" si="31"/>
        <v>53.39</v>
      </c>
      <c r="U64" s="290">
        <f ca="1" t="shared" si="32"/>
        <v>-1.11</v>
      </c>
      <c r="V64" s="277" t="b">
        <f ca="1" t="shared" si="13"/>
        <v>0</v>
      </c>
      <c r="W64" s="277">
        <f ca="1" t="shared" si="33"/>
        <v>-13</v>
      </c>
      <c r="X64" s="277" t="b">
        <f ca="1" t="shared" si="15"/>
        <v>0</v>
      </c>
      <c r="Y64" s="1" t="str">
        <f ca="1" t="shared" si="34"/>
        <v/>
      </c>
      <c r="AA64" s="268">
        <f t="shared" si="35"/>
        <v>53.39</v>
      </c>
      <c r="AB64" s="268"/>
      <c r="AC64" s="1">
        <f t="shared" si="36"/>
        <v>53.39</v>
      </c>
      <c r="AD64" s="1">
        <f t="shared" si="1"/>
        <v>1</v>
      </c>
      <c r="AE64" s="1" t="e">
        <f t="shared" si="37"/>
        <v>#N/A</v>
      </c>
      <c r="AF64" s="1">
        <v>0</v>
      </c>
      <c r="AG64" s="1">
        <f>IF(AF64=1,tblTerritories!K59,0)</f>
        <v>0</v>
      </c>
      <c r="AH64" s="1" t="e">
        <f t="shared" si="38"/>
        <v>#N/A</v>
      </c>
      <c r="AI64" s="1" t="e">
        <f t="shared" si="39"/>
        <v>#N/A</v>
      </c>
      <c r="AK64" s="1" t="e">
        <f t="shared" si="40"/>
        <v>#N/A</v>
      </c>
      <c r="AL64" s="1" t="e">
        <f t="shared" si="41"/>
        <v>#N/A</v>
      </c>
      <c r="AN64" s="1" t="e">
        <f>VLOOKUP(C64,tblTerritories!$J$3:$P$28,7,FALSE)+10</f>
        <v>#N/A</v>
      </c>
      <c r="AO64" s="1">
        <f>tblTerritories!P59</f>
        <v>4</v>
      </c>
      <c r="AP64" s="1">
        <f t="shared" si="24"/>
        <v>1</v>
      </c>
      <c r="AR64" s="1">
        <f>CHOOSE(uxb_works!$B$10,tblTerritories!V59,tblTerritories!X59,tblTerritories!Z59,tblTerritories!#REF!,tblTerritories!#REF!)</f>
        <v>0</v>
      </c>
    </row>
    <row r="65" spans="1:44">
      <c r="A65" s="1">
        <f t="shared" si="25"/>
        <v>58</v>
      </c>
      <c r="B65" s="1" t="str">
        <f>tblTerritories!B60</f>
        <v/>
      </c>
      <c r="C65" s="1" t="str">
        <f>tblTerritories!C60</f>
        <v>Wellington</v>
      </c>
      <c r="D65" s="1">
        <f>tblTerritories!D60</f>
        <v>1</v>
      </c>
      <c r="E65" s="1">
        <f>IF(AND(OR(tblTerritories!$O$5=4,tblTerritories!$O$5=5),$D$2=3),0,IF(AND(OR(tblTerritories!$O$5=2,tblTerritories!$O$5=3),$D$2=3),tblTerritories!K60,IF(AND($D$2=3,tblTerritories!$O$5=1),AG65,tblTerritories!K60)))</f>
        <v>0</v>
      </c>
      <c r="F65" s="1">
        <f>IF(tblTerritories!F60="",0,tblTerritories!F60)</f>
        <v>1</v>
      </c>
      <c r="G65" s="290">
        <f t="shared" si="42"/>
        <v>83.18</v>
      </c>
      <c r="H65" s="1">
        <f>IF(F65=0,"",RANK(G65,G$8:G$68,0)+COUNTIF(G$8:G65,G65)-1)</f>
        <v>16</v>
      </c>
      <c r="I65" s="1">
        <f ca="1" t="shared" si="2"/>
        <v>16</v>
      </c>
      <c r="J65" s="273" t="e">
        <f ca="1" t="shared" si="3"/>
        <v>#N/A</v>
      </c>
      <c r="K65" s="275" t="e">
        <f ca="1" t="shared" si="4"/>
        <v>#N/A</v>
      </c>
      <c r="L65" s="1">
        <f t="shared" si="26"/>
        <v>16</v>
      </c>
      <c r="M65" s="1">
        <f t="shared" si="6"/>
        <v>1</v>
      </c>
      <c r="N65" s="269">
        <f t="shared" si="27"/>
        <v>58</v>
      </c>
      <c r="O65" s="269">
        <f t="shared" si="28"/>
        <v>1</v>
      </c>
      <c r="Q65" s="269"/>
      <c r="R65" s="268">
        <f t="shared" si="29"/>
        <v>58</v>
      </c>
      <c r="S65" s="1" t="str">
        <f ca="1" t="shared" si="30"/>
        <v>Dhaka *</v>
      </c>
      <c r="T65" s="1">
        <f t="shared" si="31"/>
        <v>47.37</v>
      </c>
      <c r="U65" s="290" t="str">
        <f ca="1" t="shared" si="32"/>
        <v/>
      </c>
      <c r="V65" s="277" t="b">
        <f ca="1" t="shared" si="13"/>
        <v>0</v>
      </c>
      <c r="W65" s="277" t="str">
        <f ca="1" t="shared" si="33"/>
        <v/>
      </c>
      <c r="X65" s="277" t="b">
        <f ca="1" t="shared" si="15"/>
        <v>0</v>
      </c>
      <c r="Y65" s="1" t="str">
        <f ca="1" t="shared" si="34"/>
        <v> *</v>
      </c>
      <c r="AA65" s="268">
        <f t="shared" si="35"/>
        <v>47.37</v>
      </c>
      <c r="AB65" s="268"/>
      <c r="AC65" s="1">
        <f t="shared" si="36"/>
        <v>47.37</v>
      </c>
      <c r="AD65" s="1">
        <f t="shared" si="1"/>
        <v>1</v>
      </c>
      <c r="AE65" s="1" t="e">
        <f t="shared" si="37"/>
        <v>#N/A</v>
      </c>
      <c r="AF65" s="1">
        <v>0</v>
      </c>
      <c r="AG65" s="1">
        <f>IF(AF65=1,tblTerritories!K60,0)</f>
        <v>0</v>
      </c>
      <c r="AH65" s="1" t="e">
        <f t="shared" si="38"/>
        <v>#N/A</v>
      </c>
      <c r="AI65" s="1" t="e">
        <f t="shared" si="39"/>
        <v>#N/A</v>
      </c>
      <c r="AK65" s="1" t="e">
        <f t="shared" si="40"/>
        <v>#N/A</v>
      </c>
      <c r="AL65" s="1" t="e">
        <f t="shared" si="41"/>
        <v>#N/A</v>
      </c>
      <c r="AN65" s="1" t="e">
        <f>VLOOKUP(C65,tblTerritories!$J$3:$P$28,7,FALSE)+10</f>
        <v>#N/A</v>
      </c>
      <c r="AO65" s="1">
        <f>tblTerritories!P60</f>
        <v>6</v>
      </c>
      <c r="AP65" s="1">
        <f t="shared" si="24"/>
        <v>1</v>
      </c>
      <c r="AR65" s="1">
        <f>CHOOSE(uxb_works!$B$10,tblTerritories!V60,tblTerritories!X60,tblTerritories!Z60,tblTerritories!#REF!,tblTerritories!#REF!)</f>
        <v>0</v>
      </c>
    </row>
    <row r="66" spans="1:44">
      <c r="A66" s="1">
        <f t="shared" si="25"/>
        <v>59</v>
      </c>
      <c r="B66" s="1" t="str">
        <f>tblTerritories!B61</f>
        <v/>
      </c>
      <c r="C66" s="1" t="str">
        <f>tblTerritories!C61</f>
        <v>Yangon</v>
      </c>
      <c r="D66" s="1">
        <f>tblTerritories!D61</f>
        <v>1</v>
      </c>
      <c r="E66" s="1">
        <f>IF(AND(OR(tblTerritories!$O$5=4,tblTerritories!$O$5=5),$D$2=3),0,IF(AND(OR(tblTerritories!$O$5=2,tblTerritories!$O$5=3),$D$2=3),tblTerritories!K61,IF(AND($D$2=3,tblTerritories!$O$5=1),AG66,tblTerritories!K61)))</f>
        <v>0</v>
      </c>
      <c r="F66" s="1">
        <f>IF(tblTerritories!F61="",0,tblTerritories!F61)</f>
        <v>1</v>
      </c>
      <c r="G66" s="290">
        <f t="shared" si="42"/>
        <v>46.47</v>
      </c>
      <c r="H66" s="1">
        <f>IF(F66=0,"",RANK(G66,G$8:G$68,0)+COUNTIF(G$8:G66,G66)-1)</f>
        <v>59</v>
      </c>
      <c r="I66" s="1">
        <f ca="1" t="shared" si="2"/>
        <v>59</v>
      </c>
      <c r="J66" s="273" t="e">
        <f ca="1" t="shared" si="3"/>
        <v>#N/A</v>
      </c>
      <c r="K66" s="275" t="e">
        <f ca="1" t="shared" si="4"/>
        <v>#N/A</v>
      </c>
      <c r="L66" s="1">
        <f t="shared" si="26"/>
        <v>59</v>
      </c>
      <c r="M66" s="1">
        <f t="shared" si="6"/>
        <v>1</v>
      </c>
      <c r="N66" s="269">
        <f t="shared" si="27"/>
        <v>59</v>
      </c>
      <c r="O66" s="269">
        <f t="shared" si="28"/>
        <v>1</v>
      </c>
      <c r="Q66" s="269"/>
      <c r="R66" s="268">
        <f t="shared" si="29"/>
        <v>59</v>
      </c>
      <c r="S66" s="1" t="str">
        <f ca="1" t="shared" si="30"/>
        <v>Yangon *</v>
      </c>
      <c r="T66" s="1">
        <f t="shared" si="31"/>
        <v>46.47</v>
      </c>
      <c r="U66" s="290" t="str">
        <f ca="1" t="shared" si="32"/>
        <v/>
      </c>
      <c r="V66" s="277" t="b">
        <f ca="1" t="shared" si="13"/>
        <v>0</v>
      </c>
      <c r="W66" s="277" t="str">
        <f ca="1" t="shared" si="33"/>
        <v/>
      </c>
      <c r="X66" s="277" t="b">
        <f ca="1" t="shared" si="15"/>
        <v>0</v>
      </c>
      <c r="Y66" s="1" t="str">
        <f ca="1" t="shared" si="34"/>
        <v> *</v>
      </c>
      <c r="AA66" s="268">
        <f t="shared" si="35"/>
        <v>46.47</v>
      </c>
      <c r="AB66" s="268"/>
      <c r="AC66" s="1">
        <f t="shared" si="36"/>
        <v>46.47</v>
      </c>
      <c r="AD66" s="1">
        <f t="shared" si="1"/>
        <v>1</v>
      </c>
      <c r="AE66" s="1" t="e">
        <f t="shared" si="37"/>
        <v>#N/A</v>
      </c>
      <c r="AF66" s="1">
        <v>0</v>
      </c>
      <c r="AG66" s="1">
        <f>IF(AF66=1,tblTerritories!K61,0)</f>
        <v>0</v>
      </c>
      <c r="AH66" s="1" t="e">
        <f t="shared" si="38"/>
        <v>#N/A</v>
      </c>
      <c r="AI66" s="1" t="e">
        <f t="shared" si="39"/>
        <v>#N/A</v>
      </c>
      <c r="AK66" s="1" t="e">
        <f t="shared" si="40"/>
        <v>#N/A</v>
      </c>
      <c r="AL66" s="1" t="e">
        <f t="shared" si="41"/>
        <v>#N/A</v>
      </c>
      <c r="AN66" s="1" t="e">
        <f>VLOOKUP(C66,tblTerritories!$J$3:$P$28,7,FALSE)+10</f>
        <v>#N/A</v>
      </c>
      <c r="AO66" s="1">
        <f>tblTerritories!P61</f>
        <v>8</v>
      </c>
      <c r="AP66" s="1">
        <f t="shared" si="24"/>
        <v>1</v>
      </c>
      <c r="AR66" s="1">
        <f>CHOOSE(uxb_works!$B$10,tblTerritories!V61,tblTerritories!X61,tblTerritories!Z61,tblTerritories!#REF!,tblTerritories!#REF!)</f>
        <v>0</v>
      </c>
    </row>
    <row r="67" spans="1:44">
      <c r="A67" s="1">
        <f t="shared" si="25"/>
        <v>60</v>
      </c>
      <c r="B67" s="1" t="str">
        <f>tblTerritories!B62</f>
        <v/>
      </c>
      <c r="C67" s="1" t="str">
        <f>tblTerritories!C62</f>
        <v>Zurich</v>
      </c>
      <c r="D67" s="1">
        <f>tblTerritories!D62</f>
        <v>1</v>
      </c>
      <c r="E67" s="1">
        <f>IF(AND(OR(tblTerritories!$O$5=4,tblTerritories!$O$5=5),$D$2=3),0,IF(AND(OR(tblTerritories!$O$5=2,tblTerritories!$O$5=3),$D$2=3),tblTerritories!K62,IF(AND($D$2=3,tblTerritories!$O$5=1),AG67,tblTerritories!K62)))</f>
        <v>0</v>
      </c>
      <c r="F67" s="1">
        <f>IF(tblTerritories!F62="",0,tblTerritories!F62)</f>
        <v>1</v>
      </c>
      <c r="G67" s="290">
        <f t="shared" si="42"/>
        <v>85.2</v>
      </c>
      <c r="H67" s="1">
        <f>IF(F67=0,"",RANK(G67,G$8:G$68,0)+COUNTIF(G$8:G67,G67)-1)</f>
        <v>10</v>
      </c>
      <c r="I67" s="1">
        <f ca="1" t="shared" si="2"/>
        <v>10</v>
      </c>
      <c r="J67" s="273">
        <f ca="1" t="shared" si="3"/>
        <v>4.38</v>
      </c>
      <c r="K67" s="275">
        <f ca="1" t="shared" si="4"/>
        <v>-1</v>
      </c>
      <c r="L67" s="1">
        <f t="shared" si="26"/>
        <v>25</v>
      </c>
      <c r="M67" s="1">
        <f t="shared" si="6"/>
        <v>1</v>
      </c>
      <c r="N67" s="269">
        <f t="shared" si="27"/>
        <v>60</v>
      </c>
      <c r="O67" s="269">
        <f t="shared" si="28"/>
        <v>1</v>
      </c>
      <c r="Q67" s="269"/>
      <c r="R67" s="268">
        <f t="shared" si="29"/>
        <v>60</v>
      </c>
      <c r="S67" s="1" t="str">
        <f ca="1" t="shared" si="30"/>
        <v>Karachi *</v>
      </c>
      <c r="T67" s="1">
        <f t="shared" si="31"/>
        <v>38.77</v>
      </c>
      <c r="U67" s="290" t="str">
        <f ca="1" t="shared" si="32"/>
        <v/>
      </c>
      <c r="V67" s="277" t="b">
        <f ca="1" t="shared" si="13"/>
        <v>0</v>
      </c>
      <c r="W67" s="277" t="str">
        <f ca="1" t="shared" si="33"/>
        <v/>
      </c>
      <c r="X67" s="277" t="b">
        <f ca="1" t="shared" si="15"/>
        <v>0</v>
      </c>
      <c r="Y67" s="1" t="str">
        <f ca="1" t="shared" si="34"/>
        <v> *</v>
      </c>
      <c r="AA67" s="268">
        <f t="shared" si="35"/>
        <v>38.77</v>
      </c>
      <c r="AB67" s="268"/>
      <c r="AC67" s="1">
        <f t="shared" si="36"/>
        <v>38.77</v>
      </c>
      <c r="AD67" s="1">
        <f t="shared" si="1"/>
        <v>1</v>
      </c>
      <c r="AE67" s="1" t="e">
        <f t="shared" si="37"/>
        <v>#N/A</v>
      </c>
      <c r="AF67" s="1">
        <v>0</v>
      </c>
      <c r="AG67" s="1">
        <f>IF(AF67=1,tblTerritories!K62,0)</f>
        <v>0</v>
      </c>
      <c r="AH67" s="1" t="e">
        <f t="shared" si="38"/>
        <v>#N/A</v>
      </c>
      <c r="AI67" s="1" t="e">
        <f t="shared" si="39"/>
        <v>#N/A</v>
      </c>
      <c r="AK67" s="1" t="e">
        <f t="shared" si="40"/>
        <v>#N/A</v>
      </c>
      <c r="AL67" s="1" t="e">
        <f t="shared" si="41"/>
        <v>#N/A</v>
      </c>
      <c r="AN67" s="1" t="e">
        <f>VLOOKUP(C67,tblTerritories!$J$3:$P$28,7,FALSE)+10</f>
        <v>#N/A</v>
      </c>
      <c r="AO67" s="1">
        <f>tblTerritories!P62</f>
        <v>1</v>
      </c>
      <c r="AP67" s="1">
        <f t="shared" si="24"/>
        <v>1</v>
      </c>
      <c r="AR67" s="1">
        <f>CHOOSE(uxb_works!$B$10,tblTerritories!V62,tblTerritories!X62,tblTerritories!Z62,tblTerritories!#REF!,tblTerritories!#REF!)</f>
        <v>0</v>
      </c>
    </row>
    <row r="68" spans="1:44">
      <c r="A68" s="1">
        <f t="shared" si="25"/>
        <v>61</v>
      </c>
      <c r="B68" s="1" t="str">
        <f>tblTerritories!B63</f>
        <v/>
      </c>
      <c r="C68" s="1" t="str">
        <f>tblTerritories!C63</f>
        <v>Kyoto</v>
      </c>
      <c r="D68" s="1">
        <f>tblTerritories!D63</f>
        <v>0</v>
      </c>
      <c r="E68" s="1">
        <f>IF(AND(OR(tblTerritories!$O$5=4,tblTerritories!$O$5=5),$D$2=3),0,IF(AND(OR(tblTerritories!$O$5=2,tblTerritories!$O$5=3),$D$2=3),tblTerritories!K63,IF(AND($D$2=3,tblTerritories!$O$5=1),AG68,tblTerritories!K63)))</f>
        <v>0</v>
      </c>
      <c r="F68" s="1">
        <f>IF(tblTerritories!F63="",0,tblTerritories!F63)</f>
        <v>0</v>
      </c>
      <c r="G68" s="290" t="str">
        <f t="shared" si="42"/>
        <v/>
      </c>
      <c r="H68" s="1" t="str">
        <f>IF(F68=0,"",RANK(G68,G$8:G$68,0)+COUNTIF(G$8:G68,G68)-1)</f>
        <v/>
      </c>
      <c r="I68" s="1">
        <f ca="1" t="shared" si="2"/>
        <v>3</v>
      </c>
      <c r="J68" s="273" t="e">
        <f ca="1" t="shared" si="3"/>
        <v>#VALUE!</v>
      </c>
      <c r="K68" s="275" t="str">
        <f ca="1" t="shared" si="4"/>
        <v/>
      </c>
      <c r="L68" s="1" t="str">
        <f t="shared" si="26"/>
        <v/>
      </c>
      <c r="M68" s="1" t="str">
        <f t="shared" si="6"/>
        <v/>
      </c>
      <c r="N68" s="269" t="str">
        <f t="shared" si="27"/>
        <v/>
      </c>
      <c r="O68" s="269">
        <f t="shared" si="28"/>
        <v>0</v>
      </c>
      <c r="Q68" s="269"/>
      <c r="R68" s="268" t="str">
        <f t="shared" si="29"/>
        <v/>
      </c>
      <c r="S68" s="1" t="str">
        <f ca="1" t="shared" si="30"/>
        <v/>
      </c>
      <c r="T68" s="1" t="str">
        <f t="shared" si="31"/>
        <v/>
      </c>
      <c r="U68" s="290" t="str">
        <f ca="1" t="shared" si="32"/>
        <v/>
      </c>
      <c r="V68" s="277" t="b">
        <f ca="1" t="shared" si="13"/>
        <v>0</v>
      </c>
      <c r="W68" s="277" t="str">
        <f ca="1" t="shared" si="33"/>
        <v/>
      </c>
      <c r="X68" s="277" t="b">
        <f ca="1" t="shared" si="15"/>
        <v>0</v>
      </c>
      <c r="Y68" s="1" t="str">
        <f ca="1" t="shared" si="34"/>
        <v/>
      </c>
      <c r="AA68" s="268" t="str">
        <f t="shared" si="35"/>
        <v/>
      </c>
      <c r="AB68" s="268"/>
      <c r="AC68" s="1" t="e">
        <f t="shared" si="36"/>
        <v>#N/A</v>
      </c>
      <c r="AD68" s="1">
        <f t="shared" si="1"/>
        <v>1</v>
      </c>
      <c r="AE68" s="1" t="e">
        <f t="shared" si="37"/>
        <v>#N/A</v>
      </c>
      <c r="AF68" s="1">
        <v>0</v>
      </c>
      <c r="AG68" s="1">
        <f>IF(AF68=1,tblTerritories!K63,0)</f>
        <v>0</v>
      </c>
      <c r="AH68" s="1" t="e">
        <f t="shared" si="38"/>
        <v>#N/A</v>
      </c>
      <c r="AI68" s="1" t="e">
        <f t="shared" si="39"/>
        <v>#N/A</v>
      </c>
      <c r="AK68" s="1" t="e">
        <f t="shared" si="40"/>
        <v>#N/A</v>
      </c>
      <c r="AL68" s="1" t="e">
        <f t="shared" si="41"/>
        <v>#N/A</v>
      </c>
      <c r="AN68" s="1" t="e">
        <f>VLOOKUP(C68,tblTerritories!$J$3:$P$28,7,FALSE)+10</f>
        <v>#N/A</v>
      </c>
      <c r="AO68" s="1" t="e">
        <f>tblTerritories!P63</f>
        <v>#N/A</v>
      </c>
      <c r="AP68" s="1">
        <f t="shared" si="24"/>
        <v>1</v>
      </c>
      <c r="AR68" s="1">
        <f>CHOOSE(uxb_works!$B$10,tblTerritories!V63,tblTerritories!X63,tblTerritories!Z63,tblTerritories!#REF!,tblTerritories!#REF!)</f>
        <v>0</v>
      </c>
    </row>
    <row r="69" spans="7:28">
      <c r="G69" s="290"/>
      <c r="N69" s="269"/>
      <c r="O69" s="269"/>
      <c r="P69" s="269"/>
      <c r="Q69" s="269"/>
      <c r="R69" s="268"/>
      <c r="T69" s="277"/>
      <c r="V69" s="277"/>
      <c r="W69" s="277"/>
      <c r="X69" s="277"/>
      <c r="Y69" s="277"/>
      <c r="Z69" s="292"/>
      <c r="AA69" s="268"/>
      <c r="AB69" s="268"/>
    </row>
    <row r="70" spans="1:28">
      <c r="A70" s="1" t="s">
        <v>349</v>
      </c>
      <c r="B70" s="1" t="str">
        <f>uxb_works!C8</f>
        <v>&lt;none&gt;</v>
      </c>
      <c r="G70" s="290"/>
      <c r="N70" s="269"/>
      <c r="O70" s="269"/>
      <c r="P70" s="269"/>
      <c r="Q70" s="269"/>
      <c r="R70" s="268"/>
      <c r="T70" s="277"/>
      <c r="V70" s="277"/>
      <c r="W70" s="277"/>
      <c r="X70" s="277"/>
      <c r="Y70" s="277"/>
      <c r="Z70" s="292"/>
      <c r="AA70" s="268"/>
      <c r="AB70" s="268"/>
    </row>
    <row r="71" spans="7:7">
      <c r="G71" s="290"/>
    </row>
    <row r="72" spans="7:20">
      <c r="G72" s="290"/>
      <c r="M72" s="1">
        <v>1</v>
      </c>
      <c r="T72" s="1" t="e">
        <f>IF(uxb_works!B6&gt;1,INDEX(G7:G68,uxb_works!B6),NA())</f>
        <v>#N/A</v>
      </c>
    </row>
    <row r="74" spans="28:37">
      <c r="AB74" s="21"/>
      <c r="AK74" s="21" t="s">
        <v>350</v>
      </c>
    </row>
    <row r="79" spans="20:26">
      <c r="T79" s="277"/>
      <c r="V79" s="277"/>
      <c r="W79" s="277"/>
      <c r="X79" s="277"/>
      <c r="Y79" s="277"/>
      <c r="Z79" s="277"/>
    </row>
    <row r="80" spans="20:26">
      <c r="T80" s="277"/>
      <c r="V80" s="277"/>
      <c r="W80" s="277"/>
      <c r="X80" s="277"/>
      <c r="Y80" s="277"/>
      <c r="Z80" s="277"/>
    </row>
    <row r="81" spans="20:26">
      <c r="T81" s="277"/>
      <c r="V81" s="277"/>
      <c r="W81" s="277"/>
      <c r="X81" s="277"/>
      <c r="Y81" s="277"/>
      <c r="Z81" s="277"/>
    </row>
    <row r="82" spans="20:26">
      <c r="T82" s="277"/>
      <c r="V82" s="277"/>
      <c r="W82" s="277"/>
      <c r="X82" s="277"/>
      <c r="Y82" s="277"/>
      <c r="Z82" s="277"/>
    </row>
    <row r="83" spans="20:26">
      <c r="T83" s="277"/>
      <c r="V83" s="277"/>
      <c r="W83" s="277"/>
      <c r="X83" s="277"/>
      <c r="Y83" s="277"/>
      <c r="Z83" s="277"/>
    </row>
    <row r="84" spans="20:26">
      <c r="T84" s="277"/>
      <c r="V84" s="277"/>
      <c r="W84" s="277"/>
      <c r="X84" s="277"/>
      <c r="Y84" s="277"/>
      <c r="Z84" s="277"/>
    </row>
    <row r="85" spans="20:26">
      <c r="T85" s="277"/>
      <c r="V85" s="277"/>
      <c r="W85" s="277"/>
      <c r="X85" s="277"/>
      <c r="Y85" s="277"/>
      <c r="Z85" s="277"/>
    </row>
    <row r="86" spans="20:26">
      <c r="T86" s="277"/>
      <c r="V86" s="277"/>
      <c r="W86" s="277"/>
      <c r="X86" s="277"/>
      <c r="Y86" s="277"/>
      <c r="Z86" s="277"/>
    </row>
    <row r="87" spans="20:26">
      <c r="T87" s="277"/>
      <c r="V87" s="277"/>
      <c r="W87" s="277"/>
      <c r="X87" s="277"/>
      <c r="Y87" s="277"/>
      <c r="Z87" s="277"/>
    </row>
    <row r="88" spans="20:26">
      <c r="T88" s="277"/>
      <c r="V88" s="277"/>
      <c r="W88" s="277"/>
      <c r="X88" s="277"/>
      <c r="Y88" s="277"/>
      <c r="Z88" s="277"/>
    </row>
    <row r="89" spans="20:26">
      <c r="T89" s="277"/>
      <c r="V89" s="277"/>
      <c r="W89" s="277"/>
      <c r="X89" s="277"/>
      <c r="Y89" s="277"/>
      <c r="Z89" s="277"/>
    </row>
  </sheetData>
  <pageMargins left="0.551181102362205" right="0.551181102362205" top="0.590551181102362" bottom="0.78740157480315" header="0.511811023622047" footer="0.511811023622047"/>
  <pageSetup paperSize="9" scale="32" orientation="landscape"/>
  <headerFooter alignWithMargins="0">
    <oddHeader>&amp;RSafe Cities Index : 2017</oddHeader>
  </headerFooter>
  <ignoredErrors>
    <ignoredError sqref="W8" formula="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FFC000"/>
    <pageSetUpPr fitToPage="1"/>
  </sheetPr>
  <dimension ref="A1:AA79"/>
  <sheetViews>
    <sheetView showRowColHeaders="0" zoomScale="90" zoomScaleNormal="90" workbookViewId="0">
      <selection activeCell="C19" sqref="C19"/>
    </sheetView>
  </sheetViews>
  <sheetFormatPr defaultColWidth="9.14285714285714" defaultRowHeight="15"/>
  <cols>
    <col min="1" max="1" width="18.4285714285714" customWidth="1"/>
    <col min="2" max="2" width="9.14285714285714" customWidth="1"/>
    <col min="3" max="3" width="13.1428571428571" customWidth="1"/>
    <col min="4" max="4" width="10.2857142857143" customWidth="1"/>
    <col min="5" max="5" width="9.14285714285714" customWidth="1"/>
    <col min="6" max="6" width="23.4285714285714" customWidth="1"/>
    <col min="7" max="17" width="9.14285714285714" customWidth="1"/>
    <col min="18" max="18" width="4.28571428571429" customWidth="1"/>
    <col min="19" max="19" width="4.42857142857143" customWidth="1"/>
    <col min="20" max="21" width="9.42857142857143" customWidth="1"/>
    <col min="23" max="23" width="9.42857142857143" customWidth="1"/>
    <col min="24" max="24" width="11.1428571428571" customWidth="1"/>
    <col min="26" max="27" width="9.42857142857143" customWidth="1"/>
  </cols>
  <sheetData>
    <row r="1" spans="1:7">
      <c r="A1" t="s">
        <v>351</v>
      </c>
      <c r="B1" s="283">
        <f>uxb_works!B32</f>
        <v>1</v>
      </c>
      <c r="E1">
        <f>uxb_works!E32</f>
        <v>0</v>
      </c>
      <c r="F1" t="str">
        <f>uxb_works!F32</f>
        <v>OVERALL SCORE</v>
      </c>
      <c r="G1" t="str">
        <f>uxb_works!G32</f>
        <v>OVERALL SCORE</v>
      </c>
    </row>
    <row r="2" spans="1:7">
      <c r="A2" t="s">
        <v>352</v>
      </c>
      <c r="B2" s="283">
        <f>uxb_works!B33</f>
        <v>1</v>
      </c>
      <c r="E2">
        <f>uxb_works!E33</f>
        <v>0</v>
      </c>
      <c r="F2" t="str">
        <f>uxb_works!F33</f>
        <v>OVERALL SCORE</v>
      </c>
      <c r="G2" t="str">
        <f>uxb_works!G33</f>
        <v>OVERALL SCORE</v>
      </c>
    </row>
    <row r="3" spans="1:2">
      <c r="A3" t="s">
        <v>353</v>
      </c>
      <c r="B3" s="283">
        <f>uxb_works!B7</f>
        <v>0</v>
      </c>
    </row>
    <row r="4" spans="1:2">
      <c r="A4" t="s">
        <v>80</v>
      </c>
      <c r="B4" s="283" t="b">
        <f>uxb_works!B35</f>
        <v>0</v>
      </c>
    </row>
    <row r="5" spans="1:2">
      <c r="A5" t="s">
        <v>81</v>
      </c>
      <c r="B5" s="283" t="b">
        <f>uxb_works!B36</f>
        <v>0</v>
      </c>
    </row>
    <row r="6" spans="1:2">
      <c r="A6" t="str">
        <f>uxb_works!A46</f>
        <v>YEAR_SELECT</v>
      </c>
      <c r="B6">
        <f>uxb_works!B46</f>
        <v>3</v>
      </c>
    </row>
    <row r="7" spans="1:4">
      <c r="A7" t="s">
        <v>354</v>
      </c>
      <c r="B7">
        <v>1000</v>
      </c>
      <c r="C7" t="s">
        <v>355</v>
      </c>
      <c r="D7">
        <f>uxb_works!D34</f>
        <v>0</v>
      </c>
    </row>
    <row r="8" spans="1:1">
      <c r="A8" t="s">
        <v>130</v>
      </c>
    </row>
    <row r="9" spans="1:2">
      <c r="A9" t="s">
        <v>356</v>
      </c>
      <c r="B9" t="str">
        <f>F1</f>
        <v>OVERALL SCORE</v>
      </c>
    </row>
    <row r="10" spans="1:2">
      <c r="A10" t="s">
        <v>357</v>
      </c>
      <c r="B10" t="str">
        <f>F2</f>
        <v>OVERALL SCORE</v>
      </c>
    </row>
    <row r="12" spans="1:2">
      <c r="A12" t="s">
        <v>358</v>
      </c>
      <c r="B12">
        <f>SLOPE(H19:H79,G19:G79)</f>
        <v>1</v>
      </c>
    </row>
    <row r="13" spans="1:2">
      <c r="A13" t="s">
        <v>359</v>
      </c>
      <c r="B13">
        <f>INTERCEPT(H19:H79,G19:G79)</f>
        <v>0</v>
      </c>
    </row>
    <row r="14" spans="1:2">
      <c r="A14" t="s">
        <v>360</v>
      </c>
      <c r="B14">
        <f>CORREL(G19:G79,H19:H79)</f>
        <v>1</v>
      </c>
    </row>
    <row r="15" spans="1:5">
      <c r="A15" t="s">
        <v>361</v>
      </c>
      <c r="B15" t="b">
        <f>IF(ISERROR(B14),FALSE,TRUE)</f>
        <v>1</v>
      </c>
      <c r="D15" t="e">
        <f>IF($C15=0,NA(),IF($B$7&gt;$B$1,INDEX(aScores,$B$1,$A15),INDEX(aData,$B$1,$A15)))</f>
        <v>#N/A</v>
      </c>
      <c r="E15" t="e">
        <f>IF($C15=0,NA(),IF($B$7&gt;$B$2,INDEX(aScores,$B$2,$A15),INDEX(aData,$B$2,$A15)))</f>
        <v>#N/A</v>
      </c>
    </row>
    <row r="17" spans="4:26">
      <c r="D17" t="s">
        <v>362</v>
      </c>
      <c r="F17" t="s">
        <v>363</v>
      </c>
      <c r="G17" t="s">
        <v>364</v>
      </c>
      <c r="J17" t="s">
        <v>365</v>
      </c>
      <c r="M17" s="288" t="s">
        <v>366</v>
      </c>
      <c r="S17" s="288" t="s">
        <v>367</v>
      </c>
      <c r="W17" s="288" t="s">
        <v>368</v>
      </c>
      <c r="Z17" s="288" t="s">
        <v>369</v>
      </c>
    </row>
    <row r="18" spans="1:27">
      <c r="A18" t="s">
        <v>370</v>
      </c>
      <c r="B18" t="s">
        <v>15</v>
      </c>
      <c r="C18" s="284" t="s">
        <v>371</v>
      </c>
      <c r="D18" s="284" t="s">
        <v>344</v>
      </c>
      <c r="E18" s="284" t="s">
        <v>345</v>
      </c>
      <c r="G18" s="284" t="s">
        <v>344</v>
      </c>
      <c r="H18" s="284" t="s">
        <v>345</v>
      </c>
      <c r="J18" s="284" t="s">
        <v>345</v>
      </c>
      <c r="K18" s="284" t="s">
        <v>372</v>
      </c>
      <c r="N18" t="s">
        <v>373</v>
      </c>
      <c r="O18" s="289" t="s">
        <v>374</v>
      </c>
      <c r="P18" t="s">
        <v>344</v>
      </c>
      <c r="Q18" t="s">
        <v>345</v>
      </c>
      <c r="S18" t="s">
        <v>375</v>
      </c>
      <c r="T18" t="s">
        <v>344</v>
      </c>
      <c r="U18" t="s">
        <v>345</v>
      </c>
      <c r="W18" t="s">
        <v>344</v>
      </c>
      <c r="X18" t="s">
        <v>345</v>
      </c>
      <c r="Z18" t="s">
        <v>344</v>
      </c>
      <c r="AA18" t="s">
        <v>345</v>
      </c>
    </row>
    <row r="19" spans="1:27">
      <c r="A19">
        <v>1</v>
      </c>
      <c r="B19" t="str">
        <f>tblTerritories!C3</f>
        <v>Abu Dhabi</v>
      </c>
      <c r="C19">
        <f>IF(tblTerritories!F3="",0,tblTerritories!F3)</f>
        <v>1</v>
      </c>
      <c r="D19">
        <f t="shared" ref="D19:D50" si="0">IF($C19=0,NA(),CHOOSE($B$6,INDEX(aScores_2014_O,$B$1,$A19),INDEX(aScores_2014_N,$B$1,$A19),INDEX(aScores_2017,$B$1,$A19)))</f>
        <v>76.9075622869516</v>
      </c>
      <c r="E19">
        <f t="shared" ref="E19:E50" si="1">IF($C19=0,NA(),CHOOSE($B$6,INDEX(aScores_2014_O,$B$2,$A19),INDEX(aScores_2014_N,$B$2,$A19),INDEX(aScores_2017,$B$2,$A19)))</f>
        <v>76.9075622869516</v>
      </c>
      <c r="F19" t="b">
        <f>AND(ISNUMBER(D19),ISNUMBER(E19))</f>
        <v>1</v>
      </c>
      <c r="G19">
        <f>IF($F19,D19,"")</f>
        <v>76.9075622869516</v>
      </c>
      <c r="H19">
        <f>IF($F19,E19,"")</f>
        <v>76.9075622869516</v>
      </c>
      <c r="J19">
        <f>IF(G19="","",(G19*$B$12)+$B$13)</f>
        <v>76.9075622869516</v>
      </c>
      <c r="K19">
        <f>IF(J19="","",H19-J19)</f>
        <v>0</v>
      </c>
      <c r="N19">
        <f>B3</f>
        <v>0</v>
      </c>
      <c r="O19" t="str">
        <f ca="1">IF($B$3=0,"&lt;none&gt;",INDEX(LuCities,$B$3))</f>
        <v>&lt;none&gt;</v>
      </c>
      <c r="P19" t="e">
        <f>IF($B$3=0,NA(),INDEX(G19:G79,$B$3))</f>
        <v>#N/A</v>
      </c>
      <c r="Q19" t="e">
        <f>IF($B$3=0,NA(),INDEX(H19:H79,$B$3))</f>
        <v>#N/A</v>
      </c>
      <c r="S19">
        <f t="shared" ref="S19:S33" si="2">IF(NOT($B$4),0,IF(OR(A19=$N$19,A19=$N$23,A19=$N$27),0,IF(AND(C19&lt;3,F19),1,0)))</f>
        <v>0</v>
      </c>
      <c r="T19" t="e">
        <f t="shared" ref="T19:U33" si="3">IF($S19=0,NA(),G19)</f>
        <v>#N/A</v>
      </c>
      <c r="U19" t="e">
        <f t="shared" si="3"/>
        <v>#N/A</v>
      </c>
      <c r="W19">
        <f t="shared" ref="W19:X33" si="4">IF(AND($C19&gt;0,$F19),G19,NA())</f>
        <v>76.9075622869516</v>
      </c>
      <c r="X19">
        <f t="shared" si="4"/>
        <v>76.9075622869516</v>
      </c>
      <c r="Z19" t="e">
        <f t="shared" ref="Z19:AA33" si="5">IF(AND($C19=2,$F19),G19,NA())</f>
        <v>#N/A</v>
      </c>
      <c r="AA19" t="e">
        <f t="shared" si="5"/>
        <v>#N/A</v>
      </c>
    </row>
    <row r="20" spans="1:27">
      <c r="A20">
        <v>2</v>
      </c>
      <c r="B20" t="str">
        <f>tblTerritories!C4</f>
        <v>Amsterdam</v>
      </c>
      <c r="C20">
        <f>IF(tblTerritories!F4="",0,tblTerritories!F4)</f>
        <v>1</v>
      </c>
      <c r="D20">
        <f t="shared" si="0"/>
        <v>87.26365184148</v>
      </c>
      <c r="E20">
        <f t="shared" si="1"/>
        <v>87.26365184148</v>
      </c>
      <c r="F20" t="b">
        <f t="shared" ref="F20:F33" si="6">AND(ISNUMBER(D20),ISNUMBER(E20))</f>
        <v>1</v>
      </c>
      <c r="G20">
        <f t="shared" ref="G20:H33" si="7">IF($F20,D20,"")</f>
        <v>87.26365184148</v>
      </c>
      <c r="H20">
        <f t="shared" si="7"/>
        <v>87.26365184148</v>
      </c>
      <c r="J20">
        <f t="shared" ref="J20:J33" si="8">IF(G20="","",(G20*$B$12)+$B$13)</f>
        <v>87.26365184148</v>
      </c>
      <c r="K20">
        <f t="shared" ref="K20:K33" si="9">IF(J20="","",H20-J20)</f>
        <v>0</v>
      </c>
      <c r="S20">
        <f t="shared" si="2"/>
        <v>0</v>
      </c>
      <c r="T20" t="e">
        <f t="shared" si="3"/>
        <v>#N/A</v>
      </c>
      <c r="U20" t="e">
        <f t="shared" si="3"/>
        <v>#N/A</v>
      </c>
      <c r="W20">
        <f t="shared" si="4"/>
        <v>87.26365184148</v>
      </c>
      <c r="X20">
        <f t="shared" si="4"/>
        <v>87.26365184148</v>
      </c>
      <c r="Z20" t="e">
        <f t="shared" si="5"/>
        <v>#N/A</v>
      </c>
      <c r="AA20" t="e">
        <f t="shared" si="5"/>
        <v>#N/A</v>
      </c>
    </row>
    <row r="21" spans="1:27">
      <c r="A21">
        <v>3</v>
      </c>
      <c r="B21" t="str">
        <f>tblTerritories!C5</f>
        <v>Athens</v>
      </c>
      <c r="C21">
        <f>IF(tblTerritories!F5="",0,tblTerritories!F5)</f>
        <v>1</v>
      </c>
      <c r="D21">
        <f t="shared" si="0"/>
        <v>71.8968367863189</v>
      </c>
      <c r="E21">
        <f t="shared" si="1"/>
        <v>71.8968367863189</v>
      </c>
      <c r="F21" t="b">
        <f t="shared" si="6"/>
        <v>1</v>
      </c>
      <c r="G21">
        <f t="shared" si="7"/>
        <v>71.8968367863189</v>
      </c>
      <c r="H21">
        <f t="shared" si="7"/>
        <v>71.8968367863189</v>
      </c>
      <c r="J21">
        <f t="shared" si="8"/>
        <v>71.8968367863189</v>
      </c>
      <c r="K21">
        <f t="shared" si="9"/>
        <v>0</v>
      </c>
      <c r="M21" s="288" t="s">
        <v>376</v>
      </c>
      <c r="S21">
        <f t="shared" si="2"/>
        <v>0</v>
      </c>
      <c r="T21" t="e">
        <f t="shared" si="3"/>
        <v>#N/A</v>
      </c>
      <c r="U21" t="e">
        <f t="shared" si="3"/>
        <v>#N/A</v>
      </c>
      <c r="W21">
        <f t="shared" si="4"/>
        <v>71.8968367863189</v>
      </c>
      <c r="X21">
        <f t="shared" si="4"/>
        <v>71.8968367863189</v>
      </c>
      <c r="Z21" t="e">
        <f t="shared" si="5"/>
        <v>#N/A</v>
      </c>
      <c r="AA21" t="e">
        <f t="shared" si="5"/>
        <v>#N/A</v>
      </c>
    </row>
    <row r="22" spans="1:27">
      <c r="A22">
        <v>4</v>
      </c>
      <c r="B22" t="str">
        <f>tblTerritories!C6</f>
        <v>Bangkok</v>
      </c>
      <c r="C22">
        <f>IF(tblTerritories!F6="",0,tblTerritories!F6)</f>
        <v>1</v>
      </c>
      <c r="D22">
        <f t="shared" si="0"/>
        <v>60.0526481789</v>
      </c>
      <c r="E22">
        <f t="shared" si="1"/>
        <v>60.0526481789</v>
      </c>
      <c r="F22" t="b">
        <f t="shared" si="6"/>
        <v>1</v>
      </c>
      <c r="G22">
        <f t="shared" si="7"/>
        <v>60.0526481789</v>
      </c>
      <c r="H22">
        <f t="shared" si="7"/>
        <v>60.0526481789</v>
      </c>
      <c r="J22">
        <f t="shared" si="8"/>
        <v>60.0526481789</v>
      </c>
      <c r="K22">
        <f t="shared" si="9"/>
        <v>0</v>
      </c>
      <c r="M22" t="s">
        <v>377</v>
      </c>
      <c r="N22" t="s">
        <v>373</v>
      </c>
      <c r="O22" s="289" t="s">
        <v>374</v>
      </c>
      <c r="P22" t="s">
        <v>344</v>
      </c>
      <c r="Q22" t="s">
        <v>345</v>
      </c>
      <c r="S22">
        <f t="shared" si="2"/>
        <v>0</v>
      </c>
      <c r="T22" t="e">
        <f t="shared" si="3"/>
        <v>#N/A</v>
      </c>
      <c r="U22" t="e">
        <f t="shared" si="3"/>
        <v>#N/A</v>
      </c>
      <c r="W22">
        <f t="shared" si="4"/>
        <v>60.0526481789</v>
      </c>
      <c r="X22">
        <f t="shared" si="4"/>
        <v>60.0526481789</v>
      </c>
      <c r="Z22" t="e">
        <f t="shared" si="5"/>
        <v>#N/A</v>
      </c>
      <c r="AA22" t="e">
        <f t="shared" si="5"/>
        <v>#N/A</v>
      </c>
    </row>
    <row r="23" spans="1:27">
      <c r="A23">
        <v>5</v>
      </c>
      <c r="B23" t="str">
        <f>tblTerritories!C7</f>
        <v>Barcelona</v>
      </c>
      <c r="C23">
        <f>IF(tblTerritories!F7="",0,tblTerritories!F7)</f>
        <v>1</v>
      </c>
      <c r="D23">
        <f t="shared" si="0"/>
        <v>83.7146072727325</v>
      </c>
      <c r="E23">
        <f t="shared" si="1"/>
        <v>83.7146072727325</v>
      </c>
      <c r="F23" t="b">
        <f t="shared" si="6"/>
        <v>1</v>
      </c>
      <c r="G23">
        <f t="shared" si="7"/>
        <v>83.7146072727325</v>
      </c>
      <c r="H23">
        <f t="shared" si="7"/>
        <v>83.7146072727325</v>
      </c>
      <c r="J23">
        <f t="shared" si="8"/>
        <v>83.7146072727325</v>
      </c>
      <c r="K23">
        <f t="shared" si="9"/>
        <v>0</v>
      </c>
      <c r="M23">
        <f>MAX(K19:K79)</f>
        <v>0</v>
      </c>
      <c r="N23">
        <f>IF(B15,IF($B$5,MATCH(M23,K19:K79,0),0),0)</f>
        <v>0</v>
      </c>
      <c r="O23" t="e">
        <f>IF(AND($B$15,$B$5,N23&lt;&gt;N19),INDEX(B19:B79,$N23),NA())</f>
        <v>#N/A</v>
      </c>
      <c r="P23" t="e">
        <f>IF(AND($B$15,$B$5,N23&lt;&gt;N19),INDEX(G19:G79,$N23),NA())</f>
        <v>#N/A</v>
      </c>
      <c r="Q23" t="e">
        <f>IF(AND($B$15,$B$5,N23&lt;&gt;N19),INDEX(H19:H79,$N23),NA())</f>
        <v>#N/A</v>
      </c>
      <c r="S23">
        <f t="shared" si="2"/>
        <v>0</v>
      </c>
      <c r="T23" t="e">
        <f t="shared" si="3"/>
        <v>#N/A</v>
      </c>
      <c r="U23" t="e">
        <f t="shared" si="3"/>
        <v>#N/A</v>
      </c>
      <c r="W23">
        <f t="shared" si="4"/>
        <v>83.7146072727325</v>
      </c>
      <c r="X23">
        <f t="shared" si="4"/>
        <v>83.7146072727325</v>
      </c>
      <c r="Z23" t="e">
        <f t="shared" si="5"/>
        <v>#N/A</v>
      </c>
      <c r="AA23" t="e">
        <f t="shared" si="5"/>
        <v>#N/A</v>
      </c>
    </row>
    <row r="24" spans="1:27">
      <c r="A24">
        <v>6</v>
      </c>
      <c r="B24" t="str">
        <f>tblTerritories!C8</f>
        <v>Beijing</v>
      </c>
      <c r="C24">
        <f>IF(tblTerritories!F8="",0,tblTerritories!F8)</f>
        <v>1</v>
      </c>
      <c r="D24">
        <f t="shared" si="0"/>
        <v>72.0648727049485</v>
      </c>
      <c r="E24">
        <f t="shared" si="1"/>
        <v>72.0648727049485</v>
      </c>
      <c r="F24" t="b">
        <f t="shared" si="6"/>
        <v>1</v>
      </c>
      <c r="G24">
        <f t="shared" si="7"/>
        <v>72.0648727049485</v>
      </c>
      <c r="H24">
        <f t="shared" si="7"/>
        <v>72.0648727049485</v>
      </c>
      <c r="J24">
        <f t="shared" si="8"/>
        <v>72.0648727049485</v>
      </c>
      <c r="K24">
        <f t="shared" si="9"/>
        <v>0</v>
      </c>
      <c r="S24">
        <f t="shared" si="2"/>
        <v>0</v>
      </c>
      <c r="T24" t="e">
        <f t="shared" si="3"/>
        <v>#N/A</v>
      </c>
      <c r="U24" t="e">
        <f t="shared" si="3"/>
        <v>#N/A</v>
      </c>
      <c r="W24">
        <f t="shared" si="4"/>
        <v>72.0648727049485</v>
      </c>
      <c r="X24">
        <f t="shared" si="4"/>
        <v>72.0648727049485</v>
      </c>
      <c r="Z24" t="e">
        <f t="shared" si="5"/>
        <v>#N/A</v>
      </c>
      <c r="AA24" t="e">
        <f t="shared" si="5"/>
        <v>#N/A</v>
      </c>
    </row>
    <row r="25" spans="1:27">
      <c r="A25">
        <v>7</v>
      </c>
      <c r="B25" t="str">
        <f>tblTerritories!C9</f>
        <v>Bogota</v>
      </c>
      <c r="C25">
        <f>IF(tblTerritories!F9="",0,tblTerritories!F9)</f>
        <v>1</v>
      </c>
      <c r="D25">
        <f t="shared" si="0"/>
        <v>61.3595461626815</v>
      </c>
      <c r="E25">
        <f t="shared" si="1"/>
        <v>61.3595461626815</v>
      </c>
      <c r="F25" t="b">
        <f t="shared" si="6"/>
        <v>1</v>
      </c>
      <c r="G25">
        <f t="shared" si="7"/>
        <v>61.3595461626815</v>
      </c>
      <c r="H25">
        <f t="shared" si="7"/>
        <v>61.3595461626815</v>
      </c>
      <c r="J25">
        <f t="shared" si="8"/>
        <v>61.3595461626815</v>
      </c>
      <c r="K25">
        <f t="shared" si="9"/>
        <v>0</v>
      </c>
      <c r="M25" s="288" t="s">
        <v>378</v>
      </c>
      <c r="O25" s="289"/>
      <c r="S25">
        <f t="shared" si="2"/>
        <v>0</v>
      </c>
      <c r="T25" t="e">
        <f t="shared" si="3"/>
        <v>#N/A</v>
      </c>
      <c r="U25" t="e">
        <f t="shared" si="3"/>
        <v>#N/A</v>
      </c>
      <c r="W25">
        <f t="shared" si="4"/>
        <v>61.3595461626815</v>
      </c>
      <c r="X25">
        <f t="shared" si="4"/>
        <v>61.3595461626815</v>
      </c>
      <c r="Z25" t="e">
        <f t="shared" si="5"/>
        <v>#N/A</v>
      </c>
      <c r="AA25" t="e">
        <f t="shared" si="5"/>
        <v>#N/A</v>
      </c>
    </row>
    <row r="26" spans="1:27">
      <c r="A26">
        <v>8</v>
      </c>
      <c r="B26" t="str">
        <f>tblTerritories!C10</f>
        <v>Brussels</v>
      </c>
      <c r="C26">
        <f>IF(tblTerritories!F10="",0,tblTerritories!F10)</f>
        <v>1</v>
      </c>
      <c r="D26">
        <f t="shared" si="0"/>
        <v>83.0061449550164</v>
      </c>
      <c r="E26">
        <f t="shared" si="1"/>
        <v>83.0061449550164</v>
      </c>
      <c r="F26" t="b">
        <f t="shared" si="6"/>
        <v>1</v>
      </c>
      <c r="G26">
        <f t="shared" si="7"/>
        <v>83.0061449550164</v>
      </c>
      <c r="H26">
        <f t="shared" si="7"/>
        <v>83.0061449550164</v>
      </c>
      <c r="J26">
        <f t="shared" si="8"/>
        <v>83.0061449550164</v>
      </c>
      <c r="K26">
        <f t="shared" si="9"/>
        <v>0</v>
      </c>
      <c r="M26" t="s">
        <v>377</v>
      </c>
      <c r="N26" t="s">
        <v>373</v>
      </c>
      <c r="O26" s="289" t="s">
        <v>374</v>
      </c>
      <c r="P26" t="s">
        <v>344</v>
      </c>
      <c r="Q26" t="s">
        <v>345</v>
      </c>
      <c r="S26">
        <f t="shared" si="2"/>
        <v>0</v>
      </c>
      <c r="T26" t="e">
        <f t="shared" si="3"/>
        <v>#N/A</v>
      </c>
      <c r="U26" t="e">
        <f t="shared" si="3"/>
        <v>#N/A</v>
      </c>
      <c r="W26">
        <f t="shared" si="4"/>
        <v>83.0061449550164</v>
      </c>
      <c r="X26">
        <f t="shared" si="4"/>
        <v>83.0061449550164</v>
      </c>
      <c r="Z26" t="e">
        <f t="shared" si="5"/>
        <v>#N/A</v>
      </c>
      <c r="AA26" t="e">
        <f t="shared" si="5"/>
        <v>#N/A</v>
      </c>
    </row>
    <row r="27" spans="1:27">
      <c r="A27">
        <v>9</v>
      </c>
      <c r="B27" t="str">
        <f>tblTerritories!C11</f>
        <v>Buenos Aires</v>
      </c>
      <c r="C27">
        <f>IF(tblTerritories!F11="",0,tblTerritories!F11)</f>
        <v>1</v>
      </c>
      <c r="D27">
        <f t="shared" si="0"/>
        <v>76.3482567325707</v>
      </c>
      <c r="E27">
        <f t="shared" si="1"/>
        <v>76.3482567325707</v>
      </c>
      <c r="F27" t="b">
        <f t="shared" si="6"/>
        <v>1</v>
      </c>
      <c r="G27">
        <f t="shared" si="7"/>
        <v>76.3482567325707</v>
      </c>
      <c r="H27">
        <f t="shared" si="7"/>
        <v>76.3482567325707</v>
      </c>
      <c r="J27">
        <f t="shared" si="8"/>
        <v>76.3482567325707</v>
      </c>
      <c r="K27">
        <f t="shared" si="9"/>
        <v>0</v>
      </c>
      <c r="M27">
        <f>MIN(K19:K79)</f>
        <v>0</v>
      </c>
      <c r="N27">
        <f>IF(B15,IF($B$5,MATCH(M27,K19:K79,0),0),0)</f>
        <v>0</v>
      </c>
      <c r="O27" t="e">
        <f>IF(AND($B$15,$B$5,N27&lt;&gt;N19),INDEX(B19:B79,$N27),NA())</f>
        <v>#N/A</v>
      </c>
      <c r="P27" t="e">
        <f>IF(AND($B$5,$B$15,N27&lt;&gt;N19),INDEX(G19:G79,$N27),NA())</f>
        <v>#N/A</v>
      </c>
      <c r="Q27" t="e">
        <f>IF(AND($B$5,$B$15,N27&lt;&gt;N19),INDEX(H19:H79,$N27),NA())</f>
        <v>#N/A</v>
      </c>
      <c r="S27">
        <f t="shared" si="2"/>
        <v>0</v>
      </c>
      <c r="T27" t="e">
        <f t="shared" si="3"/>
        <v>#N/A</v>
      </c>
      <c r="U27" t="e">
        <f t="shared" si="3"/>
        <v>#N/A</v>
      </c>
      <c r="W27">
        <f t="shared" si="4"/>
        <v>76.3482567325707</v>
      </c>
      <c r="X27">
        <f t="shared" si="4"/>
        <v>76.3482567325707</v>
      </c>
      <c r="Z27" t="e">
        <f t="shared" si="5"/>
        <v>#N/A</v>
      </c>
      <c r="AA27" t="e">
        <f t="shared" si="5"/>
        <v>#N/A</v>
      </c>
    </row>
    <row r="28" spans="1:27">
      <c r="A28">
        <v>10</v>
      </c>
      <c r="B28" t="str">
        <f>tblTerritories!C12</f>
        <v>Cairo</v>
      </c>
      <c r="C28">
        <f>IF(tblTerritories!F12="",0,tblTerritories!F12)</f>
        <v>1</v>
      </c>
      <c r="D28">
        <f t="shared" si="0"/>
        <v>58.3318815508511</v>
      </c>
      <c r="E28">
        <f t="shared" si="1"/>
        <v>58.3318815508511</v>
      </c>
      <c r="F28" t="b">
        <f t="shared" si="6"/>
        <v>1</v>
      </c>
      <c r="G28">
        <f t="shared" si="7"/>
        <v>58.3318815508511</v>
      </c>
      <c r="H28">
        <f t="shared" si="7"/>
        <v>58.3318815508511</v>
      </c>
      <c r="J28">
        <f t="shared" si="8"/>
        <v>58.3318815508511</v>
      </c>
      <c r="K28">
        <f t="shared" si="9"/>
        <v>0</v>
      </c>
      <c r="S28">
        <f t="shared" si="2"/>
        <v>0</v>
      </c>
      <c r="T28" t="e">
        <f t="shared" si="3"/>
        <v>#N/A</v>
      </c>
      <c r="U28" t="e">
        <f t="shared" si="3"/>
        <v>#N/A</v>
      </c>
      <c r="W28">
        <f t="shared" si="4"/>
        <v>58.3318815508511</v>
      </c>
      <c r="X28">
        <f t="shared" si="4"/>
        <v>58.3318815508511</v>
      </c>
      <c r="Z28" t="e">
        <f t="shared" si="5"/>
        <v>#N/A</v>
      </c>
      <c r="AA28" t="e">
        <f t="shared" si="5"/>
        <v>#N/A</v>
      </c>
    </row>
    <row r="29" spans="1:27">
      <c r="A29">
        <v>11</v>
      </c>
      <c r="B29" t="str">
        <f>tblTerritories!C13</f>
        <v>Caracas</v>
      </c>
      <c r="C29">
        <f>IF(tblTerritories!F13="",0,tblTerritories!F13)</f>
        <v>1</v>
      </c>
      <c r="D29">
        <f t="shared" si="0"/>
        <v>55.2206246013062</v>
      </c>
      <c r="E29">
        <f t="shared" si="1"/>
        <v>55.2206246013062</v>
      </c>
      <c r="F29" t="b">
        <f t="shared" si="6"/>
        <v>1</v>
      </c>
      <c r="G29">
        <f t="shared" si="7"/>
        <v>55.2206246013062</v>
      </c>
      <c r="H29">
        <f t="shared" si="7"/>
        <v>55.2206246013062</v>
      </c>
      <c r="J29">
        <f t="shared" si="8"/>
        <v>55.2206246013062</v>
      </c>
      <c r="K29">
        <f t="shared" si="9"/>
        <v>0</v>
      </c>
      <c r="S29">
        <f t="shared" si="2"/>
        <v>0</v>
      </c>
      <c r="T29" t="e">
        <f t="shared" si="3"/>
        <v>#N/A</v>
      </c>
      <c r="U29" t="e">
        <f t="shared" si="3"/>
        <v>#N/A</v>
      </c>
      <c r="W29">
        <f t="shared" si="4"/>
        <v>55.2206246013062</v>
      </c>
      <c r="X29">
        <f t="shared" si="4"/>
        <v>55.2206246013062</v>
      </c>
      <c r="Z29" t="e">
        <f t="shared" si="5"/>
        <v>#N/A</v>
      </c>
      <c r="AA29" t="e">
        <f t="shared" si="5"/>
        <v>#N/A</v>
      </c>
    </row>
    <row r="30" spans="1:27">
      <c r="A30">
        <v>12</v>
      </c>
      <c r="B30" t="str">
        <f>tblTerritories!C14</f>
        <v>Casablanca</v>
      </c>
      <c r="C30">
        <f>IF(tblTerritories!F14="",0,tblTerritories!F14)</f>
        <v>1</v>
      </c>
      <c r="D30">
        <f t="shared" si="0"/>
        <v>61.1983208612297</v>
      </c>
      <c r="E30">
        <f t="shared" si="1"/>
        <v>61.1983208612297</v>
      </c>
      <c r="F30" t="b">
        <f t="shared" si="6"/>
        <v>1</v>
      </c>
      <c r="G30">
        <f t="shared" si="7"/>
        <v>61.1983208612297</v>
      </c>
      <c r="H30">
        <f t="shared" si="7"/>
        <v>61.1983208612297</v>
      </c>
      <c r="J30">
        <f t="shared" si="8"/>
        <v>61.1983208612297</v>
      </c>
      <c r="K30">
        <f t="shared" si="9"/>
        <v>0</v>
      </c>
      <c r="S30">
        <f t="shared" si="2"/>
        <v>0</v>
      </c>
      <c r="T30" t="e">
        <f t="shared" si="3"/>
        <v>#N/A</v>
      </c>
      <c r="U30" t="e">
        <f t="shared" si="3"/>
        <v>#N/A</v>
      </c>
      <c r="W30">
        <f t="shared" si="4"/>
        <v>61.1983208612297</v>
      </c>
      <c r="X30">
        <f t="shared" si="4"/>
        <v>61.1983208612297</v>
      </c>
      <c r="Z30" t="e">
        <f t="shared" si="5"/>
        <v>#N/A</v>
      </c>
      <c r="AA30" t="e">
        <f t="shared" si="5"/>
        <v>#N/A</v>
      </c>
    </row>
    <row r="31" spans="1:27">
      <c r="A31">
        <v>13</v>
      </c>
      <c r="B31" t="str">
        <f>tblTerritories!C15</f>
        <v>Chicago</v>
      </c>
      <c r="C31">
        <f>IF(tblTerritories!F15="",0,tblTerritories!F15)</f>
        <v>1</v>
      </c>
      <c r="D31">
        <f t="shared" si="0"/>
        <v>82.2084414540222</v>
      </c>
      <c r="E31">
        <f t="shared" si="1"/>
        <v>82.2084414540222</v>
      </c>
      <c r="F31" t="b">
        <f t="shared" si="6"/>
        <v>1</v>
      </c>
      <c r="G31">
        <f t="shared" si="7"/>
        <v>82.2084414540222</v>
      </c>
      <c r="H31">
        <f t="shared" si="7"/>
        <v>82.2084414540222</v>
      </c>
      <c r="J31">
        <f t="shared" si="8"/>
        <v>82.2084414540222</v>
      </c>
      <c r="K31">
        <f t="shared" si="9"/>
        <v>0</v>
      </c>
      <c r="S31">
        <f t="shared" si="2"/>
        <v>0</v>
      </c>
      <c r="T31" t="e">
        <f t="shared" si="3"/>
        <v>#N/A</v>
      </c>
      <c r="U31" t="e">
        <f t="shared" si="3"/>
        <v>#N/A</v>
      </c>
      <c r="W31">
        <f t="shared" si="4"/>
        <v>82.2084414540222</v>
      </c>
      <c r="X31">
        <f t="shared" si="4"/>
        <v>82.2084414540222</v>
      </c>
      <c r="Z31" t="e">
        <f t="shared" si="5"/>
        <v>#N/A</v>
      </c>
      <c r="AA31" t="e">
        <f t="shared" si="5"/>
        <v>#N/A</v>
      </c>
    </row>
    <row r="32" spans="1:27">
      <c r="A32">
        <v>14</v>
      </c>
      <c r="B32" t="str">
        <f>tblTerritories!C16</f>
        <v>Dallas</v>
      </c>
      <c r="C32">
        <f>IF(tblTerritories!F16="",0,tblTerritories!F16)</f>
        <v>1</v>
      </c>
      <c r="D32">
        <f t="shared" si="0"/>
        <v>78.72792026883</v>
      </c>
      <c r="E32">
        <f t="shared" si="1"/>
        <v>78.72792026883</v>
      </c>
      <c r="F32" t="b">
        <f t="shared" si="6"/>
        <v>1</v>
      </c>
      <c r="G32">
        <f t="shared" si="7"/>
        <v>78.72792026883</v>
      </c>
      <c r="H32">
        <f t="shared" si="7"/>
        <v>78.72792026883</v>
      </c>
      <c r="J32">
        <f t="shared" si="8"/>
        <v>78.72792026883</v>
      </c>
      <c r="K32">
        <f t="shared" si="9"/>
        <v>0</v>
      </c>
      <c r="S32">
        <f t="shared" si="2"/>
        <v>0</v>
      </c>
      <c r="T32" t="e">
        <f t="shared" si="3"/>
        <v>#N/A</v>
      </c>
      <c r="U32" t="e">
        <f t="shared" si="3"/>
        <v>#N/A</v>
      </c>
      <c r="W32">
        <f t="shared" si="4"/>
        <v>78.72792026883</v>
      </c>
      <c r="X32">
        <f t="shared" si="4"/>
        <v>78.72792026883</v>
      </c>
      <c r="Z32" t="e">
        <f t="shared" si="5"/>
        <v>#N/A</v>
      </c>
      <c r="AA32" t="e">
        <f t="shared" si="5"/>
        <v>#N/A</v>
      </c>
    </row>
    <row r="33" spans="1:27">
      <c r="A33">
        <v>15</v>
      </c>
      <c r="B33" t="str">
        <f>tblTerritories!C17</f>
        <v>Delhi</v>
      </c>
      <c r="C33">
        <f>IF(tblTerritories!F17="",0,tblTerritories!F17)</f>
        <v>1</v>
      </c>
      <c r="D33">
        <f t="shared" si="0"/>
        <v>62.3376987406359</v>
      </c>
      <c r="E33">
        <f t="shared" si="1"/>
        <v>62.3376987406359</v>
      </c>
      <c r="F33" t="b">
        <f t="shared" si="6"/>
        <v>1</v>
      </c>
      <c r="G33">
        <f t="shared" si="7"/>
        <v>62.3376987406359</v>
      </c>
      <c r="H33">
        <f t="shared" si="7"/>
        <v>62.3376987406359</v>
      </c>
      <c r="J33">
        <f t="shared" si="8"/>
        <v>62.3376987406359</v>
      </c>
      <c r="K33">
        <f t="shared" si="9"/>
        <v>0</v>
      </c>
      <c r="S33">
        <f t="shared" si="2"/>
        <v>0</v>
      </c>
      <c r="T33" t="e">
        <f t="shared" si="3"/>
        <v>#N/A</v>
      </c>
      <c r="U33" t="e">
        <f t="shared" si="3"/>
        <v>#N/A</v>
      </c>
      <c r="W33">
        <f t="shared" si="4"/>
        <v>62.3376987406359</v>
      </c>
      <c r="X33">
        <f t="shared" si="4"/>
        <v>62.3376987406359</v>
      </c>
      <c r="Z33" t="e">
        <f t="shared" si="5"/>
        <v>#N/A</v>
      </c>
      <c r="AA33" t="e">
        <f t="shared" si="5"/>
        <v>#N/A</v>
      </c>
    </row>
    <row r="34" spans="1:27">
      <c r="A34">
        <v>16</v>
      </c>
      <c r="B34" t="str">
        <f>tblTerritories!C18</f>
        <v>Dhaka</v>
      </c>
      <c r="C34">
        <f>IF(tblTerritories!F18="",0,tblTerritories!F18)</f>
        <v>1</v>
      </c>
      <c r="D34">
        <f t="shared" si="0"/>
        <v>47.3725540843484</v>
      </c>
      <c r="E34">
        <f t="shared" si="1"/>
        <v>47.3725540843484</v>
      </c>
      <c r="F34" t="b">
        <f t="shared" ref="F34:F79" si="10">AND(ISNUMBER(D34),ISNUMBER(E34))</f>
        <v>1</v>
      </c>
      <c r="G34">
        <f t="shared" ref="G34:G79" si="11">IF($F34,D34,"")</f>
        <v>47.3725540843484</v>
      </c>
      <c r="H34">
        <f t="shared" ref="H34:H79" si="12">IF($F34,E34,"")</f>
        <v>47.3725540843484</v>
      </c>
      <c r="J34">
        <f t="shared" ref="J34:J79" si="13">IF(G34="","",(G34*$B$12)+$B$13)</f>
        <v>47.3725540843484</v>
      </c>
      <c r="K34">
        <f t="shared" ref="K34:K79" si="14">IF(J34="","",H34-J34)</f>
        <v>0</v>
      </c>
      <c r="S34">
        <f t="shared" ref="S34:S79" si="15">IF(NOT($B$4),0,IF(OR(A34=$N$19,A34=$N$23,A34=$N$27),0,IF(AND(C34&lt;3,F34),1,0)))</f>
        <v>0</v>
      </c>
      <c r="T34" t="e">
        <f t="shared" ref="T34:T79" si="16">IF($S34=0,NA(),G34)</f>
        <v>#N/A</v>
      </c>
      <c r="U34" t="e">
        <f t="shared" ref="U34:U79" si="17">IF($S34=0,NA(),H34)</f>
        <v>#N/A</v>
      </c>
      <c r="W34">
        <f t="shared" ref="W34:W79" si="18">IF(AND($C34&gt;0,$F34),G34,NA())</f>
        <v>47.3725540843484</v>
      </c>
      <c r="X34">
        <f t="shared" ref="X34:X79" si="19">IF(AND($C34&gt;0,$F34),H34,NA())</f>
        <v>47.3725540843484</v>
      </c>
      <c r="Z34" t="e">
        <f t="shared" ref="Z34:Z79" si="20">IF(AND($C34=2,$F34),G34,NA())</f>
        <v>#N/A</v>
      </c>
      <c r="AA34" t="e">
        <f t="shared" ref="AA34:AA79" si="21">IF(AND($C34=2,$F34),H34,NA())</f>
        <v>#N/A</v>
      </c>
    </row>
    <row r="35" spans="1:27">
      <c r="A35">
        <v>17</v>
      </c>
      <c r="B35" t="str">
        <f>tblTerritories!C19</f>
        <v>Doha</v>
      </c>
      <c r="C35">
        <f>IF(tblTerritories!F19="",0,tblTerritories!F19)</f>
        <v>1</v>
      </c>
      <c r="D35">
        <f t="shared" si="0"/>
        <v>73.5941578880355</v>
      </c>
      <c r="E35">
        <f t="shared" si="1"/>
        <v>73.5941578880355</v>
      </c>
      <c r="F35" t="b">
        <f t="shared" si="10"/>
        <v>1</v>
      </c>
      <c r="G35">
        <f t="shared" si="11"/>
        <v>73.5941578880355</v>
      </c>
      <c r="H35">
        <f t="shared" si="12"/>
        <v>73.5941578880355</v>
      </c>
      <c r="J35">
        <f t="shared" si="13"/>
        <v>73.5941578880355</v>
      </c>
      <c r="K35">
        <f t="shared" si="14"/>
        <v>0</v>
      </c>
      <c r="S35">
        <f t="shared" si="15"/>
        <v>0</v>
      </c>
      <c r="T35" t="e">
        <f t="shared" si="16"/>
        <v>#N/A</v>
      </c>
      <c r="U35" t="e">
        <f t="shared" si="17"/>
        <v>#N/A</v>
      </c>
      <c r="W35">
        <f t="shared" si="18"/>
        <v>73.5941578880355</v>
      </c>
      <c r="X35">
        <f t="shared" si="19"/>
        <v>73.5941578880355</v>
      </c>
      <c r="Z35" t="e">
        <f t="shared" si="20"/>
        <v>#N/A</v>
      </c>
      <c r="AA35" t="e">
        <f t="shared" si="21"/>
        <v>#N/A</v>
      </c>
    </row>
    <row r="36" spans="1:27">
      <c r="A36">
        <v>18</v>
      </c>
      <c r="B36" t="str">
        <f>tblTerritories!C20</f>
        <v>Frankfurt</v>
      </c>
      <c r="C36">
        <f>IF(tblTerritories!F20="",0,tblTerritories!F20)</f>
        <v>1</v>
      </c>
      <c r="D36">
        <f t="shared" si="0"/>
        <v>84.856365317326</v>
      </c>
      <c r="E36">
        <f t="shared" si="1"/>
        <v>84.856365317326</v>
      </c>
      <c r="F36" t="b">
        <f t="shared" si="10"/>
        <v>1</v>
      </c>
      <c r="G36">
        <f t="shared" si="11"/>
        <v>84.856365317326</v>
      </c>
      <c r="H36">
        <f t="shared" si="12"/>
        <v>84.856365317326</v>
      </c>
      <c r="J36">
        <f t="shared" si="13"/>
        <v>84.856365317326</v>
      </c>
      <c r="K36">
        <f t="shared" si="14"/>
        <v>0</v>
      </c>
      <c r="S36">
        <f t="shared" si="15"/>
        <v>0</v>
      </c>
      <c r="T36" t="e">
        <f t="shared" si="16"/>
        <v>#N/A</v>
      </c>
      <c r="U36" t="e">
        <f t="shared" si="17"/>
        <v>#N/A</v>
      </c>
      <c r="W36">
        <f t="shared" si="18"/>
        <v>84.856365317326</v>
      </c>
      <c r="X36">
        <f t="shared" si="19"/>
        <v>84.856365317326</v>
      </c>
      <c r="Z36" t="e">
        <f t="shared" si="20"/>
        <v>#N/A</v>
      </c>
      <c r="AA36" t="e">
        <f t="shared" si="21"/>
        <v>#N/A</v>
      </c>
    </row>
    <row r="37" spans="1:27">
      <c r="A37">
        <v>19</v>
      </c>
      <c r="B37" t="str">
        <f>tblTerritories!C21</f>
        <v>Ho Chi Minh City</v>
      </c>
      <c r="C37">
        <f>IF(tblTerritories!F21="",0,tblTerritories!F21)</f>
        <v>1</v>
      </c>
      <c r="D37">
        <f t="shared" si="0"/>
        <v>54.3323116699598</v>
      </c>
      <c r="E37">
        <f t="shared" si="1"/>
        <v>54.3323116699598</v>
      </c>
      <c r="F37" t="b">
        <f t="shared" si="10"/>
        <v>1</v>
      </c>
      <c r="G37">
        <f t="shared" si="11"/>
        <v>54.3323116699598</v>
      </c>
      <c r="H37">
        <f t="shared" si="12"/>
        <v>54.3323116699598</v>
      </c>
      <c r="J37">
        <f t="shared" si="13"/>
        <v>54.3323116699598</v>
      </c>
      <c r="K37">
        <f t="shared" si="14"/>
        <v>0</v>
      </c>
      <c r="S37">
        <f t="shared" si="15"/>
        <v>0</v>
      </c>
      <c r="T37" t="e">
        <f t="shared" si="16"/>
        <v>#N/A</v>
      </c>
      <c r="U37" t="e">
        <f t="shared" si="17"/>
        <v>#N/A</v>
      </c>
      <c r="W37">
        <f t="shared" si="18"/>
        <v>54.3323116699598</v>
      </c>
      <c r="X37">
        <f t="shared" si="19"/>
        <v>54.3323116699598</v>
      </c>
      <c r="Z37" t="e">
        <f t="shared" si="20"/>
        <v>#N/A</v>
      </c>
      <c r="AA37" t="e">
        <f t="shared" si="21"/>
        <v>#N/A</v>
      </c>
    </row>
    <row r="38" spans="1:27">
      <c r="A38">
        <v>20</v>
      </c>
      <c r="B38" t="str">
        <f>tblTerritories!C22</f>
        <v>Hong Kong</v>
      </c>
      <c r="C38">
        <f>IF(tblTerritories!F22="",0,tblTerritories!F22)</f>
        <v>1</v>
      </c>
      <c r="D38">
        <f t="shared" si="0"/>
        <v>86.2151497119042</v>
      </c>
      <c r="E38">
        <f t="shared" si="1"/>
        <v>86.2151497119042</v>
      </c>
      <c r="F38" t="b">
        <f t="shared" si="10"/>
        <v>1</v>
      </c>
      <c r="G38">
        <f t="shared" si="11"/>
        <v>86.2151497119042</v>
      </c>
      <c r="H38">
        <f t="shared" si="12"/>
        <v>86.2151497119042</v>
      </c>
      <c r="J38">
        <f t="shared" si="13"/>
        <v>86.2151497119042</v>
      </c>
      <c r="K38">
        <f t="shared" si="14"/>
        <v>0</v>
      </c>
      <c r="S38">
        <f t="shared" si="15"/>
        <v>0</v>
      </c>
      <c r="T38" t="e">
        <f t="shared" si="16"/>
        <v>#N/A</v>
      </c>
      <c r="U38" t="e">
        <f t="shared" si="17"/>
        <v>#N/A</v>
      </c>
      <c r="W38">
        <f t="shared" si="18"/>
        <v>86.2151497119042</v>
      </c>
      <c r="X38">
        <f t="shared" si="19"/>
        <v>86.2151497119042</v>
      </c>
      <c r="Z38" t="e">
        <f t="shared" si="20"/>
        <v>#N/A</v>
      </c>
      <c r="AA38" t="e">
        <f t="shared" si="21"/>
        <v>#N/A</v>
      </c>
    </row>
    <row r="39" spans="1:27">
      <c r="A39">
        <v>21</v>
      </c>
      <c r="B39" t="str">
        <f>tblTerritories!C23</f>
        <v>Istanbul</v>
      </c>
      <c r="C39">
        <f>IF(tblTerritories!F23="",0,tblTerritories!F23)</f>
        <v>1</v>
      </c>
      <c r="D39">
        <f t="shared" si="0"/>
        <v>65.2335954830484</v>
      </c>
      <c r="E39">
        <f t="shared" si="1"/>
        <v>65.2335954830484</v>
      </c>
      <c r="F39" t="b">
        <f t="shared" si="10"/>
        <v>1</v>
      </c>
      <c r="G39">
        <f t="shared" si="11"/>
        <v>65.2335954830484</v>
      </c>
      <c r="H39">
        <f t="shared" si="12"/>
        <v>65.2335954830484</v>
      </c>
      <c r="J39">
        <f t="shared" si="13"/>
        <v>65.2335954830484</v>
      </c>
      <c r="K39">
        <f t="shared" si="14"/>
        <v>0</v>
      </c>
      <c r="S39">
        <f t="shared" si="15"/>
        <v>0</v>
      </c>
      <c r="T39" t="e">
        <f t="shared" si="16"/>
        <v>#N/A</v>
      </c>
      <c r="U39" t="e">
        <f t="shared" si="17"/>
        <v>#N/A</v>
      </c>
      <c r="W39">
        <f t="shared" si="18"/>
        <v>65.2335954830484</v>
      </c>
      <c r="X39">
        <f t="shared" si="19"/>
        <v>65.2335954830484</v>
      </c>
      <c r="Z39" t="e">
        <f t="shared" si="20"/>
        <v>#N/A</v>
      </c>
      <c r="AA39" t="e">
        <f t="shared" si="21"/>
        <v>#N/A</v>
      </c>
    </row>
    <row r="40" spans="1:27">
      <c r="A40">
        <v>22</v>
      </c>
      <c r="B40" t="str">
        <f>tblTerritories!C24</f>
        <v>Jakarta</v>
      </c>
      <c r="C40">
        <f>IF(tblTerritories!F24="",0,tblTerritories!F24)</f>
        <v>1</v>
      </c>
      <c r="D40">
        <f t="shared" si="0"/>
        <v>53.392628751357</v>
      </c>
      <c r="E40">
        <f t="shared" si="1"/>
        <v>53.392628751357</v>
      </c>
      <c r="F40" t="b">
        <f t="shared" si="10"/>
        <v>1</v>
      </c>
      <c r="G40">
        <f t="shared" si="11"/>
        <v>53.392628751357</v>
      </c>
      <c r="H40">
        <f t="shared" si="12"/>
        <v>53.392628751357</v>
      </c>
      <c r="J40">
        <f t="shared" si="13"/>
        <v>53.392628751357</v>
      </c>
      <c r="K40">
        <f t="shared" si="14"/>
        <v>0</v>
      </c>
      <c r="S40">
        <f t="shared" si="15"/>
        <v>0</v>
      </c>
      <c r="T40" t="e">
        <f t="shared" si="16"/>
        <v>#N/A</v>
      </c>
      <c r="U40" t="e">
        <f t="shared" si="17"/>
        <v>#N/A</v>
      </c>
      <c r="W40">
        <f t="shared" si="18"/>
        <v>53.392628751357</v>
      </c>
      <c r="X40">
        <f t="shared" si="19"/>
        <v>53.392628751357</v>
      </c>
      <c r="Z40" t="e">
        <f t="shared" si="20"/>
        <v>#N/A</v>
      </c>
      <c r="AA40" t="e">
        <f t="shared" si="21"/>
        <v>#N/A</v>
      </c>
    </row>
    <row r="41" spans="1:27">
      <c r="A41">
        <v>23</v>
      </c>
      <c r="B41" t="str">
        <f>tblTerritories!C25</f>
        <v>Jeddah</v>
      </c>
      <c r="C41">
        <f>IF(tblTerritories!F25="",0,tblTerritories!F25)</f>
        <v>1</v>
      </c>
      <c r="D41">
        <f t="shared" si="0"/>
        <v>62.8027593796319</v>
      </c>
      <c r="E41">
        <f t="shared" si="1"/>
        <v>62.8027593796319</v>
      </c>
      <c r="F41" t="b">
        <f t="shared" si="10"/>
        <v>1</v>
      </c>
      <c r="G41">
        <f t="shared" si="11"/>
        <v>62.8027593796319</v>
      </c>
      <c r="H41">
        <f t="shared" si="12"/>
        <v>62.8027593796319</v>
      </c>
      <c r="J41">
        <f t="shared" si="13"/>
        <v>62.8027593796319</v>
      </c>
      <c r="K41">
        <f t="shared" si="14"/>
        <v>0</v>
      </c>
      <c r="S41">
        <f t="shared" si="15"/>
        <v>0</v>
      </c>
      <c r="T41" t="e">
        <f t="shared" si="16"/>
        <v>#N/A</v>
      </c>
      <c r="U41" t="e">
        <f t="shared" si="17"/>
        <v>#N/A</v>
      </c>
      <c r="W41">
        <f t="shared" si="18"/>
        <v>62.8027593796319</v>
      </c>
      <c r="X41">
        <f t="shared" si="19"/>
        <v>62.8027593796319</v>
      </c>
      <c r="Z41" t="e">
        <f t="shared" si="20"/>
        <v>#N/A</v>
      </c>
      <c r="AA41" t="e">
        <f t="shared" si="21"/>
        <v>#N/A</v>
      </c>
    </row>
    <row r="42" spans="1:27">
      <c r="A42">
        <v>24</v>
      </c>
      <c r="B42" t="str">
        <f>tblTerritories!C26</f>
        <v>Johannesburg</v>
      </c>
      <c r="C42">
        <f>IF(tblTerritories!F26="",0,tblTerritories!F26)</f>
        <v>1</v>
      </c>
      <c r="D42">
        <f t="shared" si="0"/>
        <v>59.1742659320692</v>
      </c>
      <c r="E42">
        <f t="shared" si="1"/>
        <v>59.1742659320692</v>
      </c>
      <c r="F42" t="b">
        <f t="shared" si="10"/>
        <v>1</v>
      </c>
      <c r="G42">
        <f t="shared" si="11"/>
        <v>59.1742659320692</v>
      </c>
      <c r="H42">
        <f t="shared" si="12"/>
        <v>59.1742659320692</v>
      </c>
      <c r="J42">
        <f t="shared" si="13"/>
        <v>59.1742659320692</v>
      </c>
      <c r="K42">
        <f t="shared" si="14"/>
        <v>0</v>
      </c>
      <c r="S42">
        <f t="shared" si="15"/>
        <v>0</v>
      </c>
      <c r="T42" t="e">
        <f t="shared" si="16"/>
        <v>#N/A</v>
      </c>
      <c r="U42" t="e">
        <f t="shared" si="17"/>
        <v>#N/A</v>
      </c>
      <c r="W42">
        <f t="shared" si="18"/>
        <v>59.1742659320692</v>
      </c>
      <c r="X42">
        <f t="shared" si="19"/>
        <v>59.1742659320692</v>
      </c>
      <c r="Z42" t="e">
        <f t="shared" si="20"/>
        <v>#N/A</v>
      </c>
      <c r="AA42" t="e">
        <f t="shared" si="21"/>
        <v>#N/A</v>
      </c>
    </row>
    <row r="43" spans="1:27">
      <c r="A43">
        <v>25</v>
      </c>
      <c r="B43" t="str">
        <f>tblTerritories!C27</f>
        <v>Karachi</v>
      </c>
      <c r="C43">
        <f>IF(tblTerritories!F27="",0,tblTerritories!F27)</f>
        <v>1</v>
      </c>
      <c r="D43">
        <f t="shared" si="0"/>
        <v>38.7737795060127</v>
      </c>
      <c r="E43">
        <f t="shared" si="1"/>
        <v>38.7737795060127</v>
      </c>
      <c r="F43" t="b">
        <f t="shared" si="10"/>
        <v>1</v>
      </c>
      <c r="G43">
        <f t="shared" si="11"/>
        <v>38.7737795060127</v>
      </c>
      <c r="H43">
        <f t="shared" si="12"/>
        <v>38.7737795060127</v>
      </c>
      <c r="J43">
        <f t="shared" si="13"/>
        <v>38.7737795060127</v>
      </c>
      <c r="K43">
        <f t="shared" si="14"/>
        <v>0</v>
      </c>
      <c r="S43">
        <f t="shared" si="15"/>
        <v>0</v>
      </c>
      <c r="T43" t="e">
        <f t="shared" si="16"/>
        <v>#N/A</v>
      </c>
      <c r="U43" t="e">
        <f t="shared" si="17"/>
        <v>#N/A</v>
      </c>
      <c r="W43">
        <f t="shared" si="18"/>
        <v>38.7737795060127</v>
      </c>
      <c r="X43">
        <f t="shared" si="19"/>
        <v>38.7737795060127</v>
      </c>
      <c r="Z43" t="e">
        <f t="shared" si="20"/>
        <v>#N/A</v>
      </c>
      <c r="AA43" t="e">
        <f t="shared" si="21"/>
        <v>#N/A</v>
      </c>
    </row>
    <row r="44" spans="1:27">
      <c r="A44">
        <v>26</v>
      </c>
      <c r="B44" t="str">
        <f>tblTerritories!C28</f>
        <v>Kuala Lumpur</v>
      </c>
      <c r="C44">
        <f>IF(tblTerritories!F28="",0,tblTerritories!F28)</f>
        <v>1</v>
      </c>
      <c r="D44">
        <f t="shared" si="0"/>
        <v>73.1127713624099</v>
      </c>
      <c r="E44">
        <f t="shared" si="1"/>
        <v>73.1127713624099</v>
      </c>
      <c r="F44" t="b">
        <f t="shared" si="10"/>
        <v>1</v>
      </c>
      <c r="G44">
        <f t="shared" si="11"/>
        <v>73.1127713624099</v>
      </c>
      <c r="H44">
        <f t="shared" si="12"/>
        <v>73.1127713624099</v>
      </c>
      <c r="J44">
        <f t="shared" si="13"/>
        <v>73.1127713624099</v>
      </c>
      <c r="K44">
        <f t="shared" si="14"/>
        <v>0</v>
      </c>
      <c r="S44">
        <f t="shared" si="15"/>
        <v>0</v>
      </c>
      <c r="T44" t="e">
        <f t="shared" si="16"/>
        <v>#N/A</v>
      </c>
      <c r="U44" t="e">
        <f t="shared" si="17"/>
        <v>#N/A</v>
      </c>
      <c r="W44">
        <f t="shared" si="18"/>
        <v>73.1127713624099</v>
      </c>
      <c r="X44">
        <f t="shared" si="19"/>
        <v>73.1127713624099</v>
      </c>
      <c r="Z44" t="e">
        <f t="shared" si="20"/>
        <v>#N/A</v>
      </c>
      <c r="AA44" t="e">
        <f t="shared" si="21"/>
        <v>#N/A</v>
      </c>
    </row>
    <row r="45" spans="1:27">
      <c r="A45">
        <v>27</v>
      </c>
      <c r="B45" t="str">
        <f>tblTerritories!C29</f>
        <v>Kuwait City</v>
      </c>
      <c r="C45">
        <f>IF(tblTerritories!F29="",0,tblTerritories!F29)</f>
        <v>1</v>
      </c>
      <c r="D45">
        <f t="shared" si="0"/>
        <v>67.6137892324585</v>
      </c>
      <c r="E45">
        <f t="shared" si="1"/>
        <v>67.6137892324585</v>
      </c>
      <c r="F45" t="b">
        <f t="shared" si="10"/>
        <v>1</v>
      </c>
      <c r="G45">
        <f t="shared" si="11"/>
        <v>67.6137892324585</v>
      </c>
      <c r="H45">
        <f t="shared" si="12"/>
        <v>67.6137892324585</v>
      </c>
      <c r="J45">
        <f t="shared" si="13"/>
        <v>67.6137892324585</v>
      </c>
      <c r="K45">
        <f t="shared" si="14"/>
        <v>0</v>
      </c>
      <c r="S45">
        <f t="shared" si="15"/>
        <v>0</v>
      </c>
      <c r="T45" t="e">
        <f t="shared" si="16"/>
        <v>#N/A</v>
      </c>
      <c r="U45" t="e">
        <f t="shared" si="17"/>
        <v>#N/A</v>
      </c>
      <c r="W45">
        <f t="shared" si="18"/>
        <v>67.6137892324585</v>
      </c>
      <c r="X45">
        <f t="shared" si="19"/>
        <v>67.6137892324585</v>
      </c>
      <c r="Z45" t="e">
        <f t="shared" si="20"/>
        <v>#N/A</v>
      </c>
      <c r="AA45" t="e">
        <f t="shared" si="21"/>
        <v>#N/A</v>
      </c>
    </row>
    <row r="46" spans="1:27">
      <c r="A46">
        <v>28</v>
      </c>
      <c r="B46" t="str">
        <f>tblTerritories!C30</f>
        <v>Lima</v>
      </c>
      <c r="C46">
        <f>IF(tblTerritories!F30="",0,tblTerritories!F30)</f>
        <v>1</v>
      </c>
      <c r="D46">
        <f t="shared" si="0"/>
        <v>61.8984041015981</v>
      </c>
      <c r="E46">
        <f t="shared" si="1"/>
        <v>61.8984041015981</v>
      </c>
      <c r="F46" t="b">
        <f t="shared" si="10"/>
        <v>1</v>
      </c>
      <c r="G46">
        <f t="shared" si="11"/>
        <v>61.8984041015981</v>
      </c>
      <c r="H46">
        <f t="shared" si="12"/>
        <v>61.8984041015981</v>
      </c>
      <c r="J46">
        <f t="shared" si="13"/>
        <v>61.8984041015981</v>
      </c>
      <c r="K46">
        <f t="shared" si="14"/>
        <v>0</v>
      </c>
      <c r="S46">
        <f t="shared" si="15"/>
        <v>0</v>
      </c>
      <c r="T46" t="e">
        <f t="shared" si="16"/>
        <v>#N/A</v>
      </c>
      <c r="U46" t="e">
        <f t="shared" si="17"/>
        <v>#N/A</v>
      </c>
      <c r="W46">
        <f t="shared" si="18"/>
        <v>61.8984041015981</v>
      </c>
      <c r="X46">
        <f t="shared" si="19"/>
        <v>61.8984041015981</v>
      </c>
      <c r="Z46" t="e">
        <f t="shared" si="20"/>
        <v>#N/A</v>
      </c>
      <c r="AA46" t="e">
        <f t="shared" si="21"/>
        <v>#N/A</v>
      </c>
    </row>
    <row r="47" spans="1:27">
      <c r="A47">
        <v>29</v>
      </c>
      <c r="B47" t="str">
        <f>tblTerritories!C31</f>
        <v>London</v>
      </c>
      <c r="C47">
        <f>IF(tblTerritories!F31="",0,tblTerritories!F31)</f>
        <v>1</v>
      </c>
      <c r="D47">
        <f t="shared" si="0"/>
        <v>82.0960116014609</v>
      </c>
      <c r="E47">
        <f t="shared" si="1"/>
        <v>82.0960116014609</v>
      </c>
      <c r="F47" t="b">
        <f t="shared" si="10"/>
        <v>1</v>
      </c>
      <c r="G47">
        <f t="shared" si="11"/>
        <v>82.0960116014609</v>
      </c>
      <c r="H47">
        <f t="shared" si="12"/>
        <v>82.0960116014609</v>
      </c>
      <c r="J47">
        <f t="shared" si="13"/>
        <v>82.0960116014609</v>
      </c>
      <c r="K47">
        <f t="shared" si="14"/>
        <v>0</v>
      </c>
      <c r="S47">
        <f t="shared" si="15"/>
        <v>0</v>
      </c>
      <c r="T47" t="e">
        <f t="shared" si="16"/>
        <v>#N/A</v>
      </c>
      <c r="U47" t="e">
        <f t="shared" si="17"/>
        <v>#N/A</v>
      </c>
      <c r="W47">
        <f t="shared" si="18"/>
        <v>82.0960116014609</v>
      </c>
      <c r="X47">
        <f t="shared" si="19"/>
        <v>82.0960116014609</v>
      </c>
      <c r="Z47" t="e">
        <f t="shared" si="20"/>
        <v>#N/A</v>
      </c>
      <c r="AA47" t="e">
        <f t="shared" si="21"/>
        <v>#N/A</v>
      </c>
    </row>
    <row r="48" spans="1:27">
      <c r="A48">
        <v>30</v>
      </c>
      <c r="B48" t="str">
        <f>tblTerritories!C32</f>
        <v>Los Angeles</v>
      </c>
      <c r="C48">
        <f>IF(tblTerritories!F32="",0,tblTerritories!F32)</f>
        <v>1</v>
      </c>
      <c r="D48">
        <f t="shared" si="0"/>
        <v>82.2630741993645</v>
      </c>
      <c r="E48">
        <f t="shared" si="1"/>
        <v>82.2630741993645</v>
      </c>
      <c r="F48" t="b">
        <f t="shared" si="10"/>
        <v>1</v>
      </c>
      <c r="G48">
        <f t="shared" si="11"/>
        <v>82.2630741993645</v>
      </c>
      <c r="H48">
        <f t="shared" si="12"/>
        <v>82.2630741993645</v>
      </c>
      <c r="J48">
        <f t="shared" si="13"/>
        <v>82.2630741993645</v>
      </c>
      <c r="K48">
        <f t="shared" si="14"/>
        <v>0</v>
      </c>
      <c r="S48">
        <f t="shared" si="15"/>
        <v>0</v>
      </c>
      <c r="T48" t="e">
        <f t="shared" si="16"/>
        <v>#N/A</v>
      </c>
      <c r="U48" t="e">
        <f t="shared" si="17"/>
        <v>#N/A</v>
      </c>
      <c r="W48">
        <f t="shared" si="18"/>
        <v>82.2630741993645</v>
      </c>
      <c r="X48">
        <f t="shared" si="19"/>
        <v>82.2630741993645</v>
      </c>
      <c r="Z48" t="e">
        <f t="shared" si="20"/>
        <v>#N/A</v>
      </c>
      <c r="AA48" t="e">
        <f t="shared" si="21"/>
        <v>#N/A</v>
      </c>
    </row>
    <row r="49" spans="1:27">
      <c r="A49">
        <v>31</v>
      </c>
      <c r="B49" t="str">
        <f>tblTerritories!C33</f>
        <v>Madrid</v>
      </c>
      <c r="C49">
        <f>IF(tblTerritories!F33="",0,tblTerritories!F33)</f>
        <v>1</v>
      </c>
      <c r="D49">
        <f t="shared" si="0"/>
        <v>83.8763007180121</v>
      </c>
      <c r="E49">
        <f t="shared" si="1"/>
        <v>83.8763007180121</v>
      </c>
      <c r="F49" t="b">
        <f t="shared" si="10"/>
        <v>1</v>
      </c>
      <c r="G49">
        <f t="shared" si="11"/>
        <v>83.8763007180121</v>
      </c>
      <c r="H49">
        <f t="shared" si="12"/>
        <v>83.8763007180121</v>
      </c>
      <c r="J49">
        <f t="shared" si="13"/>
        <v>83.8763007180121</v>
      </c>
      <c r="K49">
        <f t="shared" si="14"/>
        <v>0</v>
      </c>
      <c r="S49">
        <f t="shared" si="15"/>
        <v>0</v>
      </c>
      <c r="T49" t="e">
        <f t="shared" si="16"/>
        <v>#N/A</v>
      </c>
      <c r="U49" t="e">
        <f t="shared" si="17"/>
        <v>#N/A</v>
      </c>
      <c r="W49">
        <f t="shared" si="18"/>
        <v>83.8763007180121</v>
      </c>
      <c r="X49">
        <f t="shared" si="19"/>
        <v>83.8763007180121</v>
      </c>
      <c r="Z49" t="e">
        <f t="shared" si="20"/>
        <v>#N/A</v>
      </c>
      <c r="AA49" t="e">
        <f t="shared" si="21"/>
        <v>#N/A</v>
      </c>
    </row>
    <row r="50" spans="1:27">
      <c r="A50">
        <v>32</v>
      </c>
      <c r="B50" t="str">
        <f>tblTerritories!C34</f>
        <v>Manila</v>
      </c>
      <c r="C50">
        <f>IF(tblTerritories!F34="",0,tblTerritories!F34)</f>
        <v>1</v>
      </c>
      <c r="D50">
        <f t="shared" si="0"/>
        <v>54.8612405257348</v>
      </c>
      <c r="E50">
        <f t="shared" si="1"/>
        <v>54.8612405257348</v>
      </c>
      <c r="F50" t="b">
        <f t="shared" si="10"/>
        <v>1</v>
      </c>
      <c r="G50">
        <f t="shared" si="11"/>
        <v>54.8612405257348</v>
      </c>
      <c r="H50">
        <f t="shared" si="12"/>
        <v>54.8612405257348</v>
      </c>
      <c r="J50">
        <f t="shared" si="13"/>
        <v>54.8612405257348</v>
      </c>
      <c r="K50">
        <f t="shared" si="14"/>
        <v>0</v>
      </c>
      <c r="S50">
        <f t="shared" si="15"/>
        <v>0</v>
      </c>
      <c r="T50" t="e">
        <f t="shared" si="16"/>
        <v>#N/A</v>
      </c>
      <c r="U50" t="e">
        <f t="shared" si="17"/>
        <v>#N/A</v>
      </c>
      <c r="W50">
        <f t="shared" si="18"/>
        <v>54.8612405257348</v>
      </c>
      <c r="X50">
        <f t="shared" si="19"/>
        <v>54.8612405257348</v>
      </c>
      <c r="Z50" t="e">
        <f t="shared" si="20"/>
        <v>#N/A</v>
      </c>
      <c r="AA50" t="e">
        <f t="shared" si="21"/>
        <v>#N/A</v>
      </c>
    </row>
    <row r="51" spans="1:27">
      <c r="A51">
        <v>33</v>
      </c>
      <c r="B51" t="str">
        <f>tblTerritories!C35</f>
        <v>Melbourne</v>
      </c>
      <c r="C51">
        <f>IF(tblTerritories!F35="",0,tblTerritories!F35)</f>
        <v>1</v>
      </c>
      <c r="D51">
        <f t="shared" ref="D51:D79" si="22">IF($C51=0,NA(),CHOOSE($B$6,INDEX(aScores_2014_O,$B$1,$A51),INDEX(aScores_2014_N,$B$1,$A51),INDEX(aScores_2017,$B$1,$A51)))</f>
        <v>87.3034408940153</v>
      </c>
      <c r="E51">
        <f t="shared" ref="E51:E79" si="23">IF($C51=0,NA(),CHOOSE($B$6,INDEX(aScores_2014_O,$B$2,$A51),INDEX(aScores_2014_N,$B$2,$A51),INDEX(aScores_2017,$B$2,$A51)))</f>
        <v>87.3034408940153</v>
      </c>
      <c r="F51" t="b">
        <f t="shared" si="10"/>
        <v>1</v>
      </c>
      <c r="G51">
        <f t="shared" si="11"/>
        <v>87.3034408940153</v>
      </c>
      <c r="H51">
        <f t="shared" si="12"/>
        <v>87.3034408940153</v>
      </c>
      <c r="J51">
        <f t="shared" si="13"/>
        <v>87.3034408940153</v>
      </c>
      <c r="K51">
        <f t="shared" si="14"/>
        <v>0</v>
      </c>
      <c r="S51">
        <f t="shared" si="15"/>
        <v>0</v>
      </c>
      <c r="T51" t="e">
        <f t="shared" si="16"/>
        <v>#N/A</v>
      </c>
      <c r="U51" t="e">
        <f t="shared" si="17"/>
        <v>#N/A</v>
      </c>
      <c r="W51">
        <f t="shared" si="18"/>
        <v>87.3034408940153</v>
      </c>
      <c r="X51">
        <f t="shared" si="19"/>
        <v>87.3034408940153</v>
      </c>
      <c r="Z51" t="e">
        <f t="shared" si="20"/>
        <v>#N/A</v>
      </c>
      <c r="AA51" t="e">
        <f t="shared" si="21"/>
        <v>#N/A</v>
      </c>
    </row>
    <row r="52" spans="1:27">
      <c r="A52">
        <v>34</v>
      </c>
      <c r="B52" t="str">
        <f>tblTerritories!C36</f>
        <v>Mexico City</v>
      </c>
      <c r="C52">
        <f>IF(tblTerritories!F36="",0,tblTerritories!F36)</f>
        <v>1</v>
      </c>
      <c r="D52">
        <f t="shared" si="22"/>
        <v>65.5192607721301</v>
      </c>
      <c r="E52">
        <f t="shared" si="23"/>
        <v>65.5192607721301</v>
      </c>
      <c r="F52" t="b">
        <f t="shared" si="10"/>
        <v>1</v>
      </c>
      <c r="G52">
        <f t="shared" si="11"/>
        <v>65.5192607721301</v>
      </c>
      <c r="H52">
        <f t="shared" si="12"/>
        <v>65.5192607721301</v>
      </c>
      <c r="J52">
        <f t="shared" si="13"/>
        <v>65.5192607721301</v>
      </c>
      <c r="K52">
        <f t="shared" si="14"/>
        <v>0</v>
      </c>
      <c r="S52">
        <f t="shared" si="15"/>
        <v>0</v>
      </c>
      <c r="T52" t="e">
        <f t="shared" si="16"/>
        <v>#N/A</v>
      </c>
      <c r="U52" t="e">
        <f t="shared" si="17"/>
        <v>#N/A</v>
      </c>
      <c r="W52">
        <f t="shared" si="18"/>
        <v>65.5192607721301</v>
      </c>
      <c r="X52">
        <f t="shared" si="19"/>
        <v>65.5192607721301</v>
      </c>
      <c r="Z52" t="e">
        <f t="shared" si="20"/>
        <v>#N/A</v>
      </c>
      <c r="AA52" t="e">
        <f t="shared" si="21"/>
        <v>#N/A</v>
      </c>
    </row>
    <row r="53" spans="1:27">
      <c r="A53">
        <v>35</v>
      </c>
      <c r="B53" t="str">
        <f>tblTerritories!C37</f>
        <v>Milan</v>
      </c>
      <c r="C53">
        <f>IF(tblTerritories!F37="",0,tblTerritories!F37)</f>
        <v>1</v>
      </c>
      <c r="D53">
        <f t="shared" si="22"/>
        <v>79.3002825401348</v>
      </c>
      <c r="E53">
        <f t="shared" si="23"/>
        <v>79.3002825401348</v>
      </c>
      <c r="F53" t="b">
        <f t="shared" si="10"/>
        <v>1</v>
      </c>
      <c r="G53">
        <f t="shared" si="11"/>
        <v>79.3002825401348</v>
      </c>
      <c r="H53">
        <f t="shared" si="12"/>
        <v>79.3002825401348</v>
      </c>
      <c r="J53">
        <f t="shared" si="13"/>
        <v>79.3002825401348</v>
      </c>
      <c r="K53">
        <f t="shared" si="14"/>
        <v>0</v>
      </c>
      <c r="S53">
        <f t="shared" si="15"/>
        <v>0</v>
      </c>
      <c r="T53" t="e">
        <f t="shared" si="16"/>
        <v>#N/A</v>
      </c>
      <c r="U53" t="e">
        <f t="shared" si="17"/>
        <v>#N/A</v>
      </c>
      <c r="W53">
        <f t="shared" si="18"/>
        <v>79.3002825401348</v>
      </c>
      <c r="X53">
        <f t="shared" si="19"/>
        <v>79.3002825401348</v>
      </c>
      <c r="Z53" t="e">
        <f t="shared" si="20"/>
        <v>#N/A</v>
      </c>
      <c r="AA53" t="e">
        <f t="shared" si="21"/>
        <v>#N/A</v>
      </c>
    </row>
    <row r="54" spans="1:27">
      <c r="A54">
        <v>36</v>
      </c>
      <c r="B54" t="str">
        <f>tblTerritories!C38</f>
        <v>Moscow</v>
      </c>
      <c r="C54">
        <f>IF(tblTerritories!F38="",0,tblTerritories!F38)</f>
        <v>1</v>
      </c>
      <c r="D54">
        <f t="shared" si="22"/>
        <v>63.9940668909029</v>
      </c>
      <c r="E54">
        <f t="shared" si="23"/>
        <v>63.9940668909029</v>
      </c>
      <c r="F54" t="b">
        <f t="shared" si="10"/>
        <v>1</v>
      </c>
      <c r="G54">
        <f t="shared" si="11"/>
        <v>63.9940668909029</v>
      </c>
      <c r="H54">
        <f t="shared" si="12"/>
        <v>63.9940668909029</v>
      </c>
      <c r="J54">
        <f t="shared" si="13"/>
        <v>63.9940668909029</v>
      </c>
      <c r="K54">
        <f t="shared" si="14"/>
        <v>0</v>
      </c>
      <c r="S54">
        <f t="shared" si="15"/>
        <v>0</v>
      </c>
      <c r="T54" t="e">
        <f t="shared" si="16"/>
        <v>#N/A</v>
      </c>
      <c r="U54" t="e">
        <f t="shared" si="17"/>
        <v>#N/A</v>
      </c>
      <c r="W54">
        <f t="shared" si="18"/>
        <v>63.9940668909029</v>
      </c>
      <c r="X54">
        <f t="shared" si="19"/>
        <v>63.9940668909029</v>
      </c>
      <c r="Z54" t="e">
        <f t="shared" si="20"/>
        <v>#N/A</v>
      </c>
      <c r="AA54" t="e">
        <f t="shared" si="21"/>
        <v>#N/A</v>
      </c>
    </row>
    <row r="55" spans="1:27">
      <c r="A55">
        <v>37</v>
      </c>
      <c r="B55" t="str">
        <f>tblTerritories!C39</f>
        <v>Mumbai</v>
      </c>
      <c r="C55">
        <f>IF(tblTerritories!F39="",0,tblTerritories!F39)</f>
        <v>1</v>
      </c>
      <c r="D55">
        <f t="shared" si="22"/>
        <v>61.8400556388434</v>
      </c>
      <c r="E55">
        <f t="shared" si="23"/>
        <v>61.8400556388434</v>
      </c>
      <c r="F55" t="b">
        <f t="shared" si="10"/>
        <v>1</v>
      </c>
      <c r="G55">
        <f t="shared" si="11"/>
        <v>61.8400556388434</v>
      </c>
      <c r="H55">
        <f t="shared" si="12"/>
        <v>61.8400556388434</v>
      </c>
      <c r="J55">
        <f t="shared" si="13"/>
        <v>61.8400556388434</v>
      </c>
      <c r="K55">
        <f t="shared" si="14"/>
        <v>0</v>
      </c>
      <c r="S55">
        <f t="shared" si="15"/>
        <v>0</v>
      </c>
      <c r="T55" t="e">
        <f t="shared" si="16"/>
        <v>#N/A</v>
      </c>
      <c r="U55" t="e">
        <f t="shared" si="17"/>
        <v>#N/A</v>
      </c>
      <c r="W55">
        <f t="shared" si="18"/>
        <v>61.8400556388434</v>
      </c>
      <c r="X55">
        <f t="shared" si="19"/>
        <v>61.8400556388434</v>
      </c>
      <c r="Z55" t="e">
        <f t="shared" si="20"/>
        <v>#N/A</v>
      </c>
      <c r="AA55" t="e">
        <f t="shared" si="21"/>
        <v>#N/A</v>
      </c>
    </row>
    <row r="56" spans="1:27">
      <c r="A56">
        <v>38</v>
      </c>
      <c r="B56" t="str">
        <f>tblTerritories!C40</f>
        <v>New York</v>
      </c>
      <c r="C56">
        <f>IF(tblTerritories!F40="",0,tblTerritories!F40)</f>
        <v>1</v>
      </c>
      <c r="D56">
        <f t="shared" si="22"/>
        <v>81.0121651371737</v>
      </c>
      <c r="E56">
        <f t="shared" si="23"/>
        <v>81.0121651371737</v>
      </c>
      <c r="F56" t="b">
        <f t="shared" si="10"/>
        <v>1</v>
      </c>
      <c r="G56">
        <f t="shared" si="11"/>
        <v>81.0121651371737</v>
      </c>
      <c r="H56">
        <f t="shared" si="12"/>
        <v>81.0121651371737</v>
      </c>
      <c r="J56">
        <f t="shared" si="13"/>
        <v>81.0121651371737</v>
      </c>
      <c r="K56">
        <f t="shared" si="14"/>
        <v>0</v>
      </c>
      <c r="S56">
        <f t="shared" si="15"/>
        <v>0</v>
      </c>
      <c r="T56" t="e">
        <f t="shared" si="16"/>
        <v>#N/A</v>
      </c>
      <c r="U56" t="e">
        <f t="shared" si="17"/>
        <v>#N/A</v>
      </c>
      <c r="W56">
        <f t="shared" si="18"/>
        <v>81.0121651371737</v>
      </c>
      <c r="X56">
        <f t="shared" si="19"/>
        <v>81.0121651371737</v>
      </c>
      <c r="Z56" t="e">
        <f t="shared" si="20"/>
        <v>#N/A</v>
      </c>
      <c r="AA56" t="e">
        <f t="shared" si="21"/>
        <v>#N/A</v>
      </c>
    </row>
    <row r="57" spans="1:27">
      <c r="A57">
        <v>39</v>
      </c>
      <c r="B57" t="str">
        <f>tblTerritories!C41</f>
        <v>Osaka</v>
      </c>
      <c r="C57">
        <f>IF(tblTerritories!F41="",0,tblTerritories!F41)</f>
        <v>1</v>
      </c>
      <c r="D57">
        <f t="shared" si="22"/>
        <v>88.8650564291072</v>
      </c>
      <c r="E57">
        <f t="shared" si="23"/>
        <v>88.8650564291072</v>
      </c>
      <c r="F57" t="b">
        <f t="shared" si="10"/>
        <v>1</v>
      </c>
      <c r="G57">
        <f t="shared" si="11"/>
        <v>88.8650564291072</v>
      </c>
      <c r="H57">
        <f t="shared" si="12"/>
        <v>88.8650564291072</v>
      </c>
      <c r="J57">
        <f t="shared" si="13"/>
        <v>88.8650564291072</v>
      </c>
      <c r="K57">
        <f t="shared" si="14"/>
        <v>0</v>
      </c>
      <c r="S57">
        <f t="shared" si="15"/>
        <v>0</v>
      </c>
      <c r="T57" t="e">
        <f t="shared" si="16"/>
        <v>#N/A</v>
      </c>
      <c r="U57" t="e">
        <f t="shared" si="17"/>
        <v>#N/A</v>
      </c>
      <c r="W57">
        <f t="shared" si="18"/>
        <v>88.8650564291072</v>
      </c>
      <c r="X57">
        <f t="shared" si="19"/>
        <v>88.8650564291072</v>
      </c>
      <c r="Z57" t="e">
        <f t="shared" si="20"/>
        <v>#N/A</v>
      </c>
      <c r="AA57" t="e">
        <f t="shared" si="21"/>
        <v>#N/A</v>
      </c>
    </row>
    <row r="58" spans="1:27">
      <c r="A58">
        <v>40</v>
      </c>
      <c r="B58" t="str">
        <f>tblTerritories!C42</f>
        <v>Paris</v>
      </c>
      <c r="C58">
        <f>IF(tblTerritories!F42="",0,tblTerritories!F42)</f>
        <v>1</v>
      </c>
      <c r="D58">
        <f t="shared" si="22"/>
        <v>79.7132878977853</v>
      </c>
      <c r="E58">
        <f t="shared" si="23"/>
        <v>79.7132878977853</v>
      </c>
      <c r="F58" t="b">
        <f t="shared" si="10"/>
        <v>1</v>
      </c>
      <c r="G58">
        <f t="shared" si="11"/>
        <v>79.7132878977853</v>
      </c>
      <c r="H58">
        <f t="shared" si="12"/>
        <v>79.7132878977853</v>
      </c>
      <c r="J58">
        <f t="shared" si="13"/>
        <v>79.7132878977853</v>
      </c>
      <c r="K58">
        <f t="shared" si="14"/>
        <v>0</v>
      </c>
      <c r="S58">
        <f t="shared" si="15"/>
        <v>0</v>
      </c>
      <c r="T58" t="e">
        <f t="shared" si="16"/>
        <v>#N/A</v>
      </c>
      <c r="U58" t="e">
        <f t="shared" si="17"/>
        <v>#N/A</v>
      </c>
      <c r="W58">
        <f t="shared" si="18"/>
        <v>79.7132878977853</v>
      </c>
      <c r="X58">
        <f t="shared" si="19"/>
        <v>79.7132878977853</v>
      </c>
      <c r="Z58" t="e">
        <f t="shared" si="20"/>
        <v>#N/A</v>
      </c>
      <c r="AA58" t="e">
        <f t="shared" si="21"/>
        <v>#N/A</v>
      </c>
    </row>
    <row r="59" spans="1:27">
      <c r="A59">
        <v>41</v>
      </c>
      <c r="B59" t="str">
        <f>tblTerritories!C43</f>
        <v>Quito</v>
      </c>
      <c r="C59">
        <f>IF(tblTerritories!F43="",0,tblTerritories!F43)</f>
        <v>1</v>
      </c>
      <c r="D59">
        <f t="shared" si="22"/>
        <v>56.3875885986625</v>
      </c>
      <c r="E59">
        <f t="shared" si="23"/>
        <v>56.3875885986625</v>
      </c>
      <c r="F59" t="b">
        <f t="shared" si="10"/>
        <v>1</v>
      </c>
      <c r="G59">
        <f t="shared" si="11"/>
        <v>56.3875885986625</v>
      </c>
      <c r="H59">
        <f t="shared" si="12"/>
        <v>56.3875885986625</v>
      </c>
      <c r="J59">
        <f t="shared" si="13"/>
        <v>56.3875885986625</v>
      </c>
      <c r="K59">
        <f t="shared" si="14"/>
        <v>0</v>
      </c>
      <c r="S59">
        <f t="shared" si="15"/>
        <v>0</v>
      </c>
      <c r="T59" t="e">
        <f t="shared" si="16"/>
        <v>#N/A</v>
      </c>
      <c r="U59" t="e">
        <f t="shared" si="17"/>
        <v>#N/A</v>
      </c>
      <c r="W59">
        <f t="shared" si="18"/>
        <v>56.3875885986625</v>
      </c>
      <c r="X59">
        <f t="shared" si="19"/>
        <v>56.3875885986625</v>
      </c>
      <c r="Z59" t="e">
        <f t="shared" si="20"/>
        <v>#N/A</v>
      </c>
      <c r="AA59" t="e">
        <f t="shared" si="21"/>
        <v>#N/A</v>
      </c>
    </row>
    <row r="60" spans="1:27">
      <c r="A60">
        <v>42</v>
      </c>
      <c r="B60" t="str">
        <f>tblTerritories!C44</f>
        <v>Rio de Janeiro</v>
      </c>
      <c r="C60">
        <f>IF(tblTerritories!F44="",0,tblTerritories!F44)</f>
        <v>1</v>
      </c>
      <c r="D60">
        <f t="shared" si="22"/>
        <v>66.5377458964152</v>
      </c>
      <c r="E60">
        <f t="shared" si="23"/>
        <v>66.5377458964152</v>
      </c>
      <c r="F60" t="b">
        <f t="shared" si="10"/>
        <v>1</v>
      </c>
      <c r="G60">
        <f t="shared" si="11"/>
        <v>66.5377458964152</v>
      </c>
      <c r="H60">
        <f t="shared" si="12"/>
        <v>66.5377458964152</v>
      </c>
      <c r="J60">
        <f t="shared" si="13"/>
        <v>66.5377458964152</v>
      </c>
      <c r="K60">
        <f t="shared" si="14"/>
        <v>0</v>
      </c>
      <c r="S60">
        <f t="shared" si="15"/>
        <v>0</v>
      </c>
      <c r="T60" t="e">
        <f t="shared" si="16"/>
        <v>#N/A</v>
      </c>
      <c r="U60" t="e">
        <f t="shared" si="17"/>
        <v>#N/A</v>
      </c>
      <c r="W60">
        <f t="shared" si="18"/>
        <v>66.5377458964152</v>
      </c>
      <c r="X60">
        <f t="shared" si="19"/>
        <v>66.5377458964152</v>
      </c>
      <c r="Z60" t="e">
        <f t="shared" si="20"/>
        <v>#N/A</v>
      </c>
      <c r="AA60" t="e">
        <f t="shared" si="21"/>
        <v>#N/A</v>
      </c>
    </row>
    <row r="61" spans="1:27">
      <c r="A61">
        <v>43</v>
      </c>
      <c r="B61" t="str">
        <f>tblTerritories!C45</f>
        <v>Riyadh</v>
      </c>
      <c r="C61">
        <f>IF(tblTerritories!F45="",0,tblTerritories!F45)</f>
        <v>1</v>
      </c>
      <c r="D61">
        <f t="shared" si="22"/>
        <v>61.2274416918829</v>
      </c>
      <c r="E61">
        <f t="shared" si="23"/>
        <v>61.2274416918829</v>
      </c>
      <c r="F61" t="b">
        <f t="shared" si="10"/>
        <v>1</v>
      </c>
      <c r="G61">
        <f t="shared" si="11"/>
        <v>61.2274416918829</v>
      </c>
      <c r="H61">
        <f t="shared" si="12"/>
        <v>61.2274416918829</v>
      </c>
      <c r="J61">
        <f t="shared" si="13"/>
        <v>61.2274416918829</v>
      </c>
      <c r="K61">
        <f t="shared" si="14"/>
        <v>0</v>
      </c>
      <c r="S61">
        <f t="shared" si="15"/>
        <v>0</v>
      </c>
      <c r="T61" t="e">
        <f t="shared" si="16"/>
        <v>#N/A</v>
      </c>
      <c r="U61" t="e">
        <f t="shared" si="17"/>
        <v>#N/A</v>
      </c>
      <c r="W61">
        <f t="shared" si="18"/>
        <v>61.2274416918829</v>
      </c>
      <c r="X61">
        <f t="shared" si="19"/>
        <v>61.2274416918829</v>
      </c>
      <c r="Z61" t="e">
        <f t="shared" si="20"/>
        <v>#N/A</v>
      </c>
      <c r="AA61" t="e">
        <f t="shared" si="21"/>
        <v>#N/A</v>
      </c>
    </row>
    <row r="62" spans="1:27">
      <c r="A62">
        <v>44</v>
      </c>
      <c r="B62" t="str">
        <f>tblTerritories!C46</f>
        <v>Rome</v>
      </c>
      <c r="C62">
        <f>IF(tblTerritories!F46="",0,tblTerritories!F46)</f>
        <v>1</v>
      </c>
      <c r="D62">
        <f t="shared" si="22"/>
        <v>78.6744389612512</v>
      </c>
      <c r="E62">
        <f t="shared" si="23"/>
        <v>78.6744389612512</v>
      </c>
      <c r="F62" t="b">
        <f t="shared" si="10"/>
        <v>1</v>
      </c>
      <c r="G62">
        <f t="shared" si="11"/>
        <v>78.6744389612512</v>
      </c>
      <c r="H62">
        <f t="shared" si="12"/>
        <v>78.6744389612512</v>
      </c>
      <c r="J62">
        <f t="shared" si="13"/>
        <v>78.6744389612512</v>
      </c>
      <c r="K62">
        <f t="shared" si="14"/>
        <v>0</v>
      </c>
      <c r="S62">
        <f t="shared" si="15"/>
        <v>0</v>
      </c>
      <c r="T62" t="e">
        <f t="shared" si="16"/>
        <v>#N/A</v>
      </c>
      <c r="U62" t="e">
        <f t="shared" si="17"/>
        <v>#N/A</v>
      </c>
      <c r="W62">
        <f t="shared" si="18"/>
        <v>78.6744389612512</v>
      </c>
      <c r="X62">
        <f t="shared" si="19"/>
        <v>78.6744389612512</v>
      </c>
      <c r="Z62" t="e">
        <f t="shared" si="20"/>
        <v>#N/A</v>
      </c>
      <c r="AA62" t="e">
        <f t="shared" si="21"/>
        <v>#N/A</v>
      </c>
    </row>
    <row r="63" spans="1:27">
      <c r="A63">
        <v>45</v>
      </c>
      <c r="B63" t="str">
        <f>tblTerritories!C47</f>
        <v>San Francisco</v>
      </c>
      <c r="C63">
        <f>IF(tblTerritories!F47="",0,tblTerritories!F47)</f>
        <v>1</v>
      </c>
      <c r="D63">
        <f t="shared" si="22"/>
        <v>83.5529579436713</v>
      </c>
      <c r="E63">
        <f t="shared" si="23"/>
        <v>83.5529579436713</v>
      </c>
      <c r="F63" t="b">
        <f t="shared" si="10"/>
        <v>1</v>
      </c>
      <c r="G63">
        <f t="shared" si="11"/>
        <v>83.5529579436713</v>
      </c>
      <c r="H63">
        <f t="shared" si="12"/>
        <v>83.5529579436713</v>
      </c>
      <c r="J63">
        <f t="shared" si="13"/>
        <v>83.5529579436713</v>
      </c>
      <c r="K63">
        <f t="shared" si="14"/>
        <v>0</v>
      </c>
      <c r="S63">
        <f t="shared" si="15"/>
        <v>0</v>
      </c>
      <c r="T63" t="e">
        <f t="shared" si="16"/>
        <v>#N/A</v>
      </c>
      <c r="U63" t="e">
        <f t="shared" si="17"/>
        <v>#N/A</v>
      </c>
      <c r="W63">
        <f t="shared" si="18"/>
        <v>83.5529579436713</v>
      </c>
      <c r="X63">
        <f t="shared" si="19"/>
        <v>83.5529579436713</v>
      </c>
      <c r="Z63" t="e">
        <f t="shared" si="20"/>
        <v>#N/A</v>
      </c>
      <c r="AA63" t="e">
        <f t="shared" si="21"/>
        <v>#N/A</v>
      </c>
    </row>
    <row r="64" spans="1:27">
      <c r="A64">
        <v>46</v>
      </c>
      <c r="B64" t="str">
        <f>tblTerritories!C48</f>
        <v>Santiago</v>
      </c>
      <c r="C64">
        <f>IF(tblTerritories!F48="",0,tblTerritories!F48)</f>
        <v>1</v>
      </c>
      <c r="D64">
        <f t="shared" si="22"/>
        <v>70.0251545363467</v>
      </c>
      <c r="E64">
        <f t="shared" si="23"/>
        <v>70.0251545363467</v>
      </c>
      <c r="F64" t="b">
        <f t="shared" si="10"/>
        <v>1</v>
      </c>
      <c r="G64">
        <f t="shared" si="11"/>
        <v>70.0251545363467</v>
      </c>
      <c r="H64">
        <f t="shared" si="12"/>
        <v>70.0251545363467</v>
      </c>
      <c r="J64">
        <f t="shared" si="13"/>
        <v>70.0251545363467</v>
      </c>
      <c r="K64">
        <f t="shared" si="14"/>
        <v>0</v>
      </c>
      <c r="S64">
        <f t="shared" si="15"/>
        <v>0</v>
      </c>
      <c r="T64" t="e">
        <f t="shared" si="16"/>
        <v>#N/A</v>
      </c>
      <c r="U64" t="e">
        <f t="shared" si="17"/>
        <v>#N/A</v>
      </c>
      <c r="W64">
        <f t="shared" si="18"/>
        <v>70.0251545363467</v>
      </c>
      <c r="X64">
        <f t="shared" si="19"/>
        <v>70.0251545363467</v>
      </c>
      <c r="Z64" t="e">
        <f t="shared" si="20"/>
        <v>#N/A</v>
      </c>
      <c r="AA64" t="e">
        <f t="shared" si="21"/>
        <v>#N/A</v>
      </c>
    </row>
    <row r="65" spans="1:27">
      <c r="A65">
        <v>47</v>
      </c>
      <c r="B65" t="str">
        <f>tblTerritories!C49</f>
        <v>Sao Paulo</v>
      </c>
      <c r="C65">
        <f>IF(tblTerritories!F49="",0,tblTerritories!F49)</f>
        <v>1</v>
      </c>
      <c r="D65">
        <f t="shared" si="22"/>
        <v>66.3048271427125</v>
      </c>
      <c r="E65">
        <f t="shared" si="23"/>
        <v>66.3048271427125</v>
      </c>
      <c r="F65" t="b">
        <f t="shared" si="10"/>
        <v>1</v>
      </c>
      <c r="G65">
        <f t="shared" si="11"/>
        <v>66.3048271427125</v>
      </c>
      <c r="H65">
        <f t="shared" si="12"/>
        <v>66.3048271427125</v>
      </c>
      <c r="J65">
        <f t="shared" si="13"/>
        <v>66.3048271427125</v>
      </c>
      <c r="K65">
        <f t="shared" si="14"/>
        <v>0</v>
      </c>
      <c r="S65">
        <f t="shared" si="15"/>
        <v>0</v>
      </c>
      <c r="T65" t="e">
        <f t="shared" si="16"/>
        <v>#N/A</v>
      </c>
      <c r="U65" t="e">
        <f t="shared" si="17"/>
        <v>#N/A</v>
      </c>
      <c r="W65">
        <f t="shared" si="18"/>
        <v>66.3048271427125</v>
      </c>
      <c r="X65">
        <f t="shared" si="19"/>
        <v>66.3048271427125</v>
      </c>
      <c r="Z65" t="e">
        <f t="shared" si="20"/>
        <v>#N/A</v>
      </c>
      <c r="AA65" t="e">
        <f t="shared" si="21"/>
        <v>#N/A</v>
      </c>
    </row>
    <row r="66" spans="1:27">
      <c r="A66">
        <v>48</v>
      </c>
      <c r="B66" t="str">
        <f>tblTerritories!C50</f>
        <v>Seoul</v>
      </c>
      <c r="C66">
        <f>IF(tblTerritories!F50="",0,tblTerritories!F50)</f>
        <v>1</v>
      </c>
      <c r="D66">
        <f t="shared" si="22"/>
        <v>83.6051084788302</v>
      </c>
      <c r="E66">
        <f t="shared" si="23"/>
        <v>83.6051084788302</v>
      </c>
      <c r="F66" t="b">
        <f t="shared" si="10"/>
        <v>1</v>
      </c>
      <c r="G66">
        <f t="shared" si="11"/>
        <v>83.6051084788302</v>
      </c>
      <c r="H66">
        <f t="shared" si="12"/>
        <v>83.6051084788302</v>
      </c>
      <c r="J66">
        <f t="shared" si="13"/>
        <v>83.6051084788302</v>
      </c>
      <c r="K66">
        <f t="shared" si="14"/>
        <v>0</v>
      </c>
      <c r="S66">
        <f t="shared" si="15"/>
        <v>0</v>
      </c>
      <c r="T66" t="e">
        <f t="shared" si="16"/>
        <v>#N/A</v>
      </c>
      <c r="U66" t="e">
        <f t="shared" si="17"/>
        <v>#N/A</v>
      </c>
      <c r="W66">
        <f t="shared" si="18"/>
        <v>83.6051084788302</v>
      </c>
      <c r="X66">
        <f t="shared" si="19"/>
        <v>83.6051084788302</v>
      </c>
      <c r="Z66" t="e">
        <f t="shared" si="20"/>
        <v>#N/A</v>
      </c>
      <c r="AA66" t="e">
        <f t="shared" si="21"/>
        <v>#N/A</v>
      </c>
    </row>
    <row r="67" spans="1:27">
      <c r="A67">
        <v>49</v>
      </c>
      <c r="B67" t="str">
        <f>tblTerritories!C51</f>
        <v>Shanghai</v>
      </c>
      <c r="C67">
        <f>IF(tblTerritories!F51="",0,tblTerritories!F51)</f>
        <v>1</v>
      </c>
      <c r="D67">
        <f t="shared" si="22"/>
        <v>70.9283922590062</v>
      </c>
      <c r="E67">
        <f t="shared" si="23"/>
        <v>70.9283922590062</v>
      </c>
      <c r="F67" t="b">
        <f t="shared" si="10"/>
        <v>1</v>
      </c>
      <c r="G67">
        <f t="shared" si="11"/>
        <v>70.9283922590062</v>
      </c>
      <c r="H67">
        <f t="shared" si="12"/>
        <v>70.9283922590062</v>
      </c>
      <c r="J67">
        <f t="shared" si="13"/>
        <v>70.9283922590062</v>
      </c>
      <c r="K67">
        <f t="shared" si="14"/>
        <v>0</v>
      </c>
      <c r="S67">
        <f t="shared" si="15"/>
        <v>0</v>
      </c>
      <c r="T67" t="e">
        <f t="shared" si="16"/>
        <v>#N/A</v>
      </c>
      <c r="U67" t="e">
        <f t="shared" si="17"/>
        <v>#N/A</v>
      </c>
      <c r="W67">
        <f t="shared" si="18"/>
        <v>70.9283922590062</v>
      </c>
      <c r="X67">
        <f t="shared" si="19"/>
        <v>70.9283922590062</v>
      </c>
      <c r="Z67" t="e">
        <f t="shared" si="20"/>
        <v>#N/A</v>
      </c>
      <c r="AA67" t="e">
        <f t="shared" si="21"/>
        <v>#N/A</v>
      </c>
    </row>
    <row r="68" spans="1:27">
      <c r="A68">
        <v>50</v>
      </c>
      <c r="B68" t="str">
        <f>tblTerritories!C52</f>
        <v>Singapore</v>
      </c>
      <c r="C68">
        <f>IF(tblTerritories!F52="",0,tblTerritories!F52)</f>
        <v>1</v>
      </c>
      <c r="D68">
        <f t="shared" si="22"/>
        <v>89.6376695961923</v>
      </c>
      <c r="E68">
        <f t="shared" si="23"/>
        <v>89.6376695961923</v>
      </c>
      <c r="F68" t="b">
        <f t="shared" si="10"/>
        <v>1</v>
      </c>
      <c r="G68">
        <f t="shared" si="11"/>
        <v>89.6376695961923</v>
      </c>
      <c r="H68">
        <f t="shared" si="12"/>
        <v>89.6376695961923</v>
      </c>
      <c r="J68">
        <f t="shared" si="13"/>
        <v>89.6376695961923</v>
      </c>
      <c r="K68">
        <f t="shared" si="14"/>
        <v>0</v>
      </c>
      <c r="S68">
        <f t="shared" si="15"/>
        <v>0</v>
      </c>
      <c r="T68" t="e">
        <f t="shared" si="16"/>
        <v>#N/A</v>
      </c>
      <c r="U68" t="e">
        <f t="shared" si="17"/>
        <v>#N/A</v>
      </c>
      <c r="W68">
        <f t="shared" si="18"/>
        <v>89.6376695961923</v>
      </c>
      <c r="X68">
        <f t="shared" si="19"/>
        <v>89.6376695961923</v>
      </c>
      <c r="Z68" t="e">
        <f t="shared" si="20"/>
        <v>#N/A</v>
      </c>
      <c r="AA68" t="e">
        <f t="shared" si="21"/>
        <v>#N/A</v>
      </c>
    </row>
    <row r="69" spans="1:27">
      <c r="A69">
        <v>51</v>
      </c>
      <c r="B69" t="str">
        <f>tblTerritories!C53</f>
        <v>Stockholm</v>
      </c>
      <c r="C69">
        <f>IF(tblTerritories!F53="",0,tblTerritories!F53)</f>
        <v>1</v>
      </c>
      <c r="D69">
        <f t="shared" si="22"/>
        <v>86.7165220056286</v>
      </c>
      <c r="E69">
        <f t="shared" si="23"/>
        <v>86.7165220056286</v>
      </c>
      <c r="F69" t="b">
        <f t="shared" si="10"/>
        <v>1</v>
      </c>
      <c r="G69">
        <f t="shared" si="11"/>
        <v>86.7165220056286</v>
      </c>
      <c r="H69">
        <f t="shared" si="12"/>
        <v>86.7165220056286</v>
      </c>
      <c r="J69">
        <f t="shared" si="13"/>
        <v>86.7165220056286</v>
      </c>
      <c r="K69">
        <f t="shared" si="14"/>
        <v>0</v>
      </c>
      <c r="S69">
        <f t="shared" si="15"/>
        <v>0</v>
      </c>
      <c r="T69" t="e">
        <f t="shared" si="16"/>
        <v>#N/A</v>
      </c>
      <c r="U69" t="e">
        <f t="shared" si="17"/>
        <v>#N/A</v>
      </c>
      <c r="W69">
        <f t="shared" si="18"/>
        <v>86.7165220056286</v>
      </c>
      <c r="X69">
        <f t="shared" si="19"/>
        <v>86.7165220056286</v>
      </c>
      <c r="Z69" t="e">
        <f t="shared" si="20"/>
        <v>#N/A</v>
      </c>
      <c r="AA69" t="e">
        <f t="shared" si="21"/>
        <v>#N/A</v>
      </c>
    </row>
    <row r="70" spans="1:27">
      <c r="A70">
        <v>52</v>
      </c>
      <c r="B70" t="str">
        <f>tblTerritories!C54</f>
        <v>Sydney</v>
      </c>
      <c r="C70">
        <f>IF(tblTerritories!F54="",0,tblTerritories!F54)</f>
        <v>1</v>
      </c>
      <c r="D70">
        <f t="shared" si="22"/>
        <v>86.7359744709291</v>
      </c>
      <c r="E70">
        <f t="shared" si="23"/>
        <v>86.7359744709291</v>
      </c>
      <c r="F70" t="b">
        <f t="shared" si="10"/>
        <v>1</v>
      </c>
      <c r="G70">
        <f t="shared" si="11"/>
        <v>86.7359744709291</v>
      </c>
      <c r="H70">
        <f t="shared" si="12"/>
        <v>86.7359744709291</v>
      </c>
      <c r="J70">
        <f t="shared" si="13"/>
        <v>86.7359744709291</v>
      </c>
      <c r="K70">
        <f t="shared" si="14"/>
        <v>0</v>
      </c>
      <c r="S70">
        <f t="shared" si="15"/>
        <v>0</v>
      </c>
      <c r="T70" t="e">
        <f t="shared" si="16"/>
        <v>#N/A</v>
      </c>
      <c r="U70" t="e">
        <f t="shared" si="17"/>
        <v>#N/A</v>
      </c>
      <c r="W70">
        <f t="shared" si="18"/>
        <v>86.7359744709291</v>
      </c>
      <c r="X70">
        <f t="shared" si="19"/>
        <v>86.7359744709291</v>
      </c>
      <c r="Z70" t="e">
        <f t="shared" si="20"/>
        <v>#N/A</v>
      </c>
      <c r="AA70" t="e">
        <f t="shared" si="21"/>
        <v>#N/A</v>
      </c>
    </row>
    <row r="71" spans="1:27">
      <c r="A71">
        <v>53</v>
      </c>
      <c r="B71" t="str">
        <f>tblTerritories!C55</f>
        <v>Taipei</v>
      </c>
      <c r="C71">
        <f>IF(tblTerritories!F55="",0,tblTerritories!F55)</f>
        <v>1</v>
      </c>
      <c r="D71">
        <f t="shared" si="22"/>
        <v>80.7020484094921</v>
      </c>
      <c r="E71">
        <f t="shared" si="23"/>
        <v>80.7020484094921</v>
      </c>
      <c r="F71" t="b">
        <f t="shared" si="10"/>
        <v>1</v>
      </c>
      <c r="G71">
        <f t="shared" si="11"/>
        <v>80.7020484094921</v>
      </c>
      <c r="H71">
        <f t="shared" si="12"/>
        <v>80.7020484094921</v>
      </c>
      <c r="J71">
        <f t="shared" si="13"/>
        <v>80.7020484094921</v>
      </c>
      <c r="K71">
        <f t="shared" si="14"/>
        <v>0</v>
      </c>
      <c r="S71">
        <f t="shared" si="15"/>
        <v>0</v>
      </c>
      <c r="T71" t="e">
        <f t="shared" si="16"/>
        <v>#N/A</v>
      </c>
      <c r="U71" t="e">
        <f t="shared" si="17"/>
        <v>#N/A</v>
      </c>
      <c r="W71">
        <f t="shared" si="18"/>
        <v>80.7020484094921</v>
      </c>
      <c r="X71">
        <f t="shared" si="19"/>
        <v>80.7020484094921</v>
      </c>
      <c r="Z71" t="e">
        <f t="shared" si="20"/>
        <v>#N/A</v>
      </c>
      <c r="AA71" t="e">
        <f t="shared" si="21"/>
        <v>#N/A</v>
      </c>
    </row>
    <row r="72" spans="1:27">
      <c r="A72">
        <v>54</v>
      </c>
      <c r="B72" t="str">
        <f>tblTerritories!C56</f>
        <v>Tehran</v>
      </c>
      <c r="C72">
        <f>IF(tblTerritories!F56="",0,tblTerritories!F56)</f>
        <v>1</v>
      </c>
      <c r="D72">
        <f t="shared" si="22"/>
        <v>56.4934110813736</v>
      </c>
      <c r="E72">
        <f t="shared" si="23"/>
        <v>56.4934110813736</v>
      </c>
      <c r="F72" t="b">
        <f t="shared" si="10"/>
        <v>1</v>
      </c>
      <c r="G72">
        <f t="shared" si="11"/>
        <v>56.4934110813736</v>
      </c>
      <c r="H72">
        <f t="shared" si="12"/>
        <v>56.4934110813736</v>
      </c>
      <c r="J72">
        <f t="shared" si="13"/>
        <v>56.4934110813736</v>
      </c>
      <c r="K72">
        <f t="shared" si="14"/>
        <v>0</v>
      </c>
      <c r="S72">
        <f t="shared" si="15"/>
        <v>0</v>
      </c>
      <c r="T72" t="e">
        <f t="shared" si="16"/>
        <v>#N/A</v>
      </c>
      <c r="U72" t="e">
        <f t="shared" si="17"/>
        <v>#N/A</v>
      </c>
      <c r="W72">
        <f t="shared" si="18"/>
        <v>56.4934110813736</v>
      </c>
      <c r="X72">
        <f t="shared" si="19"/>
        <v>56.4934110813736</v>
      </c>
      <c r="Z72" t="e">
        <f t="shared" si="20"/>
        <v>#N/A</v>
      </c>
      <c r="AA72" t="e">
        <f t="shared" si="21"/>
        <v>#N/A</v>
      </c>
    </row>
    <row r="73" spans="1:27">
      <c r="A73">
        <v>55</v>
      </c>
      <c r="B73" t="str">
        <f>tblTerritories!C57</f>
        <v>Tokyo</v>
      </c>
      <c r="C73">
        <f>IF(tblTerritories!F57="",0,tblTerritories!F57)</f>
        <v>1</v>
      </c>
      <c r="D73">
        <f t="shared" si="22"/>
        <v>89.7970622963426</v>
      </c>
      <c r="E73">
        <f t="shared" si="23"/>
        <v>89.7970622963426</v>
      </c>
      <c r="F73" t="b">
        <f t="shared" si="10"/>
        <v>1</v>
      </c>
      <c r="G73">
        <f t="shared" si="11"/>
        <v>89.7970622963426</v>
      </c>
      <c r="H73">
        <f t="shared" si="12"/>
        <v>89.7970622963426</v>
      </c>
      <c r="J73">
        <f t="shared" si="13"/>
        <v>89.7970622963426</v>
      </c>
      <c r="K73">
        <f t="shared" si="14"/>
        <v>0</v>
      </c>
      <c r="S73">
        <f t="shared" si="15"/>
        <v>0</v>
      </c>
      <c r="T73" t="e">
        <f t="shared" si="16"/>
        <v>#N/A</v>
      </c>
      <c r="U73" t="e">
        <f t="shared" si="17"/>
        <v>#N/A</v>
      </c>
      <c r="W73">
        <f t="shared" si="18"/>
        <v>89.7970622963426</v>
      </c>
      <c r="X73">
        <f t="shared" si="19"/>
        <v>89.7970622963426</v>
      </c>
      <c r="Z73" t="e">
        <f t="shared" si="20"/>
        <v>#N/A</v>
      </c>
      <c r="AA73" t="e">
        <f t="shared" si="21"/>
        <v>#N/A</v>
      </c>
    </row>
    <row r="74" spans="1:27">
      <c r="A74">
        <v>56</v>
      </c>
      <c r="B74" t="str">
        <f>tblTerritories!C58</f>
        <v>Toronto</v>
      </c>
      <c r="C74">
        <f>IF(tblTerritories!F58="",0,tblTerritories!F58)</f>
        <v>1</v>
      </c>
      <c r="D74">
        <f t="shared" si="22"/>
        <v>87.3597968868532</v>
      </c>
      <c r="E74">
        <f t="shared" si="23"/>
        <v>87.3597968868532</v>
      </c>
      <c r="F74" t="b">
        <f t="shared" si="10"/>
        <v>1</v>
      </c>
      <c r="G74">
        <f t="shared" si="11"/>
        <v>87.3597968868532</v>
      </c>
      <c r="H74">
        <f t="shared" si="12"/>
        <v>87.3597968868532</v>
      </c>
      <c r="J74">
        <f t="shared" si="13"/>
        <v>87.3597968868532</v>
      </c>
      <c r="K74">
        <f t="shared" si="14"/>
        <v>0</v>
      </c>
      <c r="S74">
        <f t="shared" si="15"/>
        <v>0</v>
      </c>
      <c r="T74" t="e">
        <f t="shared" si="16"/>
        <v>#N/A</v>
      </c>
      <c r="U74" t="e">
        <f t="shared" si="17"/>
        <v>#N/A</v>
      </c>
      <c r="W74">
        <f t="shared" si="18"/>
        <v>87.3597968868532</v>
      </c>
      <c r="X74">
        <f t="shared" si="19"/>
        <v>87.3597968868532</v>
      </c>
      <c r="Z74" t="e">
        <f t="shared" si="20"/>
        <v>#N/A</v>
      </c>
      <c r="AA74" t="e">
        <f t="shared" si="21"/>
        <v>#N/A</v>
      </c>
    </row>
    <row r="75" spans="1:27">
      <c r="A75">
        <v>57</v>
      </c>
      <c r="B75" t="str">
        <f>tblTerritories!C59</f>
        <v>Washington DC</v>
      </c>
      <c r="C75">
        <f>IF(tblTerritories!F59="",0,tblTerritories!F59)</f>
        <v>1</v>
      </c>
      <c r="D75">
        <f t="shared" si="22"/>
        <v>80.366206891911</v>
      </c>
      <c r="E75">
        <f t="shared" si="23"/>
        <v>80.366206891911</v>
      </c>
      <c r="F75" t="b">
        <f t="shared" si="10"/>
        <v>1</v>
      </c>
      <c r="G75">
        <f t="shared" si="11"/>
        <v>80.366206891911</v>
      </c>
      <c r="H75">
        <f t="shared" si="12"/>
        <v>80.366206891911</v>
      </c>
      <c r="J75">
        <f t="shared" si="13"/>
        <v>80.366206891911</v>
      </c>
      <c r="K75">
        <f t="shared" si="14"/>
        <v>0</v>
      </c>
      <c r="S75">
        <f t="shared" si="15"/>
        <v>0</v>
      </c>
      <c r="T75" t="e">
        <f t="shared" si="16"/>
        <v>#N/A</v>
      </c>
      <c r="U75" t="e">
        <f t="shared" si="17"/>
        <v>#N/A</v>
      </c>
      <c r="W75">
        <f t="shared" si="18"/>
        <v>80.366206891911</v>
      </c>
      <c r="X75">
        <f t="shared" si="19"/>
        <v>80.366206891911</v>
      </c>
      <c r="Z75" t="e">
        <f t="shared" si="20"/>
        <v>#N/A</v>
      </c>
      <c r="AA75" t="e">
        <f t="shared" si="21"/>
        <v>#N/A</v>
      </c>
    </row>
    <row r="76" spans="1:27">
      <c r="A76">
        <v>58</v>
      </c>
      <c r="B76" t="str">
        <f>tblTerritories!C60</f>
        <v>Wellington</v>
      </c>
      <c r="C76">
        <f>IF(tblTerritories!F60="",0,tblTerritories!F60)</f>
        <v>1</v>
      </c>
      <c r="D76">
        <f t="shared" si="22"/>
        <v>83.1809690089348</v>
      </c>
      <c r="E76">
        <f t="shared" si="23"/>
        <v>83.1809690089348</v>
      </c>
      <c r="F76" t="b">
        <f t="shared" si="10"/>
        <v>1</v>
      </c>
      <c r="G76">
        <f t="shared" si="11"/>
        <v>83.1809690089348</v>
      </c>
      <c r="H76">
        <f t="shared" si="12"/>
        <v>83.1809690089348</v>
      </c>
      <c r="J76">
        <f t="shared" si="13"/>
        <v>83.1809690089348</v>
      </c>
      <c r="K76">
        <f t="shared" si="14"/>
        <v>0</v>
      </c>
      <c r="S76">
        <f t="shared" si="15"/>
        <v>0</v>
      </c>
      <c r="T76" t="e">
        <f t="shared" si="16"/>
        <v>#N/A</v>
      </c>
      <c r="U76" t="e">
        <f t="shared" si="17"/>
        <v>#N/A</v>
      </c>
      <c r="W76">
        <f t="shared" si="18"/>
        <v>83.1809690089348</v>
      </c>
      <c r="X76">
        <f t="shared" si="19"/>
        <v>83.1809690089348</v>
      </c>
      <c r="Z76" t="e">
        <f t="shared" si="20"/>
        <v>#N/A</v>
      </c>
      <c r="AA76" t="e">
        <f t="shared" si="21"/>
        <v>#N/A</v>
      </c>
    </row>
    <row r="77" spans="1:27">
      <c r="A77">
        <v>59</v>
      </c>
      <c r="B77" t="str">
        <f>tblTerritories!C61</f>
        <v>Yangon</v>
      </c>
      <c r="C77">
        <f>IF(tblTerritories!F61="",0,tblTerritories!F61)</f>
        <v>1</v>
      </c>
      <c r="D77">
        <f t="shared" si="22"/>
        <v>46.4662143998747</v>
      </c>
      <c r="E77">
        <f t="shared" si="23"/>
        <v>46.4662143998747</v>
      </c>
      <c r="F77" t="b">
        <f t="shared" si="10"/>
        <v>1</v>
      </c>
      <c r="G77">
        <f t="shared" si="11"/>
        <v>46.4662143998747</v>
      </c>
      <c r="H77">
        <f t="shared" si="12"/>
        <v>46.4662143998747</v>
      </c>
      <c r="J77">
        <f t="shared" si="13"/>
        <v>46.4662143998747</v>
      </c>
      <c r="K77">
        <f t="shared" si="14"/>
        <v>0</v>
      </c>
      <c r="S77">
        <f t="shared" si="15"/>
        <v>0</v>
      </c>
      <c r="T77" t="e">
        <f t="shared" si="16"/>
        <v>#N/A</v>
      </c>
      <c r="U77" t="e">
        <f t="shared" si="17"/>
        <v>#N/A</v>
      </c>
      <c r="W77">
        <f t="shared" si="18"/>
        <v>46.4662143998747</v>
      </c>
      <c r="X77">
        <f t="shared" si="19"/>
        <v>46.4662143998747</v>
      </c>
      <c r="Z77" t="e">
        <f t="shared" si="20"/>
        <v>#N/A</v>
      </c>
      <c r="AA77" t="e">
        <f t="shared" si="21"/>
        <v>#N/A</v>
      </c>
    </row>
    <row r="78" spans="1:27">
      <c r="A78">
        <v>60</v>
      </c>
      <c r="B78" t="str">
        <f>tblTerritories!C62</f>
        <v>Zurich</v>
      </c>
      <c r="C78">
        <f>IF(tblTerritories!F62="",0,tblTerritories!F62)</f>
        <v>1</v>
      </c>
      <c r="D78">
        <f t="shared" si="22"/>
        <v>85.1985461163896</v>
      </c>
      <c r="E78">
        <f t="shared" si="23"/>
        <v>85.1985461163896</v>
      </c>
      <c r="F78" t="b">
        <f t="shared" si="10"/>
        <v>1</v>
      </c>
      <c r="G78">
        <f t="shared" si="11"/>
        <v>85.1985461163896</v>
      </c>
      <c r="H78">
        <f t="shared" si="12"/>
        <v>85.1985461163896</v>
      </c>
      <c r="J78">
        <f t="shared" si="13"/>
        <v>85.1985461163896</v>
      </c>
      <c r="K78">
        <f t="shared" si="14"/>
        <v>0</v>
      </c>
      <c r="S78">
        <f t="shared" si="15"/>
        <v>0</v>
      </c>
      <c r="T78" t="e">
        <f t="shared" si="16"/>
        <v>#N/A</v>
      </c>
      <c r="U78" t="e">
        <f t="shared" si="17"/>
        <v>#N/A</v>
      </c>
      <c r="W78">
        <f t="shared" si="18"/>
        <v>85.1985461163896</v>
      </c>
      <c r="X78">
        <f t="shared" si="19"/>
        <v>85.1985461163896</v>
      </c>
      <c r="Z78" t="e">
        <f t="shared" si="20"/>
        <v>#N/A</v>
      </c>
      <c r="AA78" t="e">
        <f t="shared" si="21"/>
        <v>#N/A</v>
      </c>
    </row>
    <row r="79" spans="1:27">
      <c r="A79">
        <v>61</v>
      </c>
      <c r="B79" t="str">
        <f>tblTerritories!C63</f>
        <v>Kyoto</v>
      </c>
      <c r="C79">
        <f>IF(tblTerritories!F63="",0,tblTerritories!F63)</f>
        <v>0</v>
      </c>
      <c r="D79" t="e">
        <f t="shared" si="22"/>
        <v>#N/A</v>
      </c>
      <c r="E79" t="e">
        <f t="shared" si="23"/>
        <v>#N/A</v>
      </c>
      <c r="F79" t="b">
        <f t="shared" si="10"/>
        <v>0</v>
      </c>
      <c r="G79" t="str">
        <f t="shared" si="11"/>
        <v/>
      </c>
      <c r="H79" t="str">
        <f t="shared" si="12"/>
        <v/>
      </c>
      <c r="J79" t="str">
        <f t="shared" si="13"/>
        <v/>
      </c>
      <c r="K79" t="str">
        <f t="shared" si="14"/>
        <v/>
      </c>
      <c r="S79">
        <f t="shared" si="15"/>
        <v>0</v>
      </c>
      <c r="T79" t="e">
        <f t="shared" si="16"/>
        <v>#N/A</v>
      </c>
      <c r="U79" t="e">
        <f t="shared" si="17"/>
        <v>#N/A</v>
      </c>
      <c r="W79" t="e">
        <f t="shared" si="18"/>
        <v>#N/A</v>
      </c>
      <c r="X79" t="e">
        <f t="shared" si="19"/>
        <v>#N/A</v>
      </c>
      <c r="Z79" t="e">
        <f t="shared" si="20"/>
        <v>#N/A</v>
      </c>
      <c r="AA79" t="e">
        <f t="shared" si="21"/>
        <v>#N/A</v>
      </c>
    </row>
  </sheetData>
  <pageMargins left="0.551181102362205" right="0.551181102362205" top="0.590551181102362" bottom="0.78740157480315" header="0.511811023622047" footer="0.511811023622047"/>
  <pageSetup paperSize="9" scale="43" orientation="landscape"/>
  <headerFooter alignWithMargins="0">
    <oddHeader>&amp;RSafe Cities Index : 2017</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C000"/>
  </sheetPr>
  <dimension ref="A1:BN53"/>
  <sheetViews>
    <sheetView showRowColHeaders="0" zoomScale="90" zoomScaleNormal="90" workbookViewId="0">
      <selection activeCell="C2" sqref="C2"/>
    </sheetView>
  </sheetViews>
  <sheetFormatPr defaultColWidth="9" defaultRowHeight="15"/>
  <cols>
    <col min="4" max="4" width="9.14285714285714"/>
    <col min="5" max="5" width="35" customWidth="1"/>
  </cols>
  <sheetData>
    <row r="1" spans="1:3">
      <c r="A1" t="str">
        <f>uxb_works!A46</f>
        <v>YEAR_SELECT</v>
      </c>
      <c r="B1">
        <f>uxb_works!B46</f>
        <v>3</v>
      </c>
      <c r="C1">
        <f>uxb_works!C46</f>
        <v>2017</v>
      </c>
    </row>
    <row r="2" spans="1:3">
      <c r="A2" t="str">
        <f>uxb_works!A6</f>
        <v>CITY_HIGHLIGHT_DD</v>
      </c>
      <c r="B2">
        <f>uxb_works!B6</f>
        <v>1</v>
      </c>
      <c r="C2" t="str">
        <f ca="1">IF(B2=1,"Select a city",uxb_works!C6)</f>
        <v>Select a city</v>
      </c>
    </row>
    <row r="3" spans="1:3">
      <c r="A3" t="str">
        <f>uxb_works!A120</f>
        <v>Select Series</v>
      </c>
      <c r="B3">
        <f>uxb_works!B120</f>
        <v>1</v>
      </c>
      <c r="C3" t="str">
        <f>uxb_works!C120</f>
        <v>1) DIGITAL SECURITY</v>
      </c>
    </row>
    <row r="5" spans="1:5">
      <c r="A5" t="s">
        <v>43</v>
      </c>
      <c r="B5" t="s">
        <v>44</v>
      </c>
      <c r="C5">
        <v>2017</v>
      </c>
      <c r="E5" t="s">
        <v>379</v>
      </c>
    </row>
    <row r="6" spans="1:5">
      <c r="A6">
        <f>tblIndiSets_2014_O!B4</f>
        <v>2</v>
      </c>
      <c r="B6">
        <f>tblIndiSets!B6</f>
        <v>2</v>
      </c>
      <c r="C6">
        <f>B6</f>
        <v>2</v>
      </c>
      <c r="E6" t="str">
        <f>tblIndiSets!C6</f>
        <v>1) DIGITAL SECURITY</v>
      </c>
    </row>
    <row r="7" spans="1:5">
      <c r="A7">
        <f>tblIndiSets_2014_O!B5</f>
        <v>13</v>
      </c>
      <c r="B7">
        <f>tblIndiSets!B7</f>
        <v>13</v>
      </c>
      <c r="C7">
        <f t="shared" ref="C7:C9" si="0">B7</f>
        <v>13</v>
      </c>
      <c r="E7" t="str">
        <f>tblIndiSets!C7</f>
        <v>2) HEALTH SECURITY</v>
      </c>
    </row>
    <row r="8" spans="1:5">
      <c r="A8">
        <f>tblIndiSets_2014_O!B6</f>
        <v>27</v>
      </c>
      <c r="B8">
        <f>tblIndiSets!B8</f>
        <v>28</v>
      </c>
      <c r="C8">
        <f t="shared" si="0"/>
        <v>28</v>
      </c>
      <c r="E8" t="str">
        <f>tblIndiSets!C8</f>
        <v>3) INFRASTRUCTURE SECURITY</v>
      </c>
    </row>
    <row r="9" spans="1:5">
      <c r="A9">
        <f>tblIndiSets_2014_O!B7</f>
        <v>39</v>
      </c>
      <c r="B9">
        <f>tblIndiSets!B9</f>
        <v>41</v>
      </c>
      <c r="C9">
        <f t="shared" si="0"/>
        <v>41</v>
      </c>
      <c r="E9" t="str">
        <f>tblIndiSets!C9</f>
        <v>4) PERSONAL SECURITY</v>
      </c>
    </row>
    <row r="12" spans="4:66">
      <c r="D12" t="s">
        <v>380</v>
      </c>
      <c r="E12" t="s">
        <v>381</v>
      </c>
      <c r="F12">
        <v>1</v>
      </c>
      <c r="G12">
        <v>2</v>
      </c>
      <c r="H12">
        <v>3</v>
      </c>
      <c r="I12">
        <v>4</v>
      </c>
      <c r="J12">
        <v>5</v>
      </c>
      <c r="K12">
        <v>6</v>
      </c>
      <c r="L12">
        <v>7</v>
      </c>
      <c r="M12">
        <v>8</v>
      </c>
      <c r="N12">
        <v>9</v>
      </c>
      <c r="O12">
        <v>10</v>
      </c>
      <c r="P12">
        <v>11</v>
      </c>
      <c r="Q12">
        <v>12</v>
      </c>
      <c r="R12">
        <v>13</v>
      </c>
      <c r="S12">
        <v>14</v>
      </c>
      <c r="T12">
        <v>15</v>
      </c>
      <c r="U12">
        <v>16</v>
      </c>
      <c r="V12">
        <v>17</v>
      </c>
      <c r="W12">
        <v>18</v>
      </c>
      <c r="X12">
        <v>19</v>
      </c>
      <c r="Y12">
        <v>20</v>
      </c>
      <c r="Z12">
        <v>21</v>
      </c>
      <c r="AA12">
        <v>22</v>
      </c>
      <c r="AB12">
        <v>23</v>
      </c>
      <c r="AC12">
        <v>24</v>
      </c>
      <c r="AD12">
        <v>25</v>
      </c>
      <c r="AE12">
        <v>26</v>
      </c>
      <c r="AF12">
        <v>27</v>
      </c>
      <c r="AG12">
        <v>28</v>
      </c>
      <c r="AH12">
        <v>29</v>
      </c>
      <c r="AI12">
        <v>30</v>
      </c>
      <c r="AJ12">
        <v>31</v>
      </c>
      <c r="AK12">
        <v>32</v>
      </c>
      <c r="AL12">
        <v>33</v>
      </c>
      <c r="AM12">
        <v>34</v>
      </c>
      <c r="AN12">
        <v>35</v>
      </c>
      <c r="AO12">
        <v>36</v>
      </c>
      <c r="AP12">
        <v>37</v>
      </c>
      <c r="AQ12">
        <v>38</v>
      </c>
      <c r="AR12">
        <v>39</v>
      </c>
      <c r="AS12">
        <v>40</v>
      </c>
      <c r="AT12">
        <v>41</v>
      </c>
      <c r="AU12">
        <v>42</v>
      </c>
      <c r="AV12">
        <v>43</v>
      </c>
      <c r="AW12">
        <v>44</v>
      </c>
      <c r="AX12">
        <v>45</v>
      </c>
      <c r="AY12">
        <v>46</v>
      </c>
      <c r="AZ12">
        <v>47</v>
      </c>
      <c r="BA12">
        <v>48</v>
      </c>
      <c r="BB12">
        <v>49</v>
      </c>
      <c r="BC12">
        <v>50</v>
      </c>
      <c r="BD12">
        <v>51</v>
      </c>
      <c r="BE12">
        <v>52</v>
      </c>
      <c r="BF12">
        <v>53</v>
      </c>
      <c r="BG12">
        <v>54</v>
      </c>
      <c r="BH12">
        <v>55</v>
      </c>
      <c r="BI12">
        <v>56</v>
      </c>
      <c r="BJ12">
        <v>57</v>
      </c>
      <c r="BK12">
        <v>58</v>
      </c>
      <c r="BL12">
        <v>59</v>
      </c>
      <c r="BM12">
        <v>60</v>
      </c>
      <c r="BN12">
        <v>61</v>
      </c>
    </row>
    <row r="13" spans="1:66">
      <c r="A13">
        <f>tblIndiSets_2014_O!B299</f>
        <v>3</v>
      </c>
      <c r="B13">
        <f>tblIndiSets!B80</f>
        <v>3</v>
      </c>
      <c r="C13">
        <f t="shared" ref="C13:C20" si="1">B13</f>
        <v>3</v>
      </c>
      <c r="D13">
        <f t="shared" ref="D13:D20" si="2">CHOOSE($B$1,A13,B13,C13)</f>
        <v>3</v>
      </c>
      <c r="E13" t="str">
        <f>tblIndiSets!C80</f>
        <v>  1.1) Digital security (Inputs)</v>
      </c>
      <c r="F13">
        <f t="shared" ref="F13:O20" si="3">IF(ISERROR(CHOOSE($B$1,INDEX(aScores_2014_O,$D13,F$12),INDEX(aScores_2014_N,$D13,F$12),INDEX(aScores_2017,$D13,F$12))),"",CHOOSE($B$1,INDEX(aScores_2014_O,$D13,F$12),INDEX(aScores_2014_N,$D13,F$12),INDEX(aScores_2017,$D13,F$12)))</f>
        <v>63.3333333333333</v>
      </c>
      <c r="G13">
        <f t="shared" si="3"/>
        <v>80</v>
      </c>
      <c r="H13">
        <f t="shared" si="3"/>
        <v>60</v>
      </c>
      <c r="I13">
        <f t="shared" si="3"/>
        <v>28.3333333333333</v>
      </c>
      <c r="J13">
        <f t="shared" si="3"/>
        <v>80</v>
      </c>
      <c r="K13">
        <f t="shared" si="3"/>
        <v>63.3333333333333</v>
      </c>
      <c r="L13">
        <f t="shared" si="3"/>
        <v>41.6666666666667</v>
      </c>
      <c r="M13">
        <f t="shared" si="3"/>
        <v>80</v>
      </c>
      <c r="N13">
        <f t="shared" si="3"/>
        <v>66.6666666666667</v>
      </c>
      <c r="O13">
        <f t="shared" si="3"/>
        <v>26.6666666666667</v>
      </c>
      <c r="P13">
        <f t="shared" ref="P13:Y20" si="4">IF(ISERROR(CHOOSE($B$1,INDEX(aScores_2014_O,$D13,P$12),INDEX(aScores_2014_N,$D13,P$12),INDEX(aScores_2017,$D13,P$12))),"",CHOOSE($B$1,INDEX(aScores_2014_O,$D13,P$12),INDEX(aScores_2014_N,$D13,P$12),INDEX(aScores_2017,$D13,P$12)))</f>
        <v>46.6666666666667</v>
      </c>
      <c r="Q13">
        <f t="shared" si="4"/>
        <v>46.6666666666667</v>
      </c>
      <c r="R13">
        <f t="shared" si="4"/>
        <v>100</v>
      </c>
      <c r="S13">
        <f t="shared" si="4"/>
        <v>100</v>
      </c>
      <c r="T13">
        <f t="shared" si="4"/>
        <v>63.3333333333333</v>
      </c>
      <c r="U13">
        <f t="shared" si="4"/>
        <v>26.6666666666667</v>
      </c>
      <c r="V13">
        <f t="shared" si="4"/>
        <v>58.3333333333333</v>
      </c>
      <c r="W13">
        <f t="shared" si="4"/>
        <v>80</v>
      </c>
      <c r="X13">
        <f t="shared" si="4"/>
        <v>21.6666666666667</v>
      </c>
      <c r="Y13">
        <f t="shared" si="4"/>
        <v>100</v>
      </c>
      <c r="Z13">
        <f t="shared" ref="Z13:AI20" si="5">IF(ISERROR(CHOOSE($B$1,INDEX(aScores_2014_O,$D13,Z$12),INDEX(aScores_2014_N,$D13,Z$12),INDEX(aScores_2017,$D13,Z$12))),"",CHOOSE($B$1,INDEX(aScores_2014_O,$D13,Z$12),INDEX(aScores_2014_N,$D13,Z$12),INDEX(aScores_2017,$D13,Z$12)))</f>
        <v>60</v>
      </c>
      <c r="AA13">
        <f t="shared" si="5"/>
        <v>28.3333333333333</v>
      </c>
      <c r="AB13">
        <f t="shared" si="5"/>
        <v>58.3333333333333</v>
      </c>
      <c r="AC13">
        <f t="shared" si="5"/>
        <v>58.3333333333333</v>
      </c>
      <c r="AD13">
        <f t="shared" si="5"/>
        <v>35</v>
      </c>
      <c r="AE13">
        <f t="shared" si="5"/>
        <v>58.3333333333333</v>
      </c>
      <c r="AF13">
        <f t="shared" si="5"/>
        <v>41.6666666666667</v>
      </c>
      <c r="AG13">
        <f t="shared" si="5"/>
        <v>58.3333333333333</v>
      </c>
      <c r="AH13">
        <f t="shared" si="5"/>
        <v>80</v>
      </c>
      <c r="AI13">
        <f t="shared" si="5"/>
        <v>100</v>
      </c>
      <c r="AJ13">
        <f t="shared" ref="AJ13:AS20" si="6">IF(ISERROR(CHOOSE($B$1,INDEX(aScores_2014_O,$D13,AJ$12),INDEX(aScores_2014_N,$D13,AJ$12),INDEX(aScores_2017,$D13,AJ$12))),"",CHOOSE($B$1,INDEX(aScores_2014_O,$D13,AJ$12),INDEX(aScores_2014_N,$D13,AJ$12),INDEX(aScores_2017,$D13,AJ$12)))</f>
        <v>80</v>
      </c>
      <c r="AK13">
        <f t="shared" si="6"/>
        <v>31.6666666666667</v>
      </c>
      <c r="AL13">
        <f t="shared" si="6"/>
        <v>90</v>
      </c>
      <c r="AM13">
        <f t="shared" si="6"/>
        <v>58.3333333333333</v>
      </c>
      <c r="AN13">
        <f t="shared" si="6"/>
        <v>83.3333333333333</v>
      </c>
      <c r="AO13">
        <f t="shared" si="6"/>
        <v>41.6666666666667</v>
      </c>
      <c r="AP13">
        <f t="shared" si="6"/>
        <v>63.3333333333333</v>
      </c>
      <c r="AQ13">
        <f t="shared" si="6"/>
        <v>100</v>
      </c>
      <c r="AR13">
        <f t="shared" si="6"/>
        <v>78.3333333333333</v>
      </c>
      <c r="AS13">
        <f t="shared" si="6"/>
        <v>73.3333333333333</v>
      </c>
      <c r="AT13">
        <f t="shared" ref="AT13:BC20" si="7">IF(ISERROR(CHOOSE($B$1,INDEX(aScores_2014_O,$D13,AT$12),INDEX(aScores_2014_N,$D13,AT$12),INDEX(aScores_2017,$D13,AT$12))),"",CHOOSE($B$1,INDEX(aScores_2014_O,$D13,AT$12),INDEX(aScores_2014_N,$D13,AT$12),INDEX(aScores_2017,$D13,AT$12)))</f>
        <v>48.3333333333333</v>
      </c>
      <c r="AU13">
        <f t="shared" si="7"/>
        <v>43.3333333333333</v>
      </c>
      <c r="AV13">
        <f t="shared" si="7"/>
        <v>48.3333333333333</v>
      </c>
      <c r="AW13">
        <f t="shared" si="7"/>
        <v>80</v>
      </c>
      <c r="AX13">
        <f t="shared" si="7"/>
        <v>100</v>
      </c>
      <c r="AY13">
        <f t="shared" si="7"/>
        <v>58.3333333333333</v>
      </c>
      <c r="AZ13">
        <f t="shared" si="7"/>
        <v>43.3333333333333</v>
      </c>
      <c r="BA13">
        <f t="shared" si="7"/>
        <v>66.6666666666667</v>
      </c>
      <c r="BB13">
        <f t="shared" si="7"/>
        <v>53.3333333333333</v>
      </c>
      <c r="BC13">
        <f t="shared" si="7"/>
        <v>95</v>
      </c>
      <c r="BD13">
        <f t="shared" ref="BD13:BN20" si="8">IF(ISERROR(CHOOSE($B$1,INDEX(aScores_2014_O,$D13,BD$12),INDEX(aScores_2014_N,$D13,BD$12),INDEX(aScores_2017,$D13,BD$12))),"",CHOOSE($B$1,INDEX(aScores_2014_O,$D13,BD$12),INDEX(aScores_2014_N,$D13,BD$12),INDEX(aScores_2017,$D13,BD$12)))</f>
        <v>75</v>
      </c>
      <c r="BE13">
        <f t="shared" si="8"/>
        <v>90</v>
      </c>
      <c r="BF13">
        <f t="shared" si="8"/>
        <v>88.3333333333333</v>
      </c>
      <c r="BG13">
        <f t="shared" si="8"/>
        <v>16.6666666666667</v>
      </c>
      <c r="BH13">
        <f t="shared" si="8"/>
        <v>88.3333333333333</v>
      </c>
      <c r="BI13">
        <f t="shared" si="8"/>
        <v>90</v>
      </c>
      <c r="BJ13">
        <f t="shared" si="8"/>
        <v>90</v>
      </c>
      <c r="BK13">
        <f t="shared" si="8"/>
        <v>68.3333333333333</v>
      </c>
      <c r="BL13">
        <f t="shared" si="8"/>
        <v>16.6666666666667</v>
      </c>
      <c r="BM13">
        <f t="shared" si="8"/>
        <v>75</v>
      </c>
      <c r="BN13">
        <f t="shared" si="8"/>
        <v>78.3333333333333</v>
      </c>
    </row>
    <row r="14" spans="1:66">
      <c r="A14">
        <f>tblIndiSets_2014_O!B300</f>
        <v>9</v>
      </c>
      <c r="B14">
        <f>tblIndiSets!B81</f>
        <v>9</v>
      </c>
      <c r="C14">
        <f t="shared" si="1"/>
        <v>9</v>
      </c>
      <c r="D14">
        <f t="shared" si="2"/>
        <v>9</v>
      </c>
      <c r="E14" t="str">
        <f>tblIndiSets!C81</f>
        <v>  1.2) Digital security (Outputs)</v>
      </c>
      <c r="F14">
        <f t="shared" si="3"/>
        <v>74.2150882505875</v>
      </c>
      <c r="G14">
        <f t="shared" si="3"/>
        <v>91.581420063715</v>
      </c>
      <c r="H14">
        <f t="shared" si="3"/>
        <v>63.8764642222547</v>
      </c>
      <c r="I14">
        <f t="shared" si="3"/>
        <v>60.5529125700813</v>
      </c>
      <c r="J14">
        <f t="shared" si="3"/>
        <v>68.8829344649958</v>
      </c>
      <c r="K14">
        <f t="shared" si="3"/>
        <v>67.4191728998378</v>
      </c>
      <c r="L14">
        <f t="shared" si="3"/>
        <v>67.5786932272712</v>
      </c>
      <c r="M14">
        <f t="shared" si="3"/>
        <v>79.9263203149653</v>
      </c>
      <c r="N14">
        <f t="shared" si="3"/>
        <v>81.6193386466095</v>
      </c>
      <c r="O14">
        <f t="shared" si="3"/>
        <v>59.9197056318446</v>
      </c>
      <c r="P14">
        <f t="shared" si="4"/>
        <v>70.1064630550185</v>
      </c>
      <c r="Q14">
        <f t="shared" si="4"/>
        <v>68.077889952751</v>
      </c>
      <c r="R14">
        <f t="shared" si="4"/>
        <v>73.5008949775786</v>
      </c>
      <c r="S14">
        <f t="shared" si="4"/>
        <v>69.3075699885384</v>
      </c>
      <c r="T14">
        <f t="shared" si="4"/>
        <v>45.8778432177515</v>
      </c>
      <c r="U14">
        <f t="shared" si="4"/>
        <v>50</v>
      </c>
      <c r="V14">
        <f t="shared" si="4"/>
        <v>69.7034285143048</v>
      </c>
      <c r="W14">
        <f t="shared" si="4"/>
        <v>81.0008704326114</v>
      </c>
      <c r="X14">
        <f t="shared" si="4"/>
        <v>57.8977993515404</v>
      </c>
      <c r="Y14">
        <f t="shared" si="4"/>
        <v>71.5487041835432</v>
      </c>
      <c r="Z14">
        <f t="shared" si="5"/>
        <v>63.4129117309004</v>
      </c>
      <c r="AA14">
        <f t="shared" si="5"/>
        <v>44.8756478841065</v>
      </c>
      <c r="AB14">
        <f t="shared" si="5"/>
        <v>73.3878405441158</v>
      </c>
      <c r="AC14">
        <f t="shared" si="5"/>
        <v>74.2225000966826</v>
      </c>
      <c r="AD14">
        <f t="shared" si="5"/>
        <v>51.4351193956541</v>
      </c>
      <c r="AE14">
        <f t="shared" si="5"/>
        <v>74.0010961144802</v>
      </c>
      <c r="AF14">
        <f t="shared" si="5"/>
        <v>78.6667195122139</v>
      </c>
      <c r="AG14">
        <f t="shared" si="5"/>
        <v>61.2245567888449</v>
      </c>
      <c r="AH14">
        <f t="shared" si="5"/>
        <v>66.7270163685102</v>
      </c>
      <c r="AI14">
        <f t="shared" si="5"/>
        <v>70.2394199861029</v>
      </c>
      <c r="AJ14">
        <f t="shared" si="6"/>
        <v>68.8829344649958</v>
      </c>
      <c r="AK14">
        <f t="shared" si="6"/>
        <v>41.5517019163507</v>
      </c>
      <c r="AL14">
        <f t="shared" si="6"/>
        <v>76.6341257088476</v>
      </c>
      <c r="AM14">
        <f t="shared" si="6"/>
        <v>49.0473294346234</v>
      </c>
      <c r="AN14">
        <f t="shared" si="6"/>
        <v>63.245978498612</v>
      </c>
      <c r="AO14">
        <f t="shared" si="6"/>
        <v>56.3892491329993</v>
      </c>
      <c r="AP14">
        <f t="shared" si="6"/>
        <v>45.8778432177515</v>
      </c>
      <c r="AQ14">
        <f t="shared" si="6"/>
        <v>69.900565441534</v>
      </c>
      <c r="AR14">
        <f t="shared" si="6"/>
        <v>85.8885732648221</v>
      </c>
      <c r="AS14">
        <f t="shared" si="6"/>
        <v>67.4135306914681</v>
      </c>
      <c r="AT14">
        <f t="shared" si="7"/>
        <v>72.9635620344263</v>
      </c>
      <c r="AU14">
        <f t="shared" si="7"/>
        <v>60.5914718403423</v>
      </c>
      <c r="AV14">
        <f t="shared" si="7"/>
        <v>73.3878405441158</v>
      </c>
      <c r="AW14">
        <f t="shared" si="7"/>
        <v>63.245978498612</v>
      </c>
      <c r="AX14">
        <f t="shared" si="7"/>
        <v>70.2394199861029</v>
      </c>
      <c r="AY14">
        <f t="shared" si="7"/>
        <v>62.7980596341641</v>
      </c>
      <c r="AZ14">
        <f t="shared" si="7"/>
        <v>60.5914718403423</v>
      </c>
      <c r="BA14">
        <f t="shared" si="7"/>
        <v>90.1820003736209</v>
      </c>
      <c r="BB14">
        <f t="shared" si="7"/>
        <v>65.5131160866378</v>
      </c>
      <c r="BC14">
        <f t="shared" si="7"/>
        <v>78.6768365386855</v>
      </c>
      <c r="BD14">
        <f t="shared" si="8"/>
        <v>90.6135490989646</v>
      </c>
      <c r="BE14">
        <f t="shared" si="8"/>
        <v>75.9140598016387</v>
      </c>
      <c r="BF14">
        <f t="shared" si="8"/>
        <v>43.6212212501698</v>
      </c>
      <c r="BG14">
        <f t="shared" si="8"/>
        <v>63.1030714558244</v>
      </c>
      <c r="BH14">
        <f t="shared" si="8"/>
        <v>88.47233916716</v>
      </c>
      <c r="BI14">
        <f t="shared" si="8"/>
        <v>80.6631787288569</v>
      </c>
      <c r="BJ14">
        <f t="shared" si="8"/>
        <v>71.764265436663</v>
      </c>
      <c r="BK14">
        <f t="shared" si="8"/>
        <v>81.2687094091745</v>
      </c>
      <c r="BL14">
        <f t="shared" si="8"/>
        <v>61.4677378705957</v>
      </c>
      <c r="BM14">
        <f t="shared" si="8"/>
        <v>80.9539626276761</v>
      </c>
      <c r="BN14">
        <f t="shared" si="8"/>
        <v>86.7357096262443</v>
      </c>
    </row>
    <row r="15" spans="1:66">
      <c r="A15">
        <f>tblIndiSets_2014_O!B302</f>
        <v>14</v>
      </c>
      <c r="B15">
        <f>tblIndiSets!B83</f>
        <v>14</v>
      </c>
      <c r="C15">
        <f t="shared" si="1"/>
        <v>14</v>
      </c>
      <c r="D15">
        <f t="shared" si="2"/>
        <v>14</v>
      </c>
      <c r="E15" t="str">
        <f>tblIndiSets!C83</f>
        <v>  2.1) Health security (Inputs)</v>
      </c>
      <c r="F15">
        <f t="shared" si="3"/>
        <v>55.909058022829</v>
      </c>
      <c r="G15">
        <f t="shared" si="3"/>
        <v>78.9490953407521</v>
      </c>
      <c r="H15">
        <f t="shared" si="3"/>
        <v>64.9250190551349</v>
      </c>
      <c r="I15">
        <f t="shared" si="3"/>
        <v>55.2751432727975</v>
      </c>
      <c r="J15">
        <f t="shared" si="3"/>
        <v>73.8594227662136</v>
      </c>
      <c r="K15">
        <f t="shared" si="3"/>
        <v>69.4909260892918</v>
      </c>
      <c r="L15">
        <f t="shared" si="3"/>
        <v>53.2468341093019</v>
      </c>
      <c r="M15">
        <f t="shared" si="3"/>
        <v>80.6628407448346</v>
      </c>
      <c r="N15">
        <f t="shared" si="3"/>
        <v>73.199281005837</v>
      </c>
      <c r="O15">
        <f t="shared" si="3"/>
        <v>42.3683923150598</v>
      </c>
      <c r="P15">
        <f t="shared" si="4"/>
        <v>39.2820646609329</v>
      </c>
      <c r="Q15">
        <f t="shared" si="4"/>
        <v>43.2719596563894</v>
      </c>
      <c r="R15">
        <f t="shared" si="4"/>
        <v>70.1642895040257</v>
      </c>
      <c r="S15">
        <f t="shared" si="4"/>
        <v>64.8946930166738</v>
      </c>
      <c r="T15">
        <f t="shared" si="4"/>
        <v>57.2648415184866</v>
      </c>
      <c r="U15">
        <f t="shared" si="4"/>
        <v>28.6196079891908</v>
      </c>
      <c r="V15">
        <f t="shared" si="4"/>
        <v>50.1266823396416</v>
      </c>
      <c r="W15">
        <f t="shared" si="4"/>
        <v>84.1613461233051</v>
      </c>
      <c r="X15">
        <f t="shared" si="4"/>
        <v>47.7723947866165</v>
      </c>
      <c r="Y15">
        <f t="shared" si="4"/>
        <v>72.8916040804561</v>
      </c>
      <c r="Z15">
        <f t="shared" si="5"/>
        <v>53.4329949341218</v>
      </c>
      <c r="AA15">
        <f t="shared" si="5"/>
        <v>39.7552494248035</v>
      </c>
      <c r="AB15">
        <f t="shared" si="5"/>
        <v>50.2155614882312</v>
      </c>
      <c r="AC15">
        <f t="shared" si="5"/>
        <v>56.1681196644119</v>
      </c>
      <c r="AD15">
        <f t="shared" si="5"/>
        <v>31.691486179433</v>
      </c>
      <c r="AE15">
        <f t="shared" si="5"/>
        <v>54.1709826029143</v>
      </c>
      <c r="AF15">
        <f t="shared" si="5"/>
        <v>50.8562276538544</v>
      </c>
      <c r="AG15">
        <f t="shared" si="5"/>
        <v>55.056674171826</v>
      </c>
      <c r="AH15">
        <f t="shared" si="5"/>
        <v>68.7409713070388</v>
      </c>
      <c r="AI15">
        <f t="shared" si="5"/>
        <v>69.7943190328006</v>
      </c>
      <c r="AJ15">
        <f t="shared" si="6"/>
        <v>71.7760894328803</v>
      </c>
      <c r="AK15">
        <f t="shared" si="6"/>
        <v>45.8735524568811</v>
      </c>
      <c r="AL15">
        <f t="shared" si="6"/>
        <v>75.1781169234014</v>
      </c>
      <c r="AM15">
        <f t="shared" si="6"/>
        <v>58.9227066230165</v>
      </c>
      <c r="AN15">
        <f t="shared" si="6"/>
        <v>70.7468664432695</v>
      </c>
      <c r="AO15">
        <f t="shared" si="6"/>
        <v>74.0238227958988</v>
      </c>
      <c r="AP15">
        <f t="shared" si="6"/>
        <v>45.3321028271603</v>
      </c>
      <c r="AQ15">
        <f t="shared" si="6"/>
        <v>72.8691930212223</v>
      </c>
      <c r="AR15">
        <f t="shared" si="6"/>
        <v>86.898317982776</v>
      </c>
      <c r="AS15">
        <f t="shared" si="6"/>
        <v>81.0396404923111</v>
      </c>
      <c r="AT15">
        <f t="shared" si="7"/>
        <v>39.9681840680895</v>
      </c>
      <c r="AU15">
        <f t="shared" si="7"/>
        <v>55.4654213174176</v>
      </c>
      <c r="AV15">
        <f t="shared" si="7"/>
        <v>51.4107841184679</v>
      </c>
      <c r="AW15">
        <f t="shared" si="7"/>
        <v>68.4212850479207</v>
      </c>
      <c r="AX15">
        <f t="shared" si="7"/>
        <v>69.019125234351</v>
      </c>
      <c r="AY15">
        <f t="shared" si="7"/>
        <v>52.8502114247849</v>
      </c>
      <c r="AZ15">
        <f t="shared" si="7"/>
        <v>56.5765324285288</v>
      </c>
      <c r="BA15">
        <f t="shared" si="7"/>
        <v>80.3904175006326</v>
      </c>
      <c r="BB15">
        <f t="shared" si="7"/>
        <v>66.3188159299108</v>
      </c>
      <c r="BC15">
        <f t="shared" si="7"/>
        <v>71.2263225473796</v>
      </c>
      <c r="BD15">
        <f t="shared" si="8"/>
        <v>71.4680335960549</v>
      </c>
      <c r="BE15">
        <f t="shared" si="8"/>
        <v>75.953310721851</v>
      </c>
      <c r="BF15">
        <f t="shared" si="8"/>
        <v>76.2388327805633</v>
      </c>
      <c r="BG15">
        <f t="shared" si="8"/>
        <v>48.7357546453666</v>
      </c>
      <c r="BH15">
        <f t="shared" si="8"/>
        <v>83.362633240243</v>
      </c>
      <c r="BI15">
        <f t="shared" si="8"/>
        <v>74.0143932141794</v>
      </c>
      <c r="BJ15">
        <f t="shared" si="8"/>
        <v>82.2262611235088</v>
      </c>
      <c r="BK15">
        <f t="shared" si="8"/>
        <v>69.5056233240216</v>
      </c>
      <c r="BL15">
        <f t="shared" si="8"/>
        <v>35.8823904298325</v>
      </c>
      <c r="BM15">
        <f t="shared" si="8"/>
        <v>78.9559648583492</v>
      </c>
      <c r="BN15">
        <f t="shared" si="8"/>
        <v>91.656083053672</v>
      </c>
    </row>
    <row r="16" spans="1:66">
      <c r="A16">
        <f>tblIndiSets_2014_O!B303</f>
        <v>21</v>
      </c>
      <c r="B16">
        <f>tblIndiSets!B84</f>
        <v>21</v>
      </c>
      <c r="C16">
        <f t="shared" si="1"/>
        <v>21</v>
      </c>
      <c r="D16">
        <f t="shared" si="2"/>
        <v>21</v>
      </c>
      <c r="E16" t="str">
        <f>tblIndiSets!C84</f>
        <v>  2.2) Health security (Outputs)</v>
      </c>
      <c r="F16">
        <f t="shared" si="3"/>
        <v>81.1718065502088</v>
      </c>
      <c r="G16">
        <f t="shared" si="3"/>
        <v>80.6373554669572</v>
      </c>
      <c r="H16">
        <f t="shared" si="3"/>
        <v>84.2181962854649</v>
      </c>
      <c r="I16">
        <f t="shared" si="3"/>
        <v>77.9996358608022</v>
      </c>
      <c r="J16">
        <f t="shared" si="3"/>
        <v>83.2228324533271</v>
      </c>
      <c r="K16">
        <f t="shared" si="3"/>
        <v>65.7679077377655</v>
      </c>
      <c r="L16">
        <f t="shared" si="3"/>
        <v>77.5010996000594</v>
      </c>
      <c r="M16">
        <f t="shared" si="3"/>
        <v>82.1623985690235</v>
      </c>
      <c r="N16">
        <f t="shared" si="3"/>
        <v>76.4889231853885</v>
      </c>
      <c r="O16">
        <f t="shared" si="3"/>
        <v>62.192885764068</v>
      </c>
      <c r="P16">
        <f t="shared" si="4"/>
        <v>74.1628056902685</v>
      </c>
      <c r="Q16">
        <f t="shared" si="4"/>
        <v>73.7712514028051</v>
      </c>
      <c r="R16">
        <f t="shared" si="4"/>
        <v>73.3973679293937</v>
      </c>
      <c r="S16">
        <f t="shared" si="4"/>
        <v>75.6519245577867</v>
      </c>
      <c r="T16">
        <f t="shared" si="4"/>
        <v>62.0340506497421</v>
      </c>
      <c r="U16">
        <f t="shared" si="4"/>
        <v>62.5522485108742</v>
      </c>
      <c r="V16">
        <f t="shared" si="4"/>
        <v>75.077779863251</v>
      </c>
      <c r="W16">
        <f t="shared" si="4"/>
        <v>83.9652572572665</v>
      </c>
      <c r="X16">
        <f t="shared" si="4"/>
        <v>74.8024411268416</v>
      </c>
      <c r="Y16">
        <f t="shared" si="4"/>
        <v>73.6918686126416</v>
      </c>
      <c r="Z16">
        <f t="shared" si="5"/>
        <v>71.7636160941507</v>
      </c>
      <c r="AA16">
        <f t="shared" si="5"/>
        <v>69.0544928003463</v>
      </c>
      <c r="AB16">
        <f t="shared" si="5"/>
        <v>76.9034619028943</v>
      </c>
      <c r="AC16">
        <f t="shared" si="5"/>
        <v>59.2490308859667</v>
      </c>
      <c r="AD16">
        <f t="shared" si="5"/>
        <v>48.1509351405775</v>
      </c>
      <c r="AE16">
        <f t="shared" si="5"/>
        <v>80.1276721951836</v>
      </c>
      <c r="AF16">
        <f t="shared" si="5"/>
        <v>76.7644880642359</v>
      </c>
      <c r="AG16">
        <f t="shared" si="5"/>
        <v>69.9034589434905</v>
      </c>
      <c r="AH16">
        <f t="shared" si="5"/>
        <v>83.3876039819678</v>
      </c>
      <c r="AI16">
        <f t="shared" si="5"/>
        <v>74.7329890097446</v>
      </c>
      <c r="AJ16">
        <f t="shared" si="6"/>
        <v>85.6069214583271</v>
      </c>
      <c r="AK16">
        <f t="shared" si="6"/>
        <v>74.3647826590297</v>
      </c>
      <c r="AL16">
        <f t="shared" si="6"/>
        <v>87.5002570354419</v>
      </c>
      <c r="AM16">
        <f t="shared" si="6"/>
        <v>82.6546798098089</v>
      </c>
      <c r="AN16">
        <f t="shared" si="6"/>
        <v>82.6973517459736</v>
      </c>
      <c r="AO16">
        <f t="shared" si="6"/>
        <v>71.1606999289354</v>
      </c>
      <c r="AP16">
        <f t="shared" si="6"/>
        <v>66.153233782638</v>
      </c>
      <c r="AQ16">
        <f t="shared" si="6"/>
        <v>66.5908562717659</v>
      </c>
      <c r="AR16">
        <f t="shared" si="6"/>
        <v>87.3982052999057</v>
      </c>
      <c r="AS16">
        <f t="shared" si="6"/>
        <v>81.6631479130396</v>
      </c>
      <c r="AT16">
        <f t="shared" si="7"/>
        <v>74.9600781670746</v>
      </c>
      <c r="AU16">
        <f t="shared" si="7"/>
        <v>74.1429465959952</v>
      </c>
      <c r="AV16">
        <f t="shared" si="7"/>
        <v>80.8588352045229</v>
      </c>
      <c r="AW16">
        <f t="shared" si="7"/>
        <v>84.3349731780704</v>
      </c>
      <c r="AX16">
        <f t="shared" si="7"/>
        <v>79.2748871578928</v>
      </c>
      <c r="AY16">
        <f t="shared" si="7"/>
        <v>81.4822525171642</v>
      </c>
      <c r="AZ16">
        <f t="shared" si="7"/>
        <v>70.9025054195246</v>
      </c>
      <c r="BA16">
        <f t="shared" si="7"/>
        <v>85.0544136839298</v>
      </c>
      <c r="BB16">
        <f t="shared" si="7"/>
        <v>73.5245958904163</v>
      </c>
      <c r="BC16">
        <f t="shared" si="7"/>
        <v>88.2145304083107</v>
      </c>
      <c r="BD16">
        <f t="shared" si="8"/>
        <v>88.4181275287736</v>
      </c>
      <c r="BE16">
        <f t="shared" si="8"/>
        <v>87.643895904208</v>
      </c>
      <c r="BF16">
        <f t="shared" si="8"/>
        <v>82.2136307933653</v>
      </c>
      <c r="BG16">
        <f t="shared" si="8"/>
        <v>77.1887042343273</v>
      </c>
      <c r="BH16">
        <f t="shared" si="8"/>
        <v>87.8882052999057</v>
      </c>
      <c r="BI16">
        <f t="shared" si="8"/>
        <v>85.6575101545455</v>
      </c>
      <c r="BJ16">
        <f t="shared" si="8"/>
        <v>64.5305748980739</v>
      </c>
      <c r="BK16">
        <f t="shared" si="8"/>
        <v>69.5198976557376</v>
      </c>
      <c r="BL16">
        <f t="shared" si="8"/>
        <v>55.6960716346574</v>
      </c>
      <c r="BM16">
        <f t="shared" si="8"/>
        <v>87.8155496977432</v>
      </c>
      <c r="BN16">
        <f t="shared" si="8"/>
        <v>87.3770941887946</v>
      </c>
    </row>
    <row r="17" spans="1:66">
      <c r="A17">
        <f>tblIndiSets_2014_O!B305</f>
        <v>28</v>
      </c>
      <c r="B17">
        <f>tblIndiSets!B86</f>
        <v>29</v>
      </c>
      <c r="C17">
        <f t="shared" si="1"/>
        <v>29</v>
      </c>
      <c r="D17">
        <f t="shared" si="2"/>
        <v>29</v>
      </c>
      <c r="E17" t="str">
        <f>tblIndiSets!C86</f>
        <v>  3.1) Infrastructure security (Inputs)</v>
      </c>
      <c r="F17">
        <f t="shared" si="3"/>
        <v>90</v>
      </c>
      <c r="G17">
        <f t="shared" si="3"/>
        <v>94</v>
      </c>
      <c r="H17">
        <f t="shared" si="3"/>
        <v>72</v>
      </c>
      <c r="I17">
        <f t="shared" si="3"/>
        <v>60.5</v>
      </c>
      <c r="J17">
        <f t="shared" si="3"/>
        <v>96.5</v>
      </c>
      <c r="K17">
        <f t="shared" si="3"/>
        <v>70.5</v>
      </c>
      <c r="L17">
        <f t="shared" si="3"/>
        <v>63</v>
      </c>
      <c r="M17">
        <f t="shared" si="3"/>
        <v>88.5</v>
      </c>
      <c r="N17">
        <f t="shared" si="3"/>
        <v>87.5</v>
      </c>
      <c r="O17">
        <f t="shared" si="3"/>
        <v>57</v>
      </c>
      <c r="P17">
        <f t="shared" si="4"/>
        <v>38</v>
      </c>
      <c r="Q17">
        <f t="shared" si="4"/>
        <v>51.5</v>
      </c>
      <c r="R17">
        <f t="shared" si="4"/>
        <v>90.5</v>
      </c>
      <c r="S17">
        <f t="shared" si="4"/>
        <v>80.5</v>
      </c>
      <c r="T17">
        <f t="shared" si="4"/>
        <v>37.5</v>
      </c>
      <c r="U17">
        <f t="shared" si="4"/>
        <v>21</v>
      </c>
      <c r="V17">
        <f t="shared" si="4"/>
        <v>75.5</v>
      </c>
      <c r="W17">
        <f t="shared" si="4"/>
        <v>95</v>
      </c>
      <c r="X17">
        <f t="shared" si="4"/>
        <v>43</v>
      </c>
      <c r="Y17">
        <f t="shared" si="4"/>
        <v>95.5</v>
      </c>
      <c r="Z17">
        <f t="shared" si="5"/>
        <v>66</v>
      </c>
      <c r="AA17">
        <f t="shared" si="5"/>
        <v>43</v>
      </c>
      <c r="AB17">
        <f t="shared" si="5"/>
        <v>47</v>
      </c>
      <c r="AC17">
        <f t="shared" si="5"/>
        <v>52</v>
      </c>
      <c r="AD17">
        <f t="shared" si="5"/>
        <v>26</v>
      </c>
      <c r="AE17">
        <f t="shared" si="5"/>
        <v>70</v>
      </c>
      <c r="AF17">
        <f t="shared" si="5"/>
        <v>72.5</v>
      </c>
      <c r="AG17">
        <f t="shared" si="5"/>
        <v>57.5</v>
      </c>
      <c r="AH17">
        <f t="shared" si="5"/>
        <v>92.5</v>
      </c>
      <c r="AI17">
        <f t="shared" si="5"/>
        <v>90.5</v>
      </c>
      <c r="AJ17">
        <f t="shared" si="6"/>
        <v>96.5</v>
      </c>
      <c r="AK17">
        <f t="shared" si="6"/>
        <v>48.5</v>
      </c>
      <c r="AL17">
        <f t="shared" si="6"/>
        <v>95.5</v>
      </c>
      <c r="AM17">
        <f t="shared" si="6"/>
        <v>63.5</v>
      </c>
      <c r="AN17">
        <f t="shared" si="6"/>
        <v>89.5</v>
      </c>
      <c r="AO17">
        <f t="shared" si="6"/>
        <v>83.5</v>
      </c>
      <c r="AP17">
        <f t="shared" si="6"/>
        <v>32.5</v>
      </c>
      <c r="AQ17">
        <f t="shared" si="6"/>
        <v>90.5</v>
      </c>
      <c r="AR17">
        <f t="shared" si="6"/>
        <v>96.5</v>
      </c>
      <c r="AS17">
        <f t="shared" si="6"/>
        <v>92.5</v>
      </c>
      <c r="AT17">
        <f t="shared" si="7"/>
        <v>41</v>
      </c>
      <c r="AU17">
        <f t="shared" si="7"/>
        <v>79</v>
      </c>
      <c r="AV17">
        <f t="shared" si="7"/>
        <v>37</v>
      </c>
      <c r="AW17">
        <f t="shared" si="7"/>
        <v>94.5</v>
      </c>
      <c r="AX17">
        <f t="shared" si="7"/>
        <v>90.5</v>
      </c>
      <c r="AY17">
        <f t="shared" si="7"/>
        <v>84</v>
      </c>
      <c r="AZ17">
        <f t="shared" si="7"/>
        <v>79</v>
      </c>
      <c r="BA17">
        <f t="shared" si="7"/>
        <v>89.5</v>
      </c>
      <c r="BB17">
        <f t="shared" si="7"/>
        <v>70.5</v>
      </c>
      <c r="BC17">
        <f t="shared" si="7"/>
        <v>96.5</v>
      </c>
      <c r="BD17">
        <f t="shared" si="8"/>
        <v>95</v>
      </c>
      <c r="BE17">
        <f t="shared" si="8"/>
        <v>95.5</v>
      </c>
      <c r="BF17">
        <f t="shared" si="8"/>
        <v>80.5</v>
      </c>
      <c r="BG17">
        <f t="shared" si="8"/>
        <v>68.5</v>
      </c>
      <c r="BH17">
        <f t="shared" si="8"/>
        <v>96.5</v>
      </c>
      <c r="BI17">
        <f t="shared" si="8"/>
        <v>90.5</v>
      </c>
      <c r="BJ17">
        <f t="shared" si="8"/>
        <v>90.5</v>
      </c>
      <c r="BK17">
        <f t="shared" si="8"/>
        <v>97.5</v>
      </c>
      <c r="BL17">
        <f t="shared" si="8"/>
        <v>30</v>
      </c>
      <c r="BM17">
        <f t="shared" si="8"/>
        <v>95</v>
      </c>
      <c r="BN17">
        <f t="shared" si="8"/>
        <v>96.5</v>
      </c>
    </row>
    <row r="18" spans="1:66">
      <c r="A18">
        <f>tblIndiSets_2014_O!B306</f>
        <v>34</v>
      </c>
      <c r="B18">
        <f>tblIndiSets!B87</f>
        <v>35</v>
      </c>
      <c r="C18">
        <f t="shared" si="1"/>
        <v>35</v>
      </c>
      <c r="D18">
        <f t="shared" si="2"/>
        <v>35</v>
      </c>
      <c r="E18" t="str">
        <f>tblIndiSets!C87</f>
        <v>  3.2) Infrastructure security (Outputs)</v>
      </c>
      <c r="F18">
        <f t="shared" si="3"/>
        <v>92.728320479609</v>
      </c>
      <c r="G18">
        <f t="shared" si="3"/>
        <v>98.0974041929841</v>
      </c>
      <c r="H18">
        <f t="shared" si="3"/>
        <v>92.0901455341645</v>
      </c>
      <c r="I18">
        <f t="shared" si="3"/>
        <v>76.1644621952138</v>
      </c>
      <c r="J18">
        <f t="shared" si="3"/>
        <v>96.6865863543474</v>
      </c>
      <c r="K18">
        <f t="shared" si="3"/>
        <v>78.479071433431</v>
      </c>
      <c r="L18">
        <f t="shared" si="3"/>
        <v>76.5700514752331</v>
      </c>
      <c r="M18">
        <f t="shared" si="3"/>
        <v>88.6237620157022</v>
      </c>
      <c r="N18">
        <f t="shared" si="3"/>
        <v>88.4844347000419</v>
      </c>
      <c r="O18">
        <f t="shared" si="3"/>
        <v>79.0037048761712</v>
      </c>
      <c r="P18">
        <f t="shared" si="4"/>
        <v>78.8345757769841</v>
      </c>
      <c r="Q18">
        <f t="shared" si="4"/>
        <v>81.0431405309914</v>
      </c>
      <c r="R18">
        <f t="shared" si="4"/>
        <v>84.4324062290751</v>
      </c>
      <c r="S18">
        <f t="shared" si="4"/>
        <v>77.9562816100348</v>
      </c>
      <c r="T18">
        <f t="shared" si="4"/>
        <v>79.4725072189882</v>
      </c>
      <c r="U18">
        <f t="shared" si="4"/>
        <v>55.8377668207307</v>
      </c>
      <c r="V18">
        <f t="shared" si="4"/>
        <v>87.9408066756454</v>
      </c>
      <c r="W18">
        <f t="shared" si="4"/>
        <v>81.3169539807002</v>
      </c>
      <c r="X18">
        <f t="shared" si="4"/>
        <v>88.4552399174901</v>
      </c>
      <c r="Y18">
        <f t="shared" si="4"/>
        <v>96.5803341486398</v>
      </c>
      <c r="Z18">
        <f t="shared" si="5"/>
        <v>75.5825925891299</v>
      </c>
      <c r="AA18">
        <f t="shared" si="5"/>
        <v>83.6379909388761</v>
      </c>
      <c r="AB18">
        <f t="shared" si="5"/>
        <v>76.4844159911773</v>
      </c>
      <c r="AC18">
        <f t="shared" si="5"/>
        <v>58.117772066576</v>
      </c>
      <c r="AD18">
        <f t="shared" si="5"/>
        <v>54.2224213818006</v>
      </c>
      <c r="AE18">
        <f t="shared" si="5"/>
        <v>86.2381519672056</v>
      </c>
      <c r="AF18">
        <f t="shared" si="5"/>
        <v>70.8170696821966</v>
      </c>
      <c r="AG18">
        <f t="shared" si="5"/>
        <v>71.4373356512661</v>
      </c>
      <c r="AH18">
        <f t="shared" si="5"/>
        <v>94.3788117743126</v>
      </c>
      <c r="AI18">
        <f t="shared" si="5"/>
        <v>86.0307882451631</v>
      </c>
      <c r="AJ18">
        <f t="shared" si="6"/>
        <v>97.0282743162295</v>
      </c>
      <c r="AK18">
        <f t="shared" si="6"/>
        <v>57.2798219422398</v>
      </c>
      <c r="AL18">
        <f t="shared" si="6"/>
        <v>96.570067142473</v>
      </c>
      <c r="AM18">
        <f t="shared" si="6"/>
        <v>82.4537020281811</v>
      </c>
      <c r="AN18">
        <f t="shared" si="6"/>
        <v>91.2154353018258</v>
      </c>
      <c r="AO18">
        <f t="shared" si="6"/>
        <v>69.2133011658664</v>
      </c>
      <c r="AP18">
        <f t="shared" si="6"/>
        <v>85.7340151471951</v>
      </c>
      <c r="AQ18">
        <f t="shared" si="6"/>
        <v>86.2811081834508</v>
      </c>
      <c r="AR18">
        <f t="shared" si="6"/>
        <v>92.7244258061557</v>
      </c>
      <c r="AS18">
        <f t="shared" si="6"/>
        <v>87.3032068900721</v>
      </c>
      <c r="AT18">
        <f t="shared" si="7"/>
        <v>63.0550976398439</v>
      </c>
      <c r="AU18">
        <f t="shared" si="7"/>
        <v>80.0680340737054</v>
      </c>
      <c r="AV18">
        <f t="shared" si="7"/>
        <v>76.7550683215412</v>
      </c>
      <c r="AW18">
        <f t="shared" si="7"/>
        <v>90.110439163155</v>
      </c>
      <c r="AX18">
        <f t="shared" si="7"/>
        <v>91.9170987179069</v>
      </c>
      <c r="AY18">
        <f t="shared" si="7"/>
        <v>78.6991539608217</v>
      </c>
      <c r="AZ18">
        <f t="shared" si="7"/>
        <v>79.8725770406825</v>
      </c>
      <c r="BA18">
        <f t="shared" si="7"/>
        <v>86.3673130473819</v>
      </c>
      <c r="BB18">
        <f t="shared" si="7"/>
        <v>78.1040736976377</v>
      </c>
      <c r="BC18">
        <f t="shared" si="7"/>
        <v>97.5937094660064</v>
      </c>
      <c r="BD18">
        <f t="shared" si="8"/>
        <v>97.3649316417229</v>
      </c>
      <c r="BE18">
        <f t="shared" si="8"/>
        <v>95.9517535685341</v>
      </c>
      <c r="BF18">
        <f t="shared" si="8"/>
        <v>94.6723609134681</v>
      </c>
      <c r="BG18">
        <f t="shared" si="8"/>
        <v>59.3994521377138</v>
      </c>
      <c r="BH18">
        <f t="shared" si="8"/>
        <v>90.6840285102396</v>
      </c>
      <c r="BI18">
        <f t="shared" si="8"/>
        <v>95.0085738067526</v>
      </c>
      <c r="BJ18">
        <f t="shared" si="8"/>
        <v>74.2598018371689</v>
      </c>
      <c r="BK18">
        <f t="shared" si="8"/>
        <v>94.7652006357239</v>
      </c>
      <c r="BL18">
        <f t="shared" si="8"/>
        <v>67.156618192149</v>
      </c>
      <c r="BM18">
        <f t="shared" si="8"/>
        <v>96.4236900269744</v>
      </c>
      <c r="BN18">
        <f t="shared" si="8"/>
        <v>92.8268457854259</v>
      </c>
    </row>
    <row r="19" spans="1:66">
      <c r="A19">
        <f>tblIndiSets_2014_O!B308</f>
        <v>40</v>
      </c>
      <c r="B19">
        <f>tblIndiSets!B89</f>
        <v>42</v>
      </c>
      <c r="C19">
        <f t="shared" si="1"/>
        <v>42</v>
      </c>
      <c r="D19">
        <f t="shared" si="2"/>
        <v>42</v>
      </c>
      <c r="E19" t="str">
        <f>tblIndiSets!C89</f>
        <v>  4.1) Personal security (Inputs)</v>
      </c>
      <c r="F19">
        <f t="shared" si="3"/>
        <v>71.8027210884354</v>
      </c>
      <c r="G19">
        <f t="shared" si="3"/>
        <v>92.6077097505669</v>
      </c>
      <c r="H19">
        <f t="shared" si="3"/>
        <v>64.5351473922903</v>
      </c>
      <c r="I19">
        <f t="shared" si="3"/>
        <v>61.6099773242631</v>
      </c>
      <c r="J19">
        <f t="shared" si="3"/>
        <v>90.952380952381</v>
      </c>
      <c r="K19">
        <f t="shared" si="3"/>
        <v>85</v>
      </c>
      <c r="L19">
        <f t="shared" si="3"/>
        <v>65.1814058956916</v>
      </c>
      <c r="M19">
        <f t="shared" si="3"/>
        <v>83.390022675737</v>
      </c>
      <c r="N19">
        <f t="shared" si="3"/>
        <v>68.3219954648526</v>
      </c>
      <c r="O19">
        <f t="shared" si="3"/>
        <v>77.3242630385488</v>
      </c>
      <c r="P19">
        <f t="shared" si="4"/>
        <v>52.2108843537415</v>
      </c>
      <c r="Q19">
        <f t="shared" si="4"/>
        <v>57.1882086167801</v>
      </c>
      <c r="R19">
        <f t="shared" si="4"/>
        <v>88.7528344671202</v>
      </c>
      <c r="S19">
        <f t="shared" si="4"/>
        <v>82.8571428571429</v>
      </c>
      <c r="T19">
        <f t="shared" si="4"/>
        <v>89.172335600907</v>
      </c>
      <c r="U19">
        <f t="shared" si="4"/>
        <v>74.4557823129252</v>
      </c>
      <c r="V19">
        <f t="shared" si="4"/>
        <v>88.6167800453515</v>
      </c>
      <c r="W19">
        <f t="shared" si="4"/>
        <v>91.734693877551</v>
      </c>
      <c r="X19">
        <f t="shared" si="4"/>
        <v>35</v>
      </c>
      <c r="Y19">
        <f t="shared" si="4"/>
        <v>92.0181405895692</v>
      </c>
      <c r="Z19">
        <f t="shared" si="5"/>
        <v>71.7800453514739</v>
      </c>
      <c r="AA19">
        <f t="shared" si="5"/>
        <v>54.9433106575964</v>
      </c>
      <c r="AB19">
        <f t="shared" si="5"/>
        <v>42.8231292517007</v>
      </c>
      <c r="AC19">
        <f t="shared" si="5"/>
        <v>61.0997732426304</v>
      </c>
      <c r="AD19">
        <f t="shared" si="5"/>
        <v>37.0068027210884</v>
      </c>
      <c r="AE19">
        <f t="shared" si="5"/>
        <v>84.4557823129252</v>
      </c>
      <c r="AF19">
        <f t="shared" si="5"/>
        <v>69.4331065759637</v>
      </c>
      <c r="AG19">
        <f t="shared" si="5"/>
        <v>61.0997732426304</v>
      </c>
      <c r="AH19">
        <f t="shared" si="5"/>
        <v>94.1609977324263</v>
      </c>
      <c r="AI19">
        <f t="shared" si="5"/>
        <v>89.546485260771</v>
      </c>
      <c r="AJ19">
        <f t="shared" si="6"/>
        <v>90.952380952381</v>
      </c>
      <c r="AK19">
        <f t="shared" si="6"/>
        <v>75.9637188208617</v>
      </c>
      <c r="AL19">
        <f t="shared" si="6"/>
        <v>95.1700680272109</v>
      </c>
      <c r="AM19">
        <f t="shared" si="6"/>
        <v>78.0045351473923</v>
      </c>
      <c r="AN19">
        <f t="shared" si="6"/>
        <v>80.1133786848073</v>
      </c>
      <c r="AO19">
        <f t="shared" si="6"/>
        <v>56.9614512471655</v>
      </c>
      <c r="AP19">
        <f t="shared" si="6"/>
        <v>89.172335600907</v>
      </c>
      <c r="AQ19">
        <f t="shared" si="6"/>
        <v>87.8458049886622</v>
      </c>
      <c r="AR19">
        <f t="shared" si="6"/>
        <v>95.5895691609977</v>
      </c>
      <c r="AS19">
        <f t="shared" si="6"/>
        <v>79.920634920635</v>
      </c>
      <c r="AT19">
        <f t="shared" si="7"/>
        <v>48.7528344671202</v>
      </c>
      <c r="AU19">
        <f t="shared" si="7"/>
        <v>80.3401360544218</v>
      </c>
      <c r="AV19">
        <f t="shared" si="7"/>
        <v>42.8231292517007</v>
      </c>
      <c r="AW19">
        <f t="shared" si="7"/>
        <v>80.1133786848073</v>
      </c>
      <c r="AX19">
        <f t="shared" si="7"/>
        <v>89.546485260771</v>
      </c>
      <c r="AY19">
        <f t="shared" si="7"/>
        <v>66.1904761904762</v>
      </c>
      <c r="AZ19">
        <f t="shared" si="7"/>
        <v>80.3401360544218</v>
      </c>
      <c r="BA19">
        <f t="shared" si="7"/>
        <v>90.1700680272109</v>
      </c>
      <c r="BB19">
        <f t="shared" si="7"/>
        <v>85</v>
      </c>
      <c r="BC19">
        <f t="shared" si="7"/>
        <v>94.875283446712</v>
      </c>
      <c r="BD19">
        <f t="shared" si="8"/>
        <v>84.5918367346939</v>
      </c>
      <c r="BE19">
        <f t="shared" si="8"/>
        <v>95.1700680272109</v>
      </c>
      <c r="BF19">
        <f t="shared" si="8"/>
        <v>93.8662131519275</v>
      </c>
      <c r="BG19">
        <f t="shared" si="8"/>
        <v>47.2562358276644</v>
      </c>
      <c r="BH19">
        <f t="shared" si="8"/>
        <v>95.5895691609977</v>
      </c>
      <c r="BI19">
        <f t="shared" si="8"/>
        <v>93.6167800453515</v>
      </c>
      <c r="BJ19">
        <f t="shared" si="8"/>
        <v>93.7414965986395</v>
      </c>
      <c r="BK19">
        <f t="shared" si="8"/>
        <v>94.4557823129252</v>
      </c>
      <c r="BL19">
        <f t="shared" si="8"/>
        <v>38.3219954648526</v>
      </c>
      <c r="BM19">
        <f t="shared" si="8"/>
        <v>78.3560090702948</v>
      </c>
      <c r="BN19">
        <f t="shared" si="8"/>
        <v>95.5895691609977</v>
      </c>
    </row>
    <row r="20" spans="1:66">
      <c r="A20">
        <f>tblIndiSets_2014_O!B309</f>
        <v>48</v>
      </c>
      <c r="B20">
        <f>tblIndiSets!B90</f>
        <v>50</v>
      </c>
      <c r="C20">
        <f t="shared" si="1"/>
        <v>50</v>
      </c>
      <c r="D20">
        <f t="shared" si="2"/>
        <v>50</v>
      </c>
      <c r="E20" t="str">
        <f>tblIndiSets!C90</f>
        <v>  4.2) Personal security (Outputs)</v>
      </c>
      <c r="F20">
        <f t="shared" si="3"/>
        <v>86.10017057061</v>
      </c>
      <c r="G20">
        <f t="shared" si="3"/>
        <v>82.2362299168649</v>
      </c>
      <c r="H20">
        <f t="shared" si="3"/>
        <v>73.5297218012422</v>
      </c>
      <c r="I20">
        <f t="shared" si="3"/>
        <v>59.9857208747085</v>
      </c>
      <c r="J20">
        <f t="shared" si="3"/>
        <v>79.6127011905947</v>
      </c>
      <c r="K20">
        <f t="shared" si="3"/>
        <v>76.5285701459284</v>
      </c>
      <c r="L20">
        <f t="shared" si="3"/>
        <v>46.1316183272281</v>
      </c>
      <c r="M20">
        <f t="shared" si="3"/>
        <v>80.7838153198686</v>
      </c>
      <c r="N20">
        <f t="shared" si="3"/>
        <v>68.5054141911695</v>
      </c>
      <c r="O20">
        <f t="shared" si="3"/>
        <v>62.1794341144497</v>
      </c>
      <c r="P20">
        <f t="shared" si="4"/>
        <v>42.5015366068378</v>
      </c>
      <c r="Q20">
        <f t="shared" si="4"/>
        <v>68.0674500634544</v>
      </c>
      <c r="R20">
        <f t="shared" si="4"/>
        <v>76.9197385249842</v>
      </c>
      <c r="S20">
        <f t="shared" si="4"/>
        <v>78.6557501204637</v>
      </c>
      <c r="T20">
        <f t="shared" si="4"/>
        <v>64.0466783858782</v>
      </c>
      <c r="U20">
        <f t="shared" si="4"/>
        <v>59.8483603743997</v>
      </c>
      <c r="V20">
        <f t="shared" si="4"/>
        <v>83.4544523327568</v>
      </c>
      <c r="W20">
        <f t="shared" si="4"/>
        <v>81.6718008671738</v>
      </c>
      <c r="X20">
        <f t="shared" si="4"/>
        <v>66.063951510523</v>
      </c>
      <c r="Y20">
        <f t="shared" si="4"/>
        <v>87.4905460803838</v>
      </c>
      <c r="Z20">
        <f t="shared" si="5"/>
        <v>59.8966031646102</v>
      </c>
      <c r="AA20">
        <f t="shared" si="5"/>
        <v>63.5410049717938</v>
      </c>
      <c r="AB20">
        <f t="shared" si="5"/>
        <v>77.2743325256026</v>
      </c>
      <c r="AC20">
        <f t="shared" si="5"/>
        <v>54.203598166953</v>
      </c>
      <c r="AD20">
        <f t="shared" si="5"/>
        <v>26.6834712295477</v>
      </c>
      <c r="AE20">
        <f t="shared" si="5"/>
        <v>77.5751523732371</v>
      </c>
      <c r="AF20">
        <f t="shared" si="5"/>
        <v>80.2060357045367</v>
      </c>
      <c r="AG20">
        <f t="shared" si="5"/>
        <v>60.6321006813934</v>
      </c>
      <c r="AH20">
        <f t="shared" si="5"/>
        <v>76.872691647432</v>
      </c>
      <c r="AI20">
        <f t="shared" si="5"/>
        <v>77.2605920603337</v>
      </c>
      <c r="AJ20">
        <f t="shared" si="6"/>
        <v>80.2638051192829</v>
      </c>
      <c r="AK20">
        <f t="shared" si="6"/>
        <v>63.6896797438487</v>
      </c>
      <c r="AL20">
        <f t="shared" si="6"/>
        <v>81.8748923147478</v>
      </c>
      <c r="AM20">
        <f t="shared" si="6"/>
        <v>51.2377998006852</v>
      </c>
      <c r="AN20">
        <f t="shared" si="6"/>
        <v>73.5499163132566</v>
      </c>
      <c r="AO20">
        <f t="shared" si="6"/>
        <v>59.0373441896908</v>
      </c>
      <c r="AP20">
        <f t="shared" si="6"/>
        <v>66.6175812017623</v>
      </c>
      <c r="AQ20">
        <f t="shared" si="6"/>
        <v>74.1097931907543</v>
      </c>
      <c r="AR20">
        <f t="shared" si="6"/>
        <v>87.5880265848671</v>
      </c>
      <c r="AS20">
        <f t="shared" si="6"/>
        <v>74.5328089414231</v>
      </c>
      <c r="AT20">
        <f t="shared" si="7"/>
        <v>62.0676190794125</v>
      </c>
      <c r="AU20">
        <f t="shared" si="7"/>
        <v>59.360623956106</v>
      </c>
      <c r="AV20">
        <f t="shared" si="7"/>
        <v>79.2505427613812</v>
      </c>
      <c r="AW20">
        <f t="shared" si="7"/>
        <v>68.6694571174441</v>
      </c>
      <c r="AX20">
        <f t="shared" si="7"/>
        <v>77.9266471923461</v>
      </c>
      <c r="AY20">
        <f t="shared" si="7"/>
        <v>75.847749230029</v>
      </c>
      <c r="AZ20">
        <f t="shared" si="7"/>
        <v>59.8220610248664</v>
      </c>
      <c r="BA20">
        <f t="shared" si="7"/>
        <v>80.5099885311989</v>
      </c>
      <c r="BB20">
        <f t="shared" si="7"/>
        <v>75.1332031341141</v>
      </c>
      <c r="BC20">
        <f t="shared" si="7"/>
        <v>95.0146743624438</v>
      </c>
      <c r="BD20">
        <f t="shared" si="8"/>
        <v>91.2756974448189</v>
      </c>
      <c r="BE20">
        <f t="shared" si="8"/>
        <v>77.7547077439903</v>
      </c>
      <c r="BF20">
        <f t="shared" si="8"/>
        <v>86.1707950531097</v>
      </c>
      <c r="BG20">
        <f t="shared" si="8"/>
        <v>71.0974036834257</v>
      </c>
      <c r="BH20">
        <f t="shared" si="8"/>
        <v>87.5463896588618</v>
      </c>
      <c r="BI20">
        <f t="shared" si="8"/>
        <v>89.4179391451398</v>
      </c>
      <c r="BJ20">
        <f t="shared" si="8"/>
        <v>75.9072552412343</v>
      </c>
      <c r="BK20">
        <f t="shared" si="8"/>
        <v>90.0992054005624</v>
      </c>
      <c r="BL20">
        <f t="shared" si="8"/>
        <v>66.5382349402438</v>
      </c>
      <c r="BM20">
        <f t="shared" si="8"/>
        <v>89.0831926500788</v>
      </c>
      <c r="BN20">
        <f t="shared" si="8"/>
        <v>87.5880265848671</v>
      </c>
    </row>
    <row r="23" spans="3:4">
      <c r="C23" t="s">
        <v>284</v>
      </c>
      <c r="D23" t="s">
        <v>382</v>
      </c>
    </row>
    <row r="24" spans="3:4">
      <c r="C24">
        <v>1</v>
      </c>
      <c r="D24">
        <v>2</v>
      </c>
    </row>
    <row r="25" spans="3:4">
      <c r="C25">
        <v>3</v>
      </c>
      <c r="D25">
        <v>4</v>
      </c>
    </row>
    <row r="26" spans="3:4">
      <c r="C26">
        <v>5</v>
      </c>
      <c r="D26">
        <v>6</v>
      </c>
    </row>
    <row r="27" spans="3:4">
      <c r="C27">
        <v>7</v>
      </c>
      <c r="D27">
        <v>8</v>
      </c>
    </row>
    <row r="29" spans="1:1">
      <c r="A29" t="s">
        <v>383</v>
      </c>
    </row>
    <row r="30" s="215" customFormat="1" spans="1:16">
      <c r="A30" s="215" t="s">
        <v>384</v>
      </c>
      <c r="B30" s="215" t="s">
        <v>385</v>
      </c>
      <c r="C30" s="215" t="s">
        <v>386</v>
      </c>
      <c r="D30" s="215" t="s">
        <v>387</v>
      </c>
      <c r="F30" s="215" t="str">
        <f>A30</f>
        <v>1) DIGITAL SECURITY</v>
      </c>
      <c r="G30" s="215" t="str">
        <f t="shared" ref="G30:I30" si="9">B30</f>
        <v>2) HEALTH SECURITY</v>
      </c>
      <c r="H30" s="215" t="str">
        <f t="shared" si="9"/>
        <v>3) INFRASTRUCTURE SECURITY</v>
      </c>
      <c r="I30" s="215" t="str">
        <f t="shared" si="9"/>
        <v>4) PERSONAL SECURITY</v>
      </c>
      <c r="N30" s="215" t="s">
        <v>380</v>
      </c>
      <c r="O30" t="str">
        <f>C3</f>
        <v>1) DIGITAL SECURITY</v>
      </c>
      <c r="P30" s="215" t="str">
        <f ca="1">C2</f>
        <v>Select a city</v>
      </c>
    </row>
    <row r="31" spans="1:16">
      <c r="A31" s="1">
        <v>4</v>
      </c>
      <c r="B31" s="1">
        <v>15</v>
      </c>
      <c r="C31" s="1">
        <v>30</v>
      </c>
      <c r="D31" s="1">
        <v>43</v>
      </c>
      <c r="F31" s="1">
        <v>4</v>
      </c>
      <c r="G31" s="1">
        <v>15</v>
      </c>
      <c r="H31" s="1">
        <v>29</v>
      </c>
      <c r="I31" s="1">
        <v>41</v>
      </c>
      <c r="N31">
        <f>IF($B$1=1,INDEX(F31:I31,iScatter_InOut!$B$1),INDEX(A31:D31,iScatter_InOut!$B$1))</f>
        <v>4</v>
      </c>
      <c r="O31" t="str">
        <f>IF(N31=0,"",IF($B$1=1,INDEX(tblIndiSets_2014_O!$C$74:$C$129,iRatios!N31),INDEX(tblIndiSets!$C$13:$C$74,iRatios!N31)))</f>
        <v>   1.1.1) Privacy policy</v>
      </c>
      <c r="P31" t="str">
        <f t="shared" ref="P31:P40" si="10">IF($B$2=1,"",IF(N31=0,"",CHOOSE($B$1,INDEX(aScores_2014_O,N31,$B$2-1),INDEX(aScores_2014_N,N31,$B$2-1),INDEX(aScores_2017,N31,$B$2-1))))</f>
        <v/>
      </c>
    </row>
    <row r="32" spans="1:16">
      <c r="A32" s="1">
        <v>5</v>
      </c>
      <c r="B32" s="1">
        <v>16</v>
      </c>
      <c r="C32" s="1">
        <v>31</v>
      </c>
      <c r="D32" s="1">
        <v>44</v>
      </c>
      <c r="F32" s="1">
        <v>5</v>
      </c>
      <c r="G32" s="1">
        <v>16</v>
      </c>
      <c r="H32" s="1">
        <v>30</v>
      </c>
      <c r="I32" s="1">
        <v>42</v>
      </c>
      <c r="N32">
        <f>IF($B$1=1,INDEX(F32:I32,iScatter_InOut!$B$1),INDEX(A32:D32,iScatter_InOut!$B$1))</f>
        <v>5</v>
      </c>
      <c r="O32" t="str">
        <f>IF(N32=0,"",IF($B$1=1,INDEX(tblIndiSets_2014_O!$C$74:$C$129,iRatios!N32),INDEX(tblIndiSets!$C$13:$C$74,iRatios!N32)))</f>
        <v>   1.1.2) Citizen awareness of digital threats</v>
      </c>
      <c r="P32" t="str">
        <f t="shared" si="10"/>
        <v/>
      </c>
    </row>
    <row r="33" spans="1:16">
      <c r="A33" s="1">
        <v>6</v>
      </c>
      <c r="B33" s="1">
        <v>17</v>
      </c>
      <c r="C33" s="1">
        <v>32</v>
      </c>
      <c r="D33" s="1">
        <v>45</v>
      </c>
      <c r="F33" s="1">
        <v>6</v>
      </c>
      <c r="G33" s="1">
        <v>17</v>
      </c>
      <c r="H33" s="1">
        <v>31</v>
      </c>
      <c r="I33" s="1">
        <v>43</v>
      </c>
      <c r="N33">
        <f>IF($B$1=1,INDEX(F33:I33,iScatter_InOut!$B$1),INDEX(A33:D33,iScatter_InOut!$B$1))</f>
        <v>6</v>
      </c>
      <c r="O33" t="str">
        <f>IF(N33=0,"",IF($B$1=1,INDEX(tblIndiSets_2014_O!$C$74:$C$129,iRatios!N33),INDEX(tblIndiSets!$C$13:$C$74,iRatios!N33)))</f>
        <v>   1.1.3) Public-private partnerships</v>
      </c>
      <c r="P33" t="str">
        <f t="shared" si="10"/>
        <v/>
      </c>
    </row>
    <row r="34" spans="1:16">
      <c r="A34" s="1">
        <v>7</v>
      </c>
      <c r="B34" s="1">
        <v>18</v>
      </c>
      <c r="C34" s="1">
        <v>33</v>
      </c>
      <c r="D34" s="1">
        <v>46</v>
      </c>
      <c r="F34" s="1">
        <v>7</v>
      </c>
      <c r="G34" s="1">
        <v>18</v>
      </c>
      <c r="H34" s="1">
        <v>32</v>
      </c>
      <c r="I34" s="1">
        <v>44</v>
      </c>
      <c r="N34">
        <f>IF($B$1=1,INDEX(F34:I34,iScatter_InOut!$B$1),INDEX(A34:D34,iScatter_InOut!$B$1))</f>
        <v>7</v>
      </c>
      <c r="O34" t="str">
        <f>IF(N34=0,"",IF($B$1=1,INDEX(tblIndiSets_2014_O!$C$74:$C$129,iRatios!N34),INDEX(tblIndiSets!$C$13:$C$74,iRatios!N34)))</f>
        <v>   1.1.4) Level of technology employed</v>
      </c>
      <c r="P34" t="str">
        <f t="shared" si="10"/>
        <v/>
      </c>
    </row>
    <row r="35" spans="1:16">
      <c r="A35" s="1">
        <v>8</v>
      </c>
      <c r="B35" s="1">
        <v>19</v>
      </c>
      <c r="C35" s="1">
        <v>34</v>
      </c>
      <c r="D35" s="1">
        <v>47</v>
      </c>
      <c r="F35" s="1">
        <v>8</v>
      </c>
      <c r="G35" s="1">
        <v>19</v>
      </c>
      <c r="H35" s="1">
        <v>33</v>
      </c>
      <c r="I35" s="1">
        <v>45</v>
      </c>
      <c r="N35">
        <f>IF($B$1=1,INDEX(F35:I35,iScatter_InOut!$B$1),INDEX(A35:D35,iScatter_InOut!$B$1))</f>
        <v>8</v>
      </c>
      <c r="O35" t="str">
        <f>IF(N35=0,"",IF($B$1=1,INDEX(tblIndiSets_2014_O!$C$74:$C$129,iRatios!N35),INDEX(tblIndiSets!$C$13:$C$74,iRatios!N35)))</f>
        <v>   1.1.5) Dedicated cyber security teams</v>
      </c>
      <c r="P35" t="str">
        <f t="shared" si="10"/>
        <v/>
      </c>
    </row>
    <row r="36" spans="2:16">
      <c r="B36" s="1">
        <v>20</v>
      </c>
      <c r="D36" s="1">
        <v>48</v>
      </c>
      <c r="G36" s="1">
        <v>20</v>
      </c>
      <c r="I36" s="1">
        <v>46</v>
      </c>
      <c r="N36">
        <f>IF($B$1=1,INDEX(F36:I36,iScatter_InOut!$B$1),INDEX(A36:D36,iScatter_InOut!$B$1))</f>
        <v>0</v>
      </c>
      <c r="O36" t="str">
        <f>IF(N36=0,"",IF($B$1=1,INDEX(tblIndiSets_2014_O!$C$74:$C$129,iRatios!N36),INDEX(tblIndiSets!$C$13:$C$74,iRatios!N36)))</f>
        <v/>
      </c>
      <c r="P36" t="str">
        <f t="shared" si="10"/>
        <v/>
      </c>
    </row>
    <row r="37" spans="4:16">
      <c r="D37" s="1">
        <v>49</v>
      </c>
      <c r="I37" s="1">
        <v>47</v>
      </c>
      <c r="N37">
        <f>IF($B$1=1,INDEX(F37:I37,iScatter_InOut!$B$1),INDEX(A37:D37,iScatter_InOut!$B$1))</f>
        <v>0</v>
      </c>
      <c r="O37" t="str">
        <f>IF(N37=0,"",IF($B$1=1,INDEX(tblIndiSets_2014_O!$C$74:$C$129,iRatios!N37),INDEX(tblIndiSets!$C$13:$C$74,iRatios!N37)))</f>
        <v/>
      </c>
      <c r="P37" t="str">
        <f t="shared" si="10"/>
        <v/>
      </c>
    </row>
    <row r="38" spans="15:16">
      <c r="O38" t="str">
        <f>IF(N38=0,"",IF($B$1=1,INDEX(tblIndiSets_2014_O!$C$74:$C$129,iRatios!N38),INDEX(tblIndiSets!$C$13:$C$74,iRatios!N38)))</f>
        <v/>
      </c>
      <c r="P38" t="str">
        <f t="shared" si="10"/>
        <v/>
      </c>
    </row>
    <row r="39" spans="15:16">
      <c r="O39" t="str">
        <f>IF(N39=0,"",IF($B$1=1,INDEX(tblIndiSets_2014_O!$C$74:$C$129,iRatios!N39),INDEX(tblIndiSets!$C$13:$C$74,iRatios!N39)))</f>
        <v/>
      </c>
      <c r="P39" t="str">
        <f t="shared" si="10"/>
        <v/>
      </c>
    </row>
    <row r="40" s="215" customFormat="1" spans="1:16">
      <c r="A40" s="215" t="s">
        <v>388</v>
      </c>
      <c r="N40"/>
      <c r="O40" t="str">
        <f>IF(N40=0,"",IF($B$1=1,INDEX(tblIndiSets_2014_O!$C$74:$C$129,iRatios!N40),INDEX(tblIndiSets!$C$13:$C$74,iRatios!N40)))</f>
        <v/>
      </c>
      <c r="P40" t="str">
        <f t="shared" si="10"/>
        <v/>
      </c>
    </row>
    <row r="41" s="215" customFormat="1" spans="1:16">
      <c r="A41" s="215" t="str">
        <f>A30</f>
        <v>1) DIGITAL SECURITY</v>
      </c>
      <c r="B41" s="215" t="str">
        <f t="shared" ref="B41:D41" si="11">B30</f>
        <v>2) HEALTH SECURITY</v>
      </c>
      <c r="C41" s="215" t="str">
        <f t="shared" si="11"/>
        <v>3) INFRASTRUCTURE SECURITY</v>
      </c>
      <c r="D41" s="215" t="str">
        <f t="shared" si="11"/>
        <v>4) PERSONAL SECURITY</v>
      </c>
      <c r="N41" t="s">
        <v>380</v>
      </c>
      <c r="O41" t="str">
        <f>O30</f>
        <v>1) DIGITAL SECURITY</v>
      </c>
      <c r="P41" t="str">
        <f ca="1">P30</f>
        <v>Select a city</v>
      </c>
    </row>
    <row r="42" spans="1:16">
      <c r="A42" s="1">
        <v>10</v>
      </c>
      <c r="B42" s="1">
        <v>22</v>
      </c>
      <c r="C42" s="1">
        <v>36</v>
      </c>
      <c r="D42" s="1">
        <v>51</v>
      </c>
      <c r="F42" s="1">
        <v>10</v>
      </c>
      <c r="G42" s="1">
        <v>22</v>
      </c>
      <c r="H42" s="1">
        <v>35</v>
      </c>
      <c r="I42" s="1">
        <v>49</v>
      </c>
      <c r="N42">
        <f>IF($B$1=1,INDEX(F42:I42,iScatter_InOut!$B$1),INDEX(A42:D42,iScatter_InOut!$B$1))</f>
        <v>10</v>
      </c>
      <c r="O42" t="str">
        <f>IF(N42=0,"",IF($B$1=1,INDEX(tblIndiSets_2014_O!$C$74:$C$129,iRatios!N42),INDEX(tblIndiSets!$C$13:$C$74,iRatios!N42)))</f>
        <v>   1.2.1) Frequency of identity theft</v>
      </c>
      <c r="P42" t="str">
        <f t="shared" ref="P42:P51" si="12">IF($B$2=1,"",IF(N42=0,"",CHOOSE($B$1,INDEX(aScores_2014_O,N42,$B$2-1),INDEX(aScores_2014_N,N42,$B$2-1),INDEX(aScores_2017,N42,$B$2-1))))</f>
        <v/>
      </c>
    </row>
    <row r="43" spans="1:16">
      <c r="A43" s="1">
        <v>11</v>
      </c>
      <c r="B43" s="1">
        <v>23</v>
      </c>
      <c r="C43" s="1">
        <v>37</v>
      </c>
      <c r="D43" s="1">
        <v>52</v>
      </c>
      <c r="F43" s="1">
        <v>11</v>
      </c>
      <c r="G43" s="1">
        <v>23</v>
      </c>
      <c r="H43" s="1">
        <v>36</v>
      </c>
      <c r="I43" s="1">
        <v>50</v>
      </c>
      <c r="N43">
        <f>IF($B$1=1,INDEX(F43:I43,iScatter_InOut!$B$1),INDEX(A43:D43,iScatter_InOut!$B$1))</f>
        <v>11</v>
      </c>
      <c r="O43" t="str">
        <f>IF(N43=0,"",IF($B$1=1,INDEX(tblIndiSets_2014_O!$C$74:$C$129,iRatios!N43),INDEX(tblIndiSets!$C$13:$C$74,iRatios!N43)))</f>
        <v>   1.2.2) Percentage of computers infected</v>
      </c>
      <c r="P43" t="str">
        <f t="shared" si="12"/>
        <v/>
      </c>
    </row>
    <row r="44" spans="1:16">
      <c r="A44" s="1">
        <v>12</v>
      </c>
      <c r="B44" s="1">
        <v>24</v>
      </c>
      <c r="C44" s="1">
        <v>38</v>
      </c>
      <c r="D44" s="1">
        <v>53</v>
      </c>
      <c r="F44" s="1">
        <v>12</v>
      </c>
      <c r="G44" s="1">
        <v>24</v>
      </c>
      <c r="H44" s="1">
        <v>37</v>
      </c>
      <c r="I44" s="1">
        <v>51</v>
      </c>
      <c r="N44">
        <f>IF($B$1=1,INDEX(F44:I44,iScatter_InOut!$B$1),INDEX(A44:D44,iScatter_InOut!$B$1))</f>
        <v>12</v>
      </c>
      <c r="O44" t="str">
        <f>IF(N44=0,"",IF($B$1=1,INDEX(tblIndiSets_2014_O!$C$74:$C$129,iRatios!N44),INDEX(tblIndiSets!$C$13:$C$74,iRatios!N44)))</f>
        <v>   1.2.3) Percentage with Internet access</v>
      </c>
      <c r="P44" t="str">
        <f t="shared" si="12"/>
        <v/>
      </c>
    </row>
    <row r="45" spans="2:16">
      <c r="B45" s="1">
        <v>25</v>
      </c>
      <c r="C45" s="1">
        <v>39</v>
      </c>
      <c r="D45" s="1">
        <v>54</v>
      </c>
      <c r="G45" s="1">
        <v>25</v>
      </c>
      <c r="H45" s="1">
        <v>38</v>
      </c>
      <c r="I45" s="1">
        <v>52</v>
      </c>
      <c r="N45">
        <f>IF($B$1=1,INDEX(F45:I45,iScatter_InOut!$B$1),INDEX(A45:D45,iScatter_InOut!$B$1))</f>
        <v>0</v>
      </c>
      <c r="O45" t="str">
        <f>IF(N45=0,"",IF($B$1=1,INDEX(tblIndiSets_2014_O!$C$74:$C$129,iRatios!N45),INDEX(tblIndiSets!$C$13:$C$74,iRatios!N45)))</f>
        <v/>
      </c>
      <c r="P45" t="str">
        <f t="shared" si="12"/>
        <v/>
      </c>
    </row>
    <row r="46" spans="2:16">
      <c r="B46" s="1">
        <v>26</v>
      </c>
      <c r="C46" s="1">
        <v>40</v>
      </c>
      <c r="D46" s="1">
        <v>55</v>
      </c>
      <c r="G46" s="1">
        <v>26</v>
      </c>
      <c r="I46" s="1">
        <v>53</v>
      </c>
      <c r="N46">
        <f>IF($B$1=1,INDEX(F46:I46,iScatter_InOut!$B$1),INDEX(A46:D46,iScatter_InOut!$B$1))</f>
        <v>0</v>
      </c>
      <c r="O46" t="str">
        <f>IF(N46=0,"",IF($B$1=1,INDEX(tblIndiSets_2014_O!$C$74:$C$129,iRatios!N46),INDEX(tblIndiSets!$C$13:$C$74,iRatios!N46)))</f>
        <v/>
      </c>
      <c r="P46" t="str">
        <f t="shared" si="12"/>
        <v/>
      </c>
    </row>
    <row r="47" spans="2:16">
      <c r="B47" s="1">
        <v>27</v>
      </c>
      <c r="C47" s="1"/>
      <c r="D47" s="1">
        <v>56</v>
      </c>
      <c r="G47" s="1"/>
      <c r="I47" s="1">
        <v>54</v>
      </c>
      <c r="N47">
        <f>IF($B$1=1,INDEX(F47:I47,iScatter_InOut!$B$1),INDEX(A47:D47,iScatter_InOut!$B$1))</f>
        <v>0</v>
      </c>
      <c r="O47" t="str">
        <f>IF(N47=0,"",IF($B$1=1,INDEX(tblIndiSets_2014_O!$C$74:$C$129,iRatios!N47),INDEX(tblIndiSets!$C$13:$C$74,iRatios!N47)))</f>
        <v/>
      </c>
      <c r="P47" t="str">
        <f t="shared" si="12"/>
        <v/>
      </c>
    </row>
    <row r="48" spans="2:16">
      <c r="B48" s="1"/>
      <c r="D48" s="1">
        <v>57</v>
      </c>
      <c r="G48" s="1"/>
      <c r="I48" s="1">
        <v>55</v>
      </c>
      <c r="N48">
        <f>IF($B$1=1,INDEX(F48:I48,iScatter_InOut!$B$1),INDEX(A48:D48,iScatter_InOut!$B$1))</f>
        <v>0</v>
      </c>
      <c r="O48" t="str">
        <f>IF(N48=0,"",IF($B$1=1,INDEX(tblIndiSets_2014_O!$C$74:$C$129,iRatios!N48),INDEX(tblIndiSets!$C$13:$C$74,iRatios!N48)))</f>
        <v/>
      </c>
      <c r="P48" t="str">
        <f t="shared" si="12"/>
        <v/>
      </c>
    </row>
    <row r="49" spans="4:16">
      <c r="D49" s="1">
        <v>58</v>
      </c>
      <c r="I49" s="1">
        <v>56</v>
      </c>
      <c r="N49">
        <f>IF($B$1=1,INDEX(F49:I49,iScatter_InOut!$B$1),INDEX(A49:D49,iScatter_InOut!$B$1))</f>
        <v>0</v>
      </c>
      <c r="O49" t="str">
        <f>IF(N49=0,"",IF($B$1=1,INDEX(tblIndiSets_2014_O!$C$74:$C$129,iRatios!N49),INDEX(tblIndiSets!$C$13:$C$74,iRatios!N49)))</f>
        <v/>
      </c>
      <c r="P49" t="str">
        <f t="shared" si="12"/>
        <v/>
      </c>
    </row>
    <row r="50" spans="4:16">
      <c r="D50" s="1">
        <v>59</v>
      </c>
      <c r="N50">
        <f>IF($B$1=1,INDEX(F50:I50,iScatter_InOut!$B$1),INDEX(A50:D50,iScatter_InOut!$B$1))</f>
        <v>0</v>
      </c>
      <c r="O50" t="str">
        <f>IF(N50=0,"",IF($B$1=1,INDEX(tblIndiSets_2014_O!$C$74:$C$129,iRatios!N50),INDEX(tblIndiSets!$C$13:$C$74,iRatios!N50)))</f>
        <v/>
      </c>
      <c r="P50" t="str">
        <f t="shared" si="12"/>
        <v/>
      </c>
    </row>
    <row r="51" spans="4:16">
      <c r="D51" s="1">
        <v>60</v>
      </c>
      <c r="N51">
        <f>IF($B$1=1,INDEX(F51:I51,iScatter_InOut!$B$1),INDEX(A51:D51,iScatter_InOut!$B$1))</f>
        <v>0</v>
      </c>
      <c r="O51" t="str">
        <f>IF(N51=0,"",IF($B$1=1,INDEX(tblIndiSets_2014_O!$C$74:$C$129,iRatios!N51),INDEX(tblIndiSets!$C$13:$C$74,iRatios!N51)))</f>
        <v/>
      </c>
      <c r="P51" t="str">
        <f t="shared" si="12"/>
        <v/>
      </c>
    </row>
    <row r="52" customFormat="1" spans="4:16">
      <c r="D52" s="1">
        <v>61</v>
      </c>
      <c r="N52">
        <f>IF($B$1=1,INDEX(F52:I52,iScatter_InOut!$B$1),INDEX(A52:D52,iScatter_InOut!$B$1))</f>
        <v>0</v>
      </c>
      <c r="O52" t="str">
        <f>IF(N52=0,"",IF($B$1=1,INDEX(tblIndiSets_2014_O!$C$74:$C$129,iRatios!N52),INDEX(tblIndiSets!$C$13:$C$74,iRatios!N52)))</f>
        <v/>
      </c>
      <c r="P52" t="str">
        <f t="shared" ref="P52:P53" si="13">IF($B$2=1,"",IF(N52=0,"",CHOOSE($B$1,INDEX(aScores_2014_O,N52,$B$2-1),INDEX(aScores_2014_N,N52,$B$2-1),INDEX(aScores_2017,N52,$B$2-1))))</f>
        <v/>
      </c>
    </row>
    <row r="53" spans="4:16">
      <c r="D53" s="1">
        <v>62</v>
      </c>
      <c r="N53">
        <f>IF($B$1=1,INDEX(F53:I53,iScatter_InOut!$B$1),INDEX(A53:D53,iScatter_InOut!$B$1))</f>
        <v>0</v>
      </c>
      <c r="O53" t="str">
        <f>IF(N53=0,"",IF($B$1=1,INDEX(tblIndiSets_2014_O!$C$74:$C$129,iRatios!N53),INDEX(tblIndiSets!$C$13:$C$74,iRatios!N53)))</f>
        <v/>
      </c>
      <c r="P53" t="str">
        <f t="shared" si="13"/>
        <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C000"/>
    <pageSetUpPr fitToPage="1"/>
  </sheetPr>
  <dimension ref="A1:AA79"/>
  <sheetViews>
    <sheetView showRowColHeaders="0" zoomScale="90" zoomScaleNormal="90" topLeftCell="A40" workbookViewId="0">
      <selection activeCell="E19" sqref="D19:E79"/>
    </sheetView>
  </sheetViews>
  <sheetFormatPr defaultColWidth="9.14285714285714" defaultRowHeight="15"/>
  <cols>
    <col min="1" max="1" width="18.4285714285714" customWidth="1"/>
    <col min="2" max="2" width="9.14285714285714" customWidth="1"/>
    <col min="3" max="3" width="13.1428571428571" customWidth="1"/>
    <col min="4" max="4" width="10.2857142857143" customWidth="1"/>
    <col min="5" max="5" width="9.14285714285714" customWidth="1"/>
    <col min="6" max="6" width="23.4285714285714" customWidth="1"/>
    <col min="7" max="17" width="9.14285714285714" customWidth="1"/>
    <col min="18" max="18" width="4.28571428571429" customWidth="1"/>
    <col min="19" max="19" width="4.42857142857143" customWidth="1"/>
    <col min="20" max="21" width="9.42857142857143" customWidth="1"/>
    <col min="23" max="23" width="9.42857142857143" customWidth="1"/>
    <col min="24" max="24" width="11.1428571428571" customWidth="1"/>
    <col min="26" max="27" width="9.42857142857143" customWidth="1"/>
  </cols>
  <sheetData>
    <row r="1" spans="1:7">
      <c r="A1" t="str">
        <f>uxb_works!A120</f>
        <v>Select Series</v>
      </c>
      <c r="B1">
        <f>uxb_works!B120</f>
        <v>1</v>
      </c>
      <c r="F1" t="str">
        <f>uxb_works!C120</f>
        <v>1) DIGITAL SECURITY</v>
      </c>
      <c r="G1" t="str">
        <f>uxb_works!G32</f>
        <v>OVERALL SCORE</v>
      </c>
    </row>
    <row r="2" spans="2:2">
      <c r="B2" s="283"/>
    </row>
    <row r="3" spans="1:2">
      <c r="A3" t="s">
        <v>353</v>
      </c>
      <c r="B3" s="283">
        <f>uxb_works!B7</f>
        <v>0</v>
      </c>
    </row>
    <row r="4" spans="1:2">
      <c r="A4" t="s">
        <v>80</v>
      </c>
      <c r="B4" s="283" t="b">
        <f>uxb_works!B35</f>
        <v>0</v>
      </c>
    </row>
    <row r="5" spans="1:2">
      <c r="A5" t="s">
        <v>81</v>
      </c>
      <c r="B5" s="283" t="b">
        <f>uxb_works!B36</f>
        <v>0</v>
      </c>
    </row>
    <row r="6" spans="1:2">
      <c r="A6" t="str">
        <f>uxb_works!A46</f>
        <v>YEAR_SELECT</v>
      </c>
      <c r="B6">
        <f>uxb_works!B46</f>
        <v>3</v>
      </c>
    </row>
    <row r="7" spans="1:4">
      <c r="A7" t="s">
        <v>354</v>
      </c>
      <c r="B7">
        <v>1000</v>
      </c>
      <c r="C7" t="s">
        <v>355</v>
      </c>
      <c r="D7">
        <f>uxb_works!D34</f>
        <v>0</v>
      </c>
    </row>
    <row r="8" spans="1:1">
      <c r="A8" t="s">
        <v>130</v>
      </c>
    </row>
    <row r="9" spans="1:2">
      <c r="A9" t="s">
        <v>356</v>
      </c>
      <c r="B9" t="s">
        <v>389</v>
      </c>
    </row>
    <row r="10" spans="1:2">
      <c r="A10" t="s">
        <v>357</v>
      </c>
      <c r="B10" t="s">
        <v>390</v>
      </c>
    </row>
    <row r="12" spans="1:2">
      <c r="A12" t="s">
        <v>358</v>
      </c>
      <c r="B12">
        <f>SLOPE(H19:H79,G19:G79)</f>
        <v>0.237680909817058</v>
      </c>
    </row>
    <row r="13" spans="1:2">
      <c r="A13" t="s">
        <v>359</v>
      </c>
      <c r="B13">
        <f>INTERCEPT(H19:H79,G19:G79)</f>
        <v>52.9561798881151</v>
      </c>
    </row>
    <row r="14" spans="1:2">
      <c r="A14" t="s">
        <v>360</v>
      </c>
      <c r="B14">
        <f>CORREL(G19:G79,H19:H79)</f>
        <v>0.468594976633405</v>
      </c>
    </row>
    <row r="15" spans="1:5">
      <c r="A15" t="s">
        <v>361</v>
      </c>
      <c r="B15" t="b">
        <f>IF(ISERROR(B14),FALSE,TRUE)</f>
        <v>1</v>
      </c>
      <c r="D15" t="e">
        <f>IF($C15=0,NA(),IF($B$7&gt;$B$1,INDEX(aScores,$B$1,$A15),INDEX(aData,$B$1,$A15)))</f>
        <v>#N/A</v>
      </c>
      <c r="E15" t="e">
        <f>IF($C15=0,NA(),IF($B$7&gt;$B$2,INDEX(aScores,$B$2,$A15),INDEX(aData,$B$2,$A15)))</f>
        <v>#N/A</v>
      </c>
    </row>
    <row r="16" spans="4:4">
      <c r="D16" t="s">
        <v>362</v>
      </c>
    </row>
    <row r="17" spans="4:26">
      <c r="D17">
        <f>INDEX(iRatios!$C$24:$C$27,$B$1)</f>
        <v>1</v>
      </c>
      <c r="E17">
        <f>INDEX(iRatios!$D$24:$D$27,$B$1)</f>
        <v>2</v>
      </c>
      <c r="F17" t="s">
        <v>363</v>
      </c>
      <c r="G17" t="s">
        <v>364</v>
      </c>
      <c r="J17" t="s">
        <v>365</v>
      </c>
      <c r="M17" s="288" t="s">
        <v>366</v>
      </c>
      <c r="S17" s="288" t="s">
        <v>367</v>
      </c>
      <c r="W17" s="288" t="s">
        <v>368</v>
      </c>
      <c r="Z17" s="288" t="s">
        <v>369</v>
      </c>
    </row>
    <row r="18" spans="1:27">
      <c r="A18" t="s">
        <v>370</v>
      </c>
      <c r="B18" t="s">
        <v>15</v>
      </c>
      <c r="C18" s="284" t="s">
        <v>371</v>
      </c>
      <c r="D18" s="284" t="s">
        <v>344</v>
      </c>
      <c r="E18" s="284" t="s">
        <v>345</v>
      </c>
      <c r="G18" s="284" t="s">
        <v>344</v>
      </c>
      <c r="H18" s="284" t="s">
        <v>345</v>
      </c>
      <c r="J18" s="284" t="s">
        <v>345</v>
      </c>
      <c r="K18" s="284" t="s">
        <v>372</v>
      </c>
      <c r="N18" t="s">
        <v>373</v>
      </c>
      <c r="O18" s="289" t="s">
        <v>374</v>
      </c>
      <c r="P18" t="s">
        <v>344</v>
      </c>
      <c r="Q18" t="s">
        <v>345</v>
      </c>
      <c r="S18" t="s">
        <v>375</v>
      </c>
      <c r="T18" t="s">
        <v>344</v>
      </c>
      <c r="U18" t="s">
        <v>345</v>
      </c>
      <c r="W18" t="s">
        <v>344</v>
      </c>
      <c r="X18" t="s">
        <v>345</v>
      </c>
      <c r="Z18" t="s">
        <v>344</v>
      </c>
      <c r="AA18" t="s">
        <v>345</v>
      </c>
    </row>
    <row r="19" spans="1:27">
      <c r="A19">
        <v>1</v>
      </c>
      <c r="B19" t="str">
        <f>tblTerritories!C3</f>
        <v>Abu Dhabi</v>
      </c>
      <c r="C19">
        <f>IF(tblTerritories!F3="",0,tblTerritories!F3)</f>
        <v>1</v>
      </c>
      <c r="D19">
        <f>IF($C19=0,NA(),INDEX(iRatios!$F$13:$BN$20,iScatter_InOut!$D$17,iScatter_InOut!$A19))</f>
        <v>63.3333333333333</v>
      </c>
      <c r="E19">
        <f>IF($C19=0,NA(),INDEX(iRatios!$F$13:$BN$20,iScatter_InOut!$E$17,iScatter_InOut!$A19))</f>
        <v>74.2150882505875</v>
      </c>
      <c r="F19" t="b">
        <f>AND(ISNUMBER(D19),ISNUMBER(E19))</f>
        <v>1</v>
      </c>
      <c r="G19">
        <f>IF($F19,D19,"")</f>
        <v>63.3333333333333</v>
      </c>
      <c r="H19">
        <f>IF($F19,E19,"")</f>
        <v>74.2150882505875</v>
      </c>
      <c r="J19">
        <f>IF(G19="","",(G19*$B$12)+$B$13)</f>
        <v>68.0093041765288</v>
      </c>
      <c r="K19">
        <f>IF(J19="","",H19-J19)</f>
        <v>6.20578407405878</v>
      </c>
      <c r="N19">
        <f>B3</f>
        <v>0</v>
      </c>
      <c r="O19" t="str">
        <f ca="1">IF($B$3=0,"&lt;none&gt;",INDEX(LuCities,$B$3))</f>
        <v>&lt;none&gt;</v>
      </c>
      <c r="P19" t="e">
        <f>IF($B$3=0,NA(),INDEX(G19:G79,$B$3))</f>
        <v>#N/A</v>
      </c>
      <c r="Q19" t="e">
        <f>IF($B$3=0,NA(),INDEX(H19:H79,$B$3))</f>
        <v>#N/A</v>
      </c>
      <c r="S19">
        <f t="shared" ref="S19:S79" si="0">IF(NOT($B$4),0,IF(OR(A19=$N$19,A19=$N$23,A19=$N$27),0,IF(AND(C19&lt;3,F19),1,0)))</f>
        <v>0</v>
      </c>
      <c r="T19" t="e">
        <f t="shared" ref="T19:U34" si="1">IF($S19=0,NA(),G19)</f>
        <v>#N/A</v>
      </c>
      <c r="U19" t="e">
        <f t="shared" si="1"/>
        <v>#N/A</v>
      </c>
      <c r="W19">
        <f t="shared" ref="W19:X34" si="2">IF(AND($C19&gt;0,$F19),G19,NA())</f>
        <v>63.3333333333333</v>
      </c>
      <c r="X19">
        <f t="shared" si="2"/>
        <v>74.2150882505875</v>
      </c>
      <c r="Z19" t="e">
        <f t="shared" ref="Z19:AA34" si="3">IF(AND($C19=2,$F19),G19,NA())</f>
        <v>#N/A</v>
      </c>
      <c r="AA19" t="e">
        <f t="shared" si="3"/>
        <v>#N/A</v>
      </c>
    </row>
    <row r="20" spans="1:27">
      <c r="A20">
        <v>2</v>
      </c>
      <c r="B20" t="str">
        <f>tblTerritories!C4</f>
        <v>Amsterdam</v>
      </c>
      <c r="C20">
        <f>IF(tblTerritories!F4="",0,tblTerritories!F4)</f>
        <v>1</v>
      </c>
      <c r="D20">
        <f>IF($C20=0,NA(),INDEX(iRatios!$F$13:$BN$20,iScatter_InOut!$D$17,iScatter_InOut!$A20))</f>
        <v>80</v>
      </c>
      <c r="E20">
        <f>IF($C20=0,NA(),INDEX(iRatios!$F$13:$BN$20,iScatter_InOut!$E$17,iScatter_InOut!$A20))</f>
        <v>91.581420063715</v>
      </c>
      <c r="F20" t="b">
        <f t="shared" ref="F20:F79" si="4">AND(ISNUMBER(D20),ISNUMBER(E20))</f>
        <v>1</v>
      </c>
      <c r="G20">
        <f t="shared" ref="G20:H35" si="5">IF($F20,D20,"")</f>
        <v>80</v>
      </c>
      <c r="H20">
        <f t="shared" si="5"/>
        <v>91.581420063715</v>
      </c>
      <c r="J20">
        <f t="shared" ref="J20:J79" si="6">IF(G20="","",(G20*$B$12)+$B$13)</f>
        <v>71.9706526734797</v>
      </c>
      <c r="K20">
        <f t="shared" ref="K20:K79" si="7">IF(J20="","",H20-J20)</f>
        <v>19.6107673902352</v>
      </c>
      <c r="S20">
        <f t="shared" si="0"/>
        <v>0</v>
      </c>
      <c r="T20" t="e">
        <f t="shared" si="1"/>
        <v>#N/A</v>
      </c>
      <c r="U20" t="e">
        <f t="shared" si="1"/>
        <v>#N/A</v>
      </c>
      <c r="W20">
        <f t="shared" si="2"/>
        <v>80</v>
      </c>
      <c r="X20">
        <f t="shared" si="2"/>
        <v>91.581420063715</v>
      </c>
      <c r="Z20" t="e">
        <f t="shared" si="3"/>
        <v>#N/A</v>
      </c>
      <c r="AA20" t="e">
        <f t="shared" si="3"/>
        <v>#N/A</v>
      </c>
    </row>
    <row r="21" spans="1:27">
      <c r="A21">
        <v>3</v>
      </c>
      <c r="B21" t="str">
        <f>tblTerritories!C5</f>
        <v>Athens</v>
      </c>
      <c r="C21">
        <f>IF(tblTerritories!F5="",0,tblTerritories!F5)</f>
        <v>1</v>
      </c>
      <c r="D21">
        <f>IF($C21=0,NA(),INDEX(iRatios!$F$13:$BN$20,iScatter_InOut!$D$17,iScatter_InOut!$A21))</f>
        <v>60</v>
      </c>
      <c r="E21">
        <f>IF($C21=0,NA(),INDEX(iRatios!$F$13:$BN$20,iScatter_InOut!$E$17,iScatter_InOut!$A21))</f>
        <v>63.8764642222547</v>
      </c>
      <c r="F21" t="b">
        <f t="shared" si="4"/>
        <v>1</v>
      </c>
      <c r="G21">
        <f t="shared" si="5"/>
        <v>60</v>
      </c>
      <c r="H21">
        <f t="shared" si="5"/>
        <v>63.8764642222547</v>
      </c>
      <c r="J21">
        <f t="shared" si="6"/>
        <v>67.2170344771386</v>
      </c>
      <c r="K21">
        <f t="shared" si="7"/>
        <v>-3.34057025488389</v>
      </c>
      <c r="M21" s="288" t="s">
        <v>376</v>
      </c>
      <c r="S21">
        <f t="shared" si="0"/>
        <v>0</v>
      </c>
      <c r="T21" t="e">
        <f t="shared" si="1"/>
        <v>#N/A</v>
      </c>
      <c r="U21" t="e">
        <f t="shared" si="1"/>
        <v>#N/A</v>
      </c>
      <c r="W21">
        <f t="shared" si="2"/>
        <v>60</v>
      </c>
      <c r="X21">
        <f t="shared" si="2"/>
        <v>63.8764642222547</v>
      </c>
      <c r="Z21" t="e">
        <f t="shared" si="3"/>
        <v>#N/A</v>
      </c>
      <c r="AA21" t="e">
        <f t="shared" si="3"/>
        <v>#N/A</v>
      </c>
    </row>
    <row r="22" spans="1:27">
      <c r="A22">
        <v>4</v>
      </c>
      <c r="B22" t="str">
        <f>tblTerritories!C6</f>
        <v>Bangkok</v>
      </c>
      <c r="C22">
        <f>IF(tblTerritories!F6="",0,tblTerritories!F6)</f>
        <v>1</v>
      </c>
      <c r="D22">
        <f>IF($C22=0,NA(),INDEX(iRatios!$F$13:$BN$20,iScatter_InOut!$D$17,iScatter_InOut!$A22))</f>
        <v>28.3333333333333</v>
      </c>
      <c r="E22">
        <f>IF($C22=0,NA(),INDEX(iRatios!$F$13:$BN$20,iScatter_InOut!$E$17,iScatter_InOut!$A22))</f>
        <v>60.5529125700813</v>
      </c>
      <c r="F22" t="b">
        <f t="shared" si="4"/>
        <v>1</v>
      </c>
      <c r="G22">
        <f t="shared" si="5"/>
        <v>28.3333333333333</v>
      </c>
      <c r="H22">
        <f t="shared" si="5"/>
        <v>60.5529125700813</v>
      </c>
      <c r="J22">
        <f t="shared" si="6"/>
        <v>59.6904723329317</v>
      </c>
      <c r="K22">
        <f t="shared" si="7"/>
        <v>0.862440237149613</v>
      </c>
      <c r="M22" t="s">
        <v>377</v>
      </c>
      <c r="N22" t="s">
        <v>373</v>
      </c>
      <c r="O22" s="289" t="s">
        <v>374</v>
      </c>
      <c r="P22" t="s">
        <v>344</v>
      </c>
      <c r="Q22" t="s">
        <v>345</v>
      </c>
      <c r="S22">
        <f t="shared" si="0"/>
        <v>0</v>
      </c>
      <c r="T22" t="e">
        <f t="shared" si="1"/>
        <v>#N/A</v>
      </c>
      <c r="U22" t="e">
        <f t="shared" si="1"/>
        <v>#N/A</v>
      </c>
      <c r="W22">
        <f t="shared" si="2"/>
        <v>28.3333333333333</v>
      </c>
      <c r="X22">
        <f t="shared" si="2"/>
        <v>60.5529125700813</v>
      </c>
      <c r="Z22" t="e">
        <f t="shared" si="3"/>
        <v>#N/A</v>
      </c>
      <c r="AA22" t="e">
        <f t="shared" si="3"/>
        <v>#N/A</v>
      </c>
    </row>
    <row r="23" spans="1:27">
      <c r="A23">
        <v>5</v>
      </c>
      <c r="B23" t="str">
        <f>tblTerritories!C7</f>
        <v>Barcelona</v>
      </c>
      <c r="C23">
        <f>IF(tblTerritories!F7="",0,tblTerritories!F7)</f>
        <v>1</v>
      </c>
      <c r="D23">
        <f>IF($C23=0,NA(),INDEX(iRatios!$F$13:$BN$20,iScatter_InOut!$D$17,iScatter_InOut!$A23))</f>
        <v>80</v>
      </c>
      <c r="E23">
        <f>IF($C23=0,NA(),INDEX(iRatios!$F$13:$BN$20,iScatter_InOut!$E$17,iScatter_InOut!$A23))</f>
        <v>68.8829344649958</v>
      </c>
      <c r="F23" t="b">
        <f t="shared" si="4"/>
        <v>1</v>
      </c>
      <c r="G23">
        <f t="shared" si="5"/>
        <v>80</v>
      </c>
      <c r="H23">
        <f t="shared" si="5"/>
        <v>68.8829344649958</v>
      </c>
      <c r="J23">
        <f t="shared" si="6"/>
        <v>71.9706526734797</v>
      </c>
      <c r="K23">
        <f t="shared" si="7"/>
        <v>-3.08771820848391</v>
      </c>
      <c r="M23">
        <f>MAX(K19:K79)</f>
        <v>21.3804264977019</v>
      </c>
      <c r="N23">
        <f>IF(B15,IF($B$5,MATCH(M23,K19:K79,0),0),0)</f>
        <v>0</v>
      </c>
      <c r="O23" t="e">
        <f>IF(AND($B$15,$B$5,N23&lt;&gt;N19),INDEX(B19:B79,$N23),NA())</f>
        <v>#N/A</v>
      </c>
      <c r="P23" t="e">
        <f>IF(AND($B$15,$B$5,N23&lt;&gt;N19),INDEX(G19:G79,$N23),NA())</f>
        <v>#N/A</v>
      </c>
      <c r="Q23" t="e">
        <f>IF(AND($B$15,$B$5,N23&lt;&gt;N19),INDEX(H19:H79,$N23),NA())</f>
        <v>#N/A</v>
      </c>
      <c r="S23">
        <f t="shared" si="0"/>
        <v>0</v>
      </c>
      <c r="T23" t="e">
        <f t="shared" si="1"/>
        <v>#N/A</v>
      </c>
      <c r="U23" t="e">
        <f t="shared" si="1"/>
        <v>#N/A</v>
      </c>
      <c r="W23">
        <f t="shared" si="2"/>
        <v>80</v>
      </c>
      <c r="X23">
        <f t="shared" si="2"/>
        <v>68.8829344649958</v>
      </c>
      <c r="Z23" t="e">
        <f t="shared" si="3"/>
        <v>#N/A</v>
      </c>
      <c r="AA23" t="e">
        <f t="shared" si="3"/>
        <v>#N/A</v>
      </c>
    </row>
    <row r="24" spans="1:27">
      <c r="A24">
        <v>6</v>
      </c>
      <c r="B24" t="str">
        <f>tblTerritories!C8</f>
        <v>Beijing</v>
      </c>
      <c r="C24">
        <f>IF(tblTerritories!F8="",0,tblTerritories!F8)</f>
        <v>1</v>
      </c>
      <c r="D24">
        <f>IF($C24=0,NA(),INDEX(iRatios!$F$13:$BN$20,iScatter_InOut!$D$17,iScatter_InOut!$A24))</f>
        <v>63.3333333333333</v>
      </c>
      <c r="E24">
        <f>IF($C24=0,NA(),INDEX(iRatios!$F$13:$BN$20,iScatter_InOut!$E$17,iScatter_InOut!$A24))</f>
        <v>67.4191728998378</v>
      </c>
      <c r="F24" t="b">
        <f t="shared" si="4"/>
        <v>1</v>
      </c>
      <c r="G24">
        <f t="shared" si="5"/>
        <v>63.3333333333333</v>
      </c>
      <c r="H24">
        <f t="shared" si="5"/>
        <v>67.4191728998378</v>
      </c>
      <c r="J24">
        <f t="shared" si="6"/>
        <v>68.0093041765288</v>
      </c>
      <c r="K24">
        <f t="shared" si="7"/>
        <v>-0.590131276690926</v>
      </c>
      <c r="S24">
        <f t="shared" si="0"/>
        <v>0</v>
      </c>
      <c r="T24" t="e">
        <f t="shared" si="1"/>
        <v>#N/A</v>
      </c>
      <c r="U24" t="e">
        <f t="shared" si="1"/>
        <v>#N/A</v>
      </c>
      <c r="W24">
        <f t="shared" si="2"/>
        <v>63.3333333333333</v>
      </c>
      <c r="X24">
        <f t="shared" si="2"/>
        <v>67.4191728998378</v>
      </c>
      <c r="Z24" t="e">
        <f t="shared" si="3"/>
        <v>#N/A</v>
      </c>
      <c r="AA24" t="e">
        <f t="shared" si="3"/>
        <v>#N/A</v>
      </c>
    </row>
    <row r="25" spans="1:27">
      <c r="A25">
        <v>7</v>
      </c>
      <c r="B25" t="str">
        <f>tblTerritories!C9</f>
        <v>Bogota</v>
      </c>
      <c r="C25">
        <f>IF(tblTerritories!F9="",0,tblTerritories!F9)</f>
        <v>1</v>
      </c>
      <c r="D25">
        <f>IF($C25=0,NA(),INDEX(iRatios!$F$13:$BN$20,iScatter_InOut!$D$17,iScatter_InOut!$A25))</f>
        <v>41.6666666666667</v>
      </c>
      <c r="E25">
        <f>IF($C25=0,NA(),INDEX(iRatios!$F$13:$BN$20,iScatter_InOut!$E$17,iScatter_InOut!$A25))</f>
        <v>67.5786932272712</v>
      </c>
      <c r="F25" t="b">
        <f t="shared" si="4"/>
        <v>1</v>
      </c>
      <c r="G25">
        <f t="shared" si="5"/>
        <v>41.6666666666667</v>
      </c>
      <c r="H25">
        <f t="shared" si="5"/>
        <v>67.5786932272712</v>
      </c>
      <c r="J25">
        <f t="shared" si="6"/>
        <v>62.8595511304925</v>
      </c>
      <c r="K25">
        <f t="shared" si="7"/>
        <v>4.71914209677866</v>
      </c>
      <c r="M25" s="288" t="s">
        <v>378</v>
      </c>
      <c r="O25" s="289"/>
      <c r="S25">
        <f t="shared" si="0"/>
        <v>0</v>
      </c>
      <c r="T25" t="e">
        <f t="shared" si="1"/>
        <v>#N/A</v>
      </c>
      <c r="U25" t="e">
        <f t="shared" si="1"/>
        <v>#N/A</v>
      </c>
      <c r="W25">
        <f t="shared" si="2"/>
        <v>41.6666666666667</v>
      </c>
      <c r="X25">
        <f t="shared" si="2"/>
        <v>67.5786932272712</v>
      </c>
      <c r="Z25" t="e">
        <f t="shared" si="3"/>
        <v>#N/A</v>
      </c>
      <c r="AA25" t="e">
        <f t="shared" si="3"/>
        <v>#N/A</v>
      </c>
    </row>
    <row r="26" spans="1:27">
      <c r="A26">
        <v>8</v>
      </c>
      <c r="B26" t="str">
        <f>tblTerritories!C10</f>
        <v>Brussels</v>
      </c>
      <c r="C26">
        <f>IF(tblTerritories!F10="",0,tblTerritories!F10)</f>
        <v>1</v>
      </c>
      <c r="D26">
        <f>IF($C26=0,NA(),INDEX(iRatios!$F$13:$BN$20,iScatter_InOut!$D$17,iScatter_InOut!$A26))</f>
        <v>80</v>
      </c>
      <c r="E26">
        <f>IF($C26=0,NA(),INDEX(iRatios!$F$13:$BN$20,iScatter_InOut!$E$17,iScatter_InOut!$A26))</f>
        <v>79.9263203149653</v>
      </c>
      <c r="F26" t="b">
        <f t="shared" si="4"/>
        <v>1</v>
      </c>
      <c r="G26">
        <f t="shared" si="5"/>
        <v>80</v>
      </c>
      <c r="H26">
        <f t="shared" si="5"/>
        <v>79.9263203149653</v>
      </c>
      <c r="J26">
        <f t="shared" si="6"/>
        <v>71.9706526734797</v>
      </c>
      <c r="K26">
        <f t="shared" si="7"/>
        <v>7.95566764148556</v>
      </c>
      <c r="M26" t="s">
        <v>377</v>
      </c>
      <c r="N26" t="s">
        <v>373</v>
      </c>
      <c r="O26" s="289" t="s">
        <v>374</v>
      </c>
      <c r="P26" t="s">
        <v>344</v>
      </c>
      <c r="Q26" t="s">
        <v>345</v>
      </c>
      <c r="S26">
        <f t="shared" si="0"/>
        <v>0</v>
      </c>
      <c r="T26" t="e">
        <f t="shared" si="1"/>
        <v>#N/A</v>
      </c>
      <c r="U26" t="e">
        <f t="shared" si="1"/>
        <v>#N/A</v>
      </c>
      <c r="W26">
        <f t="shared" si="2"/>
        <v>80</v>
      </c>
      <c r="X26">
        <f t="shared" si="2"/>
        <v>79.9263203149653</v>
      </c>
      <c r="Z26" t="e">
        <f t="shared" si="3"/>
        <v>#N/A</v>
      </c>
      <c r="AA26" t="e">
        <f t="shared" si="3"/>
        <v>#N/A</v>
      </c>
    </row>
    <row r="27" spans="1:27">
      <c r="A27">
        <v>9</v>
      </c>
      <c r="B27" t="str">
        <f>tblTerritories!C11</f>
        <v>Buenos Aires</v>
      </c>
      <c r="C27">
        <f>IF(tblTerritories!F11="",0,tblTerritories!F11)</f>
        <v>1</v>
      </c>
      <c r="D27">
        <f>IF($C27=0,NA(),INDEX(iRatios!$F$13:$BN$20,iScatter_InOut!$D$17,iScatter_InOut!$A27))</f>
        <v>66.6666666666667</v>
      </c>
      <c r="E27">
        <f>IF($C27=0,NA(),INDEX(iRatios!$F$13:$BN$20,iScatter_InOut!$E$17,iScatter_InOut!$A27))</f>
        <v>81.6193386466095</v>
      </c>
      <c r="F27" t="b">
        <f t="shared" si="4"/>
        <v>1</v>
      </c>
      <c r="G27">
        <f t="shared" si="5"/>
        <v>66.6666666666667</v>
      </c>
      <c r="H27">
        <f t="shared" si="5"/>
        <v>81.6193386466095</v>
      </c>
      <c r="J27">
        <f t="shared" si="6"/>
        <v>68.8015738759189</v>
      </c>
      <c r="K27">
        <f t="shared" si="7"/>
        <v>12.8177647706906</v>
      </c>
      <c r="M27">
        <f>MIN(K19:K79)</f>
        <v>-30.3301056717854</v>
      </c>
      <c r="N27">
        <f>IF(B15,IF($B$5,MATCH(M27,K19:K79,0),0),0)</f>
        <v>0</v>
      </c>
      <c r="O27" t="e">
        <f>IF(AND($B$15,$B$5,N27&lt;&gt;N19),INDEX(B19:B79,$N27),NA())</f>
        <v>#N/A</v>
      </c>
      <c r="P27" t="e">
        <f>IF(AND($B$5,$B$15,N27&lt;&gt;N19),INDEX(G19:G79,$N27),NA())</f>
        <v>#N/A</v>
      </c>
      <c r="Q27" t="e">
        <f>IF(AND($B$5,$B$15,N27&lt;&gt;N19),INDEX(H19:H79,$N27),NA())</f>
        <v>#N/A</v>
      </c>
      <c r="S27">
        <f t="shared" si="0"/>
        <v>0</v>
      </c>
      <c r="T27" t="e">
        <f t="shared" si="1"/>
        <v>#N/A</v>
      </c>
      <c r="U27" t="e">
        <f t="shared" si="1"/>
        <v>#N/A</v>
      </c>
      <c r="W27">
        <f t="shared" si="2"/>
        <v>66.6666666666667</v>
      </c>
      <c r="X27">
        <f t="shared" si="2"/>
        <v>81.6193386466095</v>
      </c>
      <c r="Z27" t="e">
        <f t="shared" si="3"/>
        <v>#N/A</v>
      </c>
      <c r="AA27" t="e">
        <f t="shared" si="3"/>
        <v>#N/A</v>
      </c>
    </row>
    <row r="28" spans="1:27">
      <c r="A28">
        <v>10</v>
      </c>
      <c r="B28" t="str">
        <f>tblTerritories!C12</f>
        <v>Cairo</v>
      </c>
      <c r="C28">
        <f>IF(tblTerritories!F12="",0,tblTerritories!F12)</f>
        <v>1</v>
      </c>
      <c r="D28">
        <f>IF($C28=0,NA(),INDEX(iRatios!$F$13:$BN$20,iScatter_InOut!$D$17,iScatter_InOut!$A28))</f>
        <v>26.6666666666667</v>
      </c>
      <c r="E28">
        <f>IF($C28=0,NA(),INDEX(iRatios!$F$13:$BN$20,iScatter_InOut!$E$17,iScatter_InOut!$A28))</f>
        <v>59.9197056318446</v>
      </c>
      <c r="F28" t="b">
        <f t="shared" si="4"/>
        <v>1</v>
      </c>
      <c r="G28">
        <f t="shared" si="5"/>
        <v>26.6666666666667</v>
      </c>
      <c r="H28">
        <f t="shared" si="5"/>
        <v>59.9197056318446</v>
      </c>
      <c r="J28">
        <f t="shared" si="6"/>
        <v>59.2943374832366</v>
      </c>
      <c r="K28">
        <f t="shared" si="7"/>
        <v>0.625368148608025</v>
      </c>
      <c r="S28">
        <f t="shared" si="0"/>
        <v>0</v>
      </c>
      <c r="T28" t="e">
        <f t="shared" si="1"/>
        <v>#N/A</v>
      </c>
      <c r="U28" t="e">
        <f t="shared" si="1"/>
        <v>#N/A</v>
      </c>
      <c r="W28">
        <f t="shared" si="2"/>
        <v>26.6666666666667</v>
      </c>
      <c r="X28">
        <f t="shared" si="2"/>
        <v>59.9197056318446</v>
      </c>
      <c r="Z28" t="e">
        <f t="shared" si="3"/>
        <v>#N/A</v>
      </c>
      <c r="AA28" t="e">
        <f t="shared" si="3"/>
        <v>#N/A</v>
      </c>
    </row>
    <row r="29" spans="1:27">
      <c r="A29">
        <v>11</v>
      </c>
      <c r="B29" t="str">
        <f>tblTerritories!C13</f>
        <v>Caracas</v>
      </c>
      <c r="C29">
        <f>IF(tblTerritories!F13="",0,tblTerritories!F13)</f>
        <v>1</v>
      </c>
      <c r="D29">
        <f>IF($C29=0,NA(),INDEX(iRatios!$F$13:$BN$20,iScatter_InOut!$D$17,iScatter_InOut!$A29))</f>
        <v>46.6666666666667</v>
      </c>
      <c r="E29">
        <f>IF($C29=0,NA(),INDEX(iRatios!$F$13:$BN$20,iScatter_InOut!$E$17,iScatter_InOut!$A29))</f>
        <v>70.1064630550185</v>
      </c>
      <c r="F29" t="b">
        <f t="shared" si="4"/>
        <v>1</v>
      </c>
      <c r="G29">
        <f t="shared" si="5"/>
        <v>46.6666666666667</v>
      </c>
      <c r="H29">
        <f t="shared" si="5"/>
        <v>70.1064630550185</v>
      </c>
      <c r="J29">
        <f t="shared" si="6"/>
        <v>64.0479556795778</v>
      </c>
      <c r="K29">
        <f t="shared" si="7"/>
        <v>6.05850737544074</v>
      </c>
      <c r="S29">
        <f t="shared" si="0"/>
        <v>0</v>
      </c>
      <c r="T29" t="e">
        <f t="shared" si="1"/>
        <v>#N/A</v>
      </c>
      <c r="U29" t="e">
        <f t="shared" si="1"/>
        <v>#N/A</v>
      </c>
      <c r="W29">
        <f t="shared" si="2"/>
        <v>46.6666666666667</v>
      </c>
      <c r="X29">
        <f t="shared" si="2"/>
        <v>70.1064630550185</v>
      </c>
      <c r="Z29" t="e">
        <f t="shared" si="3"/>
        <v>#N/A</v>
      </c>
      <c r="AA29" t="e">
        <f t="shared" si="3"/>
        <v>#N/A</v>
      </c>
    </row>
    <row r="30" spans="1:27">
      <c r="A30">
        <v>12</v>
      </c>
      <c r="B30" t="str">
        <f>tblTerritories!C14</f>
        <v>Casablanca</v>
      </c>
      <c r="C30">
        <f>IF(tblTerritories!F14="",0,tblTerritories!F14)</f>
        <v>1</v>
      </c>
      <c r="D30">
        <f>IF($C30=0,NA(),INDEX(iRatios!$F$13:$BN$20,iScatter_InOut!$D$17,iScatter_InOut!$A30))</f>
        <v>46.6666666666667</v>
      </c>
      <c r="E30">
        <f>IF($C30=0,NA(),INDEX(iRatios!$F$13:$BN$20,iScatter_InOut!$E$17,iScatter_InOut!$A30))</f>
        <v>68.077889952751</v>
      </c>
      <c r="F30" t="b">
        <f t="shared" si="4"/>
        <v>1</v>
      </c>
      <c r="G30">
        <f t="shared" si="5"/>
        <v>46.6666666666667</v>
      </c>
      <c r="H30">
        <f t="shared" si="5"/>
        <v>68.077889952751</v>
      </c>
      <c r="J30">
        <f t="shared" si="6"/>
        <v>64.0479556795778</v>
      </c>
      <c r="K30">
        <f t="shared" si="7"/>
        <v>4.02993427317315</v>
      </c>
      <c r="S30">
        <f t="shared" si="0"/>
        <v>0</v>
      </c>
      <c r="T30" t="e">
        <f t="shared" si="1"/>
        <v>#N/A</v>
      </c>
      <c r="U30" t="e">
        <f t="shared" si="1"/>
        <v>#N/A</v>
      </c>
      <c r="W30">
        <f t="shared" si="2"/>
        <v>46.6666666666667</v>
      </c>
      <c r="X30">
        <f t="shared" si="2"/>
        <v>68.077889952751</v>
      </c>
      <c r="Z30" t="e">
        <f t="shared" si="3"/>
        <v>#N/A</v>
      </c>
      <c r="AA30" t="e">
        <f t="shared" si="3"/>
        <v>#N/A</v>
      </c>
    </row>
    <row r="31" spans="1:27">
      <c r="A31">
        <v>13</v>
      </c>
      <c r="B31" t="str">
        <f>tblTerritories!C15</f>
        <v>Chicago</v>
      </c>
      <c r="C31">
        <f>IF(tblTerritories!F15="",0,tblTerritories!F15)</f>
        <v>1</v>
      </c>
      <c r="D31">
        <f>IF($C31=0,NA(),INDEX(iRatios!$F$13:$BN$20,iScatter_InOut!$D$17,iScatter_InOut!$A31))</f>
        <v>100</v>
      </c>
      <c r="E31">
        <f>IF($C31=0,NA(),INDEX(iRatios!$F$13:$BN$20,iScatter_InOut!$E$17,iScatter_InOut!$A31))</f>
        <v>73.5008949775786</v>
      </c>
      <c r="F31" t="b">
        <f t="shared" si="4"/>
        <v>1</v>
      </c>
      <c r="G31">
        <f t="shared" si="5"/>
        <v>100</v>
      </c>
      <c r="H31">
        <f t="shared" si="5"/>
        <v>73.5008949775786</v>
      </c>
      <c r="J31">
        <f t="shared" si="6"/>
        <v>76.7242708698209</v>
      </c>
      <c r="K31">
        <f t="shared" si="7"/>
        <v>-3.2233758922423</v>
      </c>
      <c r="S31">
        <f t="shared" si="0"/>
        <v>0</v>
      </c>
      <c r="T31" t="e">
        <f t="shared" si="1"/>
        <v>#N/A</v>
      </c>
      <c r="U31" t="e">
        <f t="shared" si="1"/>
        <v>#N/A</v>
      </c>
      <c r="W31">
        <f t="shared" si="2"/>
        <v>100</v>
      </c>
      <c r="X31">
        <f t="shared" si="2"/>
        <v>73.5008949775786</v>
      </c>
      <c r="Z31" t="e">
        <f t="shared" si="3"/>
        <v>#N/A</v>
      </c>
      <c r="AA31" t="e">
        <f t="shared" si="3"/>
        <v>#N/A</v>
      </c>
    </row>
    <row r="32" spans="1:27">
      <c r="A32">
        <v>14</v>
      </c>
      <c r="B32" t="str">
        <f>tblTerritories!C16</f>
        <v>Dallas</v>
      </c>
      <c r="C32">
        <f>IF(tblTerritories!F16="",0,tblTerritories!F16)</f>
        <v>1</v>
      </c>
      <c r="D32">
        <f>IF($C32=0,NA(),INDEX(iRatios!$F$13:$BN$20,iScatter_InOut!$D$17,iScatter_InOut!$A32))</f>
        <v>100</v>
      </c>
      <c r="E32">
        <f>IF($C32=0,NA(),INDEX(iRatios!$F$13:$BN$20,iScatter_InOut!$E$17,iScatter_InOut!$A32))</f>
        <v>69.3075699885384</v>
      </c>
      <c r="F32" t="b">
        <f t="shared" si="4"/>
        <v>1</v>
      </c>
      <c r="G32">
        <f t="shared" si="5"/>
        <v>100</v>
      </c>
      <c r="H32">
        <f t="shared" si="5"/>
        <v>69.3075699885384</v>
      </c>
      <c r="J32">
        <f t="shared" si="6"/>
        <v>76.7242708698209</v>
      </c>
      <c r="K32">
        <f t="shared" si="7"/>
        <v>-7.41670088128248</v>
      </c>
      <c r="S32">
        <f t="shared" si="0"/>
        <v>0</v>
      </c>
      <c r="T32" t="e">
        <f t="shared" si="1"/>
        <v>#N/A</v>
      </c>
      <c r="U32" t="e">
        <f t="shared" si="1"/>
        <v>#N/A</v>
      </c>
      <c r="W32">
        <f t="shared" si="2"/>
        <v>100</v>
      </c>
      <c r="X32">
        <f t="shared" si="2"/>
        <v>69.3075699885384</v>
      </c>
      <c r="Z32" t="e">
        <f t="shared" si="3"/>
        <v>#N/A</v>
      </c>
      <c r="AA32" t="e">
        <f t="shared" si="3"/>
        <v>#N/A</v>
      </c>
    </row>
    <row r="33" spans="1:27">
      <c r="A33">
        <v>15</v>
      </c>
      <c r="B33" t="str">
        <f>tblTerritories!C17</f>
        <v>Delhi</v>
      </c>
      <c r="C33">
        <f>IF(tblTerritories!F17="",0,tblTerritories!F17)</f>
        <v>1</v>
      </c>
      <c r="D33">
        <f>IF($C33=0,NA(),INDEX(iRatios!$F$13:$BN$20,iScatter_InOut!$D$17,iScatter_InOut!$A33))</f>
        <v>63.3333333333333</v>
      </c>
      <c r="E33">
        <f>IF($C33=0,NA(),INDEX(iRatios!$F$13:$BN$20,iScatter_InOut!$E$17,iScatter_InOut!$A33))</f>
        <v>45.8778432177515</v>
      </c>
      <c r="F33" t="b">
        <f t="shared" si="4"/>
        <v>1</v>
      </c>
      <c r="G33">
        <f t="shared" si="5"/>
        <v>63.3333333333333</v>
      </c>
      <c r="H33">
        <f t="shared" si="5"/>
        <v>45.8778432177515</v>
      </c>
      <c r="J33">
        <f t="shared" si="6"/>
        <v>68.0093041765288</v>
      </c>
      <c r="K33">
        <f t="shared" si="7"/>
        <v>-22.1314609587772</v>
      </c>
      <c r="S33">
        <f t="shared" si="0"/>
        <v>0</v>
      </c>
      <c r="T33" t="e">
        <f t="shared" si="1"/>
        <v>#N/A</v>
      </c>
      <c r="U33" t="e">
        <f t="shared" si="1"/>
        <v>#N/A</v>
      </c>
      <c r="W33">
        <f t="shared" si="2"/>
        <v>63.3333333333333</v>
      </c>
      <c r="X33">
        <f t="shared" si="2"/>
        <v>45.8778432177515</v>
      </c>
      <c r="Z33" t="e">
        <f t="shared" si="3"/>
        <v>#N/A</v>
      </c>
      <c r="AA33" t="e">
        <f t="shared" si="3"/>
        <v>#N/A</v>
      </c>
    </row>
    <row r="34" spans="1:27">
      <c r="A34">
        <v>16</v>
      </c>
      <c r="B34" t="str">
        <f>tblTerritories!C18</f>
        <v>Dhaka</v>
      </c>
      <c r="C34">
        <f>IF(tblTerritories!F18="",0,tblTerritories!F18)</f>
        <v>1</v>
      </c>
      <c r="D34">
        <f>IF($C34=0,NA(),INDEX(iRatios!$F$13:$BN$20,iScatter_InOut!$D$17,iScatter_InOut!$A34))</f>
        <v>26.6666666666667</v>
      </c>
      <c r="E34">
        <f>IF($C34=0,NA(),INDEX(iRatios!$F$13:$BN$20,iScatter_InOut!$E$17,iScatter_InOut!$A34))</f>
        <v>50</v>
      </c>
      <c r="F34" t="b">
        <f t="shared" si="4"/>
        <v>1</v>
      </c>
      <c r="G34">
        <f t="shared" si="5"/>
        <v>26.6666666666667</v>
      </c>
      <c r="H34">
        <f t="shared" si="5"/>
        <v>50</v>
      </c>
      <c r="J34">
        <f t="shared" si="6"/>
        <v>59.2943374832366</v>
      </c>
      <c r="K34">
        <f t="shared" si="7"/>
        <v>-9.29433748323663</v>
      </c>
      <c r="S34">
        <f t="shared" si="0"/>
        <v>0</v>
      </c>
      <c r="T34" t="e">
        <f t="shared" si="1"/>
        <v>#N/A</v>
      </c>
      <c r="U34" t="e">
        <f t="shared" si="1"/>
        <v>#N/A</v>
      </c>
      <c r="W34">
        <f t="shared" si="2"/>
        <v>26.6666666666667</v>
      </c>
      <c r="X34">
        <f t="shared" si="2"/>
        <v>50</v>
      </c>
      <c r="Z34" t="e">
        <f t="shared" si="3"/>
        <v>#N/A</v>
      </c>
      <c r="AA34" t="e">
        <f t="shared" si="3"/>
        <v>#N/A</v>
      </c>
    </row>
    <row r="35" spans="1:27">
      <c r="A35">
        <v>17</v>
      </c>
      <c r="B35" t="str">
        <f>tblTerritories!C19</f>
        <v>Doha</v>
      </c>
      <c r="C35">
        <f>IF(tblTerritories!F19="",0,tblTerritories!F19)</f>
        <v>1</v>
      </c>
      <c r="D35">
        <f>IF($C35=0,NA(),INDEX(iRatios!$F$13:$BN$20,iScatter_InOut!$D$17,iScatter_InOut!$A35))</f>
        <v>58.3333333333333</v>
      </c>
      <c r="E35">
        <f>IF($C35=0,NA(),INDEX(iRatios!$F$13:$BN$20,iScatter_InOut!$E$17,iScatter_InOut!$A35))</f>
        <v>69.7034285143048</v>
      </c>
      <c r="F35" t="b">
        <f t="shared" si="4"/>
        <v>1</v>
      </c>
      <c r="G35">
        <f t="shared" si="5"/>
        <v>58.3333333333333</v>
      </c>
      <c r="H35">
        <f t="shared" si="5"/>
        <v>69.7034285143048</v>
      </c>
      <c r="J35">
        <f t="shared" si="6"/>
        <v>66.8208996274435</v>
      </c>
      <c r="K35">
        <f t="shared" si="7"/>
        <v>2.88252888686132</v>
      </c>
      <c r="S35">
        <f t="shared" si="0"/>
        <v>0</v>
      </c>
      <c r="T35" t="e">
        <f t="shared" ref="T35:U79" si="8">IF($S35=0,NA(),G35)</f>
        <v>#N/A</v>
      </c>
      <c r="U35" t="e">
        <f t="shared" si="8"/>
        <v>#N/A</v>
      </c>
      <c r="W35">
        <f t="shared" ref="W35:X79" si="9">IF(AND($C35&gt;0,$F35),G35,NA())</f>
        <v>58.3333333333333</v>
      </c>
      <c r="X35">
        <f t="shared" si="9"/>
        <v>69.7034285143048</v>
      </c>
      <c r="Z35" t="e">
        <f t="shared" ref="Z35:AA79" si="10">IF(AND($C35=2,$F35),G35,NA())</f>
        <v>#N/A</v>
      </c>
      <c r="AA35" t="e">
        <f t="shared" si="10"/>
        <v>#N/A</v>
      </c>
    </row>
    <row r="36" spans="1:27">
      <c r="A36">
        <v>18</v>
      </c>
      <c r="B36" t="str">
        <f>tblTerritories!C20</f>
        <v>Frankfurt</v>
      </c>
      <c r="C36">
        <f>IF(tblTerritories!F20="",0,tblTerritories!F20)</f>
        <v>1</v>
      </c>
      <c r="D36">
        <f>IF($C36=0,NA(),INDEX(iRatios!$F$13:$BN$20,iScatter_InOut!$D$17,iScatter_InOut!$A36))</f>
        <v>80</v>
      </c>
      <c r="E36">
        <f>IF($C36=0,NA(),INDEX(iRatios!$F$13:$BN$20,iScatter_InOut!$E$17,iScatter_InOut!$A36))</f>
        <v>81.0008704326114</v>
      </c>
      <c r="F36" t="b">
        <f t="shared" si="4"/>
        <v>1</v>
      </c>
      <c r="G36">
        <f t="shared" ref="G36:H79" si="11">IF($F36,D36,"")</f>
        <v>80</v>
      </c>
      <c r="H36">
        <f t="shared" si="11"/>
        <v>81.0008704326114</v>
      </c>
      <c r="J36">
        <f t="shared" si="6"/>
        <v>71.9706526734797</v>
      </c>
      <c r="K36">
        <f t="shared" si="7"/>
        <v>9.03021775913162</v>
      </c>
      <c r="S36">
        <f t="shared" si="0"/>
        <v>0</v>
      </c>
      <c r="T36" t="e">
        <f t="shared" si="8"/>
        <v>#N/A</v>
      </c>
      <c r="U36" t="e">
        <f t="shared" si="8"/>
        <v>#N/A</v>
      </c>
      <c r="W36">
        <f t="shared" si="9"/>
        <v>80</v>
      </c>
      <c r="X36">
        <f t="shared" si="9"/>
        <v>81.0008704326114</v>
      </c>
      <c r="Z36" t="e">
        <f t="shared" si="10"/>
        <v>#N/A</v>
      </c>
      <c r="AA36" t="e">
        <f t="shared" si="10"/>
        <v>#N/A</v>
      </c>
    </row>
    <row r="37" spans="1:27">
      <c r="A37">
        <v>19</v>
      </c>
      <c r="B37" t="str">
        <f>tblTerritories!C21</f>
        <v>Ho Chi Minh City</v>
      </c>
      <c r="C37">
        <f>IF(tblTerritories!F21="",0,tblTerritories!F21)</f>
        <v>1</v>
      </c>
      <c r="D37">
        <f>IF($C37=0,NA(),INDEX(iRatios!$F$13:$BN$20,iScatter_InOut!$D$17,iScatter_InOut!$A37))</f>
        <v>21.6666666666667</v>
      </c>
      <c r="E37">
        <f>IF($C37=0,NA(),INDEX(iRatios!$F$13:$BN$20,iScatter_InOut!$E$17,iScatter_InOut!$A37))</f>
        <v>57.8977993515404</v>
      </c>
      <c r="F37" t="b">
        <f t="shared" si="4"/>
        <v>1</v>
      </c>
      <c r="G37">
        <f t="shared" si="11"/>
        <v>21.6666666666667</v>
      </c>
      <c r="H37">
        <f t="shared" si="11"/>
        <v>57.8977993515404</v>
      </c>
      <c r="J37">
        <f t="shared" si="6"/>
        <v>58.1059329341513</v>
      </c>
      <c r="K37">
        <f t="shared" si="7"/>
        <v>-0.208133582610934</v>
      </c>
      <c r="S37">
        <f t="shared" si="0"/>
        <v>0</v>
      </c>
      <c r="T37" t="e">
        <f t="shared" si="8"/>
        <v>#N/A</v>
      </c>
      <c r="U37" t="e">
        <f t="shared" si="8"/>
        <v>#N/A</v>
      </c>
      <c r="W37">
        <f t="shared" si="9"/>
        <v>21.6666666666667</v>
      </c>
      <c r="X37">
        <f t="shared" si="9"/>
        <v>57.8977993515404</v>
      </c>
      <c r="Z37" t="e">
        <f t="shared" si="10"/>
        <v>#N/A</v>
      </c>
      <c r="AA37" t="e">
        <f t="shared" si="10"/>
        <v>#N/A</v>
      </c>
    </row>
    <row r="38" spans="1:27">
      <c r="A38">
        <v>20</v>
      </c>
      <c r="B38" t="str">
        <f>tblTerritories!C22</f>
        <v>Hong Kong</v>
      </c>
      <c r="C38">
        <f>IF(tblTerritories!F22="",0,tblTerritories!F22)</f>
        <v>1</v>
      </c>
      <c r="D38">
        <f>IF($C38=0,NA(),INDEX(iRatios!$F$13:$BN$20,iScatter_InOut!$D$17,iScatter_InOut!$A38))</f>
        <v>100</v>
      </c>
      <c r="E38">
        <f>IF($C38=0,NA(),INDEX(iRatios!$F$13:$BN$20,iScatter_InOut!$E$17,iScatter_InOut!$A38))</f>
        <v>71.5487041835432</v>
      </c>
      <c r="F38" t="b">
        <f t="shared" si="4"/>
        <v>1</v>
      </c>
      <c r="G38">
        <f t="shared" si="11"/>
        <v>100</v>
      </c>
      <c r="H38">
        <f t="shared" si="11"/>
        <v>71.5487041835432</v>
      </c>
      <c r="J38">
        <f t="shared" si="6"/>
        <v>76.7242708698209</v>
      </c>
      <c r="K38">
        <f t="shared" si="7"/>
        <v>-5.1755666862777</v>
      </c>
      <c r="S38">
        <f t="shared" si="0"/>
        <v>0</v>
      </c>
      <c r="T38" t="e">
        <f t="shared" si="8"/>
        <v>#N/A</v>
      </c>
      <c r="U38" t="e">
        <f t="shared" si="8"/>
        <v>#N/A</v>
      </c>
      <c r="W38">
        <f t="shared" si="9"/>
        <v>100</v>
      </c>
      <c r="X38">
        <f t="shared" si="9"/>
        <v>71.5487041835432</v>
      </c>
      <c r="Z38" t="e">
        <f t="shared" si="10"/>
        <v>#N/A</v>
      </c>
      <c r="AA38" t="e">
        <f t="shared" si="10"/>
        <v>#N/A</v>
      </c>
    </row>
    <row r="39" spans="1:27">
      <c r="A39">
        <v>21</v>
      </c>
      <c r="B39" t="str">
        <f>tblTerritories!C23</f>
        <v>Istanbul</v>
      </c>
      <c r="C39">
        <f>IF(tblTerritories!F23="",0,tblTerritories!F23)</f>
        <v>1</v>
      </c>
      <c r="D39">
        <f>IF($C39=0,NA(),INDEX(iRatios!$F$13:$BN$20,iScatter_InOut!$D$17,iScatter_InOut!$A39))</f>
        <v>60</v>
      </c>
      <c r="E39">
        <f>IF($C39=0,NA(),INDEX(iRatios!$F$13:$BN$20,iScatter_InOut!$E$17,iScatter_InOut!$A39))</f>
        <v>63.4129117309004</v>
      </c>
      <c r="F39" t="b">
        <f t="shared" si="4"/>
        <v>1</v>
      </c>
      <c r="G39">
        <f t="shared" si="11"/>
        <v>60</v>
      </c>
      <c r="H39">
        <f t="shared" si="11"/>
        <v>63.4129117309004</v>
      </c>
      <c r="J39">
        <f t="shared" si="6"/>
        <v>67.2170344771386</v>
      </c>
      <c r="K39">
        <f t="shared" si="7"/>
        <v>-3.80412274623815</v>
      </c>
      <c r="S39">
        <f t="shared" si="0"/>
        <v>0</v>
      </c>
      <c r="T39" t="e">
        <f t="shared" si="8"/>
        <v>#N/A</v>
      </c>
      <c r="U39" t="e">
        <f t="shared" si="8"/>
        <v>#N/A</v>
      </c>
      <c r="W39">
        <f t="shared" si="9"/>
        <v>60</v>
      </c>
      <c r="X39">
        <f t="shared" si="9"/>
        <v>63.4129117309004</v>
      </c>
      <c r="Z39" t="e">
        <f t="shared" si="10"/>
        <v>#N/A</v>
      </c>
      <c r="AA39" t="e">
        <f t="shared" si="10"/>
        <v>#N/A</v>
      </c>
    </row>
    <row r="40" spans="1:27">
      <c r="A40">
        <v>22</v>
      </c>
      <c r="B40" t="str">
        <f>tblTerritories!C24</f>
        <v>Jakarta</v>
      </c>
      <c r="C40">
        <f>IF(tblTerritories!F24="",0,tblTerritories!F24)</f>
        <v>1</v>
      </c>
      <c r="D40">
        <f>IF($C40=0,NA(),INDEX(iRatios!$F$13:$BN$20,iScatter_InOut!$D$17,iScatter_InOut!$A40))</f>
        <v>28.3333333333333</v>
      </c>
      <c r="E40">
        <f>IF($C40=0,NA(),INDEX(iRatios!$F$13:$BN$20,iScatter_InOut!$E$17,iScatter_InOut!$A40))</f>
        <v>44.8756478841065</v>
      </c>
      <c r="F40" t="b">
        <f t="shared" si="4"/>
        <v>1</v>
      </c>
      <c r="G40">
        <f t="shared" si="11"/>
        <v>28.3333333333333</v>
      </c>
      <c r="H40">
        <f t="shared" si="11"/>
        <v>44.8756478841065</v>
      </c>
      <c r="J40">
        <f t="shared" si="6"/>
        <v>59.6904723329317</v>
      </c>
      <c r="K40">
        <f t="shared" si="7"/>
        <v>-14.8148244488252</v>
      </c>
      <c r="S40">
        <f t="shared" si="0"/>
        <v>0</v>
      </c>
      <c r="T40" t="e">
        <f t="shared" si="8"/>
        <v>#N/A</v>
      </c>
      <c r="U40" t="e">
        <f t="shared" si="8"/>
        <v>#N/A</v>
      </c>
      <c r="W40">
        <f t="shared" si="9"/>
        <v>28.3333333333333</v>
      </c>
      <c r="X40">
        <f t="shared" si="9"/>
        <v>44.8756478841065</v>
      </c>
      <c r="Z40" t="e">
        <f t="shared" si="10"/>
        <v>#N/A</v>
      </c>
      <c r="AA40" t="e">
        <f t="shared" si="10"/>
        <v>#N/A</v>
      </c>
    </row>
    <row r="41" spans="1:27">
      <c r="A41">
        <v>23</v>
      </c>
      <c r="B41" t="str">
        <f>tblTerritories!C25</f>
        <v>Jeddah</v>
      </c>
      <c r="C41">
        <f>IF(tblTerritories!F25="",0,tblTerritories!F25)</f>
        <v>1</v>
      </c>
      <c r="D41">
        <f>IF($C41=0,NA(),INDEX(iRatios!$F$13:$BN$20,iScatter_InOut!$D$17,iScatter_InOut!$A41))</f>
        <v>58.3333333333333</v>
      </c>
      <c r="E41">
        <f>IF($C41=0,NA(),INDEX(iRatios!$F$13:$BN$20,iScatter_InOut!$E$17,iScatter_InOut!$A41))</f>
        <v>73.3878405441158</v>
      </c>
      <c r="F41" t="b">
        <f t="shared" si="4"/>
        <v>1</v>
      </c>
      <c r="G41">
        <f t="shared" si="11"/>
        <v>58.3333333333333</v>
      </c>
      <c r="H41">
        <f t="shared" si="11"/>
        <v>73.3878405441158</v>
      </c>
      <c r="J41">
        <f t="shared" si="6"/>
        <v>66.8208996274435</v>
      </c>
      <c r="K41">
        <f t="shared" si="7"/>
        <v>6.56694091667238</v>
      </c>
      <c r="S41">
        <f t="shared" si="0"/>
        <v>0</v>
      </c>
      <c r="T41" t="e">
        <f t="shared" si="8"/>
        <v>#N/A</v>
      </c>
      <c r="U41" t="e">
        <f t="shared" si="8"/>
        <v>#N/A</v>
      </c>
      <c r="W41">
        <f t="shared" si="9"/>
        <v>58.3333333333333</v>
      </c>
      <c r="X41">
        <f t="shared" si="9"/>
        <v>73.3878405441158</v>
      </c>
      <c r="Z41" t="e">
        <f t="shared" si="10"/>
        <v>#N/A</v>
      </c>
      <c r="AA41" t="e">
        <f t="shared" si="10"/>
        <v>#N/A</v>
      </c>
    </row>
    <row r="42" spans="1:27">
      <c r="A42">
        <v>24</v>
      </c>
      <c r="B42" t="str">
        <f>tblTerritories!C26</f>
        <v>Johannesburg</v>
      </c>
      <c r="C42">
        <f>IF(tblTerritories!F26="",0,tblTerritories!F26)</f>
        <v>1</v>
      </c>
      <c r="D42">
        <f>IF($C42=0,NA(),INDEX(iRatios!$F$13:$BN$20,iScatter_InOut!$D$17,iScatter_InOut!$A42))</f>
        <v>58.3333333333333</v>
      </c>
      <c r="E42">
        <f>IF($C42=0,NA(),INDEX(iRatios!$F$13:$BN$20,iScatter_InOut!$E$17,iScatter_InOut!$A42))</f>
        <v>74.2225000966826</v>
      </c>
      <c r="F42" t="b">
        <f t="shared" si="4"/>
        <v>1</v>
      </c>
      <c r="G42">
        <f t="shared" si="11"/>
        <v>58.3333333333333</v>
      </c>
      <c r="H42">
        <f t="shared" si="11"/>
        <v>74.2225000966826</v>
      </c>
      <c r="J42">
        <f t="shared" si="6"/>
        <v>66.8208996274435</v>
      </c>
      <c r="K42">
        <f t="shared" si="7"/>
        <v>7.4016004692391</v>
      </c>
      <c r="S42">
        <f t="shared" si="0"/>
        <v>0</v>
      </c>
      <c r="T42" t="e">
        <f t="shared" si="8"/>
        <v>#N/A</v>
      </c>
      <c r="U42" t="e">
        <f t="shared" si="8"/>
        <v>#N/A</v>
      </c>
      <c r="W42">
        <f t="shared" si="9"/>
        <v>58.3333333333333</v>
      </c>
      <c r="X42">
        <f t="shared" si="9"/>
        <v>74.2225000966826</v>
      </c>
      <c r="Z42" t="e">
        <f t="shared" si="10"/>
        <v>#N/A</v>
      </c>
      <c r="AA42" t="e">
        <f t="shared" si="10"/>
        <v>#N/A</v>
      </c>
    </row>
    <row r="43" spans="1:27">
      <c r="A43">
        <v>25</v>
      </c>
      <c r="B43" t="str">
        <f>tblTerritories!C27</f>
        <v>Karachi</v>
      </c>
      <c r="C43">
        <f>IF(tblTerritories!F27="",0,tblTerritories!F27)</f>
        <v>1</v>
      </c>
      <c r="D43">
        <f>IF($C43=0,NA(),INDEX(iRatios!$F$13:$BN$20,iScatter_InOut!$D$17,iScatter_InOut!$A43))</f>
        <v>35</v>
      </c>
      <c r="E43">
        <f>IF($C43=0,NA(),INDEX(iRatios!$F$13:$BN$20,iScatter_InOut!$E$17,iScatter_InOut!$A43))</f>
        <v>51.4351193956541</v>
      </c>
      <c r="F43" t="b">
        <f t="shared" si="4"/>
        <v>1</v>
      </c>
      <c r="G43">
        <f t="shared" si="11"/>
        <v>35</v>
      </c>
      <c r="H43">
        <f t="shared" si="11"/>
        <v>51.4351193956541</v>
      </c>
      <c r="J43">
        <f t="shared" si="6"/>
        <v>61.2750117317121</v>
      </c>
      <c r="K43">
        <f t="shared" si="7"/>
        <v>-9.839892336058</v>
      </c>
      <c r="S43">
        <f t="shared" si="0"/>
        <v>0</v>
      </c>
      <c r="T43" t="e">
        <f t="shared" si="8"/>
        <v>#N/A</v>
      </c>
      <c r="U43" t="e">
        <f t="shared" si="8"/>
        <v>#N/A</v>
      </c>
      <c r="W43">
        <f t="shared" si="9"/>
        <v>35</v>
      </c>
      <c r="X43">
        <f t="shared" si="9"/>
        <v>51.4351193956541</v>
      </c>
      <c r="Z43" t="e">
        <f t="shared" si="10"/>
        <v>#N/A</v>
      </c>
      <c r="AA43" t="e">
        <f t="shared" si="10"/>
        <v>#N/A</v>
      </c>
    </row>
    <row r="44" spans="1:27">
      <c r="A44">
        <v>26</v>
      </c>
      <c r="B44" t="str">
        <f>tblTerritories!C28</f>
        <v>Kuala Lumpur</v>
      </c>
      <c r="C44">
        <f>IF(tblTerritories!F28="",0,tblTerritories!F28)</f>
        <v>1</v>
      </c>
      <c r="D44">
        <f>IF($C44=0,NA(),INDEX(iRatios!$F$13:$BN$20,iScatter_InOut!$D$17,iScatter_InOut!$A44))</f>
        <v>58.3333333333333</v>
      </c>
      <c r="E44">
        <f>IF($C44=0,NA(),INDEX(iRatios!$F$13:$BN$20,iScatter_InOut!$E$17,iScatter_InOut!$A44))</f>
        <v>74.0010961144802</v>
      </c>
      <c r="F44" t="b">
        <f t="shared" si="4"/>
        <v>1</v>
      </c>
      <c r="G44">
        <f t="shared" si="11"/>
        <v>58.3333333333333</v>
      </c>
      <c r="H44">
        <f t="shared" si="11"/>
        <v>74.0010961144802</v>
      </c>
      <c r="J44">
        <f t="shared" si="6"/>
        <v>66.8208996274435</v>
      </c>
      <c r="K44">
        <f t="shared" si="7"/>
        <v>7.18019648703671</v>
      </c>
      <c r="S44">
        <f t="shared" si="0"/>
        <v>0</v>
      </c>
      <c r="T44" t="e">
        <f t="shared" si="8"/>
        <v>#N/A</v>
      </c>
      <c r="U44" t="e">
        <f t="shared" si="8"/>
        <v>#N/A</v>
      </c>
      <c r="W44">
        <f t="shared" si="9"/>
        <v>58.3333333333333</v>
      </c>
      <c r="X44">
        <f t="shared" si="9"/>
        <v>74.0010961144802</v>
      </c>
      <c r="Z44" t="e">
        <f t="shared" si="10"/>
        <v>#N/A</v>
      </c>
      <c r="AA44" t="e">
        <f t="shared" si="10"/>
        <v>#N/A</v>
      </c>
    </row>
    <row r="45" spans="1:27">
      <c r="A45">
        <v>27</v>
      </c>
      <c r="B45" t="str">
        <f>tblTerritories!C29</f>
        <v>Kuwait City</v>
      </c>
      <c r="C45">
        <f>IF(tblTerritories!F29="",0,tblTerritories!F29)</f>
        <v>1</v>
      </c>
      <c r="D45">
        <f>IF($C45=0,NA(),INDEX(iRatios!$F$13:$BN$20,iScatter_InOut!$D$17,iScatter_InOut!$A45))</f>
        <v>41.6666666666667</v>
      </c>
      <c r="E45">
        <f>IF($C45=0,NA(),INDEX(iRatios!$F$13:$BN$20,iScatter_InOut!$E$17,iScatter_InOut!$A45))</f>
        <v>78.6667195122139</v>
      </c>
      <c r="F45" t="b">
        <f t="shared" si="4"/>
        <v>1</v>
      </c>
      <c r="G45">
        <f t="shared" si="11"/>
        <v>41.6666666666667</v>
      </c>
      <c r="H45">
        <f t="shared" si="11"/>
        <v>78.6667195122139</v>
      </c>
      <c r="J45">
        <f t="shared" si="6"/>
        <v>62.8595511304925</v>
      </c>
      <c r="K45">
        <f t="shared" si="7"/>
        <v>15.8071683817214</v>
      </c>
      <c r="S45">
        <f t="shared" si="0"/>
        <v>0</v>
      </c>
      <c r="T45" t="e">
        <f t="shared" si="8"/>
        <v>#N/A</v>
      </c>
      <c r="U45" t="e">
        <f t="shared" si="8"/>
        <v>#N/A</v>
      </c>
      <c r="W45">
        <f t="shared" si="9"/>
        <v>41.6666666666667</v>
      </c>
      <c r="X45">
        <f t="shared" si="9"/>
        <v>78.6667195122139</v>
      </c>
      <c r="Z45" t="e">
        <f t="shared" si="10"/>
        <v>#N/A</v>
      </c>
      <c r="AA45" t="e">
        <f t="shared" si="10"/>
        <v>#N/A</v>
      </c>
    </row>
    <row r="46" spans="1:27">
      <c r="A46">
        <v>28</v>
      </c>
      <c r="B46" t="str">
        <f>tblTerritories!C30</f>
        <v>Lima</v>
      </c>
      <c r="C46">
        <f>IF(tblTerritories!F30="",0,tblTerritories!F30)</f>
        <v>1</v>
      </c>
      <c r="D46">
        <f>IF($C46=0,NA(),INDEX(iRatios!$F$13:$BN$20,iScatter_InOut!$D$17,iScatter_InOut!$A46))</f>
        <v>58.3333333333333</v>
      </c>
      <c r="E46">
        <f>IF($C46=0,NA(),INDEX(iRatios!$F$13:$BN$20,iScatter_InOut!$E$17,iScatter_InOut!$A46))</f>
        <v>61.2245567888449</v>
      </c>
      <c r="F46" t="b">
        <f t="shared" si="4"/>
        <v>1</v>
      </c>
      <c r="G46">
        <f t="shared" si="11"/>
        <v>58.3333333333333</v>
      </c>
      <c r="H46">
        <f t="shared" si="11"/>
        <v>61.2245567888449</v>
      </c>
      <c r="J46">
        <f t="shared" si="6"/>
        <v>66.8208996274435</v>
      </c>
      <c r="K46">
        <f t="shared" si="7"/>
        <v>-5.59634283859857</v>
      </c>
      <c r="S46">
        <f t="shared" si="0"/>
        <v>0</v>
      </c>
      <c r="T46" t="e">
        <f t="shared" si="8"/>
        <v>#N/A</v>
      </c>
      <c r="U46" t="e">
        <f t="shared" si="8"/>
        <v>#N/A</v>
      </c>
      <c r="W46">
        <f t="shared" si="9"/>
        <v>58.3333333333333</v>
      </c>
      <c r="X46">
        <f t="shared" si="9"/>
        <v>61.2245567888449</v>
      </c>
      <c r="Z46" t="e">
        <f t="shared" si="10"/>
        <v>#N/A</v>
      </c>
      <c r="AA46" t="e">
        <f t="shared" si="10"/>
        <v>#N/A</v>
      </c>
    </row>
    <row r="47" spans="1:27">
      <c r="A47">
        <v>29</v>
      </c>
      <c r="B47" t="str">
        <f>tblTerritories!C31</f>
        <v>London</v>
      </c>
      <c r="C47">
        <f>IF(tblTerritories!F31="",0,tblTerritories!F31)</f>
        <v>1</v>
      </c>
      <c r="D47">
        <f>IF($C47=0,NA(),INDEX(iRatios!$F$13:$BN$20,iScatter_InOut!$D$17,iScatter_InOut!$A47))</f>
        <v>80</v>
      </c>
      <c r="E47">
        <f>IF($C47=0,NA(),INDEX(iRatios!$F$13:$BN$20,iScatter_InOut!$E$17,iScatter_InOut!$A47))</f>
        <v>66.7270163685102</v>
      </c>
      <c r="F47" t="b">
        <f t="shared" si="4"/>
        <v>1</v>
      </c>
      <c r="G47">
        <f t="shared" si="11"/>
        <v>80</v>
      </c>
      <c r="H47">
        <f t="shared" si="11"/>
        <v>66.7270163685102</v>
      </c>
      <c r="J47">
        <f t="shared" si="6"/>
        <v>71.9706526734797</v>
      </c>
      <c r="K47">
        <f t="shared" si="7"/>
        <v>-5.24363630496957</v>
      </c>
      <c r="S47">
        <f t="shared" si="0"/>
        <v>0</v>
      </c>
      <c r="T47" t="e">
        <f t="shared" si="8"/>
        <v>#N/A</v>
      </c>
      <c r="U47" t="e">
        <f t="shared" si="8"/>
        <v>#N/A</v>
      </c>
      <c r="W47">
        <f t="shared" si="9"/>
        <v>80</v>
      </c>
      <c r="X47">
        <f t="shared" si="9"/>
        <v>66.7270163685102</v>
      </c>
      <c r="Z47" t="e">
        <f t="shared" si="10"/>
        <v>#N/A</v>
      </c>
      <c r="AA47" t="e">
        <f t="shared" si="10"/>
        <v>#N/A</v>
      </c>
    </row>
    <row r="48" spans="1:27">
      <c r="A48">
        <v>30</v>
      </c>
      <c r="B48" t="str">
        <f>tblTerritories!C32</f>
        <v>Los Angeles</v>
      </c>
      <c r="C48">
        <f>IF(tblTerritories!F32="",0,tblTerritories!F32)</f>
        <v>1</v>
      </c>
      <c r="D48">
        <f>IF($C48=0,NA(),INDEX(iRatios!$F$13:$BN$20,iScatter_InOut!$D$17,iScatter_InOut!$A48))</f>
        <v>100</v>
      </c>
      <c r="E48">
        <f>IF($C48=0,NA(),INDEX(iRatios!$F$13:$BN$20,iScatter_InOut!$E$17,iScatter_InOut!$A48))</f>
        <v>70.2394199861029</v>
      </c>
      <c r="F48" t="b">
        <f t="shared" si="4"/>
        <v>1</v>
      </c>
      <c r="G48">
        <f t="shared" si="11"/>
        <v>100</v>
      </c>
      <c r="H48">
        <f t="shared" si="11"/>
        <v>70.2394199861029</v>
      </c>
      <c r="J48">
        <f t="shared" si="6"/>
        <v>76.7242708698209</v>
      </c>
      <c r="K48">
        <f t="shared" si="7"/>
        <v>-6.48485088371798</v>
      </c>
      <c r="S48">
        <f t="shared" si="0"/>
        <v>0</v>
      </c>
      <c r="T48" t="e">
        <f t="shared" si="8"/>
        <v>#N/A</v>
      </c>
      <c r="U48" t="e">
        <f t="shared" si="8"/>
        <v>#N/A</v>
      </c>
      <c r="W48">
        <f t="shared" si="9"/>
        <v>100</v>
      </c>
      <c r="X48">
        <f t="shared" si="9"/>
        <v>70.2394199861029</v>
      </c>
      <c r="Z48" t="e">
        <f t="shared" si="10"/>
        <v>#N/A</v>
      </c>
      <c r="AA48" t="e">
        <f t="shared" si="10"/>
        <v>#N/A</v>
      </c>
    </row>
    <row r="49" spans="1:27">
      <c r="A49">
        <v>31</v>
      </c>
      <c r="B49" t="str">
        <f>tblTerritories!C33</f>
        <v>Madrid</v>
      </c>
      <c r="C49">
        <f>IF(tblTerritories!F33="",0,tblTerritories!F33)</f>
        <v>1</v>
      </c>
      <c r="D49">
        <f>IF($C49=0,NA(),INDEX(iRatios!$F$13:$BN$20,iScatter_InOut!$D$17,iScatter_InOut!$A49))</f>
        <v>80</v>
      </c>
      <c r="E49">
        <f>IF($C49=0,NA(),INDEX(iRatios!$F$13:$BN$20,iScatter_InOut!$E$17,iScatter_InOut!$A49))</f>
        <v>68.8829344649958</v>
      </c>
      <c r="F49" t="b">
        <f t="shared" si="4"/>
        <v>1</v>
      </c>
      <c r="G49">
        <f t="shared" si="11"/>
        <v>80</v>
      </c>
      <c r="H49">
        <f t="shared" si="11"/>
        <v>68.8829344649958</v>
      </c>
      <c r="J49">
        <f t="shared" si="6"/>
        <v>71.9706526734797</v>
      </c>
      <c r="K49">
        <f t="shared" si="7"/>
        <v>-3.08771820848391</v>
      </c>
      <c r="S49">
        <f t="shared" si="0"/>
        <v>0</v>
      </c>
      <c r="T49" t="e">
        <f t="shared" si="8"/>
        <v>#N/A</v>
      </c>
      <c r="U49" t="e">
        <f t="shared" si="8"/>
        <v>#N/A</v>
      </c>
      <c r="W49">
        <f t="shared" si="9"/>
        <v>80</v>
      </c>
      <c r="X49">
        <f t="shared" si="9"/>
        <v>68.8829344649958</v>
      </c>
      <c r="Z49" t="e">
        <f t="shared" si="10"/>
        <v>#N/A</v>
      </c>
      <c r="AA49" t="e">
        <f t="shared" si="10"/>
        <v>#N/A</v>
      </c>
    </row>
    <row r="50" spans="1:27">
      <c r="A50">
        <v>32</v>
      </c>
      <c r="B50" t="str">
        <f>tblTerritories!C34</f>
        <v>Manila</v>
      </c>
      <c r="C50">
        <f>IF(tblTerritories!F34="",0,tblTerritories!F34)</f>
        <v>1</v>
      </c>
      <c r="D50">
        <f>IF($C50=0,NA(),INDEX(iRatios!$F$13:$BN$20,iScatter_InOut!$D$17,iScatter_InOut!$A50))</f>
        <v>31.6666666666667</v>
      </c>
      <c r="E50">
        <f>IF($C50=0,NA(),INDEX(iRatios!$F$13:$BN$20,iScatter_InOut!$E$17,iScatter_InOut!$A50))</f>
        <v>41.5517019163507</v>
      </c>
      <c r="F50" t="b">
        <f t="shared" si="4"/>
        <v>1</v>
      </c>
      <c r="G50">
        <f t="shared" si="11"/>
        <v>31.6666666666667</v>
      </c>
      <c r="H50">
        <f t="shared" si="11"/>
        <v>41.5517019163507</v>
      </c>
      <c r="J50">
        <f t="shared" si="6"/>
        <v>60.4827420323219</v>
      </c>
      <c r="K50">
        <f t="shared" si="7"/>
        <v>-18.9310401159712</v>
      </c>
      <c r="S50">
        <f t="shared" si="0"/>
        <v>0</v>
      </c>
      <c r="T50" t="e">
        <f t="shared" si="8"/>
        <v>#N/A</v>
      </c>
      <c r="U50" t="e">
        <f t="shared" si="8"/>
        <v>#N/A</v>
      </c>
      <c r="W50">
        <f t="shared" si="9"/>
        <v>31.6666666666667</v>
      </c>
      <c r="X50">
        <f t="shared" si="9"/>
        <v>41.5517019163507</v>
      </c>
      <c r="Z50" t="e">
        <f t="shared" si="10"/>
        <v>#N/A</v>
      </c>
      <c r="AA50" t="e">
        <f t="shared" si="10"/>
        <v>#N/A</v>
      </c>
    </row>
    <row r="51" spans="1:27">
      <c r="A51">
        <v>33</v>
      </c>
      <c r="B51" t="str">
        <f>tblTerritories!C35</f>
        <v>Melbourne</v>
      </c>
      <c r="C51">
        <f>IF(tblTerritories!F35="",0,tblTerritories!F35)</f>
        <v>1</v>
      </c>
      <c r="D51">
        <f>IF($C51=0,NA(),INDEX(iRatios!$F$13:$BN$20,iScatter_InOut!$D$17,iScatter_InOut!$A51))</f>
        <v>90</v>
      </c>
      <c r="E51">
        <f>IF($C51=0,NA(),INDEX(iRatios!$F$13:$BN$20,iScatter_InOut!$E$17,iScatter_InOut!$A51))</f>
        <v>76.6341257088476</v>
      </c>
      <c r="F51" t="b">
        <f t="shared" si="4"/>
        <v>1</v>
      </c>
      <c r="G51">
        <f t="shared" si="11"/>
        <v>90</v>
      </c>
      <c r="H51">
        <f t="shared" si="11"/>
        <v>76.6341257088476</v>
      </c>
      <c r="J51">
        <f t="shared" si="6"/>
        <v>74.3474617716503</v>
      </c>
      <c r="K51">
        <f t="shared" si="7"/>
        <v>2.28666393719726</v>
      </c>
      <c r="S51">
        <f t="shared" si="0"/>
        <v>0</v>
      </c>
      <c r="T51" t="e">
        <f t="shared" si="8"/>
        <v>#N/A</v>
      </c>
      <c r="U51" t="e">
        <f t="shared" si="8"/>
        <v>#N/A</v>
      </c>
      <c r="W51">
        <f t="shared" si="9"/>
        <v>90</v>
      </c>
      <c r="X51">
        <f t="shared" si="9"/>
        <v>76.6341257088476</v>
      </c>
      <c r="Z51" t="e">
        <f t="shared" si="10"/>
        <v>#N/A</v>
      </c>
      <c r="AA51" t="e">
        <f t="shared" si="10"/>
        <v>#N/A</v>
      </c>
    </row>
    <row r="52" spans="1:27">
      <c r="A52">
        <v>34</v>
      </c>
      <c r="B52" t="str">
        <f>tblTerritories!C36</f>
        <v>Mexico City</v>
      </c>
      <c r="C52">
        <f>IF(tblTerritories!F36="",0,tblTerritories!F36)</f>
        <v>1</v>
      </c>
      <c r="D52">
        <f>IF($C52=0,NA(),INDEX(iRatios!$F$13:$BN$20,iScatter_InOut!$D$17,iScatter_InOut!$A52))</f>
        <v>58.3333333333333</v>
      </c>
      <c r="E52">
        <f>IF($C52=0,NA(),INDEX(iRatios!$F$13:$BN$20,iScatter_InOut!$E$17,iScatter_InOut!$A52))</f>
        <v>49.0473294346234</v>
      </c>
      <c r="F52" t="b">
        <f t="shared" si="4"/>
        <v>1</v>
      </c>
      <c r="G52">
        <f t="shared" si="11"/>
        <v>58.3333333333333</v>
      </c>
      <c r="H52">
        <f t="shared" si="11"/>
        <v>49.0473294346234</v>
      </c>
      <c r="J52">
        <f t="shared" si="6"/>
        <v>66.8208996274435</v>
      </c>
      <c r="K52">
        <f t="shared" si="7"/>
        <v>-17.77357019282</v>
      </c>
      <c r="S52">
        <f t="shared" si="0"/>
        <v>0</v>
      </c>
      <c r="T52" t="e">
        <f t="shared" si="8"/>
        <v>#N/A</v>
      </c>
      <c r="U52" t="e">
        <f t="shared" si="8"/>
        <v>#N/A</v>
      </c>
      <c r="W52">
        <f t="shared" si="9"/>
        <v>58.3333333333333</v>
      </c>
      <c r="X52">
        <f t="shared" si="9"/>
        <v>49.0473294346234</v>
      </c>
      <c r="Z52" t="e">
        <f t="shared" si="10"/>
        <v>#N/A</v>
      </c>
      <c r="AA52" t="e">
        <f t="shared" si="10"/>
        <v>#N/A</v>
      </c>
    </row>
    <row r="53" spans="1:27">
      <c r="A53">
        <v>35</v>
      </c>
      <c r="B53" t="str">
        <f>tblTerritories!C37</f>
        <v>Milan</v>
      </c>
      <c r="C53">
        <f>IF(tblTerritories!F37="",0,tblTerritories!F37)</f>
        <v>1</v>
      </c>
      <c r="D53">
        <f>IF($C53=0,NA(),INDEX(iRatios!$F$13:$BN$20,iScatter_InOut!$D$17,iScatter_InOut!$A53))</f>
        <v>83.3333333333333</v>
      </c>
      <c r="E53">
        <f>IF($C53=0,NA(),INDEX(iRatios!$F$13:$BN$20,iScatter_InOut!$E$17,iScatter_InOut!$A53))</f>
        <v>63.245978498612</v>
      </c>
      <c r="F53" t="b">
        <f t="shared" si="4"/>
        <v>1</v>
      </c>
      <c r="G53">
        <f t="shared" si="11"/>
        <v>83.3333333333333</v>
      </c>
      <c r="H53">
        <f t="shared" si="11"/>
        <v>63.245978498612</v>
      </c>
      <c r="J53">
        <f t="shared" si="6"/>
        <v>72.7629223728699</v>
      </c>
      <c r="K53">
        <f t="shared" si="7"/>
        <v>-9.51694387425796</v>
      </c>
      <c r="S53">
        <f t="shared" si="0"/>
        <v>0</v>
      </c>
      <c r="T53" t="e">
        <f t="shared" si="8"/>
        <v>#N/A</v>
      </c>
      <c r="U53" t="e">
        <f t="shared" si="8"/>
        <v>#N/A</v>
      </c>
      <c r="W53">
        <f t="shared" si="9"/>
        <v>83.3333333333333</v>
      </c>
      <c r="X53">
        <f t="shared" si="9"/>
        <v>63.245978498612</v>
      </c>
      <c r="Z53" t="e">
        <f t="shared" si="10"/>
        <v>#N/A</v>
      </c>
      <c r="AA53" t="e">
        <f t="shared" si="10"/>
        <v>#N/A</v>
      </c>
    </row>
    <row r="54" spans="1:27">
      <c r="A54">
        <v>36</v>
      </c>
      <c r="B54" t="str">
        <f>tblTerritories!C38</f>
        <v>Moscow</v>
      </c>
      <c r="C54">
        <f>IF(tblTerritories!F38="",0,tblTerritories!F38)</f>
        <v>1</v>
      </c>
      <c r="D54">
        <f>IF($C54=0,NA(),INDEX(iRatios!$F$13:$BN$20,iScatter_InOut!$D$17,iScatter_InOut!$A54))</f>
        <v>41.6666666666667</v>
      </c>
      <c r="E54">
        <f>IF($C54=0,NA(),INDEX(iRatios!$F$13:$BN$20,iScatter_InOut!$E$17,iScatter_InOut!$A54))</f>
        <v>56.3892491329993</v>
      </c>
      <c r="F54" t="b">
        <f t="shared" si="4"/>
        <v>1</v>
      </c>
      <c r="G54">
        <f t="shared" si="11"/>
        <v>41.6666666666667</v>
      </c>
      <c r="H54">
        <f t="shared" si="11"/>
        <v>56.3892491329993</v>
      </c>
      <c r="J54">
        <f t="shared" si="6"/>
        <v>62.8595511304925</v>
      </c>
      <c r="K54">
        <f t="shared" si="7"/>
        <v>-6.47030199749322</v>
      </c>
      <c r="S54">
        <f t="shared" si="0"/>
        <v>0</v>
      </c>
      <c r="T54" t="e">
        <f t="shared" si="8"/>
        <v>#N/A</v>
      </c>
      <c r="U54" t="e">
        <f t="shared" si="8"/>
        <v>#N/A</v>
      </c>
      <c r="W54">
        <f t="shared" si="9"/>
        <v>41.6666666666667</v>
      </c>
      <c r="X54">
        <f t="shared" si="9"/>
        <v>56.3892491329993</v>
      </c>
      <c r="Z54" t="e">
        <f t="shared" si="10"/>
        <v>#N/A</v>
      </c>
      <c r="AA54" t="e">
        <f t="shared" si="10"/>
        <v>#N/A</v>
      </c>
    </row>
    <row r="55" spans="1:27">
      <c r="A55">
        <v>37</v>
      </c>
      <c r="B55" t="str">
        <f>tblTerritories!C39</f>
        <v>Mumbai</v>
      </c>
      <c r="C55">
        <f>IF(tblTerritories!F39="",0,tblTerritories!F39)</f>
        <v>1</v>
      </c>
      <c r="D55">
        <f>IF($C55=0,NA(),INDEX(iRatios!$F$13:$BN$20,iScatter_InOut!$D$17,iScatter_InOut!$A55))</f>
        <v>63.3333333333333</v>
      </c>
      <c r="E55">
        <f>IF($C55=0,NA(),INDEX(iRatios!$F$13:$BN$20,iScatter_InOut!$E$17,iScatter_InOut!$A55))</f>
        <v>45.8778432177515</v>
      </c>
      <c r="F55" t="b">
        <f t="shared" si="4"/>
        <v>1</v>
      </c>
      <c r="G55">
        <f t="shared" si="11"/>
        <v>63.3333333333333</v>
      </c>
      <c r="H55">
        <f t="shared" si="11"/>
        <v>45.8778432177515</v>
      </c>
      <c r="J55">
        <f t="shared" si="6"/>
        <v>68.0093041765288</v>
      </c>
      <c r="K55">
        <f t="shared" si="7"/>
        <v>-22.1314609587772</v>
      </c>
      <c r="S55">
        <f t="shared" si="0"/>
        <v>0</v>
      </c>
      <c r="T55" t="e">
        <f t="shared" si="8"/>
        <v>#N/A</v>
      </c>
      <c r="U55" t="e">
        <f t="shared" si="8"/>
        <v>#N/A</v>
      </c>
      <c r="W55">
        <f t="shared" si="9"/>
        <v>63.3333333333333</v>
      </c>
      <c r="X55">
        <f t="shared" si="9"/>
        <v>45.8778432177515</v>
      </c>
      <c r="Z55" t="e">
        <f t="shared" si="10"/>
        <v>#N/A</v>
      </c>
      <c r="AA55" t="e">
        <f t="shared" si="10"/>
        <v>#N/A</v>
      </c>
    </row>
    <row r="56" spans="1:27">
      <c r="A56">
        <v>38</v>
      </c>
      <c r="B56" t="str">
        <f>tblTerritories!C40</f>
        <v>New York</v>
      </c>
      <c r="C56">
        <f>IF(tblTerritories!F40="",0,tblTerritories!F40)</f>
        <v>1</v>
      </c>
      <c r="D56">
        <f>IF($C56=0,NA(),INDEX(iRatios!$F$13:$BN$20,iScatter_InOut!$D$17,iScatter_InOut!$A56))</f>
        <v>100</v>
      </c>
      <c r="E56">
        <f>IF($C56=0,NA(),INDEX(iRatios!$F$13:$BN$20,iScatter_InOut!$E$17,iScatter_InOut!$A56))</f>
        <v>69.900565441534</v>
      </c>
      <c r="F56" t="b">
        <f t="shared" si="4"/>
        <v>1</v>
      </c>
      <c r="G56">
        <f t="shared" si="11"/>
        <v>100</v>
      </c>
      <c r="H56">
        <f t="shared" si="11"/>
        <v>69.900565441534</v>
      </c>
      <c r="J56">
        <f t="shared" si="6"/>
        <v>76.7242708698209</v>
      </c>
      <c r="K56">
        <f t="shared" si="7"/>
        <v>-6.8237054282869</v>
      </c>
      <c r="S56">
        <f t="shared" si="0"/>
        <v>0</v>
      </c>
      <c r="T56" t="e">
        <f t="shared" si="8"/>
        <v>#N/A</v>
      </c>
      <c r="U56" t="e">
        <f t="shared" si="8"/>
        <v>#N/A</v>
      </c>
      <c r="W56">
        <f t="shared" si="9"/>
        <v>100</v>
      </c>
      <c r="X56">
        <f t="shared" si="9"/>
        <v>69.900565441534</v>
      </c>
      <c r="Z56" t="e">
        <f t="shared" si="10"/>
        <v>#N/A</v>
      </c>
      <c r="AA56" t="e">
        <f t="shared" si="10"/>
        <v>#N/A</v>
      </c>
    </row>
    <row r="57" spans="1:27">
      <c r="A57">
        <v>39</v>
      </c>
      <c r="B57" t="str">
        <f>tblTerritories!C41</f>
        <v>Osaka</v>
      </c>
      <c r="C57">
        <f>IF(tblTerritories!F41="",0,tblTerritories!F41)</f>
        <v>1</v>
      </c>
      <c r="D57">
        <f>IF($C57=0,NA(),INDEX(iRatios!$F$13:$BN$20,iScatter_InOut!$D$17,iScatter_InOut!$A57))</f>
        <v>78.3333333333333</v>
      </c>
      <c r="E57">
        <f>IF($C57=0,NA(),INDEX(iRatios!$F$13:$BN$20,iScatter_InOut!$E$17,iScatter_InOut!$A57))</f>
        <v>85.8885732648221</v>
      </c>
      <c r="F57" t="b">
        <f t="shared" si="4"/>
        <v>1</v>
      </c>
      <c r="G57">
        <f t="shared" si="11"/>
        <v>78.3333333333333</v>
      </c>
      <c r="H57">
        <f t="shared" si="11"/>
        <v>85.8885732648221</v>
      </c>
      <c r="J57">
        <f t="shared" si="6"/>
        <v>71.5745178237846</v>
      </c>
      <c r="K57">
        <f t="shared" si="7"/>
        <v>14.3140554410375</v>
      </c>
      <c r="S57">
        <f t="shared" si="0"/>
        <v>0</v>
      </c>
      <c r="T57" t="e">
        <f t="shared" si="8"/>
        <v>#N/A</v>
      </c>
      <c r="U57" t="e">
        <f t="shared" si="8"/>
        <v>#N/A</v>
      </c>
      <c r="W57">
        <f t="shared" si="9"/>
        <v>78.3333333333333</v>
      </c>
      <c r="X57">
        <f t="shared" si="9"/>
        <v>85.8885732648221</v>
      </c>
      <c r="Z57" t="e">
        <f t="shared" si="10"/>
        <v>#N/A</v>
      </c>
      <c r="AA57" t="e">
        <f t="shared" si="10"/>
        <v>#N/A</v>
      </c>
    </row>
    <row r="58" spans="1:27">
      <c r="A58">
        <v>40</v>
      </c>
      <c r="B58" t="str">
        <f>tblTerritories!C42</f>
        <v>Paris</v>
      </c>
      <c r="C58">
        <f>IF(tblTerritories!F42="",0,tblTerritories!F42)</f>
        <v>1</v>
      </c>
      <c r="D58">
        <f>IF($C58=0,NA(),INDEX(iRatios!$F$13:$BN$20,iScatter_InOut!$D$17,iScatter_InOut!$A58))</f>
        <v>73.3333333333333</v>
      </c>
      <c r="E58">
        <f>IF($C58=0,NA(),INDEX(iRatios!$F$13:$BN$20,iScatter_InOut!$E$17,iScatter_InOut!$A58))</f>
        <v>67.4135306914681</v>
      </c>
      <c r="F58" t="b">
        <f t="shared" si="4"/>
        <v>1</v>
      </c>
      <c r="G58">
        <f t="shared" si="11"/>
        <v>73.3333333333333</v>
      </c>
      <c r="H58">
        <f t="shared" si="11"/>
        <v>67.4135306914681</v>
      </c>
      <c r="J58">
        <f t="shared" si="6"/>
        <v>70.3861132746993</v>
      </c>
      <c r="K58">
        <f t="shared" si="7"/>
        <v>-2.97258258323129</v>
      </c>
      <c r="S58">
        <f t="shared" si="0"/>
        <v>0</v>
      </c>
      <c r="T58" t="e">
        <f t="shared" si="8"/>
        <v>#N/A</v>
      </c>
      <c r="U58" t="e">
        <f t="shared" si="8"/>
        <v>#N/A</v>
      </c>
      <c r="W58">
        <f t="shared" si="9"/>
        <v>73.3333333333333</v>
      </c>
      <c r="X58">
        <f t="shared" si="9"/>
        <v>67.4135306914681</v>
      </c>
      <c r="Z58" t="e">
        <f t="shared" si="10"/>
        <v>#N/A</v>
      </c>
      <c r="AA58" t="e">
        <f t="shared" si="10"/>
        <v>#N/A</v>
      </c>
    </row>
    <row r="59" spans="1:27">
      <c r="A59">
        <v>41</v>
      </c>
      <c r="B59" t="str">
        <f>tblTerritories!C43</f>
        <v>Quito</v>
      </c>
      <c r="C59">
        <f>IF(tblTerritories!F43="",0,tblTerritories!F43)</f>
        <v>1</v>
      </c>
      <c r="D59">
        <f>IF($C59=0,NA(),INDEX(iRatios!$F$13:$BN$20,iScatter_InOut!$D$17,iScatter_InOut!$A59))</f>
        <v>48.3333333333333</v>
      </c>
      <c r="E59">
        <f>IF($C59=0,NA(),INDEX(iRatios!$F$13:$BN$20,iScatter_InOut!$E$17,iScatter_InOut!$A59))</f>
        <v>72.9635620344263</v>
      </c>
      <c r="F59" t="b">
        <f t="shared" si="4"/>
        <v>1</v>
      </c>
      <c r="G59">
        <f t="shared" si="11"/>
        <v>48.3333333333333</v>
      </c>
      <c r="H59">
        <f t="shared" si="11"/>
        <v>72.9635620344263</v>
      </c>
      <c r="J59">
        <f t="shared" si="6"/>
        <v>64.4440905292729</v>
      </c>
      <c r="K59">
        <f t="shared" si="7"/>
        <v>8.51947150515342</v>
      </c>
      <c r="S59">
        <f t="shared" si="0"/>
        <v>0</v>
      </c>
      <c r="T59" t="e">
        <f t="shared" si="8"/>
        <v>#N/A</v>
      </c>
      <c r="U59" t="e">
        <f t="shared" si="8"/>
        <v>#N/A</v>
      </c>
      <c r="W59">
        <f t="shared" si="9"/>
        <v>48.3333333333333</v>
      </c>
      <c r="X59">
        <f t="shared" si="9"/>
        <v>72.9635620344263</v>
      </c>
      <c r="Z59" t="e">
        <f t="shared" si="10"/>
        <v>#N/A</v>
      </c>
      <c r="AA59" t="e">
        <f t="shared" si="10"/>
        <v>#N/A</v>
      </c>
    </row>
    <row r="60" spans="1:27">
      <c r="A60">
        <v>42</v>
      </c>
      <c r="B60" t="str">
        <f>tblTerritories!C44</f>
        <v>Rio de Janeiro</v>
      </c>
      <c r="C60">
        <f>IF(tblTerritories!F44="",0,tblTerritories!F44)</f>
        <v>1</v>
      </c>
      <c r="D60">
        <f>IF($C60=0,NA(),INDEX(iRatios!$F$13:$BN$20,iScatter_InOut!$D$17,iScatter_InOut!$A60))</f>
        <v>43.3333333333333</v>
      </c>
      <c r="E60">
        <f>IF($C60=0,NA(),INDEX(iRatios!$F$13:$BN$20,iScatter_InOut!$E$17,iScatter_InOut!$A60))</f>
        <v>60.5914718403423</v>
      </c>
      <c r="F60" t="b">
        <f t="shared" si="4"/>
        <v>1</v>
      </c>
      <c r="G60">
        <f t="shared" si="11"/>
        <v>43.3333333333333</v>
      </c>
      <c r="H60">
        <f t="shared" si="11"/>
        <v>60.5914718403423</v>
      </c>
      <c r="J60">
        <f t="shared" si="6"/>
        <v>63.2556859801876</v>
      </c>
      <c r="K60">
        <f t="shared" si="7"/>
        <v>-2.66421413984528</v>
      </c>
      <c r="S60">
        <f t="shared" si="0"/>
        <v>0</v>
      </c>
      <c r="T60" t="e">
        <f t="shared" si="8"/>
        <v>#N/A</v>
      </c>
      <c r="U60" t="e">
        <f t="shared" si="8"/>
        <v>#N/A</v>
      </c>
      <c r="W60">
        <f t="shared" si="9"/>
        <v>43.3333333333333</v>
      </c>
      <c r="X60">
        <f t="shared" si="9"/>
        <v>60.5914718403423</v>
      </c>
      <c r="Z60" t="e">
        <f t="shared" si="10"/>
        <v>#N/A</v>
      </c>
      <c r="AA60" t="e">
        <f t="shared" si="10"/>
        <v>#N/A</v>
      </c>
    </row>
    <row r="61" spans="1:27">
      <c r="A61">
        <v>43</v>
      </c>
      <c r="B61" t="str">
        <f>tblTerritories!C45</f>
        <v>Riyadh</v>
      </c>
      <c r="C61">
        <f>IF(tblTerritories!F45="",0,tblTerritories!F45)</f>
        <v>1</v>
      </c>
      <c r="D61">
        <f>IF($C61=0,NA(),INDEX(iRatios!$F$13:$BN$20,iScatter_InOut!$D$17,iScatter_InOut!$A61))</f>
        <v>48.3333333333333</v>
      </c>
      <c r="E61">
        <f>IF($C61=0,NA(),INDEX(iRatios!$F$13:$BN$20,iScatter_InOut!$E$17,iScatter_InOut!$A61))</f>
        <v>73.3878405441158</v>
      </c>
      <c r="F61" t="b">
        <f t="shared" si="4"/>
        <v>1</v>
      </c>
      <c r="G61">
        <f t="shared" si="11"/>
        <v>48.3333333333333</v>
      </c>
      <c r="H61">
        <f t="shared" si="11"/>
        <v>73.3878405441158</v>
      </c>
      <c r="J61">
        <f t="shared" si="6"/>
        <v>64.4440905292729</v>
      </c>
      <c r="K61">
        <f t="shared" si="7"/>
        <v>8.94375001484296</v>
      </c>
      <c r="S61">
        <f t="shared" si="0"/>
        <v>0</v>
      </c>
      <c r="T61" t="e">
        <f t="shared" si="8"/>
        <v>#N/A</v>
      </c>
      <c r="U61" t="e">
        <f t="shared" si="8"/>
        <v>#N/A</v>
      </c>
      <c r="W61">
        <f t="shared" si="9"/>
        <v>48.3333333333333</v>
      </c>
      <c r="X61">
        <f t="shared" si="9"/>
        <v>73.3878405441158</v>
      </c>
      <c r="Z61" t="e">
        <f t="shared" si="10"/>
        <v>#N/A</v>
      </c>
      <c r="AA61" t="e">
        <f t="shared" si="10"/>
        <v>#N/A</v>
      </c>
    </row>
    <row r="62" spans="1:27">
      <c r="A62">
        <v>44</v>
      </c>
      <c r="B62" t="str">
        <f>tblTerritories!C46</f>
        <v>Rome</v>
      </c>
      <c r="C62">
        <f>IF(tblTerritories!F46="",0,tblTerritories!F46)</f>
        <v>1</v>
      </c>
      <c r="D62">
        <f>IF($C62=0,NA(),INDEX(iRatios!$F$13:$BN$20,iScatter_InOut!$D$17,iScatter_InOut!$A62))</f>
        <v>80</v>
      </c>
      <c r="E62">
        <f>IF($C62=0,NA(),INDEX(iRatios!$F$13:$BN$20,iScatter_InOut!$E$17,iScatter_InOut!$A62))</f>
        <v>63.245978498612</v>
      </c>
      <c r="F62" t="b">
        <f t="shared" si="4"/>
        <v>1</v>
      </c>
      <c r="G62">
        <f t="shared" si="11"/>
        <v>80</v>
      </c>
      <c r="H62">
        <f t="shared" si="11"/>
        <v>63.245978498612</v>
      </c>
      <c r="J62">
        <f t="shared" si="6"/>
        <v>71.9706526734797</v>
      </c>
      <c r="K62">
        <f t="shared" si="7"/>
        <v>-8.72467417486777</v>
      </c>
      <c r="S62">
        <f t="shared" si="0"/>
        <v>0</v>
      </c>
      <c r="T62" t="e">
        <f t="shared" si="8"/>
        <v>#N/A</v>
      </c>
      <c r="U62" t="e">
        <f t="shared" si="8"/>
        <v>#N/A</v>
      </c>
      <c r="W62">
        <f t="shared" si="9"/>
        <v>80</v>
      </c>
      <c r="X62">
        <f t="shared" si="9"/>
        <v>63.245978498612</v>
      </c>
      <c r="Z62" t="e">
        <f t="shared" si="10"/>
        <v>#N/A</v>
      </c>
      <c r="AA62" t="e">
        <f t="shared" si="10"/>
        <v>#N/A</v>
      </c>
    </row>
    <row r="63" spans="1:27">
      <c r="A63">
        <v>45</v>
      </c>
      <c r="B63" t="str">
        <f>tblTerritories!C47</f>
        <v>San Francisco</v>
      </c>
      <c r="C63">
        <f>IF(tblTerritories!F47="",0,tblTerritories!F47)</f>
        <v>1</v>
      </c>
      <c r="D63">
        <f>IF($C63=0,NA(),INDEX(iRatios!$F$13:$BN$20,iScatter_InOut!$D$17,iScatter_InOut!$A63))</f>
        <v>100</v>
      </c>
      <c r="E63">
        <f>IF($C63=0,NA(),INDEX(iRatios!$F$13:$BN$20,iScatter_InOut!$E$17,iScatter_InOut!$A63))</f>
        <v>70.2394199861029</v>
      </c>
      <c r="F63" t="b">
        <f t="shared" si="4"/>
        <v>1</v>
      </c>
      <c r="G63">
        <f t="shared" si="11"/>
        <v>100</v>
      </c>
      <c r="H63">
        <f t="shared" si="11"/>
        <v>70.2394199861029</v>
      </c>
      <c r="J63">
        <f t="shared" si="6"/>
        <v>76.7242708698209</v>
      </c>
      <c r="K63">
        <f t="shared" si="7"/>
        <v>-6.48485088371798</v>
      </c>
      <c r="S63">
        <f t="shared" si="0"/>
        <v>0</v>
      </c>
      <c r="T63" t="e">
        <f t="shared" si="8"/>
        <v>#N/A</v>
      </c>
      <c r="U63" t="e">
        <f t="shared" si="8"/>
        <v>#N/A</v>
      </c>
      <c r="W63">
        <f t="shared" si="9"/>
        <v>100</v>
      </c>
      <c r="X63">
        <f t="shared" si="9"/>
        <v>70.2394199861029</v>
      </c>
      <c r="Z63" t="e">
        <f t="shared" si="10"/>
        <v>#N/A</v>
      </c>
      <c r="AA63" t="e">
        <f t="shared" si="10"/>
        <v>#N/A</v>
      </c>
    </row>
    <row r="64" spans="1:27">
      <c r="A64">
        <v>46</v>
      </c>
      <c r="B64" t="str">
        <f>tblTerritories!C48</f>
        <v>Santiago</v>
      </c>
      <c r="C64">
        <f>IF(tblTerritories!F48="",0,tblTerritories!F48)</f>
        <v>1</v>
      </c>
      <c r="D64">
        <f>IF($C64=0,NA(),INDEX(iRatios!$F$13:$BN$20,iScatter_InOut!$D$17,iScatter_InOut!$A64))</f>
        <v>58.3333333333333</v>
      </c>
      <c r="E64">
        <f>IF($C64=0,NA(),INDEX(iRatios!$F$13:$BN$20,iScatter_InOut!$E$17,iScatter_InOut!$A64))</f>
        <v>62.7980596341641</v>
      </c>
      <c r="F64" t="b">
        <f t="shared" si="4"/>
        <v>1</v>
      </c>
      <c r="G64">
        <f t="shared" si="11"/>
        <v>58.3333333333333</v>
      </c>
      <c r="H64">
        <f t="shared" si="11"/>
        <v>62.7980596341641</v>
      </c>
      <c r="J64">
        <f t="shared" si="6"/>
        <v>66.8208996274435</v>
      </c>
      <c r="K64">
        <f t="shared" si="7"/>
        <v>-4.02283999327932</v>
      </c>
      <c r="S64">
        <f t="shared" si="0"/>
        <v>0</v>
      </c>
      <c r="T64" t="e">
        <f t="shared" si="8"/>
        <v>#N/A</v>
      </c>
      <c r="U64" t="e">
        <f t="shared" si="8"/>
        <v>#N/A</v>
      </c>
      <c r="W64">
        <f t="shared" si="9"/>
        <v>58.3333333333333</v>
      </c>
      <c r="X64">
        <f t="shared" si="9"/>
        <v>62.7980596341641</v>
      </c>
      <c r="Z64" t="e">
        <f t="shared" si="10"/>
        <v>#N/A</v>
      </c>
      <c r="AA64" t="e">
        <f t="shared" si="10"/>
        <v>#N/A</v>
      </c>
    </row>
    <row r="65" spans="1:27">
      <c r="A65">
        <v>47</v>
      </c>
      <c r="B65" t="str">
        <f>tblTerritories!C49</f>
        <v>Sao Paulo</v>
      </c>
      <c r="C65">
        <f>IF(tblTerritories!F49="",0,tblTerritories!F49)</f>
        <v>1</v>
      </c>
      <c r="D65">
        <f>IF($C65=0,NA(),INDEX(iRatios!$F$13:$BN$20,iScatter_InOut!$D$17,iScatter_InOut!$A65))</f>
        <v>43.3333333333333</v>
      </c>
      <c r="E65">
        <f>IF($C65=0,NA(),INDEX(iRatios!$F$13:$BN$20,iScatter_InOut!$E$17,iScatter_InOut!$A65))</f>
        <v>60.5914718403423</v>
      </c>
      <c r="F65" t="b">
        <f t="shared" si="4"/>
        <v>1</v>
      </c>
      <c r="G65">
        <f t="shared" si="11"/>
        <v>43.3333333333333</v>
      </c>
      <c r="H65">
        <f t="shared" si="11"/>
        <v>60.5914718403423</v>
      </c>
      <c r="J65">
        <f t="shared" si="6"/>
        <v>63.2556859801876</v>
      </c>
      <c r="K65">
        <f t="shared" si="7"/>
        <v>-2.66421413984528</v>
      </c>
      <c r="S65">
        <f t="shared" si="0"/>
        <v>0</v>
      </c>
      <c r="T65" t="e">
        <f t="shared" si="8"/>
        <v>#N/A</v>
      </c>
      <c r="U65" t="e">
        <f t="shared" si="8"/>
        <v>#N/A</v>
      </c>
      <c r="W65">
        <f t="shared" si="9"/>
        <v>43.3333333333333</v>
      </c>
      <c r="X65">
        <f t="shared" si="9"/>
        <v>60.5914718403423</v>
      </c>
      <c r="Z65" t="e">
        <f t="shared" si="10"/>
        <v>#N/A</v>
      </c>
      <c r="AA65" t="e">
        <f t="shared" si="10"/>
        <v>#N/A</v>
      </c>
    </row>
    <row r="66" spans="1:27">
      <c r="A66">
        <v>48</v>
      </c>
      <c r="B66" t="str">
        <f>tblTerritories!C50</f>
        <v>Seoul</v>
      </c>
      <c r="C66">
        <f>IF(tblTerritories!F50="",0,tblTerritories!F50)</f>
        <v>1</v>
      </c>
      <c r="D66">
        <f>IF($C66=0,NA(),INDEX(iRatios!$F$13:$BN$20,iScatter_InOut!$D$17,iScatter_InOut!$A66))</f>
        <v>66.6666666666667</v>
      </c>
      <c r="E66">
        <f>IF($C66=0,NA(),INDEX(iRatios!$F$13:$BN$20,iScatter_InOut!$E$17,iScatter_InOut!$A66))</f>
        <v>90.1820003736209</v>
      </c>
      <c r="F66" t="b">
        <f t="shared" si="4"/>
        <v>1</v>
      </c>
      <c r="G66">
        <f t="shared" si="11"/>
        <v>66.6666666666667</v>
      </c>
      <c r="H66">
        <f t="shared" si="11"/>
        <v>90.1820003736209</v>
      </c>
      <c r="J66">
        <f t="shared" si="6"/>
        <v>68.8015738759189</v>
      </c>
      <c r="K66">
        <f t="shared" si="7"/>
        <v>21.3804264977019</v>
      </c>
      <c r="S66">
        <f t="shared" si="0"/>
        <v>0</v>
      </c>
      <c r="T66" t="e">
        <f t="shared" si="8"/>
        <v>#N/A</v>
      </c>
      <c r="U66" t="e">
        <f t="shared" si="8"/>
        <v>#N/A</v>
      </c>
      <c r="W66">
        <f t="shared" si="9"/>
        <v>66.6666666666667</v>
      </c>
      <c r="X66">
        <f t="shared" si="9"/>
        <v>90.1820003736209</v>
      </c>
      <c r="Z66" t="e">
        <f t="shared" si="10"/>
        <v>#N/A</v>
      </c>
      <c r="AA66" t="e">
        <f t="shared" si="10"/>
        <v>#N/A</v>
      </c>
    </row>
    <row r="67" spans="1:27">
      <c r="A67">
        <v>49</v>
      </c>
      <c r="B67" t="str">
        <f>tblTerritories!C51</f>
        <v>Shanghai</v>
      </c>
      <c r="C67">
        <f>IF(tblTerritories!F51="",0,tblTerritories!F51)</f>
        <v>1</v>
      </c>
      <c r="D67">
        <f>IF($C67=0,NA(),INDEX(iRatios!$F$13:$BN$20,iScatter_InOut!$D$17,iScatter_InOut!$A67))</f>
        <v>53.3333333333333</v>
      </c>
      <c r="E67">
        <f>IF($C67=0,NA(),INDEX(iRatios!$F$13:$BN$20,iScatter_InOut!$E$17,iScatter_InOut!$A67))</f>
        <v>65.5131160866378</v>
      </c>
      <c r="F67" t="b">
        <f t="shared" si="4"/>
        <v>1</v>
      </c>
      <c r="G67">
        <f t="shared" si="11"/>
        <v>53.3333333333333</v>
      </c>
      <c r="H67">
        <f t="shared" si="11"/>
        <v>65.5131160866378</v>
      </c>
      <c r="J67">
        <f t="shared" si="6"/>
        <v>65.6324950783582</v>
      </c>
      <c r="K67">
        <f t="shared" si="7"/>
        <v>-0.11937899172041</v>
      </c>
      <c r="S67">
        <f t="shared" si="0"/>
        <v>0</v>
      </c>
      <c r="T67" t="e">
        <f t="shared" si="8"/>
        <v>#N/A</v>
      </c>
      <c r="U67" t="e">
        <f t="shared" si="8"/>
        <v>#N/A</v>
      </c>
      <c r="W67">
        <f t="shared" si="9"/>
        <v>53.3333333333333</v>
      </c>
      <c r="X67">
        <f t="shared" si="9"/>
        <v>65.5131160866378</v>
      </c>
      <c r="Z67" t="e">
        <f t="shared" si="10"/>
        <v>#N/A</v>
      </c>
      <c r="AA67" t="e">
        <f t="shared" si="10"/>
        <v>#N/A</v>
      </c>
    </row>
    <row r="68" spans="1:27">
      <c r="A68">
        <v>50</v>
      </c>
      <c r="B68" t="str">
        <f>tblTerritories!C52</f>
        <v>Singapore</v>
      </c>
      <c r="C68">
        <f>IF(tblTerritories!F52="",0,tblTerritories!F52)</f>
        <v>1</v>
      </c>
      <c r="D68">
        <f>IF($C68=0,NA(),INDEX(iRatios!$F$13:$BN$20,iScatter_InOut!$D$17,iScatter_InOut!$A68))</f>
        <v>95</v>
      </c>
      <c r="E68">
        <f>IF($C68=0,NA(),INDEX(iRatios!$F$13:$BN$20,iScatter_InOut!$E$17,iScatter_InOut!$A68))</f>
        <v>78.6768365386855</v>
      </c>
      <c r="F68" t="b">
        <f t="shared" si="4"/>
        <v>1</v>
      </c>
      <c r="G68">
        <f t="shared" si="11"/>
        <v>95</v>
      </c>
      <c r="H68">
        <f t="shared" si="11"/>
        <v>78.6768365386855</v>
      </c>
      <c r="J68">
        <f t="shared" si="6"/>
        <v>75.5358663207356</v>
      </c>
      <c r="K68">
        <f t="shared" si="7"/>
        <v>3.14097021794993</v>
      </c>
      <c r="S68">
        <f t="shared" si="0"/>
        <v>0</v>
      </c>
      <c r="T68" t="e">
        <f t="shared" si="8"/>
        <v>#N/A</v>
      </c>
      <c r="U68" t="e">
        <f t="shared" si="8"/>
        <v>#N/A</v>
      </c>
      <c r="W68">
        <f t="shared" si="9"/>
        <v>95</v>
      </c>
      <c r="X68">
        <f t="shared" si="9"/>
        <v>78.6768365386855</v>
      </c>
      <c r="Z68" t="e">
        <f t="shared" si="10"/>
        <v>#N/A</v>
      </c>
      <c r="AA68" t="e">
        <f t="shared" si="10"/>
        <v>#N/A</v>
      </c>
    </row>
    <row r="69" spans="1:27">
      <c r="A69">
        <v>51</v>
      </c>
      <c r="B69" t="str">
        <f>tblTerritories!C53</f>
        <v>Stockholm</v>
      </c>
      <c r="C69">
        <f>IF(tblTerritories!F53="",0,tblTerritories!F53)</f>
        <v>1</v>
      </c>
      <c r="D69">
        <f>IF($C69=0,NA(),INDEX(iRatios!$F$13:$BN$20,iScatter_InOut!$D$17,iScatter_InOut!$A69))</f>
        <v>75</v>
      </c>
      <c r="E69">
        <f>IF($C69=0,NA(),INDEX(iRatios!$F$13:$BN$20,iScatter_InOut!$E$17,iScatter_InOut!$A69))</f>
        <v>90.6135490989646</v>
      </c>
      <c r="F69" t="b">
        <f t="shared" si="4"/>
        <v>1</v>
      </c>
      <c r="G69">
        <f t="shared" si="11"/>
        <v>75</v>
      </c>
      <c r="H69">
        <f t="shared" si="11"/>
        <v>90.6135490989646</v>
      </c>
      <c r="J69">
        <f t="shared" si="6"/>
        <v>70.7822481243944</v>
      </c>
      <c r="K69">
        <f t="shared" si="7"/>
        <v>19.8313009745701</v>
      </c>
      <c r="S69">
        <f t="shared" si="0"/>
        <v>0</v>
      </c>
      <c r="T69" t="e">
        <f t="shared" si="8"/>
        <v>#N/A</v>
      </c>
      <c r="U69" t="e">
        <f t="shared" si="8"/>
        <v>#N/A</v>
      </c>
      <c r="W69">
        <f t="shared" si="9"/>
        <v>75</v>
      </c>
      <c r="X69">
        <f t="shared" si="9"/>
        <v>90.6135490989646</v>
      </c>
      <c r="Z69" t="e">
        <f t="shared" si="10"/>
        <v>#N/A</v>
      </c>
      <c r="AA69" t="e">
        <f t="shared" si="10"/>
        <v>#N/A</v>
      </c>
    </row>
    <row r="70" spans="1:27">
      <c r="A70">
        <v>52</v>
      </c>
      <c r="B70" t="str">
        <f>tblTerritories!C54</f>
        <v>Sydney</v>
      </c>
      <c r="C70">
        <f>IF(tblTerritories!F54="",0,tblTerritories!F54)</f>
        <v>1</v>
      </c>
      <c r="D70">
        <f>IF($C70=0,NA(),INDEX(iRatios!$F$13:$BN$20,iScatter_InOut!$D$17,iScatter_InOut!$A70))</f>
        <v>90</v>
      </c>
      <c r="E70">
        <f>IF($C70=0,NA(),INDEX(iRatios!$F$13:$BN$20,iScatter_InOut!$E$17,iScatter_InOut!$A70))</f>
        <v>75.9140598016387</v>
      </c>
      <c r="F70" t="b">
        <f t="shared" si="4"/>
        <v>1</v>
      </c>
      <c r="G70">
        <f t="shared" si="11"/>
        <v>90</v>
      </c>
      <c r="H70">
        <f t="shared" si="11"/>
        <v>75.9140598016387</v>
      </c>
      <c r="J70">
        <f t="shared" si="6"/>
        <v>74.3474617716503</v>
      </c>
      <c r="K70">
        <f t="shared" si="7"/>
        <v>1.56659802998834</v>
      </c>
      <c r="S70">
        <f t="shared" si="0"/>
        <v>0</v>
      </c>
      <c r="T70" t="e">
        <f t="shared" si="8"/>
        <v>#N/A</v>
      </c>
      <c r="U70" t="e">
        <f t="shared" si="8"/>
        <v>#N/A</v>
      </c>
      <c r="W70">
        <f t="shared" si="9"/>
        <v>90</v>
      </c>
      <c r="X70">
        <f t="shared" si="9"/>
        <v>75.9140598016387</v>
      </c>
      <c r="Z70" t="e">
        <f t="shared" si="10"/>
        <v>#N/A</v>
      </c>
      <c r="AA70" t="e">
        <f t="shared" si="10"/>
        <v>#N/A</v>
      </c>
    </row>
    <row r="71" spans="1:27">
      <c r="A71">
        <v>53</v>
      </c>
      <c r="B71" t="str">
        <f>tblTerritories!C55</f>
        <v>Taipei</v>
      </c>
      <c r="C71">
        <f>IF(tblTerritories!F55="",0,tblTerritories!F55)</f>
        <v>1</v>
      </c>
      <c r="D71">
        <f>IF($C71=0,NA(),INDEX(iRatios!$F$13:$BN$20,iScatter_InOut!$D$17,iScatter_InOut!$A71))</f>
        <v>88.3333333333333</v>
      </c>
      <c r="E71">
        <f>IF($C71=0,NA(),INDEX(iRatios!$F$13:$BN$20,iScatter_InOut!$E$17,iScatter_InOut!$A71))</f>
        <v>43.6212212501698</v>
      </c>
      <c r="F71" t="b">
        <f t="shared" si="4"/>
        <v>1</v>
      </c>
      <c r="G71">
        <f t="shared" si="11"/>
        <v>88.3333333333333</v>
      </c>
      <c r="H71">
        <f t="shared" si="11"/>
        <v>43.6212212501698</v>
      </c>
      <c r="J71">
        <f t="shared" si="6"/>
        <v>73.9513269219552</v>
      </c>
      <c r="K71">
        <f t="shared" si="7"/>
        <v>-30.3301056717854</v>
      </c>
      <c r="S71">
        <f t="shared" si="0"/>
        <v>0</v>
      </c>
      <c r="T71" t="e">
        <f t="shared" si="8"/>
        <v>#N/A</v>
      </c>
      <c r="U71" t="e">
        <f t="shared" si="8"/>
        <v>#N/A</v>
      </c>
      <c r="W71">
        <f t="shared" si="9"/>
        <v>88.3333333333333</v>
      </c>
      <c r="X71">
        <f t="shared" si="9"/>
        <v>43.6212212501698</v>
      </c>
      <c r="Z71" t="e">
        <f t="shared" si="10"/>
        <v>#N/A</v>
      </c>
      <c r="AA71" t="e">
        <f t="shared" si="10"/>
        <v>#N/A</v>
      </c>
    </row>
    <row r="72" spans="1:27">
      <c r="A72">
        <v>54</v>
      </c>
      <c r="B72" t="str">
        <f>tblTerritories!C56</f>
        <v>Tehran</v>
      </c>
      <c r="C72">
        <f>IF(tblTerritories!F56="",0,tblTerritories!F56)</f>
        <v>1</v>
      </c>
      <c r="D72">
        <f>IF($C72=0,NA(),INDEX(iRatios!$F$13:$BN$20,iScatter_InOut!$D$17,iScatter_InOut!$A72))</f>
        <v>16.6666666666667</v>
      </c>
      <c r="E72">
        <f>IF($C72=0,NA(),INDEX(iRatios!$F$13:$BN$20,iScatter_InOut!$E$17,iScatter_InOut!$A72))</f>
        <v>63.1030714558244</v>
      </c>
      <c r="F72" t="b">
        <f t="shared" si="4"/>
        <v>1</v>
      </c>
      <c r="G72">
        <f t="shared" si="11"/>
        <v>16.6666666666667</v>
      </c>
      <c r="H72">
        <f t="shared" si="11"/>
        <v>63.1030714558244</v>
      </c>
      <c r="J72">
        <f t="shared" si="6"/>
        <v>56.917528385066</v>
      </c>
      <c r="K72">
        <f t="shared" si="7"/>
        <v>6.18554307075837</v>
      </c>
      <c r="S72">
        <f t="shared" si="0"/>
        <v>0</v>
      </c>
      <c r="T72" t="e">
        <f t="shared" si="8"/>
        <v>#N/A</v>
      </c>
      <c r="U72" t="e">
        <f t="shared" si="8"/>
        <v>#N/A</v>
      </c>
      <c r="W72">
        <f t="shared" si="9"/>
        <v>16.6666666666667</v>
      </c>
      <c r="X72">
        <f t="shared" si="9"/>
        <v>63.1030714558244</v>
      </c>
      <c r="Z72" t="e">
        <f t="shared" si="10"/>
        <v>#N/A</v>
      </c>
      <c r="AA72" t="e">
        <f t="shared" si="10"/>
        <v>#N/A</v>
      </c>
    </row>
    <row r="73" spans="1:27">
      <c r="A73">
        <v>55</v>
      </c>
      <c r="B73" t="str">
        <f>tblTerritories!C57</f>
        <v>Tokyo</v>
      </c>
      <c r="C73">
        <f>IF(tblTerritories!F57="",0,tblTerritories!F57)</f>
        <v>1</v>
      </c>
      <c r="D73">
        <f>IF($C73=0,NA(),INDEX(iRatios!$F$13:$BN$20,iScatter_InOut!$D$17,iScatter_InOut!$A73))</f>
        <v>88.3333333333333</v>
      </c>
      <c r="E73">
        <f>IF($C73=0,NA(),INDEX(iRatios!$F$13:$BN$20,iScatter_InOut!$E$17,iScatter_InOut!$A73))</f>
        <v>88.47233916716</v>
      </c>
      <c r="F73" t="b">
        <f t="shared" si="4"/>
        <v>1</v>
      </c>
      <c r="G73">
        <f t="shared" si="11"/>
        <v>88.3333333333333</v>
      </c>
      <c r="H73">
        <f t="shared" si="11"/>
        <v>88.47233916716</v>
      </c>
      <c r="J73">
        <f t="shared" si="6"/>
        <v>73.9513269219552</v>
      </c>
      <c r="K73">
        <f t="shared" si="7"/>
        <v>14.5210122452048</v>
      </c>
      <c r="S73">
        <f t="shared" si="0"/>
        <v>0</v>
      </c>
      <c r="T73" t="e">
        <f t="shared" si="8"/>
        <v>#N/A</v>
      </c>
      <c r="U73" t="e">
        <f t="shared" si="8"/>
        <v>#N/A</v>
      </c>
      <c r="W73">
        <f t="shared" si="9"/>
        <v>88.3333333333333</v>
      </c>
      <c r="X73">
        <f t="shared" si="9"/>
        <v>88.47233916716</v>
      </c>
      <c r="Z73" t="e">
        <f t="shared" si="10"/>
        <v>#N/A</v>
      </c>
      <c r="AA73" t="e">
        <f t="shared" si="10"/>
        <v>#N/A</v>
      </c>
    </row>
    <row r="74" spans="1:27">
      <c r="A74">
        <v>56</v>
      </c>
      <c r="B74" t="str">
        <f>tblTerritories!C58</f>
        <v>Toronto</v>
      </c>
      <c r="C74">
        <f>IF(tblTerritories!F58="",0,tblTerritories!F58)</f>
        <v>1</v>
      </c>
      <c r="D74">
        <f>IF($C74=0,NA(),INDEX(iRatios!$F$13:$BN$20,iScatter_InOut!$D$17,iScatter_InOut!$A74))</f>
        <v>90</v>
      </c>
      <c r="E74">
        <f>IF($C74=0,NA(),INDEX(iRatios!$F$13:$BN$20,iScatter_InOut!$E$17,iScatter_InOut!$A74))</f>
        <v>80.6631787288569</v>
      </c>
      <c r="F74" t="b">
        <f t="shared" si="4"/>
        <v>1</v>
      </c>
      <c r="G74">
        <f t="shared" si="11"/>
        <v>90</v>
      </c>
      <c r="H74">
        <f t="shared" si="11"/>
        <v>80.6631787288569</v>
      </c>
      <c r="J74">
        <f t="shared" si="6"/>
        <v>74.3474617716503</v>
      </c>
      <c r="K74">
        <f t="shared" si="7"/>
        <v>6.31571695720656</v>
      </c>
      <c r="S74">
        <f t="shared" si="0"/>
        <v>0</v>
      </c>
      <c r="T74" t="e">
        <f t="shared" si="8"/>
        <v>#N/A</v>
      </c>
      <c r="U74" t="e">
        <f t="shared" si="8"/>
        <v>#N/A</v>
      </c>
      <c r="W74">
        <f t="shared" si="9"/>
        <v>90</v>
      </c>
      <c r="X74">
        <f t="shared" si="9"/>
        <v>80.6631787288569</v>
      </c>
      <c r="Z74" t="e">
        <f t="shared" si="10"/>
        <v>#N/A</v>
      </c>
      <c r="AA74" t="e">
        <f t="shared" si="10"/>
        <v>#N/A</v>
      </c>
    </row>
    <row r="75" spans="1:27">
      <c r="A75">
        <v>57</v>
      </c>
      <c r="B75" t="str">
        <f>tblTerritories!C59</f>
        <v>Washington DC</v>
      </c>
      <c r="C75">
        <f>IF(tblTerritories!F59="",0,tblTerritories!F59)</f>
        <v>1</v>
      </c>
      <c r="D75">
        <f>IF($C75=0,NA(),INDEX(iRatios!$F$13:$BN$20,iScatter_InOut!$D$17,iScatter_InOut!$A75))</f>
        <v>90</v>
      </c>
      <c r="E75">
        <f>IF($C75=0,NA(),INDEX(iRatios!$F$13:$BN$20,iScatter_InOut!$E$17,iScatter_InOut!$A75))</f>
        <v>71.764265436663</v>
      </c>
      <c r="F75" t="b">
        <f t="shared" si="4"/>
        <v>1</v>
      </c>
      <c r="G75">
        <f t="shared" si="11"/>
        <v>90</v>
      </c>
      <c r="H75">
        <f t="shared" si="11"/>
        <v>71.764265436663</v>
      </c>
      <c r="J75">
        <f t="shared" si="6"/>
        <v>74.3474617716503</v>
      </c>
      <c r="K75">
        <f t="shared" si="7"/>
        <v>-2.58319633498736</v>
      </c>
      <c r="S75">
        <f t="shared" si="0"/>
        <v>0</v>
      </c>
      <c r="T75" t="e">
        <f t="shared" si="8"/>
        <v>#N/A</v>
      </c>
      <c r="U75" t="e">
        <f t="shared" si="8"/>
        <v>#N/A</v>
      </c>
      <c r="W75">
        <f t="shared" si="9"/>
        <v>90</v>
      </c>
      <c r="X75">
        <f t="shared" si="9"/>
        <v>71.764265436663</v>
      </c>
      <c r="Z75" t="e">
        <f t="shared" si="10"/>
        <v>#N/A</v>
      </c>
      <c r="AA75" t="e">
        <f t="shared" si="10"/>
        <v>#N/A</v>
      </c>
    </row>
    <row r="76" spans="1:27">
      <c r="A76">
        <v>58</v>
      </c>
      <c r="B76" t="str">
        <f>tblTerritories!C60</f>
        <v>Wellington</v>
      </c>
      <c r="C76">
        <f>IF(tblTerritories!F60="",0,tblTerritories!F60)</f>
        <v>1</v>
      </c>
      <c r="D76">
        <f>IF($C76=0,NA(),INDEX(iRatios!$F$13:$BN$20,iScatter_InOut!$D$17,iScatter_InOut!$A76))</f>
        <v>68.3333333333333</v>
      </c>
      <c r="E76">
        <f>IF($C76=0,NA(),INDEX(iRatios!$F$13:$BN$20,iScatter_InOut!$E$17,iScatter_InOut!$A76))</f>
        <v>81.2687094091745</v>
      </c>
      <c r="F76" t="b">
        <f t="shared" si="4"/>
        <v>1</v>
      </c>
      <c r="G76">
        <f t="shared" si="11"/>
        <v>68.3333333333333</v>
      </c>
      <c r="H76">
        <f t="shared" si="11"/>
        <v>81.2687094091745</v>
      </c>
      <c r="J76">
        <f t="shared" si="6"/>
        <v>69.197708725614</v>
      </c>
      <c r="K76">
        <f t="shared" si="7"/>
        <v>12.0710006835604</v>
      </c>
      <c r="S76">
        <f t="shared" si="0"/>
        <v>0</v>
      </c>
      <c r="T76" t="e">
        <f t="shared" si="8"/>
        <v>#N/A</v>
      </c>
      <c r="U76" t="e">
        <f t="shared" si="8"/>
        <v>#N/A</v>
      </c>
      <c r="W76">
        <f t="shared" si="9"/>
        <v>68.3333333333333</v>
      </c>
      <c r="X76">
        <f t="shared" si="9"/>
        <v>81.2687094091745</v>
      </c>
      <c r="Z76" t="e">
        <f t="shared" si="10"/>
        <v>#N/A</v>
      </c>
      <c r="AA76" t="e">
        <f t="shared" si="10"/>
        <v>#N/A</v>
      </c>
    </row>
    <row r="77" spans="1:27">
      <c r="A77">
        <v>59</v>
      </c>
      <c r="B77" t="str">
        <f>tblTerritories!C61</f>
        <v>Yangon</v>
      </c>
      <c r="C77">
        <f>IF(tblTerritories!F61="",0,tblTerritories!F61)</f>
        <v>1</v>
      </c>
      <c r="D77">
        <f>IF($C77=0,NA(),INDEX(iRatios!$F$13:$BN$20,iScatter_InOut!$D$17,iScatter_InOut!$A77))</f>
        <v>16.6666666666667</v>
      </c>
      <c r="E77">
        <f>IF($C77=0,NA(),INDEX(iRatios!$F$13:$BN$20,iScatter_InOut!$E$17,iScatter_InOut!$A77))</f>
        <v>61.4677378705957</v>
      </c>
      <c r="F77" t="b">
        <f t="shared" si="4"/>
        <v>1</v>
      </c>
      <c r="G77">
        <f t="shared" si="11"/>
        <v>16.6666666666667</v>
      </c>
      <c r="H77">
        <f t="shared" si="11"/>
        <v>61.4677378705957</v>
      </c>
      <c r="J77">
        <f t="shared" si="6"/>
        <v>56.917528385066</v>
      </c>
      <c r="K77">
        <f t="shared" si="7"/>
        <v>4.55020948552963</v>
      </c>
      <c r="S77">
        <f t="shared" si="0"/>
        <v>0</v>
      </c>
      <c r="T77" t="e">
        <f t="shared" si="8"/>
        <v>#N/A</v>
      </c>
      <c r="U77" t="e">
        <f t="shared" si="8"/>
        <v>#N/A</v>
      </c>
      <c r="W77">
        <f t="shared" si="9"/>
        <v>16.6666666666667</v>
      </c>
      <c r="X77">
        <f t="shared" si="9"/>
        <v>61.4677378705957</v>
      </c>
      <c r="Z77" t="e">
        <f t="shared" si="10"/>
        <v>#N/A</v>
      </c>
      <c r="AA77" t="e">
        <f t="shared" si="10"/>
        <v>#N/A</v>
      </c>
    </row>
    <row r="78" spans="1:27">
      <c r="A78">
        <v>60</v>
      </c>
      <c r="B78" t="str">
        <f>tblTerritories!C62</f>
        <v>Zurich</v>
      </c>
      <c r="C78">
        <f>IF(tblTerritories!F62="",0,tblTerritories!F62)</f>
        <v>1</v>
      </c>
      <c r="D78">
        <f>IF($C78=0,NA(),INDEX(iRatios!$F$13:$BN$20,iScatter_InOut!$D$17,iScatter_InOut!$A78))</f>
        <v>75</v>
      </c>
      <c r="E78">
        <f>IF($C78=0,NA(),INDEX(iRatios!$F$13:$BN$20,iScatter_InOut!$E$17,iScatter_InOut!$A78))</f>
        <v>80.9539626276761</v>
      </c>
      <c r="F78" t="b">
        <f t="shared" si="4"/>
        <v>1</v>
      </c>
      <c r="G78">
        <f t="shared" si="11"/>
        <v>75</v>
      </c>
      <c r="H78">
        <f t="shared" si="11"/>
        <v>80.9539626276761</v>
      </c>
      <c r="J78">
        <f t="shared" si="6"/>
        <v>70.7822481243944</v>
      </c>
      <c r="K78">
        <f t="shared" si="7"/>
        <v>10.1717145032817</v>
      </c>
      <c r="S78">
        <f t="shared" si="0"/>
        <v>0</v>
      </c>
      <c r="T78" t="e">
        <f t="shared" si="8"/>
        <v>#N/A</v>
      </c>
      <c r="U78" t="e">
        <f t="shared" si="8"/>
        <v>#N/A</v>
      </c>
      <c r="W78">
        <f t="shared" si="9"/>
        <v>75</v>
      </c>
      <c r="X78">
        <f t="shared" si="9"/>
        <v>80.9539626276761</v>
      </c>
      <c r="Z78" t="e">
        <f t="shared" si="10"/>
        <v>#N/A</v>
      </c>
      <c r="AA78" t="e">
        <f t="shared" si="10"/>
        <v>#N/A</v>
      </c>
    </row>
    <row r="79" spans="1:27">
      <c r="A79">
        <v>61</v>
      </c>
      <c r="B79" t="str">
        <f>tblTerritories!C63</f>
        <v>Kyoto</v>
      </c>
      <c r="C79">
        <f>IF(tblTerritories!F63="",0,tblTerritories!F63)</f>
        <v>0</v>
      </c>
      <c r="D79" t="e">
        <f>IF($C79=0,NA(),INDEX(iRatios!$F$13:$BN$20,iScatter_InOut!$D$17,iScatter_InOut!$A79))</f>
        <v>#N/A</v>
      </c>
      <c r="E79" t="e">
        <f>IF($C79=0,NA(),INDEX(iRatios!$F$13:$BN$20,iScatter_InOut!$E$17,iScatter_InOut!$A79))</f>
        <v>#N/A</v>
      </c>
      <c r="F79" t="b">
        <f t="shared" si="4"/>
        <v>0</v>
      </c>
      <c r="G79" t="str">
        <f t="shared" si="11"/>
        <v/>
      </c>
      <c r="H79" t="str">
        <f t="shared" si="11"/>
        <v/>
      </c>
      <c r="J79" t="str">
        <f t="shared" si="6"/>
        <v/>
      </c>
      <c r="K79" t="str">
        <f t="shared" si="7"/>
        <v/>
      </c>
      <c r="S79">
        <f t="shared" si="0"/>
        <v>0</v>
      </c>
      <c r="T79" t="e">
        <f t="shared" si="8"/>
        <v>#N/A</v>
      </c>
      <c r="U79" t="e">
        <f t="shared" si="8"/>
        <v>#N/A</v>
      </c>
      <c r="W79" t="e">
        <f t="shared" si="9"/>
        <v>#N/A</v>
      </c>
      <c r="X79" t="e">
        <f t="shared" si="9"/>
        <v>#N/A</v>
      </c>
      <c r="Z79" t="e">
        <f t="shared" si="10"/>
        <v>#N/A</v>
      </c>
      <c r="AA79" t="e">
        <f t="shared" si="10"/>
        <v>#N/A</v>
      </c>
    </row>
  </sheetData>
  <pageMargins left="0.551181102362205" right="0.551181102362205" top="0.590551181102362" bottom="0.78740157480315" header="0.511811023622047" footer="0.511811023622047"/>
  <pageSetup paperSize="9" scale="43" orientation="landscape"/>
  <headerFooter alignWithMargins="0">
    <oddHeader>&amp;RSafe Cities Index : 2017</oddHead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C000"/>
    <pageSetUpPr fitToPage="1"/>
  </sheetPr>
  <dimension ref="A1:AR140"/>
  <sheetViews>
    <sheetView showRowColHeaders="0" zoomScale="90" zoomScaleNormal="90" workbookViewId="0">
      <pane xSplit="3" ySplit="3" topLeftCell="D6" activePane="bottomRight" state="frozen"/>
      <selection/>
      <selection pane="topRight"/>
      <selection pane="bottomLeft"/>
      <selection pane="bottomRight" activeCell="B6" sqref="B6"/>
    </sheetView>
  </sheetViews>
  <sheetFormatPr defaultColWidth="9" defaultRowHeight="15"/>
  <cols>
    <col min="1" max="1" width="17.5714285714286" customWidth="1"/>
    <col min="2" max="2" width="4.14285714285714" customWidth="1"/>
    <col min="3" max="3" width="5.85714285714286" customWidth="1"/>
    <col min="4" max="4" width="4.14285714285714" customWidth="1"/>
    <col min="5" max="5" width="37.2857142857143" customWidth="1"/>
    <col min="6" max="6" width="8.85714285714286" customWidth="1"/>
    <col min="7" max="7" width="8.42857142857143" customWidth="1"/>
    <col min="8" max="8" width="11.1428571428571" customWidth="1"/>
    <col min="9" max="9" width="11.4285714285714" customWidth="1"/>
    <col min="10" max="10" width="12.4285714285714" customWidth="1"/>
    <col min="11" max="11" width="12.8571428571429" customWidth="1"/>
    <col min="12" max="12" width="8.42857142857143" customWidth="1"/>
    <col min="13" max="13" width="5.28571428571429" customWidth="1"/>
    <col min="14" max="14" width="8" customWidth="1"/>
    <col min="15" max="18" width="15.4285714285714" customWidth="1"/>
    <col min="19" max="25" width="11.7142857142857" customWidth="1"/>
    <col min="26" max="28" width="9.14285714285714"/>
    <col min="29" max="30" width="9.28571428571429" customWidth="1"/>
    <col min="31" max="31" width="9.42857142857143" customWidth="1"/>
    <col min="32" max="38" width="9.14285714285714"/>
    <col min="39" max="39" width="5.71428571428571" customWidth="1"/>
    <col min="40" max="16384" width="9.14285714285714"/>
  </cols>
  <sheetData>
    <row r="1" spans="1:4">
      <c r="A1" s="283" t="s">
        <v>391</v>
      </c>
      <c r="B1" s="283">
        <f>uxb_works!B1</f>
        <v>60</v>
      </c>
      <c r="C1" s="283"/>
      <c r="D1" s="283"/>
    </row>
    <row r="2" spans="1:34">
      <c r="A2" t="str">
        <f>uxb_works!A24</f>
        <v>CITY1_ID</v>
      </c>
      <c r="B2">
        <f>uxb_works!B24</f>
        <v>1</v>
      </c>
      <c r="C2" t="str">
        <f ca="1">uxb_works!C24</f>
        <v>Abu Dhabi</v>
      </c>
      <c r="E2" s="283"/>
      <c r="AH2">
        <f ca="1">MATCH($C$2,lu_Cities_2014_N,0)</f>
        <v>1</v>
      </c>
    </row>
    <row r="3" spans="1:5">
      <c r="A3" t="str">
        <f>uxb_works!A46</f>
        <v>YEAR_SELECT</v>
      </c>
      <c r="B3">
        <f>uxb_works!B46</f>
        <v>3</v>
      </c>
      <c r="E3" s="283"/>
    </row>
    <row r="4" spans="5:5">
      <c r="E4" s="283"/>
    </row>
    <row r="5" spans="5:5">
      <c r="E5" s="283"/>
    </row>
    <row r="6" spans="5:44">
      <c r="E6" s="283"/>
      <c r="H6" s="282" t="str">
        <f>CONCATENATE("Rank / ",B1)</f>
        <v>Rank / 60</v>
      </c>
      <c r="I6" s="282" t="s">
        <v>392</v>
      </c>
      <c r="J6" s="282" t="s">
        <v>14</v>
      </c>
      <c r="K6" s="282" t="s">
        <v>393</v>
      </c>
      <c r="L6" s="282" t="s">
        <v>7</v>
      </c>
      <c r="AH6">
        <v>2014</v>
      </c>
      <c r="AI6">
        <v>2017</v>
      </c>
      <c r="AN6">
        <v>1</v>
      </c>
      <c r="AO6">
        <v>2</v>
      </c>
      <c r="AP6">
        <v>3</v>
      </c>
      <c r="AQ6">
        <v>3</v>
      </c>
      <c r="AR6">
        <v>4</v>
      </c>
    </row>
    <row r="7" spans="29:35">
      <c r="AC7" t="str">
        <f ca="1">$C$2</f>
        <v>Abu Dhabi</v>
      </c>
      <c r="AD7" t="s">
        <v>7</v>
      </c>
      <c r="AE7" t="s">
        <v>394</v>
      </c>
      <c r="AF7" t="s">
        <v>395</v>
      </c>
      <c r="AH7">
        <v>2014</v>
      </c>
      <c r="AI7">
        <v>2017</v>
      </c>
    </row>
    <row r="8" spans="1:44">
      <c r="A8" t="str">
        <f>tblIndiSets!A5</f>
        <v>OVERALL</v>
      </c>
      <c r="B8">
        <f>IF($B$3=1,tblIndiSets_2014_O!B3,tblIndiSets!$B5)</f>
        <v>1</v>
      </c>
      <c r="E8" t="str">
        <f>tblIndiSets!C5</f>
        <v>OVERALL SCORE</v>
      </c>
      <c r="G8" s="284"/>
      <c r="H8" s="284">
        <f ca="1">IF(K8&gt;1,CONCATENATE("=",J8),J8)</f>
        <v>28</v>
      </c>
      <c r="I8" s="214">
        <f>CHOOSE($B$3,INDEX(aScores_2014_O,B8,$B$2),INDEX(aScores_2014_N,B8,$B$2),INDEX(aScores_2017,B8,$B$2))</f>
        <v>76.9075622869516</v>
      </c>
      <c r="J8">
        <f ca="1">CHOOSE($B$3,RANK(I8,OFFSET(aScores_2014_O,B8-1,0,1,$B$1)),RANK(I8,OFFSET(aScores_2014_N,B8-1,0,1,$B$1)),RANK(I8,OFFSET(aScores_2017,B8-1,0,1,$B$1)))</f>
        <v>28</v>
      </c>
      <c r="K8">
        <f ca="1">CHOOSE($B$3,COUNTIF(OFFSET(aScores_2014_O,B8-1,0,1,$B$1),I8),COUNTIF(OFFSET(aScores_2014_N,B8-1,0,1,$B$1),I8),COUNTIF(OFFSET(aScores_2017,B8-1,0,1,$B$1),I8))</f>
        <v>1</v>
      </c>
      <c r="L8" s="214">
        <f ca="1">CHOOSE($B$3,AVERAGE(OFFSET(aScores_2014_O,B8-1,0,1,$B$1)),AVERAGE(OFFSET(aScores_2014_N,B8-1,0,1,$B$1)),AVERAGE(OFFSET(aScores_2017,B8-1,0,1,$B$1)))</f>
        <v>71.9925644456</v>
      </c>
      <c r="P8" t="str">
        <f>X16</f>
        <v>Lower Band (scores &lt;=25)</v>
      </c>
      <c r="Q8" t="str">
        <f>V16</f>
        <v>Modest Band (scores 25-75)</v>
      </c>
      <c r="R8" t="str">
        <f>T16</f>
        <v>Higher Band (scores &gt;=75)</v>
      </c>
      <c r="Y8" s="214"/>
      <c r="AA8" s="214"/>
      <c r="AC8">
        <f>CHOOSE($B$3,INDEX(aScores_2014_O,$B8,$B$2),INDEX(aScores_2014_N,$B8,$B$2),INDEX(aScores_2017,$B8,$B$2))</f>
        <v>76.9075622869516</v>
      </c>
      <c r="AD8">
        <f ca="1">CHOOSE($B$3,AVERAGE(OFFSET(aScores_2014_O,$B8-1,0,1,$B$1)),AVERAGE(OFFSET(aScores_2014_N,$B8-1,0,1,$B$1)),AVERAGE(OFFSET(aScores_2017,$B8-1,0,1,$B$1)))</f>
        <v>71.9925644456</v>
      </c>
      <c r="AE8">
        <f ca="1">CHOOSE($B$3,MAX(OFFSET(aScores_2014_O,$B8-1,0,1,$B$1)),MAX(OFFSET(aScores_2014_N,$B8-1,0,1,$B$1)),MAX(OFFSET(aScores_2017,$B8-1,0,1,$B$1)))</f>
        <v>89.7970622963426</v>
      </c>
      <c r="AF8">
        <f ca="1">CHOOSE($B$3,MIN(OFFSET(aScores_2014_O,$B8-1,0,1,$B$1)),MIN(OFFSET(aScores_2014_N,$B8-1,0,1,$B$1)),MIN(OFFSET(aScores_2017,$B8-1,0,1,$B$1)))</f>
        <v>38.7737795060127</v>
      </c>
      <c r="AG8">
        <f>tblIndiSets!$B5</f>
        <v>1</v>
      </c>
      <c r="AH8">
        <f ca="1">INDEX(aScores_2014_N,$AG8,$AH$2)</f>
        <v>72.7346357937991</v>
      </c>
      <c r="AI8">
        <f>INDEX(aScores_2017,$AG8,$B$2)</f>
        <v>76.9075622869516</v>
      </c>
      <c r="AO8" t="str">
        <f>INDEX($E$8:$E$14,AO6)</f>
        <v>1) DIGITAL SECURITY</v>
      </c>
      <c r="AP8" t="str">
        <f>INDEX($E$8:$E$14,AP6)</f>
        <v>2) HEALTH SECURITY</v>
      </c>
      <c r="AQ8" t="str">
        <f>INDEX($E$8:$E$14,AQ6)</f>
        <v>2) HEALTH SECURITY</v>
      </c>
      <c r="AR8" t="str">
        <f>INDEX($E$8:$E$14,AR6)</f>
        <v>3) INFRASTRUCTURE SECURITY</v>
      </c>
    </row>
    <row r="9" spans="1:44">
      <c r="A9" t="str">
        <f>tblIndiSets!A6</f>
        <v>DISE</v>
      </c>
      <c r="B9">
        <f>IF($B$3=1,tblIndiSets_2014_O!B4,tblIndiSets!$B6)</f>
        <v>2</v>
      </c>
      <c r="E9" t="str">
        <f>tblIndiSets!C6</f>
        <v>1) DIGITAL SECURITY</v>
      </c>
      <c r="G9" s="284"/>
      <c r="H9" s="284">
        <f ca="1">IF(K9&gt;1,CONCATENATE("=",J9),J9)</f>
        <v>28</v>
      </c>
      <c r="I9" s="214">
        <f>CHOOSE($B$3,INDEX(aScores_2014_O,B9,$B$2),INDEX(aScores_2014_N,B9,$B$2),INDEX(aScores_2017,B9,$B$2))</f>
        <v>68.7742107919604</v>
      </c>
      <c r="J9">
        <f ca="1">CHOOSE($B$3,RANK(I9,OFFSET(aScores_2014_O,B9-1,0,1,$B$1)),RANK(I9,OFFSET(aScores_2014_N,B9-1,0,1,$B$1)),RANK(I9,OFFSET(aScores_2017,B9-1,0,1,$B$1)))</f>
        <v>28</v>
      </c>
      <c r="K9">
        <f ca="1">CHOOSE($B$3,COUNTIF(OFFSET(aScores_2014_O,B9-1,0,1,$B$1),I9),COUNTIF(OFFSET(aScores_2014_N,B9-1,0,1,$B$1),I9),COUNTIF(OFFSET(aScores_2017,B9-1,0,1,$B$1),I9))</f>
        <v>1</v>
      </c>
      <c r="L9" s="214">
        <f ca="1">CHOOSE($B$3,AVERAGE(OFFSET(aScores_2014_O,B9-1,0,1,$B$1)),AVERAGE(OFFSET(aScores_2014_N,B9-1,0,1,$B$1)),AVERAGE(OFFSET(aScores_2017,B9-1,0,1,$B$1)))</f>
        <v>66.1526391087488</v>
      </c>
      <c r="P9">
        <f ca="1">COUNT(P18:P140)</f>
        <v>33</v>
      </c>
      <c r="Q9">
        <f ca="1">COUNT(Q18:Q140)</f>
        <v>13</v>
      </c>
      <c r="R9">
        <f ca="1">COUNT(R18:R140)</f>
        <v>3</v>
      </c>
      <c r="Y9" s="214"/>
      <c r="AA9" s="214"/>
      <c r="AC9">
        <f>CHOOSE($B$3,INDEX(aScores_2014_O,$B9,$B$2),INDEX(aScores_2014_N,$B9,$B$2),INDEX(aScores_2017,$B9,$B$2))</f>
        <v>68.7742107919604</v>
      </c>
      <c r="AD9">
        <f ca="1">CHOOSE($B$3,AVERAGE(OFFSET(aScores_2014_O,$B9-1,0,1,$B$1)),AVERAGE(OFFSET(aScores_2014_N,$B9-1,0,1,$B$1)),AVERAGE(OFFSET(aScores_2017,$B9-1,0,1,$B$1)))</f>
        <v>66.1526391087488</v>
      </c>
      <c r="AE9">
        <f ca="1">CHOOSE($B$3,MAX(OFFSET(aScores_2014_O,$B9-1,0,1,$B$1)),MAX(OFFSET(aScores_2014_N,$B9-1,0,1,$B$1)),MAX(OFFSET(aScores_2017,$B9-1,0,1,$B$1)))</f>
        <v>88.4028362502467</v>
      </c>
      <c r="AF9">
        <f ca="1">CHOOSE($B$3,MIN(OFFSET(aScores_2014_O,$B9-1,0,1,$B$1)),MIN(OFFSET(aScores_2014_N,$B9-1,0,1,$B$1)),MIN(OFFSET(aScores_2017,$B9-1,0,1,$B$1)))</f>
        <v>36.6044906087199</v>
      </c>
      <c r="AG9">
        <f>tblIndiSets!$B6</f>
        <v>2</v>
      </c>
      <c r="AH9">
        <f ca="1">INDEX(aScores_2014_N,$AG9,$AH$2)</f>
        <v>79.2062404870624</v>
      </c>
      <c r="AI9">
        <f>INDEX(aScores_2017,$AG9,$B$2)</f>
        <v>68.7742107919604</v>
      </c>
      <c r="AM9">
        <v>1</v>
      </c>
      <c r="AN9">
        <f>INDEX($AH$6:$AK$6,1,AM9)</f>
        <v>2014</v>
      </c>
      <c r="AO9">
        <f ca="1">INDEX($AH$9:$AK$9,1,$AM9)</f>
        <v>79.2062404870624</v>
      </c>
      <c r="AP9">
        <f ca="1">INDEX($AH$10:$AK$10,1,$AM9)</f>
        <v>55.5546628583946</v>
      </c>
      <c r="AQ9">
        <f ca="1">INDEX($AH$10:$AK$10,1,$AM9)</f>
        <v>55.5546628583946</v>
      </c>
      <c r="AR9">
        <f ca="1">INDEX($AH$10:$AK$10,1,$AM9)</f>
        <v>55.5546628583946</v>
      </c>
    </row>
    <row r="10" spans="1:44">
      <c r="A10" t="str">
        <f>tblIndiSets!A7</f>
        <v>HESE</v>
      </c>
      <c r="B10">
        <f>IF($B$3=1,tblIndiSets_2014_O!B5,tblIndiSets!$B7)</f>
        <v>13</v>
      </c>
      <c r="E10" t="str">
        <f>tblIndiSets!C7</f>
        <v>2) HEALTH SECURITY</v>
      </c>
      <c r="G10" s="284"/>
      <c r="H10" s="284">
        <f ca="1">IF(K10&gt;1,CONCATENATE("=",J10),J10)</f>
        <v>33</v>
      </c>
      <c r="I10" s="214">
        <f>CHOOSE($B$3,INDEX(aScores_2014_O,B10,$B$2),INDEX(aScores_2014_N,B10,$B$2),INDEX(aScores_2017,B10,$B$2))</f>
        <v>68.5404322865189</v>
      </c>
      <c r="J10">
        <f ca="1">CHOOSE($B$3,RANK(I10,OFFSET(aScores_2014_O,B10-1,0,1,$B$1)),RANK(I10,OFFSET(aScores_2014_N,B10-1,0,1,$B$1)),RANK(I10,OFFSET(aScores_2017,B10-1,0,1,$B$1)))</f>
        <v>33</v>
      </c>
      <c r="K10">
        <f ca="1">CHOOSE($B$3,COUNTIF(OFFSET(aScores_2014_O,B10-1,0,1,$B$1),I10),COUNTIF(OFFSET(aScores_2014_N,B10-1,0,1,$B$1),I10),COUNTIF(OFFSET(aScores_2017,B10-1,0,1,$B$1),I10))</f>
        <v>1</v>
      </c>
      <c r="L10" s="214">
        <f ca="1">CHOOSE($B$3,AVERAGE(OFFSET(aScores_2014_O,B10-1,0,1,$B$1)),AVERAGE(OFFSET(aScores_2014_N,B10-1,0,1,$B$1)),AVERAGE(OFFSET(aScores_2017,B10-1,0,1,$B$1)))</f>
        <v>69.1874074785756</v>
      </c>
      <c r="Y10" s="214"/>
      <c r="AA10" s="214"/>
      <c r="AC10">
        <f>CHOOSE($B$3,INDEX(aScores_2014_O,$B10,$B$2),INDEX(aScores_2014_N,$B10,$B$2),INDEX(aScores_2017,$B10,$B$2))</f>
        <v>68.5404322865189</v>
      </c>
      <c r="AD10">
        <f ca="1">CHOOSE($B$3,AVERAGE(OFFSET(aScores_2014_O,$B10-1,0,1,$B$1)),AVERAGE(OFFSET(aScores_2014_N,$B10-1,0,1,$B$1)),AVERAGE(OFFSET(aScores_2017,$B10-1,0,1,$B$1)))</f>
        <v>69.1874074785756</v>
      </c>
      <c r="AE10">
        <f ca="1">CHOOSE($B$3,MAX(OFFSET(aScores_2014_O,$B10-1,0,1,$B$1)),MAX(OFFSET(aScores_2014_N,$B10-1,0,1,$B$1)),MAX(OFFSET(aScores_2017,$B10-1,0,1,$B$1)))</f>
        <v>87.1482616413409</v>
      </c>
      <c r="AF10">
        <f ca="1">CHOOSE($B$3,MIN(OFFSET(aScores_2014_O,$B10-1,0,1,$B$1)),MIN(OFFSET(aScores_2014_N,$B10-1,0,1,$B$1)),MIN(OFFSET(aScores_2017,$B10-1,0,1,$B$1)))</f>
        <v>39.9212106600053</v>
      </c>
      <c r="AG10">
        <f>tblIndiSets!$B7</f>
        <v>13</v>
      </c>
      <c r="AH10">
        <f ca="1">INDEX(aScores_2014_N,$AG10,$AH$2)</f>
        <v>55.5546628583946</v>
      </c>
      <c r="AI10">
        <f>INDEX(aScores_2017,$AG10,$B$2)</f>
        <v>68.5404322865189</v>
      </c>
      <c r="AM10">
        <v>2</v>
      </c>
      <c r="AN10">
        <f>INDEX($AH$6:$AK$6,1,AM10)</f>
        <v>2017</v>
      </c>
      <c r="AO10">
        <f ca="1">INDEX($AH$9:$AK$9,1,$AM10)</f>
        <v>68.7742107919604</v>
      </c>
      <c r="AP10">
        <f ca="1">INDEX($AH$10:$AK$10,1,$AM10)</f>
        <v>68.5404322865189</v>
      </c>
      <c r="AR10">
        <f ca="1">INDEX($AH$12:$AK$12,1,$AM10)</f>
        <v>78.9514458295227</v>
      </c>
    </row>
    <row r="11" spans="1:35">
      <c r="A11" t="str">
        <f>tblIndiSets!A8</f>
        <v>INSE</v>
      </c>
      <c r="B11">
        <f>IF($B$3=1,tblIndiSets_2014_O!B6,tblIndiSets!$B8)</f>
        <v>28</v>
      </c>
      <c r="E11" t="str">
        <f>tblIndiSets!C8</f>
        <v>3) INFRASTRUCTURE SECURITY</v>
      </c>
      <c r="G11" s="284"/>
      <c r="H11" s="284">
        <f ca="1">IF(K11&gt;1,CONCATENATE("=",J11),J11)</f>
        <v>16</v>
      </c>
      <c r="I11" s="214">
        <f>CHOOSE($B$3,INDEX(aScores_2014_O,B11,$B$2),INDEX(aScores_2014_N,B11,$B$2),INDEX(aScores_2017,B11,$B$2))</f>
        <v>91.3641602398045</v>
      </c>
      <c r="J11">
        <f ca="1">CHOOSE($B$3,RANK(I11,OFFSET(aScores_2014_O,B11-1,0,1,$B$1)),RANK(I11,OFFSET(aScores_2014_N,B11-1,0,1,$B$1)),RANK(I11,OFFSET(aScores_2017,B11-1,0,1,$B$1)))</f>
        <v>16</v>
      </c>
      <c r="K11">
        <f ca="1">CHOOSE($B$3,COUNTIF(OFFSET(aScores_2014_O,B11-1,0,1,$B$1),I11),COUNTIF(OFFSET(aScores_2014_N,B11-1,0,1,$B$1),I11),COUNTIF(OFFSET(aScores_2017,B11-1,0,1,$B$1),I11))</f>
        <v>1</v>
      </c>
      <c r="L11" s="214">
        <f ca="1">CHOOSE($B$3,AVERAGE(OFFSET(aScores_2014_O,B11-1,0,1,$B$1)),AVERAGE(OFFSET(aScores_2014_N,B11-1,0,1,$B$1)),AVERAGE(OFFSET(aScores_2017,B11-1,0,1,$B$1)))</f>
        <v>78.2023136731392</v>
      </c>
      <c r="Y11" s="214"/>
      <c r="AA11" s="214"/>
      <c r="AC11">
        <f>CHOOSE($B$3,INDEX(aScores_2014_O,$B11,$B$2),INDEX(aScores_2014_N,$B11,$B$2),INDEX(aScores_2017,$B11,$B$2))</f>
        <v>91.3641602398045</v>
      </c>
      <c r="AD11">
        <f ca="1">CHOOSE($B$3,AVERAGE(OFFSET(aScores_2014_O,$B11-1,0,1,$B$1)),AVERAGE(OFFSET(aScores_2014_N,$B11-1,0,1,$B$1)),AVERAGE(OFFSET(aScores_2017,$B11-1,0,1,$B$1)))</f>
        <v>78.2023136731392</v>
      </c>
      <c r="AE11">
        <f ca="1">CHOOSE($B$3,MAX(OFFSET(aScores_2014_O,$B11-1,0,1,$B$1)),MAX(OFFSET(aScores_2014_N,$B11-1,0,1,$B$1)),MAX(OFFSET(aScores_2017,$B11-1,0,1,$B$1)))</f>
        <v>97.0468547330032</v>
      </c>
      <c r="AF11">
        <f ca="1">CHOOSE($B$3,MIN(OFFSET(aScores_2014_O,$B11-1,0,1,$B$1)),MIN(OFFSET(aScores_2014_N,$B11-1,0,1,$B$1)),MIN(OFFSET(aScores_2017,$B11-1,0,1,$B$1)))</f>
        <v>38.4188834103654</v>
      </c>
      <c r="AG11">
        <f>tblIndiSets!$B8</f>
        <v>28</v>
      </c>
      <c r="AH11">
        <f ca="1">INDEX(aScores_2014_N,$AG11,$AH$2)</f>
        <v>87.5935350381347</v>
      </c>
      <c r="AI11">
        <f>INDEX(aScores_2017,$AG11,$B$2)</f>
        <v>91.3641602398045</v>
      </c>
    </row>
    <row r="12" spans="1:35">
      <c r="A12" t="str">
        <f>tblIndiSets!A9</f>
        <v>PESE</v>
      </c>
      <c r="B12">
        <f>IF($B$3=1,tblIndiSets_2014_O!B7,tblIndiSets!$B9)</f>
        <v>41</v>
      </c>
      <c r="E12" t="str">
        <f>tblIndiSets!C9</f>
        <v>4) PERSONAL SECURITY</v>
      </c>
      <c r="G12" s="284"/>
      <c r="H12" s="284">
        <f ca="1">IF(K12&gt;1,CONCATENATE("=",J12),J12)</f>
        <v>29</v>
      </c>
      <c r="I12" s="214">
        <f>CHOOSE($B$3,INDEX(aScores_2014_O,B12,$B$2),INDEX(aScores_2014_N,B12,$B$2),INDEX(aScores_2017,B12,$B$2))</f>
        <v>78.9514458295227</v>
      </c>
      <c r="J12">
        <f ca="1">CHOOSE($B$3,RANK(I12,OFFSET(aScores_2014_O,B12-1,0,1,$B$1)),RANK(I12,OFFSET(aScores_2014_N,B12-1,0,1,$B$1)),RANK(I12,OFFSET(aScores_2017,B12-1,0,1,$B$1)))</f>
        <v>29</v>
      </c>
      <c r="K12">
        <f ca="1">CHOOSE($B$3,COUNTIF(OFFSET(aScores_2014_O,B12-1,0,1,$B$1),I12),COUNTIF(OFFSET(aScores_2014_N,B12-1,0,1,$B$1),I12),COUNTIF(OFFSET(aScores_2017,B12-1,0,1,$B$1),I12))</f>
        <v>1</v>
      </c>
      <c r="L12" s="214">
        <f ca="1">CHOOSE($B$3,AVERAGE(OFFSET(aScores_2014_O,B12-1,0,1,$B$1)),AVERAGE(OFFSET(aScores_2014_N,B12-1,0,1,$B$1)),AVERAGE(OFFSET(aScores_2017,B12-1,0,1,$B$1)))</f>
        <v>74.4278975219364</v>
      </c>
      <c r="Y12" s="214"/>
      <c r="AA12" s="214"/>
      <c r="AC12">
        <f>CHOOSE($B$3,INDEX(aScores_2014_O,$B12,$B$2),INDEX(aScores_2014_N,$B12,$B$2),INDEX(aScores_2017,$B12,$B$2))</f>
        <v>78.9514458295227</v>
      </c>
      <c r="AD12">
        <f ca="1">CHOOSE($B$3,AVERAGE(OFFSET(aScores_2014_O,$B12-1,0,1,$B$1)),AVERAGE(OFFSET(aScores_2014_N,$B12-1,0,1,$B$1)),AVERAGE(OFFSET(aScores_2017,$B12-1,0,1,$B$1)))</f>
        <v>74.4278975219364</v>
      </c>
      <c r="AE12">
        <f ca="1">CHOOSE($B$3,MAX(OFFSET(aScores_2014_O,$B12-1,0,1,$B$1)),MAX(OFFSET(aScores_2014_N,$B12-1,0,1,$B$1)),MAX(OFFSET(aScores_2017,$B12-1,0,1,$B$1)))</f>
        <v>94.9449789045779</v>
      </c>
      <c r="AF12">
        <f ca="1">CHOOSE($B$3,MIN(OFFSET(aScores_2014_O,$B12-1,0,1,$B$1)),MIN(OFFSET(aScores_2014_N,$B12-1,0,1,$B$1)),MIN(OFFSET(aScores_2017,$B12-1,0,1,$B$1)))</f>
        <v>31.8451369753181</v>
      </c>
      <c r="AG12">
        <f>tblIndiSets!$B9</f>
        <v>41</v>
      </c>
      <c r="AH12">
        <f ca="1">INDEX(aScores_2014_N,$AG12,$AH$2)</f>
        <v>68.5841047916048</v>
      </c>
      <c r="AI12">
        <f>INDEX(aScores_2017,$AG12,$B$2)</f>
        <v>78.9514458295227</v>
      </c>
    </row>
    <row r="13" spans="7:27">
      <c r="G13" s="284"/>
      <c r="H13" s="284"/>
      <c r="I13" s="214"/>
      <c r="L13" s="214"/>
      <c r="Y13" s="214"/>
      <c r="AA13" s="214"/>
    </row>
    <row r="14" spans="7:27">
      <c r="G14" s="284"/>
      <c r="H14" s="284"/>
      <c r="I14" s="214"/>
      <c r="L14" s="214"/>
      <c r="Y14" s="214"/>
      <c r="AA14" s="214"/>
    </row>
    <row r="15" spans="14:18">
      <c r="N15" t="s">
        <v>396</v>
      </c>
      <c r="P15" s="282">
        <v>25</v>
      </c>
      <c r="Q15" s="282">
        <v>75</v>
      </c>
      <c r="R15" s="282"/>
    </row>
    <row r="16" spans="13:24">
      <c r="M16" t="str">
        <f>uxb_works!A21</f>
        <v>Indi_ID</v>
      </c>
      <c r="N16" s="285">
        <f>uxb_works!B29</f>
        <v>3</v>
      </c>
      <c r="P16" s="282">
        <v>3</v>
      </c>
      <c r="Q16" s="282">
        <v>2</v>
      </c>
      <c r="R16" s="282">
        <v>1</v>
      </c>
      <c r="T16" t="s">
        <v>397</v>
      </c>
      <c r="V16" t="s">
        <v>398</v>
      </c>
      <c r="X16" t="s">
        <v>399</v>
      </c>
    </row>
    <row r="17" s="282" customFormat="1" spans="7:18">
      <c r="G17" s="282" t="s">
        <v>14</v>
      </c>
      <c r="H17" s="282" t="s">
        <v>400</v>
      </c>
      <c r="I17" s="282" t="str">
        <f>CONCATENATE("Rank / ",$B$1)</f>
        <v>Rank / 60</v>
      </c>
      <c r="J17" s="282" t="s">
        <v>16</v>
      </c>
      <c r="M17" s="282" t="s">
        <v>25</v>
      </c>
      <c r="N17" s="282" t="s">
        <v>401</v>
      </c>
      <c r="P17" s="282">
        <v>0</v>
      </c>
      <c r="Q17" s="282">
        <v>0</v>
      </c>
      <c r="R17" s="282">
        <v>0</v>
      </c>
    </row>
    <row r="18" spans="2:25">
      <c r="B18">
        <f>tblIndiSets!A175</f>
        <v>1</v>
      </c>
      <c r="C18">
        <f>tblIndiSets!C175</f>
        <v>0</v>
      </c>
      <c r="E18" t="str">
        <f>tblIndiSets!B175</f>
        <v>OVERALL SCORE</v>
      </c>
      <c r="G18">
        <f ca="1" t="shared" ref="G18:G27" si="0">IF(B18="","",CHOOSE($B$3,RANK(J18,OFFSET(aScores_2014_O,B18-1,0,1,$B$1)),RANK(J18,OFFSET(aScores_2014_N,B18-1,0,1,$B$1)),RANK(J18,OFFSET(aScores_2017,B18-1,0,1,$B$1))))</f>
        <v>28</v>
      </c>
      <c r="H18">
        <f ca="1" t="shared" ref="H18:H27" si="1">IF(B18="","",CHOOSE($B$3,COUNTIF(OFFSET(aScores_2014_O,B18-1,0,1,$B$1),J18),COUNTIF(OFFSET(aScores_2014_N,B18-1,0,1,$B$1),J18),COUNTIF(OFFSET(aScores_2017,B18-1,0,1,$B$1),J18)))</f>
        <v>1</v>
      </c>
      <c r="I18" s="284">
        <f ca="1">IF(B18="","",IF(H18&gt;1,CONCATENATE("=",G18),G18))</f>
        <v>28</v>
      </c>
      <c r="J18">
        <f t="shared" ref="J18:J27" si="2">IF(B18="","",CHOOSE($B$3,INDEX(aScores_2014_O,B18,$B$2),INDEX(aScores_2014_N,B18,$B$2),INDEX(aScores_2017,B18,$B$2)))</f>
        <v>76.9075622869516</v>
      </c>
      <c r="K18" s="286" t="str">
        <f>IF(B18="","",REPT("|",J18/3))</f>
        <v>|||||||||||||||||||||||||</v>
      </c>
      <c r="L18" s="287"/>
      <c r="M18" s="214" t="str">
        <f>IF(B18="","",IF(C18&lt;2,"",IF(F18="%",100*INDEX(aData,B18,$B$2),INDEX(aData,B18,$B$2))))</f>
        <v/>
      </c>
      <c r="N18">
        <f t="shared" ref="N18:N27" si="3">IF(B18="","",CHOOSE($N$16,IF(C18&lt;&gt;1,0,IF(J18&gt;=Q$15,3,IF(J18&gt;=P$15,2,1))),IF(C18&lt;&gt;2,0,IF(J18&gt;=Q$15,3,IF(J18&gt;=P$15,2,1))),IF(C18&lt;&gt;3,0,IF(J18&gt;=Q$15,3,IF(J18&gt;=P$15,2,1)))))</f>
        <v>0</v>
      </c>
      <c r="O18" t="str">
        <f>tblIndicators!V2</f>
        <v>0.0</v>
      </c>
      <c r="P18">
        <f ca="1" t="shared" ref="P18:P49" si="4">P17+MATCH(P$16,OFFSET($N$18:$N$140,P17,0),0)</f>
        <v>7</v>
      </c>
      <c r="Q18">
        <f ca="1" t="shared" ref="Q18:Q49" si="5">Q17+MATCH(Q$16,OFFSET($N$18:$N$140,Q17,0),0)</f>
        <v>4</v>
      </c>
      <c r="R18">
        <f ca="1" t="shared" ref="R18:R49" si="6">R17+MATCH(R$16,OFFSET($N$18:$N$140,R17,0),0)</f>
        <v>17</v>
      </c>
      <c r="T18" t="str">
        <f ca="1" t="shared" ref="T18:T49" si="7">IF(ISNUMBER(P18),INDEX($E$18:$E$140,P18),"")</f>
        <v>   1.1.4) Level of technology employed</v>
      </c>
      <c r="U18">
        <f ca="1" t="shared" ref="U18:U49" si="8">IF(ISNUMBER(P18),INDEX($J$18:$J$140,P18),"")</f>
        <v>100</v>
      </c>
      <c r="V18" t="str">
        <f ca="1" t="shared" ref="V18:V49" si="9">IF(ISNUMBER(Q18),INDEX($E$18:$E$140,Q18),"")</f>
        <v>   1.1.1) Privacy policy</v>
      </c>
      <c r="W18">
        <f ca="1" t="shared" ref="W18:W49" si="10">IF(ISNUMBER(Q18),INDEX($J$18:$J$140,Q18),"")</f>
        <v>50</v>
      </c>
      <c r="X18" t="str">
        <f ca="1" t="shared" ref="X18:X49" si="11">IF(ISNUMBER(R18),INDEX($E$18:$E$140,R18),"")</f>
        <v>   2.1.3) No. of beds per 1,000</v>
      </c>
      <c r="Y18">
        <f ca="1" t="shared" ref="Y18:Y49" si="12">IF(ISNUMBER(R18),INDEX($J$18:$J$140,R18),"")</f>
        <v>8.26514587982478</v>
      </c>
    </row>
    <row r="19" spans="2:25">
      <c r="B19">
        <f>tblIndiSets!A176</f>
        <v>2</v>
      </c>
      <c r="C19">
        <f>tblIndiSets!C176</f>
        <v>1</v>
      </c>
      <c r="E19" t="str">
        <f>tblIndiSets!B176</f>
        <v> 1) DIGITAL SECURITY</v>
      </c>
      <c r="G19">
        <f ca="1" t="shared" si="0"/>
        <v>28</v>
      </c>
      <c r="H19">
        <f ca="1" t="shared" si="1"/>
        <v>1</v>
      </c>
      <c r="I19" s="284">
        <f ca="1" t="shared" ref="I19:I27" si="13">IF(B19="","",IF(H19&gt;1,CONCATENATE("=",G19),G19))</f>
        <v>28</v>
      </c>
      <c r="J19">
        <f t="shared" si="2"/>
        <v>68.7742107919604</v>
      </c>
      <c r="K19" s="286" t="str">
        <f>IF(B19="","",REPT("|",J19/3))</f>
        <v>||||||||||||||||||||||</v>
      </c>
      <c r="L19" s="287"/>
      <c r="M19" s="214" t="str">
        <f>IF(B19="","",IF(C19&lt;2,"",IF(F19="%",100*INDEX(aData,B19,$B$2),INDEX(aData,B19,$B$2))))</f>
        <v/>
      </c>
      <c r="N19">
        <f t="shared" si="3"/>
        <v>0</v>
      </c>
      <c r="O19" t="str">
        <f>tblIndicators!V3</f>
        <v>0.0</v>
      </c>
      <c r="P19">
        <f ca="1" t="shared" si="4"/>
        <v>10</v>
      </c>
      <c r="Q19">
        <f ca="1" t="shared" si="5"/>
        <v>5</v>
      </c>
      <c r="R19">
        <f ca="1" t="shared" si="6"/>
        <v>18</v>
      </c>
      <c r="T19" t="str">
        <f ca="1" t="shared" si="7"/>
        <v>   1.2.1) Frequency of identity theft</v>
      </c>
      <c r="U19">
        <f ca="1" t="shared" si="8"/>
        <v>100</v>
      </c>
      <c r="V19" t="str">
        <f ca="1" t="shared" si="9"/>
        <v>   1.1.2) Citizen awareness of digital threats</v>
      </c>
      <c r="W19">
        <f ca="1" t="shared" si="10"/>
        <v>66.6666666666667</v>
      </c>
      <c r="X19" t="str">
        <f ca="1" t="shared" si="11"/>
        <v>   2.1.4) No. of doctors per 1,000</v>
      </c>
      <c r="Y19">
        <f ca="1" t="shared" si="12"/>
        <v>16.365171249397</v>
      </c>
    </row>
    <row r="20" spans="2:25">
      <c r="B20">
        <f>tblIndiSets!A177</f>
        <v>3</v>
      </c>
      <c r="C20">
        <f>tblIndiSets!C177</f>
        <v>2</v>
      </c>
      <c r="E20" t="str">
        <f>tblIndiSets!B177</f>
        <v>  1.1) Digital security (Inputs)</v>
      </c>
      <c r="G20">
        <f ca="1" t="shared" si="0"/>
        <v>29</v>
      </c>
      <c r="H20">
        <f ca="1" t="shared" si="1"/>
        <v>4</v>
      </c>
      <c r="I20" s="284" t="str">
        <f ca="1" t="shared" si="13"/>
        <v>=29</v>
      </c>
      <c r="J20">
        <f t="shared" si="2"/>
        <v>63.3333333333333</v>
      </c>
      <c r="K20" s="286" t="str">
        <f>IF(B20="","",REPT("|",J20/3))</f>
        <v>|||||||||||||||||||||</v>
      </c>
      <c r="L20" s="287"/>
      <c r="M20" s="214" t="e">
        <f>IF(B20="","",IF(C20&lt;2,"",IF(F20="%",100*INDEX(aData,B20,$B$2),INDEX(aData,B20,$B$2))))</f>
        <v>#NAME?</v>
      </c>
      <c r="N20">
        <f t="shared" si="3"/>
        <v>0</v>
      </c>
      <c r="O20" t="str">
        <f>tblIndicators!V4</f>
        <v>0.0</v>
      </c>
      <c r="P20">
        <f ca="1" t="shared" si="4"/>
        <v>12</v>
      </c>
      <c r="Q20">
        <f ca="1" t="shared" si="5"/>
        <v>6</v>
      </c>
      <c r="R20">
        <f ca="1" t="shared" si="6"/>
        <v>46</v>
      </c>
      <c r="T20" t="str">
        <f ca="1" t="shared" si="7"/>
        <v>   1.2.3) Percentage with Internet access</v>
      </c>
      <c r="U20">
        <f ca="1" t="shared" si="8"/>
        <v>97.6452647517627</v>
      </c>
      <c r="V20" t="str">
        <f ca="1" t="shared" si="9"/>
        <v>   1.1.3) Public-private partnerships</v>
      </c>
      <c r="W20">
        <f ca="1" t="shared" si="10"/>
        <v>50</v>
      </c>
      <c r="X20" t="str">
        <f ca="1" t="shared" si="11"/>
        <v>   4.1.4) Use of data-driven techniques for crime</v>
      </c>
      <c r="Y20">
        <f ca="1" t="shared" si="12"/>
        <v>0</v>
      </c>
    </row>
    <row r="21" spans="2:25">
      <c r="B21">
        <f>tblIndiSets!A178</f>
        <v>4</v>
      </c>
      <c r="C21">
        <f>tblIndiSets!C178</f>
        <v>3</v>
      </c>
      <c r="E21" t="str">
        <f>tblIndiSets!B178</f>
        <v>   1.1.1) Privacy policy</v>
      </c>
      <c r="G21">
        <f ca="1" t="shared" si="0"/>
        <v>33</v>
      </c>
      <c r="H21">
        <f ca="1" t="shared" si="1"/>
        <v>13</v>
      </c>
      <c r="I21" s="284" t="str">
        <f ca="1" t="shared" si="13"/>
        <v>=33</v>
      </c>
      <c r="J21">
        <f t="shared" si="2"/>
        <v>50</v>
      </c>
      <c r="K21" s="286" t="str">
        <f t="shared" ref="K21:K27" si="14">IF(B21="","",REPT("|",J21/3))</f>
        <v>||||||||||||||||</v>
      </c>
      <c r="L21" s="287"/>
      <c r="M21" s="214" t="e">
        <f t="shared" ref="M21:M27" si="15">IF(B21="","",IF(C21&lt;2,"",IF(F21="%",100*INDEX(aData,B21,$B$2),INDEX(aData,B21,$B$2))))</f>
        <v>#NAME?</v>
      </c>
      <c r="N21">
        <f t="shared" si="3"/>
        <v>2</v>
      </c>
      <c r="O21">
        <f>tblIndicators!V5</f>
        <v>0</v>
      </c>
      <c r="P21">
        <f ca="1" t="shared" si="4"/>
        <v>19</v>
      </c>
      <c r="Q21">
        <f ca="1" t="shared" si="5"/>
        <v>8</v>
      </c>
      <c r="R21" t="e">
        <f ca="1" t="shared" si="6"/>
        <v>#N/A</v>
      </c>
      <c r="T21" t="str">
        <f ca="1" t="shared" si="7"/>
        <v>   2.1.5) Access to safe and quality food</v>
      </c>
      <c r="U21">
        <f ca="1" t="shared" si="8"/>
        <v>99.7</v>
      </c>
      <c r="V21" t="str">
        <f ca="1" t="shared" si="9"/>
        <v>   1.1.5) Dedicated cyber security teams</v>
      </c>
      <c r="W21">
        <f ca="1" t="shared" si="10"/>
        <v>50</v>
      </c>
      <c r="X21" t="str">
        <f ca="1" t="shared" si="11"/>
        <v/>
      </c>
      <c r="Y21" t="str">
        <f ca="1" t="shared" si="12"/>
        <v/>
      </c>
    </row>
    <row r="22" spans="2:25">
      <c r="B22">
        <f>tblIndiSets!A179</f>
        <v>5</v>
      </c>
      <c r="C22">
        <f>tblIndiSets!C179</f>
        <v>3</v>
      </c>
      <c r="E22" t="str">
        <f>tblIndiSets!B179</f>
        <v>   1.1.2) Citizen awareness of digital threats</v>
      </c>
      <c r="G22">
        <f ca="1" t="shared" si="0"/>
        <v>24</v>
      </c>
      <c r="H22">
        <f ca="1" t="shared" si="1"/>
        <v>24</v>
      </c>
      <c r="I22" s="284" t="str">
        <f ca="1" t="shared" si="13"/>
        <v>=24</v>
      </c>
      <c r="J22">
        <f t="shared" si="2"/>
        <v>66.6666666666667</v>
      </c>
      <c r="K22" s="286" t="str">
        <f t="shared" si="14"/>
        <v>||||||||||||||||||||||</v>
      </c>
      <c r="L22" s="287"/>
      <c r="M22" s="214" t="e">
        <f t="shared" si="15"/>
        <v>#NAME?</v>
      </c>
      <c r="N22">
        <f t="shared" si="3"/>
        <v>2</v>
      </c>
      <c r="O22">
        <f>tblIndicators!V6</f>
        <v>0</v>
      </c>
      <c r="P22">
        <f ca="1" t="shared" si="4"/>
        <v>20</v>
      </c>
      <c r="Q22">
        <f ca="1" t="shared" si="5"/>
        <v>11</v>
      </c>
      <c r="R22" t="e">
        <f ca="1" t="shared" si="6"/>
        <v>#N/A</v>
      </c>
      <c r="T22" t="str">
        <f ca="1" t="shared" si="7"/>
        <v>   2.1.6) Quality of health services</v>
      </c>
      <c r="U22">
        <f ca="1" t="shared" si="8"/>
        <v>75</v>
      </c>
      <c r="V22" t="str">
        <f ca="1" t="shared" si="9"/>
        <v>   1.2.2) Percentage of computers infected</v>
      </c>
      <c r="W22">
        <f ca="1" t="shared" si="10"/>
        <v>25</v>
      </c>
      <c r="X22" t="str">
        <f ca="1" t="shared" si="11"/>
        <v/>
      </c>
      <c r="Y22" t="str">
        <f ca="1" t="shared" si="12"/>
        <v/>
      </c>
    </row>
    <row r="23" spans="2:25">
      <c r="B23">
        <f>tblIndiSets!A180</f>
        <v>6</v>
      </c>
      <c r="C23">
        <f>tblIndiSets!C180</f>
        <v>3</v>
      </c>
      <c r="E23" t="str">
        <f>tblIndiSets!B180</f>
        <v>   1.1.3) Public-private partnerships</v>
      </c>
      <c r="G23">
        <f ca="1" t="shared" si="0"/>
        <v>11</v>
      </c>
      <c r="H23">
        <f ca="1" t="shared" si="1"/>
        <v>32</v>
      </c>
      <c r="I23" s="284" t="str">
        <f ca="1" t="shared" si="13"/>
        <v>=11</v>
      </c>
      <c r="J23">
        <f t="shared" si="2"/>
        <v>50</v>
      </c>
      <c r="K23" s="286" t="str">
        <f t="shared" si="14"/>
        <v>||||||||||||||||</v>
      </c>
      <c r="L23" s="287"/>
      <c r="M23" s="214" t="e">
        <f t="shared" si="15"/>
        <v>#NAME?</v>
      </c>
      <c r="N23">
        <f t="shared" si="3"/>
        <v>2</v>
      </c>
      <c r="O23">
        <f>tblIndicators!V7</f>
        <v>0</v>
      </c>
      <c r="P23">
        <f ca="1" t="shared" si="4"/>
        <v>23</v>
      </c>
      <c r="Q23">
        <f ca="1" t="shared" si="5"/>
        <v>15</v>
      </c>
      <c r="R23" t="e">
        <f ca="1" t="shared" si="6"/>
        <v>#N/A</v>
      </c>
      <c r="T23" t="str">
        <f ca="1" t="shared" si="7"/>
        <v>   2.2.2) Water quality</v>
      </c>
      <c r="U23">
        <f ca="1" t="shared" si="8"/>
        <v>91.3447138534964</v>
      </c>
      <c r="V23" t="str">
        <f ca="1" t="shared" si="9"/>
        <v>   2.1.1) Environmental policies</v>
      </c>
      <c r="W23">
        <f ca="1" t="shared" si="10"/>
        <v>62.7906976744186</v>
      </c>
      <c r="X23" t="str">
        <f ca="1" t="shared" si="11"/>
        <v/>
      </c>
      <c r="Y23" t="str">
        <f ca="1" t="shared" si="12"/>
        <v/>
      </c>
    </row>
    <row r="24" spans="2:25">
      <c r="B24">
        <f>tblIndiSets!A181</f>
        <v>7</v>
      </c>
      <c r="C24">
        <f>tblIndiSets!C181</f>
        <v>3</v>
      </c>
      <c r="E24" t="str">
        <f>tblIndiSets!B181</f>
        <v>   1.1.4) Level of technology employed</v>
      </c>
      <c r="G24">
        <f ca="1" t="shared" si="0"/>
        <v>1</v>
      </c>
      <c r="H24">
        <f ca="1" t="shared" si="1"/>
        <v>28</v>
      </c>
      <c r="I24" s="284" t="str">
        <f ca="1" t="shared" si="13"/>
        <v>=1</v>
      </c>
      <c r="J24">
        <f t="shared" si="2"/>
        <v>100</v>
      </c>
      <c r="K24" s="286" t="str">
        <f t="shared" si="14"/>
        <v>|||||||||||||||||||||||||||||||||</v>
      </c>
      <c r="L24" s="287"/>
      <c r="M24" s="214" t="e">
        <f t="shared" si="15"/>
        <v>#NAME?</v>
      </c>
      <c r="N24">
        <f t="shared" si="3"/>
        <v>3</v>
      </c>
      <c r="O24" t="str">
        <f>tblIndicators!V8</f>
        <v>0.0</v>
      </c>
      <c r="P24">
        <f ca="1" t="shared" si="4"/>
        <v>25</v>
      </c>
      <c r="Q24">
        <f ca="1" t="shared" si="5"/>
        <v>16</v>
      </c>
      <c r="R24" t="e">
        <f ca="1" t="shared" si="6"/>
        <v>#N/A</v>
      </c>
      <c r="T24" t="str">
        <f ca="1" t="shared" si="7"/>
        <v>   2.2.4) Infant mortality</v>
      </c>
      <c r="U24">
        <f ca="1" t="shared" si="8"/>
        <v>93.1570762052877</v>
      </c>
      <c r="V24" t="str">
        <f ca="1" t="shared" si="9"/>
        <v>   2.1.2) Access to healthcare</v>
      </c>
      <c r="W24">
        <f ca="1" t="shared" si="10"/>
        <v>73.3333333333333</v>
      </c>
      <c r="X24" t="str">
        <f ca="1" t="shared" si="11"/>
        <v/>
      </c>
      <c r="Y24" t="str">
        <f ca="1" t="shared" si="12"/>
        <v/>
      </c>
    </row>
    <row r="25" spans="2:25">
      <c r="B25">
        <f>tblIndiSets!A182</f>
        <v>8</v>
      </c>
      <c r="C25">
        <f>tblIndiSets!C182</f>
        <v>3</v>
      </c>
      <c r="E25" t="str">
        <f>tblIndiSets!B182</f>
        <v>   1.1.5) Dedicated cyber security teams</v>
      </c>
      <c r="G25">
        <f ca="1" t="shared" si="0"/>
        <v>20</v>
      </c>
      <c r="H25">
        <f ca="1" t="shared" si="1"/>
        <v>41</v>
      </c>
      <c r="I25" s="284" t="str">
        <f ca="1" t="shared" si="13"/>
        <v>=20</v>
      </c>
      <c r="J25">
        <f t="shared" si="2"/>
        <v>50</v>
      </c>
      <c r="K25" s="286" t="str">
        <f t="shared" si="14"/>
        <v>||||||||||||||||</v>
      </c>
      <c r="L25" s="287"/>
      <c r="M25" s="214" t="e">
        <f t="shared" si="15"/>
        <v>#NAME?</v>
      </c>
      <c r="N25">
        <f t="shared" si="3"/>
        <v>2</v>
      </c>
      <c r="O25">
        <f>tblIndicators!V9</f>
        <v>0</v>
      </c>
      <c r="P25">
        <f ca="1" t="shared" si="4"/>
        <v>26</v>
      </c>
      <c r="Q25">
        <f ca="1" t="shared" si="5"/>
        <v>22</v>
      </c>
      <c r="R25" t="e">
        <f ca="1" t="shared" si="6"/>
        <v>#N/A</v>
      </c>
      <c r="T25" t="str">
        <f ca="1" t="shared" si="7"/>
        <v>   2.2.5) Cancer mortality rate</v>
      </c>
      <c r="U25">
        <f ca="1" t="shared" si="8"/>
        <v>83.4127659574468</v>
      </c>
      <c r="V25" t="str">
        <f ca="1" t="shared" si="9"/>
        <v>   2.2.1) Air quality (PM 2.5 levels)</v>
      </c>
      <c r="W25">
        <f ca="1" t="shared" si="10"/>
        <v>44.2188213579332</v>
      </c>
      <c r="X25" t="str">
        <f ca="1" t="shared" si="11"/>
        <v/>
      </c>
      <c r="Y25" t="str">
        <f ca="1" t="shared" si="12"/>
        <v/>
      </c>
    </row>
    <row r="26" spans="2:25">
      <c r="B26">
        <f>tblIndiSets!A183</f>
        <v>9</v>
      </c>
      <c r="C26">
        <f>tblIndiSets!C183</f>
        <v>2</v>
      </c>
      <c r="E26" t="str">
        <f>tblIndiSets!B183</f>
        <v>  1.2) Digital security (Outputs)</v>
      </c>
      <c r="G26">
        <f ca="1" t="shared" si="0"/>
        <v>17</v>
      </c>
      <c r="H26">
        <f ca="1" t="shared" si="1"/>
        <v>1</v>
      </c>
      <c r="I26" s="284">
        <f ca="1" t="shared" si="13"/>
        <v>17</v>
      </c>
      <c r="J26">
        <f t="shared" si="2"/>
        <v>74.2150882505875</v>
      </c>
      <c r="K26" s="286" t="str">
        <f t="shared" si="14"/>
        <v>||||||||||||||||||||||||</v>
      </c>
      <c r="L26" s="287"/>
      <c r="M26" s="214" t="e">
        <f t="shared" si="15"/>
        <v>#NAME?</v>
      </c>
      <c r="N26">
        <f t="shared" si="3"/>
        <v>0</v>
      </c>
      <c r="O26" t="str">
        <f>tblIndicators!V10</f>
        <v>0.0</v>
      </c>
      <c r="P26">
        <f ca="1" t="shared" si="4"/>
        <v>27</v>
      </c>
      <c r="Q26">
        <f ca="1" t="shared" si="5"/>
        <v>24</v>
      </c>
      <c r="R26" t="e">
        <f ca="1" t="shared" si="6"/>
        <v>#N/A</v>
      </c>
      <c r="T26" t="str">
        <f ca="1" t="shared" si="7"/>
        <v>   2.2.6) Number of attacks using biological, chemical and/or radiological weapons</v>
      </c>
      <c r="U26">
        <f ca="1" t="shared" si="8"/>
        <v>100</v>
      </c>
      <c r="V26" t="str">
        <f ca="1" t="shared" si="9"/>
        <v>   2.2.3) Life expectancy years</v>
      </c>
      <c r="W26">
        <f ca="1" t="shared" si="10"/>
        <v>74.8974619270887</v>
      </c>
      <c r="X26" t="str">
        <f ca="1" t="shared" si="11"/>
        <v/>
      </c>
      <c r="Y26" t="str">
        <f ca="1" t="shared" si="12"/>
        <v/>
      </c>
    </row>
    <row r="27" spans="2:25">
      <c r="B27">
        <f>tblIndiSets!A184</f>
        <v>10</v>
      </c>
      <c r="C27">
        <f>tblIndiSets!C184</f>
        <v>3</v>
      </c>
      <c r="E27" t="str">
        <f>tblIndiSets!B184</f>
        <v>   1.2.1) Frequency of identity theft</v>
      </c>
      <c r="G27">
        <f ca="1" t="shared" si="0"/>
        <v>1</v>
      </c>
      <c r="H27">
        <f ca="1" t="shared" si="1"/>
        <v>25</v>
      </c>
      <c r="I27" s="284" t="str">
        <f ca="1" t="shared" si="13"/>
        <v>=1</v>
      </c>
      <c r="J27">
        <f t="shared" si="2"/>
        <v>100</v>
      </c>
      <c r="K27" s="286" t="str">
        <f t="shared" si="14"/>
        <v>|||||||||||||||||||||||||||||||||</v>
      </c>
      <c r="L27" s="287"/>
      <c r="M27" s="214" t="e">
        <f t="shared" si="15"/>
        <v>#NAME?</v>
      </c>
      <c r="N27">
        <f t="shared" si="3"/>
        <v>3</v>
      </c>
      <c r="O27" t="str">
        <f>tblIndicators!V11</f>
        <v>0.0</v>
      </c>
      <c r="P27">
        <f ca="1" t="shared" si="4"/>
        <v>30</v>
      </c>
      <c r="Q27">
        <f ca="1" t="shared" si="5"/>
        <v>38</v>
      </c>
      <c r="R27" t="e">
        <f ca="1" t="shared" si="6"/>
        <v>#N/A</v>
      </c>
      <c r="T27" t="str">
        <f ca="1" t="shared" si="7"/>
        <v>   3.1.1) Enforcement of transport safety</v>
      </c>
      <c r="U27">
        <f ca="1" t="shared" si="8"/>
        <v>100</v>
      </c>
      <c r="V27" t="str">
        <f ca="1" t="shared" si="9"/>
        <v>   3.2.3) Frequency of pedestrian deaths</v>
      </c>
      <c r="W27">
        <f ca="1" t="shared" si="10"/>
        <v>67.9502659640083</v>
      </c>
      <c r="X27" t="str">
        <f ca="1" t="shared" si="11"/>
        <v/>
      </c>
      <c r="Y27" t="str">
        <f ca="1" t="shared" si="12"/>
        <v/>
      </c>
    </row>
    <row r="28" spans="2:25">
      <c r="B28">
        <f>tblIndiSets!A185</f>
        <v>11</v>
      </c>
      <c r="C28">
        <f>tblIndiSets!C185</f>
        <v>3</v>
      </c>
      <c r="E28" t="str">
        <f>tblIndiSets!B185</f>
        <v>   1.2.2) Percentage of computers infected</v>
      </c>
      <c r="G28">
        <f ca="1" t="shared" ref="G28:G79" si="16">IF(B28="","",CHOOSE($B$3,RANK(J28,OFFSET(aScores_2014_O,B28-1,0,1,$B$1)),RANK(J28,OFFSET(aScores_2014_N,B28-1,0,1,$B$1)),RANK(J28,OFFSET(aScores_2017,B28-1,0,1,$B$1))))</f>
        <v>42</v>
      </c>
      <c r="H28">
        <f ca="1" t="shared" ref="H28:H79" si="17">IF(B28="","",CHOOSE($B$3,COUNTIF(OFFSET(aScores_2014_O,B28-1,0,1,$B$1),J28),COUNTIF(OFFSET(aScores_2014_N,B28-1,0,1,$B$1),J28),COUNTIF(OFFSET(aScores_2017,B28-1,0,1,$B$1),J28)))</f>
        <v>18</v>
      </c>
      <c r="I28" s="284" t="str">
        <f ca="1" t="shared" ref="I28:I79" si="18">IF(B28="","",IF(H28&gt;1,CONCATENATE("=",G28),G28))</f>
        <v>=42</v>
      </c>
      <c r="J28">
        <f t="shared" ref="J28:J79" si="19">IF(B28="","",CHOOSE($B$3,INDEX(aScores_2014_O,B28,$B$2),INDEX(aScores_2014_N,B28,$B$2),INDEX(aScores_2017,B28,$B$2)))</f>
        <v>25</v>
      </c>
      <c r="K28" s="286" t="str">
        <f t="shared" ref="K28:K79" si="20">IF(B28="","",REPT("|",J28/3))</f>
        <v>||||||||</v>
      </c>
      <c r="L28" s="287"/>
      <c r="M28" s="214" t="e">
        <f t="shared" ref="M28:M79" si="21">IF(B28="","",IF(C28&lt;2,"",IF(F28="%",100*INDEX(aData,B28,$B$2),INDEX(aData,B28,$B$2))))</f>
        <v>#NAME?</v>
      </c>
      <c r="N28">
        <f t="shared" ref="N28:N79" si="22">IF(B28="","",CHOOSE($N$16,IF(C28&lt;&gt;1,0,IF(J28&gt;=Q$15,3,IF(J28&gt;=P$15,2,1))),IF(C28&lt;&gt;2,0,IF(J28&gt;=Q$15,3,IF(J28&gt;=P$15,2,1))),IF(C28&lt;&gt;3,0,IF(J28&gt;=Q$15,3,IF(J28&gt;=P$15,2,1)))))</f>
        <v>2</v>
      </c>
      <c r="O28">
        <f>tblIndicators!V12</f>
        <v>0</v>
      </c>
      <c r="P28">
        <f ca="1" t="shared" si="4"/>
        <v>31</v>
      </c>
      <c r="Q28">
        <f ca="1" t="shared" si="5"/>
        <v>48</v>
      </c>
      <c r="R28" t="e">
        <f ca="1" t="shared" si="6"/>
        <v>#N/A</v>
      </c>
      <c r="T28" t="str">
        <f ca="1" t="shared" si="7"/>
        <v>   3.1.2) Pedestrian friendliness</v>
      </c>
      <c r="U28">
        <f ca="1" t="shared" si="8"/>
        <v>100</v>
      </c>
      <c r="V28" t="str">
        <f ca="1" t="shared" si="9"/>
        <v>   4.1.6) Gun regulation and enforcement</v>
      </c>
      <c r="W28">
        <f ca="1" t="shared" si="10"/>
        <v>47.6190476190476</v>
      </c>
      <c r="X28" t="str">
        <f ca="1" t="shared" si="11"/>
        <v/>
      </c>
      <c r="Y28" t="str">
        <f ca="1" t="shared" si="12"/>
        <v/>
      </c>
    </row>
    <row r="29" spans="2:25">
      <c r="B29">
        <f>tblIndiSets!A186</f>
        <v>12</v>
      </c>
      <c r="C29">
        <f>tblIndiSets!C186</f>
        <v>3</v>
      </c>
      <c r="E29" t="str">
        <f>tblIndiSets!B186</f>
        <v>   1.2.3) Percentage with Internet access</v>
      </c>
      <c r="G29">
        <f ca="1" t="shared" si="16"/>
        <v>4</v>
      </c>
      <c r="H29">
        <f ca="1" t="shared" si="17"/>
        <v>1</v>
      </c>
      <c r="I29" s="284">
        <f ca="1" t="shared" si="18"/>
        <v>4</v>
      </c>
      <c r="J29">
        <f t="shared" si="19"/>
        <v>97.6452647517627</v>
      </c>
      <c r="K29" s="286" t="str">
        <f t="shared" si="20"/>
        <v>||||||||||||||||||||||||||||||||</v>
      </c>
      <c r="L29" s="287"/>
      <c r="M29" s="214" t="e">
        <f t="shared" si="21"/>
        <v>#NAME?</v>
      </c>
      <c r="N29">
        <f t="shared" si="22"/>
        <v>3</v>
      </c>
      <c r="O29" t="str">
        <f>tblIndicators!V13</f>
        <v>0.0</v>
      </c>
      <c r="P29">
        <f ca="1" t="shared" si="4"/>
        <v>32</v>
      </c>
      <c r="Q29">
        <f ca="1" t="shared" si="5"/>
        <v>49</v>
      </c>
      <c r="R29" t="e">
        <f ca="1" t="shared" si="6"/>
        <v>#N/A</v>
      </c>
      <c r="T29" t="str">
        <f ca="1" t="shared" si="7"/>
        <v>   3.1.3) Quality of road infrastructure</v>
      </c>
      <c r="U29">
        <f ca="1" t="shared" si="8"/>
        <v>100</v>
      </c>
      <c r="V29" t="str">
        <f ca="1" t="shared" si="9"/>
        <v>   4.1.7) Political stability risk</v>
      </c>
      <c r="W29">
        <f ca="1" t="shared" si="10"/>
        <v>55</v>
      </c>
      <c r="X29" t="str">
        <f ca="1" t="shared" si="11"/>
        <v/>
      </c>
      <c r="Y29" t="str">
        <f ca="1" t="shared" si="12"/>
        <v/>
      </c>
    </row>
    <row r="30" spans="2:25">
      <c r="B30">
        <f>tblIndiSets!A187</f>
        <v>13</v>
      </c>
      <c r="C30">
        <f>tblIndiSets!C187</f>
        <v>1</v>
      </c>
      <c r="E30" t="str">
        <f>tblIndiSets!B187</f>
        <v> 2) HEALTH SECURITY</v>
      </c>
      <c r="G30">
        <f ca="1" t="shared" si="16"/>
        <v>33</v>
      </c>
      <c r="H30">
        <f ca="1" t="shared" si="17"/>
        <v>1</v>
      </c>
      <c r="I30" s="284">
        <f ca="1" t="shared" si="18"/>
        <v>33</v>
      </c>
      <c r="J30">
        <f t="shared" si="19"/>
        <v>68.5404322865189</v>
      </c>
      <c r="K30" s="286" t="str">
        <f t="shared" si="20"/>
        <v>||||||||||||||||||||||</v>
      </c>
      <c r="L30" s="287"/>
      <c r="M30" s="214" t="str">
        <f t="shared" si="21"/>
        <v/>
      </c>
      <c r="N30">
        <f t="shared" si="22"/>
        <v>0</v>
      </c>
      <c r="O30" t="str">
        <f>tblIndicators!V14</f>
        <v>0.0</v>
      </c>
      <c r="P30">
        <f ca="1" t="shared" si="4"/>
        <v>33</v>
      </c>
      <c r="Q30">
        <f ca="1" t="shared" si="5"/>
        <v>54</v>
      </c>
      <c r="R30" t="e">
        <f ca="1" t="shared" si="6"/>
        <v>#N/A</v>
      </c>
      <c r="T30" t="str">
        <f ca="1" t="shared" si="7"/>
        <v>   3.1.4) Quality of electricity infrastructure</v>
      </c>
      <c r="U30">
        <f ca="1" t="shared" si="8"/>
        <v>75</v>
      </c>
      <c r="V30" t="str">
        <f ca="1" t="shared" si="9"/>
        <v>   4.2.4) Level of corruption</v>
      </c>
      <c r="W30">
        <f ca="1" t="shared" si="10"/>
        <v>66</v>
      </c>
      <c r="X30" t="str">
        <f ca="1" t="shared" si="11"/>
        <v/>
      </c>
      <c r="Y30" t="str">
        <f ca="1" t="shared" si="12"/>
        <v/>
      </c>
    </row>
    <row r="31" spans="2:25">
      <c r="B31">
        <f>tblIndiSets!A188</f>
        <v>14</v>
      </c>
      <c r="C31">
        <f>tblIndiSets!C188</f>
        <v>2</v>
      </c>
      <c r="E31" t="str">
        <f>tblIndiSets!B188</f>
        <v>  2.1) Health security (Inputs)</v>
      </c>
      <c r="G31">
        <f ca="1" t="shared" si="16"/>
        <v>37</v>
      </c>
      <c r="H31">
        <f ca="1" t="shared" si="17"/>
        <v>1</v>
      </c>
      <c r="I31" s="284">
        <f ca="1" t="shared" si="18"/>
        <v>37</v>
      </c>
      <c r="J31">
        <f t="shared" si="19"/>
        <v>55.909058022829</v>
      </c>
      <c r="K31" s="286" t="str">
        <f t="shared" si="20"/>
        <v>||||||||||||||||||</v>
      </c>
      <c r="L31" s="287"/>
      <c r="M31" s="214" t="e">
        <f t="shared" si="21"/>
        <v>#NAME?</v>
      </c>
      <c r="N31">
        <f t="shared" si="22"/>
        <v>0</v>
      </c>
      <c r="O31" t="str">
        <f>tblIndicators!V15</f>
        <v>0.0</v>
      </c>
      <c r="P31">
        <f ca="1" t="shared" si="4"/>
        <v>34</v>
      </c>
      <c r="Q31" t="e">
        <f ca="1" t="shared" si="5"/>
        <v>#N/A</v>
      </c>
      <c r="R31" t="e">
        <f ca="1" t="shared" si="6"/>
        <v>#N/A</v>
      </c>
      <c r="T31" t="str">
        <f ca="1" t="shared" si="7"/>
        <v>   3.1.5) Disaster management/business continuity plan</v>
      </c>
      <c r="U31">
        <f ca="1" t="shared" si="8"/>
        <v>75</v>
      </c>
      <c r="V31" t="str">
        <f ca="1" t="shared" si="9"/>
        <v/>
      </c>
      <c r="W31" t="str">
        <f ca="1" t="shared" si="10"/>
        <v/>
      </c>
      <c r="X31" t="str">
        <f ca="1" t="shared" si="11"/>
        <v/>
      </c>
      <c r="Y31" t="str">
        <f ca="1" t="shared" si="12"/>
        <v/>
      </c>
    </row>
    <row r="32" spans="2:25">
      <c r="B32">
        <f>tblIndiSets!A189</f>
        <v>15</v>
      </c>
      <c r="C32">
        <f>tblIndiSets!C189</f>
        <v>3</v>
      </c>
      <c r="E32" t="str">
        <f>tblIndiSets!B189</f>
        <v>   2.1.1) Environmental policies</v>
      </c>
      <c r="G32">
        <f ca="1" t="shared" si="16"/>
        <v>38</v>
      </c>
      <c r="H32">
        <f ca="1" t="shared" si="17"/>
        <v>6</v>
      </c>
      <c r="I32" s="284" t="str">
        <f ca="1" t="shared" si="18"/>
        <v>=38</v>
      </c>
      <c r="J32">
        <f t="shared" si="19"/>
        <v>62.7906976744186</v>
      </c>
      <c r="K32" s="286" t="str">
        <f t="shared" si="20"/>
        <v>||||||||||||||||||||</v>
      </c>
      <c r="L32" s="287"/>
      <c r="M32" s="214" t="e">
        <f t="shared" si="21"/>
        <v>#NAME?</v>
      </c>
      <c r="N32">
        <f t="shared" si="22"/>
        <v>2</v>
      </c>
      <c r="O32">
        <f>tblIndicators!V16</f>
        <v>0</v>
      </c>
      <c r="P32">
        <f ca="1" t="shared" si="4"/>
        <v>36</v>
      </c>
      <c r="Q32" t="e">
        <f ca="1" t="shared" si="5"/>
        <v>#N/A</v>
      </c>
      <c r="R32" t="e">
        <f ca="1" t="shared" si="6"/>
        <v>#N/A</v>
      </c>
      <c r="T32" t="str">
        <f ca="1" t="shared" si="7"/>
        <v>   3.2.1) Deaths from natural disaster</v>
      </c>
      <c r="U32">
        <f ca="1" t="shared" si="8"/>
        <v>100</v>
      </c>
      <c r="V32" t="str">
        <f ca="1" t="shared" si="9"/>
        <v/>
      </c>
      <c r="W32" t="str">
        <f ca="1" t="shared" si="10"/>
        <v/>
      </c>
      <c r="X32" t="str">
        <f ca="1" t="shared" si="11"/>
        <v/>
      </c>
      <c r="Y32" t="str">
        <f ca="1" t="shared" si="12"/>
        <v/>
      </c>
    </row>
    <row r="33" spans="2:25">
      <c r="B33">
        <f>tblIndiSets!A190</f>
        <v>16</v>
      </c>
      <c r="C33">
        <f>tblIndiSets!C190</f>
        <v>3</v>
      </c>
      <c r="E33" t="str">
        <f>tblIndiSets!B190</f>
        <v>   2.1.2) Access to healthcare</v>
      </c>
      <c r="G33">
        <f ca="1" t="shared" si="16"/>
        <v>43</v>
      </c>
      <c r="H33">
        <f ca="1" t="shared" si="17"/>
        <v>9</v>
      </c>
      <c r="I33" s="284" t="str">
        <f ca="1" t="shared" si="18"/>
        <v>=43</v>
      </c>
      <c r="J33">
        <f t="shared" si="19"/>
        <v>73.3333333333333</v>
      </c>
      <c r="K33" s="286" t="str">
        <f t="shared" si="20"/>
        <v>||||||||||||||||||||||||</v>
      </c>
      <c r="L33" s="287"/>
      <c r="M33" s="214" t="e">
        <f t="shared" si="21"/>
        <v>#NAME?</v>
      </c>
      <c r="N33">
        <f t="shared" si="22"/>
        <v>2</v>
      </c>
      <c r="O33">
        <f>tblIndicators!V17</f>
        <v>0</v>
      </c>
      <c r="P33">
        <f ca="1" t="shared" si="4"/>
        <v>37</v>
      </c>
      <c r="Q33" t="e">
        <f ca="1" t="shared" si="5"/>
        <v>#N/A</v>
      </c>
      <c r="R33" t="e">
        <f ca="1" t="shared" si="6"/>
        <v>#N/A</v>
      </c>
      <c r="T33" t="str">
        <f ca="1" t="shared" si="7"/>
        <v>   3.2.2) Frequency of vehicular accidents</v>
      </c>
      <c r="U33">
        <f ca="1" t="shared" si="8"/>
        <v>95.6913364340366</v>
      </c>
      <c r="V33" t="str">
        <f ca="1" t="shared" si="9"/>
        <v/>
      </c>
      <c r="W33" t="str">
        <f ca="1" t="shared" si="10"/>
        <v/>
      </c>
      <c r="X33" t="str">
        <f ca="1" t="shared" si="11"/>
        <v/>
      </c>
      <c r="Y33" t="str">
        <f ca="1" t="shared" si="12"/>
        <v/>
      </c>
    </row>
    <row r="34" spans="2:25">
      <c r="B34">
        <f>tblIndiSets!A191</f>
        <v>17</v>
      </c>
      <c r="C34">
        <f>tblIndiSets!C191</f>
        <v>3</v>
      </c>
      <c r="E34" t="str">
        <f>tblIndiSets!B191</f>
        <v>   2.1.3) No. of beds per 1,000</v>
      </c>
      <c r="G34">
        <f ca="1" t="shared" si="16"/>
        <v>51</v>
      </c>
      <c r="H34">
        <f ca="1" t="shared" si="17"/>
        <v>1</v>
      </c>
      <c r="I34" s="284">
        <f ca="1" t="shared" si="18"/>
        <v>51</v>
      </c>
      <c r="J34">
        <f t="shared" si="19"/>
        <v>8.26514587982478</v>
      </c>
      <c r="K34" s="286" t="str">
        <f t="shared" si="20"/>
        <v>||</v>
      </c>
      <c r="L34" s="287"/>
      <c r="M34" s="214" t="e">
        <f t="shared" si="21"/>
        <v>#NAME?</v>
      </c>
      <c r="N34">
        <f t="shared" si="22"/>
        <v>1</v>
      </c>
      <c r="O34">
        <f>tblIndicators!V18</f>
        <v>0</v>
      </c>
      <c r="P34">
        <f ca="1" t="shared" si="4"/>
        <v>39</v>
      </c>
      <c r="Q34" t="e">
        <f ca="1" t="shared" si="5"/>
        <v>#N/A</v>
      </c>
      <c r="R34" t="e">
        <f ca="1" t="shared" si="6"/>
        <v>#N/A</v>
      </c>
      <c r="T34" t="str">
        <f ca="1" t="shared" si="7"/>
        <v>   3.2.4) Percentage living in slums</v>
      </c>
      <c r="U34">
        <f ca="1" t="shared" si="8"/>
        <v>100</v>
      </c>
      <c r="V34" t="str">
        <f ca="1" t="shared" si="9"/>
        <v/>
      </c>
      <c r="W34" t="str">
        <f ca="1" t="shared" si="10"/>
        <v/>
      </c>
      <c r="X34" t="str">
        <f ca="1" t="shared" si="11"/>
        <v/>
      </c>
      <c r="Y34" t="str">
        <f ca="1" t="shared" si="12"/>
        <v/>
      </c>
    </row>
    <row r="35" spans="2:25">
      <c r="B35">
        <f>tblIndiSets!A192</f>
        <v>18</v>
      </c>
      <c r="C35">
        <f>tblIndiSets!C192</f>
        <v>3</v>
      </c>
      <c r="E35" t="str">
        <f>tblIndiSets!B192</f>
        <v>   2.1.4) No. of doctors per 1,000</v>
      </c>
      <c r="G35">
        <f ca="1" t="shared" si="16"/>
        <v>43</v>
      </c>
      <c r="H35">
        <f ca="1" t="shared" si="17"/>
        <v>1</v>
      </c>
      <c r="I35" s="284">
        <f ca="1" t="shared" si="18"/>
        <v>43</v>
      </c>
      <c r="J35">
        <f t="shared" si="19"/>
        <v>16.365171249397</v>
      </c>
      <c r="K35" s="286" t="str">
        <f t="shared" si="20"/>
        <v>|||||</v>
      </c>
      <c r="L35" s="287"/>
      <c r="M35" s="214" t="e">
        <f t="shared" si="21"/>
        <v>#NAME?</v>
      </c>
      <c r="N35">
        <f t="shared" si="22"/>
        <v>1</v>
      </c>
      <c r="O35">
        <f>tblIndicators!V19</f>
        <v>0</v>
      </c>
      <c r="P35">
        <f ca="1" t="shared" si="4"/>
        <v>40</v>
      </c>
      <c r="Q35" t="e">
        <f ca="1" t="shared" si="5"/>
        <v>#N/A</v>
      </c>
      <c r="R35" t="e">
        <f ca="1" t="shared" si="6"/>
        <v>#N/A</v>
      </c>
      <c r="T35" t="str">
        <f ca="1" t="shared" si="7"/>
        <v>   3.2.5) Number of attacks on facilities/infrastructure</v>
      </c>
      <c r="U35">
        <f ca="1" t="shared" si="8"/>
        <v>100</v>
      </c>
      <c r="V35" t="str">
        <f ca="1" t="shared" si="9"/>
        <v/>
      </c>
      <c r="W35" t="str">
        <f ca="1" t="shared" si="10"/>
        <v/>
      </c>
      <c r="X35" t="str">
        <f ca="1" t="shared" si="11"/>
        <v/>
      </c>
      <c r="Y35" t="str">
        <f ca="1" t="shared" si="12"/>
        <v/>
      </c>
    </row>
    <row r="36" spans="2:25">
      <c r="B36">
        <f>tblIndiSets!A193</f>
        <v>19</v>
      </c>
      <c r="C36">
        <f>tblIndiSets!C193</f>
        <v>3</v>
      </c>
      <c r="E36" t="str">
        <f>tblIndiSets!B193</f>
        <v>   2.1.5) Access to safe and quality food</v>
      </c>
      <c r="G36">
        <f ca="1" t="shared" si="16"/>
        <v>21</v>
      </c>
      <c r="H36">
        <f ca="1" t="shared" si="17"/>
        <v>2</v>
      </c>
      <c r="I36" s="284" t="str">
        <f ca="1" t="shared" si="18"/>
        <v>=21</v>
      </c>
      <c r="J36">
        <f t="shared" si="19"/>
        <v>99.7</v>
      </c>
      <c r="K36" s="286" t="str">
        <f t="shared" si="20"/>
        <v>|||||||||||||||||||||||||||||||||</v>
      </c>
      <c r="L36" s="287"/>
      <c r="M36" s="214" t="e">
        <f t="shared" si="21"/>
        <v>#NAME?</v>
      </c>
      <c r="N36">
        <f t="shared" si="22"/>
        <v>3</v>
      </c>
      <c r="O36">
        <f>tblIndicators!V20</f>
        <v>0</v>
      </c>
      <c r="P36">
        <f ca="1" t="shared" si="4"/>
        <v>43</v>
      </c>
      <c r="Q36" t="e">
        <f ca="1" t="shared" si="5"/>
        <v>#N/A</v>
      </c>
      <c r="R36" t="e">
        <f ca="1" t="shared" si="6"/>
        <v>#N/A</v>
      </c>
      <c r="T36" t="str">
        <f ca="1" t="shared" si="7"/>
        <v>   4.1.1) Level of police engagement</v>
      </c>
      <c r="U36">
        <f ca="1" t="shared" si="8"/>
        <v>100</v>
      </c>
      <c r="V36" t="str">
        <f ca="1" t="shared" si="9"/>
        <v/>
      </c>
      <c r="W36" t="str">
        <f ca="1" t="shared" si="10"/>
        <v/>
      </c>
      <c r="X36" t="str">
        <f ca="1" t="shared" si="11"/>
        <v/>
      </c>
      <c r="Y36" t="str">
        <f ca="1" t="shared" si="12"/>
        <v/>
      </c>
    </row>
    <row r="37" spans="2:25">
      <c r="B37">
        <f>tblIndiSets!A194</f>
        <v>20</v>
      </c>
      <c r="C37">
        <f>tblIndiSets!C194</f>
        <v>3</v>
      </c>
      <c r="E37" t="str">
        <f>tblIndiSets!B194</f>
        <v>   2.1.6) Quality of health services</v>
      </c>
      <c r="G37">
        <f ca="1" t="shared" si="16"/>
        <v>27</v>
      </c>
      <c r="H37">
        <f ca="1" t="shared" si="17"/>
        <v>6</v>
      </c>
      <c r="I37" s="284" t="str">
        <f ca="1" t="shared" si="18"/>
        <v>=27</v>
      </c>
      <c r="J37">
        <f t="shared" si="19"/>
        <v>75</v>
      </c>
      <c r="K37" s="286" t="str">
        <f t="shared" si="20"/>
        <v>|||||||||||||||||||||||||</v>
      </c>
      <c r="L37" s="287"/>
      <c r="M37" s="214" t="e">
        <f t="shared" si="21"/>
        <v>#NAME?</v>
      </c>
      <c r="N37">
        <f t="shared" si="22"/>
        <v>3</v>
      </c>
      <c r="O37">
        <f>tblIndicators!V21</f>
        <v>0</v>
      </c>
      <c r="P37">
        <f ca="1" t="shared" si="4"/>
        <v>44</v>
      </c>
      <c r="Q37" t="e">
        <f ca="1" t="shared" si="5"/>
        <v>#N/A</v>
      </c>
      <c r="R37" t="e">
        <f ca="1" t="shared" si="6"/>
        <v>#N/A</v>
      </c>
      <c r="T37" t="str">
        <f ca="1" t="shared" si="7"/>
        <v>   4.1.2) Community-based patrolling</v>
      </c>
      <c r="U37">
        <f ca="1" t="shared" si="8"/>
        <v>100</v>
      </c>
      <c r="V37" t="str">
        <f ca="1" t="shared" si="9"/>
        <v/>
      </c>
      <c r="W37" t="str">
        <f ca="1" t="shared" si="10"/>
        <v/>
      </c>
      <c r="X37" t="str">
        <f ca="1" t="shared" si="11"/>
        <v/>
      </c>
      <c r="Y37" t="str">
        <f ca="1" t="shared" si="12"/>
        <v/>
      </c>
    </row>
    <row r="38" spans="2:25">
      <c r="B38">
        <f>tblIndiSets!A195</f>
        <v>21</v>
      </c>
      <c r="C38">
        <f>tblIndiSets!C195</f>
        <v>2</v>
      </c>
      <c r="E38" t="str">
        <f>tblIndiSets!B195</f>
        <v>  2.2) Health security (Outputs)</v>
      </c>
      <c r="G38">
        <f ca="1" t="shared" si="16"/>
        <v>22</v>
      </c>
      <c r="H38">
        <f ca="1" t="shared" si="17"/>
        <v>1</v>
      </c>
      <c r="I38" s="284">
        <f ca="1" t="shared" si="18"/>
        <v>22</v>
      </c>
      <c r="J38">
        <f t="shared" si="19"/>
        <v>81.1718065502088</v>
      </c>
      <c r="K38" s="286" t="str">
        <f t="shared" si="20"/>
        <v>|||||||||||||||||||||||||||</v>
      </c>
      <c r="L38" s="287"/>
      <c r="M38" s="214" t="e">
        <f t="shared" si="21"/>
        <v>#NAME?</v>
      </c>
      <c r="N38">
        <f t="shared" si="22"/>
        <v>0</v>
      </c>
      <c r="O38" t="str">
        <f>tblIndicators!V22</f>
        <v>0.0</v>
      </c>
      <c r="P38">
        <f ca="1" t="shared" si="4"/>
        <v>45</v>
      </c>
      <c r="Q38" t="e">
        <f ca="1" t="shared" si="5"/>
        <v>#N/A</v>
      </c>
      <c r="R38" t="e">
        <f ca="1" t="shared" si="6"/>
        <v>#N/A</v>
      </c>
      <c r="T38" t="str">
        <f ca="1" t="shared" si="7"/>
        <v>   4.1.3) Available street-level crime data</v>
      </c>
      <c r="U38">
        <f ca="1" t="shared" si="8"/>
        <v>100</v>
      </c>
      <c r="V38" t="str">
        <f ca="1" t="shared" si="9"/>
        <v/>
      </c>
      <c r="W38" t="str">
        <f ca="1" t="shared" si="10"/>
        <v/>
      </c>
      <c r="X38" t="str">
        <f ca="1" t="shared" si="11"/>
        <v/>
      </c>
      <c r="Y38" t="str">
        <f ca="1" t="shared" si="12"/>
        <v/>
      </c>
    </row>
    <row r="39" spans="2:25">
      <c r="B39">
        <f>tblIndiSets!A196</f>
        <v>22</v>
      </c>
      <c r="C39">
        <f>tblIndiSets!C196</f>
        <v>3</v>
      </c>
      <c r="E39" t="str">
        <f>tblIndiSets!B196</f>
        <v>   2.2.1) Air quality (PM 2.5 levels)</v>
      </c>
      <c r="G39">
        <f ca="1" t="shared" si="16"/>
        <v>51</v>
      </c>
      <c r="H39">
        <f ca="1" t="shared" si="17"/>
        <v>1</v>
      </c>
      <c r="I39" s="284">
        <f ca="1" t="shared" si="18"/>
        <v>51</v>
      </c>
      <c r="J39">
        <f t="shared" si="19"/>
        <v>44.2188213579332</v>
      </c>
      <c r="K39" s="286" t="str">
        <f t="shared" si="20"/>
        <v>||||||||||||||</v>
      </c>
      <c r="L39" s="287"/>
      <c r="M39" s="214" t="e">
        <f t="shared" si="21"/>
        <v>#NAME?</v>
      </c>
      <c r="N39">
        <f t="shared" si="22"/>
        <v>2</v>
      </c>
      <c r="O39">
        <f>tblIndicators!V23</f>
        <v>0</v>
      </c>
      <c r="P39">
        <f ca="1" t="shared" si="4"/>
        <v>47</v>
      </c>
      <c r="Q39" t="e">
        <f ca="1" t="shared" si="5"/>
        <v>#N/A</v>
      </c>
      <c r="R39" t="e">
        <f ca="1" t="shared" si="6"/>
        <v>#N/A</v>
      </c>
      <c r="T39" t="str">
        <f ca="1" t="shared" si="7"/>
        <v>   4.1.5) Private security measures</v>
      </c>
      <c r="U39">
        <f ca="1" t="shared" si="8"/>
        <v>100</v>
      </c>
      <c r="V39" t="str">
        <f ca="1" t="shared" si="9"/>
        <v/>
      </c>
      <c r="W39" t="str">
        <f ca="1" t="shared" si="10"/>
        <v/>
      </c>
      <c r="X39" t="str">
        <f ca="1" t="shared" si="11"/>
        <v/>
      </c>
      <c r="Y39" t="str">
        <f ca="1" t="shared" si="12"/>
        <v/>
      </c>
    </row>
    <row r="40" spans="2:25">
      <c r="B40">
        <f>tblIndiSets!A197</f>
        <v>23</v>
      </c>
      <c r="C40">
        <f>tblIndiSets!C197</f>
        <v>3</v>
      </c>
      <c r="E40" t="str">
        <f>tblIndiSets!B197</f>
        <v>   2.2.2) Water quality</v>
      </c>
      <c r="G40">
        <f ca="1" t="shared" si="16"/>
        <v>11</v>
      </c>
      <c r="H40">
        <f ca="1" t="shared" si="17"/>
        <v>1</v>
      </c>
      <c r="I40" s="284">
        <f ca="1" t="shared" si="18"/>
        <v>11</v>
      </c>
      <c r="J40">
        <f t="shared" si="19"/>
        <v>91.3447138534964</v>
      </c>
      <c r="K40" s="286" t="str">
        <f t="shared" si="20"/>
        <v>||||||||||||||||||||||||||||||</v>
      </c>
      <c r="L40" s="287"/>
      <c r="M40" s="214" t="e">
        <f t="shared" si="21"/>
        <v>#NAME?</v>
      </c>
      <c r="N40">
        <f t="shared" si="22"/>
        <v>3</v>
      </c>
      <c r="O40">
        <f>tblIndicators!V24</f>
        <v>0</v>
      </c>
      <c r="P40">
        <f ca="1" t="shared" si="4"/>
        <v>51</v>
      </c>
      <c r="Q40" t="e">
        <f ca="1" t="shared" si="5"/>
        <v>#N/A</v>
      </c>
      <c r="R40" t="e">
        <f ca="1" t="shared" si="6"/>
        <v>#N/A</v>
      </c>
      <c r="T40" t="str">
        <f ca="1" t="shared" si="7"/>
        <v>   4.2.1) Prevalence of petty crime</v>
      </c>
      <c r="U40">
        <f ca="1" t="shared" si="8"/>
        <v>75</v>
      </c>
      <c r="V40" t="str">
        <f ca="1" t="shared" si="9"/>
        <v/>
      </c>
      <c r="W40" t="str">
        <f ca="1" t="shared" si="10"/>
        <v/>
      </c>
      <c r="X40" t="str">
        <f ca="1" t="shared" si="11"/>
        <v/>
      </c>
      <c r="Y40" t="str">
        <f ca="1" t="shared" si="12"/>
        <v/>
      </c>
    </row>
    <row r="41" spans="2:25">
      <c r="B41">
        <f>tblIndiSets!A198</f>
        <v>24</v>
      </c>
      <c r="C41">
        <f>tblIndiSets!C198</f>
        <v>3</v>
      </c>
      <c r="E41" t="str">
        <f>tblIndiSets!B198</f>
        <v>   2.2.3) Life expectancy years</v>
      </c>
      <c r="G41">
        <f ca="1" t="shared" si="16"/>
        <v>30</v>
      </c>
      <c r="H41">
        <f ca="1" t="shared" si="17"/>
        <v>1</v>
      </c>
      <c r="I41" s="284">
        <f ca="1" t="shared" si="18"/>
        <v>30</v>
      </c>
      <c r="J41">
        <f t="shared" si="19"/>
        <v>74.8974619270887</v>
      </c>
      <c r="K41" s="286" t="str">
        <f t="shared" si="20"/>
        <v>||||||||||||||||||||||||</v>
      </c>
      <c r="L41" s="287"/>
      <c r="M41" s="214" t="e">
        <f t="shared" si="21"/>
        <v>#NAME?</v>
      </c>
      <c r="N41">
        <f t="shared" si="22"/>
        <v>2</v>
      </c>
      <c r="O41">
        <f>tblIndicators!V25</f>
        <v>0</v>
      </c>
      <c r="P41">
        <f ca="1" t="shared" si="4"/>
        <v>52</v>
      </c>
      <c r="Q41" t="e">
        <f ca="1" t="shared" si="5"/>
        <v>#N/A</v>
      </c>
      <c r="R41" t="e">
        <f ca="1" t="shared" si="6"/>
        <v>#N/A</v>
      </c>
      <c r="T41" t="str">
        <f ca="1" t="shared" si="7"/>
        <v>   4.2.2) Prevalence of violent crime</v>
      </c>
      <c r="U41">
        <f ca="1" t="shared" si="8"/>
        <v>100</v>
      </c>
      <c r="V41" t="str">
        <f ca="1" t="shared" si="9"/>
        <v/>
      </c>
      <c r="W41" t="str">
        <f ca="1" t="shared" si="10"/>
        <v/>
      </c>
      <c r="X41" t="str">
        <f ca="1" t="shared" si="11"/>
        <v/>
      </c>
      <c r="Y41" t="str">
        <f ca="1" t="shared" si="12"/>
        <v/>
      </c>
    </row>
    <row r="42" spans="2:25">
      <c r="B42">
        <f>tblIndiSets!A199</f>
        <v>25</v>
      </c>
      <c r="C42">
        <f>tblIndiSets!C199</f>
        <v>3</v>
      </c>
      <c r="E42" t="str">
        <f>tblIndiSets!B199</f>
        <v>   2.2.4) Infant mortality</v>
      </c>
      <c r="G42">
        <f ca="1" t="shared" si="16"/>
        <v>28</v>
      </c>
      <c r="H42">
        <f ca="1" t="shared" si="17"/>
        <v>1</v>
      </c>
      <c r="I42" s="284">
        <f ca="1" t="shared" si="18"/>
        <v>28</v>
      </c>
      <c r="J42">
        <f t="shared" si="19"/>
        <v>93.1570762052877</v>
      </c>
      <c r="K42" s="286" t="str">
        <f t="shared" si="20"/>
        <v>|||||||||||||||||||||||||||||||</v>
      </c>
      <c r="L42" s="287"/>
      <c r="M42" s="214" t="e">
        <f t="shared" si="21"/>
        <v>#NAME?</v>
      </c>
      <c r="N42">
        <f t="shared" si="22"/>
        <v>3</v>
      </c>
      <c r="O42">
        <f>tblIndicators!V26</f>
        <v>0</v>
      </c>
      <c r="P42">
        <f ca="1" t="shared" si="4"/>
        <v>53</v>
      </c>
      <c r="Q42" t="e">
        <f ca="1" t="shared" si="5"/>
        <v>#N/A</v>
      </c>
      <c r="R42" t="e">
        <f ca="1" t="shared" si="6"/>
        <v>#N/A</v>
      </c>
      <c r="T42" t="str">
        <f ca="1" t="shared" si="7"/>
        <v>   4.2.3) Organised crime</v>
      </c>
      <c r="U42">
        <f ca="1" t="shared" si="8"/>
        <v>75</v>
      </c>
      <c r="V42" t="str">
        <f ca="1" t="shared" si="9"/>
        <v/>
      </c>
      <c r="W42" t="str">
        <f ca="1" t="shared" si="10"/>
        <v/>
      </c>
      <c r="X42" t="str">
        <f ca="1" t="shared" si="11"/>
        <v/>
      </c>
      <c r="Y42" t="str">
        <f ca="1" t="shared" si="12"/>
        <v/>
      </c>
    </row>
    <row r="43" spans="2:25">
      <c r="B43">
        <f>tblIndiSets!A200</f>
        <v>26</v>
      </c>
      <c r="C43">
        <f>tblIndiSets!C200</f>
        <v>3</v>
      </c>
      <c r="E43" t="str">
        <f>tblIndiSets!B200</f>
        <v>   2.2.5) Cancer mortality rate</v>
      </c>
      <c r="G43">
        <f ca="1" t="shared" si="16"/>
        <v>8</v>
      </c>
      <c r="H43">
        <f ca="1" t="shared" si="17"/>
        <v>1</v>
      </c>
      <c r="I43" s="284">
        <f ca="1" t="shared" si="18"/>
        <v>8</v>
      </c>
      <c r="J43">
        <f t="shared" si="19"/>
        <v>83.4127659574468</v>
      </c>
      <c r="K43" s="286" t="str">
        <f t="shared" si="20"/>
        <v>|||||||||||||||||||||||||||</v>
      </c>
      <c r="L43" s="287"/>
      <c r="M43" s="214" t="e">
        <f t="shared" si="21"/>
        <v>#NAME?</v>
      </c>
      <c r="N43">
        <f t="shared" si="22"/>
        <v>3</v>
      </c>
      <c r="O43">
        <f>tblIndicators!V27</f>
        <v>0</v>
      </c>
      <c r="P43">
        <f ca="1" t="shared" si="4"/>
        <v>55</v>
      </c>
      <c r="Q43" t="e">
        <f ca="1" t="shared" si="5"/>
        <v>#N/A</v>
      </c>
      <c r="R43" t="e">
        <f ca="1" t="shared" si="6"/>
        <v>#N/A</v>
      </c>
      <c r="T43" t="str">
        <f ca="1" t="shared" si="7"/>
        <v>   4.2.5) Rate of drug use </v>
      </c>
      <c r="U43">
        <f ca="1" t="shared" si="8"/>
        <v>86.758691206544</v>
      </c>
      <c r="V43" t="str">
        <f ca="1" t="shared" si="9"/>
        <v/>
      </c>
      <c r="W43" t="str">
        <f ca="1" t="shared" si="10"/>
        <v/>
      </c>
      <c r="X43" t="str">
        <f ca="1" t="shared" si="11"/>
        <v/>
      </c>
      <c r="Y43" t="str">
        <f ca="1" t="shared" si="12"/>
        <v/>
      </c>
    </row>
    <row r="44" spans="2:25">
      <c r="B44">
        <f>tblIndiSets!A201</f>
        <v>27</v>
      </c>
      <c r="C44">
        <f>tblIndiSets!C201</f>
        <v>3</v>
      </c>
      <c r="E44" t="str">
        <f>tblIndiSets!B201</f>
        <v>   2.2.6) Number of attacks using biological, chemical and/or radiological weapons</v>
      </c>
      <c r="G44">
        <f ca="1" t="shared" si="16"/>
        <v>1</v>
      </c>
      <c r="H44">
        <f ca="1" t="shared" si="17"/>
        <v>55</v>
      </c>
      <c r="I44" s="284" t="str">
        <f ca="1" t="shared" si="18"/>
        <v>=1</v>
      </c>
      <c r="J44">
        <f t="shared" si="19"/>
        <v>100</v>
      </c>
      <c r="K44" s="286" t="str">
        <f t="shared" si="20"/>
        <v>|||||||||||||||||||||||||||||||||</v>
      </c>
      <c r="L44" s="287"/>
      <c r="M44" s="214" t="e">
        <f t="shared" si="21"/>
        <v>#NAME?</v>
      </c>
      <c r="N44">
        <f t="shared" si="22"/>
        <v>3</v>
      </c>
      <c r="O44" t="str">
        <f>tblIndicators!V28</f>
        <v>0.0</v>
      </c>
      <c r="P44">
        <f ca="1" t="shared" si="4"/>
        <v>56</v>
      </c>
      <c r="Q44" t="e">
        <f ca="1" t="shared" si="5"/>
        <v>#N/A</v>
      </c>
      <c r="R44" t="e">
        <f ca="1" t="shared" si="6"/>
        <v>#N/A</v>
      </c>
      <c r="T44" t="str">
        <f ca="1" t="shared" si="7"/>
        <v>   4.2.6) Frequency of terrorist attacks </v>
      </c>
      <c r="U44">
        <f ca="1" t="shared" si="8"/>
        <v>99.8572448251249</v>
      </c>
      <c r="V44" t="str">
        <f ca="1" t="shared" si="9"/>
        <v/>
      </c>
      <c r="W44" t="str">
        <f ca="1" t="shared" si="10"/>
        <v/>
      </c>
      <c r="X44" t="str">
        <f ca="1" t="shared" si="11"/>
        <v/>
      </c>
      <c r="Y44" t="str">
        <f ca="1" t="shared" si="12"/>
        <v/>
      </c>
    </row>
    <row r="45" spans="2:25">
      <c r="B45">
        <f>tblIndiSets!A202</f>
        <v>28</v>
      </c>
      <c r="C45">
        <f>tblIndiSets!C202</f>
        <v>1</v>
      </c>
      <c r="E45" t="str">
        <f>tblIndiSets!B202</f>
        <v> 3) INFRASTRUCTURE SECURITY</v>
      </c>
      <c r="G45">
        <f ca="1" t="shared" si="16"/>
        <v>16</v>
      </c>
      <c r="H45">
        <f ca="1" t="shared" si="17"/>
        <v>1</v>
      </c>
      <c r="I45" s="284">
        <f ca="1" t="shared" si="18"/>
        <v>16</v>
      </c>
      <c r="J45">
        <f t="shared" si="19"/>
        <v>91.3641602398045</v>
      </c>
      <c r="K45" s="286" t="str">
        <f t="shared" si="20"/>
        <v>||||||||||||||||||||||||||||||</v>
      </c>
      <c r="L45" s="287"/>
      <c r="M45" s="214" t="str">
        <f t="shared" si="21"/>
        <v/>
      </c>
      <c r="N45">
        <f t="shared" si="22"/>
        <v>0</v>
      </c>
      <c r="O45" t="str">
        <f>tblIndicators!V29</f>
        <v>0.0</v>
      </c>
      <c r="P45">
        <f ca="1" t="shared" si="4"/>
        <v>57</v>
      </c>
      <c r="Q45" t="e">
        <f ca="1" t="shared" si="5"/>
        <v>#N/A</v>
      </c>
      <c r="R45" t="e">
        <f ca="1" t="shared" si="6"/>
        <v>#N/A</v>
      </c>
      <c r="T45" t="str">
        <f ca="1" t="shared" si="7"/>
        <v>   4.2.7) Severity of terrorist attacks</v>
      </c>
      <c r="U45">
        <f ca="1" t="shared" si="8"/>
        <v>99.9801350814462</v>
      </c>
      <c r="V45" t="str">
        <f ca="1" t="shared" si="9"/>
        <v/>
      </c>
      <c r="W45" t="str">
        <f ca="1" t="shared" si="10"/>
        <v/>
      </c>
      <c r="X45" t="str">
        <f ca="1" t="shared" si="11"/>
        <v/>
      </c>
      <c r="Y45" t="str">
        <f ca="1" t="shared" si="12"/>
        <v/>
      </c>
    </row>
    <row r="46" spans="2:25">
      <c r="B46">
        <f>tblIndiSets!A203</f>
        <v>29</v>
      </c>
      <c r="C46">
        <f>tblIndiSets!C203</f>
        <v>2</v>
      </c>
      <c r="E46" t="str">
        <f>tblIndiSets!B203</f>
        <v>  3.1) Infrastructure security (Inputs)</v>
      </c>
      <c r="G46">
        <f ca="1" t="shared" si="16"/>
        <v>23</v>
      </c>
      <c r="H46">
        <f ca="1" t="shared" si="17"/>
        <v>1</v>
      </c>
      <c r="I46" s="284">
        <f ca="1" t="shared" si="18"/>
        <v>23</v>
      </c>
      <c r="J46">
        <f t="shared" si="19"/>
        <v>90</v>
      </c>
      <c r="K46" s="286" t="str">
        <f t="shared" si="20"/>
        <v>||||||||||||||||||||||||||||||</v>
      </c>
      <c r="L46" s="287"/>
      <c r="M46" s="214" t="e">
        <f t="shared" si="21"/>
        <v>#NAME?</v>
      </c>
      <c r="N46">
        <f t="shared" si="22"/>
        <v>0</v>
      </c>
      <c r="O46" t="str">
        <f>tblIndicators!V30</f>
        <v>0.0</v>
      </c>
      <c r="P46">
        <f ca="1" t="shared" si="4"/>
        <v>58</v>
      </c>
      <c r="Q46" t="e">
        <f ca="1" t="shared" si="5"/>
        <v>#N/A</v>
      </c>
      <c r="R46" t="e">
        <f ca="1" t="shared" si="6"/>
        <v>#N/A</v>
      </c>
      <c r="T46" t="str">
        <f ca="1" t="shared" si="7"/>
        <v>   4.2.8) Gender safety</v>
      </c>
      <c r="U46">
        <f ca="1" t="shared" si="8"/>
        <v>96.1159757342053</v>
      </c>
      <c r="V46" t="str">
        <f ca="1" t="shared" si="9"/>
        <v/>
      </c>
      <c r="W46" t="str">
        <f ca="1" t="shared" si="10"/>
        <v/>
      </c>
      <c r="X46" t="str">
        <f ca="1" t="shared" si="11"/>
        <v/>
      </c>
      <c r="Y46" t="str">
        <f ca="1" t="shared" si="12"/>
        <v/>
      </c>
    </row>
    <row r="47" spans="2:25">
      <c r="B47">
        <f>tblIndiSets!A204</f>
        <v>30</v>
      </c>
      <c r="C47">
        <f>tblIndiSets!C204</f>
        <v>3</v>
      </c>
      <c r="E47" t="str">
        <f>tblIndiSets!B204</f>
        <v>   3.1.1) Enforcement of transport safety</v>
      </c>
      <c r="G47">
        <f ca="1" t="shared" si="16"/>
        <v>1</v>
      </c>
      <c r="H47">
        <f ca="1" t="shared" si="17"/>
        <v>1</v>
      </c>
      <c r="I47" s="284">
        <f ca="1" t="shared" si="18"/>
        <v>1</v>
      </c>
      <c r="J47">
        <f t="shared" si="19"/>
        <v>100</v>
      </c>
      <c r="K47" s="286" t="str">
        <f t="shared" si="20"/>
        <v>|||||||||||||||||||||||||||||||||</v>
      </c>
      <c r="L47" s="287"/>
      <c r="M47" s="214" t="e">
        <f t="shared" si="21"/>
        <v>#NAME?</v>
      </c>
      <c r="N47">
        <f t="shared" si="22"/>
        <v>3</v>
      </c>
      <c r="O47">
        <f>tblIndicators!V31</f>
        <v>0</v>
      </c>
      <c r="P47">
        <f ca="1" t="shared" si="4"/>
        <v>59</v>
      </c>
      <c r="Q47" t="e">
        <f ca="1" t="shared" si="5"/>
        <v>#N/A</v>
      </c>
      <c r="R47" t="e">
        <f ca="1" t="shared" si="6"/>
        <v>#N/A</v>
      </c>
      <c r="T47" t="str">
        <f ca="1" t="shared" si="7"/>
        <v>   4.2.9) Perceptions of safety</v>
      </c>
      <c r="U47">
        <f ca="1" t="shared" si="8"/>
        <v>84.49</v>
      </c>
      <c r="V47" t="str">
        <f ca="1" t="shared" si="9"/>
        <v/>
      </c>
      <c r="W47" t="str">
        <f ca="1" t="shared" si="10"/>
        <v/>
      </c>
      <c r="X47" t="str">
        <f ca="1" t="shared" si="11"/>
        <v/>
      </c>
      <c r="Y47" t="str">
        <f ca="1" t="shared" si="12"/>
        <v/>
      </c>
    </row>
    <row r="48" spans="2:25">
      <c r="B48">
        <f>tblIndiSets!A205</f>
        <v>31</v>
      </c>
      <c r="C48">
        <f>tblIndiSets!C205</f>
        <v>3</v>
      </c>
      <c r="E48" t="str">
        <f>tblIndiSets!B205</f>
        <v>   3.1.2) Pedestrian friendliness</v>
      </c>
      <c r="G48">
        <f ca="1" t="shared" si="16"/>
        <v>1</v>
      </c>
      <c r="H48">
        <f ca="1" t="shared" si="17"/>
        <v>37</v>
      </c>
      <c r="I48" s="284" t="str">
        <f ca="1" t="shared" si="18"/>
        <v>=1</v>
      </c>
      <c r="J48">
        <f t="shared" si="19"/>
        <v>100</v>
      </c>
      <c r="K48" s="286" t="str">
        <f t="shared" si="20"/>
        <v>|||||||||||||||||||||||||||||||||</v>
      </c>
      <c r="L48" s="287"/>
      <c r="M48" s="214" t="e">
        <f t="shared" si="21"/>
        <v>#NAME?</v>
      </c>
      <c r="N48">
        <f t="shared" si="22"/>
        <v>3</v>
      </c>
      <c r="O48">
        <f>tblIndicators!V32</f>
        <v>0</v>
      </c>
      <c r="P48">
        <f ca="1" t="shared" si="4"/>
        <v>60</v>
      </c>
      <c r="Q48" t="e">
        <f ca="1" t="shared" si="5"/>
        <v>#N/A</v>
      </c>
      <c r="R48" t="e">
        <f ca="1" t="shared" si="6"/>
        <v>#N/A</v>
      </c>
      <c r="T48" t="str">
        <f ca="1" t="shared" si="7"/>
        <v>   4.2.10) Threat of terrorism</v>
      </c>
      <c r="U48">
        <f ca="1" t="shared" si="8"/>
        <v>75</v>
      </c>
      <c r="V48" t="str">
        <f ca="1" t="shared" si="9"/>
        <v/>
      </c>
      <c r="W48" t="str">
        <f ca="1" t="shared" si="10"/>
        <v/>
      </c>
      <c r="X48" t="str">
        <f ca="1" t="shared" si="11"/>
        <v/>
      </c>
      <c r="Y48" t="str">
        <f ca="1" t="shared" si="12"/>
        <v/>
      </c>
    </row>
    <row r="49" spans="2:25">
      <c r="B49">
        <f>tblIndiSets!A206</f>
        <v>32</v>
      </c>
      <c r="C49">
        <f>tblIndiSets!C206</f>
        <v>3</v>
      </c>
      <c r="E49" t="str">
        <f>tblIndiSets!B206</f>
        <v>   3.1.3) Quality of road infrastructure</v>
      </c>
      <c r="G49">
        <f ca="1" t="shared" si="16"/>
        <v>1</v>
      </c>
      <c r="H49">
        <f ca="1" t="shared" si="17"/>
        <v>15</v>
      </c>
      <c r="I49" s="284" t="str">
        <f ca="1" t="shared" si="18"/>
        <v>=1</v>
      </c>
      <c r="J49">
        <f t="shared" si="19"/>
        <v>100</v>
      </c>
      <c r="K49" s="286" t="str">
        <f t="shared" si="20"/>
        <v>|||||||||||||||||||||||||||||||||</v>
      </c>
      <c r="L49" s="287"/>
      <c r="M49" s="214" t="e">
        <f t="shared" si="21"/>
        <v>#NAME?</v>
      </c>
      <c r="N49">
        <f t="shared" si="22"/>
        <v>3</v>
      </c>
      <c r="O49">
        <f>tblIndicators!V33</f>
        <v>0</v>
      </c>
      <c r="P49">
        <f ca="1" t="shared" si="4"/>
        <v>61</v>
      </c>
      <c r="Q49" t="e">
        <f ca="1" t="shared" si="5"/>
        <v>#N/A</v>
      </c>
      <c r="R49" t="e">
        <f ca="1" t="shared" si="6"/>
        <v>#N/A</v>
      </c>
      <c r="T49" t="str">
        <f ca="1" t="shared" si="7"/>
        <v>   4.2.11) Threat of military conflict</v>
      </c>
      <c r="U49">
        <f ca="1" t="shared" si="8"/>
        <v>100</v>
      </c>
      <c r="V49" t="str">
        <f ca="1" t="shared" si="9"/>
        <v/>
      </c>
      <c r="W49" t="str">
        <f ca="1" t="shared" si="10"/>
        <v/>
      </c>
      <c r="X49" t="str">
        <f ca="1" t="shared" si="11"/>
        <v/>
      </c>
      <c r="Y49" t="str">
        <f ca="1" t="shared" si="12"/>
        <v/>
      </c>
    </row>
    <row r="50" spans="2:25">
      <c r="B50">
        <f>tblIndiSets!A207</f>
        <v>33</v>
      </c>
      <c r="C50">
        <f>tblIndiSets!C207</f>
        <v>3</v>
      </c>
      <c r="E50" t="str">
        <f>tblIndiSets!B207</f>
        <v>   3.1.4) Quality of electricity infrastructure</v>
      </c>
      <c r="G50">
        <f ca="1" t="shared" si="16"/>
        <v>38</v>
      </c>
      <c r="H50">
        <f ca="1" t="shared" si="17"/>
        <v>13</v>
      </c>
      <c r="I50" s="284" t="str">
        <f ca="1" t="shared" si="18"/>
        <v>=38</v>
      </c>
      <c r="J50">
        <f t="shared" si="19"/>
        <v>75</v>
      </c>
      <c r="K50" s="286" t="str">
        <f t="shared" si="20"/>
        <v>|||||||||||||||||||||||||</v>
      </c>
      <c r="L50" s="287"/>
      <c r="M50" s="214" t="e">
        <f t="shared" si="21"/>
        <v>#NAME?</v>
      </c>
      <c r="N50">
        <f t="shared" si="22"/>
        <v>3</v>
      </c>
      <c r="O50">
        <f>tblIndicators!V34</f>
        <v>0</v>
      </c>
      <c r="P50">
        <f ca="1" t="shared" ref="P50:P79" si="23">P49+MATCH(P$16,OFFSET($N$18:$N$140,P49,0),0)</f>
        <v>62</v>
      </c>
      <c r="Q50" t="e">
        <f ca="1" t="shared" ref="Q50:Q79" si="24">Q49+MATCH(Q$16,OFFSET($N$18:$N$140,Q49,0),0)</f>
        <v>#N/A</v>
      </c>
      <c r="R50" t="e">
        <f ca="1" t="shared" ref="R50:R79" si="25">R49+MATCH(R$16,OFFSET($N$18:$N$140,R49,0),0)</f>
        <v>#N/A</v>
      </c>
      <c r="T50" t="str">
        <f ca="1" t="shared" ref="T50:T79" si="26">IF(ISNUMBER(P50),INDEX($E$18:$E$140,P50),"")</f>
        <v>   4.2.12) Threat of civil unrest</v>
      </c>
      <c r="U50">
        <f ca="1" t="shared" ref="U50:U79" si="27">IF(ISNUMBER(P50),INDEX($J$18:$J$140,P50),"")</f>
        <v>75</v>
      </c>
      <c r="V50" t="str">
        <f ca="1" t="shared" ref="V50:V79" si="28">IF(ISNUMBER(Q50),INDEX($E$18:$E$140,Q50),"")</f>
        <v/>
      </c>
      <c r="W50" t="str">
        <f ca="1" t="shared" ref="W50:W79" si="29">IF(ISNUMBER(Q50),INDEX($J$18:$J$140,Q50),"")</f>
        <v/>
      </c>
      <c r="X50" t="str">
        <f ca="1" t="shared" ref="X50:X79" si="30">IF(ISNUMBER(R50),INDEX($E$18:$E$140,R50),"")</f>
        <v/>
      </c>
      <c r="Y50" t="str">
        <f ca="1" t="shared" ref="Y50:Y79" si="31">IF(ISNUMBER(R50),INDEX($J$18:$J$140,R50),"")</f>
        <v/>
      </c>
    </row>
    <row r="51" spans="2:25">
      <c r="B51">
        <f>tblIndiSets!A208</f>
        <v>34</v>
      </c>
      <c r="C51">
        <f>tblIndiSets!C208</f>
        <v>3</v>
      </c>
      <c r="E51" t="str">
        <f>tblIndiSets!B208</f>
        <v>   3.1.5) Disaster management/business continuity plan</v>
      </c>
      <c r="G51">
        <f ca="1" t="shared" si="16"/>
        <v>30</v>
      </c>
      <c r="H51">
        <f ca="1" t="shared" si="17"/>
        <v>15</v>
      </c>
      <c r="I51" s="284" t="str">
        <f ca="1" t="shared" si="18"/>
        <v>=30</v>
      </c>
      <c r="J51">
        <f t="shared" si="19"/>
        <v>75</v>
      </c>
      <c r="K51" s="286" t="str">
        <f t="shared" si="20"/>
        <v>|||||||||||||||||||||||||</v>
      </c>
      <c r="L51" s="287"/>
      <c r="M51" s="214" t="e">
        <f t="shared" si="21"/>
        <v>#NAME?</v>
      </c>
      <c r="N51">
        <f t="shared" si="22"/>
        <v>3</v>
      </c>
      <c r="O51">
        <f>tblIndicators!V35</f>
        <v>0</v>
      </c>
      <c r="P51" t="e">
        <f ca="1" t="shared" si="23"/>
        <v>#N/A</v>
      </c>
      <c r="Q51" t="e">
        <f ca="1" t="shared" si="24"/>
        <v>#N/A</v>
      </c>
      <c r="R51" t="e">
        <f ca="1" t="shared" si="25"/>
        <v>#N/A</v>
      </c>
      <c r="T51" t="str">
        <f ca="1" t="shared" si="26"/>
        <v/>
      </c>
      <c r="U51" t="str">
        <f ca="1" t="shared" si="27"/>
        <v/>
      </c>
      <c r="V51" t="str">
        <f ca="1" t="shared" si="28"/>
        <v/>
      </c>
      <c r="W51" t="str">
        <f ca="1" t="shared" si="29"/>
        <v/>
      </c>
      <c r="X51" t="str">
        <f ca="1" t="shared" si="30"/>
        <v/>
      </c>
      <c r="Y51" t="str">
        <f ca="1" t="shared" si="31"/>
        <v/>
      </c>
    </row>
    <row r="52" spans="2:25">
      <c r="B52">
        <f>tblIndiSets!A209</f>
        <v>35</v>
      </c>
      <c r="C52">
        <f>tblIndiSets!C209</f>
        <v>2</v>
      </c>
      <c r="E52" t="str">
        <f>tblIndiSets!B209</f>
        <v>  3.2) Infrastructure security (Outputs)</v>
      </c>
      <c r="G52">
        <f ca="1" t="shared" si="16"/>
        <v>14</v>
      </c>
      <c r="H52">
        <f ca="1" t="shared" si="17"/>
        <v>1</v>
      </c>
      <c r="I52" s="284">
        <f ca="1" t="shared" si="18"/>
        <v>14</v>
      </c>
      <c r="J52">
        <f t="shared" si="19"/>
        <v>92.728320479609</v>
      </c>
      <c r="K52" s="286" t="str">
        <f t="shared" si="20"/>
        <v>||||||||||||||||||||||||||||||</v>
      </c>
      <c r="L52" s="287"/>
      <c r="M52" s="214" t="e">
        <f t="shared" si="21"/>
        <v>#NAME?</v>
      </c>
      <c r="N52">
        <f t="shared" si="22"/>
        <v>0</v>
      </c>
      <c r="O52" t="str">
        <f>tblIndicators!V36</f>
        <v>0.0</v>
      </c>
      <c r="P52" t="e">
        <f ca="1" t="shared" si="23"/>
        <v>#N/A</v>
      </c>
      <c r="Q52" t="e">
        <f ca="1" t="shared" si="24"/>
        <v>#N/A</v>
      </c>
      <c r="R52" t="e">
        <f ca="1" t="shared" si="25"/>
        <v>#N/A</v>
      </c>
      <c r="T52" t="str">
        <f ca="1" t="shared" si="26"/>
        <v/>
      </c>
      <c r="U52" t="str">
        <f ca="1" t="shared" si="27"/>
        <v/>
      </c>
      <c r="V52" t="str">
        <f ca="1" t="shared" si="28"/>
        <v/>
      </c>
      <c r="W52" t="str">
        <f ca="1" t="shared" si="29"/>
        <v/>
      </c>
      <c r="X52" t="str">
        <f ca="1" t="shared" si="30"/>
        <v/>
      </c>
      <c r="Y52" t="str">
        <f ca="1" t="shared" si="31"/>
        <v/>
      </c>
    </row>
    <row r="53" spans="2:25">
      <c r="B53">
        <f>tblIndiSets!A210</f>
        <v>36</v>
      </c>
      <c r="C53">
        <f>tblIndiSets!C210</f>
        <v>3</v>
      </c>
      <c r="E53" t="str">
        <f>tblIndiSets!B210</f>
        <v>   3.2.1) Deaths from natural disaster</v>
      </c>
      <c r="G53">
        <f ca="1" t="shared" si="16"/>
        <v>1</v>
      </c>
      <c r="H53">
        <f ca="1" t="shared" si="17"/>
        <v>6</v>
      </c>
      <c r="I53" s="284" t="str">
        <f ca="1" t="shared" si="18"/>
        <v>=1</v>
      </c>
      <c r="J53">
        <f t="shared" si="19"/>
        <v>100</v>
      </c>
      <c r="K53" s="286" t="str">
        <f t="shared" si="20"/>
        <v>|||||||||||||||||||||||||||||||||</v>
      </c>
      <c r="L53" s="287"/>
      <c r="M53" s="214" t="e">
        <f t="shared" si="21"/>
        <v>#NAME?</v>
      </c>
      <c r="N53">
        <f t="shared" si="22"/>
        <v>3</v>
      </c>
      <c r="O53">
        <f>tblIndicators!V37</f>
        <v>0</v>
      </c>
      <c r="P53" t="e">
        <f ca="1" t="shared" si="23"/>
        <v>#N/A</v>
      </c>
      <c r="Q53" t="e">
        <f ca="1" t="shared" si="24"/>
        <v>#N/A</v>
      </c>
      <c r="R53" t="e">
        <f ca="1" t="shared" si="25"/>
        <v>#N/A</v>
      </c>
      <c r="T53" t="str">
        <f ca="1" t="shared" si="26"/>
        <v/>
      </c>
      <c r="U53" t="str">
        <f ca="1" t="shared" si="27"/>
        <v/>
      </c>
      <c r="V53" t="str">
        <f ca="1" t="shared" si="28"/>
        <v/>
      </c>
      <c r="W53" t="str">
        <f ca="1" t="shared" si="29"/>
        <v/>
      </c>
      <c r="X53" t="str">
        <f ca="1" t="shared" si="30"/>
        <v/>
      </c>
      <c r="Y53" t="str">
        <f ca="1" t="shared" si="31"/>
        <v/>
      </c>
    </row>
    <row r="54" spans="2:25">
      <c r="B54">
        <f>tblIndiSets!A211</f>
        <v>37</v>
      </c>
      <c r="C54">
        <f>tblIndiSets!C211</f>
        <v>3</v>
      </c>
      <c r="E54" t="str">
        <f>tblIndiSets!B211</f>
        <v>   3.2.2) Frequency of vehicular accidents</v>
      </c>
      <c r="G54">
        <f ca="1" t="shared" si="16"/>
        <v>17</v>
      </c>
      <c r="H54">
        <f ca="1" t="shared" si="17"/>
        <v>1</v>
      </c>
      <c r="I54" s="284">
        <f ca="1" t="shared" si="18"/>
        <v>17</v>
      </c>
      <c r="J54">
        <f t="shared" si="19"/>
        <v>95.6913364340366</v>
      </c>
      <c r="K54" s="286" t="str">
        <f t="shared" si="20"/>
        <v>|||||||||||||||||||||||||||||||</v>
      </c>
      <c r="L54" s="287"/>
      <c r="M54" s="214" t="e">
        <f t="shared" si="21"/>
        <v>#NAME?</v>
      </c>
      <c r="N54">
        <f t="shared" si="22"/>
        <v>3</v>
      </c>
      <c r="O54">
        <f>tblIndicators!V38</f>
        <v>0</v>
      </c>
      <c r="P54" t="e">
        <f ca="1" t="shared" si="23"/>
        <v>#N/A</v>
      </c>
      <c r="Q54" t="e">
        <f ca="1" t="shared" si="24"/>
        <v>#N/A</v>
      </c>
      <c r="R54" t="e">
        <f ca="1" t="shared" si="25"/>
        <v>#N/A</v>
      </c>
      <c r="T54" t="str">
        <f ca="1" t="shared" si="26"/>
        <v/>
      </c>
      <c r="U54" t="str">
        <f ca="1" t="shared" si="27"/>
        <v/>
      </c>
      <c r="V54" t="str">
        <f ca="1" t="shared" si="28"/>
        <v/>
      </c>
      <c r="W54" t="str">
        <f ca="1" t="shared" si="29"/>
        <v/>
      </c>
      <c r="X54" t="str">
        <f ca="1" t="shared" si="30"/>
        <v/>
      </c>
      <c r="Y54" t="str">
        <f ca="1" t="shared" si="31"/>
        <v/>
      </c>
    </row>
    <row r="55" spans="2:25">
      <c r="B55">
        <f>tblIndiSets!A212</f>
        <v>38</v>
      </c>
      <c r="C55">
        <f>tblIndiSets!C212</f>
        <v>3</v>
      </c>
      <c r="E55" t="str">
        <f>tblIndiSets!B212</f>
        <v>   3.2.3) Frequency of pedestrian deaths</v>
      </c>
      <c r="G55">
        <f ca="1" t="shared" si="16"/>
        <v>38</v>
      </c>
      <c r="H55">
        <f ca="1" t="shared" si="17"/>
        <v>1</v>
      </c>
      <c r="I55" s="284">
        <f ca="1" t="shared" si="18"/>
        <v>38</v>
      </c>
      <c r="J55">
        <f t="shared" si="19"/>
        <v>67.9502659640083</v>
      </c>
      <c r="K55" s="286" t="str">
        <f t="shared" si="20"/>
        <v>||||||||||||||||||||||</v>
      </c>
      <c r="L55" s="287"/>
      <c r="M55" s="214" t="e">
        <f t="shared" si="21"/>
        <v>#NAME?</v>
      </c>
      <c r="N55">
        <f t="shared" si="22"/>
        <v>2</v>
      </c>
      <c r="O55">
        <f>tblIndicators!V39</f>
        <v>0</v>
      </c>
      <c r="P55" t="e">
        <f ca="1" t="shared" si="23"/>
        <v>#N/A</v>
      </c>
      <c r="Q55" t="e">
        <f ca="1" t="shared" si="24"/>
        <v>#N/A</v>
      </c>
      <c r="R55" t="e">
        <f ca="1" t="shared" si="25"/>
        <v>#N/A</v>
      </c>
      <c r="T55" t="str">
        <f ca="1" t="shared" si="26"/>
        <v/>
      </c>
      <c r="U55" t="str">
        <f ca="1" t="shared" si="27"/>
        <v/>
      </c>
      <c r="V55" t="str">
        <f ca="1" t="shared" si="28"/>
        <v/>
      </c>
      <c r="W55" t="str">
        <f ca="1" t="shared" si="29"/>
        <v/>
      </c>
      <c r="X55" t="str">
        <f ca="1" t="shared" si="30"/>
        <v/>
      </c>
      <c r="Y55" t="str">
        <f ca="1" t="shared" si="31"/>
        <v/>
      </c>
    </row>
    <row r="56" spans="2:25">
      <c r="B56">
        <f>tblIndiSets!A213</f>
        <v>39</v>
      </c>
      <c r="C56">
        <f>tblIndiSets!C213</f>
        <v>3</v>
      </c>
      <c r="E56" t="str">
        <f>tblIndiSets!B213</f>
        <v>   3.2.4) Percentage living in slums</v>
      </c>
      <c r="G56">
        <f ca="1" t="shared" si="16"/>
        <v>1</v>
      </c>
      <c r="H56">
        <f ca="1" t="shared" si="17"/>
        <v>6</v>
      </c>
      <c r="I56" s="284" t="str">
        <f ca="1" t="shared" si="18"/>
        <v>=1</v>
      </c>
      <c r="J56">
        <f t="shared" si="19"/>
        <v>100</v>
      </c>
      <c r="K56" s="286" t="str">
        <f t="shared" si="20"/>
        <v>|||||||||||||||||||||||||||||||||</v>
      </c>
      <c r="L56" s="287"/>
      <c r="M56" s="214" t="e">
        <f t="shared" si="21"/>
        <v>#NAME?</v>
      </c>
      <c r="N56">
        <f t="shared" si="22"/>
        <v>3</v>
      </c>
      <c r="O56">
        <f>tblIndicators!V40</f>
        <v>0</v>
      </c>
      <c r="P56" t="e">
        <f ca="1" t="shared" si="23"/>
        <v>#N/A</v>
      </c>
      <c r="Q56" t="e">
        <f ca="1" t="shared" si="24"/>
        <v>#N/A</v>
      </c>
      <c r="R56" t="e">
        <f ca="1" t="shared" si="25"/>
        <v>#N/A</v>
      </c>
      <c r="T56" t="str">
        <f ca="1" t="shared" si="26"/>
        <v/>
      </c>
      <c r="U56" t="str">
        <f ca="1" t="shared" si="27"/>
        <v/>
      </c>
      <c r="V56" t="str">
        <f ca="1" t="shared" si="28"/>
        <v/>
      </c>
      <c r="W56" t="str">
        <f ca="1" t="shared" si="29"/>
        <v/>
      </c>
      <c r="X56" t="str">
        <f ca="1" t="shared" si="30"/>
        <v/>
      </c>
      <c r="Y56" t="str">
        <f ca="1" t="shared" si="31"/>
        <v/>
      </c>
    </row>
    <row r="57" spans="2:25">
      <c r="B57">
        <f>tblIndiSets!A214</f>
        <v>40</v>
      </c>
      <c r="C57">
        <f>tblIndiSets!C214</f>
        <v>3</v>
      </c>
      <c r="E57" t="str">
        <f>tblIndiSets!B214</f>
        <v>   3.2.5) Number of attacks on facilities/infrastructure</v>
      </c>
      <c r="G57">
        <f ca="1" t="shared" si="16"/>
        <v>1</v>
      </c>
      <c r="H57">
        <f ca="1" t="shared" si="17"/>
        <v>36</v>
      </c>
      <c r="I57" s="284" t="str">
        <f ca="1" t="shared" si="18"/>
        <v>=1</v>
      </c>
      <c r="J57">
        <f t="shared" si="19"/>
        <v>100</v>
      </c>
      <c r="K57" s="286" t="str">
        <f t="shared" si="20"/>
        <v>|||||||||||||||||||||||||||||||||</v>
      </c>
      <c r="L57" s="287"/>
      <c r="M57" s="214" t="e">
        <f t="shared" si="21"/>
        <v>#NAME?</v>
      </c>
      <c r="N57">
        <f t="shared" si="22"/>
        <v>3</v>
      </c>
      <c r="O57" t="str">
        <f>tblIndicators!V41</f>
        <v>0.0</v>
      </c>
      <c r="P57" t="e">
        <f ca="1" t="shared" si="23"/>
        <v>#N/A</v>
      </c>
      <c r="Q57" t="e">
        <f ca="1" t="shared" si="24"/>
        <v>#N/A</v>
      </c>
      <c r="R57" t="e">
        <f ca="1" t="shared" si="25"/>
        <v>#N/A</v>
      </c>
      <c r="T57" t="str">
        <f ca="1" t="shared" si="26"/>
        <v/>
      </c>
      <c r="U57" t="str">
        <f ca="1" t="shared" si="27"/>
        <v/>
      </c>
      <c r="V57" t="str">
        <f ca="1" t="shared" si="28"/>
        <v/>
      </c>
      <c r="W57" t="str">
        <f ca="1" t="shared" si="29"/>
        <v/>
      </c>
      <c r="X57" t="str">
        <f ca="1" t="shared" si="30"/>
        <v/>
      </c>
      <c r="Y57" t="str">
        <f ca="1" t="shared" si="31"/>
        <v/>
      </c>
    </row>
    <row r="58" spans="2:25">
      <c r="B58">
        <f>tblIndiSets!A215</f>
        <v>41</v>
      </c>
      <c r="C58">
        <f>tblIndiSets!C215</f>
        <v>1</v>
      </c>
      <c r="E58" t="str">
        <f>tblIndiSets!B215</f>
        <v> 4) PERSONAL SECURITY</v>
      </c>
      <c r="G58">
        <f ca="1" t="shared" si="16"/>
        <v>29</v>
      </c>
      <c r="H58">
        <f ca="1" t="shared" si="17"/>
        <v>1</v>
      </c>
      <c r="I58" s="284">
        <f ca="1" t="shared" si="18"/>
        <v>29</v>
      </c>
      <c r="J58">
        <f t="shared" si="19"/>
        <v>78.9514458295227</v>
      </c>
      <c r="K58" s="286" t="str">
        <f t="shared" si="20"/>
        <v>||||||||||||||||||||||||||</v>
      </c>
      <c r="L58" s="287"/>
      <c r="M58" s="214" t="str">
        <f t="shared" si="21"/>
        <v/>
      </c>
      <c r="N58">
        <f t="shared" si="22"/>
        <v>0</v>
      </c>
      <c r="O58" t="str">
        <f>tblIndicators!V42</f>
        <v>0.0</v>
      </c>
      <c r="P58" t="e">
        <f ca="1" t="shared" si="23"/>
        <v>#N/A</v>
      </c>
      <c r="Q58" t="e">
        <f ca="1" t="shared" si="24"/>
        <v>#N/A</v>
      </c>
      <c r="R58" t="e">
        <f ca="1" t="shared" si="25"/>
        <v>#N/A</v>
      </c>
      <c r="T58" t="str">
        <f ca="1" t="shared" si="26"/>
        <v/>
      </c>
      <c r="U58" t="str">
        <f ca="1" t="shared" si="27"/>
        <v/>
      </c>
      <c r="V58" t="str">
        <f ca="1" t="shared" si="28"/>
        <v/>
      </c>
      <c r="W58" t="str">
        <f ca="1" t="shared" si="29"/>
        <v/>
      </c>
      <c r="X58" t="str">
        <f ca="1" t="shared" si="30"/>
        <v/>
      </c>
      <c r="Y58" t="str">
        <f ca="1" t="shared" si="31"/>
        <v/>
      </c>
    </row>
    <row r="59" spans="2:25">
      <c r="B59">
        <f>tblIndiSets!A216</f>
        <v>42</v>
      </c>
      <c r="C59">
        <f>tblIndiSets!C216</f>
        <v>2</v>
      </c>
      <c r="E59" t="str">
        <f>tblIndiSets!B216</f>
        <v>  4.1) Personal security (Inputs)</v>
      </c>
      <c r="G59">
        <f ca="1" t="shared" si="16"/>
        <v>40</v>
      </c>
      <c r="H59">
        <f ca="1" t="shared" si="17"/>
        <v>1</v>
      </c>
      <c r="I59" s="284">
        <f ca="1" t="shared" si="18"/>
        <v>40</v>
      </c>
      <c r="J59">
        <f t="shared" si="19"/>
        <v>71.8027210884354</v>
      </c>
      <c r="K59" s="286" t="str">
        <f t="shared" si="20"/>
        <v>|||||||||||||||||||||||</v>
      </c>
      <c r="L59" s="287"/>
      <c r="M59" s="214" t="e">
        <f t="shared" si="21"/>
        <v>#NAME?</v>
      </c>
      <c r="N59">
        <f t="shared" si="22"/>
        <v>0</v>
      </c>
      <c r="O59" t="str">
        <f>tblIndicators!V43</f>
        <v>0.0</v>
      </c>
      <c r="P59" t="e">
        <f ca="1" t="shared" si="23"/>
        <v>#N/A</v>
      </c>
      <c r="Q59" t="e">
        <f ca="1" t="shared" si="24"/>
        <v>#N/A</v>
      </c>
      <c r="R59" t="e">
        <f ca="1" t="shared" si="25"/>
        <v>#N/A</v>
      </c>
      <c r="T59" t="str">
        <f ca="1" t="shared" si="26"/>
        <v/>
      </c>
      <c r="U59" t="str">
        <f ca="1" t="shared" si="27"/>
        <v/>
      </c>
      <c r="V59" t="str">
        <f ca="1" t="shared" si="28"/>
        <v/>
      </c>
      <c r="W59" t="str">
        <f ca="1" t="shared" si="29"/>
        <v/>
      </c>
      <c r="X59" t="str">
        <f ca="1" t="shared" si="30"/>
        <v/>
      </c>
      <c r="Y59" t="str">
        <f ca="1" t="shared" si="31"/>
        <v/>
      </c>
    </row>
    <row r="60" spans="2:25">
      <c r="B60">
        <f>tblIndiSets!A217</f>
        <v>43</v>
      </c>
      <c r="C60">
        <f>tblIndiSets!C217</f>
        <v>3</v>
      </c>
      <c r="E60" t="str">
        <f>tblIndiSets!B217</f>
        <v>   4.1.1) Level of police engagement</v>
      </c>
      <c r="G60">
        <f ca="1" t="shared" si="16"/>
        <v>1</v>
      </c>
      <c r="H60">
        <f ca="1" t="shared" si="17"/>
        <v>28</v>
      </c>
      <c r="I60" s="284" t="str">
        <f ca="1" t="shared" si="18"/>
        <v>=1</v>
      </c>
      <c r="J60">
        <f t="shared" si="19"/>
        <v>100</v>
      </c>
      <c r="K60" s="286" t="str">
        <f t="shared" si="20"/>
        <v>|||||||||||||||||||||||||||||||||</v>
      </c>
      <c r="L60" s="287"/>
      <c r="M60" s="214" t="e">
        <f t="shared" si="21"/>
        <v>#NAME?</v>
      </c>
      <c r="N60">
        <f t="shared" si="22"/>
        <v>3</v>
      </c>
      <c r="O60">
        <f>tblIndicators!V44</f>
        <v>0</v>
      </c>
      <c r="P60" t="e">
        <f ca="1" t="shared" si="23"/>
        <v>#N/A</v>
      </c>
      <c r="Q60" t="e">
        <f ca="1" t="shared" si="24"/>
        <v>#N/A</v>
      </c>
      <c r="R60" t="e">
        <f ca="1" t="shared" si="25"/>
        <v>#N/A</v>
      </c>
      <c r="T60" t="str">
        <f ca="1" t="shared" si="26"/>
        <v/>
      </c>
      <c r="U60" t="str">
        <f ca="1" t="shared" si="27"/>
        <v/>
      </c>
      <c r="V60" t="str">
        <f ca="1" t="shared" si="28"/>
        <v/>
      </c>
      <c r="W60" t="str">
        <f ca="1" t="shared" si="29"/>
        <v/>
      </c>
      <c r="X60" t="str">
        <f ca="1" t="shared" si="30"/>
        <v/>
      </c>
      <c r="Y60" t="str">
        <f ca="1" t="shared" si="31"/>
        <v/>
      </c>
    </row>
    <row r="61" spans="2:25">
      <c r="B61">
        <f>tblIndiSets!A218</f>
        <v>44</v>
      </c>
      <c r="C61">
        <f>tblIndiSets!C218</f>
        <v>3</v>
      </c>
      <c r="E61" t="str">
        <f>tblIndiSets!B218</f>
        <v>   4.1.2) Community-based patrolling</v>
      </c>
      <c r="G61">
        <f ca="1" t="shared" si="16"/>
        <v>1</v>
      </c>
      <c r="H61">
        <f ca="1" t="shared" si="17"/>
        <v>53</v>
      </c>
      <c r="I61" s="284" t="str">
        <f ca="1" t="shared" si="18"/>
        <v>=1</v>
      </c>
      <c r="J61">
        <f t="shared" si="19"/>
        <v>100</v>
      </c>
      <c r="K61" s="286" t="str">
        <f t="shared" si="20"/>
        <v>|||||||||||||||||||||||||||||||||</v>
      </c>
      <c r="L61" s="287"/>
      <c r="M61" s="214" t="e">
        <f t="shared" si="21"/>
        <v>#NAME?</v>
      </c>
      <c r="N61">
        <f t="shared" si="22"/>
        <v>3</v>
      </c>
      <c r="O61">
        <f>tblIndicators!V45</f>
        <v>0</v>
      </c>
      <c r="P61" t="e">
        <f ca="1" t="shared" si="23"/>
        <v>#N/A</v>
      </c>
      <c r="Q61" t="e">
        <f ca="1" t="shared" si="24"/>
        <v>#N/A</v>
      </c>
      <c r="R61" t="e">
        <f ca="1" t="shared" si="25"/>
        <v>#N/A</v>
      </c>
      <c r="T61" t="str">
        <f ca="1" t="shared" si="26"/>
        <v/>
      </c>
      <c r="U61" t="str">
        <f ca="1" t="shared" si="27"/>
        <v/>
      </c>
      <c r="V61" t="str">
        <f ca="1" t="shared" si="28"/>
        <v/>
      </c>
      <c r="W61" t="str">
        <f ca="1" t="shared" si="29"/>
        <v/>
      </c>
      <c r="X61" t="str">
        <f ca="1" t="shared" si="30"/>
        <v/>
      </c>
      <c r="Y61" t="str">
        <f ca="1" t="shared" si="31"/>
        <v/>
      </c>
    </row>
    <row r="62" spans="2:25">
      <c r="B62">
        <f>tblIndiSets!A219</f>
        <v>45</v>
      </c>
      <c r="C62">
        <f>tblIndiSets!C219</f>
        <v>3</v>
      </c>
      <c r="E62" t="str">
        <f>tblIndiSets!B219</f>
        <v>   4.1.3) Available street-level crime data</v>
      </c>
      <c r="G62">
        <f ca="1" t="shared" si="16"/>
        <v>1</v>
      </c>
      <c r="H62">
        <f ca="1" t="shared" si="17"/>
        <v>50</v>
      </c>
      <c r="I62" s="284" t="str">
        <f ca="1" t="shared" si="18"/>
        <v>=1</v>
      </c>
      <c r="J62">
        <f t="shared" si="19"/>
        <v>100</v>
      </c>
      <c r="K62" s="286" t="str">
        <f t="shared" si="20"/>
        <v>|||||||||||||||||||||||||||||||||</v>
      </c>
      <c r="L62" s="287"/>
      <c r="M62" s="214" t="e">
        <f t="shared" si="21"/>
        <v>#NAME?</v>
      </c>
      <c r="N62">
        <f t="shared" si="22"/>
        <v>3</v>
      </c>
      <c r="O62">
        <f>tblIndicators!V46</f>
        <v>0</v>
      </c>
      <c r="P62" t="e">
        <f ca="1" t="shared" si="23"/>
        <v>#N/A</v>
      </c>
      <c r="Q62" t="e">
        <f ca="1" t="shared" si="24"/>
        <v>#N/A</v>
      </c>
      <c r="R62" t="e">
        <f ca="1" t="shared" si="25"/>
        <v>#N/A</v>
      </c>
      <c r="T62" t="str">
        <f ca="1" t="shared" si="26"/>
        <v/>
      </c>
      <c r="U62" t="str">
        <f ca="1" t="shared" si="27"/>
        <v/>
      </c>
      <c r="V62" t="str">
        <f ca="1" t="shared" si="28"/>
        <v/>
      </c>
      <c r="W62" t="str">
        <f ca="1" t="shared" si="29"/>
        <v/>
      </c>
      <c r="X62" t="str">
        <f ca="1" t="shared" si="30"/>
        <v/>
      </c>
      <c r="Y62" t="str">
        <f ca="1" t="shared" si="31"/>
        <v/>
      </c>
    </row>
    <row r="63" spans="2:25">
      <c r="B63">
        <f>tblIndiSets!A220</f>
        <v>46</v>
      </c>
      <c r="C63">
        <f>tblIndiSets!C220</f>
        <v>3</v>
      </c>
      <c r="E63" t="str">
        <f>tblIndiSets!B220</f>
        <v>   4.1.4) Use of data-driven techniques for crime</v>
      </c>
      <c r="G63">
        <f ca="1" t="shared" si="16"/>
        <v>49</v>
      </c>
      <c r="H63">
        <f ca="1" t="shared" si="17"/>
        <v>12</v>
      </c>
      <c r="I63" s="284" t="str">
        <f ca="1" t="shared" si="18"/>
        <v>=49</v>
      </c>
      <c r="J63">
        <f t="shared" si="19"/>
        <v>0</v>
      </c>
      <c r="K63" s="286" t="str">
        <f t="shared" si="20"/>
        <v/>
      </c>
      <c r="L63" s="287"/>
      <c r="M63" s="214" t="e">
        <f t="shared" si="21"/>
        <v>#NAME?</v>
      </c>
      <c r="N63">
        <f t="shared" si="22"/>
        <v>1</v>
      </c>
      <c r="O63">
        <f>tblIndicators!V47</f>
        <v>0</v>
      </c>
      <c r="P63" t="e">
        <f ca="1" t="shared" si="23"/>
        <v>#N/A</v>
      </c>
      <c r="Q63" t="e">
        <f ca="1" t="shared" si="24"/>
        <v>#N/A</v>
      </c>
      <c r="R63" t="e">
        <f ca="1" t="shared" si="25"/>
        <v>#N/A</v>
      </c>
      <c r="T63" t="str">
        <f ca="1" t="shared" si="26"/>
        <v/>
      </c>
      <c r="U63" t="str">
        <f ca="1" t="shared" si="27"/>
        <v/>
      </c>
      <c r="V63" t="str">
        <f ca="1" t="shared" si="28"/>
        <v/>
      </c>
      <c r="W63" t="str">
        <f ca="1" t="shared" si="29"/>
        <v/>
      </c>
      <c r="X63" t="str">
        <f ca="1" t="shared" si="30"/>
        <v/>
      </c>
      <c r="Y63" t="str">
        <f ca="1" t="shared" si="31"/>
        <v/>
      </c>
    </row>
    <row r="64" spans="2:25">
      <c r="B64">
        <f>tblIndiSets!A221</f>
        <v>47</v>
      </c>
      <c r="C64">
        <f>tblIndiSets!C221</f>
        <v>3</v>
      </c>
      <c r="E64" t="str">
        <f>tblIndiSets!B221</f>
        <v>   4.1.5) Private security measures</v>
      </c>
      <c r="G64">
        <f ca="1" t="shared" si="16"/>
        <v>1</v>
      </c>
      <c r="H64">
        <f ca="1" t="shared" si="17"/>
        <v>55</v>
      </c>
      <c r="I64" s="284" t="str">
        <f ca="1" t="shared" si="18"/>
        <v>=1</v>
      </c>
      <c r="J64">
        <f t="shared" si="19"/>
        <v>100</v>
      </c>
      <c r="K64" s="286" t="str">
        <f t="shared" si="20"/>
        <v>|||||||||||||||||||||||||||||||||</v>
      </c>
      <c r="L64" s="287"/>
      <c r="M64" s="214" t="e">
        <f t="shared" si="21"/>
        <v>#NAME?</v>
      </c>
      <c r="N64">
        <f t="shared" si="22"/>
        <v>3</v>
      </c>
      <c r="O64">
        <f>tblIndicators!V48</f>
        <v>0</v>
      </c>
      <c r="P64" t="e">
        <f ca="1" t="shared" si="23"/>
        <v>#N/A</v>
      </c>
      <c r="Q64" t="e">
        <f ca="1" t="shared" si="24"/>
        <v>#N/A</v>
      </c>
      <c r="R64" t="e">
        <f ca="1" t="shared" si="25"/>
        <v>#N/A</v>
      </c>
      <c r="T64" t="str">
        <f ca="1" t="shared" si="26"/>
        <v/>
      </c>
      <c r="U64" t="str">
        <f ca="1" t="shared" si="27"/>
        <v/>
      </c>
      <c r="V64" t="str">
        <f ca="1" t="shared" si="28"/>
        <v/>
      </c>
      <c r="W64" t="str">
        <f ca="1" t="shared" si="29"/>
        <v/>
      </c>
      <c r="X64" t="str">
        <f ca="1" t="shared" si="30"/>
        <v/>
      </c>
      <c r="Y64" t="str">
        <f ca="1" t="shared" si="31"/>
        <v/>
      </c>
    </row>
    <row r="65" spans="2:25">
      <c r="B65">
        <f>tblIndiSets!A222</f>
        <v>48</v>
      </c>
      <c r="C65">
        <f>tblIndiSets!C222</f>
        <v>3</v>
      </c>
      <c r="E65" t="str">
        <f>tblIndiSets!B222</f>
        <v>   4.1.6) Gun regulation and enforcement</v>
      </c>
      <c r="G65">
        <f ca="1" t="shared" si="16"/>
        <v>39</v>
      </c>
      <c r="H65">
        <f ca="1" t="shared" si="17"/>
        <v>1</v>
      </c>
      <c r="I65" s="284">
        <f ca="1" t="shared" si="18"/>
        <v>39</v>
      </c>
      <c r="J65">
        <f t="shared" si="19"/>
        <v>47.6190476190476</v>
      </c>
      <c r="K65" s="286" t="str">
        <f t="shared" si="20"/>
        <v>|||||||||||||||</v>
      </c>
      <c r="L65" s="287"/>
      <c r="M65" s="214" t="e">
        <f t="shared" si="21"/>
        <v>#NAME?</v>
      </c>
      <c r="N65">
        <f t="shared" si="22"/>
        <v>2</v>
      </c>
      <c r="O65">
        <f>tblIndicators!V49</f>
        <v>0</v>
      </c>
      <c r="P65" t="e">
        <f ca="1" t="shared" si="23"/>
        <v>#N/A</v>
      </c>
      <c r="Q65" t="e">
        <f ca="1" t="shared" si="24"/>
        <v>#N/A</v>
      </c>
      <c r="R65" t="e">
        <f ca="1" t="shared" si="25"/>
        <v>#N/A</v>
      </c>
      <c r="T65" t="str">
        <f ca="1" t="shared" si="26"/>
        <v/>
      </c>
      <c r="U65" t="str">
        <f ca="1" t="shared" si="27"/>
        <v/>
      </c>
      <c r="V65" t="str">
        <f ca="1" t="shared" si="28"/>
        <v/>
      </c>
      <c r="W65" t="str">
        <f ca="1" t="shared" si="29"/>
        <v/>
      </c>
      <c r="X65" t="str">
        <f ca="1" t="shared" si="30"/>
        <v/>
      </c>
      <c r="Y65" t="str">
        <f ca="1" t="shared" si="31"/>
        <v/>
      </c>
    </row>
    <row r="66" spans="2:25">
      <c r="B66">
        <f>tblIndiSets!A223</f>
        <v>49</v>
      </c>
      <c r="C66">
        <f>tblIndiSets!C223</f>
        <v>3</v>
      </c>
      <c r="E66" t="str">
        <f>tblIndiSets!B223</f>
        <v>   4.1.7) Political stability risk</v>
      </c>
      <c r="G66">
        <f ca="1" t="shared" si="16"/>
        <v>40</v>
      </c>
      <c r="H66">
        <f ca="1" t="shared" si="17"/>
        <v>2</v>
      </c>
      <c r="I66" s="284" t="str">
        <f ca="1" t="shared" si="18"/>
        <v>=40</v>
      </c>
      <c r="J66">
        <f t="shared" si="19"/>
        <v>55</v>
      </c>
      <c r="K66" s="286" t="str">
        <f t="shared" si="20"/>
        <v>||||||||||||||||||</v>
      </c>
      <c r="L66" s="287"/>
      <c r="M66" s="214" t="e">
        <f t="shared" si="21"/>
        <v>#NAME?</v>
      </c>
      <c r="N66">
        <f t="shared" si="22"/>
        <v>2</v>
      </c>
      <c r="O66">
        <f>tblIndicators!V50</f>
        <v>0</v>
      </c>
      <c r="P66" t="e">
        <f ca="1" t="shared" si="23"/>
        <v>#N/A</v>
      </c>
      <c r="Q66" t="e">
        <f ca="1" t="shared" si="24"/>
        <v>#N/A</v>
      </c>
      <c r="R66" t="e">
        <f ca="1" t="shared" si="25"/>
        <v>#N/A</v>
      </c>
      <c r="T66" t="str">
        <f ca="1" t="shared" si="26"/>
        <v/>
      </c>
      <c r="U66" t="str">
        <f ca="1" t="shared" si="27"/>
        <v/>
      </c>
      <c r="V66" t="str">
        <f ca="1" t="shared" si="28"/>
        <v/>
      </c>
      <c r="W66" t="str">
        <f ca="1" t="shared" si="29"/>
        <v/>
      </c>
      <c r="X66" t="str">
        <f ca="1" t="shared" si="30"/>
        <v/>
      </c>
      <c r="Y66" t="str">
        <f ca="1" t="shared" si="31"/>
        <v/>
      </c>
    </row>
    <row r="67" spans="2:25">
      <c r="B67">
        <f>tblIndiSets!A224</f>
        <v>50</v>
      </c>
      <c r="C67">
        <f>tblIndiSets!C224</f>
        <v>2</v>
      </c>
      <c r="E67" t="str">
        <f>tblIndiSets!B224</f>
        <v>  4.2) Personal security (Outputs)</v>
      </c>
      <c r="G67">
        <f ca="1" t="shared" si="16"/>
        <v>10</v>
      </c>
      <c r="H67">
        <f ca="1" t="shared" si="17"/>
        <v>1</v>
      </c>
      <c r="I67" s="284">
        <f ca="1" t="shared" si="18"/>
        <v>10</v>
      </c>
      <c r="J67">
        <f t="shared" si="19"/>
        <v>86.10017057061</v>
      </c>
      <c r="K67" s="286" t="str">
        <f t="shared" si="20"/>
        <v>||||||||||||||||||||||||||||</v>
      </c>
      <c r="L67" s="287"/>
      <c r="M67" s="214" t="e">
        <f t="shared" si="21"/>
        <v>#NAME?</v>
      </c>
      <c r="N67">
        <f t="shared" si="22"/>
        <v>0</v>
      </c>
      <c r="O67" t="str">
        <f>tblIndicators!V51</f>
        <v>0.0</v>
      </c>
      <c r="P67" t="e">
        <f ca="1" t="shared" si="23"/>
        <v>#N/A</v>
      </c>
      <c r="Q67" t="e">
        <f ca="1" t="shared" si="24"/>
        <v>#N/A</v>
      </c>
      <c r="R67" t="e">
        <f ca="1" t="shared" si="25"/>
        <v>#N/A</v>
      </c>
      <c r="T67" t="str">
        <f ca="1" t="shared" si="26"/>
        <v/>
      </c>
      <c r="U67" t="str">
        <f ca="1" t="shared" si="27"/>
        <v/>
      </c>
      <c r="V67" t="str">
        <f ca="1" t="shared" si="28"/>
        <v/>
      </c>
      <c r="W67" t="str">
        <f ca="1" t="shared" si="29"/>
        <v/>
      </c>
      <c r="X67" t="str">
        <f ca="1" t="shared" si="30"/>
        <v/>
      </c>
      <c r="Y67" t="str">
        <f ca="1" t="shared" si="31"/>
        <v/>
      </c>
    </row>
    <row r="68" spans="2:25">
      <c r="B68">
        <f>tblIndiSets!A225</f>
        <v>51</v>
      </c>
      <c r="C68">
        <f>tblIndiSets!C225</f>
        <v>3</v>
      </c>
      <c r="E68" t="str">
        <f>tblIndiSets!B225</f>
        <v>   4.2.1) Prevalence of petty crime</v>
      </c>
      <c r="G68">
        <f ca="1" t="shared" si="16"/>
        <v>3</v>
      </c>
      <c r="H68">
        <f ca="1" t="shared" si="17"/>
        <v>28</v>
      </c>
      <c r="I68" s="284" t="str">
        <f ca="1" t="shared" si="18"/>
        <v>=3</v>
      </c>
      <c r="J68">
        <f t="shared" si="19"/>
        <v>75</v>
      </c>
      <c r="K68" s="286" t="str">
        <f t="shared" si="20"/>
        <v>|||||||||||||||||||||||||</v>
      </c>
      <c r="L68" s="287"/>
      <c r="M68" s="214" t="e">
        <f t="shared" si="21"/>
        <v>#NAME?</v>
      </c>
      <c r="N68">
        <f t="shared" si="22"/>
        <v>3</v>
      </c>
      <c r="O68">
        <f>tblIndicators!V52</f>
        <v>0</v>
      </c>
      <c r="P68" t="e">
        <f ca="1" t="shared" si="23"/>
        <v>#N/A</v>
      </c>
      <c r="Q68" t="e">
        <f ca="1" t="shared" si="24"/>
        <v>#N/A</v>
      </c>
      <c r="R68" t="e">
        <f ca="1" t="shared" si="25"/>
        <v>#N/A</v>
      </c>
      <c r="T68" t="str">
        <f ca="1" t="shared" si="26"/>
        <v/>
      </c>
      <c r="U68" t="str">
        <f ca="1" t="shared" si="27"/>
        <v/>
      </c>
      <c r="V68" t="str">
        <f ca="1" t="shared" si="28"/>
        <v/>
      </c>
      <c r="W68" t="str">
        <f ca="1" t="shared" si="29"/>
        <v/>
      </c>
      <c r="X68" t="str">
        <f ca="1" t="shared" si="30"/>
        <v/>
      </c>
      <c r="Y68" t="str">
        <f ca="1" t="shared" si="31"/>
        <v/>
      </c>
    </row>
    <row r="69" spans="2:25">
      <c r="B69">
        <f>tblIndiSets!A226</f>
        <v>52</v>
      </c>
      <c r="C69">
        <f>tblIndiSets!C226</f>
        <v>3</v>
      </c>
      <c r="E69" t="str">
        <f>tblIndiSets!B226</f>
        <v>   4.2.2) Prevalence of violent crime</v>
      </c>
      <c r="G69">
        <f ca="1" t="shared" si="16"/>
        <v>1</v>
      </c>
      <c r="H69">
        <f ca="1" t="shared" si="17"/>
        <v>16</v>
      </c>
      <c r="I69" s="284" t="str">
        <f ca="1" t="shared" si="18"/>
        <v>=1</v>
      </c>
      <c r="J69">
        <f t="shared" si="19"/>
        <v>100</v>
      </c>
      <c r="K69" s="286" t="str">
        <f t="shared" si="20"/>
        <v>|||||||||||||||||||||||||||||||||</v>
      </c>
      <c r="L69" s="287"/>
      <c r="M69" s="214" t="e">
        <f t="shared" si="21"/>
        <v>#NAME?</v>
      </c>
      <c r="N69">
        <f t="shared" si="22"/>
        <v>3</v>
      </c>
      <c r="O69">
        <f>tblIndicators!V53</f>
        <v>0</v>
      </c>
      <c r="P69" t="e">
        <f ca="1" t="shared" si="23"/>
        <v>#N/A</v>
      </c>
      <c r="Q69" t="e">
        <f ca="1" t="shared" si="24"/>
        <v>#N/A</v>
      </c>
      <c r="R69" t="e">
        <f ca="1" t="shared" si="25"/>
        <v>#N/A</v>
      </c>
      <c r="T69" t="str">
        <f ca="1" t="shared" si="26"/>
        <v/>
      </c>
      <c r="U69" t="str">
        <f ca="1" t="shared" si="27"/>
        <v/>
      </c>
      <c r="V69" t="str">
        <f ca="1" t="shared" si="28"/>
        <v/>
      </c>
      <c r="W69" t="str">
        <f ca="1" t="shared" si="29"/>
        <v/>
      </c>
      <c r="X69" t="str">
        <f ca="1" t="shared" si="30"/>
        <v/>
      </c>
      <c r="Y69" t="str">
        <f ca="1" t="shared" si="31"/>
        <v/>
      </c>
    </row>
    <row r="70" spans="2:25">
      <c r="B70">
        <f>tblIndiSets!A227</f>
        <v>53</v>
      </c>
      <c r="C70">
        <f>tblIndiSets!C227</f>
        <v>3</v>
      </c>
      <c r="E70" t="str">
        <f>tblIndiSets!B227</f>
        <v>   4.2.3) Organised crime</v>
      </c>
      <c r="G70">
        <f ca="1" t="shared" si="16"/>
        <v>6</v>
      </c>
      <c r="H70">
        <f ca="1" t="shared" si="17"/>
        <v>27</v>
      </c>
      <c r="I70" s="284" t="str">
        <f ca="1" t="shared" si="18"/>
        <v>=6</v>
      </c>
      <c r="J70">
        <f t="shared" si="19"/>
        <v>75</v>
      </c>
      <c r="K70" s="286" t="str">
        <f t="shared" si="20"/>
        <v>|||||||||||||||||||||||||</v>
      </c>
      <c r="L70" s="287"/>
      <c r="M70" s="214" t="e">
        <f t="shared" si="21"/>
        <v>#NAME?</v>
      </c>
      <c r="N70">
        <f t="shared" si="22"/>
        <v>3</v>
      </c>
      <c r="O70">
        <f>tblIndicators!V54</f>
        <v>0</v>
      </c>
      <c r="P70" t="e">
        <f ca="1" t="shared" si="23"/>
        <v>#N/A</v>
      </c>
      <c r="Q70" t="e">
        <f ca="1" t="shared" si="24"/>
        <v>#N/A</v>
      </c>
      <c r="R70" t="e">
        <f ca="1" t="shared" si="25"/>
        <v>#N/A</v>
      </c>
      <c r="T70" t="str">
        <f ca="1" t="shared" si="26"/>
        <v/>
      </c>
      <c r="U70" t="str">
        <f ca="1" t="shared" si="27"/>
        <v/>
      </c>
      <c r="V70" t="str">
        <f ca="1" t="shared" si="28"/>
        <v/>
      </c>
      <c r="W70" t="str">
        <f ca="1" t="shared" si="29"/>
        <v/>
      </c>
      <c r="X70" t="str">
        <f ca="1" t="shared" si="30"/>
        <v/>
      </c>
      <c r="Y70" t="str">
        <f ca="1" t="shared" si="31"/>
        <v/>
      </c>
    </row>
    <row r="71" spans="2:25">
      <c r="B71">
        <f>tblIndiSets!A228</f>
        <v>54</v>
      </c>
      <c r="C71">
        <f>tblIndiSets!C228</f>
        <v>3</v>
      </c>
      <c r="E71" t="str">
        <f>tblIndiSets!B228</f>
        <v>   4.2.4) Level of corruption</v>
      </c>
      <c r="G71">
        <f ca="1" t="shared" si="16"/>
        <v>22</v>
      </c>
      <c r="H71">
        <f ca="1" t="shared" si="17"/>
        <v>2</v>
      </c>
      <c r="I71" s="284" t="str">
        <f ca="1" t="shared" si="18"/>
        <v>=22</v>
      </c>
      <c r="J71">
        <f t="shared" si="19"/>
        <v>66</v>
      </c>
      <c r="K71" s="286" t="str">
        <f t="shared" si="20"/>
        <v>||||||||||||||||||||||</v>
      </c>
      <c r="L71" s="287"/>
      <c r="M71" s="214" t="e">
        <f t="shared" si="21"/>
        <v>#NAME?</v>
      </c>
      <c r="N71">
        <f t="shared" si="22"/>
        <v>2</v>
      </c>
      <c r="O71">
        <f>tblIndicators!V55</f>
        <v>0</v>
      </c>
      <c r="P71" t="e">
        <f ca="1" t="shared" si="23"/>
        <v>#N/A</v>
      </c>
      <c r="Q71" t="e">
        <f ca="1" t="shared" si="24"/>
        <v>#N/A</v>
      </c>
      <c r="R71" t="e">
        <f ca="1" t="shared" si="25"/>
        <v>#N/A</v>
      </c>
      <c r="T71" t="str">
        <f ca="1" t="shared" si="26"/>
        <v/>
      </c>
      <c r="U71" t="str">
        <f ca="1" t="shared" si="27"/>
        <v/>
      </c>
      <c r="V71" t="str">
        <f ca="1" t="shared" si="28"/>
        <v/>
      </c>
      <c r="W71" t="str">
        <f ca="1" t="shared" si="29"/>
        <v/>
      </c>
      <c r="X71" t="str">
        <f ca="1" t="shared" si="30"/>
        <v/>
      </c>
      <c r="Y71" t="str">
        <f ca="1" t="shared" si="31"/>
        <v/>
      </c>
    </row>
    <row r="72" spans="2:25">
      <c r="B72">
        <f>tblIndiSets!A229</f>
        <v>55</v>
      </c>
      <c r="C72">
        <f>tblIndiSets!C229</f>
        <v>3</v>
      </c>
      <c r="E72" t="str">
        <f>tblIndiSets!B229</f>
        <v>   4.2.5) Rate of drug use </v>
      </c>
      <c r="G72">
        <f ca="1" t="shared" si="16"/>
        <v>28</v>
      </c>
      <c r="H72">
        <f ca="1" t="shared" si="17"/>
        <v>1</v>
      </c>
      <c r="I72" s="284">
        <f ca="1" t="shared" si="18"/>
        <v>28</v>
      </c>
      <c r="J72">
        <f t="shared" si="19"/>
        <v>86.758691206544</v>
      </c>
      <c r="K72" s="286" t="str">
        <f t="shared" si="20"/>
        <v>||||||||||||||||||||||||||||</v>
      </c>
      <c r="L72" s="287"/>
      <c r="M72" s="214" t="e">
        <f t="shared" si="21"/>
        <v>#NAME?</v>
      </c>
      <c r="N72">
        <f t="shared" si="22"/>
        <v>3</v>
      </c>
      <c r="O72">
        <f>tblIndicators!V56</f>
        <v>0</v>
      </c>
      <c r="P72" t="e">
        <f ca="1" t="shared" si="23"/>
        <v>#N/A</v>
      </c>
      <c r="Q72" t="e">
        <f ca="1" t="shared" si="24"/>
        <v>#N/A</v>
      </c>
      <c r="R72" t="e">
        <f ca="1" t="shared" si="25"/>
        <v>#N/A</v>
      </c>
      <c r="T72" t="str">
        <f ca="1" t="shared" si="26"/>
        <v/>
      </c>
      <c r="U72" t="str">
        <f ca="1" t="shared" si="27"/>
        <v/>
      </c>
      <c r="V72" t="str">
        <f ca="1" t="shared" si="28"/>
        <v/>
      </c>
      <c r="W72" t="str">
        <f ca="1" t="shared" si="29"/>
        <v/>
      </c>
      <c r="X72" t="str">
        <f ca="1" t="shared" si="30"/>
        <v/>
      </c>
      <c r="Y72" t="str">
        <f ca="1" t="shared" si="31"/>
        <v/>
      </c>
    </row>
    <row r="73" spans="2:25">
      <c r="B73">
        <f>tblIndiSets!A230</f>
        <v>56</v>
      </c>
      <c r="C73">
        <f>tblIndiSets!C230</f>
        <v>3</v>
      </c>
      <c r="E73" t="str">
        <f>tblIndiSets!B230</f>
        <v>   4.2.6) Frequency of terrorist attacks </v>
      </c>
      <c r="G73">
        <f ca="1" t="shared" si="16"/>
        <v>14</v>
      </c>
      <c r="H73">
        <f ca="1" t="shared" si="17"/>
        <v>8</v>
      </c>
      <c r="I73" s="284" t="str">
        <f ca="1" t="shared" si="18"/>
        <v>=14</v>
      </c>
      <c r="J73">
        <f t="shared" si="19"/>
        <v>99.8572448251249</v>
      </c>
      <c r="K73" s="286" t="str">
        <f t="shared" si="20"/>
        <v>|||||||||||||||||||||||||||||||||</v>
      </c>
      <c r="L73" s="287"/>
      <c r="M73" s="214" t="e">
        <f t="shared" si="21"/>
        <v>#NAME?</v>
      </c>
      <c r="N73">
        <f t="shared" si="22"/>
        <v>3</v>
      </c>
      <c r="O73">
        <f>tblIndicators!V57</f>
        <v>0</v>
      </c>
      <c r="P73" t="e">
        <f ca="1" t="shared" si="23"/>
        <v>#N/A</v>
      </c>
      <c r="Q73" t="e">
        <f ca="1" t="shared" si="24"/>
        <v>#N/A</v>
      </c>
      <c r="R73" t="e">
        <f ca="1" t="shared" si="25"/>
        <v>#N/A</v>
      </c>
      <c r="T73" t="str">
        <f ca="1" t="shared" si="26"/>
        <v/>
      </c>
      <c r="U73" t="str">
        <f ca="1" t="shared" si="27"/>
        <v/>
      </c>
      <c r="V73" t="str">
        <f ca="1" t="shared" si="28"/>
        <v/>
      </c>
      <c r="W73" t="str">
        <f ca="1" t="shared" si="29"/>
        <v/>
      </c>
      <c r="X73" t="str">
        <f ca="1" t="shared" si="30"/>
        <v/>
      </c>
      <c r="Y73" t="str">
        <f ca="1" t="shared" si="31"/>
        <v/>
      </c>
    </row>
    <row r="74" spans="2:25">
      <c r="B74">
        <f>tblIndiSets!A231</f>
        <v>57</v>
      </c>
      <c r="C74">
        <f>tblIndiSets!C231</f>
        <v>3</v>
      </c>
      <c r="E74" t="str">
        <f>tblIndiSets!B231</f>
        <v>   4.2.7) Severity of terrorist attacks</v>
      </c>
      <c r="G74">
        <f ca="1" t="shared" si="16"/>
        <v>15</v>
      </c>
      <c r="H74">
        <f ca="1" t="shared" si="17"/>
        <v>5</v>
      </c>
      <c r="I74" s="284" t="str">
        <f ca="1" t="shared" si="18"/>
        <v>=15</v>
      </c>
      <c r="J74">
        <f t="shared" si="19"/>
        <v>99.9801350814462</v>
      </c>
      <c r="K74" s="286" t="str">
        <f t="shared" si="20"/>
        <v>|||||||||||||||||||||||||||||||||</v>
      </c>
      <c r="L74" s="287"/>
      <c r="M74" s="214" t="e">
        <f t="shared" si="21"/>
        <v>#NAME?</v>
      </c>
      <c r="N74">
        <f t="shared" si="22"/>
        <v>3</v>
      </c>
      <c r="O74">
        <f>tblIndicators!V58</f>
        <v>0</v>
      </c>
      <c r="P74" t="e">
        <f ca="1" t="shared" si="23"/>
        <v>#N/A</v>
      </c>
      <c r="Q74" t="e">
        <f ca="1" t="shared" si="24"/>
        <v>#N/A</v>
      </c>
      <c r="R74" t="e">
        <f ca="1" t="shared" si="25"/>
        <v>#N/A</v>
      </c>
      <c r="T74" t="str">
        <f ca="1" t="shared" si="26"/>
        <v/>
      </c>
      <c r="U74" t="str">
        <f ca="1" t="shared" si="27"/>
        <v/>
      </c>
      <c r="V74" t="str">
        <f ca="1" t="shared" si="28"/>
        <v/>
      </c>
      <c r="W74" t="str">
        <f ca="1" t="shared" si="29"/>
        <v/>
      </c>
      <c r="X74" t="str">
        <f ca="1" t="shared" si="30"/>
        <v/>
      </c>
      <c r="Y74" t="str">
        <f ca="1" t="shared" si="31"/>
        <v/>
      </c>
    </row>
    <row r="75" spans="2:25">
      <c r="B75">
        <f>tblIndiSets!A232</f>
        <v>58</v>
      </c>
      <c r="C75">
        <f>tblIndiSets!C232</f>
        <v>3</v>
      </c>
      <c r="E75" t="str">
        <f>tblIndiSets!B232</f>
        <v>   4.2.8) Gender safety</v>
      </c>
      <c r="G75">
        <f ca="1" t="shared" si="16"/>
        <v>15</v>
      </c>
      <c r="H75">
        <f ca="1" t="shared" si="17"/>
        <v>1</v>
      </c>
      <c r="I75" s="284">
        <f ca="1" t="shared" si="18"/>
        <v>15</v>
      </c>
      <c r="J75">
        <f t="shared" si="19"/>
        <v>96.1159757342053</v>
      </c>
      <c r="K75" s="286" t="str">
        <f t="shared" si="20"/>
        <v>||||||||||||||||||||||||||||||||</v>
      </c>
      <c r="L75" s="287"/>
      <c r="M75" s="214" t="e">
        <f t="shared" si="21"/>
        <v>#NAME?</v>
      </c>
      <c r="N75">
        <f t="shared" si="22"/>
        <v>3</v>
      </c>
      <c r="O75">
        <f>tblIndicators!V59</f>
        <v>0</v>
      </c>
      <c r="P75" t="e">
        <f ca="1" t="shared" si="23"/>
        <v>#N/A</v>
      </c>
      <c r="Q75" t="e">
        <f ca="1" t="shared" si="24"/>
        <v>#N/A</v>
      </c>
      <c r="R75" t="e">
        <f ca="1" t="shared" si="25"/>
        <v>#N/A</v>
      </c>
      <c r="T75" t="str">
        <f ca="1" t="shared" si="26"/>
        <v/>
      </c>
      <c r="U75" t="str">
        <f ca="1" t="shared" si="27"/>
        <v/>
      </c>
      <c r="V75" t="str">
        <f ca="1" t="shared" si="28"/>
        <v/>
      </c>
      <c r="W75" t="str">
        <f ca="1" t="shared" si="29"/>
        <v/>
      </c>
      <c r="X75" t="str">
        <f ca="1" t="shared" si="30"/>
        <v/>
      </c>
      <c r="Y75" t="str">
        <f ca="1" t="shared" si="31"/>
        <v/>
      </c>
    </row>
    <row r="76" spans="2:25">
      <c r="B76">
        <f>tblIndiSets!A233</f>
        <v>59</v>
      </c>
      <c r="C76">
        <f>tblIndiSets!C233</f>
        <v>3</v>
      </c>
      <c r="E76" t="str">
        <f>tblIndiSets!B233</f>
        <v>   4.2.9) Perceptions of safety</v>
      </c>
      <c r="G76">
        <f ca="1" t="shared" si="16"/>
        <v>1</v>
      </c>
      <c r="H76">
        <f ca="1" t="shared" si="17"/>
        <v>1</v>
      </c>
      <c r="I76" s="284">
        <f ca="1" t="shared" si="18"/>
        <v>1</v>
      </c>
      <c r="J76">
        <f t="shared" si="19"/>
        <v>84.49</v>
      </c>
      <c r="K76" s="286" t="str">
        <f t="shared" si="20"/>
        <v>||||||||||||||||||||||||||||</v>
      </c>
      <c r="L76" s="287"/>
      <c r="M76" s="214" t="e">
        <f t="shared" si="21"/>
        <v>#NAME?</v>
      </c>
      <c r="N76">
        <f t="shared" si="22"/>
        <v>3</v>
      </c>
      <c r="O76">
        <f>tblIndicators!V60</f>
        <v>0</v>
      </c>
      <c r="P76" t="e">
        <f ca="1" t="shared" si="23"/>
        <v>#N/A</v>
      </c>
      <c r="Q76" t="e">
        <f ca="1" t="shared" si="24"/>
        <v>#N/A</v>
      </c>
      <c r="R76" t="e">
        <f ca="1" t="shared" si="25"/>
        <v>#N/A</v>
      </c>
      <c r="T76" t="str">
        <f ca="1" t="shared" si="26"/>
        <v/>
      </c>
      <c r="U76" t="str">
        <f ca="1" t="shared" si="27"/>
        <v/>
      </c>
      <c r="V76" t="str">
        <f ca="1" t="shared" si="28"/>
        <v/>
      </c>
      <c r="W76" t="str">
        <f ca="1" t="shared" si="29"/>
        <v/>
      </c>
      <c r="X76" t="str">
        <f ca="1" t="shared" si="30"/>
        <v/>
      </c>
      <c r="Y76" t="str">
        <f ca="1" t="shared" si="31"/>
        <v/>
      </c>
    </row>
    <row r="77" spans="2:25">
      <c r="B77">
        <f>tblIndiSets!A234</f>
        <v>60</v>
      </c>
      <c r="C77">
        <f>tblIndiSets!C234</f>
        <v>3</v>
      </c>
      <c r="E77" t="str">
        <f>tblIndiSets!B234</f>
        <v>   4.2.10) Threat of terrorism</v>
      </c>
      <c r="G77">
        <f ca="1" t="shared" si="16"/>
        <v>11</v>
      </c>
      <c r="H77">
        <f ca="1" t="shared" si="17"/>
        <v>30</v>
      </c>
      <c r="I77" s="284" t="str">
        <f ca="1" t="shared" si="18"/>
        <v>=11</v>
      </c>
      <c r="J77">
        <f t="shared" si="19"/>
        <v>75</v>
      </c>
      <c r="K77" s="286" t="str">
        <f t="shared" si="20"/>
        <v>|||||||||||||||||||||||||</v>
      </c>
      <c r="L77" s="287"/>
      <c r="M77" s="214" t="e">
        <f t="shared" si="21"/>
        <v>#NAME?</v>
      </c>
      <c r="N77">
        <f t="shared" si="22"/>
        <v>3</v>
      </c>
      <c r="O77">
        <f>tblIndicators!V61</f>
        <v>0</v>
      </c>
      <c r="P77" t="e">
        <f ca="1" t="shared" si="23"/>
        <v>#N/A</v>
      </c>
      <c r="Q77" t="e">
        <f ca="1" t="shared" si="24"/>
        <v>#N/A</v>
      </c>
      <c r="R77" t="e">
        <f ca="1" t="shared" si="25"/>
        <v>#N/A</v>
      </c>
      <c r="T77" t="str">
        <f ca="1" t="shared" si="26"/>
        <v/>
      </c>
      <c r="U77" t="str">
        <f ca="1" t="shared" si="27"/>
        <v/>
      </c>
      <c r="V77" t="str">
        <f ca="1" t="shared" si="28"/>
        <v/>
      </c>
      <c r="W77" t="str">
        <f ca="1" t="shared" si="29"/>
        <v/>
      </c>
      <c r="X77" t="str">
        <f ca="1" t="shared" si="30"/>
        <v/>
      </c>
      <c r="Y77" t="str">
        <f ca="1" t="shared" si="31"/>
        <v/>
      </c>
    </row>
    <row r="78" spans="2:25">
      <c r="B78">
        <f>tblIndiSets!A235</f>
        <v>61</v>
      </c>
      <c r="C78">
        <f>tblIndiSets!C235</f>
        <v>3</v>
      </c>
      <c r="E78" t="str">
        <f>tblIndiSets!B235</f>
        <v>   4.2.11) Threat of military conflict</v>
      </c>
      <c r="G78">
        <f ca="1" t="shared" si="16"/>
        <v>1</v>
      </c>
      <c r="H78">
        <f ca="1" t="shared" si="17"/>
        <v>36</v>
      </c>
      <c r="I78" s="284" t="str">
        <f ca="1" t="shared" si="18"/>
        <v>=1</v>
      </c>
      <c r="J78">
        <f t="shared" si="19"/>
        <v>100</v>
      </c>
      <c r="K78" s="286" t="str">
        <f t="shared" si="20"/>
        <v>|||||||||||||||||||||||||||||||||</v>
      </c>
      <c r="L78" s="287"/>
      <c r="M78" s="214" t="e">
        <f t="shared" si="21"/>
        <v>#NAME?</v>
      </c>
      <c r="N78">
        <f t="shared" si="22"/>
        <v>3</v>
      </c>
      <c r="O78">
        <f>tblIndicators!V62</f>
        <v>0</v>
      </c>
      <c r="P78" t="e">
        <f ca="1" t="shared" si="23"/>
        <v>#N/A</v>
      </c>
      <c r="Q78" t="e">
        <f ca="1" t="shared" si="24"/>
        <v>#N/A</v>
      </c>
      <c r="R78" t="e">
        <f ca="1" t="shared" si="25"/>
        <v>#N/A</v>
      </c>
      <c r="T78" t="str">
        <f ca="1" t="shared" si="26"/>
        <v/>
      </c>
      <c r="U78" t="str">
        <f ca="1" t="shared" si="27"/>
        <v/>
      </c>
      <c r="V78" t="str">
        <f ca="1" t="shared" si="28"/>
        <v/>
      </c>
      <c r="W78" t="str">
        <f ca="1" t="shared" si="29"/>
        <v/>
      </c>
      <c r="X78" t="str">
        <f ca="1" t="shared" si="30"/>
        <v/>
      </c>
      <c r="Y78" t="str">
        <f ca="1" t="shared" si="31"/>
        <v/>
      </c>
    </row>
    <row r="79" spans="2:25">
      <c r="B79">
        <f>tblIndiSets!A236</f>
        <v>62</v>
      </c>
      <c r="C79">
        <f>tblIndiSets!C236</f>
        <v>3</v>
      </c>
      <c r="E79" t="str">
        <f>tblIndiSets!B236</f>
        <v>   4.2.12) Threat of civil unrest</v>
      </c>
      <c r="G79">
        <f ca="1" t="shared" si="16"/>
        <v>12</v>
      </c>
      <c r="H79">
        <f ca="1" t="shared" si="17"/>
        <v>24</v>
      </c>
      <c r="I79" s="284" t="str">
        <f ca="1" t="shared" si="18"/>
        <v>=12</v>
      </c>
      <c r="J79">
        <f t="shared" si="19"/>
        <v>75</v>
      </c>
      <c r="K79" s="286" t="str">
        <f t="shared" si="20"/>
        <v>|||||||||||||||||||||||||</v>
      </c>
      <c r="L79" s="287"/>
      <c r="M79" s="214" t="e">
        <f t="shared" si="21"/>
        <v>#NAME?</v>
      </c>
      <c r="N79">
        <f t="shared" si="22"/>
        <v>3</v>
      </c>
      <c r="O79">
        <f>tblIndicators!V63</f>
        <v>0</v>
      </c>
      <c r="P79" t="e">
        <f ca="1" t="shared" si="23"/>
        <v>#N/A</v>
      </c>
      <c r="Q79" t="e">
        <f ca="1" t="shared" si="24"/>
        <v>#N/A</v>
      </c>
      <c r="R79" t="e">
        <f ca="1" t="shared" si="25"/>
        <v>#N/A</v>
      </c>
      <c r="T79" t="str">
        <f ca="1" t="shared" si="26"/>
        <v/>
      </c>
      <c r="U79" t="str">
        <f ca="1" t="shared" si="27"/>
        <v/>
      </c>
      <c r="V79" t="str">
        <f ca="1" t="shared" si="28"/>
        <v/>
      </c>
      <c r="W79" t="str">
        <f ca="1" t="shared" si="29"/>
        <v/>
      </c>
      <c r="X79" t="str">
        <f ca="1" t="shared" si="30"/>
        <v/>
      </c>
      <c r="Y79" t="str">
        <f ca="1" t="shared" si="31"/>
        <v/>
      </c>
    </row>
    <row r="80" spans="9:13">
      <c r="I80" s="284"/>
      <c r="K80" s="286"/>
      <c r="L80" s="287"/>
      <c r="M80" s="214"/>
    </row>
    <row r="81" spans="9:13">
      <c r="I81" s="284"/>
      <c r="K81" s="286"/>
      <c r="L81" s="287"/>
      <c r="M81" s="214"/>
    </row>
    <row r="82" spans="9:13">
      <c r="I82" s="284"/>
      <c r="K82" s="286"/>
      <c r="L82" s="287"/>
      <c r="M82" s="214"/>
    </row>
    <row r="83" spans="9:13">
      <c r="I83" s="284"/>
      <c r="K83" s="286"/>
      <c r="L83" s="287"/>
      <c r="M83" s="214"/>
    </row>
    <row r="84" spans="9:13">
      <c r="I84" s="284"/>
      <c r="K84" s="286"/>
      <c r="L84" s="287"/>
      <c r="M84" s="214"/>
    </row>
    <row r="85" spans="9:13">
      <c r="I85" s="284"/>
      <c r="K85" s="286"/>
      <c r="L85" s="287"/>
      <c r="M85" s="214"/>
    </row>
    <row r="86" spans="9:13">
      <c r="I86" s="284"/>
      <c r="K86" s="286"/>
      <c r="L86" s="287"/>
      <c r="M86" s="214"/>
    </row>
    <row r="87" spans="9:13">
      <c r="I87" s="284"/>
      <c r="K87" s="286"/>
      <c r="L87" s="287"/>
      <c r="M87" s="214"/>
    </row>
    <row r="88" spans="9:13">
      <c r="I88" s="284"/>
      <c r="K88" s="286"/>
      <c r="L88" s="287"/>
      <c r="M88" s="214"/>
    </row>
    <row r="89" spans="9:13">
      <c r="I89" s="284"/>
      <c r="K89" s="286"/>
      <c r="L89" s="287"/>
      <c r="M89" s="214"/>
    </row>
    <row r="90" spans="9:13">
      <c r="I90" s="284"/>
      <c r="K90" s="286"/>
      <c r="L90" s="287"/>
      <c r="M90" s="214"/>
    </row>
    <row r="91" spans="9:13">
      <c r="I91" s="284"/>
      <c r="K91" s="286"/>
      <c r="L91" s="287"/>
      <c r="M91" s="214"/>
    </row>
    <row r="92" spans="9:13">
      <c r="I92" s="284"/>
      <c r="K92" s="286"/>
      <c r="L92" s="287"/>
      <c r="M92" s="214"/>
    </row>
    <row r="93" spans="9:13">
      <c r="I93" s="284"/>
      <c r="K93" s="286"/>
      <c r="L93" s="287"/>
      <c r="M93" s="214"/>
    </row>
    <row r="94" spans="9:13">
      <c r="I94" s="284"/>
      <c r="K94" s="286"/>
      <c r="L94" s="287"/>
      <c r="M94" s="214"/>
    </row>
    <row r="95" spans="9:13">
      <c r="I95" s="284"/>
      <c r="K95" s="286"/>
      <c r="L95" s="287"/>
      <c r="M95" s="214"/>
    </row>
    <row r="96" spans="9:13">
      <c r="I96" s="284"/>
      <c r="K96" s="286"/>
      <c r="L96" s="287"/>
      <c r="M96" s="214"/>
    </row>
    <row r="97" spans="9:13">
      <c r="I97" s="284"/>
      <c r="K97" s="286"/>
      <c r="L97" s="287"/>
      <c r="M97" s="214"/>
    </row>
    <row r="98" spans="9:13">
      <c r="I98" s="284"/>
      <c r="K98" s="286"/>
      <c r="L98" s="287"/>
      <c r="M98" s="214"/>
    </row>
    <row r="99" spans="9:13">
      <c r="I99" s="284"/>
      <c r="K99" s="286"/>
      <c r="L99" s="287"/>
      <c r="M99" s="214"/>
    </row>
    <row r="100" spans="9:13">
      <c r="I100" s="284"/>
      <c r="K100" s="286"/>
      <c r="L100" s="287"/>
      <c r="M100" s="214"/>
    </row>
    <row r="101" spans="9:13">
      <c r="I101" s="284"/>
      <c r="K101" s="286"/>
      <c r="L101" s="287"/>
      <c r="M101" s="214"/>
    </row>
    <row r="102" spans="9:13">
      <c r="I102" s="284"/>
      <c r="K102" s="286"/>
      <c r="L102" s="287"/>
      <c r="M102" s="214"/>
    </row>
    <row r="103" spans="9:13">
      <c r="I103" s="284"/>
      <c r="K103" s="286"/>
      <c r="L103" s="287"/>
      <c r="M103" s="214"/>
    </row>
    <row r="104" spans="9:13">
      <c r="I104" s="284"/>
      <c r="K104" s="286"/>
      <c r="L104" s="287"/>
      <c r="M104" s="214"/>
    </row>
    <row r="105" spans="9:13">
      <c r="I105" s="284"/>
      <c r="K105" s="286"/>
      <c r="L105" s="287"/>
      <c r="M105" s="214"/>
    </row>
    <row r="106" spans="9:13">
      <c r="I106" s="284"/>
      <c r="K106" s="286"/>
      <c r="L106" s="287"/>
      <c r="M106" s="214"/>
    </row>
    <row r="107" spans="9:13">
      <c r="I107" s="284"/>
      <c r="K107" s="286"/>
      <c r="L107" s="287"/>
      <c r="M107" s="214"/>
    </row>
    <row r="108" spans="9:13">
      <c r="I108" s="284"/>
      <c r="K108" s="286"/>
      <c r="L108" s="287"/>
      <c r="M108" s="214"/>
    </row>
    <row r="109" spans="9:13">
      <c r="I109" s="284"/>
      <c r="K109" s="286"/>
      <c r="L109" s="287"/>
      <c r="M109" s="214"/>
    </row>
    <row r="110" spans="9:13">
      <c r="I110" s="284"/>
      <c r="K110" s="286"/>
      <c r="L110" s="287"/>
      <c r="M110" s="214"/>
    </row>
    <row r="111" spans="9:13">
      <c r="I111" s="284"/>
      <c r="K111" s="286"/>
      <c r="L111" s="287"/>
      <c r="M111" s="214"/>
    </row>
    <row r="112" spans="9:13">
      <c r="I112" s="284"/>
      <c r="K112" s="286"/>
      <c r="L112" s="287"/>
      <c r="M112" s="214"/>
    </row>
    <row r="113" spans="9:13">
      <c r="I113" s="284"/>
      <c r="K113" s="286"/>
      <c r="L113" s="287"/>
      <c r="M113" s="214"/>
    </row>
    <row r="114" spans="9:13">
      <c r="I114" s="284"/>
      <c r="K114" s="286"/>
      <c r="L114" s="287"/>
      <c r="M114" s="214"/>
    </row>
    <row r="115" spans="9:13">
      <c r="I115" s="284"/>
      <c r="K115" s="286"/>
      <c r="L115" s="287"/>
      <c r="M115" s="214"/>
    </row>
    <row r="116" spans="9:13">
      <c r="I116" s="284"/>
      <c r="K116" s="286"/>
      <c r="L116" s="287"/>
      <c r="M116" s="214"/>
    </row>
    <row r="117" spans="9:13">
      <c r="I117" s="284"/>
      <c r="K117" s="286"/>
      <c r="L117" s="287"/>
      <c r="M117" s="214"/>
    </row>
    <row r="118" spans="9:13">
      <c r="I118" s="284"/>
      <c r="K118" s="286"/>
      <c r="L118" s="287"/>
      <c r="M118" s="214"/>
    </row>
    <row r="119" spans="9:13">
      <c r="I119" s="284"/>
      <c r="K119" s="286"/>
      <c r="L119" s="287"/>
      <c r="M119" s="214"/>
    </row>
    <row r="120" spans="9:13">
      <c r="I120" s="284"/>
      <c r="K120" s="286"/>
      <c r="L120" s="287"/>
      <c r="M120" s="214"/>
    </row>
    <row r="121" spans="9:13">
      <c r="I121" s="284"/>
      <c r="K121" s="286"/>
      <c r="L121" s="287"/>
      <c r="M121" s="214"/>
    </row>
    <row r="122" spans="9:13">
      <c r="I122" s="284"/>
      <c r="K122" s="286"/>
      <c r="L122" s="287"/>
      <c r="M122" s="214"/>
    </row>
    <row r="123" spans="9:13">
      <c r="I123" s="284"/>
      <c r="K123" s="286"/>
      <c r="L123" s="287"/>
      <c r="M123" s="214"/>
    </row>
    <row r="124" spans="9:13">
      <c r="I124" s="284"/>
      <c r="K124" s="286"/>
      <c r="L124" s="287"/>
      <c r="M124" s="214"/>
    </row>
    <row r="125" spans="9:13">
      <c r="I125" s="284"/>
      <c r="K125" s="286"/>
      <c r="L125" s="287"/>
      <c r="M125" s="214"/>
    </row>
    <row r="126" spans="9:13">
      <c r="I126" s="284"/>
      <c r="K126" s="286"/>
      <c r="L126" s="287"/>
      <c r="M126" s="214"/>
    </row>
    <row r="127" spans="9:13">
      <c r="I127" s="284"/>
      <c r="K127" s="286"/>
      <c r="L127" s="287"/>
      <c r="M127" s="214"/>
    </row>
    <row r="128" spans="9:13">
      <c r="I128" s="284"/>
      <c r="K128" s="286"/>
      <c r="L128" s="287"/>
      <c r="M128" s="214"/>
    </row>
    <row r="129" spans="9:13">
      <c r="I129" s="284"/>
      <c r="K129" s="286"/>
      <c r="L129" s="287"/>
      <c r="M129" s="214"/>
    </row>
    <row r="130" spans="9:13">
      <c r="I130" s="284"/>
      <c r="K130" s="286"/>
      <c r="L130" s="287"/>
      <c r="M130" s="214"/>
    </row>
    <row r="131" spans="9:13">
      <c r="I131" s="284"/>
      <c r="K131" s="286"/>
      <c r="L131" s="287"/>
      <c r="M131" s="214"/>
    </row>
    <row r="132" spans="9:13">
      <c r="I132" s="284"/>
      <c r="K132" s="286"/>
      <c r="L132" s="287"/>
      <c r="M132" s="214"/>
    </row>
    <row r="133" spans="9:13">
      <c r="I133" s="284"/>
      <c r="K133" s="286"/>
      <c r="L133" s="287"/>
      <c r="M133" s="214"/>
    </row>
    <row r="134" spans="9:13">
      <c r="I134" s="284"/>
      <c r="K134" s="286"/>
      <c r="L134" s="287"/>
      <c r="M134" s="214"/>
    </row>
    <row r="135" spans="9:13">
      <c r="I135" s="284"/>
      <c r="K135" s="286"/>
      <c r="L135" s="287"/>
      <c r="M135" s="214"/>
    </row>
    <row r="136" spans="9:13">
      <c r="I136" s="284"/>
      <c r="K136" s="286"/>
      <c r="L136" s="287"/>
      <c r="M136" s="214"/>
    </row>
    <row r="137" spans="9:13">
      <c r="I137" s="284"/>
      <c r="K137" s="286"/>
      <c r="L137" s="287"/>
      <c r="M137" s="214"/>
    </row>
    <row r="138" spans="9:13">
      <c r="I138" s="284"/>
      <c r="K138" s="286"/>
      <c r="L138" s="287"/>
      <c r="M138" s="214"/>
    </row>
    <row r="139" spans="9:13">
      <c r="I139" s="284"/>
      <c r="K139" s="286"/>
      <c r="L139" s="287"/>
      <c r="M139" s="214"/>
    </row>
    <row r="140" spans="9:13">
      <c r="I140" s="284"/>
      <c r="K140" s="286"/>
      <c r="L140" s="287"/>
      <c r="M140" s="214"/>
    </row>
  </sheetData>
  <pageMargins left="0.551181102362205" right="0.551181102362205" top="0.590551181102362" bottom="0.78740157480315" header="0.511811023622047" footer="0.511811023622047"/>
  <pageSetup paperSize="9" scale="27" orientation="landscape"/>
  <headerFooter alignWithMargins="0">
    <oddHeader>&amp;RSafe Cities Index : 2017</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pageSetUpPr fitToPage="1" autoPageBreaks="0"/>
  </sheetPr>
  <dimension ref="A1:CA116"/>
  <sheetViews>
    <sheetView showGridLines="0" showRowColHeaders="0" zoomScale="85" zoomScaleNormal="85" workbookViewId="0">
      <pane ySplit="8" topLeftCell="A9" activePane="bottomLeft" state="frozen"/>
      <selection/>
      <selection pane="bottomLeft" activeCell="A1" sqref="A1"/>
    </sheetView>
  </sheetViews>
  <sheetFormatPr defaultColWidth="9" defaultRowHeight="15"/>
  <cols>
    <col min="1" max="1" width="1.14285714285714" style="68" customWidth="1"/>
    <col min="2" max="2" width="2.85714285714286" style="70" hidden="1" customWidth="1"/>
    <col min="3" max="3" width="2.71428571428571" style="70" hidden="1" customWidth="1"/>
    <col min="4" max="4" width="1.71428571428571" style="70" customWidth="1"/>
    <col min="5" max="5" width="5.28571428571429" style="70" customWidth="1"/>
    <col min="6" max="6" width="21.4285714285714" style="70" customWidth="1"/>
    <col min="7" max="7" width="12.8571428571429" style="639" customWidth="1"/>
    <col min="8" max="8" width="5.71428571428571" style="70" hidden="1" customWidth="1"/>
    <col min="9" max="9" width="3.71428571428571" style="70" hidden="1" customWidth="1"/>
    <col min="10" max="10" width="3.71428571428571" style="600" hidden="1" customWidth="1"/>
    <col min="11" max="11" width="3.71428571428571" style="70" hidden="1" customWidth="1"/>
    <col min="12" max="12" width="10.1428571428571" style="70" customWidth="1"/>
    <col min="13" max="13" width="3.28571428571429" style="70" hidden="1" customWidth="1"/>
    <col min="14" max="14" width="4" style="70" hidden="1" customWidth="1"/>
    <col min="15" max="15" width="1.71428571428571" style="70" customWidth="1"/>
    <col min="16" max="16" width="4.71428571428571" style="70" customWidth="1"/>
    <col min="17" max="17" width="21.4285714285714" style="70" customWidth="1"/>
    <col min="18" max="18" width="12.8571428571429" style="639" customWidth="1"/>
    <col min="19" max="19" width="5.71428571428571" style="70" hidden="1" customWidth="1"/>
    <col min="20" max="22" width="3.71428571428571" style="70" hidden="1" customWidth="1"/>
    <col min="23" max="23" width="4.85714285714286" customWidth="1"/>
    <col min="24" max="24" width="2.71428571428571" style="70" hidden="1" customWidth="1"/>
    <col min="25" max="25" width="2.28571428571429" style="70" hidden="1" customWidth="1"/>
    <col min="26" max="26" width="1.71428571428571" style="70" customWidth="1"/>
    <col min="27" max="27" width="4.28571428571429" style="70" customWidth="1"/>
    <col min="28" max="28" width="21.4285714285714" style="70" customWidth="1"/>
    <col min="29" max="29" width="12.8571428571429" style="639" customWidth="1"/>
    <col min="30" max="30" width="5.71428571428571" style="70" hidden="1" customWidth="1"/>
    <col min="31" max="31" width="3.71428571428571" style="70" hidden="1" customWidth="1"/>
    <col min="32" max="32" width="3.71428571428571" style="600" hidden="1" customWidth="1"/>
    <col min="33" max="33" width="3.71428571428571" style="70" hidden="1" customWidth="1"/>
    <col min="34" max="34" width="4.85714285714286" style="70" customWidth="1"/>
    <col min="35" max="35" width="4.42857142857143" style="70" hidden="1" customWidth="1"/>
    <col min="36" max="36" width="3.42857142857143" style="70" hidden="1" customWidth="1"/>
    <col min="37" max="37" width="1.71428571428571" style="70" customWidth="1"/>
    <col min="38" max="38" width="4.28571428571429" style="70" customWidth="1"/>
    <col min="39" max="39" width="21.4285714285714" style="70" customWidth="1"/>
    <col min="40" max="40" width="12.8571428571429" style="639" customWidth="1"/>
    <col min="41" max="41" width="5.71428571428571" style="70" hidden="1" customWidth="1"/>
    <col min="42" max="44" width="3.71428571428571" style="70" hidden="1" customWidth="1"/>
    <col min="45" max="45" width="4.85714285714286" style="70" customWidth="1"/>
    <col min="46" max="46" width="4.42857142857143" style="70" hidden="1" customWidth="1"/>
    <col min="47" max="47" width="1.85714285714286" style="70" hidden="1" customWidth="1"/>
    <col min="48" max="48" width="1.71428571428571" style="70" customWidth="1"/>
    <col min="49" max="49" width="4.28571428571429" style="70" customWidth="1"/>
    <col min="50" max="50" width="21.4285714285714" style="70" customWidth="1"/>
    <col min="51" max="51" width="12.8571428571429" style="639" customWidth="1"/>
    <col min="52" max="52" width="5.71428571428571" style="70" hidden="1" customWidth="1"/>
    <col min="53" max="55" width="3.71428571428571" style="70" hidden="1" customWidth="1"/>
    <col min="56" max="56" width="2.71428571428571" customWidth="1"/>
    <col min="57" max="57" width="4.42857142857143" hidden="1" customWidth="1"/>
    <col min="58" max="58" width="3.14285714285714" hidden="1" customWidth="1"/>
    <col min="59" max="59" width="1.71428571428571" customWidth="1"/>
    <col min="60" max="60" width="4.28571428571429" customWidth="1"/>
    <col min="61" max="61" width="12.4285714285714" customWidth="1"/>
    <col min="62" max="62" width="10" customWidth="1"/>
    <col min="63" max="63" width="5.71428571428571" hidden="1" customWidth="1"/>
    <col min="64" max="66" width="3.71428571428571" hidden="1" customWidth="1"/>
    <col min="67" max="67" width="2.71428571428571" customWidth="1"/>
    <col min="68" max="68" width="4.42857142857143" hidden="1" customWidth="1"/>
    <col min="69" max="69" width="3.14285714285714" hidden="1" customWidth="1"/>
    <col min="70" max="70" width="1.71428571428571" customWidth="1"/>
    <col min="71" max="71" width="4.28571428571429" customWidth="1"/>
    <col min="72" max="72" width="12.4285714285714" customWidth="1"/>
    <col min="73" max="73" width="10" customWidth="1"/>
    <col min="74" max="74" width="5.71428571428571" hidden="1" customWidth="1"/>
    <col min="75" max="77" width="3.71428571428571" hidden="1" customWidth="1"/>
    <col min="79" max="16384" width="9.14285714285714" style="70"/>
  </cols>
  <sheetData>
    <row r="1" s="68" customFormat="1" ht="29.1" customHeight="1" spans="4:78">
      <c r="D1" s="658" t="str">
        <f>uxb_works!$B$90</f>
        <v>Safe Cities Index: 2017</v>
      </c>
      <c r="G1" s="638"/>
      <c r="J1" s="621"/>
      <c r="R1" s="638"/>
      <c r="W1"/>
      <c r="AC1" s="638"/>
      <c r="AF1" s="621"/>
      <c r="AN1" s="638"/>
      <c r="AY1" s="638"/>
      <c r="BA1" s="423">
        <v>1</v>
      </c>
      <c r="BB1" s="423">
        <v>0</v>
      </c>
      <c r="BD1"/>
      <c r="BE1"/>
      <c r="BF1"/>
      <c r="BG1"/>
      <c r="BH1"/>
      <c r="BI1"/>
      <c r="BJ1"/>
      <c r="BK1"/>
      <c r="BL1"/>
      <c r="BM1"/>
      <c r="BN1"/>
      <c r="BO1"/>
      <c r="BP1"/>
      <c r="BQ1"/>
      <c r="BR1"/>
      <c r="BS1"/>
      <c r="BT1"/>
      <c r="BU1"/>
      <c r="BV1"/>
      <c r="BW1"/>
      <c r="BX1"/>
      <c r="BY1"/>
      <c r="BZ1"/>
    </row>
    <row r="2" s="384" customFormat="1" ht="29.1" customHeight="1" spans="1:78">
      <c r="A2" s="659"/>
      <c r="B2" s="659"/>
      <c r="C2" s="659"/>
      <c r="D2" s="659"/>
      <c r="E2" s="659"/>
      <c r="F2" s="659"/>
      <c r="G2" s="660"/>
      <c r="H2" s="661"/>
      <c r="I2" s="661"/>
      <c r="J2" s="684"/>
      <c r="K2" s="661"/>
      <c r="L2" s="661"/>
      <c r="M2" s="661"/>
      <c r="N2" s="661"/>
      <c r="O2" s="661"/>
      <c r="P2" s="661"/>
      <c r="Q2" s="661"/>
      <c r="R2" s="660"/>
      <c r="S2" s="661"/>
      <c r="T2" s="661"/>
      <c r="U2" s="661"/>
      <c r="V2" s="661"/>
      <c r="W2" s="199"/>
      <c r="X2" s="661"/>
      <c r="Y2" s="661"/>
      <c r="Z2" s="661"/>
      <c r="AA2" s="661"/>
      <c r="AB2" s="661"/>
      <c r="AC2" s="660"/>
      <c r="AD2" s="661"/>
      <c r="AE2" s="661"/>
      <c r="AF2" s="684"/>
      <c r="AG2" s="661"/>
      <c r="AH2" s="661"/>
      <c r="AI2" s="661"/>
      <c r="AJ2" s="661"/>
      <c r="AK2" s="661"/>
      <c r="AL2" s="661"/>
      <c r="AM2" s="661"/>
      <c r="AN2" s="660"/>
      <c r="AO2" s="661"/>
      <c r="AP2" s="661"/>
      <c r="AQ2" s="661"/>
      <c r="AR2" s="661"/>
      <c r="AS2" s="661"/>
      <c r="AT2" s="661"/>
      <c r="AU2" s="661"/>
      <c r="AV2" s="661"/>
      <c r="AW2" s="661"/>
      <c r="AX2" s="661"/>
      <c r="AY2" s="660"/>
      <c r="AZ2" s="661"/>
      <c r="BA2" s="661"/>
      <c r="BB2" s="661"/>
      <c r="BC2" s="661"/>
      <c r="BD2" s="259"/>
      <c r="BE2" s="259"/>
      <c r="BF2" s="259"/>
      <c r="BG2" s="259"/>
      <c r="BH2" s="259"/>
      <c r="BI2" s="259"/>
      <c r="BJ2" s="259"/>
      <c r="BK2" s="259"/>
      <c r="BL2" s="259"/>
      <c r="BM2" s="259"/>
      <c r="BN2" s="259"/>
      <c r="BO2" s="259"/>
      <c r="BP2" s="259"/>
      <c r="BQ2" s="259"/>
      <c r="BR2" s="259"/>
      <c r="BS2" s="259"/>
      <c r="BT2" s="259"/>
      <c r="BU2" s="259"/>
      <c r="BV2" s="259"/>
      <c r="BW2" s="259"/>
      <c r="BX2" s="259"/>
      <c r="BY2" s="259"/>
      <c r="BZ2" s="259"/>
    </row>
    <row r="3" s="384" customFormat="1" ht="71.1" customHeight="1" spans="1:78">
      <c r="A3" s="659"/>
      <c r="B3" s="661"/>
      <c r="C3" s="661"/>
      <c r="D3" s="661"/>
      <c r="E3" s="662"/>
      <c r="F3" s="662"/>
      <c r="G3" s="662"/>
      <c r="H3" s="662"/>
      <c r="I3" s="662"/>
      <c r="J3" s="662"/>
      <c r="K3" s="662"/>
      <c r="L3" s="662"/>
      <c r="M3" s="662"/>
      <c r="N3" s="662"/>
      <c r="O3" s="662"/>
      <c r="P3" s="662"/>
      <c r="Q3" s="662"/>
      <c r="R3" s="662"/>
      <c r="S3" s="662"/>
      <c r="T3" s="662"/>
      <c r="U3" s="662"/>
      <c r="V3" s="662"/>
      <c r="W3" s="199"/>
      <c r="X3" s="661"/>
      <c r="Y3" s="661"/>
      <c r="Z3" s="661"/>
      <c r="AA3" s="659"/>
      <c r="AB3" s="659"/>
      <c r="AC3" s="701"/>
      <c r="AD3" s="659"/>
      <c r="AE3" s="662"/>
      <c r="AF3" s="702"/>
      <c r="AG3" s="662"/>
      <c r="AH3" s="659"/>
      <c r="AI3" s="659"/>
      <c r="AJ3" s="659"/>
      <c r="AK3" s="659"/>
      <c r="AL3" s="659"/>
      <c r="AM3" s="659"/>
      <c r="AN3" s="701"/>
      <c r="AO3" s="659"/>
      <c r="AP3" s="662"/>
      <c r="AQ3" s="662"/>
      <c r="AR3" s="662"/>
      <c r="AS3" s="659"/>
      <c r="AT3" s="659"/>
      <c r="AU3" s="659"/>
      <c r="AV3" s="659"/>
      <c r="AW3" s="659"/>
      <c r="AX3" s="659"/>
      <c r="AY3" s="701"/>
      <c r="AZ3" s="659"/>
      <c r="BA3" s="662"/>
      <c r="BB3" s="662"/>
      <c r="BC3" s="662"/>
      <c r="BD3" s="259"/>
      <c r="BE3" s="259"/>
      <c r="BF3" s="259"/>
      <c r="BG3" s="259"/>
      <c r="BH3" s="259"/>
      <c r="BI3" s="259"/>
      <c r="BJ3" s="259"/>
      <c r="BK3" s="259"/>
      <c r="BL3" s="259"/>
      <c r="BM3" s="259"/>
      <c r="BN3" s="259"/>
      <c r="BO3" s="259"/>
      <c r="BP3" s="259"/>
      <c r="BQ3" s="259"/>
      <c r="BR3" s="259"/>
      <c r="BS3" s="259"/>
      <c r="BT3" s="259"/>
      <c r="BU3" s="259"/>
      <c r="BV3" s="259"/>
      <c r="BW3" s="259"/>
      <c r="BX3" s="259"/>
      <c r="BY3" s="259"/>
      <c r="BZ3" s="259"/>
    </row>
    <row r="4" ht="16.5" customHeight="1" spans="5:55">
      <c r="E4" s="604"/>
      <c r="F4" s="604"/>
      <c r="G4" s="604"/>
      <c r="H4" s="604"/>
      <c r="I4" s="604"/>
      <c r="J4" s="604"/>
      <c r="K4" s="604"/>
      <c r="L4" s="604"/>
      <c r="M4" s="604"/>
      <c r="N4" s="604"/>
      <c r="O4" s="604"/>
      <c r="P4" s="604"/>
      <c r="Q4" s="604"/>
      <c r="R4" s="604"/>
      <c r="S4" s="604"/>
      <c r="T4" s="604"/>
      <c r="U4" s="604"/>
      <c r="V4" s="604"/>
      <c r="AA4" s="68"/>
      <c r="AB4" s="68"/>
      <c r="AC4" s="638"/>
      <c r="AD4" s="68"/>
      <c r="AE4" s="604"/>
      <c r="AF4" s="703"/>
      <c r="AG4" s="604"/>
      <c r="AH4" s="68"/>
      <c r="AI4" s="68"/>
      <c r="AJ4" s="68"/>
      <c r="AK4" s="68"/>
      <c r="AL4" s="68"/>
      <c r="AM4" s="68"/>
      <c r="AN4" s="638"/>
      <c r="AO4" s="68"/>
      <c r="AP4" s="604"/>
      <c r="AQ4" s="604"/>
      <c r="AR4" s="604"/>
      <c r="AS4" s="68"/>
      <c r="AT4" s="68"/>
      <c r="AU4" s="68"/>
      <c r="AV4" s="68"/>
      <c r="AW4" s="68"/>
      <c r="AX4" s="68"/>
      <c r="AY4" s="638"/>
      <c r="AZ4" s="68"/>
      <c r="BA4" s="604"/>
      <c r="BB4" s="604"/>
      <c r="BC4" s="604"/>
    </row>
    <row r="5" s="653" customFormat="1" ht="6.75" customHeight="1" spans="1:78">
      <c r="A5" s="108"/>
      <c r="E5" s="663"/>
      <c r="F5" s="663"/>
      <c r="G5" s="664"/>
      <c r="H5" s="663"/>
      <c r="I5" s="663"/>
      <c r="J5" s="685"/>
      <c r="K5" s="663"/>
      <c r="L5" s="663"/>
      <c r="M5" s="663"/>
      <c r="N5" s="663"/>
      <c r="O5" s="663"/>
      <c r="P5" s="663"/>
      <c r="Q5" s="663"/>
      <c r="R5" s="664"/>
      <c r="S5" s="663"/>
      <c r="T5" s="663"/>
      <c r="U5" s="663"/>
      <c r="V5" s="663"/>
      <c r="W5"/>
      <c r="AA5" s="108"/>
      <c r="AB5" s="108"/>
      <c r="AC5" s="704"/>
      <c r="AD5" s="663"/>
      <c r="AE5" s="663"/>
      <c r="AF5" s="685"/>
      <c r="AG5" s="663"/>
      <c r="AH5" s="108"/>
      <c r="AI5" s="108"/>
      <c r="AJ5" s="108"/>
      <c r="AK5" s="108"/>
      <c r="AL5" s="108"/>
      <c r="AM5" s="108"/>
      <c r="AN5" s="704"/>
      <c r="AO5" s="663"/>
      <c r="AP5" s="663"/>
      <c r="AQ5" s="663"/>
      <c r="AR5" s="663"/>
      <c r="AS5" s="108"/>
      <c r="AT5" s="108"/>
      <c r="AU5" s="108"/>
      <c r="AV5" s="108"/>
      <c r="AW5" s="108"/>
      <c r="AX5" s="108"/>
      <c r="AY5" s="704"/>
      <c r="AZ5" s="663"/>
      <c r="BA5" s="663"/>
      <c r="BB5" s="663"/>
      <c r="BC5" s="663"/>
      <c r="BD5"/>
      <c r="BE5"/>
      <c r="BF5"/>
      <c r="BG5"/>
      <c r="BH5"/>
      <c r="BI5"/>
      <c r="BJ5"/>
      <c r="BK5"/>
      <c r="BL5"/>
      <c r="BM5"/>
      <c r="BN5"/>
      <c r="BO5"/>
      <c r="BP5"/>
      <c r="BQ5"/>
      <c r="BR5"/>
      <c r="BS5"/>
      <c r="BT5"/>
      <c r="BU5"/>
      <c r="BV5"/>
      <c r="BW5"/>
      <c r="BX5"/>
      <c r="BY5"/>
      <c r="BZ5"/>
    </row>
    <row r="6" ht="29.25" customHeight="1" spans="5:79">
      <c r="E6" s="665"/>
      <c r="F6" s="665"/>
      <c r="G6" s="666"/>
      <c r="H6" s="665"/>
      <c r="I6" s="665"/>
      <c r="J6" s="686"/>
      <c r="K6" s="665"/>
      <c r="L6" s="665"/>
      <c r="M6" s="665"/>
      <c r="N6" s="665"/>
      <c r="O6" s="665"/>
      <c r="P6" s="665"/>
      <c r="Q6" s="665"/>
      <c r="R6" s="666"/>
      <c r="S6" s="665"/>
      <c r="T6" s="665"/>
      <c r="U6" s="665"/>
      <c r="V6" s="665"/>
      <c r="AA6" s="68"/>
      <c r="AB6" s="68"/>
      <c r="AC6" s="638"/>
      <c r="AD6" s="665"/>
      <c r="AE6" s="665"/>
      <c r="AF6" s="686"/>
      <c r="AG6" s="665"/>
      <c r="AH6" s="68"/>
      <c r="AI6" s="68"/>
      <c r="AJ6" s="68"/>
      <c r="AK6" s="68"/>
      <c r="AL6" s="68"/>
      <c r="AM6" s="68"/>
      <c r="AN6" s="638"/>
      <c r="AO6" s="665"/>
      <c r="AP6" s="665"/>
      <c r="AQ6" s="665"/>
      <c r="AR6" s="665"/>
      <c r="AS6" s="68"/>
      <c r="AT6" s="68"/>
      <c r="AU6" s="68"/>
      <c r="AV6" s="68"/>
      <c r="AW6" s="68"/>
      <c r="AX6" s="68"/>
      <c r="AY6" s="638"/>
      <c r="AZ6" s="665"/>
      <c r="BA6" s="665"/>
      <c r="BB6" s="665"/>
      <c r="BC6" s="665"/>
      <c r="CA6"/>
    </row>
    <row r="7" s="654" customFormat="1" ht="24" customHeight="1" spans="1:79">
      <c r="A7" s="667"/>
      <c r="B7" s="668"/>
      <c r="C7" s="668"/>
      <c r="D7" s="669" t="str">
        <f>iSummary!Q6</f>
        <v>OVERALL SCORE</v>
      </c>
      <c r="E7" s="669"/>
      <c r="F7" s="669"/>
      <c r="G7" s="669"/>
      <c r="H7" s="670" t="str">
        <f>uxb_works!$H$47</f>
        <v>2017 Compared to 2015 Updated</v>
      </c>
      <c r="I7" s="670"/>
      <c r="J7" s="670"/>
      <c r="K7" s="670"/>
      <c r="L7" s="668"/>
      <c r="M7" s="668"/>
      <c r="N7" s="668"/>
      <c r="O7" s="687" t="str">
        <f>iSummary!AH6</f>
        <v>1) DIGITAL SECURITY</v>
      </c>
      <c r="P7" s="687"/>
      <c r="Q7" s="687"/>
      <c r="R7" s="687"/>
      <c r="S7" s="696" t="str">
        <f>uxb_works!$H$47</f>
        <v>2017 Compared to 2015 Updated</v>
      </c>
      <c r="T7" s="696"/>
      <c r="U7" s="696"/>
      <c r="V7" s="696"/>
      <c r="W7"/>
      <c r="X7" s="697"/>
      <c r="Y7" s="697"/>
      <c r="Z7" s="687" t="str">
        <f>iSummary!AY6</f>
        <v>2) HEALTH SECURITY</v>
      </c>
      <c r="AA7" s="687"/>
      <c r="AB7" s="687"/>
      <c r="AC7" s="687"/>
      <c r="AD7" s="696" t="str">
        <f>uxb_works!$H$47</f>
        <v>2017 Compared to 2015 Updated</v>
      </c>
      <c r="AE7" s="696"/>
      <c r="AF7" s="696"/>
      <c r="AG7" s="696"/>
      <c r="AH7" s="706"/>
      <c r="AI7" s="697"/>
      <c r="AJ7" s="697"/>
      <c r="AK7" s="687" t="str">
        <f>iSummary!BP6</f>
        <v>3) INFRASTRUCTURE SECURITY</v>
      </c>
      <c r="AL7" s="687"/>
      <c r="AM7" s="687"/>
      <c r="AN7" s="687"/>
      <c r="AO7" s="696" t="str">
        <f>uxb_works!$H$47</f>
        <v>2017 Compared to 2015 Updated</v>
      </c>
      <c r="AP7" s="696"/>
      <c r="AQ7" s="696"/>
      <c r="AR7" s="696"/>
      <c r="AS7" s="706"/>
      <c r="AT7" s="697"/>
      <c r="AU7" s="697"/>
      <c r="AV7" s="687" t="str">
        <f>iSummary!CG6</f>
        <v>4) PERSONAL SECURITY</v>
      </c>
      <c r="AW7" s="687"/>
      <c r="AX7" s="687"/>
      <c r="AY7" s="687"/>
      <c r="AZ7" s="696" t="str">
        <f>uxb_works!$H$47</f>
        <v>2017 Compared to 2015 Updated</v>
      </c>
      <c r="BA7" s="696"/>
      <c r="BB7" s="696"/>
      <c r="BC7" s="696"/>
      <c r="BD7"/>
      <c r="BE7"/>
      <c r="BF7"/>
      <c r="BG7"/>
      <c r="BH7"/>
      <c r="BI7"/>
      <c r="BJ7"/>
      <c r="BK7"/>
      <c r="BL7"/>
      <c r="BM7"/>
      <c r="BN7"/>
      <c r="BO7"/>
      <c r="BP7"/>
      <c r="BQ7"/>
      <c r="BR7"/>
      <c r="BS7"/>
      <c r="BT7"/>
      <c r="BU7"/>
      <c r="BV7"/>
      <c r="BW7"/>
      <c r="BX7"/>
      <c r="BY7"/>
      <c r="BZ7"/>
      <c r="CA7"/>
    </row>
    <row r="8" s="655" customFormat="1" ht="24" customHeight="1" spans="1:79">
      <c r="A8" s="671"/>
      <c r="B8" s="672"/>
      <c r="C8" s="672"/>
      <c r="D8" s="673"/>
      <c r="E8" s="674">
        <f>iSummary!$D$4</f>
        <v>2017</v>
      </c>
      <c r="F8" s="674"/>
      <c r="G8" s="673"/>
      <c r="H8" s="670"/>
      <c r="I8" s="670"/>
      <c r="J8" s="670"/>
      <c r="K8" s="670"/>
      <c r="L8" s="672"/>
      <c r="M8" s="672"/>
      <c r="N8" s="672"/>
      <c r="O8" s="688"/>
      <c r="P8" s="689">
        <f>iSummary!$D$4</f>
        <v>2017</v>
      </c>
      <c r="Q8" s="689"/>
      <c r="R8" s="688"/>
      <c r="S8" s="696"/>
      <c r="T8" s="696"/>
      <c r="U8" s="696"/>
      <c r="V8" s="696"/>
      <c r="W8" s="698"/>
      <c r="X8" s="672"/>
      <c r="Y8" s="672"/>
      <c r="Z8" s="688"/>
      <c r="AA8" s="689">
        <f>iSummary!$D$4</f>
        <v>2017</v>
      </c>
      <c r="AB8" s="689"/>
      <c r="AC8" s="688"/>
      <c r="AD8" s="696"/>
      <c r="AE8" s="696"/>
      <c r="AF8" s="696"/>
      <c r="AG8" s="696"/>
      <c r="AH8" s="671"/>
      <c r="AI8" s="672"/>
      <c r="AJ8" s="672"/>
      <c r="AK8" s="688"/>
      <c r="AL8" s="689">
        <f>iSummary!$D$4</f>
        <v>2017</v>
      </c>
      <c r="AM8" s="689"/>
      <c r="AN8" s="688"/>
      <c r="AO8" s="696"/>
      <c r="AP8" s="696"/>
      <c r="AQ8" s="696"/>
      <c r="AR8" s="696"/>
      <c r="AS8" s="671"/>
      <c r="AT8" s="672"/>
      <c r="AU8" s="672"/>
      <c r="AV8" s="688"/>
      <c r="AW8" s="689">
        <f>iSummary!$D$4</f>
        <v>2017</v>
      </c>
      <c r="AX8" s="689"/>
      <c r="AY8" s="688"/>
      <c r="AZ8" s="696"/>
      <c r="BA8" s="696"/>
      <c r="BB8" s="696"/>
      <c r="BC8" s="696"/>
      <c r="BD8"/>
      <c r="BE8"/>
      <c r="BF8"/>
      <c r="BG8"/>
      <c r="BH8"/>
      <c r="BI8"/>
      <c r="BJ8"/>
      <c r="BK8"/>
      <c r="BL8"/>
      <c r="BM8"/>
      <c r="BN8"/>
      <c r="BO8"/>
      <c r="BP8"/>
      <c r="BQ8"/>
      <c r="BR8"/>
      <c r="BS8"/>
      <c r="BT8"/>
      <c r="BU8"/>
      <c r="BV8"/>
      <c r="BW8"/>
      <c r="BX8"/>
      <c r="BY8"/>
      <c r="BZ8"/>
      <c r="CA8"/>
    </row>
    <row r="9" s="656" customFormat="1" ht="19.5" customHeight="1" spans="1:79">
      <c r="A9" s="675"/>
      <c r="B9" s="676"/>
      <c r="C9" s="676"/>
      <c r="D9" s="677"/>
      <c r="E9" s="677"/>
      <c r="F9" s="678" t="s">
        <v>7</v>
      </c>
      <c r="G9" s="679">
        <f>IF(ISERROR(AVERAGE(G10:G76)),"",AVERAGE(G10:G76))</f>
        <v>71.9925</v>
      </c>
      <c r="H9" s="680" t="s">
        <v>8</v>
      </c>
      <c r="I9" s="690" t="s">
        <v>9</v>
      </c>
      <c r="J9" s="691" t="s">
        <v>8</v>
      </c>
      <c r="K9" s="692" t="s">
        <v>10</v>
      </c>
      <c r="L9" s="676"/>
      <c r="M9" s="676"/>
      <c r="N9" s="676"/>
      <c r="O9" s="677"/>
      <c r="P9" s="677"/>
      <c r="Q9" s="678" t="s">
        <v>7</v>
      </c>
      <c r="R9" s="679">
        <f>IF(ISERROR(AVERAGE(R10:R76)),"",AVERAGE(R10:R76))</f>
        <v>66.1523333333334</v>
      </c>
      <c r="S9" s="680" t="s">
        <v>8</v>
      </c>
      <c r="T9" s="690" t="s">
        <v>9</v>
      </c>
      <c r="U9" s="691" t="s">
        <v>8</v>
      </c>
      <c r="V9" s="692" t="s">
        <v>10</v>
      </c>
      <c r="W9"/>
      <c r="X9" s="676"/>
      <c r="Y9" s="676"/>
      <c r="Z9" s="677"/>
      <c r="AA9" s="677"/>
      <c r="AB9" s="678" t="s">
        <v>7</v>
      </c>
      <c r="AC9" s="679">
        <f>IF(ISERROR(AVERAGE(AC10:AC76)),"",AVERAGE(AC10:AC76))</f>
        <v>69.1868333333333</v>
      </c>
      <c r="AD9" s="680" t="s">
        <v>8</v>
      </c>
      <c r="AE9" s="690" t="s">
        <v>9</v>
      </c>
      <c r="AF9" s="691" t="s">
        <v>8</v>
      </c>
      <c r="AG9" s="692" t="s">
        <v>10</v>
      </c>
      <c r="AH9" s="675"/>
      <c r="AI9" s="676"/>
      <c r="AJ9" s="676"/>
      <c r="AK9" s="677"/>
      <c r="AL9" s="677"/>
      <c r="AM9" s="678" t="s">
        <v>7</v>
      </c>
      <c r="AN9" s="679">
        <f>IF(ISERROR(AVERAGE(AN10:AN76)),"",AVERAGE(AN10:AN76))</f>
        <v>78.2028333333333</v>
      </c>
      <c r="AO9" s="680" t="s">
        <v>8</v>
      </c>
      <c r="AP9" s="690" t="s">
        <v>9</v>
      </c>
      <c r="AQ9" s="691" t="s">
        <v>8</v>
      </c>
      <c r="AR9" s="692" t="s">
        <v>10</v>
      </c>
      <c r="AS9" s="675"/>
      <c r="AT9" s="676"/>
      <c r="AU9" s="676"/>
      <c r="AV9" s="677"/>
      <c r="AW9" s="677"/>
      <c r="AX9" s="678" t="s">
        <v>7</v>
      </c>
      <c r="AY9" s="679">
        <f>IF(ISERROR(AVERAGE(AY10:AY76)),"",AVERAGE(AY10:AY76))</f>
        <v>74.4281666666666</v>
      </c>
      <c r="AZ9" s="680" t="s">
        <v>8</v>
      </c>
      <c r="BA9" s="690" t="s">
        <v>9</v>
      </c>
      <c r="BB9" s="691" t="s">
        <v>8</v>
      </c>
      <c r="BC9" s="692" t="s">
        <v>10</v>
      </c>
      <c r="BD9"/>
      <c r="BE9"/>
      <c r="BF9"/>
      <c r="BG9"/>
      <c r="BH9"/>
      <c r="BI9"/>
      <c r="BJ9"/>
      <c r="BK9"/>
      <c r="BL9"/>
      <c r="BM9"/>
      <c r="BN9"/>
      <c r="BO9"/>
      <c r="BP9"/>
      <c r="BQ9"/>
      <c r="BR9"/>
      <c r="BS9"/>
      <c r="BT9"/>
      <c r="BU9"/>
      <c r="BV9"/>
      <c r="BW9"/>
      <c r="BX9"/>
      <c r="BY9"/>
      <c r="BZ9"/>
      <c r="CA9"/>
    </row>
    <row r="10" customHeight="1" spans="2:79">
      <c r="B10" s="645">
        <f>iSummary!P8</f>
        <v>1</v>
      </c>
      <c r="C10" s="645">
        <f>IF(B10=0,0,IF(uxb_works!$B$49,IF(G10&lt;$C$80,1,IF(G10&gt;$C$80,4,2)),IF(G10&lt;=$B$80,1,IF(G10&lt;=$B$81,2,(IF(G10&lt;=$B$82,3,4))))))</f>
        <v>4</v>
      </c>
      <c r="D10" s="646"/>
      <c r="E10" s="616">
        <f>iSummary!Q8</f>
        <v>1</v>
      </c>
      <c r="F10" s="681" t="str">
        <f ca="1">iSummary!R8&amp;iSummary!X8</f>
        <v>Tokyo</v>
      </c>
      <c r="G10" s="682">
        <f>iSummary!S8</f>
        <v>89.8</v>
      </c>
      <c r="H10" s="637">
        <f ca="1">IF(iSummary!T8=0,"=",iSummary!T8)</f>
        <v>3.5</v>
      </c>
      <c r="I10" s="649" t="b">
        <f ca="1">iSummary!U8</f>
        <v>0</v>
      </c>
      <c r="J10" s="636" t="str">
        <f ca="1">IF(iSummary!V8=0,"=",iSummary!V8)</f>
        <v>=</v>
      </c>
      <c r="K10" s="650" t="b">
        <f ca="1">iSummary!W8</f>
        <v>0</v>
      </c>
      <c r="L10" s="693"/>
      <c r="M10" s="693">
        <f>iSummary!AG8</f>
        <v>1</v>
      </c>
      <c r="N10" s="645">
        <f>IF(M10=0,0,IF(uxb_works!$B$49,IF(R10&lt;$C$80,1,IF(R10&gt;$C$80,4,2)),IF(R10&lt;=$B$80,1,IF(R10&lt;=$B$81,2,(IF(R10&lt;=$B$82,3,4))))))</f>
        <v>4</v>
      </c>
      <c r="O10" s="694"/>
      <c r="P10" s="695">
        <f>iSummary!AH8</f>
        <v>1</v>
      </c>
      <c r="Q10" s="699" t="str">
        <f ca="1">iSummary!AI8&amp;iSummary!AO8</f>
        <v>Tokyo</v>
      </c>
      <c r="R10" s="700">
        <f>iSummary!AJ8</f>
        <v>88.4</v>
      </c>
      <c r="S10" s="637">
        <f ca="1">IF(iSummary!AK8=0,"=",iSummary!AK8)</f>
        <v>4.72</v>
      </c>
      <c r="T10" s="649" t="b">
        <f ca="1">iSummary!AL8</f>
        <v>0</v>
      </c>
      <c r="U10" s="636" t="str">
        <f ca="1">IF(iSummary!AM8=0,"=",iSummary!AM8)</f>
        <v>=</v>
      </c>
      <c r="V10" s="650" t="b">
        <f ca="1">iSummary!AN8</f>
        <v>0</v>
      </c>
      <c r="X10" s="68">
        <f>iSummary!AX8</f>
        <v>1</v>
      </c>
      <c r="Y10" s="645">
        <f>IF(X10=0,0,IF(uxb_works!$B$49,IF(AC10&lt;$C$80,1,IF(AC10&gt;$C$80,4,2)),IF(AC10&lt;=$B$80,1,IF(AC10&lt;=$B$81,2,(IF(AC10&lt;=$B$82,3,4))))))</f>
        <v>4</v>
      </c>
      <c r="Z10" s="694"/>
      <c r="AA10" s="616">
        <f>iSummary!AY8</f>
        <v>1</v>
      </c>
      <c r="AB10" s="681" t="str">
        <f ca="1">iSummary!AZ8&amp;iSummary!BF8</f>
        <v>Osaka</v>
      </c>
      <c r="AC10" s="705">
        <f>iSummary!BA8</f>
        <v>87.15</v>
      </c>
      <c r="AD10" s="637">
        <f ca="1">IF(iSummary!BB8=0,"=",iSummary!BB8)</f>
        <v>8.61</v>
      </c>
      <c r="AE10" s="649" t="b">
        <f ca="1">iSummary!BC8</f>
        <v>0</v>
      </c>
      <c r="AF10" s="636">
        <f ca="1">IF(iSummary!BD8=0,"=",iSummary!BD8)</f>
        <v>6</v>
      </c>
      <c r="AG10" s="650" t="b">
        <f ca="1">iSummary!BE8</f>
        <v>0</v>
      </c>
      <c r="AH10" s="68"/>
      <c r="AI10" s="68">
        <f>iSummary!BO8</f>
        <v>1</v>
      </c>
      <c r="AJ10" s="645">
        <f>IF(AI10=0,0,IF(uxb_works!$B$49,IF(AN10&lt;$C$80,1,IF(AN10&gt;$C$80,4,2)),IF(AN10&lt;=$B$80,1,IF(AN10&lt;=$B$81,2,(IF(AN10&lt;=$B$82,3,4))))))</f>
        <v>4</v>
      </c>
      <c r="AK10" s="694"/>
      <c r="AL10" s="616">
        <f>iSummary!BP8</f>
        <v>1</v>
      </c>
      <c r="AM10" s="681" t="str">
        <f ca="1">iSummary!BQ8&amp;iSummary!BW8</f>
        <v>Singapore</v>
      </c>
      <c r="AN10" s="705">
        <f>iSummary!BR8</f>
        <v>97.05</v>
      </c>
      <c r="AO10" s="637">
        <f ca="1">IF(iSummary!BS8=0,"=",iSummary!BS8)</f>
        <v>6.3</v>
      </c>
      <c r="AP10" s="649" t="b">
        <f ca="1">iSummary!BT8</f>
        <v>0</v>
      </c>
      <c r="AQ10" s="636">
        <f ca="1">IF(iSummary!BU8=0,"=",iSummary!BU8)</f>
        <v>5</v>
      </c>
      <c r="AR10" s="650" t="b">
        <f ca="1">iSummary!BV8</f>
        <v>0</v>
      </c>
      <c r="AS10" s="68"/>
      <c r="AT10" s="707">
        <f>iSummary!CF8</f>
        <v>1</v>
      </c>
      <c r="AU10" s="645">
        <f>IF(AT10=0,0,IF(uxb_works!$B$49,IF(AY10&lt;$C$80,1,IF(AY10&gt;$C$80,4,2)),IF(AY10&lt;=$B$80,1,IF(AY10&lt;=$B$81,2,(IF(AY10&lt;=$B$82,3,4))))))</f>
        <v>4</v>
      </c>
      <c r="AV10" s="694"/>
      <c r="AW10" s="616">
        <f>iSummary!CG8</f>
        <v>1</v>
      </c>
      <c r="AX10" s="681" t="str">
        <f ca="1">iSummary!CH8&amp;iSummary!CN8</f>
        <v>Singapore</v>
      </c>
      <c r="AY10" s="705">
        <f>iSummary!CI8</f>
        <v>94.94</v>
      </c>
      <c r="AZ10" s="637">
        <f ca="1">IF(iSummary!CJ8=0,"=",iSummary!CJ8)</f>
        <v>0.06</v>
      </c>
      <c r="BA10" s="649" t="b">
        <f ca="1">iSummary!CK8</f>
        <v>0</v>
      </c>
      <c r="BB10" s="708" t="str">
        <f ca="1">IF(iSummary!CL8=0,"=",iSummary!CL8)</f>
        <v>=</v>
      </c>
      <c r="BC10" s="650" t="b">
        <f ca="1">iSummary!CM8</f>
        <v>0</v>
      </c>
      <c r="CA10"/>
    </row>
    <row r="11" customHeight="1" spans="2:79">
      <c r="B11" s="645">
        <f>iSummary!P9</f>
        <v>1</v>
      </c>
      <c r="C11" s="645">
        <f>IF(B11=0,0,IF(uxb_works!$B$49,IF(G11&lt;$C$80,1,IF(G11&gt;$C$80,4,2)),IF(G11&lt;=$B$80,1,IF(G11&lt;=$B$81,2,(IF(G11&lt;=$B$82,3,4))))))</f>
        <v>4</v>
      </c>
      <c r="D11" s="646"/>
      <c r="E11" s="616">
        <f>iSummary!Q9</f>
        <v>2</v>
      </c>
      <c r="F11" s="681" t="str">
        <f ca="1">iSummary!R9&amp;iSummary!X9</f>
        <v>Singapore</v>
      </c>
      <c r="G11" s="682">
        <f>iSummary!S9</f>
        <v>89.64</v>
      </c>
      <c r="H11" s="637">
        <f ca="1">IF(iSummary!T9=0,"=",iSummary!T9)</f>
        <v>3.9</v>
      </c>
      <c r="I11" s="649" t="b">
        <f ca="1">iSummary!U9</f>
        <v>0</v>
      </c>
      <c r="J11" s="636" t="str">
        <f ca="1">IF(iSummary!V9=0,"=",iSummary!V9)</f>
        <v>=</v>
      </c>
      <c r="K11" s="650" t="b">
        <f ca="1">iSummary!W9</f>
        <v>0</v>
      </c>
      <c r="L11" s="693"/>
      <c r="M11" s="693">
        <f>iSummary!AG9</f>
        <v>1</v>
      </c>
      <c r="N11" s="645">
        <f>IF(M11=0,0,IF(uxb_works!$B$49,IF(R11&lt;$C$80,1,IF(R11&gt;$C$80,4,2)),IF(R11&lt;=$B$80,1,IF(R11&lt;=$B$81,2,(IF(R11&lt;=$B$82,3,4))))))</f>
        <v>4</v>
      </c>
      <c r="O11" s="615"/>
      <c r="P11" s="695">
        <f>iSummary!AH9</f>
        <v>2</v>
      </c>
      <c r="Q11" s="699" t="str">
        <f ca="1">iSummary!AI9&amp;iSummary!AO9</f>
        <v>Singapore</v>
      </c>
      <c r="R11" s="700">
        <f>iSummary!AJ9</f>
        <v>86.84</v>
      </c>
      <c r="S11" s="637">
        <f ca="1">IF(iSummary!AK9=0,"=",iSummary!AK9)</f>
        <v>6.49</v>
      </c>
      <c r="T11" s="649" t="b">
        <f ca="1">iSummary!AL9</f>
        <v>0</v>
      </c>
      <c r="U11" s="636" t="str">
        <f ca="1">IF(iSummary!AM9=0,"=",iSummary!AM9)</f>
        <v>=</v>
      </c>
      <c r="V11" s="650" t="b">
        <f ca="1">iSummary!AN9</f>
        <v>0</v>
      </c>
      <c r="X11" s="68">
        <f>iSummary!AX9</f>
        <v>1</v>
      </c>
      <c r="Y11" s="645">
        <f>IF(X11=0,0,IF(uxb_works!$B$49,IF(AC11&lt;$C$80,1,IF(AC11&gt;$C$80,4,2)),IF(AC11&lt;=$B$80,1,IF(AC11&lt;=$B$81,2,(IF(AC11&lt;=$B$82,3,4))))))</f>
        <v>4</v>
      </c>
      <c r="Z11" s="615"/>
      <c r="AA11" s="616">
        <f>iSummary!AY9</f>
        <v>2</v>
      </c>
      <c r="AB11" s="681" t="str">
        <f ca="1">iSummary!AZ9&amp;iSummary!BF9</f>
        <v>Tokyo</v>
      </c>
      <c r="AC11" s="705">
        <f>iSummary!BA9</f>
        <v>85.63</v>
      </c>
      <c r="AD11" s="637">
        <f ca="1">IF(iSummary!BB9=0,"=",iSummary!BB9)</f>
        <v>7.61</v>
      </c>
      <c r="AE11" s="649" t="b">
        <f ca="1">iSummary!BC9</f>
        <v>0</v>
      </c>
      <c r="AF11" s="636">
        <f ca="1">IF(iSummary!BD9=0,"=",iSummary!BD9)</f>
        <v>7</v>
      </c>
      <c r="AG11" s="650" t="b">
        <f ca="1">iSummary!BE9</f>
        <v>0</v>
      </c>
      <c r="AH11" s="68"/>
      <c r="AI11" s="68">
        <f>iSummary!BO9</f>
        <v>1</v>
      </c>
      <c r="AJ11" s="645">
        <f>IF(AI11=0,0,IF(uxb_works!$B$49,IF(AN11&lt;$C$80,1,IF(AN11&gt;$C$80,4,2)),IF(AN11&lt;=$B$80,1,IF(AN11&lt;=$B$81,2,(IF(AN11&lt;=$B$82,3,4))))))</f>
        <v>4</v>
      </c>
      <c r="AK11" s="615"/>
      <c r="AL11" s="616">
        <f>iSummary!BP9</f>
        <v>2</v>
      </c>
      <c r="AM11" s="681" t="str">
        <f ca="1">iSummary!BQ9&amp;iSummary!BW9</f>
        <v>Madrid</v>
      </c>
      <c r="AN11" s="705">
        <f>iSummary!BR9</f>
        <v>96.76</v>
      </c>
      <c r="AO11" s="637">
        <f ca="1">IF(iSummary!BS9=0,"=",iSummary!BS9)</f>
        <v>12.46</v>
      </c>
      <c r="AP11" s="649" t="b">
        <f ca="1">iSummary!BT9</f>
        <v>0</v>
      </c>
      <c r="AQ11" s="636">
        <f ca="1">IF(iSummary!BU9=0,"=",iSummary!BU9)</f>
        <v>17</v>
      </c>
      <c r="AR11" s="650" t="b">
        <f ca="1">iSummary!BV9</f>
        <v>0</v>
      </c>
      <c r="AS11" s="68"/>
      <c r="AT11" s="707">
        <f>iSummary!CF9</f>
        <v>1</v>
      </c>
      <c r="AU11" s="645">
        <f>IF(AT11=0,0,IF(uxb_works!$B$49,IF(AY11&lt;$C$80,1,IF(AY11&gt;$C$80,4,2)),IF(AY11&lt;=$B$80,1,IF(AY11&lt;=$B$81,2,(IF(AY11&lt;=$B$82,3,4))))))</f>
        <v>4</v>
      </c>
      <c r="AV11" s="615"/>
      <c r="AW11" s="616">
        <f>iSummary!CG9</f>
        <v>2</v>
      </c>
      <c r="AX11" s="681" t="str">
        <f ca="1">iSummary!CH9&amp;iSummary!CN9</f>
        <v>Wellington *</v>
      </c>
      <c r="AY11" s="705">
        <f>iSummary!CI9</f>
        <v>92.28</v>
      </c>
      <c r="AZ11" s="637" t="str">
        <f ca="1">IF(iSummary!CJ9=0,"=",iSummary!CJ9)</f>
        <v/>
      </c>
      <c r="BA11" s="649" t="b">
        <f ca="1">iSummary!CK9</f>
        <v>0</v>
      </c>
      <c r="BB11" s="708" t="str">
        <f ca="1">IF(iSummary!CL9=0,"=",iSummary!CL9)</f>
        <v/>
      </c>
      <c r="BC11" s="650" t="b">
        <f ca="1">iSummary!CM9</f>
        <v>0</v>
      </c>
      <c r="CA11"/>
    </row>
    <row r="12" customHeight="1" spans="2:79">
      <c r="B12" s="645">
        <f>iSummary!P10</f>
        <v>1</v>
      </c>
      <c r="C12" s="645">
        <f>IF(B12=0,0,IF(uxb_works!$B$49,IF(G12&lt;$C$80,1,IF(G12&gt;$C$80,4,2)),IF(G12&lt;=$B$80,1,IF(G12&lt;=$B$81,2,(IF(G12&lt;=$B$82,3,4))))))</f>
        <v>4</v>
      </c>
      <c r="D12" s="646"/>
      <c r="E12" s="616">
        <f>iSummary!Q10</f>
        <v>3</v>
      </c>
      <c r="F12" s="681" t="str">
        <f ca="1">iSummary!R10&amp;iSummary!X10</f>
        <v>Osaka</v>
      </c>
      <c r="G12" s="682">
        <f>iSummary!S10</f>
        <v>88.87</v>
      </c>
      <c r="H12" s="637">
        <f ca="1">IF(iSummary!T10=0,"=",iSummary!T10)</f>
        <v>5.65</v>
      </c>
      <c r="I12" s="649" t="b">
        <f ca="1">iSummary!U10</f>
        <v>0</v>
      </c>
      <c r="J12" s="636">
        <f ca="1">IF(iSummary!V10=0,"=",iSummary!V10)</f>
        <v>1</v>
      </c>
      <c r="K12" s="650" t="b">
        <f ca="1">iSummary!W10</f>
        <v>0</v>
      </c>
      <c r="L12" s="693"/>
      <c r="M12" s="693">
        <f>iSummary!AG10</f>
        <v>1</v>
      </c>
      <c r="N12" s="645">
        <f>IF(M12=0,0,IF(uxb_works!$B$49,IF(R12&lt;$C$80,1,IF(R12&gt;$C$80,4,2)),IF(R12&lt;=$B$80,1,IF(R12&lt;=$B$81,2,(IF(R12&lt;=$B$82,3,4))))))</f>
        <v>4</v>
      </c>
      <c r="O12" s="615"/>
      <c r="P12" s="695">
        <f>iSummary!AH10</f>
        <v>3</v>
      </c>
      <c r="Q12" s="699" t="str">
        <f ca="1">iSummary!AI10&amp;iSummary!AO10</f>
        <v>Chicago</v>
      </c>
      <c r="R12" s="700">
        <f>iSummary!AJ10</f>
        <v>86.75</v>
      </c>
      <c r="S12" s="637">
        <f ca="1">IF(iSummary!AK10=0,"=",iSummary!AK10)</f>
        <v>17.35</v>
      </c>
      <c r="T12" s="649" t="b">
        <f ca="1">iSummary!AL10</f>
        <v>0</v>
      </c>
      <c r="U12" s="636">
        <f ca="1">IF(iSummary!AM10=0,"=",iSummary!AM10)</f>
        <v>12</v>
      </c>
      <c r="V12" s="650" t="b">
        <f ca="1">iSummary!AN10</f>
        <v>0</v>
      </c>
      <c r="X12" s="68">
        <f>iSummary!AX10</f>
        <v>1</v>
      </c>
      <c r="Y12" s="645">
        <f>IF(X12=0,0,IF(uxb_works!$B$49,IF(AC12&lt;$C$80,1,IF(AC12&gt;$C$80,4,2)),IF(AC12&lt;=$B$80,1,IF(AC12&lt;=$B$81,2,(IF(AC12&lt;=$B$82,3,4))))))</f>
        <v>4</v>
      </c>
      <c r="Z12" s="615"/>
      <c r="AA12" s="616">
        <f>iSummary!AY10</f>
        <v>3</v>
      </c>
      <c r="AB12" s="681" t="str">
        <f ca="1">iSummary!AZ10&amp;iSummary!BF10</f>
        <v>Frankfurt</v>
      </c>
      <c r="AC12" s="705">
        <f>iSummary!BA10</f>
        <v>84.06</v>
      </c>
      <c r="AD12" s="637">
        <f ca="1">IF(iSummary!BB10=0,"=",iSummary!BB10)</f>
        <v>5.43</v>
      </c>
      <c r="AE12" s="649" t="b">
        <f ca="1">iSummary!BC10</f>
        <v>0</v>
      </c>
      <c r="AF12" s="636">
        <f ca="1">IF(iSummary!BD10=0,"=",iSummary!BD10)</f>
        <v>3</v>
      </c>
      <c r="AG12" s="650" t="b">
        <f ca="1">iSummary!BE10</f>
        <v>0</v>
      </c>
      <c r="AH12" s="68"/>
      <c r="AI12" s="68">
        <f>iSummary!BO10</f>
        <v>1</v>
      </c>
      <c r="AJ12" s="645">
        <f>IF(AI12=0,0,IF(uxb_works!$B$49,IF(AN12&lt;$C$80,1,IF(AN12&gt;$C$80,4,2)),IF(AN12&lt;=$B$80,1,IF(AN12&lt;=$B$81,2,(IF(AN12&lt;=$B$82,3,4))))))</f>
        <v>4</v>
      </c>
      <c r="AK12" s="615"/>
      <c r="AL12" s="616">
        <f>iSummary!BP10</f>
        <v>3</v>
      </c>
      <c r="AM12" s="681" t="str">
        <f ca="1">iSummary!BQ10&amp;iSummary!BW10</f>
        <v>Barcelona</v>
      </c>
      <c r="AN12" s="705">
        <f>iSummary!BR10</f>
        <v>96.59</v>
      </c>
      <c r="AO12" s="637">
        <f ca="1">IF(iSummary!BS10=0,"=",iSummary!BS10)</f>
        <v>8.6</v>
      </c>
      <c r="AP12" s="649" t="b">
        <f ca="1">iSummary!BT10</f>
        <v>0</v>
      </c>
      <c r="AQ12" s="636">
        <f ca="1">IF(iSummary!BU10=0,"=",iSummary!BU10)</f>
        <v>6</v>
      </c>
      <c r="AR12" s="650" t="b">
        <f ca="1">iSummary!BV10</f>
        <v>0</v>
      </c>
      <c r="AS12" s="68"/>
      <c r="AT12" s="707">
        <f>iSummary!CF10</f>
        <v>1</v>
      </c>
      <c r="AU12" s="645">
        <f>IF(AT12=0,0,IF(uxb_works!$B$49,IF(AY12&lt;$C$80,1,IF(AY12&gt;$C$80,4,2)),IF(AY12&lt;=$B$80,1,IF(AY12&lt;=$B$81,2,(IF(AY12&lt;=$B$82,3,4))))))</f>
        <v>4</v>
      </c>
      <c r="AV12" s="615"/>
      <c r="AW12" s="616">
        <f>iSummary!CG10</f>
        <v>3</v>
      </c>
      <c r="AX12" s="681" t="str">
        <f ca="1">iSummary!CH10&amp;iSummary!CN10</f>
        <v>Osaka</v>
      </c>
      <c r="AY12" s="705">
        <f>iSummary!CI10</f>
        <v>91.59</v>
      </c>
      <c r="AZ12" s="637">
        <f ca="1">IF(iSummary!CJ10=0,"=",iSummary!CJ10)</f>
        <v>-1.1</v>
      </c>
      <c r="BA12" s="649" t="b">
        <f ca="1">iSummary!CK10</f>
        <v>0</v>
      </c>
      <c r="BB12" s="708">
        <f ca="1">IF(iSummary!CL10=0,"=",iSummary!CL10)</f>
        <v>-1</v>
      </c>
      <c r="BC12" s="650" t="b">
        <f ca="1">iSummary!CM10</f>
        <v>0</v>
      </c>
      <c r="CA12"/>
    </row>
    <row r="13" customHeight="1" spans="2:79">
      <c r="B13" s="645">
        <f>iSummary!P11</f>
        <v>1</v>
      </c>
      <c r="C13" s="645">
        <f>IF(B13=0,0,IF(uxb_works!$B$49,IF(G13&lt;$C$80,1,IF(G13&gt;$C$80,4,2)),IF(G13&lt;=$B$80,1,IF(G13&lt;=$B$81,2,(IF(G13&lt;=$B$82,3,4))))))</f>
        <v>4</v>
      </c>
      <c r="D13" s="646"/>
      <c r="E13" s="616">
        <f>iSummary!Q11</f>
        <v>4</v>
      </c>
      <c r="F13" s="681" t="str">
        <f ca="1">iSummary!R11&amp;iSummary!X11</f>
        <v>Toronto</v>
      </c>
      <c r="G13" s="682">
        <f>iSummary!S11</f>
        <v>87.36</v>
      </c>
      <c r="H13" s="637">
        <f ca="1">IF(iSummary!T11=0,"=",iSummary!T11)</f>
        <v>5.99</v>
      </c>
      <c r="I13" s="649" t="b">
        <f ca="1">iSummary!U11</f>
        <v>0</v>
      </c>
      <c r="J13" s="636">
        <f ca="1">IF(iSummary!V11=0,"=",iSummary!V11)</f>
        <v>2</v>
      </c>
      <c r="K13" s="650" t="b">
        <f ca="1">iSummary!W11</f>
        <v>0</v>
      </c>
      <c r="L13" s="693"/>
      <c r="M13" s="693">
        <f>iSummary!AG11</f>
        <v>1</v>
      </c>
      <c r="N13" s="645">
        <f>IF(M13=0,0,IF(uxb_works!$B$49,IF(R13&lt;$C$80,1,IF(R13&gt;$C$80,4,2)),IF(R13&lt;=$B$80,1,IF(R13&lt;=$B$81,2,(IF(R13&lt;=$B$82,3,4))))))</f>
        <v>4</v>
      </c>
      <c r="O13" s="615"/>
      <c r="P13" s="695">
        <f>iSummary!AH11</f>
        <v>4</v>
      </c>
      <c r="Q13" s="699" t="str">
        <f ca="1">iSummary!AI11&amp;iSummary!AO11</f>
        <v>Amsterdam</v>
      </c>
      <c r="R13" s="700">
        <f>iSummary!AJ11</f>
        <v>85.79</v>
      </c>
      <c r="S13" s="637">
        <f ca="1">IF(iSummary!AK11=0,"=",iSummary!AK11)</f>
        <v>6.98</v>
      </c>
      <c r="T13" s="649" t="b">
        <f ca="1">iSummary!AL11</f>
        <v>0</v>
      </c>
      <c r="U13" s="636">
        <f ca="1">IF(iSummary!AM11=0,"=",iSummary!AM11)</f>
        <v>1</v>
      </c>
      <c r="V13" s="650" t="b">
        <f ca="1">iSummary!AN11</f>
        <v>0</v>
      </c>
      <c r="X13" s="68">
        <f>iSummary!AX11</f>
        <v>1</v>
      </c>
      <c r="Y13" s="645">
        <f>IF(X13=0,0,IF(uxb_works!$B$49,IF(AC13&lt;$C$80,1,IF(AC13&gt;$C$80,4,2)),IF(AC13&lt;=$B$80,1,IF(AC13&lt;=$B$81,2,(IF(AC13&lt;=$B$82,3,4))))))</f>
        <v>4</v>
      </c>
      <c r="Z13" s="615"/>
      <c r="AA13" s="616">
        <f>iSummary!AY11</f>
        <v>4</v>
      </c>
      <c r="AB13" s="681" t="str">
        <f ca="1">iSummary!AZ11&amp;iSummary!BF11</f>
        <v>Zurich</v>
      </c>
      <c r="AC13" s="705">
        <f>iSummary!BA11</f>
        <v>83.39</v>
      </c>
      <c r="AD13" s="637">
        <f ca="1">IF(iSummary!BB11=0,"=",iSummary!BB11)</f>
        <v>3.31</v>
      </c>
      <c r="AE13" s="649" t="b">
        <f ca="1">iSummary!BC11</f>
        <v>0</v>
      </c>
      <c r="AF13" s="636">
        <f ca="1">IF(iSummary!BD11=0,"=",iSummary!BD11)</f>
        <v>-2</v>
      </c>
      <c r="AG13" s="650" t="b">
        <f ca="1">iSummary!BE11</f>
        <v>0</v>
      </c>
      <c r="AH13" s="68"/>
      <c r="AI13" s="68">
        <f>iSummary!BO11</f>
        <v>1</v>
      </c>
      <c r="AJ13" s="645">
        <f>IF(AI13=0,0,IF(uxb_works!$B$49,IF(AN13&lt;$C$80,1,IF(AN13&gt;$C$80,4,2)),IF(AN13&lt;=$B$80,1,IF(AN13&lt;=$B$81,2,(IF(AN13&lt;=$B$82,3,4))))))</f>
        <v>4</v>
      </c>
      <c r="AK13" s="615"/>
      <c r="AL13" s="616">
        <f>iSummary!BP11</f>
        <v>4</v>
      </c>
      <c r="AM13" s="681" t="str">
        <f ca="1">iSummary!BQ11&amp;iSummary!BW11</f>
        <v>Stockholm</v>
      </c>
      <c r="AN13" s="705">
        <f>iSummary!BR11</f>
        <v>96.18</v>
      </c>
      <c r="AO13" s="637">
        <f ca="1">IF(iSummary!BS11=0,"=",iSummary!BS11)</f>
        <v>13.37</v>
      </c>
      <c r="AP13" s="649" t="b">
        <f ca="1">iSummary!BT11</f>
        <v>0</v>
      </c>
      <c r="AQ13" s="636">
        <f ca="1">IF(iSummary!BU11=0,"=",iSummary!BU11)</f>
        <v>16</v>
      </c>
      <c r="AR13" s="650" t="b">
        <f ca="1">iSummary!BV11</f>
        <v>0</v>
      </c>
      <c r="AS13" s="68"/>
      <c r="AT13" s="707">
        <f>iSummary!CF11</f>
        <v>1</v>
      </c>
      <c r="AU13" s="645">
        <f>IF(AT13=0,0,IF(uxb_works!$B$49,IF(AY13&lt;$C$80,1,IF(AY13&gt;$C$80,4,2)),IF(AY13&lt;=$B$80,1,IF(AY13&lt;=$B$81,2,(IF(AY13&lt;=$B$82,3,4))))))</f>
        <v>4</v>
      </c>
      <c r="AV13" s="615"/>
      <c r="AW13" s="616">
        <f>iSummary!CG11</f>
        <v>4</v>
      </c>
      <c r="AX13" s="681" t="str">
        <f ca="1">iSummary!CH11&amp;iSummary!CN11</f>
        <v>Tokyo</v>
      </c>
      <c r="AY13" s="705">
        <f>iSummary!CI11</f>
        <v>91.57</v>
      </c>
      <c r="AZ13" s="637">
        <f ca="1">IF(iSummary!CJ11=0,"=",iSummary!CJ11)</f>
        <v>-0.53</v>
      </c>
      <c r="BA13" s="649" t="b">
        <f ca="1">iSummary!CK11</f>
        <v>0</v>
      </c>
      <c r="BB13" s="708">
        <f ca="1">IF(iSummary!CL11=0,"=",iSummary!CL11)</f>
        <v>-1</v>
      </c>
      <c r="BC13" s="650" t="b">
        <f ca="1">iSummary!CM11</f>
        <v>0</v>
      </c>
      <c r="CA13"/>
    </row>
    <row r="14" customHeight="1" spans="2:79">
      <c r="B14" s="645">
        <f>iSummary!P12</f>
        <v>1</v>
      </c>
      <c r="C14" s="645">
        <f>IF(B14=0,0,IF(uxb_works!$B$49,IF(G14&lt;$C$80,1,IF(G14&gt;$C$80,4,2)),IF(G14&lt;=$B$80,1,IF(G14&lt;=$B$81,2,(IF(G14&lt;=$B$82,3,4))))))</f>
        <v>4</v>
      </c>
      <c r="D14" s="646"/>
      <c r="E14" s="616">
        <f>iSummary!Q12</f>
        <v>5</v>
      </c>
      <c r="F14" s="681" t="str">
        <f ca="1">iSummary!R12&amp;iSummary!X12</f>
        <v>Melbourne</v>
      </c>
      <c r="G14" s="682">
        <f>iSummary!S12</f>
        <v>87.3</v>
      </c>
      <c r="H14" s="637">
        <f ca="1">IF(iSummary!T12=0,"=",iSummary!T12)</f>
        <v>6.03</v>
      </c>
      <c r="I14" s="649" t="b">
        <f ca="1">iSummary!U12</f>
        <v>0</v>
      </c>
      <c r="J14" s="636">
        <f ca="1">IF(iSummary!V12=0,"=",iSummary!V12)</f>
        <v>2</v>
      </c>
      <c r="K14" s="650" t="b">
        <f ca="1">iSummary!W12</f>
        <v>0</v>
      </c>
      <c r="L14" s="693"/>
      <c r="M14" s="693">
        <f>iSummary!AG12</f>
        <v>1</v>
      </c>
      <c r="N14" s="645">
        <f>IF(M14=0,0,IF(uxb_works!$B$49,IF(R14&lt;$C$80,1,IF(R14&gt;$C$80,4,2)),IF(R14&lt;=$B$80,1,IF(R14&lt;=$B$81,2,(IF(R14&lt;=$B$82,3,4))))))</f>
        <v>4</v>
      </c>
      <c r="O14" s="615"/>
      <c r="P14" s="695">
        <f>iSummary!AH12</f>
        <v>5</v>
      </c>
      <c r="Q14" s="699" t="str">
        <f ca="1">iSummary!AI12&amp;iSummary!AO12</f>
        <v>Hong Kong</v>
      </c>
      <c r="R14" s="700">
        <f>iSummary!AJ12</f>
        <v>85.77</v>
      </c>
      <c r="S14" s="637">
        <f ca="1">IF(iSummary!AK12=0,"=",iSummary!AK12)</f>
        <v>5.99</v>
      </c>
      <c r="T14" s="649" t="b">
        <f ca="1">iSummary!AL12</f>
        <v>0</v>
      </c>
      <c r="U14" s="636">
        <f ca="1">IF(iSummary!AM12=0,"=",iSummary!AM12)</f>
        <v>-2</v>
      </c>
      <c r="V14" s="650" t="b">
        <f ca="1">iSummary!AN12</f>
        <v>0</v>
      </c>
      <c r="X14" s="68">
        <f>iSummary!AX12</f>
        <v>1</v>
      </c>
      <c r="Y14" s="645">
        <f>IF(X14=0,0,IF(uxb_works!$B$49,IF(AC14&lt;$C$80,1,IF(AC14&gt;$C$80,4,2)),IF(AC14&lt;=$B$80,1,IF(AC14&lt;=$B$81,2,(IF(AC14&lt;=$B$82,3,4))))))</f>
        <v>4</v>
      </c>
      <c r="Z14" s="615"/>
      <c r="AA14" s="616">
        <f>iSummary!AY12</f>
        <v>5</v>
      </c>
      <c r="AB14" s="681" t="str">
        <f ca="1">iSummary!AZ12&amp;iSummary!BF12</f>
        <v>Seoul</v>
      </c>
      <c r="AC14" s="705">
        <f>iSummary!BA12</f>
        <v>82.72</v>
      </c>
      <c r="AD14" s="637">
        <f ca="1">IF(iSummary!BB12=0,"=",iSummary!BB12)</f>
        <v>7.1</v>
      </c>
      <c r="AE14" s="649" t="b">
        <f ca="1">iSummary!BC12</f>
        <v>0</v>
      </c>
      <c r="AF14" s="636">
        <f ca="1">IF(iSummary!BD12=0,"=",iSummary!BD12)</f>
        <v>10</v>
      </c>
      <c r="AG14" s="650" t="b">
        <f ca="1">iSummary!BE12</f>
        <v>0</v>
      </c>
      <c r="AH14" s="68"/>
      <c r="AI14" s="68">
        <f>iSummary!BO12</f>
        <v>1</v>
      </c>
      <c r="AJ14" s="645">
        <f>IF(AI14=0,0,IF(uxb_works!$B$49,IF(AN14&lt;$C$80,1,IF(AN14&gt;$C$80,4,2)),IF(AN14&lt;=$B$80,1,IF(AN14&lt;=$B$81,2,(IF(AN14&lt;=$B$82,3,4))))))</f>
        <v>4</v>
      </c>
      <c r="AK14" s="615"/>
      <c r="AL14" s="616">
        <f>iSummary!BP12</f>
        <v>5</v>
      </c>
      <c r="AM14" s="681" t="str">
        <f ca="1">iSummary!BQ12&amp;iSummary!BW12</f>
        <v>Wellington *</v>
      </c>
      <c r="AN14" s="705">
        <f>iSummary!BR12</f>
        <v>96.13</v>
      </c>
      <c r="AO14" s="637" t="str">
        <f ca="1">IF(iSummary!BS12=0,"=",iSummary!BS12)</f>
        <v/>
      </c>
      <c r="AP14" s="649" t="b">
        <f ca="1">iSummary!BT12</f>
        <v>0</v>
      </c>
      <c r="AQ14" s="636" t="str">
        <f ca="1">IF(iSummary!BU12=0,"=",iSummary!BU12)</f>
        <v/>
      </c>
      <c r="AR14" s="650" t="b">
        <f ca="1">iSummary!BV12</f>
        <v>0</v>
      </c>
      <c r="AS14" s="68"/>
      <c r="AT14" s="707">
        <f>iSummary!CF12</f>
        <v>1</v>
      </c>
      <c r="AU14" s="645">
        <f>IF(AT14=0,0,IF(uxb_works!$B$49,IF(AY14&lt;$C$80,1,IF(AY14&gt;$C$80,4,2)),IF(AY14&lt;=$B$80,1,IF(AY14&lt;=$B$81,2,(IF(AY14&lt;=$B$82,3,4))))))</f>
        <v>4</v>
      </c>
      <c r="AV14" s="615"/>
      <c r="AW14" s="616">
        <f>iSummary!CG12</f>
        <v>5</v>
      </c>
      <c r="AX14" s="681" t="str">
        <f ca="1">iSummary!CH12&amp;iSummary!CN12</f>
        <v>Toronto</v>
      </c>
      <c r="AY14" s="705">
        <f>iSummary!CI12</f>
        <v>91.52</v>
      </c>
      <c r="AZ14" s="637">
        <f ca="1">IF(iSummary!CJ12=0,"=",iSummary!CJ12)</f>
        <v>0.49</v>
      </c>
      <c r="BA14" s="649" t="b">
        <f ca="1">iSummary!CK12</f>
        <v>0</v>
      </c>
      <c r="BB14" s="708" t="str">
        <f ca="1">IF(iSummary!CL12=0,"=",iSummary!CL12)</f>
        <v>=</v>
      </c>
      <c r="BC14" s="650" t="b">
        <f ca="1">iSummary!CM12</f>
        <v>0</v>
      </c>
      <c r="CA14"/>
    </row>
    <row r="15" customHeight="1" spans="2:79">
      <c r="B15" s="645">
        <f>iSummary!P13</f>
        <v>1</v>
      </c>
      <c r="C15" s="645">
        <f>IF(B15=0,0,IF(uxb_works!$B$49,IF(G15&lt;$C$80,1,IF(G15&gt;$C$80,4,2)),IF(G15&lt;=$B$80,1,IF(G15&lt;=$B$81,2,(IF(G15&lt;=$B$82,3,4))))))</f>
        <v>4</v>
      </c>
      <c r="D15" s="646"/>
      <c r="E15" s="616">
        <f>iSummary!Q13</f>
        <v>6</v>
      </c>
      <c r="F15" s="681" t="str">
        <f ca="1">iSummary!R13&amp;iSummary!X13</f>
        <v>Amsterdam</v>
      </c>
      <c r="G15" s="682">
        <f>iSummary!S13</f>
        <v>87.26</v>
      </c>
      <c r="H15" s="637">
        <f ca="1">IF(iSummary!T13=0,"=",iSummary!T13)</f>
        <v>3.22</v>
      </c>
      <c r="I15" s="649" t="b">
        <f ca="1">iSummary!U13</f>
        <v>0</v>
      </c>
      <c r="J15" s="636">
        <f ca="1">IF(iSummary!V13=0,"=",iSummary!V13)</f>
        <v>-3</v>
      </c>
      <c r="K15" s="650" t="b">
        <f ca="1">iSummary!W13</f>
        <v>0</v>
      </c>
      <c r="L15" s="693"/>
      <c r="M15" s="693">
        <f>iSummary!AG13</f>
        <v>1</v>
      </c>
      <c r="N15" s="645">
        <f>IF(M15=0,0,IF(uxb_works!$B$49,IF(R15&lt;$C$80,1,IF(R15&gt;$C$80,4,2)),IF(R15&lt;=$B$80,1,IF(R15&lt;=$B$81,2,(IF(R15&lt;=$B$82,3,4))))))</f>
        <v>4</v>
      </c>
      <c r="O15" s="615"/>
      <c r="P15" s="695">
        <f>iSummary!AH13</f>
        <v>6</v>
      </c>
      <c r="Q15" s="699" t="str">
        <f ca="1">iSummary!AI13&amp;iSummary!AO13</f>
        <v>Toronto</v>
      </c>
      <c r="R15" s="700">
        <f>iSummary!AJ13</f>
        <v>85.33</v>
      </c>
      <c r="S15" s="637">
        <f ca="1">IF(iSummary!AK13=0,"=",iSummary!AK13)</f>
        <v>12.29</v>
      </c>
      <c r="T15" s="649" t="b">
        <f ca="1">iSummary!AL13</f>
        <v>0</v>
      </c>
      <c r="U15" s="636">
        <f ca="1">IF(iSummary!AM13=0,"=",iSummary!AM13)</f>
        <v>3</v>
      </c>
      <c r="V15" s="650" t="b">
        <f ca="1">iSummary!AN13</f>
        <v>0</v>
      </c>
      <c r="X15" s="68">
        <f>iSummary!AX13</f>
        <v>1</v>
      </c>
      <c r="Y15" s="645">
        <f>IF(X15=0,0,IF(uxb_works!$B$49,IF(AC15&lt;$C$80,1,IF(AC15&gt;$C$80,4,2)),IF(AC15&lt;=$B$80,1,IF(AC15&lt;=$B$81,2,(IF(AC15&lt;=$B$82,3,4))))))</f>
        <v>4</v>
      </c>
      <c r="Z15" s="615"/>
      <c r="AA15" s="616">
        <f>iSummary!AY13</f>
        <v>6</v>
      </c>
      <c r="AB15" s="681" t="str">
        <f ca="1">iSummary!AZ13&amp;iSummary!BF13</f>
        <v>Sydney</v>
      </c>
      <c r="AC15" s="705">
        <f>iSummary!BA13</f>
        <v>81.8</v>
      </c>
      <c r="AD15" s="637">
        <f ca="1">IF(iSummary!BB13=0,"=",iSummary!BB13)</f>
        <v>7.04</v>
      </c>
      <c r="AE15" s="649" t="b">
        <f ca="1">iSummary!BC13</f>
        <v>0</v>
      </c>
      <c r="AF15" s="636">
        <f ca="1">IF(iSummary!BD13=0,"=",iSummary!BD13)</f>
        <v>12</v>
      </c>
      <c r="AG15" s="650" t="b">
        <f ca="1">iSummary!BE13</f>
        <v>0</v>
      </c>
      <c r="AH15" s="68"/>
      <c r="AI15" s="68">
        <f>iSummary!BO13</f>
        <v>1</v>
      </c>
      <c r="AJ15" s="645">
        <f>IF(AI15=0,0,IF(uxb_works!$B$49,IF(AN15&lt;$C$80,1,IF(AN15&gt;$C$80,4,2)),IF(AN15&lt;=$B$80,1,IF(AN15&lt;=$B$81,2,(IF(AN15&lt;=$B$82,3,4))))))</f>
        <v>4</v>
      </c>
      <c r="AK15" s="615"/>
      <c r="AL15" s="616">
        <f>iSummary!BP13</f>
        <v>6</v>
      </c>
      <c r="AM15" s="681" t="str">
        <f ca="1">iSummary!BQ13&amp;iSummary!BW13</f>
        <v>Amsterdam</v>
      </c>
      <c r="AN15" s="705">
        <f>iSummary!BR13</f>
        <v>96.05</v>
      </c>
      <c r="AO15" s="637">
        <f ca="1">IF(iSummary!BS13=0,"=",iSummary!BS13)</f>
        <v>3.61</v>
      </c>
      <c r="AP15" s="649" t="b">
        <f ca="1">iSummary!BT13</f>
        <v>0</v>
      </c>
      <c r="AQ15" s="636">
        <f ca="1">IF(iSummary!BU13=0,"=",iSummary!BU13)</f>
        <v>-2</v>
      </c>
      <c r="AR15" s="650" t="b">
        <f ca="1">iSummary!BV13</f>
        <v>0</v>
      </c>
      <c r="AS15" s="68"/>
      <c r="AT15" s="707">
        <f>iSummary!CF13</f>
        <v>1</v>
      </c>
      <c r="AU15" s="645">
        <f>IF(AT15=0,0,IF(uxb_works!$B$49,IF(AY15&lt;$C$80,1,IF(AY15&gt;$C$80,4,2)),IF(AY15&lt;=$B$80,1,IF(AY15&lt;=$B$81,2,(IF(AY15&lt;=$B$82,3,4))))))</f>
        <v>4</v>
      </c>
      <c r="AV15" s="615"/>
      <c r="AW15" s="616">
        <f>iSummary!CG13</f>
        <v>6</v>
      </c>
      <c r="AX15" s="681" t="str">
        <f ca="1">iSummary!CH13&amp;iSummary!CN13</f>
        <v>Taipei</v>
      </c>
      <c r="AY15" s="705">
        <f>iSummary!CI13</f>
        <v>90.02</v>
      </c>
      <c r="AZ15" s="637">
        <f ca="1">IF(iSummary!CJ13=0,"=",iSummary!CJ13)</f>
        <v>-0.08</v>
      </c>
      <c r="BA15" s="649" t="b">
        <f ca="1">iSummary!CK13</f>
        <v>0</v>
      </c>
      <c r="BB15" s="708" t="str">
        <f ca="1">IF(iSummary!CL13=0,"=",iSummary!CL13)</f>
        <v>=</v>
      </c>
      <c r="BC15" s="650" t="b">
        <f ca="1">iSummary!CM13</f>
        <v>0</v>
      </c>
      <c r="CA15"/>
    </row>
    <row r="16" customHeight="1" spans="2:79">
      <c r="B16" s="645">
        <f>iSummary!P14</f>
        <v>1</v>
      </c>
      <c r="C16" s="645">
        <f>IF(B16=0,0,IF(uxb_works!$B$49,IF(G16&lt;$C$80,1,IF(G16&gt;$C$80,4,2)),IF(G16&lt;=$B$80,1,IF(G16&lt;=$B$81,2,(IF(G16&lt;=$B$82,3,4))))))</f>
        <v>4</v>
      </c>
      <c r="D16" s="646"/>
      <c r="E16" s="616">
        <f>iSummary!Q14</f>
        <v>7</v>
      </c>
      <c r="F16" s="681" t="str">
        <f ca="1">iSummary!R14&amp;iSummary!X14</f>
        <v>Sydney</v>
      </c>
      <c r="G16" s="683">
        <f>iSummary!S14</f>
        <v>86.74</v>
      </c>
      <c r="H16" s="637">
        <f ca="1">IF(iSummary!T14=0,"=",iSummary!T14)</f>
        <v>4.86</v>
      </c>
      <c r="I16" s="649" t="b">
        <f ca="1">iSummary!U14</f>
        <v>0</v>
      </c>
      <c r="J16" s="636">
        <f ca="1">IF(iSummary!V14=0,"=",iSummary!V14)</f>
        <v>-2</v>
      </c>
      <c r="K16" s="650" t="b">
        <f ca="1">iSummary!W14</f>
        <v>0</v>
      </c>
      <c r="L16" s="693"/>
      <c r="M16" s="693">
        <f>iSummary!AG14</f>
        <v>1</v>
      </c>
      <c r="N16" s="645">
        <f>IF(M16=0,0,IF(uxb_works!$B$49,IF(R16&lt;$C$80,1,IF(R16&gt;$C$80,4,2)),IF(R16&lt;=$B$80,1,IF(R16&lt;=$B$81,2,(IF(R16&lt;=$B$82,3,4))))))</f>
        <v>4</v>
      </c>
      <c r="O16" s="615"/>
      <c r="P16" s="695" t="str">
        <f>iSummary!AH14</f>
        <v>=7</v>
      </c>
      <c r="Q16" s="699" t="str">
        <f ca="1">iSummary!AI14&amp;iSummary!AO14</f>
        <v>Los Angeles</v>
      </c>
      <c r="R16" s="700">
        <f>iSummary!AJ14</f>
        <v>85.12</v>
      </c>
      <c r="S16" s="637">
        <f ca="1">IF(iSummary!AK14=0,"=",iSummary!AK14)</f>
        <v>13.63</v>
      </c>
      <c r="T16" s="649" t="b">
        <f ca="1">iSummary!AL14</f>
        <v>0</v>
      </c>
      <c r="U16" s="636">
        <f ca="1">IF(iSummary!AM14=0,"=",iSummary!AM14)</f>
        <v>3</v>
      </c>
      <c r="V16" s="650" t="b">
        <f ca="1">iSummary!AN14</f>
        <v>0</v>
      </c>
      <c r="X16" s="68">
        <f>iSummary!AX14</f>
        <v>1</v>
      </c>
      <c r="Y16" s="645">
        <f>IF(X16=0,0,IF(uxb_works!$B$49,IF(AC16&lt;$C$80,1,IF(AC16&gt;$C$80,4,2)),IF(AC16&lt;=$B$80,1,IF(AC16&lt;=$B$81,2,(IF(AC16&lt;=$B$82,3,4))))))</f>
        <v>4</v>
      </c>
      <c r="Z16" s="615"/>
      <c r="AA16" s="616">
        <f>iSummary!AY14</f>
        <v>7</v>
      </c>
      <c r="AB16" s="681" t="str">
        <f ca="1">iSummary!AZ14&amp;iSummary!BF14</f>
        <v>Brussels</v>
      </c>
      <c r="AC16" s="705">
        <f>iSummary!BA14</f>
        <v>81.41</v>
      </c>
      <c r="AD16" s="637">
        <f ca="1">IF(iSummary!BB14=0,"=",iSummary!BB14)</f>
        <v>2.02</v>
      </c>
      <c r="AE16" s="649" t="b">
        <f ca="1">iSummary!BC14</f>
        <v>0</v>
      </c>
      <c r="AF16" s="636">
        <f ca="1">IF(iSummary!BD14=0,"=",iSummary!BD14)</f>
        <v>-3</v>
      </c>
      <c r="AG16" s="650" t="b">
        <f ca="1">iSummary!BE14</f>
        <v>0</v>
      </c>
      <c r="AH16" s="68"/>
      <c r="AI16" s="68">
        <f>iSummary!BO14</f>
        <v>1</v>
      </c>
      <c r="AJ16" s="645">
        <f>IF(AI16=0,0,IF(uxb_works!$B$49,IF(AN16&lt;$C$80,1,IF(AN16&gt;$C$80,4,2)),IF(AN16&lt;=$B$80,1,IF(AN16&lt;=$B$81,2,(IF(AN16&lt;=$B$82,3,4))))))</f>
        <v>4</v>
      </c>
      <c r="AK16" s="615"/>
      <c r="AL16" s="616" t="str">
        <f>iSummary!BP14</f>
        <v>=7</v>
      </c>
      <c r="AM16" s="681" t="str">
        <f ca="1">iSummary!BQ14&amp;iSummary!BW14</f>
        <v>Hong Kong</v>
      </c>
      <c r="AN16" s="705">
        <f>iSummary!BR14</f>
        <v>96.04</v>
      </c>
      <c r="AO16" s="637">
        <f ca="1">IF(iSummary!BS14=0,"=",iSummary!BS14)</f>
        <v>20.87</v>
      </c>
      <c r="AP16" s="649" t="b">
        <f ca="1">iSummary!BT14</f>
        <v>0</v>
      </c>
      <c r="AQ16" s="636">
        <f ca="1">IF(iSummary!BU14=0,"=",iSummary!BU14)</f>
        <v>26</v>
      </c>
      <c r="AR16" s="650" t="b">
        <f ca="1">iSummary!BV14</f>
        <v>0</v>
      </c>
      <c r="AS16" s="68"/>
      <c r="AT16" s="707">
        <f>iSummary!CF14</f>
        <v>1</v>
      </c>
      <c r="AU16" s="645">
        <f>IF(AT16=0,0,IF(uxb_works!$B$49,IF(AY16&lt;$C$80,1,IF(AY16&gt;$C$80,4,2)),IF(AY16&lt;=$B$80,1,IF(AY16&lt;=$B$81,2,(IF(AY16&lt;=$B$82,3,4))))))</f>
        <v>4</v>
      </c>
      <c r="AV16" s="615"/>
      <c r="AW16" s="616">
        <f>iSummary!CG14</f>
        <v>7</v>
      </c>
      <c r="AX16" s="681" t="str">
        <f ca="1">iSummary!CH14&amp;iSummary!CN14</f>
        <v>Hong Kong</v>
      </c>
      <c r="AY16" s="705">
        <f>iSummary!CI14</f>
        <v>89.75</v>
      </c>
      <c r="AZ16" s="637">
        <f ca="1">IF(iSummary!CJ14=0,"=",iSummary!CJ14)</f>
        <v>-2</v>
      </c>
      <c r="BA16" s="649" t="b">
        <f ca="1">iSummary!CK14</f>
        <v>0</v>
      </c>
      <c r="BB16" s="708">
        <f ca="1">IF(iSummary!CL14=0,"=",iSummary!CL14)</f>
        <v>-3</v>
      </c>
      <c r="BC16" s="650" t="b">
        <f ca="1">iSummary!CM14</f>
        <v>0</v>
      </c>
      <c r="CA16"/>
    </row>
    <row r="17" s="70" customFormat="1" customHeight="1" spans="2:79">
      <c r="B17" s="645">
        <f>iSummary!P15</f>
        <v>1</v>
      </c>
      <c r="C17" s="645">
        <f>IF(B17=0,0,IF(uxb_works!$B$49,IF(G17&lt;$C$80,1,IF(G17&gt;$C$80,4,2)),IF(G17&lt;=$B$80,1,IF(G17&lt;=$B$81,2,(IF(G17&lt;=$B$82,3,4))))))</f>
        <v>4</v>
      </c>
      <c r="D17" s="646"/>
      <c r="E17" s="616">
        <f>iSummary!Q15</f>
        <v>8</v>
      </c>
      <c r="F17" s="681" t="str">
        <f ca="1">iSummary!R15&amp;iSummary!X15</f>
        <v>Stockholm</v>
      </c>
      <c r="G17" s="682">
        <f>iSummary!S15</f>
        <v>86.72</v>
      </c>
      <c r="H17" s="637">
        <f ca="1">IF(iSummary!T15=0,"=",iSummary!T15)</f>
        <v>5.66</v>
      </c>
      <c r="I17" s="649" t="b">
        <f ca="1">iSummary!U15</f>
        <v>0</v>
      </c>
      <c r="J17" s="636" t="str">
        <f ca="1">IF(iSummary!V15=0,"=",iSummary!V15)</f>
        <v>=</v>
      </c>
      <c r="K17" s="650" t="b">
        <f ca="1">iSummary!W15</f>
        <v>0</v>
      </c>
      <c r="L17" s="693"/>
      <c r="M17" s="693">
        <f>iSummary!AG15</f>
        <v>1</v>
      </c>
      <c r="N17" s="645">
        <f>IF(M17=0,0,IF(uxb_works!$B$49,IF(R17&lt;$C$80,1,IF(R17&gt;$C$80,4,2)),IF(R17&lt;=$B$80,1,IF(R17&lt;=$B$81,2,(IF(R17&lt;=$B$82,3,4))))))</f>
        <v>4</v>
      </c>
      <c r="O17" s="615"/>
      <c r="P17" s="695" t="str">
        <f>iSummary!AH15</f>
        <v>=7</v>
      </c>
      <c r="Q17" s="699" t="str">
        <f ca="1">iSummary!AI15&amp;iSummary!AO15</f>
        <v>San Francisco</v>
      </c>
      <c r="R17" s="700">
        <f>iSummary!AJ15</f>
        <v>85.12</v>
      </c>
      <c r="S17" s="637">
        <f ca="1">IF(iSummary!AK15=0,"=",iSummary!AK15)</f>
        <v>14.77</v>
      </c>
      <c r="T17" s="649" t="b">
        <f ca="1">iSummary!AL15</f>
        <v>0</v>
      </c>
      <c r="U17" s="636">
        <f ca="1">IF(iSummary!AM15=0,"=",iSummary!AM15)</f>
        <v>6</v>
      </c>
      <c r="V17" s="650" t="b">
        <f ca="1">iSummary!AN15</f>
        <v>0</v>
      </c>
      <c r="W17"/>
      <c r="X17" s="68">
        <f>iSummary!AX15</f>
        <v>1</v>
      </c>
      <c r="Y17" s="645">
        <f>IF(X17=0,0,IF(uxb_works!$B$49,IF(AC17&lt;$C$80,1,IF(AC17&gt;$C$80,4,2)),IF(AC17&lt;=$B$80,1,IF(AC17&lt;=$B$81,2,(IF(AC17&lt;=$B$82,3,4))))))</f>
        <v>4</v>
      </c>
      <c r="Z17" s="615"/>
      <c r="AA17" s="616">
        <f>iSummary!AY15</f>
        <v>8</v>
      </c>
      <c r="AB17" s="681" t="str">
        <f ca="1">iSummary!AZ15&amp;iSummary!BF15</f>
        <v>Paris</v>
      </c>
      <c r="AC17" s="705">
        <f>iSummary!BA15</f>
        <v>81.35</v>
      </c>
      <c r="AD17" s="637">
        <f ca="1">IF(iSummary!BB15=0,"=",iSummary!BB15)</f>
        <v>2.82</v>
      </c>
      <c r="AE17" s="649" t="b">
        <f ca="1">iSummary!BC15</f>
        <v>0</v>
      </c>
      <c r="AF17" s="636" t="str">
        <f ca="1">IF(iSummary!BD15=0,"=",iSummary!BD15)</f>
        <v>=</v>
      </c>
      <c r="AG17" s="650" t="b">
        <f ca="1">iSummary!BE15</f>
        <v>0</v>
      </c>
      <c r="AH17" s="68"/>
      <c r="AI17" s="68">
        <f>iSummary!BO15</f>
        <v>1</v>
      </c>
      <c r="AJ17" s="645">
        <f>IF(AI17=0,0,IF(uxb_works!$B$49,IF(AN17&lt;$C$80,1,IF(AN17&gt;$C$80,4,2)),IF(AN17&lt;=$B$80,1,IF(AN17&lt;=$B$81,2,(IF(AN17&lt;=$B$82,3,4))))))</f>
        <v>4</v>
      </c>
      <c r="AK17" s="615"/>
      <c r="AL17" s="616" t="str">
        <f>iSummary!BP15</f>
        <v>=7</v>
      </c>
      <c r="AM17" s="681" t="str">
        <f ca="1">iSummary!BQ15&amp;iSummary!BW15</f>
        <v>Melbourne</v>
      </c>
      <c r="AN17" s="705">
        <f>iSummary!BR15</f>
        <v>96.04</v>
      </c>
      <c r="AO17" s="637">
        <f ca="1">IF(iSummary!BS15=0,"=",iSummary!BS15)</f>
        <v>2.65</v>
      </c>
      <c r="AP17" s="649" t="b">
        <f ca="1">iSummary!BT15</f>
        <v>0</v>
      </c>
      <c r="AQ17" s="636">
        <f ca="1">IF(iSummary!BU15=0,"=",iSummary!BU15)</f>
        <v>-5</v>
      </c>
      <c r="AR17" s="650" t="b">
        <f ca="1">iSummary!BV15</f>
        <v>0</v>
      </c>
      <c r="AS17" s="68"/>
      <c r="AT17" s="707">
        <f>iSummary!CF15</f>
        <v>1</v>
      </c>
      <c r="AU17" s="645">
        <f>IF(AT17=0,0,IF(uxb_works!$B$49,IF(AY17&lt;$C$80,1,IF(AY17&gt;$C$80,4,2)),IF(AY17&lt;=$B$80,1,IF(AY17&lt;=$B$81,2,(IF(AY17&lt;=$B$82,3,4))))))</f>
        <v>4</v>
      </c>
      <c r="AV17" s="615"/>
      <c r="AW17" s="616">
        <f>iSummary!CG15</f>
        <v>8</v>
      </c>
      <c r="AX17" s="681" t="str">
        <f ca="1">iSummary!CH15&amp;iSummary!CN15</f>
        <v>Melbourne</v>
      </c>
      <c r="AY17" s="705">
        <f>iSummary!CI15</f>
        <v>88.52</v>
      </c>
      <c r="AZ17" s="637">
        <f ca="1">IF(iSummary!CJ15=0,"=",iSummary!CJ15)</f>
        <v>-1.05</v>
      </c>
      <c r="BA17" s="649" t="b">
        <f ca="1">iSummary!CK15</f>
        <v>0</v>
      </c>
      <c r="BB17" s="708" t="str">
        <f ca="1">IF(iSummary!CL15=0,"=",iSummary!CL15)</f>
        <v>=</v>
      </c>
      <c r="BC17" s="650" t="b">
        <f ca="1">iSummary!CM15</f>
        <v>0</v>
      </c>
      <c r="BD17"/>
      <c r="BE17"/>
      <c r="BF17"/>
      <c r="BG17"/>
      <c r="BH17"/>
      <c r="BI17"/>
      <c r="BJ17"/>
      <c r="BK17"/>
      <c r="BL17"/>
      <c r="BM17"/>
      <c r="BN17"/>
      <c r="BO17"/>
      <c r="BP17"/>
      <c r="BQ17"/>
      <c r="BR17"/>
      <c r="BS17"/>
      <c r="BT17"/>
      <c r="BU17"/>
      <c r="BV17"/>
      <c r="BW17"/>
      <c r="BX17"/>
      <c r="BY17"/>
      <c r="BZ17"/>
      <c r="CA17"/>
    </row>
    <row r="18" s="70" customFormat="1" customHeight="1" spans="2:79">
      <c r="B18" s="645">
        <f>iSummary!P16</f>
        <v>1</v>
      </c>
      <c r="C18" s="645">
        <f>IF(B18=0,0,IF(uxb_works!$B$49,IF(G18&lt;$C$80,1,IF(G18&gt;$C$80,4,2)),IF(G18&lt;=$B$80,1,IF(G18&lt;=$B$81,2,(IF(G18&lt;=$B$82,3,4))))))</f>
        <v>4</v>
      </c>
      <c r="D18" s="646"/>
      <c r="E18" s="616">
        <f>iSummary!Q16</f>
        <v>9</v>
      </c>
      <c r="F18" s="681" t="str">
        <f ca="1">iSummary!R16&amp;iSummary!X16</f>
        <v>Hong Kong</v>
      </c>
      <c r="G18" s="682">
        <f>iSummary!S16</f>
        <v>86.22</v>
      </c>
      <c r="H18" s="637">
        <f ca="1">IF(iSummary!T16=0,"=",iSummary!T16)</f>
        <v>7.69</v>
      </c>
      <c r="I18" s="649" t="b">
        <f ca="1">iSummary!U16</f>
        <v>0</v>
      </c>
      <c r="J18" s="636">
        <f ca="1">IF(iSummary!V16=0,"=",iSummary!V16)</f>
        <v>3</v>
      </c>
      <c r="K18" s="650" t="b">
        <f ca="1">iSummary!W16</f>
        <v>0</v>
      </c>
      <c r="L18" s="693"/>
      <c r="M18" s="693">
        <f>iSummary!AG16</f>
        <v>1</v>
      </c>
      <c r="N18" s="645">
        <f>IF(M18=0,0,IF(uxb_works!$B$49,IF(R18&lt;$C$80,1,IF(R18&gt;$C$80,4,2)),IF(R18&lt;=$B$80,1,IF(R18&lt;=$B$81,2,(IF(R18&lt;=$B$82,3,4))))))</f>
        <v>4</v>
      </c>
      <c r="O18" s="615"/>
      <c r="P18" s="695">
        <f>iSummary!AH16</f>
        <v>9</v>
      </c>
      <c r="Q18" s="699" t="str">
        <f ca="1">iSummary!AI16&amp;iSummary!AO16</f>
        <v>New York</v>
      </c>
      <c r="R18" s="700">
        <f>iSummary!AJ16</f>
        <v>84.95</v>
      </c>
      <c r="S18" s="637">
        <f ca="1">IF(iSummary!AK16=0,"=",iSummary!AK16)</f>
        <v>9.03</v>
      </c>
      <c r="T18" s="649" t="b">
        <f ca="1">iSummary!AL16</f>
        <v>0</v>
      </c>
      <c r="U18" s="636">
        <f ca="1">IF(iSummary!AM16=0,"=",iSummary!AM16)</f>
        <v>-3</v>
      </c>
      <c r="V18" s="650" t="b">
        <f ca="1">iSummary!AN16</f>
        <v>0</v>
      </c>
      <c r="W18"/>
      <c r="X18" s="68">
        <f>iSummary!AX16</f>
        <v>1</v>
      </c>
      <c r="Y18" s="645">
        <f>IF(X18=0,0,IF(uxb_works!$B$49,IF(AC18&lt;$C$80,1,IF(AC18&gt;$C$80,4,2)),IF(AC18&lt;=$B$80,1,IF(AC18&lt;=$B$81,2,(IF(AC18&lt;=$B$82,3,4))))))</f>
        <v>4</v>
      </c>
      <c r="Z18" s="615"/>
      <c r="AA18" s="616">
        <f>iSummary!AY16</f>
        <v>9</v>
      </c>
      <c r="AB18" s="681" t="str">
        <f ca="1">iSummary!AZ16&amp;iSummary!BF16</f>
        <v>Melbourne</v>
      </c>
      <c r="AC18" s="705">
        <f>iSummary!BA16</f>
        <v>81.34</v>
      </c>
      <c r="AD18" s="637">
        <f ca="1">IF(iSummary!BB16=0,"=",iSummary!BB16)</f>
        <v>5.63</v>
      </c>
      <c r="AE18" s="649" t="b">
        <f ca="1">iSummary!BC16</f>
        <v>0</v>
      </c>
      <c r="AF18" s="636">
        <f ca="1">IF(iSummary!BD16=0,"=",iSummary!BD16)</f>
        <v>5</v>
      </c>
      <c r="AG18" s="650" t="b">
        <f ca="1">iSummary!BE16</f>
        <v>0</v>
      </c>
      <c r="AH18" s="68"/>
      <c r="AI18" s="68">
        <f>iSummary!BO16</f>
        <v>1</v>
      </c>
      <c r="AJ18" s="645">
        <f>IF(AI18=0,0,IF(uxb_works!$B$49,IF(AN18&lt;$C$80,1,IF(AN18&gt;$C$80,4,2)),IF(AN18&lt;=$B$80,1,IF(AN18&lt;=$B$81,2,(IF(AN18&lt;=$B$82,3,4))))))</f>
        <v>4</v>
      </c>
      <c r="AK18" s="615"/>
      <c r="AL18" s="616">
        <f>iSummary!BP16</f>
        <v>9</v>
      </c>
      <c r="AM18" s="681" t="str">
        <f ca="1">iSummary!BQ16&amp;iSummary!BW16</f>
        <v>Sydney</v>
      </c>
      <c r="AN18" s="705">
        <f>iSummary!BR16</f>
        <v>95.73</v>
      </c>
      <c r="AO18" s="637">
        <f ca="1">IF(iSummary!BS16=0,"=",iSummary!BS16)</f>
        <v>3.04</v>
      </c>
      <c r="AP18" s="649" t="b">
        <f ca="1">iSummary!BT16</f>
        <v>0</v>
      </c>
      <c r="AQ18" s="636">
        <f ca="1">IF(iSummary!BU16=0,"=",iSummary!BU16)</f>
        <v>-6</v>
      </c>
      <c r="AR18" s="650" t="b">
        <f ca="1">iSummary!BV16</f>
        <v>0</v>
      </c>
      <c r="AS18" s="68"/>
      <c r="AT18" s="707">
        <f>iSummary!CF16</f>
        <v>1</v>
      </c>
      <c r="AU18" s="645">
        <f>IF(AT18=0,0,IF(uxb_works!$B$49,IF(AY18&lt;$C$80,1,IF(AY18&gt;$C$80,4,2)),IF(AY18&lt;=$B$80,1,IF(AY18&lt;=$B$81,2,(IF(AY18&lt;=$B$82,3,4))))))</f>
        <v>4</v>
      </c>
      <c r="AV18" s="615"/>
      <c r="AW18" s="616">
        <f>iSummary!CG16</f>
        <v>9</v>
      </c>
      <c r="AX18" s="681" t="str">
        <f ca="1">iSummary!CH16&amp;iSummary!CN16</f>
        <v>Stockholm</v>
      </c>
      <c r="AY18" s="705">
        <f>iSummary!CI16</f>
        <v>87.93</v>
      </c>
      <c r="AZ18" s="637">
        <f ca="1">IF(iSummary!CJ16=0,"=",iSummary!CJ16)</f>
        <v>-1.68</v>
      </c>
      <c r="BA18" s="649" t="b">
        <f ca="1">iSummary!CK16</f>
        <v>0</v>
      </c>
      <c r="BB18" s="708">
        <f ca="1">IF(iSummary!CL16=0,"=",iSummary!CL16)</f>
        <v>-2</v>
      </c>
      <c r="BC18" s="650" t="b">
        <f ca="1">iSummary!CM16</f>
        <v>0</v>
      </c>
      <c r="BD18"/>
      <c r="BE18"/>
      <c r="BF18"/>
      <c r="BG18"/>
      <c r="BH18"/>
      <c r="BI18"/>
      <c r="BJ18"/>
      <c r="BK18"/>
      <c r="BL18"/>
      <c r="BM18"/>
      <c r="BN18"/>
      <c r="BO18"/>
      <c r="BP18"/>
      <c r="BQ18"/>
      <c r="BR18"/>
      <c r="BS18"/>
      <c r="BT18"/>
      <c r="BU18"/>
      <c r="BV18"/>
      <c r="BW18"/>
      <c r="BX18"/>
      <c r="BY18"/>
      <c r="BZ18"/>
      <c r="CA18"/>
    </row>
    <row r="19" s="70" customFormat="1" customHeight="1" spans="2:79">
      <c r="B19" s="645">
        <f>iSummary!P17</f>
        <v>1</v>
      </c>
      <c r="C19" s="645">
        <f>IF(B19=0,0,IF(uxb_works!$B$49,IF(G19&lt;$C$80,1,IF(G19&gt;$C$80,4,2)),IF(G19&lt;=$B$80,1,IF(G19&lt;=$B$81,2,(IF(G19&lt;=$B$82,3,4))))))</f>
        <v>4</v>
      </c>
      <c r="D19" s="646"/>
      <c r="E19" s="616">
        <f>iSummary!Q17</f>
        <v>10</v>
      </c>
      <c r="F19" s="681" t="str">
        <f ca="1">iSummary!R17&amp;iSummary!X17</f>
        <v>Zurich</v>
      </c>
      <c r="G19" s="682">
        <f>iSummary!S17</f>
        <v>85.2</v>
      </c>
      <c r="H19" s="637">
        <f ca="1">IF(iSummary!T17=0,"=",iSummary!T17)</f>
        <v>4.38</v>
      </c>
      <c r="I19" s="649" t="b">
        <f ca="1">iSummary!U17</f>
        <v>0</v>
      </c>
      <c r="J19" s="636">
        <f ca="1">IF(iSummary!V17=0,"=",iSummary!V17)</f>
        <v>-1</v>
      </c>
      <c r="K19" s="650" t="b">
        <f ca="1">iSummary!W17</f>
        <v>0</v>
      </c>
      <c r="L19" s="693"/>
      <c r="M19" s="693">
        <f>iSummary!AG17</f>
        <v>1</v>
      </c>
      <c r="N19" s="645">
        <f>IF(M19=0,0,IF(uxb_works!$B$49,IF(R19&lt;$C$80,1,IF(R19&gt;$C$80,4,2)),IF(R19&lt;=$B$80,1,IF(R19&lt;=$B$81,2,(IF(R19&lt;=$B$82,3,4))))))</f>
        <v>4</v>
      </c>
      <c r="O19" s="615"/>
      <c r="P19" s="695">
        <f>iSummary!AH17</f>
        <v>10</v>
      </c>
      <c r="Q19" s="699" t="str">
        <f ca="1">iSummary!AI17&amp;iSummary!AO17</f>
        <v>Dallas *</v>
      </c>
      <c r="R19" s="700">
        <f>iSummary!AJ17</f>
        <v>84.65</v>
      </c>
      <c r="S19" s="637" t="str">
        <f ca="1">IF(iSummary!AK17=0,"=",iSummary!AK17)</f>
        <v/>
      </c>
      <c r="T19" s="649" t="b">
        <f ca="1">iSummary!AL17</f>
        <v>0</v>
      </c>
      <c r="U19" s="636" t="str">
        <f ca="1">IF(iSummary!AM17=0,"=",iSummary!AM17)</f>
        <v/>
      </c>
      <c r="V19" s="650" t="b">
        <f ca="1">iSummary!AN17</f>
        <v>0</v>
      </c>
      <c r="W19"/>
      <c r="X19" s="68">
        <f>iSummary!AX17</f>
        <v>1</v>
      </c>
      <c r="Y19" s="645">
        <f>IF(X19=0,0,IF(uxb_works!$B$49,IF(AC19&lt;$C$80,1,IF(AC19&gt;$C$80,4,2)),IF(AC19&lt;=$B$80,1,IF(AC19&lt;=$B$81,2,(IF(AC19&lt;=$B$82,3,4))))))</f>
        <v>4</v>
      </c>
      <c r="Z19" s="615"/>
      <c r="AA19" s="616">
        <f>iSummary!AY17</f>
        <v>10</v>
      </c>
      <c r="AB19" s="681" t="str">
        <f ca="1">iSummary!AZ17&amp;iSummary!BF17</f>
        <v>Stockholm</v>
      </c>
      <c r="AC19" s="705">
        <f>iSummary!BA17</f>
        <v>79.94</v>
      </c>
      <c r="AD19" s="637">
        <f ca="1">IF(iSummary!BB17=0,"=",iSummary!BB17)</f>
        <v>-5.06</v>
      </c>
      <c r="AE19" s="649" t="b">
        <f ca="1">iSummary!BC17</f>
        <v>0</v>
      </c>
      <c r="AF19" s="636">
        <f ca="1">IF(iSummary!BD17=0,"=",iSummary!BD17)</f>
        <v>-9</v>
      </c>
      <c r="AG19" s="650" t="b">
        <f ca="1">iSummary!BE17</f>
        <v>0</v>
      </c>
      <c r="AH19" s="68"/>
      <c r="AI19" s="68">
        <f>iSummary!BO17</f>
        <v>1</v>
      </c>
      <c r="AJ19" s="645">
        <f>IF(AI19=0,0,IF(uxb_works!$B$49,IF(AN19&lt;$C$80,1,IF(AN19&gt;$C$80,4,2)),IF(AN19&lt;=$B$80,1,IF(AN19&lt;=$B$81,2,(IF(AN19&lt;=$B$82,3,4))))))</f>
        <v>4</v>
      </c>
      <c r="AK19" s="615"/>
      <c r="AL19" s="616">
        <f>iSummary!BP17</f>
        <v>10</v>
      </c>
      <c r="AM19" s="681" t="str">
        <f ca="1">iSummary!BQ17&amp;iSummary!BW17</f>
        <v>Zurich</v>
      </c>
      <c r="AN19" s="705">
        <f>iSummary!BR17</f>
        <v>95.71</v>
      </c>
      <c r="AO19" s="637">
        <f ca="1">IF(iSummary!BS17=0,"=",iSummary!BS17)</f>
        <v>2.19</v>
      </c>
      <c r="AP19" s="649" t="b">
        <f ca="1">iSummary!BT17</f>
        <v>0</v>
      </c>
      <c r="AQ19" s="636">
        <f ca="1">IF(iSummary!BU17=0,"=",iSummary!BU17)</f>
        <v>-9</v>
      </c>
      <c r="AR19" s="650" t="b">
        <f ca="1">iSummary!BV17</f>
        <v>0</v>
      </c>
      <c r="AS19" s="68"/>
      <c r="AT19" s="707">
        <f>iSummary!CF17</f>
        <v>1</v>
      </c>
      <c r="AU19" s="645">
        <f>IF(AT19=0,0,IF(uxb_works!$B$49,IF(AY19&lt;$C$80,1,IF(AY19&gt;$C$80,4,2)),IF(AY19&lt;=$B$80,1,IF(AY19&lt;=$B$81,2,(IF(AY19&lt;=$B$82,3,4))))))</f>
        <v>4</v>
      </c>
      <c r="AV19" s="615"/>
      <c r="AW19" s="616">
        <f>iSummary!CG17</f>
        <v>10</v>
      </c>
      <c r="AX19" s="681" t="str">
        <f ca="1">iSummary!CH17&amp;iSummary!CN17</f>
        <v>Amsterdam</v>
      </c>
      <c r="AY19" s="705">
        <f>iSummary!CI17</f>
        <v>87.42</v>
      </c>
      <c r="AZ19" s="637">
        <f ca="1">IF(iSummary!CJ17=0,"=",iSummary!CJ17)</f>
        <v>-1.46</v>
      </c>
      <c r="BA19" s="649" t="b">
        <f ca="1">iSummary!CK17</f>
        <v>0</v>
      </c>
      <c r="BB19" s="708">
        <f ca="1">IF(iSummary!CL17=0,"=",iSummary!CL17)</f>
        <v>-1</v>
      </c>
      <c r="BC19" s="650" t="b">
        <f ca="1">iSummary!CM17</f>
        <v>0</v>
      </c>
      <c r="BD19"/>
      <c r="BE19"/>
      <c r="BF19"/>
      <c r="BG19"/>
      <c r="BH19"/>
      <c r="BI19"/>
      <c r="BJ19"/>
      <c r="BK19"/>
      <c r="BL19"/>
      <c r="BM19"/>
      <c r="BN19"/>
      <c r="BO19"/>
      <c r="BP19"/>
      <c r="BQ19"/>
      <c r="BR19"/>
      <c r="BS19"/>
      <c r="BT19"/>
      <c r="BU19"/>
      <c r="BV19"/>
      <c r="BW19"/>
      <c r="BX19"/>
      <c r="BY19"/>
      <c r="BZ19"/>
      <c r="CA19"/>
    </row>
    <row r="20" s="70" customFormat="1" customHeight="1" spans="2:79">
      <c r="B20" s="645">
        <f>iSummary!P18</f>
        <v>1</v>
      </c>
      <c r="C20" s="645">
        <f>IF(B20=0,0,IF(uxb_works!$B$49,IF(G20&lt;$C$80,1,IF(G20&gt;$C$80,4,2)),IF(G20&lt;=$B$80,1,IF(G20&lt;=$B$81,2,(IF(G20&lt;=$B$82,3,4))))))</f>
        <v>4</v>
      </c>
      <c r="D20" s="646"/>
      <c r="E20" s="616">
        <f>iSummary!Q18</f>
        <v>11</v>
      </c>
      <c r="F20" s="681" t="str">
        <f ca="1">iSummary!R18&amp;iSummary!X18</f>
        <v>Frankfurt</v>
      </c>
      <c r="G20" s="682">
        <f>iSummary!S18</f>
        <v>84.86</v>
      </c>
      <c r="H20" s="637">
        <f ca="1">IF(iSummary!T18=0,"=",iSummary!T18)</f>
        <v>7.85</v>
      </c>
      <c r="I20" s="649" t="b">
        <f ca="1">iSummary!U18</f>
        <v>0</v>
      </c>
      <c r="J20" s="636">
        <f ca="1">IF(iSummary!V18=0,"=",iSummary!V18)</f>
        <v>5</v>
      </c>
      <c r="K20" s="650" t="b">
        <f ca="1">iSummary!W18</f>
        <v>0</v>
      </c>
      <c r="L20" s="693"/>
      <c r="M20" s="693">
        <f>iSummary!AG18</f>
        <v>1</v>
      </c>
      <c r="N20" s="645">
        <f>IF(M20=0,0,IF(uxb_works!$B$49,IF(R20&lt;$C$80,1,IF(R20&gt;$C$80,4,2)),IF(R20&lt;=$B$80,1,IF(R20&lt;=$B$81,2,(IF(R20&lt;=$B$82,3,4))))))</f>
        <v>4</v>
      </c>
      <c r="O20" s="615"/>
      <c r="P20" s="695">
        <f>iSummary!AH18</f>
        <v>11</v>
      </c>
      <c r="Q20" s="699" t="str">
        <f ca="1">iSummary!AI18&amp;iSummary!AO18</f>
        <v>Melbourne</v>
      </c>
      <c r="R20" s="700">
        <f>iSummary!AJ18</f>
        <v>83.32</v>
      </c>
      <c r="S20" s="637">
        <f ca="1">IF(iSummary!AK18=0,"=",iSummary!AK18)</f>
        <v>16.9</v>
      </c>
      <c r="T20" s="649" t="b">
        <f ca="1">iSummary!AL18</f>
        <v>0</v>
      </c>
      <c r="U20" s="636">
        <f ca="1">IF(iSummary!AM18=0,"=",iSummary!AM18)</f>
        <v>10</v>
      </c>
      <c r="V20" s="650" t="b">
        <f ca="1">iSummary!AN18</f>
        <v>0</v>
      </c>
      <c r="W20"/>
      <c r="X20" s="68">
        <f>iSummary!AX18</f>
        <v>1</v>
      </c>
      <c r="Y20" s="645">
        <f>IF(X20=0,0,IF(uxb_works!$B$49,IF(AC20&lt;$C$80,1,IF(AC20&gt;$C$80,4,2)),IF(AC20&lt;=$B$80,1,IF(AC20&lt;=$B$81,2,(IF(AC20&lt;=$B$82,3,4))))))</f>
        <v>4</v>
      </c>
      <c r="Z20" s="615"/>
      <c r="AA20" s="616">
        <f>iSummary!AY18</f>
        <v>11</v>
      </c>
      <c r="AB20" s="681" t="str">
        <f ca="1">iSummary!AZ18&amp;iSummary!BF18</f>
        <v>Toronto</v>
      </c>
      <c r="AC20" s="705">
        <f>iSummary!BA18</f>
        <v>79.84</v>
      </c>
      <c r="AD20" s="637">
        <f ca="1">IF(iSummary!BB18=0,"=",iSummary!BB18)</f>
        <v>7.51</v>
      </c>
      <c r="AE20" s="649" t="b">
        <f ca="1">iSummary!BC18</f>
        <v>0</v>
      </c>
      <c r="AF20" s="636">
        <f ca="1">IF(iSummary!BD18=0,"=",iSummary!BD18)</f>
        <v>9</v>
      </c>
      <c r="AG20" s="650" t="b">
        <f ca="1">iSummary!BE18</f>
        <v>0</v>
      </c>
      <c r="AH20" s="68"/>
      <c r="AI20" s="68">
        <f>iSummary!BO18</f>
        <v>1</v>
      </c>
      <c r="AJ20" s="645">
        <f>IF(AI20=0,0,IF(uxb_works!$B$49,IF(AN20&lt;$C$80,1,IF(AN20&gt;$C$80,4,2)),IF(AN20&lt;=$B$80,1,IF(AN20&lt;=$B$81,2,(IF(AN20&lt;=$B$82,3,4))))))</f>
        <v>4</v>
      </c>
      <c r="AK20" s="615"/>
      <c r="AL20" s="616">
        <f>iSummary!BP18</f>
        <v>11</v>
      </c>
      <c r="AM20" s="681" t="str">
        <f ca="1">iSummary!BQ18&amp;iSummary!BW18</f>
        <v>Osaka</v>
      </c>
      <c r="AN20" s="705">
        <f>iSummary!BR18</f>
        <v>94.61</v>
      </c>
      <c r="AO20" s="637">
        <f ca="1">IF(iSummary!BS18=0,"=",iSummary!BS18)</f>
        <v>6.47</v>
      </c>
      <c r="AP20" s="649" t="b">
        <f ca="1">iSummary!BT18</f>
        <v>0</v>
      </c>
      <c r="AQ20" s="636">
        <f ca="1">IF(iSummary!BU18=0,"=",iSummary!BU18)</f>
        <v>-3</v>
      </c>
      <c r="AR20" s="650" t="b">
        <f ca="1">iSummary!BV18</f>
        <v>0</v>
      </c>
      <c r="AS20" s="68"/>
      <c r="AT20" s="707">
        <f>iSummary!CF18</f>
        <v>1</v>
      </c>
      <c r="AU20" s="645">
        <f>IF(AT20=0,0,IF(uxb_works!$B$49,IF(AY20&lt;$C$80,1,IF(AY20&gt;$C$80,4,2)),IF(AY20&lt;=$B$80,1,IF(AY20&lt;=$B$81,2,(IF(AY20&lt;=$B$82,3,4))))))</f>
        <v>4</v>
      </c>
      <c r="AV20" s="615"/>
      <c r="AW20" s="616">
        <f>iSummary!CG18</f>
        <v>11</v>
      </c>
      <c r="AX20" s="681" t="str">
        <f ca="1">iSummary!CH18&amp;iSummary!CN18</f>
        <v>Frankfurt</v>
      </c>
      <c r="AY20" s="705">
        <f>iSummary!CI18</f>
        <v>86.7</v>
      </c>
      <c r="AZ20" s="637">
        <f ca="1">IF(iSummary!CJ18=0,"=",iSummary!CJ18)</f>
        <v>6.03</v>
      </c>
      <c r="BA20" s="649" t="b">
        <f ca="1">iSummary!CK18</f>
        <v>0</v>
      </c>
      <c r="BB20" s="708">
        <f ca="1">IF(iSummary!CL18=0,"=",iSummary!CL18)</f>
        <v>7</v>
      </c>
      <c r="BC20" s="650" t="b">
        <f ca="1">iSummary!CM18</f>
        <v>0</v>
      </c>
      <c r="BD20"/>
      <c r="BE20"/>
      <c r="BF20"/>
      <c r="BG20"/>
      <c r="BH20"/>
      <c r="BI20"/>
      <c r="BJ20"/>
      <c r="BK20"/>
      <c r="BL20"/>
      <c r="BM20"/>
      <c r="BN20"/>
      <c r="BO20"/>
      <c r="BP20"/>
      <c r="BQ20"/>
      <c r="BR20"/>
      <c r="BS20"/>
      <c r="BT20"/>
      <c r="BU20"/>
      <c r="BV20"/>
      <c r="BW20"/>
      <c r="BX20"/>
      <c r="BY20"/>
      <c r="BZ20"/>
      <c r="CA20"/>
    </row>
    <row r="21" s="70" customFormat="1" customHeight="1" spans="2:79">
      <c r="B21" s="645">
        <f>iSummary!P19</f>
        <v>1</v>
      </c>
      <c r="C21" s="645">
        <f>IF(B21=0,0,IF(uxb_works!$B$49,IF(G21&lt;$C$80,1,IF(G21&gt;$C$80,4,2)),IF(G21&lt;=$B$80,1,IF(G21&lt;=$B$81,2,(IF(G21&lt;=$B$82,3,4))))))</f>
        <v>4</v>
      </c>
      <c r="D21" s="646"/>
      <c r="E21" s="616">
        <f>iSummary!Q19</f>
        <v>12</v>
      </c>
      <c r="F21" s="681" t="str">
        <f ca="1">iSummary!R19&amp;iSummary!X19</f>
        <v>Madrid</v>
      </c>
      <c r="G21" s="682">
        <f>iSummary!S19</f>
        <v>83.88</v>
      </c>
      <c r="H21" s="637">
        <f ca="1">IF(iSummary!T19=0,"=",iSummary!T19)</f>
        <v>11.31</v>
      </c>
      <c r="I21" s="649" t="b">
        <f ca="1">iSummary!U19</f>
        <v>0</v>
      </c>
      <c r="J21" s="636">
        <f ca="1">IF(iSummary!V19=0,"=",iSummary!V19)</f>
        <v>13</v>
      </c>
      <c r="K21" s="650" t="b">
        <f ca="1">iSummary!W19</f>
        <v>0</v>
      </c>
      <c r="L21" s="693"/>
      <c r="M21" s="693">
        <f>iSummary!AG19</f>
        <v>1</v>
      </c>
      <c r="N21" s="645">
        <f>IF(M21=0,0,IF(uxb_works!$B$49,IF(R21&lt;$C$80,1,IF(R21&gt;$C$80,4,2)),IF(R21&lt;=$B$80,1,IF(R21&lt;=$B$81,2,(IF(R21&lt;=$B$82,3,4))))))</f>
        <v>4</v>
      </c>
      <c r="O21" s="615"/>
      <c r="P21" s="695">
        <f>iSummary!AH19</f>
        <v>12</v>
      </c>
      <c r="Q21" s="699" t="str">
        <f ca="1">iSummary!AI19&amp;iSummary!AO19</f>
        <v>Sydney</v>
      </c>
      <c r="R21" s="700">
        <f>iSummary!AJ19</f>
        <v>82.96</v>
      </c>
      <c r="S21" s="637">
        <f ca="1">IF(iSummary!AK19=0,"=",iSummary!AK19)</f>
        <v>11.48</v>
      </c>
      <c r="T21" s="649" t="b">
        <f ca="1">iSummary!AL19</f>
        <v>0</v>
      </c>
      <c r="U21" s="636">
        <f ca="1">IF(iSummary!AM19=0,"=",iSummary!AM19)</f>
        <v>-1</v>
      </c>
      <c r="V21" s="650" t="b">
        <f ca="1">iSummary!AN19</f>
        <v>0</v>
      </c>
      <c r="W21"/>
      <c r="X21" s="68">
        <f>iSummary!AX19</f>
        <v>1</v>
      </c>
      <c r="Y21" s="645">
        <f>IF(X21=0,0,IF(uxb_works!$B$49,IF(AC21&lt;$C$80,1,IF(AC21&gt;$C$80,4,2)),IF(AC21&lt;=$B$80,1,IF(AC21&lt;=$B$81,2,(IF(AC21&lt;=$B$82,3,4))))))</f>
        <v>4</v>
      </c>
      <c r="Z21" s="615"/>
      <c r="AA21" s="616">
        <f>iSummary!AY19</f>
        <v>12</v>
      </c>
      <c r="AB21" s="681" t="str">
        <f ca="1">iSummary!AZ19&amp;iSummary!BF19</f>
        <v>Amsterdam</v>
      </c>
      <c r="AC21" s="705">
        <f>iSummary!BA19</f>
        <v>79.79</v>
      </c>
      <c r="AD21" s="637">
        <f ca="1">IF(iSummary!BB19=0,"=",iSummary!BB19)</f>
        <v>3.75</v>
      </c>
      <c r="AE21" s="649" t="b">
        <f ca="1">iSummary!BC19</f>
        <v>0</v>
      </c>
      <c r="AF21" s="636">
        <f ca="1">IF(iSummary!BD19=0,"=",iSummary!BD19)</f>
        <v>1</v>
      </c>
      <c r="AG21" s="650" t="b">
        <f ca="1">iSummary!BE19</f>
        <v>0</v>
      </c>
      <c r="AH21" s="68"/>
      <c r="AI21" s="68">
        <f>iSummary!BO19</f>
        <v>1</v>
      </c>
      <c r="AJ21" s="645">
        <f>IF(AI21=0,0,IF(uxb_works!$B$49,IF(AN21&lt;$C$80,1,IF(AN21&gt;$C$80,4,2)),IF(AN21&lt;=$B$80,1,IF(AN21&lt;=$B$81,2,(IF(AN21&lt;=$B$82,3,4))))))</f>
        <v>4</v>
      </c>
      <c r="AK21" s="615"/>
      <c r="AL21" s="616">
        <f>iSummary!BP19</f>
        <v>12</v>
      </c>
      <c r="AM21" s="681" t="str">
        <f ca="1">iSummary!BQ19&amp;iSummary!BW19</f>
        <v>Tokyo</v>
      </c>
      <c r="AN21" s="705">
        <f>iSummary!BR19</f>
        <v>93.59</v>
      </c>
      <c r="AO21" s="637">
        <f ca="1">IF(iSummary!BS19=0,"=",iSummary!BS19)</f>
        <v>2.19</v>
      </c>
      <c r="AP21" s="649" t="b">
        <f ca="1">iSummary!BT19</f>
        <v>0</v>
      </c>
      <c r="AQ21" s="636">
        <f ca="1">IF(iSummary!BU19=0,"=",iSummary!BU19)</f>
        <v>-7</v>
      </c>
      <c r="AR21" s="650" t="b">
        <f ca="1">iSummary!BV19</f>
        <v>0</v>
      </c>
      <c r="AS21" s="68"/>
      <c r="AT21" s="707">
        <f>iSummary!CF19</f>
        <v>1</v>
      </c>
      <c r="AU21" s="645">
        <f>IF(AT21=0,0,IF(uxb_works!$B$49,IF(AY21&lt;$C$80,1,IF(AY21&gt;$C$80,4,2)),IF(AY21&lt;=$B$80,1,IF(AY21&lt;=$B$81,2,(IF(AY21&lt;=$B$82,3,4))))))</f>
        <v>4</v>
      </c>
      <c r="AV21" s="615"/>
      <c r="AW21" s="616">
        <f>iSummary!CG19</f>
        <v>12</v>
      </c>
      <c r="AX21" s="681" t="str">
        <f ca="1">iSummary!CH19&amp;iSummary!CN19</f>
        <v>Sydney</v>
      </c>
      <c r="AY21" s="705">
        <f>iSummary!CI19</f>
        <v>86.46</v>
      </c>
      <c r="AZ21" s="637">
        <f ca="1">IF(iSummary!CJ19=0,"=",iSummary!CJ19)</f>
        <v>-2.12</v>
      </c>
      <c r="BA21" s="649" t="b">
        <f ca="1">iSummary!CK19</f>
        <v>0</v>
      </c>
      <c r="BB21" s="708">
        <f ca="1">IF(iSummary!CL19=0,"=",iSummary!CL19)</f>
        <v>-2</v>
      </c>
      <c r="BC21" s="650" t="b">
        <f ca="1">iSummary!CM19</f>
        <v>0</v>
      </c>
      <c r="BD21"/>
      <c r="BE21"/>
      <c r="BF21"/>
      <c r="BG21"/>
      <c r="BH21"/>
      <c r="BI21"/>
      <c r="BJ21"/>
      <c r="BK21"/>
      <c r="BL21"/>
      <c r="BM21"/>
      <c r="BN21"/>
      <c r="BO21"/>
      <c r="BP21"/>
      <c r="BQ21"/>
      <c r="BR21"/>
      <c r="BS21"/>
      <c r="BT21"/>
      <c r="BU21"/>
      <c r="BV21"/>
      <c r="BW21"/>
      <c r="BX21"/>
      <c r="BY21"/>
      <c r="BZ21"/>
      <c r="CA21"/>
    </row>
    <row r="22" s="70" customFormat="1" customHeight="1" spans="2:79">
      <c r="B22" s="645">
        <f>iSummary!P20</f>
        <v>1</v>
      </c>
      <c r="C22" s="645">
        <f>IF(B22=0,0,IF(uxb_works!$B$49,IF(G22&lt;$C$80,1,IF(G22&gt;$C$80,4,2)),IF(G22&lt;=$B$80,1,IF(G22&lt;=$B$81,2,(IF(G22&lt;=$B$82,3,4))))))</f>
        <v>4</v>
      </c>
      <c r="D22" s="646"/>
      <c r="E22" s="616">
        <f>iSummary!Q20</f>
        <v>13</v>
      </c>
      <c r="F22" s="681" t="str">
        <f ca="1">iSummary!R20&amp;iSummary!X20</f>
        <v>Barcelona</v>
      </c>
      <c r="G22" s="682">
        <f>iSummary!S20</f>
        <v>83.71</v>
      </c>
      <c r="H22" s="637">
        <f ca="1">IF(iSummary!T20=0,"=",iSummary!T20)</f>
        <v>6.32</v>
      </c>
      <c r="I22" s="649" t="b">
        <f ca="1">iSummary!U20</f>
        <v>0</v>
      </c>
      <c r="J22" s="636">
        <f ca="1">IF(iSummary!V20=0,"=",iSummary!V20)</f>
        <v>2</v>
      </c>
      <c r="K22" s="650" t="b">
        <f ca="1">iSummary!W20</f>
        <v>0</v>
      </c>
      <c r="L22" s="693"/>
      <c r="M22" s="693">
        <f>iSummary!AG20</f>
        <v>1</v>
      </c>
      <c r="N22" s="645">
        <f>IF(M22=0,0,IF(uxb_works!$B$49,IF(R22&lt;$C$80,1,IF(R22&gt;$C$80,4,2)),IF(R22&lt;=$B$80,1,IF(R22&lt;=$B$81,2,(IF(R22&lt;=$B$82,3,4))))))</f>
        <v>4</v>
      </c>
      <c r="O22" s="615"/>
      <c r="P22" s="695">
        <f>iSummary!AH20</f>
        <v>13</v>
      </c>
      <c r="Q22" s="699" t="str">
        <f ca="1">iSummary!AI20&amp;iSummary!AO20</f>
        <v>Stockholm</v>
      </c>
      <c r="R22" s="700">
        <f>iSummary!AJ20</f>
        <v>82.81</v>
      </c>
      <c r="S22" s="637">
        <f ca="1">IF(iSummary!AK20=0,"=",iSummary!AK20)</f>
        <v>15.99</v>
      </c>
      <c r="T22" s="649" t="b">
        <f ca="1">iSummary!AL20</f>
        <v>0</v>
      </c>
      <c r="U22" s="636">
        <f ca="1">IF(iSummary!AM20=0,"=",iSummary!AM20)</f>
        <v>6</v>
      </c>
      <c r="V22" s="650" t="b">
        <f ca="1">iSummary!AN20</f>
        <v>0</v>
      </c>
      <c r="W22"/>
      <c r="X22" s="68">
        <f>iSummary!AX20</f>
        <v>1</v>
      </c>
      <c r="Y22" s="645">
        <f>IF(X22=0,0,IF(uxb_works!$B$49,IF(AC22&lt;$C$80,1,IF(AC22&gt;$C$80,4,2)),IF(AC22&lt;=$B$80,1,IF(AC22&lt;=$B$81,2,(IF(AC22&lt;=$B$82,3,4))))))</f>
        <v>4</v>
      </c>
      <c r="Z22" s="615"/>
      <c r="AA22" s="616">
        <f>iSummary!AY20</f>
        <v>13</v>
      </c>
      <c r="AB22" s="681" t="str">
        <f ca="1">iSummary!AZ20&amp;iSummary!BF20</f>
        <v>Singapore</v>
      </c>
      <c r="AC22" s="705">
        <f>iSummary!BA20</f>
        <v>79.72</v>
      </c>
      <c r="AD22" s="637">
        <f ca="1">IF(iSummary!BB20=0,"=",iSummary!BB20)</f>
        <v>2.76</v>
      </c>
      <c r="AE22" s="649" t="b">
        <f ca="1">iSummary!BC20</f>
        <v>0</v>
      </c>
      <c r="AF22" s="636">
        <f ca="1">IF(iSummary!BD20=0,"=",iSummary!BD20)</f>
        <v>-1</v>
      </c>
      <c r="AG22" s="650" t="b">
        <f ca="1">iSummary!BE20</f>
        <v>0</v>
      </c>
      <c r="AH22" s="68"/>
      <c r="AI22" s="68">
        <f>iSummary!BO20</f>
        <v>1</v>
      </c>
      <c r="AJ22" s="645">
        <f>IF(AI22=0,0,IF(uxb_works!$B$49,IF(AN22&lt;$C$80,1,IF(AN22&gt;$C$80,4,2)),IF(AN22&lt;=$B$80,1,IF(AN22&lt;=$B$81,2,(IF(AN22&lt;=$B$82,3,4))))))</f>
        <v>4</v>
      </c>
      <c r="AK22" s="615"/>
      <c r="AL22" s="616">
        <f>iSummary!BP20</f>
        <v>13</v>
      </c>
      <c r="AM22" s="681" t="str">
        <f ca="1">iSummary!BQ20&amp;iSummary!BW20</f>
        <v>London</v>
      </c>
      <c r="AN22" s="705">
        <f>iSummary!BR20</f>
        <v>93.44</v>
      </c>
      <c r="AO22" s="637">
        <f ca="1">IF(iSummary!BS20=0,"=",iSummary!BS20)</f>
        <v>22.82</v>
      </c>
      <c r="AP22" s="649" t="b">
        <f ca="1">iSummary!BT20</f>
        <v>0</v>
      </c>
      <c r="AQ22" s="636">
        <f ca="1">IF(iSummary!BU20=0,"=",iSummary!BU20)</f>
        <v>24</v>
      </c>
      <c r="AR22" s="650" t="b">
        <f ca="1">iSummary!BV20</f>
        <v>0</v>
      </c>
      <c r="AS22" s="68"/>
      <c r="AT22" s="707">
        <f>iSummary!CF20</f>
        <v>1</v>
      </c>
      <c r="AU22" s="645">
        <f>IF(AT22=0,0,IF(uxb_works!$B$49,IF(AY22&lt;$C$80,1,IF(AY22&gt;$C$80,4,2)),IF(AY22&lt;=$B$80,1,IF(AY22&lt;=$B$81,2,(IF(AY22&lt;=$B$82,3,4))))))</f>
        <v>4</v>
      </c>
      <c r="AV22" s="615"/>
      <c r="AW22" s="616">
        <f>iSummary!CG20</f>
        <v>13</v>
      </c>
      <c r="AX22" s="681" t="str">
        <f ca="1">iSummary!CH20&amp;iSummary!CN20</f>
        <v>Doha</v>
      </c>
      <c r="AY22" s="705">
        <f>iSummary!CI20</f>
        <v>86.04</v>
      </c>
      <c r="AZ22" s="637">
        <f ca="1">IF(iSummary!CJ20=0,"=",iSummary!CJ20)</f>
        <v>3.38</v>
      </c>
      <c r="BA22" s="649" t="b">
        <f ca="1">iSummary!CK20</f>
        <v>0</v>
      </c>
      <c r="BB22" s="708">
        <f ca="1">IF(iSummary!CL20=0,"=",iSummary!CL20)</f>
        <v>1</v>
      </c>
      <c r="BC22" s="650" t="b">
        <f ca="1">iSummary!CM20</f>
        <v>0</v>
      </c>
      <c r="BD22"/>
      <c r="BE22"/>
      <c r="BF22"/>
      <c r="BG22"/>
      <c r="BH22"/>
      <c r="BI22"/>
      <c r="BJ22"/>
      <c r="BK22"/>
      <c r="BL22"/>
      <c r="BM22"/>
      <c r="BN22"/>
      <c r="BO22"/>
      <c r="BP22"/>
      <c r="BQ22"/>
      <c r="BR22"/>
      <c r="BS22"/>
      <c r="BT22"/>
      <c r="BU22"/>
      <c r="BV22"/>
      <c r="BW22"/>
      <c r="BX22"/>
      <c r="BY22"/>
      <c r="BZ22"/>
      <c r="CA22"/>
    </row>
    <row r="23" s="70" customFormat="1" customHeight="1" spans="2:79">
      <c r="B23" s="645">
        <f>iSummary!P21</f>
        <v>1</v>
      </c>
      <c r="C23" s="645">
        <f>IF(B23=0,0,IF(uxb_works!$B$49,IF(G23&lt;$C$80,1,IF(G23&gt;$C$80,4,2)),IF(G23&lt;=$B$80,1,IF(G23&lt;=$B$81,2,(IF(G23&lt;=$B$82,3,4))))))</f>
        <v>4</v>
      </c>
      <c r="D23" s="646"/>
      <c r="E23" s="616">
        <f>iSummary!Q21</f>
        <v>14</v>
      </c>
      <c r="F23" s="681" t="str">
        <f ca="1">iSummary!R21&amp;iSummary!X21</f>
        <v>Seoul</v>
      </c>
      <c r="G23" s="682">
        <f>iSummary!S21</f>
        <v>83.61</v>
      </c>
      <c r="H23" s="637">
        <f ca="1">IF(iSummary!T21=0,"=",iSummary!T21)</f>
        <v>9.7</v>
      </c>
      <c r="I23" s="649" t="b">
        <f ca="1">iSummary!U21</f>
        <v>0</v>
      </c>
      <c r="J23" s="636">
        <f ca="1">IF(iSummary!V21=0,"=",iSummary!V21)</f>
        <v>6</v>
      </c>
      <c r="K23" s="650" t="b">
        <f ca="1">iSummary!W21</f>
        <v>0</v>
      </c>
      <c r="L23" s="693"/>
      <c r="M23" s="693">
        <f>iSummary!AG21</f>
        <v>1</v>
      </c>
      <c r="N23" s="645">
        <f>IF(M23=0,0,IF(uxb_works!$B$49,IF(R23&lt;$C$80,1,IF(R23&gt;$C$80,4,2)),IF(R23&lt;=$B$80,1,IF(R23&lt;=$B$81,2,(IF(R23&lt;=$B$82,3,4))))))</f>
        <v>4</v>
      </c>
      <c r="O23" s="615"/>
      <c r="P23" s="695">
        <f>iSummary!AH21</f>
        <v>14</v>
      </c>
      <c r="Q23" s="699" t="str">
        <f ca="1">iSummary!AI21&amp;iSummary!AO21</f>
        <v>Osaka</v>
      </c>
      <c r="R23" s="700">
        <f>iSummary!AJ21</f>
        <v>82.11</v>
      </c>
      <c r="S23" s="637">
        <f ca="1">IF(iSummary!AK21=0,"=",iSummary!AK21)</f>
        <v>8.61</v>
      </c>
      <c r="T23" s="649" t="b">
        <f ca="1">iSummary!AL21</f>
        <v>0</v>
      </c>
      <c r="U23" s="636">
        <f ca="1">IF(iSummary!AM21=0,"=",iSummary!AM21)</f>
        <v>-6</v>
      </c>
      <c r="V23" s="650" t="b">
        <f ca="1">iSummary!AN21</f>
        <v>0</v>
      </c>
      <c r="W23"/>
      <c r="X23" s="68">
        <f>iSummary!AX21</f>
        <v>1</v>
      </c>
      <c r="Y23" s="645">
        <f>IF(X23=0,0,IF(uxb_works!$B$49,IF(AC23&lt;$C$80,1,IF(AC23&gt;$C$80,4,2)),IF(AC23&lt;=$B$80,1,IF(AC23&lt;=$B$81,2,(IF(AC23&lt;=$B$82,3,4))))))</f>
        <v>4</v>
      </c>
      <c r="Z23" s="615"/>
      <c r="AA23" s="616">
        <f>iSummary!AY21</f>
        <v>14</v>
      </c>
      <c r="AB23" s="681" t="str">
        <f ca="1">iSummary!AZ21&amp;iSummary!BF21</f>
        <v>Taipei</v>
      </c>
      <c r="AC23" s="705">
        <f>iSummary!BA21</f>
        <v>79.23</v>
      </c>
      <c r="AD23" s="637">
        <f ca="1">IF(iSummary!BB21=0,"=",iSummary!BB21)</f>
        <v>0.48</v>
      </c>
      <c r="AE23" s="649" t="b">
        <f ca="1">iSummary!BC21</f>
        <v>0</v>
      </c>
      <c r="AF23" s="636">
        <f ca="1">IF(iSummary!BD21=0,"=",iSummary!BD21)</f>
        <v>-9</v>
      </c>
      <c r="AG23" s="650" t="b">
        <f ca="1">iSummary!BE21</f>
        <v>0</v>
      </c>
      <c r="AH23" s="68"/>
      <c r="AI23" s="68">
        <f>iSummary!BO21</f>
        <v>1</v>
      </c>
      <c r="AJ23" s="645">
        <f>IF(AI23=0,0,IF(uxb_works!$B$49,IF(AN23&lt;$C$80,1,IF(AN23&gt;$C$80,4,2)),IF(AN23&lt;=$B$80,1,IF(AN23&lt;=$B$81,2,(IF(AN23&lt;=$B$82,3,4))))))</f>
        <v>4</v>
      </c>
      <c r="AK23" s="615"/>
      <c r="AL23" s="616">
        <f>iSummary!BP21</f>
        <v>14</v>
      </c>
      <c r="AM23" s="681" t="str">
        <f ca="1">iSummary!BQ21&amp;iSummary!BW21</f>
        <v>Toronto</v>
      </c>
      <c r="AN23" s="705">
        <f>iSummary!BR21</f>
        <v>92.75</v>
      </c>
      <c r="AO23" s="637">
        <f ca="1">IF(iSummary!BS21=0,"=",iSummary!BS21)</f>
        <v>3.68</v>
      </c>
      <c r="AP23" s="649" t="b">
        <f ca="1">iSummary!BT21</f>
        <v>0</v>
      </c>
      <c r="AQ23" s="636">
        <f ca="1">IF(iSummary!BU21=0,"=",iSummary!BU21)</f>
        <v>-7</v>
      </c>
      <c r="AR23" s="650" t="b">
        <f ca="1">iSummary!BV21</f>
        <v>0</v>
      </c>
      <c r="AS23" s="68"/>
      <c r="AT23" s="707">
        <f>iSummary!CF21</f>
        <v>1</v>
      </c>
      <c r="AU23" s="645">
        <f>IF(AT23=0,0,IF(uxb_works!$B$49,IF(AY23&lt;$C$80,1,IF(AY23&gt;$C$80,4,2)),IF(AY23&lt;=$B$80,1,IF(AY23&lt;=$B$81,2,(IF(AY23&lt;=$B$82,3,4))))))</f>
        <v>4</v>
      </c>
      <c r="AV23" s="615"/>
      <c r="AW23" s="616">
        <f>iSummary!CG21</f>
        <v>14</v>
      </c>
      <c r="AX23" s="681" t="str">
        <f ca="1">iSummary!CH21&amp;iSummary!CN21</f>
        <v>Madrid</v>
      </c>
      <c r="AY23" s="705">
        <f>iSummary!CI21</f>
        <v>85.61</v>
      </c>
      <c r="AZ23" s="637">
        <f ca="1">IF(iSummary!CJ21=0,"=",iSummary!CJ21)</f>
        <v>18.37</v>
      </c>
      <c r="BA23" s="649" t="b">
        <f ca="1">iSummary!CK21</f>
        <v>0</v>
      </c>
      <c r="BB23" s="708">
        <f ca="1">IF(iSummary!CL21=0,"=",iSummary!CL21)</f>
        <v>16</v>
      </c>
      <c r="BC23" s="650" t="b">
        <f ca="1">iSummary!CM21</f>
        <v>0</v>
      </c>
      <c r="BD23"/>
      <c r="BE23"/>
      <c r="BF23"/>
      <c r="BG23"/>
      <c r="BH23"/>
      <c r="BI23"/>
      <c r="BJ23"/>
      <c r="BK23"/>
      <c r="BL23"/>
      <c r="BM23"/>
      <c r="BN23"/>
      <c r="BO23"/>
      <c r="BP23"/>
      <c r="BQ23"/>
      <c r="BR23"/>
      <c r="BS23"/>
      <c r="BT23"/>
      <c r="BU23"/>
      <c r="BV23"/>
      <c r="BW23"/>
      <c r="BX23"/>
      <c r="BY23"/>
      <c r="BZ23"/>
      <c r="CA23"/>
    </row>
    <row r="24" s="70" customFormat="1" customHeight="1" spans="2:79">
      <c r="B24" s="645">
        <f>iSummary!P22</f>
        <v>1</v>
      </c>
      <c r="C24" s="645">
        <f>IF(B24=0,0,IF(uxb_works!$B$49,IF(G24&lt;$C$80,1,IF(G24&gt;$C$80,4,2)),IF(G24&lt;=$B$80,1,IF(G24&lt;=$B$81,2,(IF(G24&lt;=$B$82,3,4))))))</f>
        <v>4</v>
      </c>
      <c r="D24" s="646"/>
      <c r="E24" s="616">
        <f>iSummary!Q22</f>
        <v>15</v>
      </c>
      <c r="F24" s="681" t="str">
        <f ca="1">iSummary!R22&amp;iSummary!X22</f>
        <v>San Francisco</v>
      </c>
      <c r="G24" s="682">
        <f>iSummary!S22</f>
        <v>83.55</v>
      </c>
      <c r="H24" s="637">
        <f ca="1">IF(iSummary!T22=0,"=",iSummary!T22)</f>
        <v>4.23</v>
      </c>
      <c r="I24" s="649" t="b">
        <f ca="1">iSummary!U22</f>
        <v>0</v>
      </c>
      <c r="J24" s="636">
        <f ca="1">IF(iSummary!V22=0,"=",iSummary!V22)</f>
        <v>-4</v>
      </c>
      <c r="K24" s="650" t="b">
        <f ca="1">iSummary!W22</f>
        <v>0</v>
      </c>
      <c r="L24" s="693"/>
      <c r="M24" s="693">
        <f>iSummary!AG22</f>
        <v>1</v>
      </c>
      <c r="N24" s="645">
        <f>IF(M24=0,0,IF(uxb_works!$B$49,IF(R24&lt;$C$80,1,IF(R24&gt;$C$80,4,2)),IF(R24&lt;=$B$80,1,IF(R24&lt;=$B$81,2,(IF(R24&lt;=$B$82,3,4))))))</f>
        <v>4</v>
      </c>
      <c r="O24" s="615"/>
      <c r="P24" s="695">
        <f>iSummary!AH22</f>
        <v>15</v>
      </c>
      <c r="Q24" s="699" t="str">
        <f ca="1">iSummary!AI22&amp;iSummary!AO22</f>
        <v>Washington DC</v>
      </c>
      <c r="R24" s="700">
        <f>iSummary!AJ22</f>
        <v>80.88</v>
      </c>
      <c r="S24" s="637">
        <f ca="1">IF(iSummary!AK22=0,"=",iSummary!AK22)</f>
        <v>14.39</v>
      </c>
      <c r="T24" s="649" t="b">
        <f ca="1">iSummary!AL22</f>
        <v>0</v>
      </c>
      <c r="U24" s="636">
        <f ca="1">IF(iSummary!AM22=0,"=",iSummary!AM22)</f>
        <v>5</v>
      </c>
      <c r="V24" s="650" t="b">
        <f ca="1">iSummary!AN22</f>
        <v>0</v>
      </c>
      <c r="W24"/>
      <c r="X24" s="68">
        <f>iSummary!AX22</f>
        <v>1</v>
      </c>
      <c r="Y24" s="645">
        <f>IF(X24=0,0,IF(uxb_works!$B$49,IF(AC24&lt;$C$80,1,IF(AC24&gt;$C$80,4,2)),IF(AC24&lt;=$B$80,1,IF(AC24&lt;=$B$81,2,(IF(AC24&lt;=$B$82,3,4))))))</f>
        <v>4</v>
      </c>
      <c r="Z24" s="615"/>
      <c r="AA24" s="616">
        <f>iSummary!AY22</f>
        <v>15</v>
      </c>
      <c r="AB24" s="681" t="str">
        <f ca="1">iSummary!AZ22&amp;iSummary!BF22</f>
        <v>Madrid</v>
      </c>
      <c r="AC24" s="705">
        <f>iSummary!BA22</f>
        <v>78.69</v>
      </c>
      <c r="AD24" s="637">
        <f ca="1">IF(iSummary!BB22=0,"=",iSummary!BB22)</f>
        <v>1.71</v>
      </c>
      <c r="AE24" s="649" t="b">
        <f ca="1">iSummary!BC22</f>
        <v>0</v>
      </c>
      <c r="AF24" s="636">
        <f ca="1">IF(iSummary!BD22=0,"=",iSummary!BD22)</f>
        <v>-4</v>
      </c>
      <c r="AG24" s="650" t="b">
        <f ca="1">iSummary!BE22</f>
        <v>0</v>
      </c>
      <c r="AH24" s="68"/>
      <c r="AI24" s="68">
        <f>iSummary!BO22</f>
        <v>1</v>
      </c>
      <c r="AJ24" s="645">
        <f>IF(AI24=0,0,IF(uxb_works!$B$49,IF(AN24&lt;$C$80,1,IF(AN24&gt;$C$80,4,2)),IF(AN24&lt;=$B$80,1,IF(AN24&lt;=$B$81,2,(IF(AN24&lt;=$B$82,3,4))))))</f>
        <v>4</v>
      </c>
      <c r="AK24" s="615"/>
      <c r="AL24" s="616">
        <f>iSummary!BP22</f>
        <v>15</v>
      </c>
      <c r="AM24" s="681" t="str">
        <f ca="1">iSummary!BQ22&amp;iSummary!BW22</f>
        <v>Rome</v>
      </c>
      <c r="AN24" s="705">
        <f>iSummary!BR22</f>
        <v>92.31</v>
      </c>
      <c r="AO24" s="637">
        <f ca="1">IF(iSummary!BS22=0,"=",iSummary!BS22)</f>
        <v>6.76</v>
      </c>
      <c r="AP24" s="649" t="b">
        <f ca="1">iSummary!BT22</f>
        <v>0</v>
      </c>
      <c r="AQ24" s="636">
        <f ca="1">IF(iSummary!BU22=0,"=",iSummary!BU22)</f>
        <v>2</v>
      </c>
      <c r="AR24" s="650" t="b">
        <f ca="1">iSummary!BV22</f>
        <v>0</v>
      </c>
      <c r="AS24" s="68"/>
      <c r="AT24" s="707">
        <f>iSummary!CF22</f>
        <v>1</v>
      </c>
      <c r="AU24" s="645">
        <f>IF(AT24=0,0,IF(uxb_works!$B$49,IF(AY24&lt;$C$80,1,IF(AY24&gt;$C$80,4,2)),IF(AY24&lt;=$B$80,1,IF(AY24&lt;=$B$81,2,(IF(AY24&lt;=$B$82,3,4))))))</f>
        <v>4</v>
      </c>
      <c r="AV24" s="615"/>
      <c r="AW24" s="616">
        <f>iSummary!CG22</f>
        <v>15</v>
      </c>
      <c r="AX24" s="681" t="str">
        <f ca="1">iSummary!CH22&amp;iSummary!CN22</f>
        <v>London</v>
      </c>
      <c r="AY24" s="705">
        <f>iSummary!CI22</f>
        <v>85.52</v>
      </c>
      <c r="AZ24" s="637">
        <f ca="1">IF(iSummary!CJ22=0,"=",iSummary!CJ22)</f>
        <v>5.22</v>
      </c>
      <c r="BA24" s="649" t="b">
        <f ca="1">iSummary!CK22</f>
        <v>0</v>
      </c>
      <c r="BB24" s="708">
        <f ca="1">IF(iSummary!CL22=0,"=",iSummary!CL22)</f>
        <v>4</v>
      </c>
      <c r="BC24" s="650" t="b">
        <f ca="1">iSummary!CM22</f>
        <v>0</v>
      </c>
      <c r="BD24"/>
      <c r="BE24"/>
      <c r="BF24"/>
      <c r="BG24"/>
      <c r="BH24"/>
      <c r="BI24"/>
      <c r="BJ24"/>
      <c r="BK24"/>
      <c r="BL24"/>
      <c r="BM24"/>
      <c r="BN24"/>
      <c r="BO24"/>
      <c r="BP24"/>
      <c r="BQ24"/>
      <c r="BR24"/>
      <c r="BS24"/>
      <c r="BT24"/>
      <c r="BU24"/>
      <c r="BV24"/>
      <c r="BW24"/>
      <c r="BX24"/>
      <c r="BY24"/>
      <c r="BZ24"/>
      <c r="CA24"/>
    </row>
    <row r="25" s="70" customFormat="1" customHeight="1" spans="2:79">
      <c r="B25" s="645">
        <f>iSummary!P23</f>
        <v>1</v>
      </c>
      <c r="C25" s="645">
        <f>IF(B25=0,0,IF(uxb_works!$B$49,IF(G25&lt;$C$80,1,IF(G25&gt;$C$80,4,2)),IF(G25&lt;=$B$80,1,IF(G25&lt;=$B$81,2,(IF(G25&lt;=$B$82,3,4))))))</f>
        <v>4</v>
      </c>
      <c r="D25" s="646"/>
      <c r="E25" s="616">
        <f>iSummary!Q23</f>
        <v>16</v>
      </c>
      <c r="F25" s="681" t="str">
        <f ca="1">iSummary!R23&amp;iSummary!X23</f>
        <v>Wellington *</v>
      </c>
      <c r="G25" s="682">
        <f>iSummary!S23</f>
        <v>83.18</v>
      </c>
      <c r="H25" s="637" t="str">
        <f ca="1">IF(iSummary!T23=0,"=",iSummary!T23)</f>
        <v/>
      </c>
      <c r="I25" s="649" t="b">
        <f ca="1">iSummary!U23</f>
        <v>0</v>
      </c>
      <c r="J25" s="636" t="str">
        <f ca="1">IF(iSummary!V23=0,"=",iSummary!V23)</f>
        <v/>
      </c>
      <c r="K25" s="650" t="b">
        <f ca="1">iSummary!W23</f>
        <v>0</v>
      </c>
      <c r="L25" s="693"/>
      <c r="M25" s="693">
        <f>iSummary!AG23</f>
        <v>1</v>
      </c>
      <c r="N25" s="645">
        <f>IF(M25=0,0,IF(uxb_works!$B$49,IF(R25&lt;$C$80,1,IF(R25&gt;$C$80,4,2)),IF(R25&lt;=$B$80,1,IF(R25&lt;=$B$81,2,(IF(R25&lt;=$B$82,3,4))))))</f>
        <v>4</v>
      </c>
      <c r="O25" s="615"/>
      <c r="P25" s="695">
        <f>iSummary!AH23</f>
        <v>16</v>
      </c>
      <c r="Q25" s="699" t="str">
        <f ca="1">iSummary!AI23&amp;iSummary!AO23</f>
        <v>Frankfurt</v>
      </c>
      <c r="R25" s="700">
        <f>iSummary!AJ23</f>
        <v>80.5</v>
      </c>
      <c r="S25" s="637">
        <f ca="1">IF(iSummary!AK23=0,"=",iSummary!AK23)</f>
        <v>17.55</v>
      </c>
      <c r="T25" s="649" t="b">
        <f ca="1">iSummary!AL23</f>
        <v>0</v>
      </c>
      <c r="U25" s="636">
        <f ca="1">IF(iSummary!AM23=0,"=",iSummary!AM23)</f>
        <v>7</v>
      </c>
      <c r="V25" s="650" t="b">
        <f ca="1">iSummary!AN23</f>
        <v>0</v>
      </c>
      <c r="W25"/>
      <c r="X25" s="68">
        <f>iSummary!AX23</f>
        <v>1</v>
      </c>
      <c r="Y25" s="645">
        <f>IF(X25=0,0,IF(uxb_works!$B$49,IF(AC25&lt;$C$80,1,IF(AC25&gt;$C$80,4,2)),IF(AC25&lt;=$B$80,1,IF(AC25&lt;=$B$81,2,(IF(AC25&lt;=$B$82,3,4))))))</f>
        <v>4</v>
      </c>
      <c r="Z25" s="615"/>
      <c r="AA25" s="616">
        <f>iSummary!AY23</f>
        <v>16</v>
      </c>
      <c r="AB25" s="681" t="str">
        <f ca="1">iSummary!AZ23&amp;iSummary!BF23</f>
        <v>Barcelona</v>
      </c>
      <c r="AC25" s="705">
        <f>iSummary!BA23</f>
        <v>78.54</v>
      </c>
      <c r="AD25" s="637">
        <f ca="1">IF(iSummary!BB23=0,"=",iSummary!BB23)</f>
        <v>1.04</v>
      </c>
      <c r="AE25" s="649" t="b">
        <f ca="1">iSummary!BC23</f>
        <v>0</v>
      </c>
      <c r="AF25" s="636">
        <f ca="1">IF(iSummary!BD23=0,"=",iSummary!BD23)</f>
        <v>-6</v>
      </c>
      <c r="AG25" s="650" t="b">
        <f ca="1">iSummary!BE23</f>
        <v>0</v>
      </c>
      <c r="AH25" s="68"/>
      <c r="AI25" s="68">
        <f>iSummary!BO23</f>
        <v>1</v>
      </c>
      <c r="AJ25" s="645">
        <f>IF(AI25=0,0,IF(uxb_works!$B$49,IF(AN25&lt;$C$80,1,IF(AN25&gt;$C$80,4,2)),IF(AN25&lt;=$B$80,1,IF(AN25&lt;=$B$81,2,(IF(AN25&lt;=$B$82,3,4))))))</f>
        <v>4</v>
      </c>
      <c r="AK25" s="615"/>
      <c r="AL25" s="616">
        <f>iSummary!BP23</f>
        <v>16</v>
      </c>
      <c r="AM25" s="681" t="str">
        <f ca="1">iSummary!BQ23&amp;iSummary!BW23</f>
        <v>Abu Dhabi</v>
      </c>
      <c r="AN25" s="705">
        <f>iSummary!BR23</f>
        <v>91.36</v>
      </c>
      <c r="AO25" s="637">
        <f ca="1">IF(iSummary!BS23=0,"=",iSummary!BS23)</f>
        <v>3.77</v>
      </c>
      <c r="AP25" s="649" t="b">
        <f ca="1">iSummary!BT23</f>
        <v>0</v>
      </c>
      <c r="AQ25" s="636">
        <f ca="1">IF(iSummary!BU23=0,"=",iSummary!BU23)</f>
        <v>-5</v>
      </c>
      <c r="AR25" s="650" t="b">
        <f ca="1">iSummary!BV23</f>
        <v>0</v>
      </c>
      <c r="AS25" s="68"/>
      <c r="AT25" s="707">
        <f>iSummary!CF23</f>
        <v>1</v>
      </c>
      <c r="AU25" s="645">
        <f>IF(AT25=0,0,IF(uxb_works!$B$49,IF(AY25&lt;$C$80,1,IF(AY25&gt;$C$80,4,2)),IF(AY25&lt;=$B$80,1,IF(AY25&lt;=$B$81,2,(IF(AY25&lt;=$B$82,3,4))))))</f>
        <v>4</v>
      </c>
      <c r="AV25" s="615"/>
      <c r="AW25" s="616">
        <f>iSummary!CG23</f>
        <v>16</v>
      </c>
      <c r="AX25" s="681" t="str">
        <f ca="1">iSummary!CH23&amp;iSummary!CN23</f>
        <v>Seoul</v>
      </c>
      <c r="AY25" s="705">
        <f>iSummary!CI23</f>
        <v>85.34</v>
      </c>
      <c r="AZ25" s="637">
        <f ca="1">IF(iSummary!CJ23=0,"=",iSummary!CJ23)</f>
        <v>9.27</v>
      </c>
      <c r="BA25" s="649" t="b">
        <f ca="1">iSummary!CK23</f>
        <v>0</v>
      </c>
      <c r="BB25" s="708">
        <f ca="1">IF(iSummary!CL23=0,"=",iSummary!CL23)</f>
        <v>6</v>
      </c>
      <c r="BC25" s="650" t="b">
        <f ca="1">iSummary!CM23</f>
        <v>0</v>
      </c>
      <c r="BD25"/>
      <c r="BE25"/>
      <c r="BF25"/>
      <c r="BG25"/>
      <c r="BH25"/>
      <c r="BI25"/>
      <c r="BJ25"/>
      <c r="BK25"/>
      <c r="BL25"/>
      <c r="BM25"/>
      <c r="BN25"/>
      <c r="BO25"/>
      <c r="BP25"/>
      <c r="BQ25"/>
      <c r="BR25"/>
      <c r="BS25"/>
      <c r="BT25"/>
      <c r="BU25"/>
      <c r="BV25"/>
      <c r="BW25"/>
      <c r="BX25"/>
      <c r="BY25"/>
      <c r="BZ25"/>
      <c r="CA25"/>
    </row>
    <row r="26" s="70" customFormat="1" customHeight="1" spans="2:79">
      <c r="B26" s="645">
        <f>iSummary!P24</f>
        <v>1</v>
      </c>
      <c r="C26" s="645">
        <f>IF(B26=0,0,IF(uxb_works!$B$49,IF(G26&lt;$C$80,1,IF(G26&gt;$C$80,4,2)),IF(G26&lt;=$B$80,1,IF(G26&lt;=$B$81,2,(IF(G26&lt;=$B$82,3,4))))))</f>
        <v>4</v>
      </c>
      <c r="D26" s="646"/>
      <c r="E26" s="616">
        <f>iSummary!Q24</f>
        <v>17</v>
      </c>
      <c r="F26" s="681" t="str">
        <f ca="1">iSummary!R24&amp;iSummary!X24</f>
        <v>Brussels</v>
      </c>
      <c r="G26" s="682">
        <f>iSummary!S24</f>
        <v>83.01</v>
      </c>
      <c r="H26" s="637">
        <f ca="1">IF(iSummary!T24=0,"=",iSummary!T24)</f>
        <v>6.83</v>
      </c>
      <c r="I26" s="649" t="b">
        <f ca="1">iSummary!U24</f>
        <v>0</v>
      </c>
      <c r="J26" s="636">
        <f ca="1">IF(iSummary!V24=0,"=",iSummary!V24)</f>
        <v>2</v>
      </c>
      <c r="K26" s="650" t="b">
        <f ca="1">iSummary!W24</f>
        <v>0</v>
      </c>
      <c r="L26" s="693"/>
      <c r="M26" s="693">
        <f>iSummary!AG24</f>
        <v>1</v>
      </c>
      <c r="N26" s="645">
        <f>IF(M26=0,0,IF(uxb_works!$B$49,IF(R26&lt;$C$80,1,IF(R26&gt;$C$80,4,2)),IF(R26&lt;=$B$80,1,IF(R26&lt;=$B$81,2,(IF(R26&lt;=$B$82,3,4))))))</f>
        <v>4</v>
      </c>
      <c r="O26" s="615"/>
      <c r="P26" s="695">
        <f>iSummary!AH24</f>
        <v>17</v>
      </c>
      <c r="Q26" s="699" t="str">
        <f ca="1">iSummary!AI24&amp;iSummary!AO24</f>
        <v>Brussels</v>
      </c>
      <c r="R26" s="700">
        <f>iSummary!AJ24</f>
        <v>79.96</v>
      </c>
      <c r="S26" s="637">
        <f ca="1">IF(iSummary!AK24=0,"=",iSummary!AK24)</f>
        <v>5.36</v>
      </c>
      <c r="T26" s="649" t="b">
        <f ca="1">iSummary!AL24</f>
        <v>0</v>
      </c>
      <c r="U26" s="636">
        <f ca="1">IF(iSummary!AM24=0,"=",iSummary!AM24)</f>
        <v>-10</v>
      </c>
      <c r="V26" s="650" t="b">
        <f ca="1">iSummary!AN24</f>
        <v>0</v>
      </c>
      <c r="W26"/>
      <c r="X26" s="68">
        <f>iSummary!AX24</f>
        <v>1</v>
      </c>
      <c r="Y26" s="645">
        <f>IF(X26=0,0,IF(uxb_works!$B$49,IF(AC26&lt;$C$80,1,IF(AC26&gt;$C$80,4,2)),IF(AC26&lt;=$B$80,1,IF(AC26&lt;=$B$81,2,(IF(AC26&lt;=$B$82,3,4))))))</f>
        <v>4</v>
      </c>
      <c r="Z26" s="615"/>
      <c r="AA26" s="616">
        <f>iSummary!AY24</f>
        <v>17</v>
      </c>
      <c r="AB26" s="681" t="str">
        <f ca="1">iSummary!AZ24&amp;iSummary!BF24</f>
        <v>Milan</v>
      </c>
      <c r="AC26" s="705">
        <f>iSummary!BA24</f>
        <v>76.72</v>
      </c>
      <c r="AD26" s="637">
        <f ca="1">IF(iSummary!BB24=0,"=",iSummary!BB24)</f>
        <v>8.37</v>
      </c>
      <c r="AE26" s="649" t="b">
        <f ca="1">iSummary!BC24</f>
        <v>0</v>
      </c>
      <c r="AF26" s="636">
        <f ca="1">IF(iSummary!BD24=0,"=",iSummary!BD24)</f>
        <v>8</v>
      </c>
      <c r="AG26" s="650" t="b">
        <f ca="1">iSummary!BE24</f>
        <v>0</v>
      </c>
      <c r="AH26" s="68"/>
      <c r="AI26" s="68">
        <f>iSummary!BO24</f>
        <v>1</v>
      </c>
      <c r="AJ26" s="645">
        <f>IF(AI26=0,0,IF(uxb_works!$B$49,IF(AN26&lt;$C$80,1,IF(AN26&gt;$C$80,4,2)),IF(AN26&lt;=$B$80,1,IF(AN26&lt;=$B$81,2,(IF(AN26&lt;=$B$82,3,4))))))</f>
        <v>4</v>
      </c>
      <c r="AK26" s="615"/>
      <c r="AL26" s="616">
        <f>iSummary!BP24</f>
        <v>17</v>
      </c>
      <c r="AM26" s="681" t="str">
        <f ca="1">iSummary!BQ24&amp;iSummary!BW24</f>
        <v>San Francisco</v>
      </c>
      <c r="AN26" s="705">
        <f>iSummary!BR24</f>
        <v>91.21</v>
      </c>
      <c r="AO26" s="637">
        <f ca="1">IF(iSummary!BS24=0,"=",iSummary!BS24)</f>
        <v>3.26</v>
      </c>
      <c r="AP26" s="649" t="b">
        <f ca="1">iSummary!BT24</f>
        <v>0</v>
      </c>
      <c r="AQ26" s="636">
        <f ca="1">IF(iSummary!BU24=0,"=",iSummary!BU24)</f>
        <v>-7</v>
      </c>
      <c r="AR26" s="650" t="b">
        <f ca="1">iSummary!BV24</f>
        <v>0</v>
      </c>
      <c r="AS26" s="68"/>
      <c r="AT26" s="707">
        <f>iSummary!CF24</f>
        <v>1</v>
      </c>
      <c r="AU26" s="645">
        <f>IF(AT26=0,0,IF(uxb_works!$B$49,IF(AY26&lt;$C$80,1,IF(AY26&gt;$C$80,4,2)),IF(AY26&lt;=$B$80,1,IF(AY26&lt;=$B$81,2,(IF(AY26&lt;=$B$82,3,4))))))</f>
        <v>4</v>
      </c>
      <c r="AV26" s="615"/>
      <c r="AW26" s="616">
        <f>iSummary!CG24</f>
        <v>17</v>
      </c>
      <c r="AX26" s="681" t="str">
        <f ca="1">iSummary!CH24&amp;iSummary!CN24</f>
        <v>Barcelona</v>
      </c>
      <c r="AY26" s="705">
        <f>iSummary!CI24</f>
        <v>85.28</v>
      </c>
      <c r="AZ26" s="637">
        <f ca="1">IF(iSummary!CJ24=0,"=",iSummary!CJ24)</f>
        <v>2.47</v>
      </c>
      <c r="BA26" s="649" t="b">
        <f ca="1">iSummary!CK24</f>
        <v>0</v>
      </c>
      <c r="BB26" s="708">
        <f ca="1">IF(iSummary!CL24=0,"=",iSummary!CL24)</f>
        <v>-4</v>
      </c>
      <c r="BC26" s="650" t="b">
        <f ca="1">iSummary!CM24</f>
        <v>0</v>
      </c>
      <c r="BD26"/>
      <c r="BE26"/>
      <c r="BF26"/>
      <c r="BG26"/>
      <c r="BH26"/>
      <c r="BI26"/>
      <c r="BJ26"/>
      <c r="BK26"/>
      <c r="BL26"/>
      <c r="BM26"/>
      <c r="BN26"/>
      <c r="BO26"/>
      <c r="BP26"/>
      <c r="BQ26"/>
      <c r="BR26"/>
      <c r="BS26"/>
      <c r="BT26"/>
      <c r="BU26"/>
      <c r="BV26"/>
      <c r="BW26"/>
      <c r="BX26"/>
      <c r="BY26"/>
      <c r="BZ26"/>
      <c r="CA26"/>
    </row>
    <row r="27" s="70" customFormat="1" customHeight="1" spans="2:79">
      <c r="B27" s="645">
        <f>iSummary!P25</f>
        <v>1</v>
      </c>
      <c r="C27" s="645">
        <f>IF(B27=0,0,IF(uxb_works!$B$49,IF(G27&lt;$C$80,1,IF(G27&gt;$C$80,4,2)),IF(G27&lt;=$B$80,1,IF(G27&lt;=$B$81,2,(IF(G27&lt;=$B$82,3,4))))))</f>
        <v>4</v>
      </c>
      <c r="D27" s="646"/>
      <c r="E27" s="616">
        <f>iSummary!Q25</f>
        <v>18</v>
      </c>
      <c r="F27" s="681" t="str">
        <f ca="1">iSummary!R25&amp;iSummary!X25</f>
        <v>Los Angeles</v>
      </c>
      <c r="G27" s="682">
        <f>iSummary!S25</f>
        <v>82.26</v>
      </c>
      <c r="H27" s="637">
        <f ca="1">IF(iSummary!T25=0,"=",iSummary!T25)</f>
        <v>5.39</v>
      </c>
      <c r="I27" s="649" t="b">
        <f ca="1">iSummary!U25</f>
        <v>0</v>
      </c>
      <c r="J27" s="636">
        <f ca="1">IF(iSummary!V25=0,"=",iSummary!V25)</f>
        <v>-1</v>
      </c>
      <c r="K27" s="650" t="b">
        <f ca="1">iSummary!W25</f>
        <v>0</v>
      </c>
      <c r="L27" s="693"/>
      <c r="M27" s="693">
        <f>iSummary!AG25</f>
        <v>1</v>
      </c>
      <c r="N27" s="645">
        <f>IF(M27=0,0,IF(uxb_works!$B$49,IF(R27&lt;$C$80,1,IF(R27&gt;$C$80,4,2)),IF(R27&lt;=$B$80,1,IF(R27&lt;=$B$81,2,(IF(R27&lt;=$B$82,3,4))))))</f>
        <v>4</v>
      </c>
      <c r="O27" s="615"/>
      <c r="P27" s="695">
        <f>iSummary!AH25</f>
        <v>18</v>
      </c>
      <c r="Q27" s="699" t="str">
        <f ca="1">iSummary!AI25&amp;iSummary!AO25</f>
        <v>Seoul</v>
      </c>
      <c r="R27" s="700">
        <f>iSummary!AJ25</f>
        <v>78.42</v>
      </c>
      <c r="S27" s="637">
        <f ca="1">IF(iSummary!AK25=0,"=",iSummary!AK25)</f>
        <v>21.46</v>
      </c>
      <c r="T27" s="649" t="b">
        <f ca="1">iSummary!AL25</f>
        <v>0</v>
      </c>
      <c r="U27" s="636">
        <f ca="1">IF(iSummary!AM25=0,"=",iSummary!AM25)</f>
        <v>16</v>
      </c>
      <c r="V27" s="650" t="b">
        <f ca="1">iSummary!AN25</f>
        <v>0</v>
      </c>
      <c r="W27"/>
      <c r="X27" s="68">
        <f>iSummary!AX25</f>
        <v>1</v>
      </c>
      <c r="Y27" s="645">
        <f>IF(X27=0,0,IF(uxb_works!$B$49,IF(AC27&lt;$C$80,1,IF(AC27&gt;$C$80,4,2)),IF(AC27&lt;=$B$80,1,IF(AC27&lt;=$B$81,2,(IF(AC27&lt;=$B$82,3,4))))))</f>
        <v>4</v>
      </c>
      <c r="Z27" s="615"/>
      <c r="AA27" s="616">
        <f>iSummary!AY25</f>
        <v>18</v>
      </c>
      <c r="AB27" s="681" t="str">
        <f ca="1">iSummary!AZ25&amp;iSummary!BF25</f>
        <v>Rome</v>
      </c>
      <c r="AC27" s="705">
        <f>iSummary!BA25</f>
        <v>76.38</v>
      </c>
      <c r="AD27" s="637">
        <f ca="1">IF(iSummary!BB25=0,"=",iSummary!BB25)</f>
        <v>7.05</v>
      </c>
      <c r="AE27" s="649" t="b">
        <f ca="1">iSummary!BC25</f>
        <v>0</v>
      </c>
      <c r="AF27" s="636">
        <f ca="1">IF(iSummary!BD25=0,"=",iSummary!BD25)</f>
        <v>6</v>
      </c>
      <c r="AG27" s="650" t="b">
        <f ca="1">iSummary!BE25</f>
        <v>0</v>
      </c>
      <c r="AH27" s="68"/>
      <c r="AI27" s="68">
        <f>iSummary!BO25</f>
        <v>1</v>
      </c>
      <c r="AJ27" s="645">
        <f>IF(AI27=0,0,IF(uxb_works!$B$49,IF(AN27&lt;$C$80,1,IF(AN27&gt;$C$80,4,2)),IF(AN27&lt;=$B$80,1,IF(AN27&lt;=$B$81,2,(IF(AN27&lt;=$B$82,3,4))))))</f>
        <v>4</v>
      </c>
      <c r="AK27" s="615"/>
      <c r="AL27" s="616">
        <f>iSummary!BP25</f>
        <v>18</v>
      </c>
      <c r="AM27" s="681" t="str">
        <f ca="1">iSummary!BQ25&amp;iSummary!BW25</f>
        <v>Milan</v>
      </c>
      <c r="AN27" s="705">
        <f>iSummary!BR25</f>
        <v>90.36</v>
      </c>
      <c r="AO27" s="637">
        <f ca="1">IF(iSummary!BS25=0,"=",iSummary!BS25)</f>
        <v>8.37</v>
      </c>
      <c r="AP27" s="649" t="b">
        <f ca="1">iSummary!BT25</f>
        <v>0</v>
      </c>
      <c r="AQ27" s="636">
        <f ca="1">IF(iSummary!BU25=0,"=",iSummary!BU25)</f>
        <v>3</v>
      </c>
      <c r="AR27" s="650" t="b">
        <f ca="1">iSummary!BV25</f>
        <v>0</v>
      </c>
      <c r="AS27" s="68"/>
      <c r="AT27" s="707">
        <f>iSummary!CF25</f>
        <v>1</v>
      </c>
      <c r="AU27" s="645">
        <f>IF(AT27=0,0,IF(uxb_works!$B$49,IF(AY27&lt;$C$80,1,IF(AY27&gt;$C$80,4,2)),IF(AY27&lt;=$B$80,1,IF(AY27&lt;=$B$81,2,(IF(AY27&lt;=$B$82,3,4))))))</f>
        <v>4</v>
      </c>
      <c r="AV27" s="615"/>
      <c r="AW27" s="616">
        <f>iSummary!CG25</f>
        <v>18</v>
      </c>
      <c r="AX27" s="681" t="str">
        <f ca="1">iSummary!CH25&amp;iSummary!CN25</f>
        <v>Washington DC</v>
      </c>
      <c r="AY27" s="705">
        <f>iSummary!CI25</f>
        <v>84.82</v>
      </c>
      <c r="AZ27" s="637">
        <f ca="1">IF(iSummary!CJ25=0,"=",iSummary!CJ25)</f>
        <v>1.28</v>
      </c>
      <c r="BA27" s="649" t="b">
        <f ca="1">iSummary!CK25</f>
        <v>0</v>
      </c>
      <c r="BB27" s="708">
        <f ca="1">IF(iSummary!CL25=0,"=",iSummary!CL25)</f>
        <v>-6</v>
      </c>
      <c r="BC27" s="650" t="b">
        <f ca="1">iSummary!CM25</f>
        <v>0</v>
      </c>
      <c r="BD27"/>
      <c r="BE27"/>
      <c r="BF27"/>
      <c r="BG27"/>
      <c r="BH27"/>
      <c r="BI27"/>
      <c r="BJ27"/>
      <c r="BK27"/>
      <c r="BL27"/>
      <c r="BM27"/>
      <c r="BN27"/>
      <c r="BO27"/>
      <c r="BP27"/>
      <c r="BQ27"/>
      <c r="BR27"/>
      <c r="BS27"/>
      <c r="BT27"/>
      <c r="BU27"/>
      <c r="BV27"/>
      <c r="BW27"/>
      <c r="BX27"/>
      <c r="BY27"/>
      <c r="BZ27"/>
      <c r="CA27"/>
    </row>
    <row r="28" s="70" customFormat="1" customHeight="1" spans="2:79">
      <c r="B28" s="645">
        <f>iSummary!P26</f>
        <v>1</v>
      </c>
      <c r="C28" s="645">
        <f>IF(B28=0,0,IF(uxb_works!$B$49,IF(G28&lt;$C$80,1,IF(G28&gt;$C$80,4,2)),IF(G28&lt;=$B$80,1,IF(G28&lt;=$B$81,2,(IF(G28&lt;=$B$82,3,4))))))</f>
        <v>4</v>
      </c>
      <c r="D28" s="646"/>
      <c r="E28" s="616">
        <f>iSummary!Q26</f>
        <v>19</v>
      </c>
      <c r="F28" s="681" t="str">
        <f ca="1">iSummary!R26&amp;iSummary!X26</f>
        <v>Chicago</v>
      </c>
      <c r="G28" s="682">
        <f>iSummary!S26</f>
        <v>82.21</v>
      </c>
      <c r="H28" s="637">
        <f ca="1">IF(iSummary!T26=0,"=",iSummary!T26)</f>
        <v>4.48</v>
      </c>
      <c r="I28" s="649" t="b">
        <f ca="1">iSummary!U26</f>
        <v>0</v>
      </c>
      <c r="J28" s="636">
        <f ca="1">IF(iSummary!V26=0,"=",iSummary!V26)</f>
        <v>-6</v>
      </c>
      <c r="K28" s="650" t="b">
        <f ca="1">iSummary!W26</f>
        <v>0</v>
      </c>
      <c r="L28" s="693"/>
      <c r="M28" s="693">
        <f>iSummary!AG26</f>
        <v>1</v>
      </c>
      <c r="N28" s="645">
        <f>IF(M28=0,0,IF(uxb_works!$B$49,IF(R28&lt;$C$80,1,IF(R28&gt;$C$80,4,2)),IF(R28&lt;=$B$80,1,IF(R28&lt;=$B$81,2,(IF(R28&lt;=$B$82,3,4))))))</f>
        <v>4</v>
      </c>
      <c r="O28" s="615"/>
      <c r="P28" s="695">
        <f>iSummary!AH26</f>
        <v>19</v>
      </c>
      <c r="Q28" s="699" t="str">
        <f ca="1">iSummary!AI26&amp;iSummary!AO26</f>
        <v>Zurich</v>
      </c>
      <c r="R28" s="700">
        <f>iSummary!AJ26</f>
        <v>77.98</v>
      </c>
      <c r="S28" s="637">
        <f ca="1">IF(iSummary!AK26=0,"=",iSummary!AK26)</f>
        <v>9.94</v>
      </c>
      <c r="T28" s="649" t="b">
        <f ca="1">iSummary!AL26</f>
        <v>0</v>
      </c>
      <c r="U28" s="636">
        <f ca="1">IF(iSummary!AM26=0,"=",iSummary!AM26)</f>
        <v>-2</v>
      </c>
      <c r="V28" s="650" t="b">
        <f ca="1">iSummary!AN26</f>
        <v>0</v>
      </c>
      <c r="W28"/>
      <c r="X28" s="68">
        <f>iSummary!AX26</f>
        <v>1</v>
      </c>
      <c r="Y28" s="645">
        <f>IF(X28=0,0,IF(uxb_works!$B$49,IF(AC28&lt;$C$80,1,IF(AC28&gt;$C$80,4,2)),IF(AC28&lt;=$B$80,1,IF(AC28&lt;=$B$81,2,(IF(AC28&lt;=$B$82,3,4))))))</f>
        <v>4</v>
      </c>
      <c r="Z28" s="615"/>
      <c r="AA28" s="616">
        <f>iSummary!AY26</f>
        <v>19</v>
      </c>
      <c r="AB28" s="681" t="str">
        <f ca="1">iSummary!AZ26&amp;iSummary!BF26</f>
        <v>London</v>
      </c>
      <c r="AC28" s="705">
        <f>iSummary!BA26</f>
        <v>76.06</v>
      </c>
      <c r="AD28" s="637">
        <f ca="1">IF(iSummary!BB26=0,"=",iSummary!BB26)</f>
        <v>3.57</v>
      </c>
      <c r="AE28" s="649" t="b">
        <f ca="1">iSummary!BC26</f>
        <v>0</v>
      </c>
      <c r="AF28" s="636" t="str">
        <f ca="1">IF(iSummary!BD26=0,"=",iSummary!BD26)</f>
        <v>=</v>
      </c>
      <c r="AG28" s="650" t="b">
        <f ca="1">iSummary!BE26</f>
        <v>0</v>
      </c>
      <c r="AH28" s="68"/>
      <c r="AI28" s="68">
        <f>iSummary!BO26</f>
        <v>1</v>
      </c>
      <c r="AJ28" s="645">
        <f>IF(AI28=0,0,IF(uxb_works!$B$49,IF(AN28&lt;$C$80,1,IF(AN28&gt;$C$80,4,2)),IF(AN28&lt;=$B$80,1,IF(AN28&lt;=$B$81,2,(IF(AN28&lt;=$B$82,3,4))))))</f>
        <v>4</v>
      </c>
      <c r="AK28" s="615"/>
      <c r="AL28" s="616">
        <f>iSummary!BP26</f>
        <v>19</v>
      </c>
      <c r="AM28" s="681" t="str">
        <f ca="1">iSummary!BQ26&amp;iSummary!BW26</f>
        <v>Paris</v>
      </c>
      <c r="AN28" s="705">
        <f>iSummary!BR26</f>
        <v>89.9</v>
      </c>
      <c r="AO28" s="637">
        <f ca="1">IF(iSummary!BS26=0,"=",iSummary!BS26)</f>
        <v>12.06</v>
      </c>
      <c r="AP28" s="649" t="b">
        <f ca="1">iSummary!BT26</f>
        <v>0</v>
      </c>
      <c r="AQ28" s="636">
        <f ca="1">IF(iSummary!BU26=0,"=",iSummary!BU26)</f>
        <v>9</v>
      </c>
      <c r="AR28" s="650" t="b">
        <f ca="1">iSummary!BV26</f>
        <v>0</v>
      </c>
      <c r="AS28" s="68"/>
      <c r="AT28" s="707">
        <f>iSummary!CF26</f>
        <v>1</v>
      </c>
      <c r="AU28" s="645">
        <f>IF(AT28=0,0,IF(uxb_works!$B$49,IF(AY28&lt;$C$80,1,IF(AY28&gt;$C$80,4,2)),IF(AY28&lt;=$B$80,1,IF(AY28&lt;=$B$81,2,(IF(AY28&lt;=$B$82,3,4))))))</f>
        <v>4</v>
      </c>
      <c r="AV28" s="615"/>
      <c r="AW28" s="616">
        <f>iSummary!CG26</f>
        <v>19</v>
      </c>
      <c r="AX28" s="681" t="str">
        <f ca="1">iSummary!CH26&amp;iSummary!CN26</f>
        <v>San Francisco</v>
      </c>
      <c r="AY28" s="705">
        <f>iSummary!CI26</f>
        <v>83.74</v>
      </c>
      <c r="AZ28" s="637">
        <f ca="1">IF(iSummary!CJ26=0,"=",iSummary!CJ26)</f>
        <v>-0.01</v>
      </c>
      <c r="BA28" s="649" t="b">
        <f ca="1">iSummary!CK26</f>
        <v>0</v>
      </c>
      <c r="BB28" s="708">
        <f ca="1">IF(iSummary!CL26=0,"=",iSummary!CL26)</f>
        <v>-8</v>
      </c>
      <c r="BC28" s="650" t="b">
        <f ca="1">iSummary!CM26</f>
        <v>0</v>
      </c>
      <c r="BD28"/>
      <c r="BE28"/>
      <c r="BF28"/>
      <c r="BG28"/>
      <c r="BH28"/>
      <c r="BI28"/>
      <c r="BJ28"/>
      <c r="BK28"/>
      <c r="BL28"/>
      <c r="BM28"/>
      <c r="BN28"/>
      <c r="BO28"/>
      <c r="BP28"/>
      <c r="BQ28"/>
      <c r="BR28"/>
      <c r="BS28"/>
      <c r="BT28"/>
      <c r="BU28"/>
      <c r="BV28"/>
      <c r="BW28"/>
      <c r="BX28"/>
      <c r="BY28"/>
      <c r="BZ28"/>
      <c r="CA28"/>
    </row>
    <row r="29" s="70" customFormat="1" customHeight="1" spans="2:79">
      <c r="B29" s="645">
        <f>iSummary!P27</f>
        <v>1</v>
      </c>
      <c r="C29" s="645">
        <f>IF(B29=0,0,IF(uxb_works!$B$49,IF(G29&lt;$C$80,1,IF(G29&gt;$C$80,4,2)),IF(G29&lt;=$B$80,1,IF(G29&lt;=$B$81,2,(IF(G29&lt;=$B$82,3,4))))))</f>
        <v>4</v>
      </c>
      <c r="D29" s="646"/>
      <c r="E29" s="616">
        <f>iSummary!Q27</f>
        <v>20</v>
      </c>
      <c r="F29" s="681" t="str">
        <f ca="1">iSummary!R27&amp;iSummary!X27</f>
        <v>London</v>
      </c>
      <c r="G29" s="682">
        <f>iSummary!S27</f>
        <v>82.1</v>
      </c>
      <c r="H29" s="637">
        <f ca="1">IF(iSummary!T27=0,"=",iSummary!T27)</f>
        <v>8.64</v>
      </c>
      <c r="I29" s="649" t="b">
        <f ca="1">iSummary!U27</f>
        <v>0</v>
      </c>
      <c r="J29" s="636">
        <f ca="1">IF(iSummary!V27=0,"=",iSummary!V27)</f>
        <v>1</v>
      </c>
      <c r="K29" s="650" t="b">
        <f ca="1">iSummary!W27</f>
        <v>0</v>
      </c>
      <c r="L29" s="693"/>
      <c r="M29" s="693">
        <f>iSummary!AG27</f>
        <v>1</v>
      </c>
      <c r="N29" s="645">
        <f>IF(M29=0,0,IF(uxb_works!$B$49,IF(R29&lt;$C$80,1,IF(R29&gt;$C$80,4,2)),IF(R29&lt;=$B$80,1,IF(R29&lt;=$B$81,2,(IF(R29&lt;=$B$82,3,4))))))</f>
        <v>3</v>
      </c>
      <c r="O29" s="615"/>
      <c r="P29" s="695">
        <f>iSummary!AH27</f>
        <v>20</v>
      </c>
      <c r="Q29" s="699" t="str">
        <f ca="1">iSummary!AI27&amp;iSummary!AO27</f>
        <v>Wellington *</v>
      </c>
      <c r="R29" s="700">
        <f>iSummary!AJ27</f>
        <v>74.8</v>
      </c>
      <c r="S29" s="637" t="str">
        <f ca="1">IF(iSummary!AK27=0,"=",iSummary!AK27)</f>
        <v/>
      </c>
      <c r="T29" s="649" t="b">
        <f ca="1">iSummary!AL27</f>
        <v>0</v>
      </c>
      <c r="U29" s="636" t="str">
        <f ca="1">IF(iSummary!AM27=0,"=",iSummary!AM27)</f>
        <v/>
      </c>
      <c r="V29" s="650" t="b">
        <f ca="1">iSummary!AN27</f>
        <v>0</v>
      </c>
      <c r="W29"/>
      <c r="X29" s="68">
        <f>iSummary!AX27</f>
        <v>1</v>
      </c>
      <c r="Y29" s="645">
        <f>IF(X29=0,0,IF(uxb_works!$B$49,IF(AC29&lt;$C$80,1,IF(AC29&gt;$C$80,4,2)),IF(AC29&lt;=$B$80,1,IF(AC29&lt;=$B$81,2,(IF(AC29&lt;=$B$82,3,4))))))</f>
        <v>3</v>
      </c>
      <c r="Z29" s="615"/>
      <c r="AA29" s="616">
        <f>iSummary!AY27</f>
        <v>20</v>
      </c>
      <c r="AB29" s="681" t="str">
        <f ca="1">iSummary!AZ27&amp;iSummary!BF27</f>
        <v>Buenos Aires</v>
      </c>
      <c r="AC29" s="705">
        <f>iSummary!BA27</f>
        <v>74.84</v>
      </c>
      <c r="AD29" s="637">
        <f ca="1">IF(iSummary!BB27=0,"=",iSummary!BB27)</f>
        <v>7.12</v>
      </c>
      <c r="AE29" s="649" t="b">
        <f ca="1">iSummary!BC27</f>
        <v>0</v>
      </c>
      <c r="AF29" s="636">
        <f ca="1">IF(iSummary!BD27=0,"=",iSummary!BD27)</f>
        <v>7</v>
      </c>
      <c r="AG29" s="650" t="b">
        <f ca="1">iSummary!BE27</f>
        <v>0</v>
      </c>
      <c r="AH29" s="68"/>
      <c r="AI29" s="68">
        <f>iSummary!BO27</f>
        <v>1</v>
      </c>
      <c r="AJ29" s="645">
        <f>IF(AI29=0,0,IF(uxb_works!$B$49,IF(AN29&lt;$C$80,1,IF(AN29&gt;$C$80,4,2)),IF(AN29&lt;=$B$80,1,IF(AN29&lt;=$B$81,2,(IF(AN29&lt;=$B$82,3,4))))))</f>
        <v>4</v>
      </c>
      <c r="AK29" s="615"/>
      <c r="AL29" s="616">
        <f>iSummary!BP27</f>
        <v>20</v>
      </c>
      <c r="AM29" s="681" t="str">
        <f ca="1">iSummary!BQ27&amp;iSummary!BW27</f>
        <v>Brussels</v>
      </c>
      <c r="AN29" s="705">
        <f>iSummary!BR27</f>
        <v>88.56</v>
      </c>
      <c r="AO29" s="637">
        <f ca="1">IF(iSummary!BS27=0,"=",iSummary!BS27)</f>
        <v>2.37</v>
      </c>
      <c r="AP29" s="649" t="b">
        <f ca="1">iSummary!BT27</f>
        <v>0</v>
      </c>
      <c r="AQ29" s="636">
        <f ca="1">IF(iSummary!BU27=0,"=",iSummary!BU27)</f>
        <v>-6</v>
      </c>
      <c r="AR29" s="650" t="b">
        <f ca="1">iSummary!BV27</f>
        <v>0</v>
      </c>
      <c r="AS29" s="68"/>
      <c r="AT29" s="707">
        <f>iSummary!CF27</f>
        <v>1</v>
      </c>
      <c r="AU29" s="645">
        <f>IF(AT29=0,0,IF(uxb_works!$B$49,IF(AY29&lt;$C$80,1,IF(AY29&gt;$C$80,4,2)),IF(AY29&lt;=$B$80,1,IF(AY29&lt;=$B$81,2,(IF(AY29&lt;=$B$82,3,4))))))</f>
        <v>4</v>
      </c>
      <c r="AV29" s="615"/>
      <c r="AW29" s="616">
        <f>iSummary!CG27</f>
        <v>20</v>
      </c>
      <c r="AX29" s="681" t="str">
        <f ca="1">iSummary!CH27&amp;iSummary!CN27</f>
        <v>Zurich</v>
      </c>
      <c r="AY29" s="705">
        <f>iSummary!CI27</f>
        <v>83.72</v>
      </c>
      <c r="AZ29" s="637">
        <f ca="1">IF(iSummary!CJ27=0,"=",iSummary!CJ27)</f>
        <v>2.08</v>
      </c>
      <c r="BA29" s="649" t="b">
        <f ca="1">iSummary!CK27</f>
        <v>0</v>
      </c>
      <c r="BB29" s="708">
        <f ca="1">IF(iSummary!CL27=0,"=",iSummary!CL27)</f>
        <v>-3</v>
      </c>
      <c r="BC29" s="650" t="b">
        <f ca="1">iSummary!CM27</f>
        <v>0</v>
      </c>
      <c r="BD29"/>
      <c r="BE29"/>
      <c r="BF29"/>
      <c r="BG29"/>
      <c r="BH29"/>
      <c r="BI29"/>
      <c r="BJ29"/>
      <c r="BK29"/>
      <c r="BL29"/>
      <c r="BM29"/>
      <c r="BN29"/>
      <c r="BO29"/>
      <c r="BP29"/>
      <c r="BQ29"/>
      <c r="BR29"/>
      <c r="BS29"/>
      <c r="BT29"/>
      <c r="BU29"/>
      <c r="BV29"/>
      <c r="BW29"/>
      <c r="BX29"/>
      <c r="BY29"/>
      <c r="BZ29"/>
      <c r="CA29"/>
    </row>
    <row r="30" s="70" customFormat="1" customHeight="1" spans="2:79">
      <c r="B30" s="645">
        <f>iSummary!P28</f>
        <v>1</v>
      </c>
      <c r="C30" s="645">
        <f>IF(B30=0,0,IF(uxb_works!$B$49,IF(G30&lt;$C$80,1,IF(G30&gt;$C$80,4,2)),IF(G30&lt;=$B$80,1,IF(G30&lt;=$B$81,2,(IF(G30&lt;=$B$82,3,4))))))</f>
        <v>4</v>
      </c>
      <c r="D30" s="646"/>
      <c r="E30" s="616">
        <f>iSummary!Q28</f>
        <v>21</v>
      </c>
      <c r="F30" s="681" t="str">
        <f ca="1">iSummary!R28&amp;iSummary!X28</f>
        <v>New York</v>
      </c>
      <c r="G30" s="682">
        <f>iSummary!S28</f>
        <v>81.01</v>
      </c>
      <c r="H30" s="637">
        <f ca="1">IF(iSummary!T28=0,"=",iSummary!T28)</f>
        <v>0.73</v>
      </c>
      <c r="I30" s="649" t="b">
        <f ca="1">iSummary!U28</f>
        <v>0</v>
      </c>
      <c r="J30" s="636">
        <f ca="1">IF(iSummary!V28=0,"=",iSummary!V28)</f>
        <v>-11</v>
      </c>
      <c r="K30" s="650" t="b">
        <f ca="1">iSummary!W28</f>
        <v>0</v>
      </c>
      <c r="L30" s="693"/>
      <c r="M30" s="693">
        <f>iSummary!AG28</f>
        <v>1</v>
      </c>
      <c r="N30" s="645">
        <f>IF(M30=0,0,IF(uxb_works!$B$49,IF(R30&lt;$C$80,1,IF(R30&gt;$C$80,4,2)),IF(R30&lt;=$B$80,1,IF(R30&lt;=$B$81,2,(IF(R30&lt;=$B$82,3,4))))))</f>
        <v>3</v>
      </c>
      <c r="O30" s="615"/>
      <c r="P30" s="695" t="str">
        <f>iSummary!AH28</f>
        <v>=21</v>
      </c>
      <c r="Q30" s="699" t="str">
        <f ca="1">iSummary!AI28&amp;iSummary!AO28</f>
        <v>Barcelona</v>
      </c>
      <c r="R30" s="700">
        <f>iSummary!AJ28</f>
        <v>74.44</v>
      </c>
      <c r="S30" s="637">
        <f ca="1">IF(iSummary!AK28=0,"=",iSummary!AK28)</f>
        <v>13.15</v>
      </c>
      <c r="T30" s="649" t="b">
        <f ca="1">iSummary!AL28</f>
        <v>0</v>
      </c>
      <c r="U30" s="636">
        <f ca="1">IF(iSummary!AM28=0,"=",iSummary!AM28)</f>
        <v>7</v>
      </c>
      <c r="V30" s="650" t="b">
        <f ca="1">iSummary!AN28</f>
        <v>0</v>
      </c>
      <c r="W30"/>
      <c r="X30" s="68">
        <f>iSummary!AX28</f>
        <v>1</v>
      </c>
      <c r="Y30" s="645">
        <f>IF(X30=0,0,IF(uxb_works!$B$49,IF(AC30&lt;$C$80,1,IF(AC30&gt;$C$80,4,2)),IF(AC30&lt;=$B$80,1,IF(AC30&lt;=$B$81,2,(IF(AC30&lt;=$B$82,3,4))))))</f>
        <v>3</v>
      </c>
      <c r="Z30" s="615"/>
      <c r="AA30" s="616">
        <f>iSummary!AY28</f>
        <v>21</v>
      </c>
      <c r="AB30" s="681" t="str">
        <f ca="1">iSummary!AZ28&amp;iSummary!BF28</f>
        <v>Athens *</v>
      </c>
      <c r="AC30" s="705">
        <f>iSummary!BA28</f>
        <v>74.57</v>
      </c>
      <c r="AD30" s="637" t="str">
        <f ca="1">IF(iSummary!BB28=0,"=",iSummary!BB28)</f>
        <v/>
      </c>
      <c r="AE30" s="649" t="b">
        <f ca="1">iSummary!BC28</f>
        <v>0</v>
      </c>
      <c r="AF30" s="636" t="str">
        <f ca="1">IF(iSummary!BD28=0,"=",iSummary!BD28)</f>
        <v/>
      </c>
      <c r="AG30" s="650" t="b">
        <f ca="1">iSummary!BE28</f>
        <v>0</v>
      </c>
      <c r="AH30" s="68"/>
      <c r="AI30" s="68">
        <f>iSummary!BO28</f>
        <v>1</v>
      </c>
      <c r="AJ30" s="645">
        <f>IF(AI30=0,0,IF(uxb_works!$B$49,IF(AN30&lt;$C$80,1,IF(AN30&gt;$C$80,4,2)),IF(AN30&lt;=$B$80,1,IF(AN30&lt;=$B$81,2,(IF(AN30&lt;=$B$82,3,4))))))</f>
        <v>4</v>
      </c>
      <c r="AK30" s="615"/>
      <c r="AL30" s="616">
        <f>iSummary!BP28</f>
        <v>21</v>
      </c>
      <c r="AM30" s="681" t="str">
        <f ca="1">iSummary!BQ28&amp;iSummary!BW28</f>
        <v>New York</v>
      </c>
      <c r="AN30" s="705">
        <f>iSummary!BR28</f>
        <v>88.39</v>
      </c>
      <c r="AO30" s="637">
        <f ca="1">IF(iSummary!BS28=0,"=",iSummary!BS28)</f>
        <v>2.26</v>
      </c>
      <c r="AP30" s="649" t="b">
        <f ca="1">iSummary!BT28</f>
        <v>0</v>
      </c>
      <c r="AQ30" s="636">
        <f ca="1">IF(iSummary!BU28=0,"=",iSummary!BU28)</f>
        <v>-6</v>
      </c>
      <c r="AR30" s="650" t="b">
        <f ca="1">iSummary!BV28</f>
        <v>0</v>
      </c>
      <c r="AS30" s="68"/>
      <c r="AT30" s="707">
        <f>iSummary!CF28</f>
        <v>1</v>
      </c>
      <c r="AU30" s="645">
        <f>IF(AT30=0,0,IF(uxb_works!$B$49,IF(AY30&lt;$C$80,1,IF(AY30&gt;$C$80,4,2)),IF(AY30&lt;=$B$80,1,IF(AY30&lt;=$B$81,2,(IF(AY30&lt;=$B$82,3,4))))))</f>
        <v>4</v>
      </c>
      <c r="AV30" s="615"/>
      <c r="AW30" s="616">
        <f>iSummary!CG28</f>
        <v>21</v>
      </c>
      <c r="AX30" s="681" t="str">
        <f ca="1">iSummary!CH28&amp;iSummary!CN28</f>
        <v>Los Angeles</v>
      </c>
      <c r="AY30" s="705">
        <f>iSummary!CI28</f>
        <v>83.4</v>
      </c>
      <c r="AZ30" s="637">
        <f ca="1">IF(iSummary!CJ28=0,"=",iSummary!CJ28)</f>
        <v>1.46</v>
      </c>
      <c r="BA30" s="649" t="b">
        <f ca="1">iSummary!CK28</f>
        <v>0</v>
      </c>
      <c r="BB30" s="708">
        <f ca="1">IF(iSummary!CL28=0,"=",iSummary!CL28)</f>
        <v>-5</v>
      </c>
      <c r="BC30" s="650" t="b">
        <f ca="1">iSummary!CM28</f>
        <v>0</v>
      </c>
      <c r="BD30"/>
      <c r="BE30"/>
      <c r="BF30"/>
      <c r="BG30"/>
      <c r="BH30"/>
      <c r="BI30"/>
      <c r="BJ30"/>
      <c r="BK30"/>
      <c r="BL30"/>
      <c r="BM30"/>
      <c r="BN30"/>
      <c r="BO30"/>
      <c r="BP30"/>
      <c r="BQ30"/>
      <c r="BR30"/>
      <c r="BS30"/>
      <c r="BT30"/>
      <c r="BU30"/>
      <c r="BV30"/>
      <c r="BW30"/>
      <c r="BX30"/>
      <c r="BY30"/>
      <c r="BZ30"/>
      <c r="CA30"/>
    </row>
    <row r="31" s="70" customFormat="1" customHeight="1" spans="2:79">
      <c r="B31" s="645">
        <f>iSummary!P29</f>
        <v>1</v>
      </c>
      <c r="C31" s="645">
        <f>IF(B31=0,0,IF(uxb_works!$B$49,IF(G31&lt;$C$80,1,IF(G31&gt;$C$80,4,2)),IF(G31&lt;=$B$80,1,IF(G31&lt;=$B$81,2,(IF(G31&lt;=$B$82,3,4))))))</f>
        <v>4</v>
      </c>
      <c r="D31" s="646"/>
      <c r="E31" s="616">
        <f>iSummary!Q29</f>
        <v>22</v>
      </c>
      <c r="F31" s="681" t="str">
        <f ca="1">iSummary!R29&amp;iSummary!X29</f>
        <v>Taipei</v>
      </c>
      <c r="G31" s="682">
        <f>iSummary!S29</f>
        <v>80.7</v>
      </c>
      <c r="H31" s="637">
        <f ca="1">IF(iSummary!T29=0,"=",iSummary!T29)</f>
        <v>3.11</v>
      </c>
      <c r="I31" s="649" t="b">
        <f ca="1">iSummary!U29</f>
        <v>0</v>
      </c>
      <c r="J31" s="636">
        <f ca="1">IF(iSummary!V29=0,"=",iSummary!V29)</f>
        <v>-8</v>
      </c>
      <c r="K31" s="650" t="b">
        <f ca="1">iSummary!W29</f>
        <v>0</v>
      </c>
      <c r="L31" s="693"/>
      <c r="M31" s="693">
        <f>iSummary!AG29</f>
        <v>1</v>
      </c>
      <c r="N31" s="645">
        <f>IF(M31=0,0,IF(uxb_works!$B$49,IF(R31&lt;$C$80,1,IF(R31&gt;$C$80,4,2)),IF(R31&lt;=$B$80,1,IF(R31&lt;=$B$81,2,(IF(R31&lt;=$B$82,3,4))))))</f>
        <v>3</v>
      </c>
      <c r="O31" s="615"/>
      <c r="P31" s="695" t="str">
        <f>iSummary!AH29</f>
        <v>=21</v>
      </c>
      <c r="Q31" s="699" t="str">
        <f ca="1">iSummary!AI29&amp;iSummary!AO29</f>
        <v>Madrid</v>
      </c>
      <c r="R31" s="700">
        <f>iSummary!AJ29</f>
        <v>74.44</v>
      </c>
      <c r="S31" s="637">
        <f ca="1">IF(iSummary!AK29=0,"=",iSummary!AK29)</f>
        <v>12.66</v>
      </c>
      <c r="T31" s="649" t="b">
        <f ca="1">iSummary!AL29</f>
        <v>0</v>
      </c>
      <c r="U31" s="636">
        <f ca="1">IF(iSummary!AM29=0,"=",iSummary!AM29)</f>
        <v>5</v>
      </c>
      <c r="V31" s="650" t="b">
        <f ca="1">iSummary!AN29</f>
        <v>0</v>
      </c>
      <c r="W31"/>
      <c r="X31" s="68">
        <f>iSummary!AX29</f>
        <v>1</v>
      </c>
      <c r="Y31" s="645">
        <f>IF(X31=0,0,IF(uxb_works!$B$49,IF(AC31&lt;$C$80,1,IF(AC31&gt;$C$80,4,2)),IF(AC31&lt;=$B$80,1,IF(AC31&lt;=$B$81,2,(IF(AC31&lt;=$B$82,3,4))))))</f>
        <v>3</v>
      </c>
      <c r="Z31" s="615"/>
      <c r="AA31" s="616">
        <f>iSummary!AY29</f>
        <v>22</v>
      </c>
      <c r="AB31" s="681" t="str">
        <f ca="1">iSummary!AZ29&amp;iSummary!BF29</f>
        <v>San Francisco</v>
      </c>
      <c r="AC31" s="705">
        <f>iSummary!BA29</f>
        <v>74.15</v>
      </c>
      <c r="AD31" s="637">
        <f ca="1">IF(iSummary!BB29=0,"=",iSummary!BB29)</f>
        <v>-1.08</v>
      </c>
      <c r="AE31" s="649" t="b">
        <f ca="1">iSummary!BC29</f>
        <v>0</v>
      </c>
      <c r="AF31" s="636">
        <f ca="1">IF(iSummary!BD29=0,"=",iSummary!BD29)</f>
        <v>-6</v>
      </c>
      <c r="AG31" s="650" t="b">
        <f ca="1">iSummary!BE29</f>
        <v>0</v>
      </c>
      <c r="AH31" s="68"/>
      <c r="AI31" s="68">
        <f>iSummary!BO29</f>
        <v>1</v>
      </c>
      <c r="AJ31" s="645">
        <f>IF(AI31=0,0,IF(uxb_works!$B$49,IF(AN31&lt;$C$80,1,IF(AN31&gt;$C$80,4,2)),IF(AN31&lt;=$B$80,1,IF(AN31&lt;=$B$81,2,(IF(AN31&lt;=$B$82,3,4))))))</f>
        <v>4</v>
      </c>
      <c r="AK31" s="615"/>
      <c r="AL31" s="616">
        <f>iSummary!BP29</f>
        <v>22</v>
      </c>
      <c r="AM31" s="681" t="str">
        <f ca="1">iSummary!BQ29&amp;iSummary!BW29</f>
        <v>Los Angeles</v>
      </c>
      <c r="AN31" s="705">
        <f>iSummary!BR29</f>
        <v>88.27</v>
      </c>
      <c r="AO31" s="637">
        <f ca="1">IF(iSummary!BS29=0,"=",iSummary!BS29)</f>
        <v>3.61</v>
      </c>
      <c r="AP31" s="649" t="b">
        <f ca="1">iSummary!BT29</f>
        <v>0</v>
      </c>
      <c r="AQ31" s="636">
        <f ca="1">IF(iSummary!BU29=0,"=",iSummary!BU29)</f>
        <v>-4</v>
      </c>
      <c r="AR31" s="650" t="b">
        <f ca="1">iSummary!BV29</f>
        <v>0</v>
      </c>
      <c r="AS31" s="68"/>
      <c r="AT31" s="707">
        <f>iSummary!CF29</f>
        <v>1</v>
      </c>
      <c r="AU31" s="645">
        <f>IF(AT31=0,0,IF(uxb_works!$B$49,IF(AY31&lt;$C$80,1,IF(AY31&gt;$C$80,4,2)),IF(AY31&lt;=$B$80,1,IF(AY31&lt;=$B$81,2,(IF(AY31&lt;=$B$82,3,4))))))</f>
        <v>4</v>
      </c>
      <c r="AV31" s="615"/>
      <c r="AW31" s="616">
        <f>iSummary!CG29</f>
        <v>22</v>
      </c>
      <c r="AX31" s="681" t="str">
        <f ca="1">iSummary!CH29&amp;iSummary!CN29</f>
        <v>Chicago</v>
      </c>
      <c r="AY31" s="705">
        <f>iSummary!CI29</f>
        <v>82.84</v>
      </c>
      <c r="AZ31" s="637">
        <f ca="1">IF(iSummary!CJ29=0,"=",iSummary!CJ29)</f>
        <v>0.85</v>
      </c>
      <c r="BA31" s="649" t="b">
        <f ca="1">iSummary!CK29</f>
        <v>0</v>
      </c>
      <c r="BB31" s="708">
        <f ca="1">IF(iSummary!CL29=0,"=",iSummary!CL29)</f>
        <v>-7</v>
      </c>
      <c r="BC31" s="650" t="b">
        <f ca="1">iSummary!CM29</f>
        <v>0</v>
      </c>
      <c r="BD31"/>
      <c r="BE31"/>
      <c r="BF31"/>
      <c r="BG31"/>
      <c r="BH31"/>
      <c r="BI31"/>
      <c r="BJ31"/>
      <c r="BK31"/>
      <c r="BL31"/>
      <c r="BM31"/>
      <c r="BN31"/>
      <c r="BO31"/>
      <c r="BP31"/>
      <c r="BQ31"/>
      <c r="BR31"/>
      <c r="BS31"/>
      <c r="BT31"/>
      <c r="BU31"/>
      <c r="BV31"/>
      <c r="BW31"/>
      <c r="BX31"/>
      <c r="BY31"/>
      <c r="BZ31"/>
      <c r="CA31"/>
    </row>
    <row r="32" s="70" customFormat="1" customHeight="1" spans="2:79">
      <c r="B32" s="645">
        <f>iSummary!P30</f>
        <v>1</v>
      </c>
      <c r="C32" s="645">
        <f>IF(B32=0,0,IF(uxb_works!$B$49,IF(G32&lt;$C$80,1,IF(G32&gt;$C$80,4,2)),IF(G32&lt;=$B$80,1,IF(G32&lt;=$B$81,2,(IF(G32&lt;=$B$82,3,4))))))</f>
        <v>4</v>
      </c>
      <c r="D32" s="646"/>
      <c r="E32" s="616">
        <f>iSummary!Q30</f>
        <v>23</v>
      </c>
      <c r="F32" s="681" t="str">
        <f ca="1">iSummary!R30&amp;iSummary!X30</f>
        <v>Washington DC</v>
      </c>
      <c r="G32" s="682">
        <f>iSummary!S30</f>
        <v>80.37</v>
      </c>
      <c r="H32" s="637">
        <f ca="1">IF(iSummary!T30=0,"=",iSummary!T30)</f>
        <v>3.93</v>
      </c>
      <c r="I32" s="649" t="b">
        <f ca="1">iSummary!U30</f>
        <v>0</v>
      </c>
      <c r="J32" s="636">
        <f ca="1">IF(iSummary!V30=0,"=",iSummary!V30)</f>
        <v>-5</v>
      </c>
      <c r="K32" s="650" t="b">
        <f ca="1">iSummary!W30</f>
        <v>0</v>
      </c>
      <c r="L32" s="693"/>
      <c r="M32" s="693">
        <f>iSummary!AG30</f>
        <v>1</v>
      </c>
      <c r="N32" s="645">
        <f>IF(M32=0,0,IF(uxb_works!$B$49,IF(R32&lt;$C$80,1,IF(R32&gt;$C$80,4,2)),IF(R32&lt;=$B$80,1,IF(R32&lt;=$B$81,2,(IF(R32&lt;=$B$82,3,4))))))</f>
        <v>3</v>
      </c>
      <c r="O32" s="615"/>
      <c r="P32" s="695">
        <f>iSummary!AH30</f>
        <v>23</v>
      </c>
      <c r="Q32" s="699" t="str">
        <f ca="1">iSummary!AI30&amp;iSummary!AO30</f>
        <v>Buenos Aires</v>
      </c>
      <c r="R32" s="700">
        <f>iSummary!AJ30</f>
        <v>74.14</v>
      </c>
      <c r="S32" s="637">
        <f ca="1">IF(iSummary!AK30=0,"=",iSummary!AK30)</f>
        <v>4.56</v>
      </c>
      <c r="T32" s="649" t="b">
        <f ca="1">iSummary!AL30</f>
        <v>0</v>
      </c>
      <c r="U32" s="636">
        <f ca="1">IF(iSummary!AM30=0,"=",iSummary!AM30)</f>
        <v>-9</v>
      </c>
      <c r="V32" s="650" t="b">
        <f ca="1">iSummary!AN30</f>
        <v>0</v>
      </c>
      <c r="W32"/>
      <c r="X32" s="68">
        <f>iSummary!AX30</f>
        <v>1</v>
      </c>
      <c r="Y32" s="645">
        <f>IF(X32=0,0,IF(uxb_works!$B$49,IF(AC32&lt;$C$80,1,IF(AC32&gt;$C$80,4,2)),IF(AC32&lt;=$B$80,1,IF(AC32&lt;=$B$81,2,(IF(AC32&lt;=$B$82,3,4))))))</f>
        <v>3</v>
      </c>
      <c r="Z32" s="615"/>
      <c r="AA32" s="616">
        <f>iSummary!AY30</f>
        <v>23</v>
      </c>
      <c r="AB32" s="681" t="str">
        <f ca="1">iSummary!AZ30&amp;iSummary!BF30</f>
        <v>Washington DC</v>
      </c>
      <c r="AC32" s="705">
        <f>iSummary!BA30</f>
        <v>73.38</v>
      </c>
      <c r="AD32" s="637">
        <f ca="1">IF(iSummary!BB30=0,"=",iSummary!BB30)</f>
        <v>-1.74</v>
      </c>
      <c r="AE32" s="649" t="b">
        <f ca="1">iSummary!BC30</f>
        <v>0</v>
      </c>
      <c r="AF32" s="636">
        <f ca="1">IF(iSummary!BD30=0,"=",iSummary!BD30)</f>
        <v>-6</v>
      </c>
      <c r="AG32" s="650" t="b">
        <f ca="1">iSummary!BE30</f>
        <v>0</v>
      </c>
      <c r="AH32" s="68"/>
      <c r="AI32" s="68">
        <f>iSummary!BO30</f>
        <v>1</v>
      </c>
      <c r="AJ32" s="645">
        <f>IF(AI32=0,0,IF(uxb_works!$B$49,IF(AN32&lt;$C$80,1,IF(AN32&gt;$C$80,4,2)),IF(AN32&lt;=$B$80,1,IF(AN32&lt;=$B$81,2,(IF(AN32&lt;=$B$82,3,4))))))</f>
        <v>4</v>
      </c>
      <c r="AK32" s="615"/>
      <c r="AL32" s="616">
        <f>iSummary!BP30</f>
        <v>23</v>
      </c>
      <c r="AM32" s="681" t="str">
        <f ca="1">iSummary!BQ30&amp;iSummary!BW30</f>
        <v>Frankfurt</v>
      </c>
      <c r="AN32" s="705">
        <f>iSummary!BR30</f>
        <v>88.16</v>
      </c>
      <c r="AO32" s="637">
        <f ca="1">IF(iSummary!BS30=0,"=",iSummary!BS30)</f>
        <v>2.36</v>
      </c>
      <c r="AP32" s="649" t="b">
        <f ca="1">iSummary!BT30</f>
        <v>0</v>
      </c>
      <c r="AQ32" s="636">
        <f ca="1">IF(iSummary!BU30=0,"=",iSummary!BU30)</f>
        <v>-7</v>
      </c>
      <c r="AR32" s="650" t="b">
        <f ca="1">iSummary!BV30</f>
        <v>0</v>
      </c>
      <c r="AS32" s="68"/>
      <c r="AT32" s="707">
        <f>iSummary!CF30</f>
        <v>1</v>
      </c>
      <c r="AU32" s="645">
        <f>IF(AT32=0,0,IF(uxb_works!$B$49,IF(AY32&lt;$C$80,1,IF(AY32&gt;$C$80,4,2)),IF(AY32&lt;=$B$80,1,IF(AY32&lt;=$B$81,2,(IF(AY32&lt;=$B$82,3,4))))))</f>
        <v>4</v>
      </c>
      <c r="AV32" s="615"/>
      <c r="AW32" s="616">
        <f>iSummary!CG30</f>
        <v>23</v>
      </c>
      <c r="AX32" s="681" t="str">
        <f ca="1">iSummary!CH30&amp;iSummary!CN30</f>
        <v>Brussels</v>
      </c>
      <c r="AY32" s="705">
        <f>iSummary!CI30</f>
        <v>82.09</v>
      </c>
      <c r="AZ32" s="637">
        <f ca="1">IF(iSummary!CJ30=0,"=",iSummary!CJ30)</f>
        <v>17.54</v>
      </c>
      <c r="BA32" s="649" t="b">
        <f ca="1">iSummary!CK30</f>
        <v>0</v>
      </c>
      <c r="BB32" s="708">
        <f ca="1">IF(iSummary!CL30=0,"=",iSummary!CL30)</f>
        <v>9</v>
      </c>
      <c r="BC32" s="650" t="b">
        <f ca="1">iSummary!CM30</f>
        <v>0</v>
      </c>
      <c r="BD32"/>
      <c r="BE32"/>
      <c r="BF32"/>
      <c r="BG32"/>
      <c r="BH32"/>
      <c r="BI32"/>
      <c r="BJ32"/>
      <c r="BK32"/>
      <c r="BL32"/>
      <c r="BM32"/>
      <c r="BN32"/>
      <c r="BO32"/>
      <c r="BP32"/>
      <c r="BQ32"/>
      <c r="BR32"/>
      <c r="BS32"/>
      <c r="BT32"/>
      <c r="BU32"/>
      <c r="BV32"/>
      <c r="BW32"/>
      <c r="BX32"/>
      <c r="BY32"/>
      <c r="BZ32"/>
      <c r="CA32"/>
    </row>
    <row r="33" s="70" customFormat="1" customHeight="1" spans="2:79">
      <c r="B33" s="645">
        <f>iSummary!P31</f>
        <v>1</v>
      </c>
      <c r="C33" s="645">
        <f>IF(B33=0,0,IF(uxb_works!$B$49,IF(G33&lt;$C$80,1,IF(G33&gt;$C$80,4,2)),IF(G33&lt;=$B$80,1,IF(G33&lt;=$B$81,2,(IF(G33&lt;=$B$82,3,4))))))</f>
        <v>4</v>
      </c>
      <c r="D33" s="646"/>
      <c r="E33" s="616">
        <f>iSummary!Q31</f>
        <v>24</v>
      </c>
      <c r="F33" s="681" t="str">
        <f ca="1">iSummary!R31&amp;iSummary!X31</f>
        <v>Paris</v>
      </c>
      <c r="G33" s="682">
        <f>iSummary!S31</f>
        <v>79.71</v>
      </c>
      <c r="H33" s="637">
        <f ca="1">IF(iSummary!T31=0,"=",iSummary!T31)</f>
        <v>6.5</v>
      </c>
      <c r="I33" s="649" t="b">
        <f ca="1">iSummary!U31</f>
        <v>0</v>
      </c>
      <c r="J33" s="636">
        <f ca="1">IF(iSummary!V31=0,"=",iSummary!V31)</f>
        <v>-2</v>
      </c>
      <c r="K33" s="650" t="b">
        <f ca="1">iSummary!W31</f>
        <v>0</v>
      </c>
      <c r="L33" s="693"/>
      <c r="M33" s="693">
        <f>iSummary!AG31</f>
        <v>1</v>
      </c>
      <c r="N33" s="645">
        <f>IF(M33=0,0,IF(uxb_works!$B$49,IF(R33&lt;$C$80,1,IF(R33&gt;$C$80,4,2)),IF(R33&lt;=$B$80,1,IF(R33&lt;=$B$81,2,(IF(R33&lt;=$B$82,3,4))))))</f>
        <v>3</v>
      </c>
      <c r="O33" s="615"/>
      <c r="P33" s="695">
        <f>iSummary!AH31</f>
        <v>24</v>
      </c>
      <c r="Q33" s="699" t="str">
        <f ca="1">iSummary!AI31&amp;iSummary!AO31</f>
        <v>London</v>
      </c>
      <c r="R33" s="700">
        <f>iSummary!AJ31</f>
        <v>73.36</v>
      </c>
      <c r="S33" s="637">
        <f ca="1">IF(iSummary!AK31=0,"=",iSummary!AK31)</f>
        <v>2.94</v>
      </c>
      <c r="T33" s="649" t="b">
        <f ca="1">iSummary!AL31</f>
        <v>0</v>
      </c>
      <c r="U33" s="636">
        <f ca="1">IF(iSummary!AM31=0,"=",iSummary!AM31)</f>
        <v>-12</v>
      </c>
      <c r="V33" s="650" t="b">
        <f ca="1">iSummary!AN31</f>
        <v>0</v>
      </c>
      <c r="W33"/>
      <c r="X33" s="68">
        <f>iSummary!AX31</f>
        <v>1</v>
      </c>
      <c r="Y33" s="645">
        <f>IF(X33=0,0,IF(uxb_works!$B$49,IF(AC33&lt;$C$80,1,IF(AC33&gt;$C$80,4,2)),IF(AC33&lt;=$B$80,1,IF(AC33&lt;=$B$81,2,(IF(AC33&lt;=$B$82,3,4))))))</f>
        <v>3</v>
      </c>
      <c r="Z33" s="615"/>
      <c r="AA33" s="616">
        <f>iSummary!AY31</f>
        <v>24</v>
      </c>
      <c r="AB33" s="681" t="str">
        <f ca="1">iSummary!AZ31&amp;iSummary!BF31</f>
        <v>Hong Kong</v>
      </c>
      <c r="AC33" s="705">
        <f>iSummary!BA31</f>
        <v>73.29</v>
      </c>
      <c r="AD33" s="637">
        <f ca="1">IF(iSummary!BB31=0,"=",iSummary!BB31)</f>
        <v>5.87</v>
      </c>
      <c r="AE33" s="649" t="b">
        <f ca="1">iSummary!BC31</f>
        <v>0</v>
      </c>
      <c r="AF33" s="636">
        <f ca="1">IF(iSummary!BD31=0,"=",iSummary!BD31)</f>
        <v>5</v>
      </c>
      <c r="AG33" s="650" t="b">
        <f ca="1">iSummary!BE31</f>
        <v>0</v>
      </c>
      <c r="AH33" s="68"/>
      <c r="AI33" s="68">
        <f>iSummary!BO31</f>
        <v>1</v>
      </c>
      <c r="AJ33" s="645">
        <f>IF(AI33=0,0,IF(uxb_works!$B$49,IF(AN33&lt;$C$80,1,IF(AN33&gt;$C$80,4,2)),IF(AN33&lt;=$B$80,1,IF(AN33&lt;=$B$81,2,(IF(AN33&lt;=$B$82,3,4))))))</f>
        <v>4</v>
      </c>
      <c r="AK33" s="615"/>
      <c r="AL33" s="616">
        <f>iSummary!BP31</f>
        <v>24</v>
      </c>
      <c r="AM33" s="681" t="str">
        <f ca="1">iSummary!BQ31&amp;iSummary!BW31</f>
        <v>Buenos Aires</v>
      </c>
      <c r="AN33" s="705">
        <f>iSummary!BR31</f>
        <v>87.99</v>
      </c>
      <c r="AO33" s="637">
        <f ca="1">IF(iSummary!BS31=0,"=",iSummary!BS31)</f>
        <v>9.33</v>
      </c>
      <c r="AP33" s="649" t="b">
        <f ca="1">iSummary!BT31</f>
        <v>0</v>
      </c>
      <c r="AQ33" s="636">
        <f ca="1">IF(iSummary!BU31=0,"=",iSummary!BU31)</f>
        <v>1</v>
      </c>
      <c r="AR33" s="650" t="b">
        <f ca="1">iSummary!BV31</f>
        <v>0</v>
      </c>
      <c r="AS33" s="68"/>
      <c r="AT33" s="707">
        <f>iSummary!CF31</f>
        <v>1</v>
      </c>
      <c r="AU33" s="645">
        <f>IF(AT33=0,0,IF(uxb_works!$B$49,IF(AY33&lt;$C$80,1,IF(AY33&gt;$C$80,4,2)),IF(AY33&lt;=$B$80,1,IF(AY33&lt;=$B$81,2,(IF(AY33&lt;=$B$82,3,4))))))</f>
        <v>4</v>
      </c>
      <c r="AV33" s="615"/>
      <c r="AW33" s="616">
        <f>iSummary!CG31</f>
        <v>24</v>
      </c>
      <c r="AX33" s="681" t="str">
        <f ca="1">iSummary!CH31&amp;iSummary!CN31</f>
        <v>Kuala Lumpur *</v>
      </c>
      <c r="AY33" s="705">
        <f>iSummary!CI31</f>
        <v>81.02</v>
      </c>
      <c r="AZ33" s="637" t="str">
        <f ca="1">IF(iSummary!CJ31=0,"=",iSummary!CJ31)</f>
        <v/>
      </c>
      <c r="BA33" s="649" t="b">
        <f ca="1">iSummary!CK31</f>
        <v>0</v>
      </c>
      <c r="BB33" s="708" t="str">
        <f ca="1">IF(iSummary!CL31=0,"=",iSummary!CL31)</f>
        <v/>
      </c>
      <c r="BC33" s="650" t="b">
        <f ca="1">iSummary!CM31</f>
        <v>0</v>
      </c>
      <c r="BD33"/>
      <c r="BE33"/>
      <c r="BF33"/>
      <c r="BG33"/>
      <c r="BH33"/>
      <c r="BI33"/>
      <c r="BJ33"/>
      <c r="BK33"/>
      <c r="BL33"/>
      <c r="BM33"/>
      <c r="BN33"/>
      <c r="BO33"/>
      <c r="BP33"/>
      <c r="BQ33"/>
      <c r="BR33"/>
      <c r="BS33"/>
      <c r="BT33"/>
      <c r="BU33"/>
      <c r="BV33"/>
      <c r="BW33"/>
      <c r="BX33"/>
      <c r="BY33"/>
      <c r="BZ33"/>
      <c r="CA33"/>
    </row>
    <row r="34" s="70" customFormat="1" customHeight="1" spans="2:79">
      <c r="B34" s="645">
        <f>iSummary!P32</f>
        <v>1</v>
      </c>
      <c r="C34" s="645">
        <f>IF(B34=0,0,IF(uxb_works!$B$49,IF(G34&lt;$C$80,1,IF(G34&gt;$C$80,4,2)),IF(G34&lt;=$B$80,1,IF(G34&lt;=$B$81,2,(IF(G34&lt;=$B$82,3,4))))))</f>
        <v>4</v>
      </c>
      <c r="D34" s="646"/>
      <c r="E34" s="616">
        <f>iSummary!Q32</f>
        <v>25</v>
      </c>
      <c r="F34" s="681" t="str">
        <f ca="1">iSummary!R32&amp;iSummary!X32</f>
        <v>Milan</v>
      </c>
      <c r="G34" s="682">
        <f>iSummary!S32</f>
        <v>79.3</v>
      </c>
      <c r="H34" s="637">
        <f ca="1">IF(iSummary!T32=0,"=",iSummary!T32)</f>
        <v>6.72</v>
      </c>
      <c r="I34" s="649" t="b">
        <f ca="1">iSummary!U32</f>
        <v>0</v>
      </c>
      <c r="J34" s="636">
        <f ca="1">IF(iSummary!V32=0,"=",iSummary!V32)</f>
        <v>-1</v>
      </c>
      <c r="K34" s="650" t="b">
        <f ca="1">iSummary!W32</f>
        <v>0</v>
      </c>
      <c r="L34" s="693"/>
      <c r="M34" s="693">
        <f>iSummary!AG32</f>
        <v>1</v>
      </c>
      <c r="N34" s="645">
        <f>IF(M34=0,0,IF(uxb_works!$B$49,IF(R34&lt;$C$80,1,IF(R34&gt;$C$80,4,2)),IF(R34&lt;=$B$80,1,IF(R34&lt;=$B$81,2,(IF(R34&lt;=$B$82,3,4))))))</f>
        <v>3</v>
      </c>
      <c r="O34" s="615"/>
      <c r="P34" s="695">
        <f>iSummary!AH32</f>
        <v>25</v>
      </c>
      <c r="Q34" s="699" t="str">
        <f ca="1">iSummary!AI32&amp;iSummary!AO32</f>
        <v>Milan</v>
      </c>
      <c r="R34" s="700">
        <f>iSummary!AJ32</f>
        <v>73.29</v>
      </c>
      <c r="S34" s="637">
        <f ca="1">IF(iSummary!AK32=0,"=",iSummary!AK32)</f>
        <v>5.17</v>
      </c>
      <c r="T34" s="649" t="b">
        <f ca="1">iSummary!AL32</f>
        <v>0</v>
      </c>
      <c r="U34" s="636">
        <f ca="1">IF(iSummary!AM32=0,"=",iSummary!AM32)</f>
        <v>-9</v>
      </c>
      <c r="V34" s="650" t="b">
        <f ca="1">iSummary!AN32</f>
        <v>0</v>
      </c>
      <c r="W34"/>
      <c r="X34" s="68">
        <f>iSummary!AX32</f>
        <v>1</v>
      </c>
      <c r="Y34" s="645">
        <f>IF(X34=0,0,IF(uxb_works!$B$49,IF(AC34&lt;$C$80,1,IF(AC34&gt;$C$80,4,2)),IF(AC34&lt;=$B$80,1,IF(AC34&lt;=$B$81,2,(IF(AC34&lt;=$B$82,3,4))))))</f>
        <v>3</v>
      </c>
      <c r="Z34" s="615"/>
      <c r="AA34" s="616">
        <f>iSummary!AY32</f>
        <v>25</v>
      </c>
      <c r="AB34" s="681" t="str">
        <f ca="1">iSummary!AZ32&amp;iSummary!BF32</f>
        <v>Moscow</v>
      </c>
      <c r="AC34" s="705">
        <f>iSummary!BA32</f>
        <v>72.59</v>
      </c>
      <c r="AD34" s="637">
        <f ca="1">IF(iSummary!BB32=0,"=",iSummary!BB32)</f>
        <v>1.52</v>
      </c>
      <c r="AE34" s="649" t="b">
        <f ca="1">iSummary!BC32</f>
        <v>0</v>
      </c>
      <c r="AF34" s="636">
        <f ca="1">IF(iSummary!BD32=0,"=",iSummary!BD32)</f>
        <v>-3</v>
      </c>
      <c r="AG34" s="650" t="b">
        <f ca="1">iSummary!BE32</f>
        <v>0</v>
      </c>
      <c r="AH34" s="68"/>
      <c r="AI34" s="68">
        <f>iSummary!BO32</f>
        <v>1</v>
      </c>
      <c r="AJ34" s="645">
        <f>IF(AI34=0,0,IF(uxb_works!$B$49,IF(AN34&lt;$C$80,1,IF(AN34&gt;$C$80,4,2)),IF(AN34&lt;=$B$80,1,IF(AN34&lt;=$B$81,2,(IF(AN34&lt;=$B$82,3,4))))))</f>
        <v>4</v>
      </c>
      <c r="AK34" s="615"/>
      <c r="AL34" s="616">
        <f>iSummary!BP32</f>
        <v>25</v>
      </c>
      <c r="AM34" s="681" t="str">
        <f ca="1">iSummary!BQ32&amp;iSummary!BW32</f>
        <v>Seoul</v>
      </c>
      <c r="AN34" s="705">
        <f>iSummary!BR32</f>
        <v>87.93</v>
      </c>
      <c r="AO34" s="637">
        <f ca="1">IF(iSummary!BS32=0,"=",iSummary!BS32)</f>
        <v>0.95</v>
      </c>
      <c r="AP34" s="649" t="b">
        <f ca="1">iSummary!BT32</f>
        <v>0</v>
      </c>
      <c r="AQ34" s="636">
        <f ca="1">IF(iSummary!BU32=0,"=",iSummary!BU32)</f>
        <v>-12</v>
      </c>
      <c r="AR34" s="650" t="b">
        <f ca="1">iSummary!BV32</f>
        <v>0</v>
      </c>
      <c r="AS34" s="68"/>
      <c r="AT34" s="707">
        <f>iSummary!CF32</f>
        <v>1</v>
      </c>
      <c r="AU34" s="645">
        <f>IF(AT34=0,0,IF(uxb_works!$B$49,IF(AY34&lt;$C$80,1,IF(AY34&gt;$C$80,4,2)),IF(AY34&lt;=$B$80,1,IF(AY34&lt;=$B$81,2,(IF(AY34&lt;=$B$82,3,4))))))</f>
        <v>4</v>
      </c>
      <c r="AV34" s="615"/>
      <c r="AW34" s="616">
        <f>iSummary!CG32</f>
        <v>25</v>
      </c>
      <c r="AX34" s="681" t="str">
        <f ca="1">iSummary!CH32&amp;iSummary!CN32</f>
        <v>New York</v>
      </c>
      <c r="AY34" s="705">
        <f>iSummary!CI32</f>
        <v>80.98</v>
      </c>
      <c r="AZ34" s="637">
        <f ca="1">IF(iSummary!CJ32=0,"=",iSummary!CJ32)</f>
        <v>1.51</v>
      </c>
      <c r="BA34" s="649" t="b">
        <f ca="1">iSummary!CK32</f>
        <v>0</v>
      </c>
      <c r="BB34" s="708">
        <f ca="1">IF(iSummary!CL32=0,"=",iSummary!CL32)</f>
        <v>-5</v>
      </c>
      <c r="BC34" s="650" t="b">
        <f ca="1">iSummary!CM32</f>
        <v>0</v>
      </c>
      <c r="BD34"/>
      <c r="BE34"/>
      <c r="BF34"/>
      <c r="BG34"/>
      <c r="BH34"/>
      <c r="BI34"/>
      <c r="BJ34"/>
      <c r="BK34"/>
      <c r="BL34"/>
      <c r="BM34"/>
      <c r="BN34"/>
      <c r="BO34"/>
      <c r="BP34"/>
      <c r="BQ34"/>
      <c r="BR34"/>
      <c r="BS34"/>
      <c r="BT34"/>
      <c r="BU34"/>
      <c r="BV34"/>
      <c r="BW34"/>
      <c r="BX34"/>
      <c r="BY34"/>
      <c r="BZ34"/>
      <c r="CA34"/>
    </row>
    <row r="35" s="70" customFormat="1" customHeight="1" spans="2:79">
      <c r="B35" s="645">
        <f>iSummary!P33</f>
        <v>1</v>
      </c>
      <c r="C35" s="645">
        <f>IF(B35=0,0,IF(uxb_works!$B$49,IF(G35&lt;$C$80,1,IF(G35&gt;$C$80,4,2)),IF(G35&lt;=$B$80,1,IF(G35&lt;=$B$81,2,(IF(G35&lt;=$B$82,3,4))))))</f>
        <v>4</v>
      </c>
      <c r="D35" s="646"/>
      <c r="E35" s="616">
        <f>iSummary!Q33</f>
        <v>26</v>
      </c>
      <c r="F35" s="681" t="str">
        <f ca="1">iSummary!R33&amp;iSummary!X33</f>
        <v>Dallas *</v>
      </c>
      <c r="G35" s="682">
        <f>iSummary!S33</f>
        <v>78.73</v>
      </c>
      <c r="H35" s="637" t="str">
        <f ca="1">IF(iSummary!T33=0,"=",iSummary!T33)</f>
        <v/>
      </c>
      <c r="I35" s="649" t="b">
        <f ca="1">iSummary!U33</f>
        <v>0</v>
      </c>
      <c r="J35" s="636" t="str">
        <f ca="1">IF(iSummary!V33=0,"=",iSummary!V33)</f>
        <v/>
      </c>
      <c r="K35" s="650" t="b">
        <f ca="1">iSummary!W33</f>
        <v>0</v>
      </c>
      <c r="L35" s="693"/>
      <c r="M35" s="693">
        <f>iSummary!AG33</f>
        <v>1</v>
      </c>
      <c r="N35" s="645">
        <f>IF(M35=0,0,IF(uxb_works!$B$49,IF(R35&lt;$C$80,1,IF(R35&gt;$C$80,4,2)),IF(R35&lt;=$B$80,1,IF(R35&lt;=$B$81,2,(IF(R35&lt;=$B$82,3,4))))))</f>
        <v>3</v>
      </c>
      <c r="O35" s="615"/>
      <c r="P35" s="695">
        <f>iSummary!AH33</f>
        <v>26</v>
      </c>
      <c r="Q35" s="699" t="str">
        <f ca="1">iSummary!AI33&amp;iSummary!AO33</f>
        <v>Rome</v>
      </c>
      <c r="R35" s="700">
        <f>iSummary!AJ33</f>
        <v>71.62</v>
      </c>
      <c r="S35" s="637">
        <f ca="1">IF(iSummary!AK33=0,"=",iSummary!AK33)</f>
        <v>9.45</v>
      </c>
      <c r="T35" s="649" t="b">
        <f ca="1">iSummary!AL33</f>
        <v>0</v>
      </c>
      <c r="U35" s="636">
        <f ca="1">IF(iSummary!AM33=0,"=",iSummary!AM33)</f>
        <v>-1</v>
      </c>
      <c r="V35" s="650" t="b">
        <f ca="1">iSummary!AN33</f>
        <v>0</v>
      </c>
      <c r="W35"/>
      <c r="X35" s="68">
        <f>iSummary!AX33</f>
        <v>1</v>
      </c>
      <c r="Y35" s="645">
        <f>IF(X35=0,0,IF(uxb_works!$B$49,IF(AC35&lt;$C$80,1,IF(AC35&gt;$C$80,4,2)),IF(AC35&lt;=$B$80,1,IF(AC35&lt;=$B$81,2,(IF(AC35&lt;=$B$82,3,4))))))</f>
        <v>3</v>
      </c>
      <c r="Z35" s="615"/>
      <c r="AA35" s="616">
        <f>iSummary!AY33</f>
        <v>26</v>
      </c>
      <c r="AB35" s="681" t="str">
        <f ca="1">iSummary!AZ33&amp;iSummary!BF33</f>
        <v>Los Angeles</v>
      </c>
      <c r="AC35" s="705">
        <f>iSummary!BA33</f>
        <v>72.26</v>
      </c>
      <c r="AD35" s="637">
        <f ca="1">IF(iSummary!BB33=0,"=",iSummary!BB33)</f>
        <v>2.88</v>
      </c>
      <c r="AE35" s="649" t="b">
        <f ca="1">iSummary!BC33</f>
        <v>0</v>
      </c>
      <c r="AF35" s="636">
        <f ca="1">IF(iSummary!BD33=0,"=",iSummary!BD33)</f>
        <v>-3</v>
      </c>
      <c r="AG35" s="650" t="b">
        <f ca="1">iSummary!BE33</f>
        <v>0</v>
      </c>
      <c r="AH35" s="68"/>
      <c r="AI35" s="68">
        <f>iSummary!BO33</f>
        <v>1</v>
      </c>
      <c r="AJ35" s="645">
        <f>IF(AI35=0,0,IF(uxb_works!$B$49,IF(AN35&lt;$C$80,1,IF(AN35&gt;$C$80,4,2)),IF(AN35&lt;=$B$80,1,IF(AN35&lt;=$B$81,2,(IF(AN35&lt;=$B$82,3,4))))))</f>
        <v>4</v>
      </c>
      <c r="AK35" s="615"/>
      <c r="AL35" s="616">
        <f>iSummary!BP33</f>
        <v>26</v>
      </c>
      <c r="AM35" s="681" t="str">
        <f ca="1">iSummary!BQ33&amp;iSummary!BW33</f>
        <v>Taipei</v>
      </c>
      <c r="AN35" s="705">
        <f>iSummary!BR33</f>
        <v>87.59</v>
      </c>
      <c r="AO35" s="637">
        <f ca="1">IF(iSummary!BS33=0,"=",iSummary!BS33)</f>
        <v>7.67</v>
      </c>
      <c r="AP35" s="649" t="b">
        <f ca="1">iSummary!BT33</f>
        <v>0</v>
      </c>
      <c r="AQ35" s="636">
        <f ca="1">IF(iSummary!BU33=0,"=",iSummary!BU33)</f>
        <v>-3</v>
      </c>
      <c r="AR35" s="650" t="b">
        <f ca="1">iSummary!BV33</f>
        <v>0</v>
      </c>
      <c r="AS35" s="68"/>
      <c r="AT35" s="707">
        <f>iSummary!CF33</f>
        <v>1</v>
      </c>
      <c r="AU35" s="645">
        <f>IF(AT35=0,0,IF(uxb_works!$B$49,IF(AY35&lt;$C$80,1,IF(AY35&gt;$C$80,4,2)),IF(AY35&lt;=$B$80,1,IF(AY35&lt;=$B$81,2,(IF(AY35&lt;=$B$82,3,4))))))</f>
        <v>4</v>
      </c>
      <c r="AV35" s="615"/>
      <c r="AW35" s="616" t="str">
        <f>iSummary!CG33</f>
        <v>=26</v>
      </c>
      <c r="AX35" s="681" t="str">
        <f ca="1">iSummary!CH33&amp;iSummary!CN33</f>
        <v>Beijing</v>
      </c>
      <c r="AY35" s="705">
        <f>iSummary!CI33</f>
        <v>80.76</v>
      </c>
      <c r="AZ35" s="637">
        <f ca="1">IF(iSummary!CJ33=0,"=",iSummary!CJ33)</f>
        <v>18.68</v>
      </c>
      <c r="BA35" s="649" t="b">
        <f ca="1">iSummary!CK33</f>
        <v>0</v>
      </c>
      <c r="BB35" s="708">
        <f ca="1">IF(iSummary!CL33=0,"=",iSummary!CL33)</f>
        <v>11</v>
      </c>
      <c r="BC35" s="650" t="b">
        <f ca="1">iSummary!CM33</f>
        <v>0</v>
      </c>
      <c r="BD35"/>
      <c r="BE35"/>
      <c r="BF35"/>
      <c r="BG35"/>
      <c r="BH35"/>
      <c r="BI35"/>
      <c r="BJ35"/>
      <c r="BK35"/>
      <c r="BL35"/>
      <c r="BM35"/>
      <c r="BN35"/>
      <c r="BO35"/>
      <c r="BP35"/>
      <c r="BQ35"/>
      <c r="BR35"/>
      <c r="BS35"/>
      <c r="BT35"/>
      <c r="BU35"/>
      <c r="BV35"/>
      <c r="BW35"/>
      <c r="BX35"/>
      <c r="BY35"/>
      <c r="BZ35"/>
      <c r="CA35"/>
    </row>
    <row r="36" s="70" customFormat="1" customHeight="1" spans="2:79">
      <c r="B36" s="645">
        <f>iSummary!P34</f>
        <v>1</v>
      </c>
      <c r="C36" s="645">
        <f>IF(B36=0,0,IF(uxb_works!$B$49,IF(G36&lt;$C$80,1,IF(G36&gt;$C$80,4,2)),IF(G36&lt;=$B$80,1,IF(G36&lt;=$B$81,2,(IF(G36&lt;=$B$82,3,4))))))</f>
        <v>4</v>
      </c>
      <c r="D36" s="646"/>
      <c r="E36" s="616">
        <f>iSummary!Q34</f>
        <v>27</v>
      </c>
      <c r="F36" s="681" t="str">
        <f ca="1">iSummary!R34&amp;iSummary!X34</f>
        <v>Rome</v>
      </c>
      <c r="G36" s="682">
        <f>iSummary!S34</f>
        <v>78.67</v>
      </c>
      <c r="H36" s="637">
        <f ca="1">IF(iSummary!T34=0,"=",iSummary!T34)</f>
        <v>8.69</v>
      </c>
      <c r="I36" s="649" t="b">
        <f ca="1">iSummary!U34</f>
        <v>0</v>
      </c>
      <c r="J36" s="636" t="str">
        <f ca="1">IF(iSummary!V34=0,"=",iSummary!V34)</f>
        <v>=</v>
      </c>
      <c r="K36" s="650" t="b">
        <f ca="1">iSummary!W34</f>
        <v>0</v>
      </c>
      <c r="L36" s="693"/>
      <c r="M36" s="693">
        <f>iSummary!AG34</f>
        <v>1</v>
      </c>
      <c r="N36" s="645">
        <f>IF(M36=0,0,IF(uxb_works!$B$49,IF(R36&lt;$C$80,1,IF(R36&gt;$C$80,4,2)),IF(R36&lt;=$B$80,1,IF(R36&lt;=$B$81,2,(IF(R36&lt;=$B$82,3,4))))))</f>
        <v>3</v>
      </c>
      <c r="O36" s="615"/>
      <c r="P36" s="695">
        <f>iSummary!AH34</f>
        <v>27</v>
      </c>
      <c r="Q36" s="699" t="str">
        <f ca="1">iSummary!AI34&amp;iSummary!AO34</f>
        <v>Paris</v>
      </c>
      <c r="R36" s="700">
        <f>iSummary!AJ34</f>
        <v>70.37</v>
      </c>
      <c r="S36" s="637">
        <f ca="1">IF(iSummary!AK34=0,"=",iSummary!AK34)</f>
        <v>10.97</v>
      </c>
      <c r="T36" s="649" t="b">
        <f ca="1">iSummary!AL34</f>
        <v>0</v>
      </c>
      <c r="U36" s="636">
        <f ca="1">IF(iSummary!AM34=0,"=",iSummary!AM34)</f>
        <v>5</v>
      </c>
      <c r="V36" s="650" t="b">
        <f ca="1">iSummary!AN34</f>
        <v>0</v>
      </c>
      <c r="W36"/>
      <c r="X36" s="68">
        <f>iSummary!AX34</f>
        <v>1</v>
      </c>
      <c r="Y36" s="645">
        <f>IF(X36=0,0,IF(uxb_works!$B$49,IF(AC36&lt;$C$80,1,IF(AC36&gt;$C$80,4,2)),IF(AC36&lt;=$B$80,1,IF(AC36&lt;=$B$81,2,(IF(AC36&lt;=$B$82,3,4))))))</f>
        <v>3</v>
      </c>
      <c r="Z36" s="615"/>
      <c r="AA36" s="616">
        <f>iSummary!AY34</f>
        <v>27</v>
      </c>
      <c r="AB36" s="681" t="str">
        <f ca="1">iSummary!AZ34&amp;iSummary!BF34</f>
        <v>Chicago</v>
      </c>
      <c r="AC36" s="705">
        <f>iSummary!BA34</f>
        <v>71.78</v>
      </c>
      <c r="AD36" s="637">
        <f ca="1">IF(iSummary!BB34=0,"=",iSummary!BB34)</f>
        <v>-0.17</v>
      </c>
      <c r="AE36" s="649" t="b">
        <f ca="1">iSummary!BC34</f>
        <v>0</v>
      </c>
      <c r="AF36" s="636">
        <f ca="1">IF(iSummary!BD34=0,"=",iSummary!BD34)</f>
        <v>-6</v>
      </c>
      <c r="AG36" s="650" t="b">
        <f ca="1">iSummary!BE34</f>
        <v>0</v>
      </c>
      <c r="AH36" s="68"/>
      <c r="AI36" s="68">
        <f>iSummary!BO34</f>
        <v>1</v>
      </c>
      <c r="AJ36" s="645">
        <f>IF(AI36=0,0,IF(uxb_works!$B$49,IF(AN36&lt;$C$80,1,IF(AN36&gt;$C$80,4,2)),IF(AN36&lt;=$B$80,1,IF(AN36&lt;=$B$81,2,(IF(AN36&lt;=$B$82,3,4))))))</f>
        <v>4</v>
      </c>
      <c r="AK36" s="615"/>
      <c r="AL36" s="616">
        <f>iSummary!BP34</f>
        <v>27</v>
      </c>
      <c r="AM36" s="681" t="str">
        <f ca="1">iSummary!BQ34&amp;iSummary!BW34</f>
        <v>Chicago</v>
      </c>
      <c r="AN36" s="705">
        <f>iSummary!BR34</f>
        <v>87.47</v>
      </c>
      <c r="AO36" s="637">
        <f ca="1">IF(iSummary!BS34=0,"=",iSummary!BS34)</f>
        <v>-0.1</v>
      </c>
      <c r="AP36" s="649" t="b">
        <f ca="1">iSummary!BT34</f>
        <v>0</v>
      </c>
      <c r="AQ36" s="636">
        <f ca="1">IF(iSummary!BU34=0,"=",iSummary!BU34)</f>
        <v>-15</v>
      </c>
      <c r="AR36" s="650" t="b">
        <f ca="1">iSummary!BV34</f>
        <v>0</v>
      </c>
      <c r="AS36" s="68"/>
      <c r="AT36" s="707">
        <f>iSummary!CF34</f>
        <v>1</v>
      </c>
      <c r="AU36" s="645">
        <f>IF(AT36=0,0,IF(uxb_works!$B$49,IF(AY36&lt;$C$80,1,IF(AY36&gt;$C$80,4,2)),IF(AY36&lt;=$B$80,1,IF(AY36&lt;=$B$81,2,(IF(AY36&lt;=$B$82,3,4))))))</f>
        <v>4</v>
      </c>
      <c r="AV36" s="615"/>
      <c r="AW36" s="616" t="str">
        <f>iSummary!CG34</f>
        <v>=26</v>
      </c>
      <c r="AX36" s="681" t="str">
        <f ca="1">iSummary!CH34&amp;iSummary!CN34</f>
        <v>Dallas *</v>
      </c>
      <c r="AY36" s="705">
        <f>iSummary!CI34</f>
        <v>80.76</v>
      </c>
      <c r="AZ36" s="637" t="str">
        <f ca="1">IF(iSummary!CJ34=0,"=",iSummary!CJ34)</f>
        <v/>
      </c>
      <c r="BA36" s="649" t="b">
        <f ca="1">iSummary!CK34</f>
        <v>0</v>
      </c>
      <c r="BB36" s="708" t="str">
        <f ca="1">IF(iSummary!CL34=0,"=",iSummary!CL34)</f>
        <v/>
      </c>
      <c r="BC36" s="650" t="b">
        <f ca="1">iSummary!CM34</f>
        <v>0</v>
      </c>
      <c r="BD36"/>
      <c r="BE36"/>
      <c r="BF36"/>
      <c r="BG36"/>
      <c r="BH36"/>
      <c r="BI36"/>
      <c r="BJ36"/>
      <c r="BK36"/>
      <c r="BL36"/>
      <c r="BM36"/>
      <c r="BN36"/>
      <c r="BO36"/>
      <c r="BP36"/>
      <c r="BQ36"/>
      <c r="BR36"/>
      <c r="BS36"/>
      <c r="BT36"/>
      <c r="BU36"/>
      <c r="BV36"/>
      <c r="BW36"/>
      <c r="BX36"/>
      <c r="BY36"/>
      <c r="BZ36"/>
      <c r="CA36"/>
    </row>
    <row r="37" s="70" customFormat="1" customHeight="1" spans="2:79">
      <c r="B37" s="645">
        <f>iSummary!P35</f>
        <v>1</v>
      </c>
      <c r="C37" s="645">
        <f>IF(B37=0,0,IF(uxb_works!$B$49,IF(G37&lt;$C$80,1,IF(G37&gt;$C$80,4,2)),IF(G37&lt;=$B$80,1,IF(G37&lt;=$B$81,2,(IF(G37&lt;=$B$82,3,4))))))</f>
        <v>4</v>
      </c>
      <c r="D37" s="646"/>
      <c r="E37" s="616">
        <f>iSummary!Q35</f>
        <v>28</v>
      </c>
      <c r="F37" s="681" t="str">
        <f ca="1">iSummary!R35&amp;iSummary!X35</f>
        <v>Abu Dhabi</v>
      </c>
      <c r="G37" s="682">
        <f>iSummary!S35</f>
        <v>76.91</v>
      </c>
      <c r="H37" s="637">
        <f ca="1">IF(iSummary!T35=0,"=",iSummary!T35)</f>
        <v>4.18</v>
      </c>
      <c r="I37" s="649" t="b">
        <f ca="1">iSummary!U35</f>
        <v>0</v>
      </c>
      <c r="J37" s="636">
        <f ca="1">IF(iSummary!V35=0,"=",iSummary!V35)</f>
        <v>-5</v>
      </c>
      <c r="K37" s="650" t="b">
        <f ca="1">iSummary!W35</f>
        <v>0</v>
      </c>
      <c r="L37" s="693"/>
      <c r="M37" s="693">
        <f>iSummary!AG35</f>
        <v>1</v>
      </c>
      <c r="N37" s="645">
        <f>IF(M37=0,0,IF(uxb_works!$B$49,IF(R37&lt;$C$80,1,IF(R37&gt;$C$80,4,2)),IF(R37&lt;=$B$80,1,IF(R37&lt;=$B$81,2,(IF(R37&lt;=$B$82,3,4))))))</f>
        <v>3</v>
      </c>
      <c r="O37" s="615"/>
      <c r="P37" s="695">
        <f>iSummary!AH35</f>
        <v>28</v>
      </c>
      <c r="Q37" s="699" t="str">
        <f ca="1">iSummary!AI35&amp;iSummary!AO35</f>
        <v>Abu Dhabi</v>
      </c>
      <c r="R37" s="700">
        <f>iSummary!AJ35</f>
        <v>68.77</v>
      </c>
      <c r="S37" s="637">
        <f ca="1">IF(iSummary!AK35=0,"=",iSummary!AK35)</f>
        <v>-10.44</v>
      </c>
      <c r="T37" s="649" t="b">
        <f ca="1">iSummary!AL35</f>
        <v>0</v>
      </c>
      <c r="U37" s="636">
        <f ca="1">IF(iSummary!AM35=0,"=",iSummary!AM35)</f>
        <v>-24</v>
      </c>
      <c r="V37" s="650" t="b">
        <f ca="1">iSummary!AN35</f>
        <v>0</v>
      </c>
      <c r="W37"/>
      <c r="X37" s="68">
        <f>iSummary!AX35</f>
        <v>1</v>
      </c>
      <c r="Y37" s="645">
        <f>IF(X37=0,0,IF(uxb_works!$B$49,IF(AC37&lt;$C$80,1,IF(AC37&gt;$C$80,4,2)),IF(AC37&lt;=$B$80,1,IF(AC37&lt;=$B$81,2,(IF(AC37&lt;=$B$82,3,4))))))</f>
        <v>3</v>
      </c>
      <c r="Z37" s="615"/>
      <c r="AA37" s="616">
        <f>iSummary!AY35</f>
        <v>28</v>
      </c>
      <c r="AB37" s="681" t="str">
        <f ca="1">iSummary!AZ35&amp;iSummary!BF35</f>
        <v>Mexico City</v>
      </c>
      <c r="AC37" s="705">
        <f>iSummary!BA35</f>
        <v>70.79</v>
      </c>
      <c r="AD37" s="637">
        <f ca="1">IF(iSummary!BB35=0,"=",iSummary!BB35)</f>
        <v>5.47</v>
      </c>
      <c r="AE37" s="649" t="b">
        <f ca="1">iSummary!BC35</f>
        <v>0</v>
      </c>
      <c r="AF37" s="636">
        <f ca="1">IF(iSummary!BD35=0,"=",iSummary!BD35)</f>
        <v>3</v>
      </c>
      <c r="AG37" s="650" t="b">
        <f ca="1">iSummary!BE35</f>
        <v>0</v>
      </c>
      <c r="AH37" s="68"/>
      <c r="AI37" s="68">
        <f>iSummary!BO35</f>
        <v>1</v>
      </c>
      <c r="AJ37" s="645">
        <f>IF(AI37=0,0,IF(uxb_works!$B$49,IF(AN37&lt;$C$80,1,IF(AN37&gt;$C$80,4,2)),IF(AN37&lt;=$B$80,1,IF(AN37&lt;=$B$81,2,(IF(AN37&lt;=$B$82,3,4))))))</f>
        <v>4</v>
      </c>
      <c r="AK37" s="615"/>
      <c r="AL37" s="616">
        <f>iSummary!BP35</f>
        <v>28</v>
      </c>
      <c r="AM37" s="681" t="str">
        <f ca="1">iSummary!BQ35&amp;iSummary!BW35</f>
        <v>Washington DC</v>
      </c>
      <c r="AN37" s="705">
        <f>iSummary!BR35</f>
        <v>82.38</v>
      </c>
      <c r="AO37" s="637">
        <f ca="1">IF(iSummary!BS35=0,"=",iSummary!BS35)</f>
        <v>1.76</v>
      </c>
      <c r="AP37" s="649" t="b">
        <f ca="1">iSummary!BT35</f>
        <v>0</v>
      </c>
      <c r="AQ37" s="636">
        <f ca="1">IF(iSummary!BU35=0,"=",iSummary!BU35)</f>
        <v>-6</v>
      </c>
      <c r="AR37" s="650" t="b">
        <f ca="1">iSummary!BV35</f>
        <v>0</v>
      </c>
      <c r="AS37" s="68"/>
      <c r="AT37" s="707">
        <f>iSummary!CF35</f>
        <v>1</v>
      </c>
      <c r="AU37" s="645">
        <f>IF(AT37=0,0,IF(uxb_works!$B$49,IF(AY37&lt;$C$80,1,IF(AY37&gt;$C$80,4,2)),IF(AY37&lt;=$B$80,1,IF(AY37&lt;=$B$81,2,(IF(AY37&lt;=$B$82,3,4))))))</f>
        <v>4</v>
      </c>
      <c r="AV37" s="615"/>
      <c r="AW37" s="616">
        <f>iSummary!CG35</f>
        <v>28</v>
      </c>
      <c r="AX37" s="681" t="str">
        <f ca="1">iSummary!CH35&amp;iSummary!CN35</f>
        <v>Shanghai</v>
      </c>
      <c r="AY37" s="705">
        <f>iSummary!CI35</f>
        <v>80.07</v>
      </c>
      <c r="AZ37" s="637">
        <f ca="1">IF(iSummary!CJ35=0,"=",iSummary!CJ35)</f>
        <v>6.21</v>
      </c>
      <c r="BA37" s="649" t="b">
        <f ca="1">iSummary!CK35</f>
        <v>0</v>
      </c>
      <c r="BB37" s="708">
        <f ca="1">IF(iSummary!CL35=0,"=",iSummary!CL35)</f>
        <v>-5</v>
      </c>
      <c r="BC37" s="650" t="b">
        <f ca="1">iSummary!CM35</f>
        <v>0</v>
      </c>
      <c r="BD37"/>
      <c r="BE37"/>
      <c r="BF37"/>
      <c r="BG37"/>
      <c r="BH37"/>
      <c r="BI37"/>
      <c r="BJ37"/>
      <c r="BK37"/>
      <c r="BL37"/>
      <c r="BM37"/>
      <c r="BN37"/>
      <c r="BO37"/>
      <c r="BP37"/>
      <c r="BQ37"/>
      <c r="BR37"/>
      <c r="BS37"/>
      <c r="BT37"/>
      <c r="BU37"/>
      <c r="BV37"/>
      <c r="BW37"/>
      <c r="BX37"/>
      <c r="BY37"/>
      <c r="BZ37"/>
      <c r="CA37"/>
    </row>
    <row r="38" s="70" customFormat="1" customHeight="1" spans="2:79">
      <c r="B38" s="645">
        <f>iSummary!P36</f>
        <v>1</v>
      </c>
      <c r="C38" s="645">
        <f>IF(B38=0,0,IF(uxb_works!$B$49,IF(G38&lt;$C$80,1,IF(G38&gt;$C$80,4,2)),IF(G38&lt;=$B$80,1,IF(G38&lt;=$B$81,2,(IF(G38&lt;=$B$82,3,4))))))</f>
        <v>4</v>
      </c>
      <c r="D38" s="646"/>
      <c r="E38" s="616">
        <f>iSummary!Q36</f>
        <v>29</v>
      </c>
      <c r="F38" s="681" t="str">
        <f ca="1">iSummary!R36&amp;iSummary!X36</f>
        <v>Buenos Aires</v>
      </c>
      <c r="G38" s="682">
        <f>iSummary!S36</f>
        <v>76.35</v>
      </c>
      <c r="H38" s="637">
        <f ca="1">IF(iSummary!T36=0,"=",iSummary!T36)</f>
        <v>6.33</v>
      </c>
      <c r="I38" s="649" t="b">
        <f ca="1">iSummary!U36</f>
        <v>0</v>
      </c>
      <c r="J38" s="636">
        <f ca="1">IF(iSummary!V36=0,"=",iSummary!V36)</f>
        <v>-3</v>
      </c>
      <c r="K38" s="650" t="b">
        <f ca="1">iSummary!W36</f>
        <v>0</v>
      </c>
      <c r="L38" s="693"/>
      <c r="M38" s="693">
        <f>iSummary!AG36</f>
        <v>1</v>
      </c>
      <c r="N38" s="645">
        <f>IF(M38=0,0,IF(uxb_works!$B$49,IF(R38&lt;$C$80,1,IF(R38&gt;$C$80,4,2)),IF(R38&lt;=$B$80,1,IF(R38&lt;=$B$81,2,(IF(R38&lt;=$B$82,3,4))))))</f>
        <v>3</v>
      </c>
      <c r="O38" s="615"/>
      <c r="P38" s="695">
        <f>iSummary!AH36</f>
        <v>29</v>
      </c>
      <c r="Q38" s="699" t="str">
        <f ca="1">iSummary!AI36&amp;iSummary!AO36</f>
        <v>Johannesburg</v>
      </c>
      <c r="R38" s="700">
        <f>iSummary!AJ36</f>
        <v>66.28</v>
      </c>
      <c r="S38" s="637">
        <f ca="1">IF(iSummary!AK36=0,"=",iSummary!AK36)</f>
        <v>7.88</v>
      </c>
      <c r="T38" s="649" t="b">
        <f ca="1">iSummary!AL36</f>
        <v>0</v>
      </c>
      <c r="U38" s="636">
        <f ca="1">IF(iSummary!AM36=0,"=",iSummary!AM36)</f>
        <v>4</v>
      </c>
      <c r="V38" s="650" t="b">
        <f ca="1">iSummary!AN36</f>
        <v>0</v>
      </c>
      <c r="W38"/>
      <c r="X38" s="68">
        <f>iSummary!AX36</f>
        <v>1</v>
      </c>
      <c r="Y38" s="645">
        <f>IF(X38=0,0,IF(uxb_works!$B$49,IF(AC38&lt;$C$80,1,IF(AC38&gt;$C$80,4,2)),IF(AC38&lt;=$B$80,1,IF(AC38&lt;=$B$81,2,(IF(AC38&lt;=$B$82,3,4))))))</f>
        <v>3</v>
      </c>
      <c r="Z38" s="615"/>
      <c r="AA38" s="616">
        <f>iSummary!AY36</f>
        <v>29</v>
      </c>
      <c r="AB38" s="681" t="str">
        <f ca="1">iSummary!AZ36&amp;iSummary!BF36</f>
        <v>Dallas *</v>
      </c>
      <c r="AC38" s="705">
        <f>iSummary!BA36</f>
        <v>70.27</v>
      </c>
      <c r="AD38" s="637" t="str">
        <f ca="1">IF(iSummary!BB36=0,"=",iSummary!BB36)</f>
        <v/>
      </c>
      <c r="AE38" s="649" t="b">
        <f ca="1">iSummary!BC36</f>
        <v>0</v>
      </c>
      <c r="AF38" s="636" t="str">
        <f ca="1">IF(iSummary!BD36=0,"=",iSummary!BD36)</f>
        <v/>
      </c>
      <c r="AG38" s="650" t="b">
        <f ca="1">iSummary!BE36</f>
        <v>0</v>
      </c>
      <c r="AH38" s="68"/>
      <c r="AI38" s="68">
        <f>iSummary!BO36</f>
        <v>1</v>
      </c>
      <c r="AJ38" s="645">
        <f>IF(AI38=0,0,IF(uxb_works!$B$49,IF(AN38&lt;$C$80,1,IF(AN38&gt;$C$80,4,2)),IF(AN38&lt;=$B$80,1,IF(AN38&lt;=$B$81,2,(IF(AN38&lt;=$B$82,3,4))))))</f>
        <v>4</v>
      </c>
      <c r="AK38" s="615"/>
      <c r="AL38" s="616">
        <f>iSummary!BP36</f>
        <v>29</v>
      </c>
      <c r="AM38" s="681" t="str">
        <f ca="1">iSummary!BQ36&amp;iSummary!BW36</f>
        <v>Athens *</v>
      </c>
      <c r="AN38" s="705">
        <f>iSummary!BR36</f>
        <v>82.05</v>
      </c>
      <c r="AO38" s="637" t="str">
        <f ca="1">IF(iSummary!BS36=0,"=",iSummary!BS36)</f>
        <v/>
      </c>
      <c r="AP38" s="649" t="b">
        <f ca="1">iSummary!BT36</f>
        <v>0</v>
      </c>
      <c r="AQ38" s="636" t="str">
        <f ca="1">IF(iSummary!BU36=0,"=",iSummary!BU36)</f>
        <v/>
      </c>
      <c r="AR38" s="650" t="b">
        <f ca="1">iSummary!BV36</f>
        <v>0</v>
      </c>
      <c r="AS38" s="68"/>
      <c r="AT38" s="707">
        <f>iSummary!CF36</f>
        <v>1</v>
      </c>
      <c r="AU38" s="645">
        <f>IF(AT38=0,0,IF(uxb_works!$B$49,IF(AY38&lt;$C$80,1,IF(AY38&gt;$C$80,4,2)),IF(AY38&lt;=$B$80,1,IF(AY38&lt;=$B$81,2,(IF(AY38&lt;=$B$82,3,4))))))</f>
        <v>4</v>
      </c>
      <c r="AV38" s="615"/>
      <c r="AW38" s="616">
        <f>iSummary!CG36</f>
        <v>29</v>
      </c>
      <c r="AX38" s="681" t="str">
        <f ca="1">iSummary!CH36&amp;iSummary!CN36</f>
        <v>Abu Dhabi</v>
      </c>
      <c r="AY38" s="705">
        <f>iSummary!CI36</f>
        <v>78.95</v>
      </c>
      <c r="AZ38" s="637">
        <f ca="1">IF(iSummary!CJ36=0,"=",iSummary!CJ36)</f>
        <v>10.37</v>
      </c>
      <c r="BA38" s="649" t="b">
        <f ca="1">iSummary!CK36</f>
        <v>0</v>
      </c>
      <c r="BB38" s="708">
        <f ca="1">IF(iSummary!CL36=0,"=",iSummary!CL36)</f>
        <v>-2</v>
      </c>
      <c r="BC38" s="650" t="b">
        <f ca="1">iSummary!CM36</f>
        <v>0</v>
      </c>
      <c r="BD38"/>
      <c r="BE38"/>
      <c r="BF38"/>
      <c r="BG38"/>
      <c r="BH38"/>
      <c r="BI38"/>
      <c r="BJ38"/>
      <c r="BK38"/>
      <c r="BL38"/>
      <c r="BM38"/>
      <c r="BN38"/>
      <c r="BO38"/>
      <c r="BP38"/>
      <c r="BQ38"/>
      <c r="BR38"/>
      <c r="BS38"/>
      <c r="BT38"/>
      <c r="BU38"/>
      <c r="BV38"/>
      <c r="BW38"/>
      <c r="BX38"/>
      <c r="BY38"/>
      <c r="BZ38"/>
      <c r="CA38"/>
    </row>
    <row r="39" s="70" customFormat="1" customHeight="1" spans="2:79">
      <c r="B39" s="645">
        <f>iSummary!P37</f>
        <v>1</v>
      </c>
      <c r="C39" s="645">
        <f>IF(B39=0,0,IF(uxb_works!$B$49,IF(G39&lt;$C$80,1,IF(G39&gt;$C$80,4,2)),IF(G39&lt;=$B$80,1,IF(G39&lt;=$B$81,2,(IF(G39&lt;=$B$82,3,4))))))</f>
        <v>3</v>
      </c>
      <c r="D39" s="646"/>
      <c r="E39" s="616">
        <f>iSummary!Q37</f>
        <v>30</v>
      </c>
      <c r="F39" s="681" t="str">
        <f ca="1">iSummary!R37&amp;iSummary!X37</f>
        <v>Doha</v>
      </c>
      <c r="G39" s="682">
        <f>iSummary!S37</f>
        <v>73.59</v>
      </c>
      <c r="H39" s="637">
        <f ca="1">IF(iSummary!T37=0,"=",iSummary!T37)</f>
        <v>4.78</v>
      </c>
      <c r="I39" s="649" t="b">
        <f ca="1">iSummary!U37</f>
        <v>0</v>
      </c>
      <c r="J39" s="636">
        <f ca="1">IF(iSummary!V37=0,"=",iSummary!V37)</f>
        <v>-2</v>
      </c>
      <c r="K39" s="650" t="b">
        <f ca="1">iSummary!W37</f>
        <v>0</v>
      </c>
      <c r="L39" s="693"/>
      <c r="M39" s="693">
        <f>iSummary!AG37</f>
        <v>1</v>
      </c>
      <c r="N39" s="645">
        <f>IF(M39=0,0,IF(uxb_works!$B$49,IF(R39&lt;$C$80,1,IF(R39&gt;$C$80,4,2)),IF(R39&lt;=$B$80,1,IF(R39&lt;=$B$81,2,(IF(R39&lt;=$B$82,3,4))))))</f>
        <v>3</v>
      </c>
      <c r="O39" s="615"/>
      <c r="P39" s="695">
        <f>iSummary!AH37</f>
        <v>30</v>
      </c>
      <c r="Q39" s="699" t="str">
        <f ca="1">iSummary!AI37&amp;iSummary!AO37</f>
        <v>Kuala Lumpur *</v>
      </c>
      <c r="R39" s="700">
        <f>iSummary!AJ37</f>
        <v>66.17</v>
      </c>
      <c r="S39" s="637" t="str">
        <f ca="1">IF(iSummary!AK37=0,"=",iSummary!AK37)</f>
        <v/>
      </c>
      <c r="T39" s="649" t="b">
        <f ca="1">iSummary!AL37</f>
        <v>0</v>
      </c>
      <c r="U39" s="636" t="str">
        <f ca="1">IF(iSummary!AM37=0,"=",iSummary!AM37)</f>
        <v/>
      </c>
      <c r="V39" s="650" t="b">
        <f ca="1">iSummary!AN37</f>
        <v>0</v>
      </c>
      <c r="W39"/>
      <c r="X39" s="68">
        <f>iSummary!AX37</f>
        <v>1</v>
      </c>
      <c r="Y39" s="645">
        <f>IF(X39=0,0,IF(uxb_works!$B$49,IF(AC39&lt;$C$80,1,IF(AC39&gt;$C$80,4,2)),IF(AC39&lt;=$B$80,1,IF(AC39&lt;=$B$81,2,(IF(AC39&lt;=$B$82,3,4))))))</f>
        <v>3</v>
      </c>
      <c r="Z39" s="615"/>
      <c r="AA39" s="616">
        <f>iSummary!AY37</f>
        <v>30</v>
      </c>
      <c r="AB39" s="681" t="str">
        <f ca="1">iSummary!AZ37&amp;iSummary!BF37</f>
        <v>Shanghai</v>
      </c>
      <c r="AC39" s="705">
        <f>iSummary!BA37</f>
        <v>69.92</v>
      </c>
      <c r="AD39" s="637">
        <f ca="1">IF(iSummary!BB37=0,"=",iSummary!BB37)</f>
        <v>3.63</v>
      </c>
      <c r="AE39" s="649" t="b">
        <f ca="1">iSummary!BC37</f>
        <v>0</v>
      </c>
      <c r="AF39" s="636" t="str">
        <f ca="1">IF(iSummary!BD37=0,"=",iSummary!BD37)</f>
        <v>=</v>
      </c>
      <c r="AG39" s="650" t="b">
        <f ca="1">iSummary!BE37</f>
        <v>0</v>
      </c>
      <c r="AH39" s="68"/>
      <c r="AI39" s="68">
        <f>iSummary!BO37</f>
        <v>1</v>
      </c>
      <c r="AJ39" s="645">
        <f>IF(AI39=0,0,IF(uxb_works!$B$49,IF(AN39&lt;$C$80,1,IF(AN39&gt;$C$80,4,2)),IF(AN39&lt;=$B$80,1,IF(AN39&lt;=$B$81,2,(IF(AN39&lt;=$B$82,3,4))))))</f>
        <v>4</v>
      </c>
      <c r="AK39" s="615"/>
      <c r="AL39" s="616">
        <f>iSummary!BP37</f>
        <v>30</v>
      </c>
      <c r="AM39" s="681" t="str">
        <f ca="1">iSummary!BQ37&amp;iSummary!BW37</f>
        <v>Doha</v>
      </c>
      <c r="AN39" s="705">
        <f>iSummary!BR37</f>
        <v>81.72</v>
      </c>
      <c r="AO39" s="637">
        <f ca="1">IF(iSummary!BS37=0,"=",iSummary!BS37)</f>
        <v>6.23</v>
      </c>
      <c r="AP39" s="649" t="b">
        <f ca="1">iSummary!BT37</f>
        <v>0</v>
      </c>
      <c r="AQ39" s="636">
        <f ca="1">IF(iSummary!BU37=0,"=",iSummary!BU37)</f>
        <v>1</v>
      </c>
      <c r="AR39" s="650" t="b">
        <f ca="1">iSummary!BV37</f>
        <v>0</v>
      </c>
      <c r="AS39" s="68"/>
      <c r="AT39" s="707">
        <f>iSummary!CF37</f>
        <v>1</v>
      </c>
      <c r="AU39" s="645">
        <f>IF(AT39=0,0,IF(uxb_works!$B$49,IF(AY39&lt;$C$80,1,IF(AY39&gt;$C$80,4,2)),IF(AY39&lt;=$B$80,1,IF(AY39&lt;=$B$81,2,(IF(AY39&lt;=$B$82,3,4))))))</f>
        <v>4</v>
      </c>
      <c r="AV39" s="615"/>
      <c r="AW39" s="616">
        <f>iSummary!CG37</f>
        <v>30</v>
      </c>
      <c r="AX39" s="681" t="str">
        <f ca="1">iSummary!CH37&amp;iSummary!CN37</f>
        <v>Mumbai</v>
      </c>
      <c r="AY39" s="705">
        <f>iSummary!CI37</f>
        <v>77.89</v>
      </c>
      <c r="AZ39" s="637">
        <f ca="1">IF(iSummary!CJ37=0,"=",iSummary!CJ37)</f>
        <v>10.24</v>
      </c>
      <c r="BA39" s="649" t="b">
        <f ca="1">iSummary!CK37</f>
        <v>0</v>
      </c>
      <c r="BB39" s="708">
        <f ca="1">IF(iSummary!CL37=0,"=",iSummary!CL37)</f>
        <v>-1</v>
      </c>
      <c r="BC39" s="650" t="b">
        <f ca="1">iSummary!CM37</f>
        <v>0</v>
      </c>
      <c r="BD39"/>
      <c r="BE39"/>
      <c r="BF39"/>
      <c r="BG39"/>
      <c r="BH39"/>
      <c r="BI39"/>
      <c r="BJ39"/>
      <c r="BK39"/>
      <c r="BL39"/>
      <c r="BM39"/>
      <c r="BN39"/>
      <c r="BO39"/>
      <c r="BP39"/>
      <c r="BQ39"/>
      <c r="BR39"/>
      <c r="BS39"/>
      <c r="BT39"/>
      <c r="BU39"/>
      <c r="BV39"/>
      <c r="BW39"/>
      <c r="BX39"/>
      <c r="BY39"/>
      <c r="BZ39"/>
      <c r="CA39"/>
    </row>
    <row r="40" s="70" customFormat="1" customHeight="1" spans="2:79">
      <c r="B40" s="645">
        <f>iSummary!P38</f>
        <v>1</v>
      </c>
      <c r="C40" s="645">
        <f>IF(B40=0,0,IF(uxb_works!$B$49,IF(G40&lt;$C$80,1,IF(G40&gt;$C$80,4,2)),IF(G40&lt;=$B$80,1,IF(G40&lt;=$B$81,2,(IF(G40&lt;=$B$82,3,4))))))</f>
        <v>3</v>
      </c>
      <c r="D40" s="646"/>
      <c r="E40" s="616">
        <f>iSummary!Q38</f>
        <v>31</v>
      </c>
      <c r="F40" s="681" t="str">
        <f ca="1">iSummary!R38&amp;iSummary!X38</f>
        <v>Kuala Lumpur *</v>
      </c>
      <c r="G40" s="682">
        <f>iSummary!S38</f>
        <v>73.11</v>
      </c>
      <c r="H40" s="637" t="str">
        <f ca="1">IF(iSummary!T38=0,"=",iSummary!T38)</f>
        <v/>
      </c>
      <c r="I40" s="649" t="b">
        <f ca="1">iSummary!U38</f>
        <v>0</v>
      </c>
      <c r="J40" s="636" t="str">
        <f ca="1">IF(iSummary!V38=0,"=",iSummary!V38)</f>
        <v/>
      </c>
      <c r="K40" s="650" t="b">
        <f ca="1">iSummary!W38</f>
        <v>0</v>
      </c>
      <c r="L40" s="693"/>
      <c r="M40" s="693">
        <f>iSummary!AG38</f>
        <v>1</v>
      </c>
      <c r="N40" s="645">
        <f>IF(M40=0,0,IF(uxb_works!$B$49,IF(R40&lt;$C$80,1,IF(R40&gt;$C$80,4,2)),IF(R40&lt;=$B$80,1,IF(R40&lt;=$B$81,2,(IF(R40&lt;=$B$82,3,4))))))</f>
        <v>3</v>
      </c>
      <c r="O40" s="615"/>
      <c r="P40" s="695">
        <f>iSummary!AH38</f>
        <v>31</v>
      </c>
      <c r="Q40" s="699" t="str">
        <f ca="1">iSummary!AI38&amp;iSummary!AO38</f>
        <v>Taipei</v>
      </c>
      <c r="R40" s="700">
        <f>iSummary!AJ38</f>
        <v>65.98</v>
      </c>
      <c r="S40" s="637">
        <f ca="1">IF(iSummary!AK38=0,"=",iSummary!AK38)</f>
        <v>4.37</v>
      </c>
      <c r="T40" s="649" t="b">
        <f ca="1">iSummary!AL38</f>
        <v>0</v>
      </c>
      <c r="U40" s="636">
        <f ca="1">IF(iSummary!AM38=0,"=",iSummary!AM38)</f>
        <v>-4</v>
      </c>
      <c r="V40" s="650" t="b">
        <f ca="1">iSummary!AN38</f>
        <v>0</v>
      </c>
      <c r="W40"/>
      <c r="X40" s="68">
        <f>iSummary!AX38</f>
        <v>1</v>
      </c>
      <c r="Y40" s="645">
        <f>IF(X40=0,0,IF(uxb_works!$B$49,IF(AC40&lt;$C$80,1,IF(AC40&gt;$C$80,4,2)),IF(AC40&lt;=$B$80,1,IF(AC40&lt;=$B$81,2,(IF(AC40&lt;=$B$82,3,4))))))</f>
        <v>3</v>
      </c>
      <c r="Z40" s="615"/>
      <c r="AA40" s="616">
        <f>iSummary!AY38</f>
        <v>31</v>
      </c>
      <c r="AB40" s="681" t="str">
        <f ca="1">iSummary!AZ38&amp;iSummary!BF38</f>
        <v>New York</v>
      </c>
      <c r="AC40" s="705">
        <f>iSummary!BA38</f>
        <v>69.73</v>
      </c>
      <c r="AD40" s="637">
        <f ca="1">IF(iSummary!BB38=0,"=",iSummary!BB38)</f>
        <v>-9.87</v>
      </c>
      <c r="AE40" s="649" t="b">
        <f ca="1">iSummary!BC38</f>
        <v>0</v>
      </c>
      <c r="AF40" s="636">
        <f ca="1">IF(iSummary!BD38=0,"=",iSummary!BD38)</f>
        <v>-28</v>
      </c>
      <c r="AG40" s="650" t="b">
        <f ca="1">iSummary!BE38</f>
        <v>0</v>
      </c>
      <c r="AH40" s="68"/>
      <c r="AI40" s="68">
        <f>iSummary!BO38</f>
        <v>1</v>
      </c>
      <c r="AJ40" s="645">
        <f>IF(AI40=0,0,IF(uxb_works!$B$49,IF(AN40&lt;$C$80,1,IF(AN40&gt;$C$80,4,2)),IF(AN40&lt;=$B$80,1,IF(AN40&lt;=$B$81,2,(IF(AN40&lt;=$B$82,3,4))))))</f>
        <v>4</v>
      </c>
      <c r="AK40" s="615"/>
      <c r="AL40" s="616">
        <f>iSummary!BP38</f>
        <v>31</v>
      </c>
      <c r="AM40" s="681" t="str">
        <f ca="1">iSummary!BQ38&amp;iSummary!BW38</f>
        <v>Santiago</v>
      </c>
      <c r="AN40" s="705">
        <f>iSummary!BR38</f>
        <v>81.35</v>
      </c>
      <c r="AO40" s="637">
        <f ca="1">IF(iSummary!BS38=0,"=",iSummary!BS38)</f>
        <v>6.17</v>
      </c>
      <c r="AP40" s="649" t="b">
        <f ca="1">iSummary!BT38</f>
        <v>0</v>
      </c>
      <c r="AQ40" s="636">
        <f ca="1">IF(iSummary!BU38=0,"=",iSummary!BU38)</f>
        <v>1</v>
      </c>
      <c r="AR40" s="650" t="b">
        <f ca="1">iSummary!BV38</f>
        <v>0</v>
      </c>
      <c r="AS40" s="68"/>
      <c r="AT40" s="707">
        <f>iSummary!CF38</f>
        <v>1</v>
      </c>
      <c r="AU40" s="645">
        <f>IF(AT40=0,0,IF(uxb_works!$B$49,IF(AY40&lt;$C$80,1,IF(AY40&gt;$C$80,4,2)),IF(AY40&lt;=$B$80,1,IF(AY40&lt;=$B$81,2,(IF(AY40&lt;=$B$82,3,4))))))</f>
        <v>4</v>
      </c>
      <c r="AV40" s="615"/>
      <c r="AW40" s="616">
        <f>iSummary!CG38</f>
        <v>31</v>
      </c>
      <c r="AX40" s="681" t="str">
        <f ca="1">iSummary!CH38&amp;iSummary!CN38</f>
        <v>Paris</v>
      </c>
      <c r="AY40" s="705">
        <f>iSummary!CI38</f>
        <v>77.23</v>
      </c>
      <c r="AZ40" s="637">
        <f ca="1">IF(iSummary!CJ38=0,"=",iSummary!CJ38)</f>
        <v>0.14</v>
      </c>
      <c r="BA40" s="649" t="b">
        <f ca="1">iSummary!CK38</f>
        <v>0</v>
      </c>
      <c r="BB40" s="708">
        <f ca="1">IF(iSummary!CL38=0,"=",iSummary!CL38)</f>
        <v>-10</v>
      </c>
      <c r="BC40" s="650" t="b">
        <f ca="1">iSummary!CM38</f>
        <v>0</v>
      </c>
      <c r="BD40"/>
      <c r="BE40"/>
      <c r="BF40"/>
      <c r="BG40"/>
      <c r="BH40"/>
      <c r="BI40"/>
      <c r="BJ40"/>
      <c r="BK40"/>
      <c r="BL40"/>
      <c r="BM40"/>
      <c r="BN40"/>
      <c r="BO40"/>
      <c r="BP40"/>
      <c r="BQ40"/>
      <c r="BR40"/>
      <c r="BS40"/>
      <c r="BT40"/>
      <c r="BU40"/>
      <c r="BV40"/>
      <c r="BW40"/>
      <c r="BX40"/>
      <c r="BY40"/>
      <c r="BZ40"/>
      <c r="CA40"/>
    </row>
    <row r="41" s="70" customFormat="1" customHeight="1" spans="2:79">
      <c r="B41" s="645">
        <f>iSummary!P39</f>
        <v>1</v>
      </c>
      <c r="C41" s="645">
        <f>IF(B41=0,0,IF(uxb_works!$B$49,IF(G41&lt;$C$80,1,IF(G41&gt;$C$80,4,2)),IF(G41&lt;=$B$80,1,IF(G41&lt;=$B$81,2,(IF(G41&lt;=$B$82,3,4))))))</f>
        <v>3</v>
      </c>
      <c r="D41" s="646"/>
      <c r="E41" s="616">
        <f>iSummary!Q39</f>
        <v>32</v>
      </c>
      <c r="F41" s="681" t="str">
        <f ca="1">iSummary!R39&amp;iSummary!X39</f>
        <v>Beijing</v>
      </c>
      <c r="G41" s="682">
        <f>iSummary!S39</f>
        <v>72.06</v>
      </c>
      <c r="H41" s="637">
        <f ca="1">IF(iSummary!T39=0,"=",iSummary!T39)</f>
        <v>7.66</v>
      </c>
      <c r="I41" s="649" t="b">
        <f ca="1">iSummary!U39</f>
        <v>0</v>
      </c>
      <c r="J41" s="636" t="str">
        <f ca="1">IF(iSummary!V39=0,"=",iSummary!V39)</f>
        <v>=</v>
      </c>
      <c r="K41" s="650" t="b">
        <f ca="1">iSummary!W39</f>
        <v>0</v>
      </c>
      <c r="L41" s="693"/>
      <c r="M41" s="693">
        <f>iSummary!AG39</f>
        <v>1</v>
      </c>
      <c r="N41" s="645">
        <f>IF(M41=0,0,IF(uxb_works!$B$49,IF(R41&lt;$C$80,1,IF(R41&gt;$C$80,4,2)),IF(R41&lt;=$B$80,1,IF(R41&lt;=$B$81,2,(IF(R41&lt;=$B$82,3,4))))))</f>
        <v>3</v>
      </c>
      <c r="O41" s="615"/>
      <c r="P41" s="695">
        <f>iSummary!AH39</f>
        <v>32</v>
      </c>
      <c r="Q41" s="699" t="str">
        <f ca="1">iSummary!AI39&amp;iSummary!AO39</f>
        <v>Jeddah *</v>
      </c>
      <c r="R41" s="700">
        <f>iSummary!AJ39</f>
        <v>65.86</v>
      </c>
      <c r="S41" s="637" t="str">
        <f ca="1">IF(iSummary!AK39=0,"=",iSummary!AK39)</f>
        <v/>
      </c>
      <c r="T41" s="649" t="b">
        <f ca="1">iSummary!AL39</f>
        <v>0</v>
      </c>
      <c r="U41" s="636" t="str">
        <f ca="1">IF(iSummary!AM39=0,"=",iSummary!AM39)</f>
        <v/>
      </c>
      <c r="V41" s="650" t="b">
        <f ca="1">iSummary!AN39</f>
        <v>0</v>
      </c>
      <c r="W41"/>
      <c r="X41" s="68">
        <f>iSummary!AX39</f>
        <v>1</v>
      </c>
      <c r="Y41" s="645">
        <f>IF(X41=0,0,IF(uxb_works!$B$49,IF(AC41&lt;$C$80,1,IF(AC41&gt;$C$80,4,2)),IF(AC41&lt;=$B$80,1,IF(AC41&lt;=$B$81,2,(IF(AC41&lt;=$B$82,3,4))))))</f>
        <v>3</v>
      </c>
      <c r="Z41" s="615"/>
      <c r="AA41" s="616">
        <f>iSummary!AY39</f>
        <v>32</v>
      </c>
      <c r="AB41" s="681" t="str">
        <f ca="1">iSummary!AZ39&amp;iSummary!BF39</f>
        <v>Wellington *</v>
      </c>
      <c r="AC41" s="705">
        <f>iSummary!BA39</f>
        <v>69.51</v>
      </c>
      <c r="AD41" s="637" t="str">
        <f ca="1">IF(iSummary!BB39=0,"=",iSummary!BB39)</f>
        <v/>
      </c>
      <c r="AE41" s="649" t="b">
        <f ca="1">iSummary!BC39</f>
        <v>0</v>
      </c>
      <c r="AF41" s="636" t="str">
        <f ca="1">IF(iSummary!BD39=0,"=",iSummary!BD39)</f>
        <v/>
      </c>
      <c r="AG41" s="650" t="b">
        <f ca="1">iSummary!BE39</f>
        <v>0</v>
      </c>
      <c r="AH41" s="68"/>
      <c r="AI41" s="68">
        <f>iSummary!BO39</f>
        <v>1</v>
      </c>
      <c r="AJ41" s="645">
        <f>IF(AI41=0,0,IF(uxb_works!$B$49,IF(AN41&lt;$C$80,1,IF(AN41&gt;$C$80,4,2)),IF(AN41&lt;=$B$80,1,IF(AN41&lt;=$B$81,2,(IF(AN41&lt;=$B$82,3,4))))))</f>
        <v>4</v>
      </c>
      <c r="AK41" s="615"/>
      <c r="AL41" s="616">
        <f>iSummary!BP39</f>
        <v>32</v>
      </c>
      <c r="AM41" s="681" t="str">
        <f ca="1">iSummary!BQ39&amp;iSummary!BW39</f>
        <v>Rio de Janeiro</v>
      </c>
      <c r="AN41" s="705">
        <f>iSummary!BR39</f>
        <v>79.53</v>
      </c>
      <c r="AO41" s="637">
        <f ca="1">IF(iSummary!BS39=0,"=",iSummary!BS39)</f>
        <v>2.74</v>
      </c>
      <c r="AP41" s="649" t="b">
        <f ca="1">iSummary!BT39</f>
        <v>0</v>
      </c>
      <c r="AQ41" s="636">
        <f ca="1">IF(iSummary!BU39=0,"=",iSummary!BU39)</f>
        <v>-2</v>
      </c>
      <c r="AR41" s="650" t="b">
        <f ca="1">iSummary!BV39</f>
        <v>0</v>
      </c>
      <c r="AS41" s="68"/>
      <c r="AT41" s="707">
        <f>iSummary!CF39</f>
        <v>1</v>
      </c>
      <c r="AU41" s="645">
        <f>IF(AT41=0,0,IF(uxb_works!$B$49,IF(AY41&lt;$C$80,1,IF(AY41&gt;$C$80,4,2)),IF(AY41&lt;=$B$80,1,IF(AY41&lt;=$B$81,2,(IF(AY41&lt;=$B$82,3,4))))))</f>
        <v>4</v>
      </c>
      <c r="AV41" s="615"/>
      <c r="AW41" s="616">
        <f>iSummary!CG39</f>
        <v>32</v>
      </c>
      <c r="AX41" s="681" t="str">
        <f ca="1">iSummary!CH39&amp;iSummary!CN39</f>
        <v>Milan</v>
      </c>
      <c r="AY41" s="705">
        <f>iSummary!CI39</f>
        <v>76.83</v>
      </c>
      <c r="AZ41" s="637">
        <f ca="1">IF(iSummary!CJ39=0,"=",iSummary!CJ39)</f>
        <v>4.95</v>
      </c>
      <c r="BA41" s="649" t="b">
        <f ca="1">iSummary!CK39</f>
        <v>0</v>
      </c>
      <c r="BB41" s="708">
        <f ca="1">IF(iSummary!CL39=0,"=",iSummary!CL39)</f>
        <v>-8</v>
      </c>
      <c r="BC41" s="650" t="b">
        <f ca="1">iSummary!CM39</f>
        <v>0</v>
      </c>
      <c r="BD41"/>
      <c r="BE41"/>
      <c r="BF41"/>
      <c r="BG41"/>
      <c r="BH41"/>
      <c r="BI41"/>
      <c r="BJ41"/>
      <c r="BK41"/>
      <c r="BL41"/>
      <c r="BM41"/>
      <c r="BN41"/>
      <c r="BO41"/>
      <c r="BP41"/>
      <c r="BQ41"/>
      <c r="BR41"/>
      <c r="BS41"/>
      <c r="BT41"/>
      <c r="BU41"/>
      <c r="BV41"/>
      <c r="BW41"/>
      <c r="BX41"/>
      <c r="BY41"/>
      <c r="BZ41"/>
      <c r="CA41"/>
    </row>
    <row r="42" s="70" customFormat="1" customHeight="1" spans="2:79">
      <c r="B42" s="645">
        <f>iSummary!P40</f>
        <v>1</v>
      </c>
      <c r="C42" s="645">
        <f>IF(B42=0,0,IF(uxb_works!$B$49,IF(G42&lt;$C$80,1,IF(G42&gt;$C$80,4,2)),IF(G42&lt;=$B$80,1,IF(G42&lt;=$B$81,2,(IF(G42&lt;=$B$82,3,4))))))</f>
        <v>3</v>
      </c>
      <c r="D42" s="646"/>
      <c r="E42" s="616">
        <f>iSummary!Q40</f>
        <v>33</v>
      </c>
      <c r="F42" s="681" t="str">
        <f ca="1">iSummary!R40&amp;iSummary!X40</f>
        <v>Athens *</v>
      </c>
      <c r="G42" s="682">
        <f>iSummary!S40</f>
        <v>71.9</v>
      </c>
      <c r="H42" s="637" t="str">
        <f ca="1">IF(iSummary!T40=0,"=",iSummary!T40)</f>
        <v/>
      </c>
      <c r="I42" s="649" t="b">
        <f ca="1">iSummary!U40</f>
        <v>0</v>
      </c>
      <c r="J42" s="636" t="str">
        <f ca="1">IF(iSummary!V40=0,"=",iSummary!V40)</f>
        <v/>
      </c>
      <c r="K42" s="650" t="b">
        <f ca="1">iSummary!W40</f>
        <v>0</v>
      </c>
      <c r="L42" s="693"/>
      <c r="M42" s="693">
        <f>iSummary!AG40</f>
        <v>1</v>
      </c>
      <c r="N42" s="645">
        <f>IF(M42=0,0,IF(uxb_works!$B$49,IF(R42&lt;$C$80,1,IF(R42&gt;$C$80,4,2)),IF(R42&lt;=$B$80,1,IF(R42&lt;=$B$81,2,(IF(R42&lt;=$B$82,3,4))))))</f>
        <v>3</v>
      </c>
      <c r="O42" s="615"/>
      <c r="P42" s="695">
        <f>iSummary!AH40</f>
        <v>33</v>
      </c>
      <c r="Q42" s="699" t="str">
        <f ca="1">iSummary!AI40&amp;iSummary!AO40</f>
        <v>Beijing</v>
      </c>
      <c r="R42" s="700">
        <f>iSummary!AJ40</f>
        <v>65.38</v>
      </c>
      <c r="S42" s="637">
        <f ca="1">IF(iSummary!AK40=0,"=",iSummary!AK40)</f>
        <v>16.51</v>
      </c>
      <c r="T42" s="649" t="b">
        <f ca="1">iSummary!AL40</f>
        <v>0</v>
      </c>
      <c r="U42" s="636">
        <f ca="1">IF(iSummary!AM40=0,"=",iSummary!AM40)</f>
        <v>6</v>
      </c>
      <c r="V42" s="650" t="b">
        <f ca="1">iSummary!AN40</f>
        <v>0</v>
      </c>
      <c r="W42"/>
      <c r="X42" s="68">
        <f>iSummary!AX40</f>
        <v>1</v>
      </c>
      <c r="Y42" s="645">
        <f>IF(X42=0,0,IF(uxb_works!$B$49,IF(AC42&lt;$C$80,1,IF(AC42&gt;$C$80,4,2)),IF(AC42&lt;=$B$80,1,IF(AC42&lt;=$B$81,2,(IF(AC42&lt;=$B$82,3,4))))))</f>
        <v>3</v>
      </c>
      <c r="Z42" s="615"/>
      <c r="AA42" s="616">
        <f>iSummary!AY40</f>
        <v>33</v>
      </c>
      <c r="AB42" s="681" t="str">
        <f ca="1">iSummary!AZ40&amp;iSummary!BF40</f>
        <v>Abu Dhabi</v>
      </c>
      <c r="AC42" s="705">
        <f>iSummary!BA40</f>
        <v>68.54</v>
      </c>
      <c r="AD42" s="637">
        <f ca="1">IF(iSummary!BB40=0,"=",iSummary!BB40)</f>
        <v>12.99</v>
      </c>
      <c r="AE42" s="649" t="b">
        <f ca="1">iSummary!BC40</f>
        <v>0</v>
      </c>
      <c r="AF42" s="636">
        <f ca="1">IF(iSummary!BD40=0,"=",iSummary!BD40)</f>
        <v>9</v>
      </c>
      <c r="AG42" s="650" t="b">
        <f ca="1">iSummary!BE40</f>
        <v>0</v>
      </c>
      <c r="AH42" s="68"/>
      <c r="AI42" s="68">
        <f>iSummary!BO40</f>
        <v>1</v>
      </c>
      <c r="AJ42" s="645">
        <f>IF(AI42=0,0,IF(uxb_works!$B$49,IF(AN42&lt;$C$80,1,IF(AN42&gt;$C$80,4,2)),IF(AN42&lt;=$B$80,1,IF(AN42&lt;=$B$81,2,(IF(AN42&lt;=$B$82,3,4))))))</f>
        <v>4</v>
      </c>
      <c r="AK42" s="615"/>
      <c r="AL42" s="616">
        <f>iSummary!BP40</f>
        <v>33</v>
      </c>
      <c r="AM42" s="681" t="str">
        <f ca="1">iSummary!BQ40&amp;iSummary!BW40</f>
        <v>Sao Paulo</v>
      </c>
      <c r="AN42" s="705">
        <f>iSummary!BR40</f>
        <v>79.44</v>
      </c>
      <c r="AO42" s="637">
        <f ca="1">IF(iSummary!BS40=0,"=",iSummary!BS40)</f>
        <v>1.38</v>
      </c>
      <c r="AP42" s="649" t="b">
        <f ca="1">iSummary!BT40</f>
        <v>0</v>
      </c>
      <c r="AQ42" s="636">
        <f ca="1">IF(iSummary!BU40=0,"=",iSummary!BU40)</f>
        <v>-6</v>
      </c>
      <c r="AR42" s="650" t="b">
        <f ca="1">iSummary!BV40</f>
        <v>0</v>
      </c>
      <c r="AS42" s="68"/>
      <c r="AT42" s="707">
        <f>iSummary!CF40</f>
        <v>1</v>
      </c>
      <c r="AU42" s="645">
        <f>IF(AT42=0,0,IF(uxb_works!$B$49,IF(AY42&lt;$C$80,1,IF(AY42&gt;$C$80,4,2)),IF(AY42&lt;=$B$80,1,IF(AY42&lt;=$B$81,2,(IF(AY42&lt;=$B$82,3,4))))))</f>
        <v>4</v>
      </c>
      <c r="AV42" s="615"/>
      <c r="AW42" s="616">
        <f>iSummary!CG40</f>
        <v>33</v>
      </c>
      <c r="AX42" s="681" t="str">
        <f ca="1">iSummary!CH40&amp;iSummary!CN40</f>
        <v>Delhi</v>
      </c>
      <c r="AY42" s="705">
        <f>iSummary!CI40</f>
        <v>76.61</v>
      </c>
      <c r="AZ42" s="637">
        <f ca="1">IF(iSummary!CJ40=0,"=",iSummary!CJ40)</f>
        <v>8.3</v>
      </c>
      <c r="BA42" s="649" t="b">
        <f ca="1">iSummary!CK40</f>
        <v>0</v>
      </c>
      <c r="BB42" s="708">
        <f ca="1">IF(iSummary!CL40=0,"=",iSummary!CL40)</f>
        <v>-5</v>
      </c>
      <c r="BC42" s="650" t="b">
        <f ca="1">iSummary!CM40</f>
        <v>0</v>
      </c>
      <c r="BD42"/>
      <c r="BE42"/>
      <c r="BF42"/>
      <c r="BG42"/>
      <c r="BH42"/>
      <c r="BI42"/>
      <c r="BJ42"/>
      <c r="BK42"/>
      <c r="BL42"/>
      <c r="BM42"/>
      <c r="BN42"/>
      <c r="BO42"/>
      <c r="BP42"/>
      <c r="BQ42"/>
      <c r="BR42"/>
      <c r="BS42"/>
      <c r="BT42"/>
      <c r="BU42"/>
      <c r="BV42"/>
      <c r="BW42"/>
      <c r="BX42"/>
      <c r="BY42"/>
      <c r="BZ42"/>
      <c r="CA42"/>
    </row>
    <row r="43" s="70" customFormat="1" customHeight="1" spans="2:79">
      <c r="B43" s="645">
        <f>iSummary!P41</f>
        <v>1</v>
      </c>
      <c r="C43" s="645">
        <f>IF(B43=0,0,IF(uxb_works!$B$49,IF(G43&lt;$C$80,1,IF(G43&gt;$C$80,4,2)),IF(G43&lt;=$B$80,1,IF(G43&lt;=$B$81,2,(IF(G43&lt;=$B$82,3,4))))))</f>
        <v>3</v>
      </c>
      <c r="D43" s="646"/>
      <c r="E43" s="616">
        <f>iSummary!Q41</f>
        <v>34</v>
      </c>
      <c r="F43" s="681" t="str">
        <f ca="1">iSummary!R41&amp;iSummary!X41</f>
        <v>Shanghai</v>
      </c>
      <c r="G43" s="682">
        <f>iSummary!S41</f>
        <v>70.93</v>
      </c>
      <c r="H43" s="637">
        <f ca="1">IF(iSummary!T41=0,"=",iSummary!T41)</f>
        <v>4.4</v>
      </c>
      <c r="I43" s="649" t="b">
        <f ca="1">iSummary!U41</f>
        <v>0</v>
      </c>
      <c r="J43" s="636">
        <f ca="1">IF(iSummary!V41=0,"=",iSummary!V41)</f>
        <v>-4</v>
      </c>
      <c r="K43" s="650" t="b">
        <f ca="1">iSummary!W41</f>
        <v>0</v>
      </c>
      <c r="L43" s="693"/>
      <c r="M43" s="693">
        <f>iSummary!AG41</f>
        <v>1</v>
      </c>
      <c r="N43" s="645">
        <f>IF(M43=0,0,IF(uxb_works!$B$49,IF(R43&lt;$C$80,1,IF(R43&gt;$C$80,4,2)),IF(R43&lt;=$B$80,1,IF(R43&lt;=$B$81,2,(IF(R43&lt;=$B$82,3,4))))))</f>
        <v>3</v>
      </c>
      <c r="O43" s="615"/>
      <c r="P43" s="695">
        <f>iSummary!AH41</f>
        <v>34</v>
      </c>
      <c r="Q43" s="699" t="str">
        <f ca="1">iSummary!AI41&amp;iSummary!AO41</f>
        <v>Doha</v>
      </c>
      <c r="R43" s="700">
        <f>iSummary!AJ41</f>
        <v>64.02</v>
      </c>
      <c r="S43" s="637">
        <f ca="1">IF(iSummary!AK41=0,"=",iSummary!AK41)</f>
        <v>4.29</v>
      </c>
      <c r="T43" s="649" t="b">
        <f ca="1">iSummary!AL41</f>
        <v>0</v>
      </c>
      <c r="U43" s="636">
        <f ca="1">IF(iSummary!AM41=0,"=",iSummary!AM41)</f>
        <v>-3</v>
      </c>
      <c r="V43" s="650" t="b">
        <f ca="1">iSummary!AN41</f>
        <v>0</v>
      </c>
      <c r="W43"/>
      <c r="X43" s="68">
        <f>iSummary!AX41</f>
        <v>1</v>
      </c>
      <c r="Y43" s="645">
        <f>IF(X43=0,0,IF(uxb_works!$B$49,IF(AC43&lt;$C$80,1,IF(AC43&gt;$C$80,4,2)),IF(AC43&lt;=$B$80,1,IF(AC43&lt;=$B$81,2,(IF(AC43&lt;=$B$82,3,4))))))</f>
        <v>3</v>
      </c>
      <c r="Z43" s="615"/>
      <c r="AA43" s="616">
        <f>iSummary!AY41</f>
        <v>34</v>
      </c>
      <c r="AB43" s="681" t="str">
        <f ca="1">iSummary!AZ41&amp;iSummary!BF41</f>
        <v>Beijing</v>
      </c>
      <c r="AC43" s="705">
        <f>iSummary!BA41</f>
        <v>67.63</v>
      </c>
      <c r="AD43" s="637">
        <f ca="1">IF(iSummary!BB41=0,"=",iSummary!BB41)</f>
        <v>-0.44</v>
      </c>
      <c r="AE43" s="649" t="b">
        <f ca="1">iSummary!BC41</f>
        <v>0</v>
      </c>
      <c r="AF43" s="636">
        <f ca="1">IF(iSummary!BD41=0,"=",iSummary!BD41)</f>
        <v>-8</v>
      </c>
      <c r="AG43" s="650" t="b">
        <f ca="1">iSummary!BE41</f>
        <v>0</v>
      </c>
      <c r="AH43" s="68"/>
      <c r="AI43" s="68">
        <f>iSummary!BO41</f>
        <v>1</v>
      </c>
      <c r="AJ43" s="645">
        <f>IF(AI43=0,0,IF(uxb_works!$B$49,IF(AN43&lt;$C$80,1,IF(AN43&gt;$C$80,4,2)),IF(AN43&lt;=$B$80,1,IF(AN43&lt;=$B$81,2,(IF(AN43&lt;=$B$82,3,4))))))</f>
        <v>4</v>
      </c>
      <c r="AK43" s="615"/>
      <c r="AL43" s="616">
        <f>iSummary!BP41</f>
        <v>34</v>
      </c>
      <c r="AM43" s="681" t="str">
        <f ca="1">iSummary!BQ41&amp;iSummary!BW41</f>
        <v>Dallas *</v>
      </c>
      <c r="AN43" s="705">
        <f>iSummary!BR41</f>
        <v>79.23</v>
      </c>
      <c r="AO43" s="637" t="str">
        <f ca="1">IF(iSummary!BS41=0,"=",iSummary!BS41)</f>
        <v/>
      </c>
      <c r="AP43" s="649" t="b">
        <f ca="1">iSummary!BT41</f>
        <v>0</v>
      </c>
      <c r="AQ43" s="636" t="str">
        <f ca="1">IF(iSummary!BU41=0,"=",iSummary!BU41)</f>
        <v/>
      </c>
      <c r="AR43" s="650" t="b">
        <f ca="1">iSummary!BV41</f>
        <v>0</v>
      </c>
      <c r="AS43" s="68"/>
      <c r="AT43" s="707">
        <f>iSummary!CF41</f>
        <v>1</v>
      </c>
      <c r="AU43" s="645">
        <f>IF(AT43=0,0,IF(uxb_works!$B$49,IF(AY43&lt;$C$80,1,IF(AY43&gt;$C$80,4,2)),IF(AY43&lt;=$B$80,1,IF(AY43&lt;=$B$81,2,(IF(AY43&lt;=$B$82,3,4))))))</f>
        <v>3</v>
      </c>
      <c r="AV43" s="615"/>
      <c r="AW43" s="616">
        <f>iSummary!CG41</f>
        <v>34</v>
      </c>
      <c r="AX43" s="681" t="str">
        <f ca="1">iSummary!CH41&amp;iSummary!CN41</f>
        <v>Kuwait City</v>
      </c>
      <c r="AY43" s="705">
        <f>iSummary!CI41</f>
        <v>74.82</v>
      </c>
      <c r="AZ43" s="637">
        <f ca="1">IF(iSummary!CJ41=0,"=",iSummary!CJ41)</f>
        <v>17.67</v>
      </c>
      <c r="BA43" s="649" t="b">
        <f ca="1">iSummary!CK41</f>
        <v>0</v>
      </c>
      <c r="BB43" s="708">
        <f ca="1">IF(iSummary!CL41=0,"=",iSummary!CL41)</f>
        <v>7</v>
      </c>
      <c r="BC43" s="650" t="b">
        <f ca="1">iSummary!CM41</f>
        <v>0</v>
      </c>
      <c r="BD43"/>
      <c r="BE43"/>
      <c r="BF43"/>
      <c r="BG43"/>
      <c r="BH43"/>
      <c r="BI43"/>
      <c r="BJ43"/>
      <c r="BK43"/>
      <c r="BL43"/>
      <c r="BM43"/>
      <c r="BN43"/>
      <c r="BO43"/>
      <c r="BP43"/>
      <c r="BQ43"/>
      <c r="BR43"/>
      <c r="BS43"/>
      <c r="BT43"/>
      <c r="BU43"/>
      <c r="BV43"/>
      <c r="BW43"/>
      <c r="BX43"/>
      <c r="BY43"/>
      <c r="BZ43"/>
      <c r="CA43"/>
    </row>
    <row r="44" s="70" customFormat="1" customHeight="1" spans="2:79">
      <c r="B44" s="645">
        <f>iSummary!P42</f>
        <v>1</v>
      </c>
      <c r="C44" s="645">
        <f>IF(B44=0,0,IF(uxb_works!$B$49,IF(G44&lt;$C$80,1,IF(G44&gt;$C$80,4,2)),IF(G44&lt;=$B$80,1,IF(G44&lt;=$B$81,2,(IF(G44&lt;=$B$82,3,4))))))</f>
        <v>3</v>
      </c>
      <c r="D44" s="646"/>
      <c r="E44" s="616">
        <f>iSummary!Q42</f>
        <v>35</v>
      </c>
      <c r="F44" s="681" t="str">
        <f ca="1">iSummary!R42&amp;iSummary!X42</f>
        <v>Santiago</v>
      </c>
      <c r="G44" s="682">
        <f>iSummary!S42</f>
        <v>70.03</v>
      </c>
      <c r="H44" s="637">
        <f ca="1">IF(iSummary!T42=0,"=",iSummary!T42)</f>
        <v>2.49</v>
      </c>
      <c r="I44" s="649" t="b">
        <f ca="1">iSummary!U42</f>
        <v>0</v>
      </c>
      <c r="J44" s="636">
        <f ca="1">IF(iSummary!V42=0,"=",iSummary!V42)</f>
        <v>-6</v>
      </c>
      <c r="K44" s="650" t="b">
        <f ca="1">iSummary!W42</f>
        <v>0</v>
      </c>
      <c r="L44" s="693"/>
      <c r="M44" s="693">
        <f>iSummary!AG42</f>
        <v>1</v>
      </c>
      <c r="N44" s="645">
        <f>IF(M44=0,0,IF(uxb_works!$B$49,IF(R44&lt;$C$80,1,IF(R44&gt;$C$80,4,2)),IF(R44&lt;=$B$80,1,IF(R44&lt;=$B$81,2,(IF(R44&lt;=$B$82,3,4))))))</f>
        <v>3</v>
      </c>
      <c r="O44" s="615"/>
      <c r="P44" s="695">
        <f>iSummary!AH42</f>
        <v>35</v>
      </c>
      <c r="Q44" s="699" t="str">
        <f ca="1">iSummary!AI42&amp;iSummary!AO42</f>
        <v>Athens *</v>
      </c>
      <c r="R44" s="700">
        <f>iSummary!AJ42</f>
        <v>61.94</v>
      </c>
      <c r="S44" s="637" t="str">
        <f ca="1">IF(iSummary!AK42=0,"=",iSummary!AK42)</f>
        <v/>
      </c>
      <c r="T44" s="649" t="b">
        <f ca="1">iSummary!AL42</f>
        <v>0</v>
      </c>
      <c r="U44" s="636" t="str">
        <f ca="1">IF(iSummary!AM42=0,"=",iSummary!AM42)</f>
        <v/>
      </c>
      <c r="V44" s="650" t="b">
        <f ca="1">iSummary!AN42</f>
        <v>0</v>
      </c>
      <c r="W44"/>
      <c r="X44" s="68">
        <f>iSummary!AX42</f>
        <v>1</v>
      </c>
      <c r="Y44" s="645">
        <f>IF(X44=0,0,IF(uxb_works!$B$49,IF(AC44&lt;$C$80,1,IF(AC44&gt;$C$80,4,2)),IF(AC44&lt;=$B$80,1,IF(AC44&lt;=$B$81,2,(IF(AC44&lt;=$B$82,3,4))))))</f>
        <v>3</v>
      </c>
      <c r="Z44" s="615"/>
      <c r="AA44" s="616">
        <f>iSummary!AY42</f>
        <v>35</v>
      </c>
      <c r="AB44" s="681" t="str">
        <f ca="1">iSummary!AZ42&amp;iSummary!BF42</f>
        <v>Santiago</v>
      </c>
      <c r="AC44" s="705">
        <f>iSummary!BA42</f>
        <v>67.17</v>
      </c>
      <c r="AD44" s="637">
        <f ca="1">IF(iSummary!BB42=0,"=",iSummary!BB42)</f>
        <v>-0.27</v>
      </c>
      <c r="AE44" s="649" t="b">
        <f ca="1">iSummary!BC42</f>
        <v>0</v>
      </c>
      <c r="AF44" s="636">
        <f ca="1">IF(iSummary!BD42=0,"=",iSummary!BD42)</f>
        <v>-7</v>
      </c>
      <c r="AG44" s="650" t="b">
        <f ca="1">iSummary!BE42</f>
        <v>0</v>
      </c>
      <c r="AH44" s="68"/>
      <c r="AI44" s="68">
        <f>iSummary!BO42</f>
        <v>1</v>
      </c>
      <c r="AJ44" s="645">
        <f>IF(AI44=0,0,IF(uxb_works!$B$49,IF(AN44&lt;$C$80,1,IF(AN44&gt;$C$80,4,2)),IF(AN44&lt;=$B$80,1,IF(AN44&lt;=$B$81,2,(IF(AN44&lt;=$B$82,3,4))))))</f>
        <v>4</v>
      </c>
      <c r="AK44" s="615"/>
      <c r="AL44" s="616">
        <f>iSummary!BP42</f>
        <v>35</v>
      </c>
      <c r="AM44" s="681" t="str">
        <f ca="1">iSummary!BQ42&amp;iSummary!BW42</f>
        <v>Kuala Lumpur *</v>
      </c>
      <c r="AN44" s="705">
        <f>iSummary!BR42</f>
        <v>78.12</v>
      </c>
      <c r="AO44" s="637" t="str">
        <f ca="1">IF(iSummary!BS42=0,"=",iSummary!BS42)</f>
        <v/>
      </c>
      <c r="AP44" s="649" t="b">
        <f ca="1">iSummary!BT42</f>
        <v>0</v>
      </c>
      <c r="AQ44" s="636" t="str">
        <f ca="1">IF(iSummary!BU42=0,"=",iSummary!BU42)</f>
        <v/>
      </c>
      <c r="AR44" s="650" t="b">
        <f ca="1">iSummary!BV42</f>
        <v>0</v>
      </c>
      <c r="AS44" s="68"/>
      <c r="AT44" s="707">
        <f>iSummary!CF42</f>
        <v>1</v>
      </c>
      <c r="AU44" s="645">
        <f>IF(AT44=0,0,IF(uxb_works!$B$49,IF(AY44&lt;$C$80,1,IF(AY44&gt;$C$80,4,2)),IF(AY44&lt;=$B$80,1,IF(AY44&lt;=$B$81,2,(IF(AY44&lt;=$B$82,3,4))))))</f>
        <v>3</v>
      </c>
      <c r="AV44" s="615"/>
      <c r="AW44" s="616">
        <f>iSummary!CG42</f>
        <v>35</v>
      </c>
      <c r="AX44" s="681" t="str">
        <f ca="1">iSummary!CH42&amp;iSummary!CN42</f>
        <v>Rome</v>
      </c>
      <c r="AY44" s="705">
        <f>iSummary!CI42</f>
        <v>74.39</v>
      </c>
      <c r="AZ44" s="637">
        <f ca="1">IF(iSummary!CJ42=0,"=",iSummary!CJ42)</f>
        <v>11.51</v>
      </c>
      <c r="BA44" s="649" t="b">
        <f ca="1">iSummary!CK42</f>
        <v>0</v>
      </c>
      <c r="BB44" s="708" t="str">
        <f ca="1">IF(iSummary!CL42=0,"=",iSummary!CL42)</f>
        <v>=</v>
      </c>
      <c r="BC44" s="650" t="b">
        <f ca="1">iSummary!CM42</f>
        <v>0</v>
      </c>
      <c r="BD44"/>
      <c r="BE44"/>
      <c r="BF44"/>
      <c r="BG44"/>
      <c r="BH44"/>
      <c r="BI44"/>
      <c r="BJ44"/>
      <c r="BK44"/>
      <c r="BL44"/>
      <c r="BM44"/>
      <c r="BN44"/>
      <c r="BO44"/>
      <c r="BP44"/>
      <c r="BQ44"/>
      <c r="BR44"/>
      <c r="BS44"/>
      <c r="BT44"/>
      <c r="BU44"/>
      <c r="BV44"/>
      <c r="BW44"/>
      <c r="BX44"/>
      <c r="BY44"/>
      <c r="BZ44"/>
      <c r="CA44"/>
    </row>
    <row r="45" s="70" customFormat="1" customHeight="1" spans="2:79">
      <c r="B45" s="645">
        <f>iSummary!P43</f>
        <v>1</v>
      </c>
      <c r="C45" s="645">
        <f>IF(B45=0,0,IF(uxb_works!$B$49,IF(G45&lt;$C$80,1,IF(G45&gt;$C$80,4,2)),IF(G45&lt;=$B$80,1,IF(G45&lt;=$B$81,2,(IF(G45&lt;=$B$82,3,4))))))</f>
        <v>3</v>
      </c>
      <c r="D45" s="646"/>
      <c r="E45" s="616">
        <f>iSummary!Q43</f>
        <v>36</v>
      </c>
      <c r="F45" s="681" t="str">
        <f ca="1">iSummary!R43&amp;iSummary!X43</f>
        <v>Kuwait City</v>
      </c>
      <c r="G45" s="682">
        <f>iSummary!S43</f>
        <v>67.61</v>
      </c>
      <c r="H45" s="637">
        <f ca="1">IF(iSummary!T43=0,"=",iSummary!T43)</f>
        <v>5.09</v>
      </c>
      <c r="I45" s="649" t="b">
        <f ca="1">iSummary!U43</f>
        <v>0</v>
      </c>
      <c r="J45" s="636">
        <f ca="1">IF(iSummary!V43=0,"=",iSummary!V43)</f>
        <v>-1</v>
      </c>
      <c r="K45" s="650" t="b">
        <f ca="1">iSummary!W43</f>
        <v>0</v>
      </c>
      <c r="L45" s="693"/>
      <c r="M45" s="693">
        <f>iSummary!AG43</f>
        <v>1</v>
      </c>
      <c r="N45" s="645">
        <f>IF(M45=0,0,IF(uxb_works!$B$49,IF(R45&lt;$C$80,1,IF(R45&gt;$C$80,4,2)),IF(R45&lt;=$B$80,1,IF(R45&lt;=$B$81,2,(IF(R45&lt;=$B$82,3,4))))))</f>
        <v>3</v>
      </c>
      <c r="O45" s="615"/>
      <c r="P45" s="695">
        <f>iSummary!AH43</f>
        <v>36</v>
      </c>
      <c r="Q45" s="699" t="str">
        <f ca="1">iSummary!AI43&amp;iSummary!AO43</f>
        <v>Istanbul</v>
      </c>
      <c r="R45" s="700">
        <f>iSummary!AJ43</f>
        <v>61.71</v>
      </c>
      <c r="S45" s="637">
        <f ca="1">IF(iSummary!AK43=0,"=",iSummary!AK43)</f>
        <v>18.38</v>
      </c>
      <c r="T45" s="649" t="b">
        <f ca="1">iSummary!AL43</f>
        <v>0</v>
      </c>
      <c r="U45" s="636">
        <f ca="1">IF(iSummary!AM43=0,"=",iSummary!AM43)</f>
        <v>9</v>
      </c>
      <c r="V45" s="650" t="b">
        <f ca="1">iSummary!AN43</f>
        <v>0</v>
      </c>
      <c r="W45"/>
      <c r="X45" s="68">
        <f>iSummary!AX43</f>
        <v>1</v>
      </c>
      <c r="Y45" s="645">
        <f>IF(X45=0,0,IF(uxb_works!$B$49,IF(AC45&lt;$C$80,1,IF(AC45&gt;$C$80,4,2)),IF(AC45&lt;=$B$80,1,IF(AC45&lt;=$B$81,2,(IF(AC45&lt;=$B$82,3,4))))))</f>
        <v>3</v>
      </c>
      <c r="Z45" s="615"/>
      <c r="AA45" s="616">
        <f>iSummary!AY43</f>
        <v>36</v>
      </c>
      <c r="AB45" s="681" t="str">
        <f ca="1">iSummary!AZ43&amp;iSummary!BF43</f>
        <v>Kuala Lumpur *</v>
      </c>
      <c r="AC45" s="705">
        <f>iSummary!BA43</f>
        <v>67.15</v>
      </c>
      <c r="AD45" s="637" t="str">
        <f ca="1">IF(iSummary!BB43=0,"=",iSummary!BB43)</f>
        <v/>
      </c>
      <c r="AE45" s="649" t="b">
        <f ca="1">iSummary!BC43</f>
        <v>0</v>
      </c>
      <c r="AF45" s="636" t="str">
        <f ca="1">IF(iSummary!BD43=0,"=",iSummary!BD43)</f>
        <v/>
      </c>
      <c r="AG45" s="650" t="b">
        <f ca="1">iSummary!BE43</f>
        <v>0</v>
      </c>
      <c r="AH45" s="68"/>
      <c r="AI45" s="68">
        <f>iSummary!BO43</f>
        <v>1</v>
      </c>
      <c r="AJ45" s="645">
        <f>IF(AI45=0,0,IF(uxb_works!$B$49,IF(AN45&lt;$C$80,1,IF(AN45&gt;$C$80,4,2)),IF(AN45&lt;=$B$80,1,IF(AN45&lt;=$B$81,2,(IF(AN45&lt;=$B$82,3,4))))))</f>
        <v>4</v>
      </c>
      <c r="AK45" s="615"/>
      <c r="AL45" s="616">
        <f>iSummary!BP43</f>
        <v>36</v>
      </c>
      <c r="AM45" s="681" t="str">
        <f ca="1">iSummary!BQ43&amp;iSummary!BW43</f>
        <v>Moscow</v>
      </c>
      <c r="AN45" s="705">
        <f>iSummary!BR43</f>
        <v>76.36</v>
      </c>
      <c r="AO45" s="637">
        <f ca="1">IF(iSummary!BS43=0,"=",iSummary!BS43)</f>
        <v>3.79</v>
      </c>
      <c r="AP45" s="649" t="b">
        <f ca="1">iSummary!BT43</f>
        <v>0</v>
      </c>
      <c r="AQ45" s="636">
        <f ca="1">IF(iSummary!BU43=0,"=",iSummary!BU43)</f>
        <v>-2</v>
      </c>
      <c r="AR45" s="650" t="b">
        <f ca="1">iSummary!BV43</f>
        <v>0</v>
      </c>
      <c r="AS45" s="68"/>
      <c r="AT45" s="707">
        <f>iSummary!CF43</f>
        <v>1</v>
      </c>
      <c r="AU45" s="645">
        <f>IF(AT45=0,0,IF(uxb_works!$B$49,IF(AY45&lt;$C$80,1,IF(AY45&gt;$C$80,4,2)),IF(AY45&lt;=$B$80,1,IF(AY45&lt;=$B$81,2,(IF(AY45&lt;=$B$82,3,4))))))</f>
        <v>3</v>
      </c>
      <c r="AV45" s="615"/>
      <c r="AW45" s="616">
        <f>iSummary!CG43</f>
        <v>36</v>
      </c>
      <c r="AX45" s="681" t="str">
        <f ca="1">iSummary!CH43&amp;iSummary!CN43</f>
        <v>Santiago</v>
      </c>
      <c r="AY45" s="705">
        <f>iSummary!CI43</f>
        <v>71.02</v>
      </c>
      <c r="AZ45" s="637">
        <f ca="1">IF(iSummary!CJ43=0,"=",iSummary!CJ43)</f>
        <v>10.5</v>
      </c>
      <c r="BA45" s="649" t="b">
        <f ca="1">iSummary!CK43</f>
        <v>0</v>
      </c>
      <c r="BB45" s="708">
        <f ca="1">IF(iSummary!CL43=0,"=",iSummary!CL43)</f>
        <v>3</v>
      </c>
      <c r="BC45" s="650" t="b">
        <f ca="1">iSummary!CM43</f>
        <v>0</v>
      </c>
      <c r="BD45"/>
      <c r="BE45"/>
      <c r="BF45"/>
      <c r="BG45"/>
      <c r="BH45"/>
      <c r="BI45"/>
      <c r="BJ45"/>
      <c r="BK45"/>
      <c r="BL45"/>
      <c r="BM45"/>
      <c r="BN45"/>
      <c r="BO45"/>
      <c r="BP45"/>
      <c r="BQ45"/>
      <c r="BR45"/>
      <c r="BS45"/>
      <c r="BT45"/>
      <c r="BU45"/>
      <c r="BV45"/>
      <c r="BW45"/>
      <c r="BX45"/>
      <c r="BY45"/>
      <c r="BZ45"/>
      <c r="CA45"/>
    </row>
    <row r="46" s="70" customFormat="1" customHeight="1" spans="2:79">
      <c r="B46" s="645">
        <f>iSummary!P44</f>
        <v>1</v>
      </c>
      <c r="C46" s="645">
        <f>IF(B46=0,0,IF(uxb_works!$B$49,IF(G46&lt;$C$80,1,IF(G46&gt;$C$80,4,2)),IF(G46&lt;=$B$80,1,IF(G46&lt;=$B$81,2,(IF(G46&lt;=$B$82,3,4))))))</f>
        <v>3</v>
      </c>
      <c r="D46" s="646"/>
      <c r="E46" s="616">
        <f>iSummary!Q44</f>
        <v>37</v>
      </c>
      <c r="F46" s="681" t="str">
        <f ca="1">iSummary!R44&amp;iSummary!X44</f>
        <v>Rio de Janeiro</v>
      </c>
      <c r="G46" s="682">
        <f>iSummary!S44</f>
        <v>66.54</v>
      </c>
      <c r="H46" s="637">
        <f ca="1">IF(iSummary!T44=0,"=",iSummary!T44)</f>
        <v>2.5</v>
      </c>
      <c r="I46" s="649" t="b">
        <f ca="1">iSummary!U44</f>
        <v>0</v>
      </c>
      <c r="J46" s="636">
        <f ca="1">IF(iSummary!V44=0,"=",iSummary!V44)</f>
        <v>-4</v>
      </c>
      <c r="K46" s="650" t="b">
        <f ca="1">iSummary!W44</f>
        <v>0</v>
      </c>
      <c r="L46" s="693"/>
      <c r="M46" s="693">
        <f>iSummary!AG44</f>
        <v>1</v>
      </c>
      <c r="N46" s="645">
        <f>IF(M46=0,0,IF(uxb_works!$B$49,IF(R46&lt;$C$80,1,IF(R46&gt;$C$80,4,2)),IF(R46&lt;=$B$80,1,IF(R46&lt;=$B$81,2,(IF(R46&lt;=$B$82,3,4))))))</f>
        <v>3</v>
      </c>
      <c r="O46" s="615"/>
      <c r="P46" s="695">
        <f>iSummary!AH44</f>
        <v>37</v>
      </c>
      <c r="Q46" s="699" t="str">
        <f ca="1">iSummary!AI44&amp;iSummary!AO44</f>
        <v>Riyadh</v>
      </c>
      <c r="R46" s="700">
        <f>iSummary!AJ44</f>
        <v>60.86</v>
      </c>
      <c r="S46" s="637">
        <f ca="1">IF(iSummary!AK44=0,"=",iSummary!AK44)</f>
        <v>11.1</v>
      </c>
      <c r="T46" s="649" t="b">
        <f ca="1">iSummary!AL44</f>
        <v>0</v>
      </c>
      <c r="U46" s="636">
        <f ca="1">IF(iSummary!AM44=0,"=",iSummary!AM44)</f>
        <v>1</v>
      </c>
      <c r="V46" s="650" t="b">
        <f ca="1">iSummary!AN44</f>
        <v>0</v>
      </c>
      <c r="W46"/>
      <c r="X46" s="68">
        <f>iSummary!AX44</f>
        <v>1</v>
      </c>
      <c r="Y46" s="645">
        <f>IF(X46=0,0,IF(uxb_works!$B$49,IF(AC46&lt;$C$80,1,IF(AC46&gt;$C$80,4,2)),IF(AC46&lt;=$B$80,1,IF(AC46&lt;=$B$81,2,(IF(AC46&lt;=$B$82,3,4))))))</f>
        <v>3</v>
      </c>
      <c r="Z46" s="615"/>
      <c r="AA46" s="616">
        <f>iSummary!AY44</f>
        <v>37</v>
      </c>
      <c r="AB46" s="681" t="str">
        <f ca="1">iSummary!AZ44&amp;iSummary!BF44</f>
        <v>Bangkok</v>
      </c>
      <c r="AC46" s="705">
        <f>iSummary!BA44</f>
        <v>66.64</v>
      </c>
      <c r="AD46" s="637">
        <f ca="1">IF(iSummary!BB44=0,"=",iSummary!BB44)</f>
        <v>2.24</v>
      </c>
      <c r="AE46" s="649" t="b">
        <f ca="1">iSummary!BC44</f>
        <v>0</v>
      </c>
      <c r="AF46" s="636">
        <f ca="1">IF(iSummary!BD44=0,"=",iSummary!BD44)</f>
        <v>-5</v>
      </c>
      <c r="AG46" s="650" t="b">
        <f ca="1">iSummary!BE44</f>
        <v>0</v>
      </c>
      <c r="AH46" s="68"/>
      <c r="AI46" s="68">
        <f>iSummary!BO44</f>
        <v>1</v>
      </c>
      <c r="AJ46" s="645">
        <f>IF(AI46=0,0,IF(uxb_works!$B$49,IF(AN46&lt;$C$80,1,IF(AN46&gt;$C$80,4,2)),IF(AN46&lt;=$B$80,1,IF(AN46&lt;=$B$81,2,(IF(AN46&lt;=$B$82,3,4))))))</f>
        <v>3</v>
      </c>
      <c r="AK46" s="615"/>
      <c r="AL46" s="616">
        <f>iSummary!BP44</f>
        <v>37</v>
      </c>
      <c r="AM46" s="681" t="str">
        <f ca="1">iSummary!BQ44&amp;iSummary!BW44</f>
        <v>Beijing</v>
      </c>
      <c r="AN46" s="705">
        <f>iSummary!BR44</f>
        <v>74.49</v>
      </c>
      <c r="AO46" s="637">
        <f ca="1">IF(iSummary!BS44=0,"=",iSummary!BS44)</f>
        <v>-4.11</v>
      </c>
      <c r="AP46" s="649" t="b">
        <f ca="1">iSummary!BT44</f>
        <v>0</v>
      </c>
      <c r="AQ46" s="636">
        <f ca="1">IF(iSummary!BU44=0,"=",iSummary!BU44)</f>
        <v>-11</v>
      </c>
      <c r="AR46" s="650" t="b">
        <f ca="1">iSummary!BV44</f>
        <v>0</v>
      </c>
      <c r="AS46" s="68"/>
      <c r="AT46" s="707">
        <f>iSummary!CF44</f>
        <v>1</v>
      </c>
      <c r="AU46" s="645">
        <f>IF(AT46=0,0,IF(uxb_works!$B$49,IF(AY46&lt;$C$80,1,IF(AY46&gt;$C$80,4,2)),IF(AY46&lt;=$B$80,1,IF(AY46&lt;=$B$81,2,(IF(AY46&lt;=$B$82,3,4))))))</f>
        <v>3</v>
      </c>
      <c r="AV46" s="615"/>
      <c r="AW46" s="616">
        <f>iSummary!CG44</f>
        <v>37</v>
      </c>
      <c r="AX46" s="681" t="str">
        <f ca="1">iSummary!CH44&amp;iSummary!CN44</f>
        <v>Sao Paulo</v>
      </c>
      <c r="AY46" s="705">
        <f>iSummary!CI44</f>
        <v>70.08</v>
      </c>
      <c r="AZ46" s="637">
        <f ca="1">IF(iSummary!CJ44=0,"=",iSummary!CJ44)</f>
        <v>13.28</v>
      </c>
      <c r="BA46" s="649" t="b">
        <f ca="1">iSummary!CK44</f>
        <v>0</v>
      </c>
      <c r="BB46" s="708">
        <f ca="1">IF(iSummary!CL44=0,"=",iSummary!CL44)</f>
        <v>6</v>
      </c>
      <c r="BC46" s="650" t="b">
        <f ca="1">iSummary!CM44</f>
        <v>0</v>
      </c>
      <c r="BD46"/>
      <c r="BE46"/>
      <c r="BF46"/>
      <c r="BG46"/>
      <c r="BH46"/>
      <c r="BI46"/>
      <c r="BJ46"/>
      <c r="BK46"/>
      <c r="BL46"/>
      <c r="BM46"/>
      <c r="BN46"/>
      <c r="BO46"/>
      <c r="BP46"/>
      <c r="BQ46"/>
      <c r="BR46"/>
      <c r="BS46"/>
      <c r="BT46"/>
      <c r="BU46"/>
      <c r="BV46"/>
      <c r="BW46"/>
      <c r="BX46"/>
      <c r="BY46"/>
      <c r="BZ46"/>
      <c r="CA46"/>
    </row>
    <row r="47" s="70" customFormat="1" customHeight="1" spans="2:79">
      <c r="B47" s="645">
        <f>iSummary!P45</f>
        <v>1</v>
      </c>
      <c r="C47" s="645">
        <f>IF(B47=0,0,IF(uxb_works!$B$49,IF(G47&lt;$C$80,1,IF(G47&gt;$C$80,4,2)),IF(G47&lt;=$B$80,1,IF(G47&lt;=$B$81,2,(IF(G47&lt;=$B$82,3,4))))))</f>
        <v>3</v>
      </c>
      <c r="D47" s="646"/>
      <c r="E47" s="616">
        <f>iSummary!Q45</f>
        <v>38</v>
      </c>
      <c r="F47" s="681" t="str">
        <f ca="1">iSummary!R45&amp;iSummary!X45</f>
        <v>Sao Paulo</v>
      </c>
      <c r="G47" s="682">
        <f>iSummary!S45</f>
        <v>66.3</v>
      </c>
      <c r="H47" s="637">
        <f ca="1">IF(iSummary!T45=0,"=",iSummary!T45)</f>
        <v>3.75</v>
      </c>
      <c r="I47" s="649" t="b">
        <f ca="1">iSummary!U45</f>
        <v>0</v>
      </c>
      <c r="J47" s="636">
        <f ca="1">IF(iSummary!V45=0,"=",iSummary!V45)</f>
        <v>-4</v>
      </c>
      <c r="K47" s="650" t="b">
        <f ca="1">iSummary!W45</f>
        <v>0</v>
      </c>
      <c r="L47" s="693"/>
      <c r="M47" s="693">
        <f>iSummary!AG45</f>
        <v>1</v>
      </c>
      <c r="N47" s="645">
        <f>IF(M47=0,0,IF(uxb_works!$B$49,IF(R47&lt;$C$80,1,IF(R47&gt;$C$80,4,2)),IF(R47&lt;=$B$80,1,IF(R47&lt;=$B$81,2,(IF(R47&lt;=$B$82,3,4))))))</f>
        <v>3</v>
      </c>
      <c r="O47" s="615"/>
      <c r="P47" s="695">
        <f>iSummary!AH45</f>
        <v>38</v>
      </c>
      <c r="Q47" s="699" t="str">
        <f ca="1">iSummary!AI45&amp;iSummary!AO45</f>
        <v>Quito *</v>
      </c>
      <c r="R47" s="700">
        <f>iSummary!AJ45</f>
        <v>60.65</v>
      </c>
      <c r="S47" s="637" t="str">
        <f ca="1">IF(iSummary!AK45=0,"=",iSummary!AK45)</f>
        <v/>
      </c>
      <c r="T47" s="649" t="b">
        <f ca="1">iSummary!AL45</f>
        <v>0</v>
      </c>
      <c r="U47" s="636" t="str">
        <f ca="1">IF(iSummary!AM45=0,"=",iSummary!AM45)</f>
        <v/>
      </c>
      <c r="V47" s="650" t="b">
        <f ca="1">iSummary!AN45</f>
        <v>0</v>
      </c>
      <c r="W47"/>
      <c r="X47" s="68">
        <f>iSummary!AX45</f>
        <v>1</v>
      </c>
      <c r="Y47" s="645">
        <f>IF(X47=0,0,IF(uxb_works!$B$49,IF(AC47&lt;$C$80,1,IF(AC47&gt;$C$80,4,2)),IF(AC47&lt;=$B$80,1,IF(AC47&lt;=$B$81,2,(IF(AC47&lt;=$B$82,3,4))))))</f>
        <v>3</v>
      </c>
      <c r="Z47" s="615"/>
      <c r="AA47" s="616">
        <f>iSummary!AY45</f>
        <v>38</v>
      </c>
      <c r="AB47" s="681" t="str">
        <f ca="1">iSummary!AZ45&amp;iSummary!BF45</f>
        <v>Riyadh</v>
      </c>
      <c r="AC47" s="705">
        <f>iSummary!BA45</f>
        <v>66.13</v>
      </c>
      <c r="AD47" s="637">
        <f ca="1">IF(iSummary!BB45=0,"=",iSummary!BB45)</f>
        <v>9.3</v>
      </c>
      <c r="AE47" s="649" t="b">
        <f ca="1">iSummary!BC45</f>
        <v>0</v>
      </c>
      <c r="AF47" s="636">
        <f ca="1">IF(iSummary!BD45=0,"=",iSummary!BD45)</f>
        <v>2</v>
      </c>
      <c r="AG47" s="650" t="b">
        <f ca="1">iSummary!BE45</f>
        <v>0</v>
      </c>
      <c r="AH47" s="68"/>
      <c r="AI47" s="68">
        <f>iSummary!BO45</f>
        <v>1</v>
      </c>
      <c r="AJ47" s="645">
        <f>IF(AI47=0,0,IF(uxb_works!$B$49,IF(AN47&lt;$C$80,1,IF(AN47&gt;$C$80,4,2)),IF(AN47&lt;=$B$80,1,IF(AN47&lt;=$B$81,2,(IF(AN47&lt;=$B$82,3,4))))))</f>
        <v>3</v>
      </c>
      <c r="AK47" s="615"/>
      <c r="AL47" s="616">
        <f>iSummary!BP45</f>
        <v>38</v>
      </c>
      <c r="AM47" s="681" t="str">
        <f ca="1">iSummary!BQ45&amp;iSummary!BW45</f>
        <v>Shanghai</v>
      </c>
      <c r="AN47" s="705">
        <f>iSummary!BR45</f>
        <v>74.3</v>
      </c>
      <c r="AO47" s="637">
        <f ca="1">IF(iSummary!BS45=0,"=",iSummary!BS45)</f>
        <v>-3.54</v>
      </c>
      <c r="AP47" s="649" t="b">
        <f ca="1">iSummary!BT45</f>
        <v>0</v>
      </c>
      <c r="AQ47" s="636">
        <f ca="1">IF(iSummary!BU45=0,"=",iSummary!BU45)</f>
        <v>-10</v>
      </c>
      <c r="AR47" s="650" t="b">
        <f ca="1">iSummary!BV45</f>
        <v>0</v>
      </c>
      <c r="AS47" s="68"/>
      <c r="AT47" s="707">
        <f>iSummary!CF45</f>
        <v>1</v>
      </c>
      <c r="AU47" s="645">
        <f>IF(AT47=0,0,IF(uxb_works!$B$49,IF(AY47&lt;$C$80,1,IF(AY47&gt;$C$80,4,2)),IF(AY47&lt;=$B$80,1,IF(AY47&lt;=$B$81,2,(IF(AY47&lt;=$B$82,3,4))))))</f>
        <v>3</v>
      </c>
      <c r="AV47" s="615"/>
      <c r="AW47" s="616">
        <f>iSummary!CG45</f>
        <v>38</v>
      </c>
      <c r="AX47" s="681" t="str">
        <f ca="1">iSummary!CH45&amp;iSummary!CN45</f>
        <v>Rio de Janeiro</v>
      </c>
      <c r="AY47" s="705">
        <f>iSummary!CI45</f>
        <v>69.85</v>
      </c>
      <c r="AZ47" s="637">
        <f ca="1">IF(iSummary!CJ45=0,"=",iSummary!CJ45)</f>
        <v>3.24</v>
      </c>
      <c r="BA47" s="649" t="b">
        <f ca="1">iSummary!CK45</f>
        <v>0</v>
      </c>
      <c r="BB47" s="708">
        <f ca="1">IF(iSummary!CL45=0,"=",iSummary!CL45)</f>
        <v>-7</v>
      </c>
      <c r="BC47" s="650" t="b">
        <f ca="1">iSummary!CM45</f>
        <v>0</v>
      </c>
      <c r="BD47"/>
      <c r="BE47"/>
      <c r="BF47"/>
      <c r="BG47"/>
      <c r="BH47"/>
      <c r="BI47"/>
      <c r="BJ47"/>
      <c r="BK47"/>
      <c r="BL47"/>
      <c r="BM47"/>
      <c r="BN47"/>
      <c r="BO47"/>
      <c r="BP47"/>
      <c r="BQ47"/>
      <c r="BR47"/>
      <c r="BS47"/>
      <c r="BT47"/>
      <c r="BU47"/>
      <c r="BV47"/>
      <c r="BW47"/>
      <c r="BX47"/>
      <c r="BY47"/>
      <c r="BZ47"/>
      <c r="CA47"/>
    </row>
    <row r="48" s="70" customFormat="1" customHeight="1" spans="2:79">
      <c r="B48" s="645">
        <f>iSummary!P46</f>
        <v>1</v>
      </c>
      <c r="C48" s="645">
        <f>IF(B48=0,0,IF(uxb_works!$B$49,IF(G48&lt;$C$80,1,IF(G48&gt;$C$80,4,2)),IF(G48&lt;=$B$80,1,IF(G48&lt;=$B$81,2,(IF(G48&lt;=$B$82,3,4))))))</f>
        <v>3</v>
      </c>
      <c r="D48" s="646"/>
      <c r="E48" s="616">
        <f>iSummary!Q46</f>
        <v>39</v>
      </c>
      <c r="F48" s="681" t="str">
        <f ca="1">iSummary!R46&amp;iSummary!X46</f>
        <v>Mexico City</v>
      </c>
      <c r="G48" s="682">
        <f>iSummary!S46</f>
        <v>65.52</v>
      </c>
      <c r="H48" s="637">
        <f ca="1">IF(iSummary!T46=0,"=",iSummary!T46)</f>
        <v>3.28</v>
      </c>
      <c r="I48" s="649" t="b">
        <f ca="1">iSummary!U46</f>
        <v>0</v>
      </c>
      <c r="J48" s="636">
        <f ca="1">IF(iSummary!V46=0,"=",iSummary!V46)</f>
        <v>-3</v>
      </c>
      <c r="K48" s="650" t="b">
        <f ca="1">iSummary!W46</f>
        <v>0</v>
      </c>
      <c r="L48" s="693"/>
      <c r="M48" s="693">
        <f>iSummary!AG46</f>
        <v>1</v>
      </c>
      <c r="N48" s="645">
        <f>IF(M48=0,0,IF(uxb_works!$B$49,IF(R48&lt;$C$80,1,IF(R48&gt;$C$80,4,2)),IF(R48&lt;=$B$80,1,IF(R48&lt;=$B$81,2,(IF(R48&lt;=$B$82,3,4))))))</f>
        <v>3</v>
      </c>
      <c r="O48" s="615"/>
      <c r="P48" s="695">
        <f>iSummary!AH46</f>
        <v>39</v>
      </c>
      <c r="Q48" s="699" t="str">
        <f ca="1">iSummary!AI46&amp;iSummary!AO46</f>
        <v>Santiago</v>
      </c>
      <c r="R48" s="700">
        <f>iSummary!AJ46</f>
        <v>60.57</v>
      </c>
      <c r="S48" s="637">
        <f ca="1">IF(iSummary!AK46=0,"=",iSummary!AK46)</f>
        <v>-6.44</v>
      </c>
      <c r="T48" s="649" t="b">
        <f ca="1">iSummary!AL46</f>
        <v>0</v>
      </c>
      <c r="U48" s="636">
        <f ca="1">IF(iSummary!AM46=0,"=",iSummary!AM46)</f>
        <v>-21</v>
      </c>
      <c r="V48" s="650" t="b">
        <f ca="1">iSummary!AN46</f>
        <v>0</v>
      </c>
      <c r="W48"/>
      <c r="X48" s="68">
        <f>iSummary!AX46</f>
        <v>1</v>
      </c>
      <c r="Y48" s="645">
        <f>IF(X48=0,0,IF(uxb_works!$B$49,IF(AC48&lt;$C$80,1,IF(AC48&gt;$C$80,4,2)),IF(AC48&lt;=$B$80,1,IF(AC48&lt;=$B$81,2,(IF(AC48&lt;=$B$82,3,4))))))</f>
        <v>3</v>
      </c>
      <c r="Z48" s="615"/>
      <c r="AA48" s="616">
        <f>iSummary!AY46</f>
        <v>39</v>
      </c>
      <c r="AB48" s="681" t="str">
        <f ca="1">iSummary!AZ46&amp;iSummary!BF46</f>
        <v>Bogota *</v>
      </c>
      <c r="AC48" s="705">
        <f>iSummary!BA46</f>
        <v>65.37</v>
      </c>
      <c r="AD48" s="637" t="str">
        <f ca="1">IF(iSummary!BB46=0,"=",iSummary!BB46)</f>
        <v/>
      </c>
      <c r="AE48" s="649" t="b">
        <f ca="1">iSummary!BC46</f>
        <v>0</v>
      </c>
      <c r="AF48" s="636" t="str">
        <f ca="1">IF(iSummary!BD46=0,"=",iSummary!BD46)</f>
        <v/>
      </c>
      <c r="AG48" s="650" t="b">
        <f ca="1">iSummary!BE46</f>
        <v>0</v>
      </c>
      <c r="AH48" s="68"/>
      <c r="AI48" s="68">
        <f>iSummary!BO46</f>
        <v>1</v>
      </c>
      <c r="AJ48" s="645">
        <f>IF(AI48=0,0,IF(uxb_works!$B$49,IF(AN48&lt;$C$80,1,IF(AN48&gt;$C$80,4,2)),IF(AN48&lt;=$B$80,1,IF(AN48&lt;=$B$81,2,(IF(AN48&lt;=$B$82,3,4))))))</f>
        <v>3</v>
      </c>
      <c r="AK48" s="615"/>
      <c r="AL48" s="616">
        <f>iSummary!BP46</f>
        <v>39</v>
      </c>
      <c r="AM48" s="681" t="str">
        <f ca="1">iSummary!BQ46&amp;iSummary!BW46</f>
        <v>Mexico City</v>
      </c>
      <c r="AN48" s="705">
        <f>iSummary!BR46</f>
        <v>72.98</v>
      </c>
      <c r="AO48" s="637">
        <f ca="1">IF(iSummary!BS46=0,"=",iSummary!BS46)</f>
        <v>14.14</v>
      </c>
      <c r="AP48" s="649" t="b">
        <f ca="1">iSummary!BT46</f>
        <v>0</v>
      </c>
      <c r="AQ48" s="636">
        <f ca="1">IF(iSummary!BU46=0,"=",iSummary!BU46)</f>
        <v>2</v>
      </c>
      <c r="AR48" s="650" t="b">
        <f ca="1">iSummary!BV46</f>
        <v>0</v>
      </c>
      <c r="AS48" s="68"/>
      <c r="AT48" s="707">
        <f>iSummary!CF46</f>
        <v>1</v>
      </c>
      <c r="AU48" s="645">
        <f>IF(AT48=0,0,IF(uxb_works!$B$49,IF(AY48&lt;$C$80,1,IF(AY48&gt;$C$80,4,2)),IF(AY48&lt;=$B$80,1,IF(AY48&lt;=$B$81,2,(IF(AY48&lt;=$B$82,3,4))))))</f>
        <v>3</v>
      </c>
      <c r="AV48" s="615"/>
      <c r="AW48" s="616">
        <f>iSummary!CG46</f>
        <v>39</v>
      </c>
      <c r="AX48" s="681" t="str">
        <f ca="1">iSummary!CH46&amp;iSummary!CN46</f>
        <v>Manila *</v>
      </c>
      <c r="AY48" s="705">
        <f>iSummary!CI46</f>
        <v>69.83</v>
      </c>
      <c r="AZ48" s="637" t="str">
        <f ca="1">IF(iSummary!CJ46=0,"=",iSummary!CJ46)</f>
        <v/>
      </c>
      <c r="BA48" s="649" t="b">
        <f ca="1">iSummary!CK46</f>
        <v>0</v>
      </c>
      <c r="BB48" s="708" t="str">
        <f ca="1">IF(iSummary!CL46=0,"=",iSummary!CL46)</f>
        <v/>
      </c>
      <c r="BC48" s="650" t="b">
        <f ca="1">iSummary!CM46</f>
        <v>0</v>
      </c>
      <c r="BD48"/>
      <c r="BE48"/>
      <c r="BF48"/>
      <c r="BG48"/>
      <c r="BH48"/>
      <c r="BI48"/>
      <c r="BJ48"/>
      <c r="BK48"/>
      <c r="BL48"/>
      <c r="BM48"/>
      <c r="BN48"/>
      <c r="BO48"/>
      <c r="BP48"/>
      <c r="BQ48"/>
      <c r="BR48"/>
      <c r="BS48"/>
      <c r="BT48"/>
      <c r="BU48"/>
      <c r="BV48"/>
      <c r="BW48"/>
      <c r="BX48"/>
      <c r="BY48"/>
      <c r="BZ48"/>
      <c r="CA48"/>
    </row>
    <row r="49" s="70" customFormat="1" customHeight="1" spans="2:79">
      <c r="B49" s="645">
        <f>iSummary!P47</f>
        <v>1</v>
      </c>
      <c r="C49" s="645">
        <f>IF(B49=0,0,IF(uxb_works!$B$49,IF(G49&lt;$C$80,1,IF(G49&gt;$C$80,4,2)),IF(G49&lt;=$B$80,1,IF(G49&lt;=$B$81,2,(IF(G49&lt;=$B$82,3,4))))))</f>
        <v>3</v>
      </c>
      <c r="D49" s="646"/>
      <c r="E49" s="616">
        <f>iSummary!Q47</f>
        <v>40</v>
      </c>
      <c r="F49" s="681" t="str">
        <f ca="1">iSummary!R47&amp;iSummary!X47</f>
        <v>Istanbul</v>
      </c>
      <c r="G49" s="682">
        <f>iSummary!S47</f>
        <v>65.23</v>
      </c>
      <c r="H49" s="637">
        <f ca="1">IF(iSummary!T47=0,"=",iSummary!T47)</f>
        <v>5.42</v>
      </c>
      <c r="I49" s="649" t="b">
        <f ca="1">iSummary!U47</f>
        <v>0</v>
      </c>
      <c r="J49" s="636">
        <f ca="1">IF(iSummary!V47=0,"=",iSummary!V47)</f>
        <v>-1</v>
      </c>
      <c r="K49" s="650" t="b">
        <f ca="1">iSummary!W47</f>
        <v>0</v>
      </c>
      <c r="L49" s="693"/>
      <c r="M49" s="693">
        <f>iSummary!AG47</f>
        <v>1</v>
      </c>
      <c r="N49" s="645">
        <f>IF(M49=0,0,IF(uxb_works!$B$49,IF(R49&lt;$C$80,1,IF(R49&gt;$C$80,4,2)),IF(R49&lt;=$B$80,1,IF(R49&lt;=$B$81,2,(IF(R49&lt;=$B$82,3,4))))))</f>
        <v>3</v>
      </c>
      <c r="O49" s="615"/>
      <c r="P49" s="695">
        <f>iSummary!AH47</f>
        <v>40</v>
      </c>
      <c r="Q49" s="699" t="str">
        <f ca="1">iSummary!AI47&amp;iSummary!AO47</f>
        <v>Kuwait City</v>
      </c>
      <c r="R49" s="700">
        <f>iSummary!AJ47</f>
        <v>60.17</v>
      </c>
      <c r="S49" s="637">
        <f ca="1">IF(iSummary!AK47=0,"=",iSummary!AK47)</f>
        <v>-0.54</v>
      </c>
      <c r="T49" s="649" t="b">
        <f ca="1">iSummary!AL47</f>
        <v>0</v>
      </c>
      <c r="U49" s="636">
        <f ca="1">IF(iSummary!AM47=0,"=",iSummary!AM47)</f>
        <v>-11</v>
      </c>
      <c r="V49" s="650" t="b">
        <f ca="1">iSummary!AN47</f>
        <v>0</v>
      </c>
      <c r="W49"/>
      <c r="X49" s="68">
        <f>iSummary!AX47</f>
        <v>1</v>
      </c>
      <c r="Y49" s="645">
        <f>IF(X49=0,0,IF(uxb_works!$B$49,IF(AC49&lt;$C$80,1,IF(AC49&gt;$C$80,4,2)),IF(AC49&lt;=$B$80,1,IF(AC49&lt;=$B$81,2,(IF(AC49&lt;=$B$82,3,4))))))</f>
        <v>3</v>
      </c>
      <c r="Z49" s="615"/>
      <c r="AA49" s="616">
        <f>iSummary!AY47</f>
        <v>40</v>
      </c>
      <c r="AB49" s="681" t="str">
        <f ca="1">iSummary!AZ47&amp;iSummary!BF47</f>
        <v>Rio de Janeiro</v>
      </c>
      <c r="AC49" s="705">
        <f>iSummary!BA47</f>
        <v>64.8</v>
      </c>
      <c r="AD49" s="637">
        <f ca="1">IF(iSummary!BB47=0,"=",iSummary!BB47)</f>
        <v>3.26</v>
      </c>
      <c r="AE49" s="649" t="b">
        <f ca="1">iSummary!BC47</f>
        <v>0</v>
      </c>
      <c r="AF49" s="636">
        <f ca="1">IF(iSummary!BD47=0,"=",iSummary!BD47)</f>
        <v>-6</v>
      </c>
      <c r="AG49" s="650" t="b">
        <f ca="1">iSummary!BE47</f>
        <v>0</v>
      </c>
      <c r="AH49" s="68"/>
      <c r="AI49" s="68">
        <f>iSummary!BO47</f>
        <v>1</v>
      </c>
      <c r="AJ49" s="645">
        <f>IF(AI49=0,0,IF(uxb_works!$B$49,IF(AN49&lt;$C$80,1,IF(AN49&gt;$C$80,4,2)),IF(AN49&lt;=$B$80,1,IF(AN49&lt;=$B$81,2,(IF(AN49&lt;=$B$82,3,4))))))</f>
        <v>3</v>
      </c>
      <c r="AK49" s="615"/>
      <c r="AL49" s="616">
        <f>iSummary!BP47</f>
        <v>40</v>
      </c>
      <c r="AM49" s="681" t="str">
        <f ca="1">iSummary!BQ47&amp;iSummary!BW47</f>
        <v>Kuwait City</v>
      </c>
      <c r="AN49" s="705">
        <f>iSummary!BR47</f>
        <v>71.66</v>
      </c>
      <c r="AO49" s="637">
        <f ca="1">IF(iSummary!BS47=0,"=",iSummary!BS47)</f>
        <v>-0.67</v>
      </c>
      <c r="AP49" s="649" t="b">
        <f ca="1">iSummary!BT47</f>
        <v>0</v>
      </c>
      <c r="AQ49" s="636">
        <f ca="1">IF(iSummary!BU47=0,"=",iSummary!BU47)</f>
        <v>-5</v>
      </c>
      <c r="AR49" s="650" t="b">
        <f ca="1">iSummary!BV47</f>
        <v>0</v>
      </c>
      <c r="AS49" s="68"/>
      <c r="AT49" s="707">
        <f>iSummary!CF47</f>
        <v>1</v>
      </c>
      <c r="AU49" s="645">
        <f>IF(AT49=0,0,IF(uxb_works!$B$49,IF(AY49&lt;$C$80,1,IF(AY49&gt;$C$80,4,2)),IF(AY49&lt;=$B$80,1,IF(AY49&lt;=$B$81,2,(IF(AY49&lt;=$B$82,3,4))))))</f>
        <v>3</v>
      </c>
      <c r="AV49" s="615"/>
      <c r="AW49" s="616">
        <f>iSummary!CG47</f>
        <v>40</v>
      </c>
      <c r="AX49" s="681" t="str">
        <f ca="1">iSummary!CH47&amp;iSummary!CN47</f>
        <v>Cairo *</v>
      </c>
      <c r="AY49" s="705">
        <f>iSummary!CI47</f>
        <v>69.75</v>
      </c>
      <c r="AZ49" s="637" t="str">
        <f ca="1">IF(iSummary!CJ47=0,"=",iSummary!CJ47)</f>
        <v/>
      </c>
      <c r="BA49" s="649" t="b">
        <f ca="1">iSummary!CK47</f>
        <v>0</v>
      </c>
      <c r="BB49" s="708" t="str">
        <f ca="1">IF(iSummary!CL47=0,"=",iSummary!CL47)</f>
        <v/>
      </c>
      <c r="BC49" s="650" t="b">
        <f ca="1">iSummary!CM47</f>
        <v>0</v>
      </c>
      <c r="BD49"/>
      <c r="BE49"/>
      <c r="BF49"/>
      <c r="BG49"/>
      <c r="BH49"/>
      <c r="BI49"/>
      <c r="BJ49"/>
      <c r="BK49"/>
      <c r="BL49"/>
      <c r="BM49"/>
      <c r="BN49"/>
      <c r="BO49"/>
      <c r="BP49"/>
      <c r="BQ49"/>
      <c r="BR49"/>
      <c r="BS49"/>
      <c r="BT49"/>
      <c r="BU49"/>
      <c r="BV49"/>
      <c r="BW49"/>
      <c r="BX49"/>
      <c r="BY49"/>
      <c r="BZ49"/>
      <c r="CA49"/>
    </row>
    <row r="50" s="70" customFormat="1" customHeight="1" spans="2:79">
      <c r="B50" s="645">
        <f>iSummary!P48</f>
        <v>1</v>
      </c>
      <c r="C50" s="645">
        <f>IF(B50=0,0,IF(uxb_works!$B$49,IF(G50&lt;$C$80,1,IF(G50&gt;$C$80,4,2)),IF(G50&lt;=$B$80,1,IF(G50&lt;=$B$81,2,(IF(G50&lt;=$B$82,3,4))))))</f>
        <v>3</v>
      </c>
      <c r="D50" s="646"/>
      <c r="E50" s="616">
        <f>iSummary!Q48</f>
        <v>41</v>
      </c>
      <c r="F50" s="681" t="str">
        <f ca="1">iSummary!R48&amp;iSummary!X48</f>
        <v>Moscow</v>
      </c>
      <c r="G50" s="682">
        <f>iSummary!S48</f>
        <v>63.99</v>
      </c>
      <c r="H50" s="637">
        <f ca="1">IF(iSummary!T48=0,"=",iSummary!T48)</f>
        <v>4.4</v>
      </c>
      <c r="I50" s="649" t="b">
        <f ca="1">iSummary!U48</f>
        <v>0</v>
      </c>
      <c r="J50" s="636">
        <f ca="1">IF(iSummary!V48=0,"=",iSummary!V48)</f>
        <v>-1</v>
      </c>
      <c r="K50" s="650" t="b">
        <f ca="1">iSummary!W48</f>
        <v>0</v>
      </c>
      <c r="L50" s="693"/>
      <c r="M50" s="693">
        <f>iSummary!AG48</f>
        <v>1</v>
      </c>
      <c r="N50" s="645">
        <f>IF(M50=0,0,IF(uxb_works!$B$49,IF(R50&lt;$C$80,1,IF(R50&gt;$C$80,4,2)),IF(R50&lt;=$B$80,1,IF(R50&lt;=$B$81,2,(IF(R50&lt;=$B$82,3,4))))))</f>
        <v>3</v>
      </c>
      <c r="O50" s="615"/>
      <c r="P50" s="695">
        <f>iSummary!AH48</f>
        <v>41</v>
      </c>
      <c r="Q50" s="699" t="str">
        <f ca="1">iSummary!AI48&amp;iSummary!AO48</f>
        <v>Lima</v>
      </c>
      <c r="R50" s="700">
        <f>iSummary!AJ48</f>
        <v>59.78</v>
      </c>
      <c r="S50" s="637">
        <f ca="1">IF(iSummary!AK48=0,"=",iSummary!AK48)</f>
        <v>8.19</v>
      </c>
      <c r="T50" s="649" t="b">
        <f ca="1">iSummary!AL48</f>
        <v>0</v>
      </c>
      <c r="U50" s="636">
        <f ca="1">IF(iSummary!AM48=0,"=",iSummary!AM48)</f>
        <v>-6</v>
      </c>
      <c r="V50" s="650" t="b">
        <f ca="1">iSummary!AN48</f>
        <v>0</v>
      </c>
      <c r="W50"/>
      <c r="X50" s="68">
        <f>iSummary!AX48</f>
        <v>1</v>
      </c>
      <c r="Y50" s="645">
        <f>IF(X50=0,0,IF(uxb_works!$B$49,IF(AC50&lt;$C$80,1,IF(AC50&gt;$C$80,4,2)),IF(AC50&lt;=$B$80,1,IF(AC50&lt;=$B$81,2,(IF(AC50&lt;=$B$82,3,4))))))</f>
        <v>3</v>
      </c>
      <c r="Z50" s="615"/>
      <c r="AA50" s="616">
        <f>iSummary!AY48</f>
        <v>41</v>
      </c>
      <c r="AB50" s="681" t="str">
        <f ca="1">iSummary!AZ48&amp;iSummary!BF48</f>
        <v>Kuwait City</v>
      </c>
      <c r="AC50" s="705">
        <f>iSummary!BA48</f>
        <v>63.81</v>
      </c>
      <c r="AD50" s="637">
        <f ca="1">IF(iSummary!BB48=0,"=",iSummary!BB48)</f>
        <v>3.94</v>
      </c>
      <c r="AE50" s="649" t="b">
        <f ca="1">iSummary!BC48</f>
        <v>0</v>
      </c>
      <c r="AF50" s="636">
        <f ca="1">IF(iSummary!BD48=0,"=",iSummary!BD48)</f>
        <v>-6</v>
      </c>
      <c r="AG50" s="650" t="b">
        <f ca="1">iSummary!BE48</f>
        <v>0</v>
      </c>
      <c r="AH50" s="68"/>
      <c r="AI50" s="68">
        <f>iSummary!BO48</f>
        <v>1</v>
      </c>
      <c r="AJ50" s="645">
        <f>IF(AI50=0,0,IF(uxb_works!$B$49,IF(AN50&lt;$C$80,1,IF(AN50&gt;$C$80,4,2)),IF(AN50&lt;=$B$80,1,IF(AN50&lt;=$B$81,2,(IF(AN50&lt;=$B$82,3,4))))))</f>
        <v>3</v>
      </c>
      <c r="AK50" s="615"/>
      <c r="AL50" s="616">
        <f>iSummary!BP48</f>
        <v>41</v>
      </c>
      <c r="AM50" s="681" t="str">
        <f ca="1">iSummary!BQ48&amp;iSummary!BW48</f>
        <v>Istanbul</v>
      </c>
      <c r="AN50" s="705">
        <f>iSummary!BR48</f>
        <v>70.79</v>
      </c>
      <c r="AO50" s="637">
        <f ca="1">IF(iSummary!BS48=0,"=",iSummary!BS48)</f>
        <v>-0.66</v>
      </c>
      <c r="AP50" s="649" t="b">
        <f ca="1">iSummary!BT48</f>
        <v>0</v>
      </c>
      <c r="AQ50" s="636">
        <f ca="1">IF(iSummary!BU48=0,"=",iSummary!BU48)</f>
        <v>-5</v>
      </c>
      <c r="AR50" s="650" t="b">
        <f ca="1">iSummary!BV48</f>
        <v>0</v>
      </c>
      <c r="AS50" s="68"/>
      <c r="AT50" s="707">
        <f>iSummary!CF48</f>
        <v>1</v>
      </c>
      <c r="AU50" s="645">
        <f>IF(AT50=0,0,IF(uxb_works!$B$49,IF(AY50&lt;$C$80,1,IF(AY50&gt;$C$80,4,2)),IF(AY50&lt;=$B$80,1,IF(AY50&lt;=$B$81,2,(IF(AY50&lt;=$B$82,3,4))))))</f>
        <v>3</v>
      </c>
      <c r="AV50" s="615"/>
      <c r="AW50" s="616">
        <f>iSummary!CG48</f>
        <v>41</v>
      </c>
      <c r="AX50" s="681" t="str">
        <f ca="1">iSummary!CH48&amp;iSummary!CN48</f>
        <v>Athens *</v>
      </c>
      <c r="AY50" s="705">
        <f>iSummary!CI48</f>
        <v>69.03</v>
      </c>
      <c r="AZ50" s="637" t="str">
        <f ca="1">IF(iSummary!CJ48=0,"=",iSummary!CJ48)</f>
        <v/>
      </c>
      <c r="BA50" s="649" t="b">
        <f ca="1">iSummary!CK48</f>
        <v>0</v>
      </c>
      <c r="BB50" s="708" t="str">
        <f ca="1">IF(iSummary!CL48=0,"=",iSummary!CL48)</f>
        <v/>
      </c>
      <c r="BC50" s="650" t="b">
        <f ca="1">iSummary!CM48</f>
        <v>0</v>
      </c>
      <c r="BD50"/>
      <c r="BE50"/>
      <c r="BF50"/>
      <c r="BG50"/>
      <c r="BH50"/>
      <c r="BI50"/>
      <c r="BJ50"/>
      <c r="BK50"/>
      <c r="BL50"/>
      <c r="BM50"/>
      <c r="BN50"/>
      <c r="BO50"/>
      <c r="BP50"/>
      <c r="BQ50"/>
      <c r="BR50"/>
      <c r="BS50"/>
      <c r="BT50"/>
      <c r="BU50"/>
      <c r="BV50"/>
      <c r="BW50"/>
      <c r="BX50"/>
      <c r="BY50"/>
      <c r="BZ50"/>
      <c r="CA50"/>
    </row>
    <row r="51" s="70" customFormat="1" customHeight="1" spans="2:79">
      <c r="B51" s="645">
        <f>iSummary!P49</f>
        <v>1</v>
      </c>
      <c r="C51" s="645">
        <f>IF(B51=0,0,IF(uxb_works!$B$49,IF(G51&lt;$C$80,1,IF(G51&gt;$C$80,4,2)),IF(G51&lt;=$B$80,1,IF(G51&lt;=$B$81,2,(IF(G51&lt;=$B$82,3,4))))))</f>
        <v>3</v>
      </c>
      <c r="D51" s="646"/>
      <c r="E51" s="616">
        <f>iSummary!Q49</f>
        <v>42</v>
      </c>
      <c r="F51" s="681" t="str">
        <f ca="1">iSummary!R49&amp;iSummary!X49</f>
        <v>Jeddah *</v>
      </c>
      <c r="G51" s="682">
        <f>iSummary!S49</f>
        <v>62.8</v>
      </c>
      <c r="H51" s="637" t="str">
        <f ca="1">IF(iSummary!T49=0,"=",iSummary!T49)</f>
        <v/>
      </c>
      <c r="I51" s="649" t="b">
        <f ca="1">iSummary!U49</f>
        <v>0</v>
      </c>
      <c r="J51" s="636" t="str">
        <f ca="1">IF(iSummary!V49=0,"=",iSummary!V49)</f>
        <v/>
      </c>
      <c r="K51" s="650" t="b">
        <f ca="1">iSummary!W49</f>
        <v>0</v>
      </c>
      <c r="L51" s="693"/>
      <c r="M51" s="693">
        <f>iSummary!AG49</f>
        <v>1</v>
      </c>
      <c r="N51" s="645">
        <f>IF(M51=0,0,IF(uxb_works!$B$49,IF(R51&lt;$C$80,1,IF(R51&gt;$C$80,4,2)),IF(R51&lt;=$B$80,1,IF(R51&lt;=$B$81,2,(IF(R51&lt;=$B$82,3,4))))))</f>
        <v>3</v>
      </c>
      <c r="O51" s="615"/>
      <c r="P51" s="695">
        <f>iSummary!AH49</f>
        <v>42</v>
      </c>
      <c r="Q51" s="699" t="str">
        <f ca="1">iSummary!AI49&amp;iSummary!AO49</f>
        <v>Shanghai</v>
      </c>
      <c r="R51" s="700">
        <f>iSummary!AJ49</f>
        <v>59.42</v>
      </c>
      <c r="S51" s="637">
        <f ca="1">IF(iSummary!AK49=0,"=",iSummary!AK49)</f>
        <v>11.28</v>
      </c>
      <c r="T51" s="649" t="b">
        <f ca="1">iSummary!AL49</f>
        <v>0</v>
      </c>
      <c r="U51" s="636">
        <f ca="1">IF(iSummary!AM49=0,"=",iSummary!AM49)</f>
        <v>-2</v>
      </c>
      <c r="V51" s="650" t="b">
        <f ca="1">iSummary!AN49</f>
        <v>0</v>
      </c>
      <c r="W51"/>
      <c r="X51" s="68">
        <f>iSummary!AX49</f>
        <v>1</v>
      </c>
      <c r="Y51" s="645">
        <f>IF(X51=0,0,IF(uxb_works!$B$49,IF(AC51&lt;$C$80,1,IF(AC51&gt;$C$80,4,2)),IF(AC51&lt;=$B$80,1,IF(AC51&lt;=$B$81,2,(IF(AC51&lt;=$B$82,3,4))))))</f>
        <v>3</v>
      </c>
      <c r="Z51" s="615"/>
      <c r="AA51" s="616">
        <f>iSummary!AY49</f>
        <v>42</v>
      </c>
      <c r="AB51" s="681" t="str">
        <f ca="1">iSummary!AZ49&amp;iSummary!BF49</f>
        <v>Sao Paulo</v>
      </c>
      <c r="AC51" s="705">
        <f>iSummary!BA49</f>
        <v>63.74</v>
      </c>
      <c r="AD51" s="637">
        <f ca="1">IF(iSummary!BB49=0,"=",iSummary!BB49)</f>
        <v>-0.18</v>
      </c>
      <c r="AE51" s="649" t="b">
        <f ca="1">iSummary!BC49</f>
        <v>0</v>
      </c>
      <c r="AF51" s="636">
        <f ca="1">IF(iSummary!BD49=0,"=",iSummary!BD49)</f>
        <v>-9</v>
      </c>
      <c r="AG51" s="650" t="b">
        <f ca="1">iSummary!BE49</f>
        <v>0</v>
      </c>
      <c r="AH51" s="68"/>
      <c r="AI51" s="68">
        <f>iSummary!BO49</f>
        <v>1</v>
      </c>
      <c r="AJ51" s="645">
        <f>IF(AI51=0,0,IF(uxb_works!$B$49,IF(AN51&lt;$C$80,1,IF(AN51&gt;$C$80,4,2)),IF(AN51&lt;=$B$80,1,IF(AN51&lt;=$B$81,2,(IF(AN51&lt;=$B$82,3,4))))))</f>
        <v>3</v>
      </c>
      <c r="AK51" s="615"/>
      <c r="AL51" s="616">
        <f>iSummary!BP49</f>
        <v>42</v>
      </c>
      <c r="AM51" s="681" t="str">
        <f ca="1">iSummary!BQ49&amp;iSummary!BW49</f>
        <v>Bogota *</v>
      </c>
      <c r="AN51" s="705">
        <f>iSummary!BR49</f>
        <v>69.79</v>
      </c>
      <c r="AO51" s="637" t="str">
        <f ca="1">IF(iSummary!BS49=0,"=",iSummary!BS49)</f>
        <v/>
      </c>
      <c r="AP51" s="649" t="b">
        <f ca="1">iSummary!BT49</f>
        <v>0</v>
      </c>
      <c r="AQ51" s="636" t="str">
        <f ca="1">IF(iSummary!BU49=0,"=",iSummary!BU49)</f>
        <v/>
      </c>
      <c r="AR51" s="650" t="b">
        <f ca="1">iSummary!BV49</f>
        <v>0</v>
      </c>
      <c r="AS51" s="68"/>
      <c r="AT51" s="707">
        <f>iSummary!CF49</f>
        <v>1</v>
      </c>
      <c r="AU51" s="645">
        <f>IF(AT51=0,0,IF(uxb_works!$B$49,IF(AY51&lt;$C$80,1,IF(AY51&gt;$C$80,4,2)),IF(AY51&lt;=$B$80,1,IF(AY51&lt;=$B$81,2,(IF(AY51&lt;=$B$82,3,4))))))</f>
        <v>3</v>
      </c>
      <c r="AV51" s="615"/>
      <c r="AW51" s="616">
        <f>iSummary!CG49</f>
        <v>42</v>
      </c>
      <c r="AX51" s="681" t="str">
        <f ca="1">iSummary!CH49&amp;iSummary!CN49</f>
        <v>Buenos Aires</v>
      </c>
      <c r="AY51" s="705">
        <f>iSummary!CI49</f>
        <v>68.41</v>
      </c>
      <c r="AZ51" s="637">
        <f ca="1">IF(iSummary!CJ49=0,"=",iSummary!CJ49)</f>
        <v>4.3</v>
      </c>
      <c r="BA51" s="649" t="b">
        <f ca="1">iSummary!CK49</f>
        <v>0</v>
      </c>
      <c r="BB51" s="708">
        <f ca="1">IF(iSummary!CL49=0,"=",iSummary!CL49)</f>
        <v>-8</v>
      </c>
      <c r="BC51" s="650" t="b">
        <f ca="1">iSummary!CM49</f>
        <v>0</v>
      </c>
      <c r="BD51"/>
      <c r="BE51"/>
      <c r="BF51"/>
      <c r="BG51"/>
      <c r="BH51"/>
      <c r="BI51"/>
      <c r="BJ51"/>
      <c r="BK51"/>
      <c r="BL51"/>
      <c r="BM51"/>
      <c r="BN51"/>
      <c r="BO51"/>
      <c r="BP51"/>
      <c r="BQ51"/>
      <c r="BR51"/>
      <c r="BS51"/>
      <c r="BT51"/>
      <c r="BU51"/>
      <c r="BV51"/>
      <c r="BW51"/>
      <c r="BX51"/>
      <c r="BY51"/>
      <c r="BZ51"/>
      <c r="CA51"/>
    </row>
    <row r="52" s="70" customFormat="1" customHeight="1" spans="2:79">
      <c r="B52" s="645">
        <f>iSummary!P50</f>
        <v>1</v>
      </c>
      <c r="C52" s="645">
        <f>IF(B52=0,0,IF(uxb_works!$B$49,IF(G52&lt;$C$80,1,IF(G52&gt;$C$80,4,2)),IF(G52&lt;=$B$80,1,IF(G52&lt;=$B$81,2,(IF(G52&lt;=$B$82,3,4))))))</f>
        <v>3</v>
      </c>
      <c r="D52" s="646"/>
      <c r="E52" s="616">
        <f>iSummary!Q50</f>
        <v>43</v>
      </c>
      <c r="F52" s="681" t="str">
        <f ca="1">iSummary!R50&amp;iSummary!X50</f>
        <v>Delhi</v>
      </c>
      <c r="G52" s="682">
        <f>iSummary!S50</f>
        <v>62.34</v>
      </c>
      <c r="H52" s="637">
        <f ca="1">IF(iSummary!T50=0,"=",iSummary!T50)</f>
        <v>0.91</v>
      </c>
      <c r="I52" s="649" t="b">
        <f ca="1">iSummary!U50</f>
        <v>0</v>
      </c>
      <c r="J52" s="636">
        <f ca="1">IF(iSummary!V50=0,"=",iSummary!V50)</f>
        <v>-6</v>
      </c>
      <c r="K52" s="650" t="b">
        <f ca="1">iSummary!W50</f>
        <v>0</v>
      </c>
      <c r="L52" s="693"/>
      <c r="M52" s="693">
        <f>iSummary!AG50</f>
        <v>1</v>
      </c>
      <c r="N52" s="645">
        <f>IF(M52=0,0,IF(uxb_works!$B$49,IF(R52&lt;$C$80,1,IF(R52&gt;$C$80,4,2)),IF(R52&lt;=$B$80,1,IF(R52&lt;=$B$81,2,(IF(R52&lt;=$B$82,3,4))))))</f>
        <v>3</v>
      </c>
      <c r="O52" s="615"/>
      <c r="P52" s="695">
        <f>iSummary!AH50</f>
        <v>43</v>
      </c>
      <c r="Q52" s="699" t="str">
        <f ca="1">iSummary!AI50&amp;iSummary!AO50</f>
        <v>Caracas *</v>
      </c>
      <c r="R52" s="700">
        <f>iSummary!AJ50</f>
        <v>58.39</v>
      </c>
      <c r="S52" s="637" t="str">
        <f ca="1">IF(iSummary!AK50=0,"=",iSummary!AK50)</f>
        <v/>
      </c>
      <c r="T52" s="649" t="b">
        <f ca="1">iSummary!AL50</f>
        <v>0</v>
      </c>
      <c r="U52" s="636" t="str">
        <f ca="1">IF(iSummary!AM50=0,"=",iSummary!AM50)</f>
        <v/>
      </c>
      <c r="V52" s="650" t="b">
        <f ca="1">iSummary!AN50</f>
        <v>0</v>
      </c>
      <c r="W52"/>
      <c r="X52" s="68">
        <f>iSummary!AX50</f>
        <v>1</v>
      </c>
      <c r="Y52" s="645">
        <f>IF(X52=0,0,IF(uxb_works!$B$49,IF(AC52&lt;$C$80,1,IF(AC52&gt;$C$80,4,2)),IF(AC52&lt;=$B$80,1,IF(AC52&lt;=$B$81,2,(IF(AC52&lt;=$B$82,3,4))))))</f>
        <v>3</v>
      </c>
      <c r="Z52" s="615"/>
      <c r="AA52" s="616">
        <f>iSummary!AY50</f>
        <v>43</v>
      </c>
      <c r="AB52" s="681" t="str">
        <f ca="1">iSummary!AZ50&amp;iSummary!BF50</f>
        <v>Jeddah *</v>
      </c>
      <c r="AC52" s="705">
        <f>iSummary!BA50</f>
        <v>63.56</v>
      </c>
      <c r="AD52" s="637" t="str">
        <f ca="1">IF(iSummary!BB50=0,"=",iSummary!BB50)</f>
        <v/>
      </c>
      <c r="AE52" s="649" t="b">
        <f ca="1">iSummary!BC50</f>
        <v>0</v>
      </c>
      <c r="AF52" s="636" t="str">
        <f ca="1">IF(iSummary!BD50=0,"=",iSummary!BD50)</f>
        <v/>
      </c>
      <c r="AG52" s="650" t="b">
        <f ca="1">iSummary!BE50</f>
        <v>0</v>
      </c>
      <c r="AH52" s="68"/>
      <c r="AI52" s="68">
        <f>iSummary!BO50</f>
        <v>1</v>
      </c>
      <c r="AJ52" s="645">
        <f>IF(AI52=0,0,IF(uxb_works!$B$49,IF(AN52&lt;$C$80,1,IF(AN52&gt;$C$80,4,2)),IF(AN52&lt;=$B$80,1,IF(AN52&lt;=$B$81,2,(IF(AN52&lt;=$B$82,3,4))))))</f>
        <v>3</v>
      </c>
      <c r="AK52" s="615"/>
      <c r="AL52" s="616">
        <f>iSummary!BP50</f>
        <v>43</v>
      </c>
      <c r="AM52" s="681" t="str">
        <f ca="1">iSummary!BQ50&amp;iSummary!BW50</f>
        <v>Bangkok</v>
      </c>
      <c r="AN52" s="705">
        <f>iSummary!BR50</f>
        <v>68.33</v>
      </c>
      <c r="AO52" s="637">
        <f ca="1">IF(iSummary!BS50=0,"=",iSummary!BS50)</f>
        <v>12.16</v>
      </c>
      <c r="AP52" s="649" t="b">
        <f ca="1">iSummary!BT50</f>
        <v>0</v>
      </c>
      <c r="AQ52" s="636">
        <f ca="1">IF(iSummary!BU50=0,"=",iSummary!BU50)</f>
        <v>1</v>
      </c>
      <c r="AR52" s="650" t="b">
        <f ca="1">iSummary!BV50</f>
        <v>0</v>
      </c>
      <c r="AS52" s="68"/>
      <c r="AT52" s="707">
        <f>iSummary!CF50</f>
        <v>1</v>
      </c>
      <c r="AU52" s="645">
        <f>IF(AT52=0,0,IF(uxb_works!$B$49,IF(AY52&lt;$C$80,1,IF(AY52&gt;$C$80,4,2)),IF(AY52&lt;=$B$80,1,IF(AY52&lt;=$B$81,2,(IF(AY52&lt;=$B$82,3,4))))))</f>
        <v>3</v>
      </c>
      <c r="AV52" s="615"/>
      <c r="AW52" s="616">
        <f>iSummary!CG50</f>
        <v>43</v>
      </c>
      <c r="AX52" s="681" t="str">
        <f ca="1">iSummary!CH50&amp;iSummary!CN50</f>
        <v>Dhaka *</v>
      </c>
      <c r="AY52" s="705">
        <f>iSummary!CI50</f>
        <v>67.15</v>
      </c>
      <c r="AZ52" s="637" t="str">
        <f ca="1">IF(iSummary!CJ50=0,"=",iSummary!CJ50)</f>
        <v/>
      </c>
      <c r="BA52" s="649" t="b">
        <f ca="1">iSummary!CK50</f>
        <v>0</v>
      </c>
      <c r="BB52" s="708" t="str">
        <f ca="1">IF(iSummary!CL50=0,"=",iSummary!CL50)</f>
        <v/>
      </c>
      <c r="BC52" s="650" t="b">
        <f ca="1">iSummary!CM50</f>
        <v>0</v>
      </c>
      <c r="BD52"/>
      <c r="BE52"/>
      <c r="BF52"/>
      <c r="BG52"/>
      <c r="BH52"/>
      <c r="BI52"/>
      <c r="BJ52"/>
      <c r="BK52"/>
      <c r="BL52"/>
      <c r="BM52"/>
      <c r="BN52"/>
      <c r="BO52"/>
      <c r="BP52"/>
      <c r="BQ52"/>
      <c r="BR52"/>
      <c r="BS52"/>
      <c r="BT52"/>
      <c r="BU52"/>
      <c r="BV52"/>
      <c r="BW52"/>
      <c r="BX52"/>
      <c r="BY52"/>
      <c r="BZ52"/>
      <c r="CA52"/>
    </row>
    <row r="53" s="70" customFormat="1" customHeight="1" spans="2:79">
      <c r="B53" s="645">
        <f>iSummary!P51</f>
        <v>1</v>
      </c>
      <c r="C53" s="645">
        <f>IF(B53=0,0,IF(uxb_works!$B$49,IF(G53&lt;$C$80,1,IF(G53&gt;$C$80,4,2)),IF(G53&lt;=$B$80,1,IF(G53&lt;=$B$81,2,(IF(G53&lt;=$B$82,3,4))))))</f>
        <v>3</v>
      </c>
      <c r="D53" s="646"/>
      <c r="E53" s="616">
        <f>iSummary!Q51</f>
        <v>44</v>
      </c>
      <c r="F53" s="681" t="str">
        <f ca="1">iSummary!R51&amp;iSummary!X51</f>
        <v>Lima</v>
      </c>
      <c r="G53" s="682">
        <f>iSummary!S51</f>
        <v>61.9</v>
      </c>
      <c r="H53" s="637">
        <f ca="1">IF(iSummary!T51=0,"=",iSummary!T51)</f>
        <v>-3.29</v>
      </c>
      <c r="I53" s="649" t="b">
        <f ca="1">iSummary!U51</f>
        <v>0</v>
      </c>
      <c r="J53" s="636">
        <f ca="1">IF(iSummary!V51=0,"=",iSummary!V51)</f>
        <v>-13</v>
      </c>
      <c r="K53" s="650" t="b">
        <f ca="1">iSummary!W51</f>
        <v>0</v>
      </c>
      <c r="L53" s="693"/>
      <c r="M53" s="693">
        <f>iSummary!AG51</f>
        <v>1</v>
      </c>
      <c r="N53" s="645">
        <f>IF(M53=0,0,IF(uxb_works!$B$49,IF(R53&lt;$C$80,1,IF(R53&gt;$C$80,4,2)),IF(R53&lt;=$B$80,1,IF(R53&lt;=$B$81,2,(IF(R53&lt;=$B$82,3,4))))))</f>
        <v>3</v>
      </c>
      <c r="O53" s="615"/>
      <c r="P53" s="695">
        <f>iSummary!AH51</f>
        <v>44</v>
      </c>
      <c r="Q53" s="699" t="str">
        <f ca="1">iSummary!AI51&amp;iSummary!AO51</f>
        <v>Casablanca *</v>
      </c>
      <c r="R53" s="700">
        <f>iSummary!AJ51</f>
        <v>57.37</v>
      </c>
      <c r="S53" s="637" t="str">
        <f ca="1">IF(iSummary!AK51=0,"=",iSummary!AK51)</f>
        <v/>
      </c>
      <c r="T53" s="649" t="b">
        <f ca="1">iSummary!AL51</f>
        <v>0</v>
      </c>
      <c r="U53" s="636" t="str">
        <f ca="1">IF(iSummary!AM51=0,"=",iSummary!AM51)</f>
        <v/>
      </c>
      <c r="V53" s="650" t="b">
        <f ca="1">iSummary!AN51</f>
        <v>0</v>
      </c>
      <c r="W53"/>
      <c r="X53" s="68">
        <f>iSummary!AX51</f>
        <v>1</v>
      </c>
      <c r="Y53" s="645">
        <f>IF(X53=0,0,IF(uxb_works!$B$49,IF(AC53&lt;$C$80,1,IF(AC53&gt;$C$80,4,2)),IF(AC53&lt;=$B$80,1,IF(AC53&lt;=$B$81,2,(IF(AC53&lt;=$B$82,3,4))))))</f>
        <v>3</v>
      </c>
      <c r="Z53" s="615"/>
      <c r="AA53" s="616">
        <f>iSummary!AY51</f>
        <v>44</v>
      </c>
      <c r="AB53" s="681" t="str">
        <f ca="1">iSummary!AZ51&amp;iSummary!BF51</f>
        <v>Tehran</v>
      </c>
      <c r="AC53" s="705">
        <f>iSummary!BA51</f>
        <v>62.96</v>
      </c>
      <c r="AD53" s="637">
        <f ca="1">IF(iSummary!BB51=0,"=",iSummary!BB51)</f>
        <v>10.01</v>
      </c>
      <c r="AE53" s="649" t="b">
        <f ca="1">iSummary!BC51</f>
        <v>0</v>
      </c>
      <c r="AF53" s="636">
        <f ca="1">IF(iSummary!BD51=0,"=",iSummary!BD51)</f>
        <v>1</v>
      </c>
      <c r="AG53" s="650" t="b">
        <f ca="1">iSummary!BE51</f>
        <v>0</v>
      </c>
      <c r="AH53" s="68"/>
      <c r="AI53" s="68">
        <f>iSummary!BO51</f>
        <v>1</v>
      </c>
      <c r="AJ53" s="645">
        <f>IF(AI53=0,0,IF(uxb_works!$B$49,IF(AN53&lt;$C$80,1,IF(AN53&gt;$C$80,4,2)),IF(AN53&lt;=$B$80,1,IF(AN53&lt;=$B$81,2,(IF(AN53&lt;=$B$82,3,4))))))</f>
        <v>3</v>
      </c>
      <c r="AK53" s="615"/>
      <c r="AL53" s="616">
        <f>iSummary!BP51</f>
        <v>44</v>
      </c>
      <c r="AM53" s="681" t="str">
        <f ca="1">iSummary!BQ51&amp;iSummary!BW51</f>
        <v>Cairo *</v>
      </c>
      <c r="AN53" s="705">
        <f>iSummary!BR51</f>
        <v>68</v>
      </c>
      <c r="AO53" s="637" t="str">
        <f ca="1">IF(iSummary!BS51=0,"=",iSummary!BS51)</f>
        <v/>
      </c>
      <c r="AP53" s="649" t="b">
        <f ca="1">iSummary!BT51</f>
        <v>0</v>
      </c>
      <c r="AQ53" s="636" t="str">
        <f ca="1">IF(iSummary!BU51=0,"=",iSummary!BU51)</f>
        <v/>
      </c>
      <c r="AR53" s="650" t="b">
        <f ca="1">iSummary!BV51</f>
        <v>0</v>
      </c>
      <c r="AS53" s="68"/>
      <c r="AT53" s="707">
        <f>iSummary!CF51</f>
        <v>1</v>
      </c>
      <c r="AU53" s="645">
        <f>IF(AT53=0,0,IF(uxb_works!$B$49,IF(AY53&lt;$C$80,1,IF(AY53&gt;$C$80,4,2)),IF(AY53&lt;=$B$80,1,IF(AY53&lt;=$B$81,2,(IF(AY53&lt;=$B$82,3,4))))))</f>
        <v>3</v>
      </c>
      <c r="AV53" s="615"/>
      <c r="AW53" s="616">
        <f>iSummary!CG51</f>
        <v>44</v>
      </c>
      <c r="AX53" s="681" t="str">
        <f ca="1">iSummary!CH51&amp;iSummary!CN51</f>
        <v>Istanbul</v>
      </c>
      <c r="AY53" s="705">
        <f>iSummary!CI51</f>
        <v>65.84</v>
      </c>
      <c r="AZ53" s="637">
        <f ca="1">IF(iSummary!CJ51=0,"=",iSummary!CJ51)</f>
        <v>-4.97</v>
      </c>
      <c r="BA53" s="649" t="b">
        <f ca="1">iSummary!CK51</f>
        <v>0</v>
      </c>
      <c r="BB53" s="708">
        <f ca="1">IF(iSummary!CL51=0,"=",iSummary!CL51)</f>
        <v>-18</v>
      </c>
      <c r="BC53" s="650" t="b">
        <f ca="1">iSummary!CM51</f>
        <v>0</v>
      </c>
      <c r="BD53"/>
      <c r="BE53"/>
      <c r="BF53"/>
      <c r="BG53"/>
      <c r="BH53"/>
      <c r="BI53"/>
      <c r="BJ53"/>
      <c r="BK53"/>
      <c r="BL53"/>
      <c r="BM53"/>
      <c r="BN53"/>
      <c r="BO53"/>
      <c r="BP53"/>
      <c r="BQ53"/>
      <c r="BR53"/>
      <c r="BS53"/>
      <c r="BT53"/>
      <c r="BU53"/>
      <c r="BV53"/>
      <c r="BW53"/>
      <c r="BX53"/>
      <c r="BY53"/>
      <c r="BZ53"/>
      <c r="CA53"/>
    </row>
    <row r="54" s="70" customFormat="1" customHeight="1" spans="2:79">
      <c r="B54" s="645">
        <f>iSummary!P52</f>
        <v>1</v>
      </c>
      <c r="C54" s="645">
        <f>IF(B54=0,0,IF(uxb_works!$B$49,IF(G54&lt;$C$80,1,IF(G54&gt;$C$80,4,2)),IF(G54&lt;=$B$80,1,IF(G54&lt;=$B$81,2,(IF(G54&lt;=$B$82,3,4))))))</f>
        <v>3</v>
      </c>
      <c r="D54" s="646"/>
      <c r="E54" s="616">
        <f>iSummary!Q52</f>
        <v>45</v>
      </c>
      <c r="F54" s="681" t="str">
        <f ca="1">iSummary!R52&amp;iSummary!X52</f>
        <v>Mumbai</v>
      </c>
      <c r="G54" s="682">
        <f>iSummary!S52</f>
        <v>61.84</v>
      </c>
      <c r="H54" s="637">
        <f ca="1">IF(iSummary!T52=0,"=",iSummary!T52)</f>
        <v>1.87</v>
      </c>
      <c r="I54" s="649" t="b">
        <f ca="1">iSummary!U52</f>
        <v>0</v>
      </c>
      <c r="J54" s="636">
        <f ca="1">IF(iSummary!V52=0,"=",iSummary!V52)</f>
        <v>-7</v>
      </c>
      <c r="K54" s="650" t="b">
        <f ca="1">iSummary!W52</f>
        <v>0</v>
      </c>
      <c r="L54" s="693"/>
      <c r="M54" s="693">
        <f>iSummary!AG52</f>
        <v>1</v>
      </c>
      <c r="N54" s="645">
        <f>IF(M54=0,0,IF(uxb_works!$B$49,IF(R54&lt;$C$80,1,IF(R54&gt;$C$80,4,2)),IF(R54&lt;=$B$80,1,IF(R54&lt;=$B$81,2,(IF(R54&lt;=$B$82,3,4))))))</f>
        <v>3</v>
      </c>
      <c r="O54" s="615"/>
      <c r="P54" s="695">
        <f>iSummary!AH52</f>
        <v>45</v>
      </c>
      <c r="Q54" s="699" t="str">
        <f ca="1">iSummary!AI52&amp;iSummary!AO52</f>
        <v>Bogota *</v>
      </c>
      <c r="R54" s="700">
        <f>iSummary!AJ52</f>
        <v>54.62</v>
      </c>
      <c r="S54" s="637" t="str">
        <f ca="1">IF(iSummary!AK52=0,"=",iSummary!AK52)</f>
        <v/>
      </c>
      <c r="T54" s="649" t="b">
        <f ca="1">iSummary!AL52</f>
        <v>0</v>
      </c>
      <c r="U54" s="636" t="str">
        <f ca="1">IF(iSummary!AM52=0,"=",iSummary!AM52)</f>
        <v/>
      </c>
      <c r="V54" s="650" t="b">
        <f ca="1">iSummary!AN52</f>
        <v>0</v>
      </c>
      <c r="W54"/>
      <c r="X54" s="68">
        <f>iSummary!AX52</f>
        <v>1</v>
      </c>
      <c r="Y54" s="645">
        <f>IF(X54=0,0,IF(uxb_works!$B$49,IF(AC54&lt;$C$80,1,IF(AC54&gt;$C$80,4,2)),IF(AC54&lt;=$B$80,1,IF(AC54&lt;=$B$81,2,(IF(AC54&lt;=$B$82,3,4))))))</f>
        <v>3</v>
      </c>
      <c r="Z54" s="615"/>
      <c r="AA54" s="616" t="str">
        <f>iSummary!AY52</f>
        <v>=45</v>
      </c>
      <c r="AB54" s="681" t="str">
        <f ca="1">iSummary!AZ52&amp;iSummary!BF52</f>
        <v>Doha</v>
      </c>
      <c r="AC54" s="705">
        <f>iSummary!BA52</f>
        <v>62.6</v>
      </c>
      <c r="AD54" s="637">
        <f ca="1">IF(iSummary!BB52=0,"=",iSummary!BB52)</f>
        <v>5.25</v>
      </c>
      <c r="AE54" s="649" t="b">
        <f ca="1">iSummary!BC52</f>
        <v>0</v>
      </c>
      <c r="AF54" s="636">
        <f ca="1">IF(iSummary!BD52=0,"=",iSummary!BD52)</f>
        <v>-6</v>
      </c>
      <c r="AG54" s="650" t="b">
        <f ca="1">iSummary!BE52</f>
        <v>0</v>
      </c>
      <c r="AH54" s="68"/>
      <c r="AI54" s="68">
        <f>iSummary!BO52</f>
        <v>1</v>
      </c>
      <c r="AJ54" s="645">
        <f>IF(AI54=0,0,IF(uxb_works!$B$49,IF(AN54&lt;$C$80,1,IF(AN54&gt;$C$80,4,2)),IF(AN54&lt;=$B$80,1,IF(AN54&lt;=$B$81,2,(IF(AN54&lt;=$B$82,3,4))))))</f>
        <v>3</v>
      </c>
      <c r="AK54" s="615"/>
      <c r="AL54" s="616">
        <f>iSummary!BP52</f>
        <v>45</v>
      </c>
      <c r="AM54" s="681" t="str">
        <f ca="1">iSummary!BQ52&amp;iSummary!BW52</f>
        <v>Casablanca *</v>
      </c>
      <c r="AN54" s="705">
        <f>iSummary!BR52</f>
        <v>66.27</v>
      </c>
      <c r="AO54" s="637" t="str">
        <f ca="1">IF(iSummary!BS52=0,"=",iSummary!BS52)</f>
        <v/>
      </c>
      <c r="AP54" s="649" t="b">
        <f ca="1">iSummary!BT52</f>
        <v>0</v>
      </c>
      <c r="AQ54" s="636" t="str">
        <f ca="1">IF(iSummary!BU52=0,"=",iSummary!BU52)</f>
        <v/>
      </c>
      <c r="AR54" s="650" t="b">
        <f ca="1">iSummary!BV52</f>
        <v>0</v>
      </c>
      <c r="AS54" s="68"/>
      <c r="AT54" s="707">
        <f>iSummary!CF52</f>
        <v>1</v>
      </c>
      <c r="AU54" s="645">
        <f>IF(AT54=0,0,IF(uxb_works!$B$49,IF(AY54&lt;$C$80,1,IF(AY54&gt;$C$80,4,2)),IF(AY54&lt;=$B$80,1,IF(AY54&lt;=$B$81,2,(IF(AY54&lt;=$B$82,3,4))))))</f>
        <v>3</v>
      </c>
      <c r="AV54" s="615"/>
      <c r="AW54" s="616">
        <f>iSummary!CG52</f>
        <v>45</v>
      </c>
      <c r="AX54" s="681" t="str">
        <f ca="1">iSummary!CH52&amp;iSummary!CN52</f>
        <v>Mexico City</v>
      </c>
      <c r="AY54" s="705">
        <f>iSummary!CI52</f>
        <v>64.62</v>
      </c>
      <c r="AZ54" s="637">
        <f ca="1">IF(iSummary!CJ52=0,"=",iSummary!CJ52)</f>
        <v>2.51</v>
      </c>
      <c r="BA54" s="649" t="b">
        <f ca="1">iSummary!CK52</f>
        <v>0</v>
      </c>
      <c r="BB54" s="708">
        <f ca="1">IF(iSummary!CL52=0,"=",iSummary!CL52)</f>
        <v>-9</v>
      </c>
      <c r="BC54" s="650" t="b">
        <f ca="1">iSummary!CM52</f>
        <v>0</v>
      </c>
      <c r="BD54"/>
      <c r="BE54"/>
      <c r="BF54"/>
      <c r="BG54"/>
      <c r="BH54"/>
      <c r="BI54"/>
      <c r="BJ54"/>
      <c r="BK54"/>
      <c r="BL54"/>
      <c r="BM54"/>
      <c r="BN54"/>
      <c r="BO54"/>
      <c r="BP54"/>
      <c r="BQ54"/>
      <c r="BR54"/>
      <c r="BS54"/>
      <c r="BT54"/>
      <c r="BU54"/>
      <c r="BV54"/>
      <c r="BW54"/>
      <c r="BX54"/>
      <c r="BY54"/>
      <c r="BZ54"/>
      <c r="CA54"/>
    </row>
    <row r="55" s="70" customFormat="1" customHeight="1" spans="2:79">
      <c r="B55" s="645">
        <f>iSummary!P53</f>
        <v>1</v>
      </c>
      <c r="C55" s="645">
        <f>IF(B55=0,0,IF(uxb_works!$B$49,IF(G55&lt;$C$80,1,IF(G55&gt;$C$80,4,2)),IF(G55&lt;=$B$80,1,IF(G55&lt;=$B$81,2,(IF(G55&lt;=$B$82,3,4))))))</f>
        <v>3</v>
      </c>
      <c r="D55" s="646"/>
      <c r="E55" s="616">
        <f>iSummary!Q53</f>
        <v>46</v>
      </c>
      <c r="F55" s="681" t="str">
        <f ca="1">iSummary!R53&amp;iSummary!X53</f>
        <v>Bogota *</v>
      </c>
      <c r="G55" s="682">
        <f>iSummary!S53</f>
        <v>61.36</v>
      </c>
      <c r="H55" s="637" t="str">
        <f ca="1">IF(iSummary!T53=0,"=",iSummary!T53)</f>
        <v/>
      </c>
      <c r="I55" s="649" t="b">
        <f ca="1">iSummary!U53</f>
        <v>0</v>
      </c>
      <c r="J55" s="636" t="str">
        <f ca="1">IF(iSummary!V53=0,"=",iSummary!V53)</f>
        <v/>
      </c>
      <c r="K55" s="650" t="b">
        <f ca="1">iSummary!W53</f>
        <v>0</v>
      </c>
      <c r="L55" s="693"/>
      <c r="M55" s="693">
        <f>iSummary!AG53</f>
        <v>1</v>
      </c>
      <c r="N55" s="645">
        <f>IF(M55=0,0,IF(uxb_works!$B$49,IF(R55&lt;$C$80,1,IF(R55&gt;$C$80,4,2)),IF(R55&lt;=$B$80,1,IF(R55&lt;=$B$81,2,(IF(R55&lt;=$B$82,3,4))))))</f>
        <v>3</v>
      </c>
      <c r="O55" s="615"/>
      <c r="P55" s="695" t="str">
        <f>iSummary!AH53</f>
        <v>=46</v>
      </c>
      <c r="Q55" s="699" t="str">
        <f ca="1">iSummary!AI53&amp;iSummary!AO53</f>
        <v>Delhi</v>
      </c>
      <c r="R55" s="700">
        <f>iSummary!AJ53</f>
        <v>54.61</v>
      </c>
      <c r="S55" s="637">
        <f ca="1">IF(iSummary!AK53=0,"=",iSummary!AK53)</f>
        <v>-5.22</v>
      </c>
      <c r="T55" s="649" t="b">
        <f ca="1">iSummary!AL53</f>
        <v>0</v>
      </c>
      <c r="U55" s="636">
        <f ca="1">IF(iSummary!AM53=0,"=",iSummary!AM53)</f>
        <v>-16</v>
      </c>
      <c r="V55" s="650" t="b">
        <f ca="1">iSummary!AN53</f>
        <v>0</v>
      </c>
      <c r="W55"/>
      <c r="X55" s="68">
        <f>iSummary!AX53</f>
        <v>1</v>
      </c>
      <c r="Y55" s="645">
        <f>IF(X55=0,0,IF(uxb_works!$B$49,IF(AC55&lt;$C$80,1,IF(AC55&gt;$C$80,4,2)),IF(AC55&lt;=$B$80,1,IF(AC55&lt;=$B$81,2,(IF(AC55&lt;=$B$82,3,4))))))</f>
        <v>3</v>
      </c>
      <c r="Z55" s="615"/>
      <c r="AA55" s="616" t="str">
        <f>iSummary!AY53</f>
        <v>=45</v>
      </c>
      <c r="AB55" s="681" t="str">
        <f ca="1">iSummary!AZ53&amp;iSummary!BF53</f>
        <v>Istanbul</v>
      </c>
      <c r="AC55" s="705">
        <f>iSummary!BA53</f>
        <v>62.6</v>
      </c>
      <c r="AD55" s="637">
        <f ca="1">IF(iSummary!BB53=0,"=",iSummary!BB53)</f>
        <v>8.95</v>
      </c>
      <c r="AE55" s="649" t="b">
        <f ca="1">iSummary!BC53</f>
        <v>0</v>
      </c>
      <c r="AF55" s="636">
        <f ca="1">IF(iSummary!BD53=0,"=",iSummary!BD53)</f>
        <v>-2</v>
      </c>
      <c r="AG55" s="650" t="b">
        <f ca="1">iSummary!BE53</f>
        <v>0</v>
      </c>
      <c r="AH55" s="68"/>
      <c r="AI55" s="68">
        <f>iSummary!BO53</f>
        <v>1</v>
      </c>
      <c r="AJ55" s="645">
        <f>IF(AI55=0,0,IF(uxb_works!$B$49,IF(AN55&lt;$C$80,1,IF(AN55&gt;$C$80,4,2)),IF(AN55&lt;=$B$80,1,IF(AN55&lt;=$B$81,2,(IF(AN55&lt;=$B$82,3,4))))))</f>
        <v>3</v>
      </c>
      <c r="AK55" s="615"/>
      <c r="AL55" s="616">
        <f>iSummary!BP53</f>
        <v>46</v>
      </c>
      <c r="AM55" s="681" t="str">
        <f ca="1">iSummary!BQ53&amp;iSummary!BW53</f>
        <v>Ho Chi Minh City</v>
      </c>
      <c r="AN55" s="705">
        <f>iSummary!BR53</f>
        <v>65.73</v>
      </c>
      <c r="AO55" s="637">
        <f ca="1">IF(iSummary!BS53=0,"=",iSummary!BS53)</f>
        <v>13.29</v>
      </c>
      <c r="AP55" s="649" t="b">
        <f ca="1">iSummary!BT53</f>
        <v>0</v>
      </c>
      <c r="AQ55" s="636" t="str">
        <f ca="1">IF(iSummary!BU53=0,"=",iSummary!BU53)</f>
        <v>=</v>
      </c>
      <c r="AR55" s="650" t="b">
        <f ca="1">iSummary!BV53</f>
        <v>0</v>
      </c>
      <c r="AS55" s="68"/>
      <c r="AT55" s="707">
        <f>iSummary!CF53</f>
        <v>1</v>
      </c>
      <c r="AU55" s="645">
        <f>IF(AT55=0,0,IF(uxb_works!$B$49,IF(AY55&lt;$C$80,1,IF(AY55&gt;$C$80,4,2)),IF(AY55&lt;=$B$80,1,IF(AY55&lt;=$B$81,2,(IF(AY55&lt;=$B$82,3,4))))))</f>
        <v>3</v>
      </c>
      <c r="AV55" s="615"/>
      <c r="AW55" s="616">
        <f>iSummary!CG53</f>
        <v>46</v>
      </c>
      <c r="AX55" s="681" t="str">
        <f ca="1">iSummary!CH53&amp;iSummary!CN53</f>
        <v>Casablanca *</v>
      </c>
      <c r="AY55" s="705">
        <f>iSummary!CI53</f>
        <v>62.63</v>
      </c>
      <c r="AZ55" s="637" t="str">
        <f ca="1">IF(iSummary!CJ53=0,"=",iSummary!CJ53)</f>
        <v/>
      </c>
      <c r="BA55" s="649" t="b">
        <f ca="1">iSummary!CK53</f>
        <v>0</v>
      </c>
      <c r="BB55" s="708" t="str">
        <f ca="1">IF(iSummary!CL53=0,"=",iSummary!CL53)</f>
        <v/>
      </c>
      <c r="BC55" s="650" t="b">
        <f ca="1">iSummary!CM53</f>
        <v>0</v>
      </c>
      <c r="BD55"/>
      <c r="BE55"/>
      <c r="BF55"/>
      <c r="BG55"/>
      <c r="BH55"/>
      <c r="BI55"/>
      <c r="BJ55"/>
      <c r="BK55"/>
      <c r="BL55"/>
      <c r="BM55"/>
      <c r="BN55"/>
      <c r="BO55"/>
      <c r="BP55"/>
      <c r="BQ55"/>
      <c r="BR55"/>
      <c r="BS55"/>
      <c r="BT55"/>
      <c r="BU55"/>
      <c r="BV55"/>
      <c r="BW55"/>
      <c r="BX55"/>
      <c r="BY55"/>
      <c r="BZ55"/>
      <c r="CA55"/>
    </row>
    <row r="56" s="70" customFormat="1" customHeight="1" spans="2:79">
      <c r="B56" s="645">
        <f>iSummary!P54</f>
        <v>1</v>
      </c>
      <c r="C56" s="645">
        <f>IF(B56=0,0,IF(uxb_works!$B$49,IF(G56&lt;$C$80,1,IF(G56&gt;$C$80,4,2)),IF(G56&lt;=$B$80,1,IF(G56&lt;=$B$81,2,(IF(G56&lt;=$B$82,3,4))))))</f>
        <v>3</v>
      </c>
      <c r="D56" s="646"/>
      <c r="E56" s="616">
        <f>iSummary!Q54</f>
        <v>47</v>
      </c>
      <c r="F56" s="681" t="str">
        <f ca="1">iSummary!R54&amp;iSummary!X54</f>
        <v>Riyadh</v>
      </c>
      <c r="G56" s="682">
        <f>iSummary!S54</f>
        <v>61.23</v>
      </c>
      <c r="H56" s="637">
        <f ca="1">IF(iSummary!T54=0,"=",iSummary!T54)</f>
        <v>5.39</v>
      </c>
      <c r="I56" s="649" t="b">
        <f ca="1">iSummary!U54</f>
        <v>0</v>
      </c>
      <c r="J56" s="636">
        <f ca="1">IF(iSummary!V54=0,"=",iSummary!V54)</f>
        <v>-4</v>
      </c>
      <c r="K56" s="650" t="b">
        <f ca="1">iSummary!W54</f>
        <v>0</v>
      </c>
      <c r="L56" s="693"/>
      <c r="M56" s="693">
        <f>iSummary!AG54</f>
        <v>1</v>
      </c>
      <c r="N56" s="645">
        <f>IF(M56=0,0,IF(uxb_works!$B$49,IF(R56&lt;$C$80,1,IF(R56&gt;$C$80,4,2)),IF(R56&lt;=$B$80,1,IF(R56&lt;=$B$81,2,(IF(R56&lt;=$B$82,3,4))))))</f>
        <v>3</v>
      </c>
      <c r="O56" s="615"/>
      <c r="P56" s="695" t="str">
        <f>iSummary!AH54</f>
        <v>=46</v>
      </c>
      <c r="Q56" s="699" t="str">
        <f ca="1">iSummary!AI54&amp;iSummary!AO54</f>
        <v>Mumbai</v>
      </c>
      <c r="R56" s="700">
        <f>iSummary!AJ54</f>
        <v>54.61</v>
      </c>
      <c r="S56" s="637">
        <f ca="1">IF(iSummary!AK54=0,"=",iSummary!AK54)</f>
        <v>-9.96</v>
      </c>
      <c r="T56" s="649" t="b">
        <f ca="1">iSummary!AL54</f>
        <v>0</v>
      </c>
      <c r="U56" s="636">
        <f ca="1">IF(iSummary!AM54=0,"=",iSummary!AM54)</f>
        <v>-24</v>
      </c>
      <c r="V56" s="650" t="b">
        <f ca="1">iSummary!AN54</f>
        <v>0</v>
      </c>
      <c r="W56"/>
      <c r="X56" s="68">
        <f>iSummary!AX54</f>
        <v>1</v>
      </c>
      <c r="Y56" s="645">
        <f>IF(X56=0,0,IF(uxb_works!$B$49,IF(AC56&lt;$C$80,1,IF(AC56&gt;$C$80,4,2)),IF(AC56&lt;=$B$80,1,IF(AC56&lt;=$B$81,2,(IF(AC56&lt;=$B$82,3,4))))))</f>
        <v>3</v>
      </c>
      <c r="Z56" s="615"/>
      <c r="AA56" s="616">
        <f>iSummary!AY54</f>
        <v>47</v>
      </c>
      <c r="AB56" s="681" t="str">
        <f ca="1">iSummary!AZ54&amp;iSummary!BF54</f>
        <v>Lima</v>
      </c>
      <c r="AC56" s="705">
        <f>iSummary!BA54</f>
        <v>62.48</v>
      </c>
      <c r="AD56" s="637">
        <f ca="1">IF(iSummary!BB54=0,"=",iSummary!BB54)</f>
        <v>3.07</v>
      </c>
      <c r="AE56" s="649" t="b">
        <f ca="1">iSummary!BC54</f>
        <v>0</v>
      </c>
      <c r="AF56" s="636">
        <f ca="1">IF(iSummary!BD54=0,"=",iSummary!BD54)</f>
        <v>-11</v>
      </c>
      <c r="AG56" s="650" t="b">
        <f ca="1">iSummary!BE54</f>
        <v>0</v>
      </c>
      <c r="AH56" s="68"/>
      <c r="AI56" s="68">
        <f>iSummary!BO54</f>
        <v>1</v>
      </c>
      <c r="AJ56" s="645">
        <f>IF(AI56=0,0,IF(uxb_works!$B$49,IF(AN56&lt;$C$80,1,IF(AN56&gt;$C$80,4,2)),IF(AN56&lt;=$B$80,1,IF(AN56&lt;=$B$81,2,(IF(AN56&lt;=$B$82,3,4))))))</f>
        <v>3</v>
      </c>
      <c r="AK56" s="615"/>
      <c r="AL56" s="616">
        <f>iSummary!BP54</f>
        <v>47</v>
      </c>
      <c r="AM56" s="681" t="str">
        <f ca="1">iSummary!BQ54&amp;iSummary!BW54</f>
        <v>Lima</v>
      </c>
      <c r="AN56" s="705">
        <f>iSummary!BR54</f>
        <v>64.47</v>
      </c>
      <c r="AO56" s="637">
        <f ca="1">IF(iSummary!BS54=0,"=",iSummary!BS54)</f>
        <v>-14.45</v>
      </c>
      <c r="AP56" s="649" t="b">
        <f ca="1">iSummary!BT54</f>
        <v>0</v>
      </c>
      <c r="AQ56" s="636">
        <f ca="1">IF(iSummary!BU54=0,"=",iSummary!BU54)</f>
        <v>-23</v>
      </c>
      <c r="AR56" s="650" t="b">
        <f ca="1">iSummary!BV54</f>
        <v>0</v>
      </c>
      <c r="AS56" s="68"/>
      <c r="AT56" s="707">
        <f>iSummary!CF54</f>
        <v>1</v>
      </c>
      <c r="AU56" s="645">
        <f>IF(AT56=0,0,IF(uxb_works!$B$49,IF(AY56&lt;$C$80,1,IF(AY56&gt;$C$80,4,2)),IF(AY56&lt;=$B$80,1,IF(AY56&lt;=$B$81,2,(IF(AY56&lt;=$B$82,3,4))))))</f>
        <v>3</v>
      </c>
      <c r="AV56" s="615"/>
      <c r="AW56" s="616">
        <f>iSummary!CG54</f>
        <v>47</v>
      </c>
      <c r="AX56" s="681" t="str">
        <f ca="1">iSummary!CH54&amp;iSummary!CN54</f>
        <v>Riyadh</v>
      </c>
      <c r="AY56" s="705">
        <f>iSummary!CI54</f>
        <v>61.04</v>
      </c>
      <c r="AZ56" s="637">
        <f ca="1">IF(iSummary!CJ54=0,"=",iSummary!CJ54)</f>
        <v>6.34</v>
      </c>
      <c r="BA56" s="649" t="b">
        <f ca="1">iSummary!CK54</f>
        <v>0</v>
      </c>
      <c r="BB56" s="708">
        <f ca="1">IF(iSummary!CL54=0,"=",iSummary!CL54)</f>
        <v>-2</v>
      </c>
      <c r="BC56" s="650" t="b">
        <f ca="1">iSummary!CM54</f>
        <v>0</v>
      </c>
      <c r="BD56"/>
      <c r="BE56"/>
      <c r="BF56"/>
      <c r="BG56"/>
      <c r="BH56"/>
      <c r="BI56"/>
      <c r="BJ56"/>
      <c r="BK56"/>
      <c r="BL56"/>
      <c r="BM56"/>
      <c r="BN56"/>
      <c r="BO56"/>
      <c r="BP56"/>
      <c r="BQ56"/>
      <c r="BR56"/>
      <c r="BS56"/>
      <c r="BT56"/>
      <c r="BU56"/>
      <c r="BV56"/>
      <c r="BW56"/>
      <c r="BX56"/>
      <c r="BY56"/>
      <c r="BZ56"/>
      <c r="CA56"/>
    </row>
    <row r="57" s="70" customFormat="1" customHeight="1" spans="2:79">
      <c r="B57" s="645">
        <f>iSummary!P55</f>
        <v>1</v>
      </c>
      <c r="C57" s="645">
        <f>IF(B57=0,0,IF(uxb_works!$B$49,IF(G57&lt;$C$80,1,IF(G57&gt;$C$80,4,2)),IF(G57&lt;=$B$80,1,IF(G57&lt;=$B$81,2,(IF(G57&lt;=$B$82,3,4))))))</f>
        <v>3</v>
      </c>
      <c r="D57" s="646"/>
      <c r="E57" s="616">
        <f>iSummary!Q55</f>
        <v>48</v>
      </c>
      <c r="F57" s="681" t="str">
        <f ca="1">iSummary!R55&amp;iSummary!X55</f>
        <v>Casablanca *</v>
      </c>
      <c r="G57" s="682">
        <f>iSummary!S55</f>
        <v>61.2</v>
      </c>
      <c r="H57" s="637" t="str">
        <f ca="1">IF(iSummary!T55=0,"=",iSummary!T55)</f>
        <v/>
      </c>
      <c r="I57" s="649" t="b">
        <f ca="1">iSummary!U55</f>
        <v>0</v>
      </c>
      <c r="J57" s="636" t="str">
        <f ca="1">IF(iSummary!V55=0,"=",iSummary!V55)</f>
        <v/>
      </c>
      <c r="K57" s="650" t="b">
        <f ca="1">iSummary!W55</f>
        <v>0</v>
      </c>
      <c r="L57" s="693"/>
      <c r="M57" s="693">
        <f>iSummary!AG55</f>
        <v>1</v>
      </c>
      <c r="N57" s="645">
        <f>IF(M57=0,0,IF(uxb_works!$B$49,IF(R57&lt;$C$80,1,IF(R57&gt;$C$80,4,2)),IF(R57&lt;=$B$80,1,IF(R57&lt;=$B$81,2,(IF(R57&lt;=$B$82,3,4))))))</f>
        <v>3</v>
      </c>
      <c r="O57" s="615"/>
      <c r="P57" s="695">
        <f>iSummary!AH55</f>
        <v>48</v>
      </c>
      <c r="Q57" s="699" t="str">
        <f ca="1">iSummary!AI55&amp;iSummary!AO55</f>
        <v>Mexico City</v>
      </c>
      <c r="R57" s="700">
        <f>iSummary!AJ55</f>
        <v>53.69</v>
      </c>
      <c r="S57" s="637">
        <f ca="1">IF(iSummary!AK55=0,"=",iSummary!AK55)</f>
        <v>-9</v>
      </c>
      <c r="T57" s="649" t="b">
        <f ca="1">iSummary!AL55</f>
        <v>0</v>
      </c>
      <c r="U57" s="636">
        <f ca="1">IF(iSummary!AM55=0,"=",iSummary!AM55)</f>
        <v>-24</v>
      </c>
      <c r="V57" s="650" t="b">
        <f ca="1">iSummary!AN55</f>
        <v>0</v>
      </c>
      <c r="W57"/>
      <c r="X57" s="68">
        <f>iSummary!AX55</f>
        <v>1</v>
      </c>
      <c r="Y57" s="645">
        <f>IF(X57=0,0,IF(uxb_works!$B$49,IF(AC57&lt;$C$80,1,IF(AC57&gt;$C$80,4,2)),IF(AC57&lt;=$B$80,1,IF(AC57&lt;=$B$81,2,(IF(AC57&lt;=$B$82,3,4))))))</f>
        <v>3</v>
      </c>
      <c r="Z57" s="615"/>
      <c r="AA57" s="616">
        <f>iSummary!AY55</f>
        <v>48</v>
      </c>
      <c r="AB57" s="681" t="str">
        <f ca="1">iSummary!AZ55&amp;iSummary!BF55</f>
        <v>Ho Chi Minh City</v>
      </c>
      <c r="AC57" s="705">
        <f>iSummary!BA55</f>
        <v>61.29</v>
      </c>
      <c r="AD57" s="637">
        <f ca="1">IF(iSummary!BB55=0,"=",iSummary!BB55)</f>
        <v>8.28</v>
      </c>
      <c r="AE57" s="649" t="b">
        <f ca="1">iSummary!BC55</f>
        <v>0</v>
      </c>
      <c r="AF57" s="636">
        <f ca="1">IF(iSummary!BD55=0,"=",iSummary!BD55)</f>
        <v>-4</v>
      </c>
      <c r="AG57" s="650" t="b">
        <f ca="1">iSummary!BE55</f>
        <v>0</v>
      </c>
      <c r="AH57" s="68"/>
      <c r="AI57" s="68">
        <f>iSummary!BO55</f>
        <v>1</v>
      </c>
      <c r="AJ57" s="645">
        <f>IF(AI57=0,0,IF(uxb_works!$B$49,IF(AN57&lt;$C$80,1,IF(AN57&gt;$C$80,4,2)),IF(AN57&lt;=$B$80,1,IF(AN57&lt;=$B$81,2,(IF(AN57&lt;=$B$82,3,4))))))</f>
        <v>3</v>
      </c>
      <c r="AK57" s="615"/>
      <c r="AL57" s="616">
        <f>iSummary!BP55</f>
        <v>48</v>
      </c>
      <c r="AM57" s="681" t="str">
        <f ca="1">iSummary!BQ55&amp;iSummary!BW55</f>
        <v>Tehran</v>
      </c>
      <c r="AN57" s="705">
        <f>iSummary!BR55</f>
        <v>63.95</v>
      </c>
      <c r="AO57" s="637">
        <f ca="1">IF(iSummary!BS55=0,"=",iSummary!BS55)</f>
        <v>-2.01</v>
      </c>
      <c r="AP57" s="649" t="b">
        <f ca="1">iSummary!BT55</f>
        <v>0</v>
      </c>
      <c r="AQ57" s="636">
        <f ca="1">IF(iSummary!BU55=0,"=",iSummary!BU55)</f>
        <v>-10</v>
      </c>
      <c r="AR57" s="650" t="b">
        <f ca="1">iSummary!BV55</f>
        <v>0</v>
      </c>
      <c r="AS57" s="68"/>
      <c r="AT57" s="707">
        <f>iSummary!CF55</f>
        <v>1</v>
      </c>
      <c r="AU57" s="645">
        <f>IF(AT57=0,0,IF(uxb_works!$B$49,IF(AY57&lt;$C$80,1,IF(AY57&gt;$C$80,4,2)),IF(AY57&lt;=$B$80,1,IF(AY57&lt;=$B$81,2,(IF(AY57&lt;=$B$82,3,4))))))</f>
        <v>3</v>
      </c>
      <c r="AV57" s="615"/>
      <c r="AW57" s="616">
        <f>iSummary!CG55</f>
        <v>48</v>
      </c>
      <c r="AX57" s="681" t="str">
        <f ca="1">iSummary!CH55&amp;iSummary!CN55</f>
        <v>Lima</v>
      </c>
      <c r="AY57" s="705">
        <f>iSummary!CI55</f>
        <v>60.87</v>
      </c>
      <c r="AZ57" s="637">
        <f ca="1">IF(iSummary!CJ55=0,"=",iSummary!CJ55)</f>
        <v>-9.98</v>
      </c>
      <c r="BA57" s="649" t="b">
        <f ca="1">iSummary!CK55</f>
        <v>0</v>
      </c>
      <c r="BB57" s="708">
        <f ca="1">IF(iSummary!CL55=0,"=",iSummary!CL55)</f>
        <v>-23</v>
      </c>
      <c r="BC57" s="650" t="b">
        <f ca="1">iSummary!CM55</f>
        <v>0</v>
      </c>
      <c r="BD57"/>
      <c r="BE57"/>
      <c r="BF57"/>
      <c r="BG57"/>
      <c r="BH57"/>
      <c r="BI57"/>
      <c r="BJ57"/>
      <c r="BK57"/>
      <c r="BL57"/>
      <c r="BM57"/>
      <c r="BN57"/>
      <c r="BO57"/>
      <c r="BP57"/>
      <c r="BQ57"/>
      <c r="BR57"/>
      <c r="BS57"/>
      <c r="BT57"/>
      <c r="BU57"/>
      <c r="BV57"/>
      <c r="BW57"/>
      <c r="BX57"/>
      <c r="BY57"/>
      <c r="BZ57"/>
      <c r="CA57"/>
    </row>
    <row r="58" s="70" customFormat="1" customHeight="1" spans="2:79">
      <c r="B58" s="645">
        <f>iSummary!P56</f>
        <v>1</v>
      </c>
      <c r="C58" s="645">
        <f>IF(B58=0,0,IF(uxb_works!$B$49,IF(G58&lt;$C$80,1,IF(G58&gt;$C$80,4,2)),IF(G58&lt;=$B$80,1,IF(G58&lt;=$B$81,2,(IF(G58&lt;=$B$82,3,4))))))</f>
        <v>3</v>
      </c>
      <c r="D58" s="646"/>
      <c r="E58" s="616">
        <f>iSummary!Q56</f>
        <v>49</v>
      </c>
      <c r="F58" s="681" t="str">
        <f ca="1">iSummary!R56&amp;iSummary!X56</f>
        <v>Bangkok</v>
      </c>
      <c r="G58" s="682">
        <f>iSummary!S56</f>
        <v>60.05</v>
      </c>
      <c r="H58" s="637">
        <f ca="1">IF(iSummary!T56=0,"=",iSummary!T56)</f>
        <v>2.57</v>
      </c>
      <c r="I58" s="649" t="b">
        <f ca="1">iSummary!U56</f>
        <v>0</v>
      </c>
      <c r="J58" s="636">
        <f ca="1">IF(iSummary!V56=0,"=",iSummary!V56)</f>
        <v>-7</v>
      </c>
      <c r="K58" s="650" t="b">
        <f ca="1">iSummary!W56</f>
        <v>0</v>
      </c>
      <c r="L58" s="693"/>
      <c r="M58" s="693">
        <f>iSummary!AG56</f>
        <v>1</v>
      </c>
      <c r="N58" s="645">
        <f>IF(M58=0,0,IF(uxb_works!$B$49,IF(R58&lt;$C$80,1,IF(R58&gt;$C$80,4,2)),IF(R58&lt;=$B$80,1,IF(R58&lt;=$B$81,2,(IF(R58&lt;=$B$82,3,4))))))</f>
        <v>3</v>
      </c>
      <c r="O58" s="615"/>
      <c r="P58" s="695" t="str">
        <f>iSummary!AH56</f>
        <v>=49</v>
      </c>
      <c r="Q58" s="699" t="str">
        <f ca="1">iSummary!AI56&amp;iSummary!AO56</f>
        <v>Rio de Janeiro</v>
      </c>
      <c r="R58" s="700">
        <f>iSummary!AJ56</f>
        <v>51.96</v>
      </c>
      <c r="S58" s="637">
        <f ca="1">IF(iSummary!AK56=0,"=",iSummary!AK56)</f>
        <v>0.72</v>
      </c>
      <c r="T58" s="649" t="b">
        <f ca="1">iSummary!AL56</f>
        <v>0</v>
      </c>
      <c r="U58" s="636">
        <f ca="1">IF(iSummary!AM56=0,"=",iSummary!AM56)</f>
        <v>-12</v>
      </c>
      <c r="V58" s="650" t="b">
        <f ca="1">iSummary!AN56</f>
        <v>0</v>
      </c>
      <c r="W58"/>
      <c r="X58" s="68">
        <f>iSummary!AX56</f>
        <v>1</v>
      </c>
      <c r="Y58" s="645">
        <f>IF(X58=0,0,IF(uxb_works!$B$49,IF(AC58&lt;$C$80,1,IF(AC58&gt;$C$80,4,2)),IF(AC58&lt;=$B$80,1,IF(AC58&lt;=$B$81,2,(IF(AC58&lt;=$B$82,3,4))))))</f>
        <v>3</v>
      </c>
      <c r="Z58" s="615"/>
      <c r="AA58" s="616">
        <f>iSummary!AY56</f>
        <v>49</v>
      </c>
      <c r="AB58" s="681" t="str">
        <f ca="1">iSummary!AZ56&amp;iSummary!BF56</f>
        <v>Manila *</v>
      </c>
      <c r="AC58" s="705">
        <f>iSummary!BA56</f>
        <v>60.12</v>
      </c>
      <c r="AD58" s="637" t="str">
        <f ca="1">IF(iSummary!BB56=0,"=",iSummary!BB56)</f>
        <v/>
      </c>
      <c r="AE58" s="649" t="b">
        <f ca="1">iSummary!BC56</f>
        <v>0</v>
      </c>
      <c r="AF58" s="636" t="str">
        <f ca="1">IF(iSummary!BD56=0,"=",iSummary!BD56)</f>
        <v/>
      </c>
      <c r="AG58" s="650" t="b">
        <f ca="1">iSummary!BE56</f>
        <v>0</v>
      </c>
      <c r="AH58" s="68"/>
      <c r="AI58" s="68">
        <f>iSummary!BO56</f>
        <v>1</v>
      </c>
      <c r="AJ58" s="645">
        <f>IF(AI58=0,0,IF(uxb_works!$B$49,IF(AN58&lt;$C$80,1,IF(AN58&gt;$C$80,4,2)),IF(AN58&lt;=$B$80,1,IF(AN58&lt;=$B$81,2,(IF(AN58&lt;=$B$82,3,4))))))</f>
        <v>3</v>
      </c>
      <c r="AK58" s="615"/>
      <c r="AL58" s="616">
        <f>iSummary!BP56</f>
        <v>49</v>
      </c>
      <c r="AM58" s="681" t="str">
        <f ca="1">iSummary!BQ56&amp;iSummary!BW56</f>
        <v>Jakarta</v>
      </c>
      <c r="AN58" s="705">
        <f>iSummary!BR56</f>
        <v>63.32</v>
      </c>
      <c r="AO58" s="637">
        <f ca="1">IF(iSummary!BS56=0,"=",iSummary!BS56)</f>
        <v>4.67</v>
      </c>
      <c r="AP58" s="649" t="b">
        <f ca="1">iSummary!BT56</f>
        <v>0</v>
      </c>
      <c r="AQ58" s="636">
        <f ca="1">IF(iSummary!BU56=0,"=",iSummary!BU56)</f>
        <v>-6</v>
      </c>
      <c r="AR58" s="650" t="b">
        <f ca="1">iSummary!BV56</f>
        <v>0</v>
      </c>
      <c r="AS58" s="68"/>
      <c r="AT58" s="707">
        <f>iSummary!CF56</f>
        <v>1</v>
      </c>
      <c r="AU58" s="645">
        <f>IF(AT58=0,0,IF(uxb_works!$B$49,IF(AY58&lt;$C$80,1,IF(AY58&gt;$C$80,4,2)),IF(AY58&lt;=$B$80,1,IF(AY58&lt;=$B$81,2,(IF(AY58&lt;=$B$82,3,4))))))</f>
        <v>3</v>
      </c>
      <c r="AV58" s="615"/>
      <c r="AW58" s="616">
        <f>iSummary!CG56</f>
        <v>49</v>
      </c>
      <c r="AX58" s="681" t="str">
        <f ca="1">iSummary!CH56&amp;iSummary!CN56</f>
        <v>Bangkok</v>
      </c>
      <c r="AY58" s="705">
        <f>iSummary!CI56</f>
        <v>60.8</v>
      </c>
      <c r="AZ58" s="637">
        <f ca="1">IF(iSummary!CJ56=0,"=",iSummary!CJ56)</f>
        <v>-3.68</v>
      </c>
      <c r="BA58" s="649" t="b">
        <f ca="1">iSummary!CK56</f>
        <v>0</v>
      </c>
      <c r="BB58" s="708">
        <f ca="1">IF(iSummary!CL56=0,"=",iSummary!CL56)</f>
        <v>-16</v>
      </c>
      <c r="BC58" s="650" t="b">
        <f ca="1">iSummary!CM56</f>
        <v>0</v>
      </c>
      <c r="BD58"/>
      <c r="BE58"/>
      <c r="BF58"/>
      <c r="BG58"/>
      <c r="BH58"/>
      <c r="BI58"/>
      <c r="BJ58"/>
      <c r="BK58"/>
      <c r="BL58"/>
      <c r="BM58"/>
      <c r="BN58"/>
      <c r="BO58"/>
      <c r="BP58"/>
      <c r="BQ58"/>
      <c r="BR58"/>
      <c r="BS58"/>
      <c r="BT58"/>
      <c r="BU58"/>
      <c r="BV58"/>
      <c r="BW58"/>
      <c r="BX58"/>
      <c r="BY58"/>
      <c r="BZ58"/>
      <c r="CA58"/>
    </row>
    <row r="59" s="70" customFormat="1" customHeight="1" spans="2:79">
      <c r="B59" s="645">
        <f>iSummary!P57</f>
        <v>1</v>
      </c>
      <c r="C59" s="645">
        <f>IF(B59=0,0,IF(uxb_works!$B$49,IF(G59&lt;$C$80,1,IF(G59&gt;$C$80,4,2)),IF(G59&lt;=$B$80,1,IF(G59&lt;=$B$81,2,(IF(G59&lt;=$B$82,3,4))))))</f>
        <v>3</v>
      </c>
      <c r="D59" s="646"/>
      <c r="E59" s="616">
        <f>iSummary!Q57</f>
        <v>50</v>
      </c>
      <c r="F59" s="681" t="str">
        <f ca="1">iSummary!R57&amp;iSummary!X57</f>
        <v>Johannesburg</v>
      </c>
      <c r="G59" s="682">
        <f>iSummary!S57</f>
        <v>59.17</v>
      </c>
      <c r="H59" s="637">
        <f ca="1">IF(iSummary!T57=0,"=",iSummary!T57)</f>
        <v>-0.15</v>
      </c>
      <c r="I59" s="649" t="b">
        <f ca="1">iSummary!U57</f>
        <v>0</v>
      </c>
      <c r="J59" s="636">
        <f ca="1">IF(iSummary!V57=0,"=",iSummary!V57)</f>
        <v>-9</v>
      </c>
      <c r="K59" s="650" t="b">
        <f ca="1">iSummary!W57</f>
        <v>0</v>
      </c>
      <c r="L59" s="693"/>
      <c r="M59" s="693">
        <f>iSummary!AG57</f>
        <v>1</v>
      </c>
      <c r="N59" s="645">
        <f>IF(M59=0,0,IF(uxb_works!$B$49,IF(R59&lt;$C$80,1,IF(R59&gt;$C$80,4,2)),IF(R59&lt;=$B$80,1,IF(R59&lt;=$B$81,2,(IF(R59&lt;=$B$82,3,4))))))</f>
        <v>3</v>
      </c>
      <c r="O59" s="615"/>
      <c r="P59" s="695" t="str">
        <f>iSummary!AH57</f>
        <v>=49</v>
      </c>
      <c r="Q59" s="699" t="str">
        <f ca="1">iSummary!AI57&amp;iSummary!AO57</f>
        <v>Sao Paulo</v>
      </c>
      <c r="R59" s="700">
        <f>iSummary!AJ57</f>
        <v>51.96</v>
      </c>
      <c r="S59" s="637">
        <f ca="1">IF(iSummary!AK57=0,"=",iSummary!AK57)</f>
        <v>0.53</v>
      </c>
      <c r="T59" s="649" t="b">
        <f ca="1">iSummary!AL57</f>
        <v>0</v>
      </c>
      <c r="U59" s="636">
        <f ca="1">IF(iSummary!AM57=0,"=",iSummary!AM57)</f>
        <v>-13</v>
      </c>
      <c r="V59" s="650" t="b">
        <f ca="1">iSummary!AN57</f>
        <v>0</v>
      </c>
      <c r="W59"/>
      <c r="X59" s="68">
        <f>iSummary!AX57</f>
        <v>1</v>
      </c>
      <c r="Y59" s="645">
        <f>IF(X59=0,0,IF(uxb_works!$B$49,IF(AC59&lt;$C$80,1,IF(AC59&gt;$C$80,4,2)),IF(AC59&lt;=$B$80,1,IF(AC59&lt;=$B$81,2,(IF(AC59&lt;=$B$82,3,4))))))</f>
        <v>3</v>
      </c>
      <c r="Z59" s="615"/>
      <c r="AA59" s="616">
        <f>iSummary!AY57</f>
        <v>50</v>
      </c>
      <c r="AB59" s="681" t="str">
        <f ca="1">iSummary!AZ57&amp;iSummary!BF57</f>
        <v>Delhi</v>
      </c>
      <c r="AC59" s="705">
        <f>iSummary!BA57</f>
        <v>59.65</v>
      </c>
      <c r="AD59" s="637">
        <f ca="1">IF(iSummary!BB57=0,"=",iSummary!BB57)</f>
        <v>0.76</v>
      </c>
      <c r="AE59" s="649" t="b">
        <f ca="1">iSummary!BC57</f>
        <v>0</v>
      </c>
      <c r="AF59" s="636">
        <f ca="1">IF(iSummary!BD57=0,"=",iSummary!BD57)</f>
        <v>-13</v>
      </c>
      <c r="AG59" s="650" t="b">
        <f ca="1">iSummary!BE57</f>
        <v>0</v>
      </c>
      <c r="AH59" s="68"/>
      <c r="AI59" s="68">
        <f>iSummary!BO57</f>
        <v>1</v>
      </c>
      <c r="AJ59" s="645">
        <f>IF(AI59=0,0,IF(uxb_works!$B$49,IF(AN59&lt;$C$80,1,IF(AN59&gt;$C$80,4,2)),IF(AN59&lt;=$B$80,1,IF(AN59&lt;=$B$81,2,(IF(AN59&lt;=$B$82,3,4))))))</f>
        <v>3</v>
      </c>
      <c r="AK59" s="615"/>
      <c r="AL59" s="616">
        <f>iSummary!BP57</f>
        <v>50</v>
      </c>
      <c r="AM59" s="681" t="str">
        <f ca="1">iSummary!BQ57&amp;iSummary!BW57</f>
        <v>Jeddah *</v>
      </c>
      <c r="AN59" s="705">
        <f>iSummary!BR57</f>
        <v>61.74</v>
      </c>
      <c r="AO59" s="637" t="str">
        <f ca="1">IF(iSummary!BS57=0,"=",iSummary!BS57)</f>
        <v/>
      </c>
      <c r="AP59" s="649" t="b">
        <f ca="1">iSummary!BT57</f>
        <v>0</v>
      </c>
      <c r="AQ59" s="636" t="str">
        <f ca="1">IF(iSummary!BU57=0,"=",iSummary!BU57)</f>
        <v/>
      </c>
      <c r="AR59" s="650" t="b">
        <f ca="1">iSummary!BV57</f>
        <v>0</v>
      </c>
      <c r="AS59" s="68"/>
      <c r="AT59" s="707">
        <f>iSummary!CF57</f>
        <v>1</v>
      </c>
      <c r="AU59" s="645">
        <f>IF(AT59=0,0,IF(uxb_works!$B$49,IF(AY59&lt;$C$80,1,IF(AY59&gt;$C$80,4,2)),IF(AY59&lt;=$B$80,1,IF(AY59&lt;=$B$81,2,(IF(AY59&lt;=$B$82,3,4))))))</f>
        <v>3</v>
      </c>
      <c r="AV59" s="615"/>
      <c r="AW59" s="616">
        <f>iSummary!CG57</f>
        <v>50</v>
      </c>
      <c r="AX59" s="681" t="str">
        <f ca="1">iSummary!CH57&amp;iSummary!CN57</f>
        <v>Jeddah *</v>
      </c>
      <c r="AY59" s="705">
        <f>iSummary!CI57</f>
        <v>60.05</v>
      </c>
      <c r="AZ59" s="637" t="str">
        <f ca="1">IF(iSummary!CJ57=0,"=",iSummary!CJ57)</f>
        <v/>
      </c>
      <c r="BA59" s="649" t="b">
        <f ca="1">iSummary!CK57</f>
        <v>0</v>
      </c>
      <c r="BB59" s="708" t="str">
        <f ca="1">IF(iSummary!CL57=0,"=",iSummary!CL57)</f>
        <v/>
      </c>
      <c r="BC59" s="650" t="b">
        <f ca="1">iSummary!CM57</f>
        <v>0</v>
      </c>
      <c r="BD59"/>
      <c r="BE59"/>
      <c r="BF59"/>
      <c r="BG59"/>
      <c r="BH59"/>
      <c r="BI59"/>
      <c r="BJ59"/>
      <c r="BK59"/>
      <c r="BL59"/>
      <c r="BM59"/>
      <c r="BN59"/>
      <c r="BO59"/>
      <c r="BP59"/>
      <c r="BQ59"/>
      <c r="BR59"/>
      <c r="BS59"/>
      <c r="BT59"/>
      <c r="BU59"/>
      <c r="BV59"/>
      <c r="BW59"/>
      <c r="BX59"/>
      <c r="BY59"/>
      <c r="BZ59"/>
      <c r="CA59"/>
    </row>
    <row r="60" s="70" customFormat="1" customHeight="1" spans="2:79">
      <c r="B60" s="645">
        <f>iSummary!P58</f>
        <v>1</v>
      </c>
      <c r="C60" s="645">
        <f>IF(B60=0,0,IF(uxb_works!$B$49,IF(G60&lt;$C$80,1,IF(G60&gt;$C$80,4,2)),IF(G60&lt;=$B$80,1,IF(G60&lt;=$B$81,2,(IF(G60&lt;=$B$82,3,4))))))</f>
        <v>3</v>
      </c>
      <c r="D60" s="646"/>
      <c r="E60" s="616">
        <f>iSummary!Q58</f>
        <v>51</v>
      </c>
      <c r="F60" s="681" t="str">
        <f ca="1">iSummary!R58&amp;iSummary!X58</f>
        <v>Cairo *</v>
      </c>
      <c r="G60" s="682">
        <f>iSummary!S58</f>
        <v>58.33</v>
      </c>
      <c r="H60" s="637" t="str">
        <f ca="1">IF(iSummary!T58=0,"=",iSummary!T58)</f>
        <v/>
      </c>
      <c r="I60" s="649" t="b">
        <f ca="1">iSummary!U58</f>
        <v>0</v>
      </c>
      <c r="J60" s="636" t="str">
        <f ca="1">IF(iSummary!V58=0,"=",iSummary!V58)</f>
        <v/>
      </c>
      <c r="K60" s="650" t="b">
        <f ca="1">iSummary!W58</f>
        <v>0</v>
      </c>
      <c r="L60" s="693"/>
      <c r="M60" s="693">
        <f>iSummary!AG58</f>
        <v>1</v>
      </c>
      <c r="N60" s="645">
        <f>IF(M60=0,0,IF(uxb_works!$B$49,IF(R60&lt;$C$80,1,IF(R60&gt;$C$80,4,2)),IF(R60&lt;=$B$80,1,IF(R60&lt;=$B$81,2,(IF(R60&lt;=$B$82,3,4))))))</f>
        <v>2</v>
      </c>
      <c r="O60" s="615"/>
      <c r="P60" s="695">
        <f>iSummary!AH58</f>
        <v>51</v>
      </c>
      <c r="Q60" s="699" t="str">
        <f ca="1">iSummary!AI58&amp;iSummary!AO58</f>
        <v>Moscow</v>
      </c>
      <c r="R60" s="700">
        <f>iSummary!AJ58</f>
        <v>49.03</v>
      </c>
      <c r="S60" s="637">
        <f ca="1">IF(iSummary!AK58=0,"=",iSummary!AK58)</f>
        <v>0.99</v>
      </c>
      <c r="T60" s="649" t="b">
        <f ca="1">iSummary!AL58</f>
        <v>0</v>
      </c>
      <c r="U60" s="636">
        <f ca="1">IF(iSummary!AM58=0,"=",iSummary!AM58)</f>
        <v>-10</v>
      </c>
      <c r="V60" s="650" t="b">
        <f ca="1">iSummary!AN58</f>
        <v>0</v>
      </c>
      <c r="W60"/>
      <c r="X60" s="68">
        <f>iSummary!AX58</f>
        <v>1</v>
      </c>
      <c r="Y60" s="645">
        <f>IF(X60=0,0,IF(uxb_works!$B$49,IF(AC60&lt;$C$80,1,IF(AC60&gt;$C$80,4,2)),IF(AC60&lt;=$B$80,1,IF(AC60&lt;=$B$81,2,(IF(AC60&lt;=$B$82,3,4))))))</f>
        <v>3</v>
      </c>
      <c r="Z60" s="615"/>
      <c r="AA60" s="616">
        <f>iSummary!AY58</f>
        <v>51</v>
      </c>
      <c r="AB60" s="681" t="str">
        <f ca="1">iSummary!AZ58&amp;iSummary!BF58</f>
        <v>Casablanca *</v>
      </c>
      <c r="AC60" s="705">
        <f>iSummary!BA58</f>
        <v>58.52</v>
      </c>
      <c r="AD60" s="637" t="str">
        <f ca="1">IF(iSummary!BB58=0,"=",iSummary!BB58)</f>
        <v/>
      </c>
      <c r="AE60" s="649" t="b">
        <f ca="1">iSummary!BC58</f>
        <v>0</v>
      </c>
      <c r="AF60" s="636" t="str">
        <f ca="1">IF(iSummary!BD58=0,"=",iSummary!BD58)</f>
        <v/>
      </c>
      <c r="AG60" s="650" t="b">
        <f ca="1">iSummary!BE58</f>
        <v>0</v>
      </c>
      <c r="AH60" s="68"/>
      <c r="AI60" s="68">
        <f>iSummary!BO58</f>
        <v>1</v>
      </c>
      <c r="AJ60" s="645">
        <f>IF(AI60=0,0,IF(uxb_works!$B$49,IF(AN60&lt;$C$80,1,IF(AN60&gt;$C$80,4,2)),IF(AN60&lt;=$B$80,1,IF(AN60&lt;=$B$81,2,(IF(AN60&lt;=$B$82,3,4))))))</f>
        <v>3</v>
      </c>
      <c r="AK60" s="615"/>
      <c r="AL60" s="616">
        <f>iSummary!BP58</f>
        <v>51</v>
      </c>
      <c r="AM60" s="681" t="str">
        <f ca="1">iSummary!BQ58&amp;iSummary!BW58</f>
        <v>Mumbai</v>
      </c>
      <c r="AN60" s="705">
        <f>iSummary!BR58</f>
        <v>59.12</v>
      </c>
      <c r="AO60" s="637">
        <f ca="1">IF(iSummary!BS58=0,"=",iSummary!BS58)</f>
        <v>3.22</v>
      </c>
      <c r="AP60" s="649" t="b">
        <f ca="1">iSummary!BT58</f>
        <v>0</v>
      </c>
      <c r="AQ60" s="636">
        <f ca="1">IF(iSummary!BU58=0,"=",iSummary!BU58)</f>
        <v>-6</v>
      </c>
      <c r="AR60" s="650" t="b">
        <f ca="1">iSummary!BV58</f>
        <v>0</v>
      </c>
      <c r="AS60" s="68"/>
      <c r="AT60" s="707">
        <f>iSummary!CF58</f>
        <v>1</v>
      </c>
      <c r="AU60" s="645">
        <f>IF(AT60=0,0,IF(uxb_works!$B$49,IF(AY60&lt;$C$80,1,IF(AY60&gt;$C$80,4,2)),IF(AY60&lt;=$B$80,1,IF(AY60&lt;=$B$81,2,(IF(AY60&lt;=$B$82,3,4))))))</f>
        <v>3</v>
      </c>
      <c r="AV60" s="615"/>
      <c r="AW60" s="616">
        <f>iSummary!CG58</f>
        <v>51</v>
      </c>
      <c r="AX60" s="681" t="str">
        <f ca="1">iSummary!CH58&amp;iSummary!CN58</f>
        <v>Jakarta</v>
      </c>
      <c r="AY60" s="705">
        <f>iSummary!CI58</f>
        <v>59.24</v>
      </c>
      <c r="AZ60" s="637">
        <f ca="1">IF(iSummary!CJ58=0,"=",iSummary!CJ58)</f>
        <v>2.96</v>
      </c>
      <c r="BA60" s="649" t="b">
        <f ca="1">iSummary!CK58</f>
        <v>0</v>
      </c>
      <c r="BB60" s="708">
        <f ca="1">IF(iSummary!CL58=0,"=",iSummary!CL58)</f>
        <v>-7</v>
      </c>
      <c r="BC60" s="650" t="b">
        <f ca="1">iSummary!CM58</f>
        <v>0</v>
      </c>
      <c r="BD60"/>
      <c r="BE60"/>
      <c r="BF60"/>
      <c r="BG60"/>
      <c r="BH60"/>
      <c r="BI60"/>
      <c r="BJ60"/>
      <c r="BK60"/>
      <c r="BL60"/>
      <c r="BM60"/>
      <c r="BN60"/>
      <c r="BO60"/>
      <c r="BP60"/>
      <c r="BQ60"/>
      <c r="BR60"/>
      <c r="BS60"/>
      <c r="BT60"/>
      <c r="BU60"/>
      <c r="BV60"/>
      <c r="BW60"/>
      <c r="BX60"/>
      <c r="BY60"/>
      <c r="BZ60"/>
      <c r="CA60"/>
    </row>
    <row r="61" s="70" customFormat="1" customHeight="1" spans="2:79">
      <c r="B61" s="645">
        <f>iSummary!P59</f>
        <v>1</v>
      </c>
      <c r="C61" s="645">
        <f>IF(B61=0,0,IF(uxb_works!$B$49,IF(G61&lt;$C$80,1,IF(G61&gt;$C$80,4,2)),IF(G61&lt;=$B$80,1,IF(G61&lt;=$B$81,2,(IF(G61&lt;=$B$82,3,4))))))</f>
        <v>3</v>
      </c>
      <c r="D61" s="646"/>
      <c r="E61" s="616">
        <f>iSummary!Q59</f>
        <v>52</v>
      </c>
      <c r="F61" s="681" t="str">
        <f ca="1">iSummary!R59&amp;iSummary!X59</f>
        <v>Tehran</v>
      </c>
      <c r="G61" s="682">
        <f>iSummary!S59</f>
        <v>56.49</v>
      </c>
      <c r="H61" s="637">
        <f ca="1">IF(iSummary!T59=0,"=",iSummary!T59)</f>
        <v>2.91</v>
      </c>
      <c r="I61" s="649" t="b">
        <f ca="1">iSummary!U59</f>
        <v>0</v>
      </c>
      <c r="J61" s="636">
        <f ca="1">IF(iSummary!V59=0,"=",iSummary!V59)</f>
        <v>-7</v>
      </c>
      <c r="K61" s="650" t="b">
        <f ca="1">iSummary!W59</f>
        <v>0</v>
      </c>
      <c r="L61" s="693"/>
      <c r="M61" s="693">
        <f>iSummary!AG59</f>
        <v>1</v>
      </c>
      <c r="N61" s="645">
        <f>IF(M61=0,0,IF(uxb_works!$B$49,IF(R61&lt;$C$80,1,IF(R61&gt;$C$80,4,2)),IF(R61&lt;=$B$80,1,IF(R61&lt;=$B$81,2,(IF(R61&lt;=$B$82,3,4))))))</f>
        <v>2</v>
      </c>
      <c r="O61" s="615"/>
      <c r="P61" s="695">
        <f>iSummary!AH59</f>
        <v>52</v>
      </c>
      <c r="Q61" s="699" t="str">
        <f ca="1">iSummary!AI59&amp;iSummary!AO59</f>
        <v>Bangkok</v>
      </c>
      <c r="R61" s="700">
        <f>iSummary!AJ59</f>
        <v>44.44</v>
      </c>
      <c r="S61" s="637">
        <f ca="1">IF(iSummary!AK59=0,"=",iSummary!AK59)</f>
        <v>-0.42</v>
      </c>
      <c r="T61" s="649" t="b">
        <f ca="1">iSummary!AL59</f>
        <v>0</v>
      </c>
      <c r="U61" s="636">
        <f ca="1">IF(iSummary!AM59=0,"=",iSummary!AM59)</f>
        <v>-8</v>
      </c>
      <c r="V61" s="650" t="b">
        <f ca="1">iSummary!AN59</f>
        <v>0</v>
      </c>
      <c r="W61"/>
      <c r="X61" s="68">
        <f>iSummary!AX59</f>
        <v>1</v>
      </c>
      <c r="Y61" s="645">
        <f>IF(X61=0,0,IF(uxb_works!$B$49,IF(AC61&lt;$C$80,1,IF(AC61&gt;$C$80,4,2)),IF(AC61&lt;=$B$80,1,IF(AC61&lt;=$B$81,2,(IF(AC61&lt;=$B$82,3,4))))))</f>
        <v>3</v>
      </c>
      <c r="Z61" s="615"/>
      <c r="AA61" s="616">
        <f>iSummary!AY59</f>
        <v>52</v>
      </c>
      <c r="AB61" s="681" t="str">
        <f ca="1">iSummary!AZ59&amp;iSummary!BF59</f>
        <v>Johannesburg</v>
      </c>
      <c r="AC61" s="705">
        <f>iSummary!BA59</f>
        <v>57.71</v>
      </c>
      <c r="AD61" s="637">
        <f ca="1">IF(iSummary!BB59=0,"=",iSummary!BB59)</f>
        <v>1.98</v>
      </c>
      <c r="AE61" s="649" t="b">
        <f ca="1">iSummary!BC59</f>
        <v>0</v>
      </c>
      <c r="AF61" s="636">
        <f ca="1">IF(iSummary!BD59=0,"=",iSummary!BD59)</f>
        <v>-11</v>
      </c>
      <c r="AG61" s="650" t="b">
        <f ca="1">iSummary!BE59</f>
        <v>0</v>
      </c>
      <c r="AH61" s="68"/>
      <c r="AI61" s="68">
        <f>iSummary!BO59</f>
        <v>1</v>
      </c>
      <c r="AJ61" s="645">
        <f>IF(AI61=0,0,IF(uxb_works!$B$49,IF(AN61&lt;$C$80,1,IF(AN61&gt;$C$80,4,2)),IF(AN61&lt;=$B$80,1,IF(AN61&lt;=$B$81,2,(IF(AN61&lt;=$B$82,3,4))))))</f>
        <v>3</v>
      </c>
      <c r="AK61" s="615"/>
      <c r="AL61" s="616">
        <f>iSummary!BP59</f>
        <v>52</v>
      </c>
      <c r="AM61" s="681" t="str">
        <f ca="1">iSummary!BQ59&amp;iSummary!BW59</f>
        <v>Delhi</v>
      </c>
      <c r="AN61" s="705">
        <f>iSummary!BR59</f>
        <v>58.49</v>
      </c>
      <c r="AO61" s="637">
        <f ca="1">IF(iSummary!BS59=0,"=",iSummary!BS59)</f>
        <v>-0.2</v>
      </c>
      <c r="AP61" s="649" t="b">
        <f ca="1">iSummary!BT59</f>
        <v>0</v>
      </c>
      <c r="AQ61" s="636">
        <f ca="1">IF(iSummary!BU59=0,"=",iSummary!BU59)</f>
        <v>-10</v>
      </c>
      <c r="AR61" s="650" t="b">
        <f ca="1">iSummary!BV59</f>
        <v>0</v>
      </c>
      <c r="AS61" s="68"/>
      <c r="AT61" s="707">
        <f>iSummary!CF59</f>
        <v>1</v>
      </c>
      <c r="AU61" s="645">
        <f>IF(AT61=0,0,IF(uxb_works!$B$49,IF(AY61&lt;$C$80,1,IF(AY61&gt;$C$80,4,2)),IF(AY61&lt;=$B$80,1,IF(AY61&lt;=$B$81,2,(IF(AY61&lt;=$B$82,3,4))))))</f>
        <v>3</v>
      </c>
      <c r="AV61" s="615"/>
      <c r="AW61" s="616">
        <f>iSummary!CG59</f>
        <v>52</v>
      </c>
      <c r="AX61" s="681" t="str">
        <f ca="1">iSummary!CH59&amp;iSummary!CN59</f>
        <v>Tehran</v>
      </c>
      <c r="AY61" s="705">
        <f>iSummary!CI59</f>
        <v>59.18</v>
      </c>
      <c r="AZ61" s="637">
        <f ca="1">IF(iSummary!CJ59=0,"=",iSummary!CJ59)</f>
        <v>2.34</v>
      </c>
      <c r="BA61" s="649" t="b">
        <f ca="1">iSummary!CK59</f>
        <v>0</v>
      </c>
      <c r="BB61" s="708">
        <f ca="1">IF(iSummary!CL59=0,"=",iSummary!CL59)</f>
        <v>-10</v>
      </c>
      <c r="BC61" s="650" t="b">
        <f ca="1">iSummary!CM59</f>
        <v>0</v>
      </c>
      <c r="BD61"/>
      <c r="BE61"/>
      <c r="BF61"/>
      <c r="BG61"/>
      <c r="BH61"/>
      <c r="BI61"/>
      <c r="BJ61"/>
      <c r="BK61"/>
      <c r="BL61"/>
      <c r="BM61"/>
      <c r="BN61"/>
      <c r="BO61"/>
      <c r="BP61"/>
      <c r="BQ61"/>
      <c r="BR61"/>
      <c r="BS61"/>
      <c r="BT61"/>
      <c r="BU61"/>
      <c r="BV61"/>
      <c r="BW61"/>
      <c r="BX61"/>
      <c r="BY61"/>
      <c r="BZ61"/>
      <c r="CA61"/>
    </row>
    <row r="62" s="70" customFormat="1" customHeight="1" spans="2:79">
      <c r="B62" s="645">
        <f>iSummary!P60</f>
        <v>1</v>
      </c>
      <c r="C62" s="645">
        <f>IF(B62=0,0,IF(uxb_works!$B$49,IF(G62&lt;$C$80,1,IF(G62&gt;$C$80,4,2)),IF(G62&lt;=$B$80,1,IF(G62&lt;=$B$81,2,(IF(G62&lt;=$B$82,3,4))))))</f>
        <v>3</v>
      </c>
      <c r="D62" s="646"/>
      <c r="E62" s="616">
        <f>iSummary!Q60</f>
        <v>53</v>
      </c>
      <c r="F62" s="681" t="str">
        <f ca="1">iSummary!R60&amp;iSummary!X60</f>
        <v>Quito *</v>
      </c>
      <c r="G62" s="682">
        <f>iSummary!S60</f>
        <v>56.39</v>
      </c>
      <c r="H62" s="637" t="str">
        <f ca="1">IF(iSummary!T60=0,"=",iSummary!T60)</f>
        <v/>
      </c>
      <c r="I62" s="649" t="b">
        <f ca="1">iSummary!U60</f>
        <v>0</v>
      </c>
      <c r="J62" s="636" t="str">
        <f ca="1">IF(iSummary!V60=0,"=",iSummary!V60)</f>
        <v/>
      </c>
      <c r="K62" s="650" t="b">
        <f ca="1">iSummary!W60</f>
        <v>0</v>
      </c>
      <c r="L62" s="693"/>
      <c r="M62" s="693">
        <f>iSummary!AG60</f>
        <v>1</v>
      </c>
      <c r="N62" s="645">
        <f>IF(M62=0,0,IF(uxb_works!$B$49,IF(R62&lt;$C$80,1,IF(R62&gt;$C$80,4,2)),IF(R62&lt;=$B$80,1,IF(R62&lt;=$B$81,2,(IF(R62&lt;=$B$82,3,4))))))</f>
        <v>2</v>
      </c>
      <c r="O62" s="615"/>
      <c r="P62" s="695">
        <f>iSummary!AH60</f>
        <v>53</v>
      </c>
      <c r="Q62" s="699" t="str">
        <f ca="1">iSummary!AI60&amp;iSummary!AO60</f>
        <v>Cairo *</v>
      </c>
      <c r="R62" s="700">
        <f>iSummary!AJ60</f>
        <v>43.29</v>
      </c>
      <c r="S62" s="637" t="str">
        <f ca="1">IF(iSummary!AK60=0,"=",iSummary!AK60)</f>
        <v/>
      </c>
      <c r="T62" s="649" t="b">
        <f ca="1">iSummary!AL60</f>
        <v>0</v>
      </c>
      <c r="U62" s="636" t="str">
        <f ca="1">IF(iSummary!AM60=0,"=",iSummary!AM60)</f>
        <v/>
      </c>
      <c r="V62" s="650" t="b">
        <f ca="1">iSummary!AN60</f>
        <v>0</v>
      </c>
      <c r="W62"/>
      <c r="X62" s="68">
        <f>iSummary!AX60</f>
        <v>1</v>
      </c>
      <c r="Y62" s="645">
        <f>IF(X62=0,0,IF(uxb_works!$B$49,IF(AC62&lt;$C$80,1,IF(AC62&gt;$C$80,4,2)),IF(AC62&lt;=$B$80,1,IF(AC62&lt;=$B$81,2,(IF(AC62&lt;=$B$82,3,4))))))</f>
        <v>3</v>
      </c>
      <c r="Z62" s="615"/>
      <c r="AA62" s="616">
        <f>iSummary!AY60</f>
        <v>53</v>
      </c>
      <c r="AB62" s="681" t="str">
        <f ca="1">iSummary!AZ60&amp;iSummary!BF60</f>
        <v>Quito *</v>
      </c>
      <c r="AC62" s="705">
        <f>iSummary!BA60</f>
        <v>57.46</v>
      </c>
      <c r="AD62" s="637" t="str">
        <f ca="1">IF(iSummary!BB60=0,"=",iSummary!BB60)</f>
        <v/>
      </c>
      <c r="AE62" s="649" t="b">
        <f ca="1">iSummary!BC60</f>
        <v>0</v>
      </c>
      <c r="AF62" s="636" t="str">
        <f ca="1">IF(iSummary!BD60=0,"=",iSummary!BD60)</f>
        <v/>
      </c>
      <c r="AG62" s="650" t="b">
        <f ca="1">iSummary!BE60</f>
        <v>0</v>
      </c>
      <c r="AH62" s="68"/>
      <c r="AI62" s="68">
        <f>iSummary!BO60</f>
        <v>1</v>
      </c>
      <c r="AJ62" s="645">
        <f>IF(AI62=0,0,IF(uxb_works!$B$49,IF(AN62&lt;$C$80,1,IF(AN62&gt;$C$80,4,2)),IF(AN62&lt;=$B$80,1,IF(AN62&lt;=$B$81,2,(IF(AN62&lt;=$B$82,3,4))))))</f>
        <v>3</v>
      </c>
      <c r="AK62" s="615"/>
      <c r="AL62" s="616">
        <f>iSummary!BP60</f>
        <v>53</v>
      </c>
      <c r="AM62" s="681" t="str">
        <f ca="1">iSummary!BQ60&amp;iSummary!BW60</f>
        <v>Caracas *</v>
      </c>
      <c r="AN62" s="705">
        <f>iSummary!BR60</f>
        <v>58.42</v>
      </c>
      <c r="AO62" s="637" t="str">
        <f ca="1">IF(iSummary!BS60=0,"=",iSummary!BS60)</f>
        <v/>
      </c>
      <c r="AP62" s="649" t="b">
        <f ca="1">iSummary!BT60</f>
        <v>0</v>
      </c>
      <c r="AQ62" s="636" t="str">
        <f ca="1">IF(iSummary!BU60=0,"=",iSummary!BU60)</f>
        <v/>
      </c>
      <c r="AR62" s="650" t="b">
        <f ca="1">iSummary!BV60</f>
        <v>0</v>
      </c>
      <c r="AS62" s="68"/>
      <c r="AT62" s="707">
        <f>iSummary!CF60</f>
        <v>1</v>
      </c>
      <c r="AU62" s="645">
        <f>IF(AT62=0,0,IF(uxb_works!$B$49,IF(AY62&lt;$C$80,1,IF(AY62&gt;$C$80,4,2)),IF(AY62&lt;=$B$80,1,IF(AY62&lt;=$B$81,2,(IF(AY62&lt;=$B$82,3,4))))))</f>
        <v>3</v>
      </c>
      <c r="AV62" s="615"/>
      <c r="AW62" s="616">
        <f>iSummary!CG60</f>
        <v>53</v>
      </c>
      <c r="AX62" s="681" t="str">
        <f ca="1">iSummary!CH60&amp;iSummary!CN60</f>
        <v>Moscow</v>
      </c>
      <c r="AY62" s="705">
        <f>iSummary!CI60</f>
        <v>58</v>
      </c>
      <c r="AZ62" s="637">
        <f ca="1">IF(iSummary!CJ60=0,"=",iSummary!CJ60)</f>
        <v>11.32</v>
      </c>
      <c r="BA62" s="649" t="b">
        <f ca="1">iSummary!CK60</f>
        <v>0</v>
      </c>
      <c r="BB62" s="708">
        <f ca="1">IF(iSummary!CL60=0,"=",iSummary!CL60)</f>
        <v>-7</v>
      </c>
      <c r="BC62" s="650" t="b">
        <f ca="1">iSummary!CM60</f>
        <v>0</v>
      </c>
      <c r="BD62"/>
      <c r="BE62"/>
      <c r="BF62"/>
      <c r="BG62"/>
      <c r="BH62"/>
      <c r="BI62"/>
      <c r="BJ62"/>
      <c r="BK62"/>
      <c r="BL62"/>
      <c r="BM62"/>
      <c r="BN62"/>
      <c r="BO62"/>
      <c r="BP62"/>
      <c r="BQ62"/>
      <c r="BR62"/>
      <c r="BS62"/>
      <c r="BT62"/>
      <c r="BU62"/>
      <c r="BV62"/>
      <c r="BW62"/>
      <c r="BX62"/>
      <c r="BY62"/>
      <c r="BZ62"/>
      <c r="CA62"/>
    </row>
    <row r="63" s="70" customFormat="1" customHeight="1" spans="2:79">
      <c r="B63" s="645">
        <f>iSummary!P61</f>
        <v>1</v>
      </c>
      <c r="C63" s="645">
        <f>IF(B63=0,0,IF(uxb_works!$B$49,IF(G63&lt;$C$80,1,IF(G63&gt;$C$80,4,2)),IF(G63&lt;=$B$80,1,IF(G63&lt;=$B$81,2,(IF(G63&lt;=$B$82,3,4))))))</f>
        <v>3</v>
      </c>
      <c r="D63" s="646"/>
      <c r="E63" s="616">
        <f>iSummary!Q61</f>
        <v>54</v>
      </c>
      <c r="F63" s="681" t="str">
        <f ca="1">iSummary!R61&amp;iSummary!X61</f>
        <v>Caracas *</v>
      </c>
      <c r="G63" s="682">
        <f>iSummary!S61</f>
        <v>55.22</v>
      </c>
      <c r="H63" s="637" t="str">
        <f ca="1">IF(iSummary!T61=0,"=",iSummary!T61)</f>
        <v/>
      </c>
      <c r="I63" s="649" t="b">
        <f ca="1">iSummary!U61</f>
        <v>0</v>
      </c>
      <c r="J63" s="636" t="str">
        <f ca="1">IF(iSummary!V61=0,"=",iSummary!V61)</f>
        <v/>
      </c>
      <c r="K63" s="650" t="b">
        <f ca="1">iSummary!W61</f>
        <v>0</v>
      </c>
      <c r="L63" s="693"/>
      <c r="M63" s="693">
        <f>iSummary!AG61</f>
        <v>1</v>
      </c>
      <c r="N63" s="645">
        <f>IF(M63=0,0,IF(uxb_works!$B$49,IF(R63&lt;$C$80,1,IF(R63&gt;$C$80,4,2)),IF(R63&lt;=$B$80,1,IF(R63&lt;=$B$81,2,(IF(R63&lt;=$B$82,3,4))))))</f>
        <v>2</v>
      </c>
      <c r="O63" s="615"/>
      <c r="P63" s="695">
        <f>iSummary!AH61</f>
        <v>54</v>
      </c>
      <c r="Q63" s="699" t="str">
        <f ca="1">iSummary!AI61&amp;iSummary!AO61</f>
        <v>Karachi *</v>
      </c>
      <c r="R63" s="700">
        <f>iSummary!AJ61</f>
        <v>43.22</v>
      </c>
      <c r="S63" s="637" t="str">
        <f ca="1">IF(iSummary!AK61=0,"=",iSummary!AK61)</f>
        <v/>
      </c>
      <c r="T63" s="649" t="b">
        <f ca="1">iSummary!AL61</f>
        <v>0</v>
      </c>
      <c r="U63" s="636" t="str">
        <f ca="1">IF(iSummary!AM61=0,"=",iSummary!AM61)</f>
        <v/>
      </c>
      <c r="V63" s="650" t="b">
        <f ca="1">iSummary!AN61</f>
        <v>0</v>
      </c>
      <c r="W63"/>
      <c r="X63" s="68">
        <f>iSummary!AX61</f>
        <v>1</v>
      </c>
      <c r="Y63" s="645">
        <f>IF(X63=0,0,IF(uxb_works!$B$49,IF(AC63&lt;$C$80,1,IF(AC63&gt;$C$80,4,2)),IF(AC63&lt;=$B$80,1,IF(AC63&lt;=$B$81,2,(IF(AC63&lt;=$B$82,3,4))))))</f>
        <v>3</v>
      </c>
      <c r="Z63" s="615"/>
      <c r="AA63" s="616">
        <f>iSummary!AY61</f>
        <v>54</v>
      </c>
      <c r="AB63" s="681" t="str">
        <f ca="1">iSummary!AZ61&amp;iSummary!BF61</f>
        <v>Caracas *</v>
      </c>
      <c r="AC63" s="705">
        <f>iSummary!BA61</f>
        <v>56.72</v>
      </c>
      <c r="AD63" s="637" t="str">
        <f ca="1">IF(iSummary!BB61=0,"=",iSummary!BB61)</f>
        <v/>
      </c>
      <c r="AE63" s="649" t="b">
        <f ca="1">iSummary!BC61</f>
        <v>0</v>
      </c>
      <c r="AF63" s="636" t="str">
        <f ca="1">IF(iSummary!BD61=0,"=",iSummary!BD61)</f>
        <v/>
      </c>
      <c r="AG63" s="650" t="b">
        <f ca="1">iSummary!BE61</f>
        <v>0</v>
      </c>
      <c r="AH63" s="68"/>
      <c r="AI63" s="68">
        <f>iSummary!BO61</f>
        <v>1</v>
      </c>
      <c r="AJ63" s="645">
        <f>IF(AI63=0,0,IF(uxb_works!$B$49,IF(AN63&lt;$C$80,1,IF(AN63&gt;$C$80,4,2)),IF(AN63&lt;=$B$80,1,IF(AN63&lt;=$B$81,2,(IF(AN63&lt;=$B$82,3,4))))))</f>
        <v>3</v>
      </c>
      <c r="AK63" s="615"/>
      <c r="AL63" s="616">
        <f>iSummary!BP61</f>
        <v>54</v>
      </c>
      <c r="AM63" s="681" t="str">
        <f ca="1">iSummary!BQ61&amp;iSummary!BW61</f>
        <v>Riyadh</v>
      </c>
      <c r="AN63" s="705">
        <f>iSummary!BR61</f>
        <v>56.88</v>
      </c>
      <c r="AO63" s="637">
        <f ca="1">IF(iSummary!BS61=0,"=",iSummary!BS61)</f>
        <v>-5.21</v>
      </c>
      <c r="AP63" s="649" t="b">
        <f ca="1">iSummary!BT61</f>
        <v>0</v>
      </c>
      <c r="AQ63" s="636">
        <f ca="1">IF(iSummary!BU61=0,"=",iSummary!BU61)</f>
        <v>-14</v>
      </c>
      <c r="AR63" s="650" t="b">
        <f ca="1">iSummary!BV61</f>
        <v>0</v>
      </c>
      <c r="AS63" s="68"/>
      <c r="AT63" s="707">
        <f>iSummary!CF61</f>
        <v>1</v>
      </c>
      <c r="AU63" s="645">
        <f>IF(AT63=0,0,IF(uxb_works!$B$49,IF(AY63&lt;$C$80,1,IF(AY63&gt;$C$80,4,2)),IF(AY63&lt;=$B$80,1,IF(AY63&lt;=$B$81,2,(IF(AY63&lt;=$B$82,3,4))))))</f>
        <v>3</v>
      </c>
      <c r="AV63" s="615"/>
      <c r="AW63" s="616">
        <f>iSummary!CG61</f>
        <v>54</v>
      </c>
      <c r="AX63" s="681" t="str">
        <f ca="1">iSummary!CH61&amp;iSummary!CN61</f>
        <v>Johannesburg</v>
      </c>
      <c r="AY63" s="705">
        <f>iSummary!CI61</f>
        <v>57.65</v>
      </c>
      <c r="AZ63" s="637">
        <f ca="1">IF(iSummary!CJ61=0,"=",iSummary!CJ61)</f>
        <v>-1.36</v>
      </c>
      <c r="BA63" s="649" t="b">
        <f ca="1">iSummary!CK61</f>
        <v>0</v>
      </c>
      <c r="BB63" s="708">
        <f ca="1">IF(iSummary!CL61=0,"=",iSummary!CL61)</f>
        <v>-14</v>
      </c>
      <c r="BC63" s="650" t="b">
        <f ca="1">iSummary!CM61</f>
        <v>0</v>
      </c>
      <c r="BD63"/>
      <c r="BE63"/>
      <c r="BF63"/>
      <c r="BG63"/>
      <c r="BH63"/>
      <c r="BI63"/>
      <c r="BJ63"/>
      <c r="BK63"/>
      <c r="BL63"/>
      <c r="BM63"/>
      <c r="BN63"/>
      <c r="BO63"/>
      <c r="BP63"/>
      <c r="BQ63"/>
      <c r="BR63"/>
      <c r="BS63"/>
      <c r="BT63"/>
      <c r="BU63"/>
      <c r="BV63"/>
      <c r="BW63"/>
      <c r="BX63"/>
      <c r="BY63"/>
      <c r="BZ63"/>
      <c r="CA63"/>
    </row>
    <row r="64" s="70" customFormat="1" customHeight="1" spans="2:79">
      <c r="B64" s="645">
        <f>iSummary!P62</f>
        <v>1</v>
      </c>
      <c r="C64" s="645">
        <f>IF(B64=0,0,IF(uxb_works!$B$49,IF(G64&lt;$C$80,1,IF(G64&gt;$C$80,4,2)),IF(G64&lt;=$B$80,1,IF(G64&lt;=$B$81,2,(IF(G64&lt;=$B$82,3,4))))))</f>
        <v>3</v>
      </c>
      <c r="D64" s="646"/>
      <c r="E64" s="616">
        <f>iSummary!Q62</f>
        <v>55</v>
      </c>
      <c r="F64" s="681" t="str">
        <f ca="1">iSummary!R62&amp;iSummary!X62</f>
        <v>Manila *</v>
      </c>
      <c r="G64" s="682">
        <f>iSummary!S62</f>
        <v>54.86</v>
      </c>
      <c r="H64" s="637" t="str">
        <f ca="1">IF(iSummary!T62=0,"=",iSummary!T62)</f>
        <v/>
      </c>
      <c r="I64" s="649" t="b">
        <f ca="1">iSummary!U62</f>
        <v>0</v>
      </c>
      <c r="J64" s="636" t="str">
        <f ca="1">IF(iSummary!V62=0,"=",iSummary!V62)</f>
        <v/>
      </c>
      <c r="K64" s="650" t="b">
        <f ca="1">iSummary!W62</f>
        <v>0</v>
      </c>
      <c r="L64" s="693"/>
      <c r="M64" s="693">
        <f>iSummary!AG62</f>
        <v>1</v>
      </c>
      <c r="N64" s="645">
        <f>IF(M64=0,0,IF(uxb_works!$B$49,IF(R64&lt;$C$80,1,IF(R64&gt;$C$80,4,2)),IF(R64&lt;=$B$80,1,IF(R64&lt;=$B$81,2,(IF(R64&lt;=$B$82,3,4))))))</f>
        <v>2</v>
      </c>
      <c r="O64" s="615"/>
      <c r="P64" s="695">
        <f>iSummary!AH62</f>
        <v>55</v>
      </c>
      <c r="Q64" s="699" t="str">
        <f ca="1">iSummary!AI62&amp;iSummary!AO62</f>
        <v>Tehran</v>
      </c>
      <c r="R64" s="700">
        <f>iSummary!AJ62</f>
        <v>39.88</v>
      </c>
      <c r="S64" s="637">
        <f ca="1">IF(iSummary!AK62=0,"=",iSummary!AK62)</f>
        <v>1.3</v>
      </c>
      <c r="T64" s="649" t="b">
        <f ca="1">iSummary!AL62</f>
        <v>0</v>
      </c>
      <c r="U64" s="636">
        <f ca="1">IF(iSummary!AM62=0,"=",iSummary!AM62)</f>
        <v>-9</v>
      </c>
      <c r="V64" s="650" t="b">
        <f ca="1">iSummary!AN62</f>
        <v>0</v>
      </c>
      <c r="W64"/>
      <c r="X64" s="68">
        <f>iSummary!AX62</f>
        <v>1</v>
      </c>
      <c r="Y64" s="645">
        <f>IF(X64=0,0,IF(uxb_works!$B$49,IF(AC64&lt;$C$80,1,IF(AC64&gt;$C$80,4,2)),IF(AC64&lt;=$B$80,1,IF(AC64&lt;=$B$81,2,(IF(AC64&lt;=$B$82,3,4))))))</f>
        <v>3</v>
      </c>
      <c r="Z64" s="615"/>
      <c r="AA64" s="616">
        <f>iSummary!AY62</f>
        <v>55</v>
      </c>
      <c r="AB64" s="681" t="str">
        <f ca="1">iSummary!AZ62&amp;iSummary!BF62</f>
        <v>Mumbai</v>
      </c>
      <c r="AC64" s="705">
        <f>iSummary!BA62</f>
        <v>55.74</v>
      </c>
      <c r="AD64" s="637">
        <f ca="1">IF(iSummary!BB62=0,"=",iSummary!BB62)</f>
        <v>3.96</v>
      </c>
      <c r="AE64" s="649" t="b">
        <f ca="1">iSummary!BC62</f>
        <v>0</v>
      </c>
      <c r="AF64" s="636">
        <f ca="1">IF(iSummary!BD62=0,"=",iSummary!BD62)</f>
        <v>-9</v>
      </c>
      <c r="AG64" s="650" t="b">
        <f ca="1">iSummary!BE62</f>
        <v>0</v>
      </c>
      <c r="AH64" s="68"/>
      <c r="AI64" s="68">
        <f>iSummary!BO62</f>
        <v>1</v>
      </c>
      <c r="AJ64" s="645">
        <f>IF(AI64=0,0,IF(uxb_works!$B$49,IF(AN64&lt;$C$80,1,IF(AN64&gt;$C$80,4,2)),IF(AN64&lt;=$B$80,1,IF(AN64&lt;=$B$81,2,(IF(AN64&lt;=$B$82,3,4))))))</f>
        <v>3</v>
      </c>
      <c r="AK64" s="615"/>
      <c r="AL64" s="616">
        <f>iSummary!BP62</f>
        <v>55</v>
      </c>
      <c r="AM64" s="681" t="str">
        <f ca="1">iSummary!BQ62&amp;iSummary!BW62</f>
        <v>Johannesburg</v>
      </c>
      <c r="AN64" s="705">
        <f>iSummary!BR62</f>
        <v>55.06</v>
      </c>
      <c r="AO64" s="637">
        <f ca="1">IF(iSummary!BS62=0,"=",iSummary!BS62)</f>
        <v>-9.09</v>
      </c>
      <c r="AP64" s="649" t="b">
        <f ca="1">iSummary!BT62</f>
        <v>0</v>
      </c>
      <c r="AQ64" s="636">
        <f ca="1">IF(iSummary!BU62=0,"=",iSummary!BU62)</f>
        <v>-16</v>
      </c>
      <c r="AR64" s="650" t="b">
        <f ca="1">iSummary!BV62</f>
        <v>0</v>
      </c>
      <c r="AS64" s="68"/>
      <c r="AT64" s="707">
        <f>iSummary!CF62</f>
        <v>1</v>
      </c>
      <c r="AU64" s="645">
        <f>IF(AT64=0,0,IF(uxb_works!$B$49,IF(AY64&lt;$C$80,1,IF(AY64&gt;$C$80,4,2)),IF(AY64&lt;=$B$80,1,IF(AY64&lt;=$B$81,2,(IF(AY64&lt;=$B$82,3,4))))))</f>
        <v>3</v>
      </c>
      <c r="AV64" s="615"/>
      <c r="AW64" s="616">
        <f>iSummary!CG62</f>
        <v>55</v>
      </c>
      <c r="AX64" s="681" t="str">
        <f ca="1">iSummary!CH62&amp;iSummary!CN62</f>
        <v>Bogota *</v>
      </c>
      <c r="AY64" s="705">
        <f>iSummary!CI62</f>
        <v>55.66</v>
      </c>
      <c r="AZ64" s="637" t="str">
        <f ca="1">IF(iSummary!CJ62=0,"=",iSummary!CJ62)</f>
        <v/>
      </c>
      <c r="BA64" s="649" t="b">
        <f ca="1">iSummary!CK62</f>
        <v>0</v>
      </c>
      <c r="BB64" s="708" t="str">
        <f ca="1">IF(iSummary!CL62=0,"=",iSummary!CL62)</f>
        <v/>
      </c>
      <c r="BC64" s="650" t="b">
        <f ca="1">iSummary!CM62</f>
        <v>0</v>
      </c>
      <c r="BD64"/>
      <c r="BE64"/>
      <c r="BF64"/>
      <c r="BG64"/>
      <c r="BH64"/>
      <c r="BI64"/>
      <c r="BJ64"/>
      <c r="BK64"/>
      <c r="BL64"/>
      <c r="BM64"/>
      <c r="BN64"/>
      <c r="BO64"/>
      <c r="BP64"/>
      <c r="BQ64"/>
      <c r="BR64"/>
      <c r="BS64"/>
      <c r="BT64"/>
      <c r="BU64"/>
      <c r="BV64"/>
      <c r="BW64"/>
      <c r="BX64"/>
      <c r="BY64"/>
      <c r="BZ64"/>
      <c r="CA64"/>
    </row>
    <row r="65" s="70" customFormat="1" customHeight="1" spans="2:79">
      <c r="B65" s="645">
        <f>iSummary!P63</f>
        <v>1</v>
      </c>
      <c r="C65" s="645">
        <f>IF(B65=0,0,IF(uxb_works!$B$49,IF(G65&lt;$C$80,1,IF(G65&gt;$C$80,4,2)),IF(G65&lt;=$B$80,1,IF(G65&lt;=$B$81,2,(IF(G65&lt;=$B$82,3,4))))))</f>
        <v>3</v>
      </c>
      <c r="D65" s="646"/>
      <c r="E65" s="616">
        <f>iSummary!Q63</f>
        <v>56</v>
      </c>
      <c r="F65" s="681" t="str">
        <f ca="1">iSummary!R63&amp;iSummary!X63</f>
        <v>Ho Chi Minh City</v>
      </c>
      <c r="G65" s="682">
        <f>iSummary!S63</f>
        <v>54.33</v>
      </c>
      <c r="H65" s="637">
        <f ca="1">IF(iSummary!T63=0,"=",iSummary!T63)</f>
        <v>1.26</v>
      </c>
      <c r="I65" s="649" t="b">
        <f ca="1">iSummary!U63</f>
        <v>0</v>
      </c>
      <c r="J65" s="636">
        <f ca="1">IF(iSummary!V63=0,"=",iSummary!V63)</f>
        <v>-10</v>
      </c>
      <c r="K65" s="650" t="b">
        <f ca="1">iSummary!W63</f>
        <v>0</v>
      </c>
      <c r="L65" s="693"/>
      <c r="M65" s="693">
        <f>iSummary!AG63</f>
        <v>1</v>
      </c>
      <c r="N65" s="645">
        <f>IF(M65=0,0,IF(uxb_works!$B$49,IF(R65&lt;$C$80,1,IF(R65&gt;$C$80,4,2)),IF(R65&lt;=$B$80,1,IF(R65&lt;=$B$81,2,(IF(R65&lt;=$B$82,3,4))))))</f>
        <v>2</v>
      </c>
      <c r="O65" s="615"/>
      <c r="P65" s="695">
        <f>iSummary!AH63</f>
        <v>56</v>
      </c>
      <c r="Q65" s="699" t="str">
        <f ca="1">iSummary!AI63&amp;iSummary!AO63</f>
        <v>Ho Chi Minh City</v>
      </c>
      <c r="R65" s="700">
        <f>iSummary!AJ63</f>
        <v>39.78</v>
      </c>
      <c r="S65" s="637">
        <f ca="1">IF(iSummary!AK63=0,"=",iSummary!AK63)</f>
        <v>-5.53</v>
      </c>
      <c r="T65" s="649" t="b">
        <f ca="1">iSummary!AL63</f>
        <v>0</v>
      </c>
      <c r="U65" s="636">
        <f ca="1">IF(iSummary!AM63=0,"=",iSummary!AM63)</f>
        <v>-14</v>
      </c>
      <c r="V65" s="650" t="b">
        <f ca="1">iSummary!AN63</f>
        <v>0</v>
      </c>
      <c r="W65"/>
      <c r="X65" s="68">
        <f>iSummary!AX63</f>
        <v>1</v>
      </c>
      <c r="Y65" s="645">
        <f>IF(X65=0,0,IF(uxb_works!$B$49,IF(AC65&lt;$C$80,1,IF(AC65&gt;$C$80,4,2)),IF(AC65&lt;=$B$80,1,IF(AC65&lt;=$B$81,2,(IF(AC65&lt;=$B$82,3,4))))))</f>
        <v>3</v>
      </c>
      <c r="Z65" s="615"/>
      <c r="AA65" s="616">
        <f>iSummary!AY63</f>
        <v>56</v>
      </c>
      <c r="AB65" s="681" t="str">
        <f ca="1">iSummary!AZ63&amp;iSummary!BF63</f>
        <v>Jakarta</v>
      </c>
      <c r="AC65" s="705">
        <f>iSummary!BA63</f>
        <v>54.4</v>
      </c>
      <c r="AD65" s="637">
        <f ca="1">IF(iSummary!BB63=0,"=",iSummary!BB63)</f>
        <v>-3.69</v>
      </c>
      <c r="AE65" s="649" t="b">
        <f ca="1">iSummary!BC63</f>
        <v>0</v>
      </c>
      <c r="AF65" s="636">
        <f ca="1">IF(iSummary!BD63=0,"=",iSummary!BD63)</f>
        <v>-18</v>
      </c>
      <c r="AG65" s="650" t="b">
        <f ca="1">iSummary!BE63</f>
        <v>0</v>
      </c>
      <c r="AH65" s="68"/>
      <c r="AI65" s="68">
        <f>iSummary!BO63</f>
        <v>1</v>
      </c>
      <c r="AJ65" s="645">
        <f>IF(AI65=0,0,IF(uxb_works!$B$49,IF(AN65&lt;$C$80,1,IF(AN65&gt;$C$80,4,2)),IF(AN65&lt;=$B$80,1,IF(AN65&lt;=$B$81,2,(IF(AN65&lt;=$B$82,3,4))))))</f>
        <v>3</v>
      </c>
      <c r="AK65" s="615"/>
      <c r="AL65" s="616">
        <f>iSummary!BP63</f>
        <v>56</v>
      </c>
      <c r="AM65" s="681" t="str">
        <f ca="1">iSummary!BQ63&amp;iSummary!BW63</f>
        <v>Manila *</v>
      </c>
      <c r="AN65" s="705">
        <f>iSummary!BR63</f>
        <v>52.89</v>
      </c>
      <c r="AO65" s="637" t="str">
        <f ca="1">IF(iSummary!BS63=0,"=",iSummary!BS63)</f>
        <v/>
      </c>
      <c r="AP65" s="649" t="b">
        <f ca="1">iSummary!BT63</f>
        <v>0</v>
      </c>
      <c r="AQ65" s="636" t="str">
        <f ca="1">IF(iSummary!BU63=0,"=",iSummary!BU63)</f>
        <v/>
      </c>
      <c r="AR65" s="650" t="b">
        <f ca="1">iSummary!BV63</f>
        <v>0</v>
      </c>
      <c r="AS65" s="68"/>
      <c r="AT65" s="707">
        <f>iSummary!CF63</f>
        <v>1</v>
      </c>
      <c r="AU65" s="645">
        <f>IF(AT65=0,0,IF(uxb_works!$B$49,IF(AY65&lt;$C$80,1,IF(AY65&gt;$C$80,4,2)),IF(AY65&lt;=$B$80,1,IF(AY65&lt;=$B$81,2,(IF(AY65&lt;=$B$82,3,4))))))</f>
        <v>3</v>
      </c>
      <c r="AV65" s="615"/>
      <c r="AW65" s="616">
        <f>iSummary!CG63</f>
        <v>56</v>
      </c>
      <c r="AX65" s="681" t="str">
        <f ca="1">iSummary!CH63&amp;iSummary!CN63</f>
        <v>Quito *</v>
      </c>
      <c r="AY65" s="705">
        <f>iSummary!CI63</f>
        <v>55.41</v>
      </c>
      <c r="AZ65" s="637" t="str">
        <f ca="1">IF(iSummary!CJ63=0,"=",iSummary!CJ63)</f>
        <v/>
      </c>
      <c r="BA65" s="649" t="b">
        <f ca="1">iSummary!CK63</f>
        <v>0</v>
      </c>
      <c r="BB65" s="708" t="str">
        <f ca="1">IF(iSummary!CL63=0,"=",iSummary!CL63)</f>
        <v/>
      </c>
      <c r="BC65" s="650" t="b">
        <f ca="1">iSummary!CM63</f>
        <v>0</v>
      </c>
      <c r="BD65"/>
      <c r="BE65"/>
      <c r="BF65"/>
      <c r="BG65"/>
      <c r="BH65"/>
      <c r="BI65"/>
      <c r="BJ65"/>
      <c r="BK65"/>
      <c r="BL65"/>
      <c r="BM65"/>
      <c r="BN65"/>
      <c r="BO65"/>
      <c r="BP65"/>
      <c r="BQ65"/>
      <c r="BR65"/>
      <c r="BS65"/>
      <c r="BT65"/>
      <c r="BU65"/>
      <c r="BV65"/>
      <c r="BW65"/>
      <c r="BX65"/>
      <c r="BY65"/>
      <c r="BZ65"/>
      <c r="CA65"/>
    </row>
    <row r="66" s="70" customFormat="1" customHeight="1" spans="2:79">
      <c r="B66" s="645">
        <f>iSummary!P64</f>
        <v>1</v>
      </c>
      <c r="C66" s="645">
        <f>IF(B66=0,0,IF(uxb_works!$B$49,IF(G66&lt;$C$80,1,IF(G66&gt;$C$80,4,2)),IF(G66&lt;=$B$80,1,IF(G66&lt;=$B$81,2,(IF(G66&lt;=$B$82,3,4))))))</f>
        <v>3</v>
      </c>
      <c r="D66" s="646"/>
      <c r="E66" s="616">
        <f>iSummary!Q64</f>
        <v>57</v>
      </c>
      <c r="F66" s="681" t="str">
        <f ca="1">iSummary!R64&amp;iSummary!X64</f>
        <v>Jakarta</v>
      </c>
      <c r="G66" s="682">
        <f>iSummary!S64</f>
        <v>53.39</v>
      </c>
      <c r="H66" s="637">
        <f ca="1">IF(iSummary!T64=0,"=",iSummary!T64)</f>
        <v>-1.11</v>
      </c>
      <c r="I66" s="649" t="b">
        <f ca="1">iSummary!U64</f>
        <v>0</v>
      </c>
      <c r="J66" s="636">
        <f ca="1">IF(iSummary!V64=0,"=",iSummary!V64)</f>
        <v>-13</v>
      </c>
      <c r="K66" s="650" t="b">
        <f ca="1">iSummary!W64</f>
        <v>0</v>
      </c>
      <c r="L66" s="693"/>
      <c r="M66" s="693">
        <f>iSummary!AG64</f>
        <v>1</v>
      </c>
      <c r="N66" s="645">
        <f>IF(M66=0,0,IF(uxb_works!$B$49,IF(R66&lt;$C$80,1,IF(R66&gt;$C$80,4,2)),IF(R66&lt;=$B$80,1,IF(R66&lt;=$B$81,2,(IF(R66&lt;=$B$82,3,4))))))</f>
        <v>2</v>
      </c>
      <c r="O66" s="615"/>
      <c r="P66" s="695">
        <f>iSummary!AH64</f>
        <v>57</v>
      </c>
      <c r="Q66" s="699" t="str">
        <f ca="1">iSummary!AI64&amp;iSummary!AO64</f>
        <v>Yangon *</v>
      </c>
      <c r="R66" s="700">
        <f>iSummary!AJ64</f>
        <v>39.07</v>
      </c>
      <c r="S66" s="637" t="str">
        <f ca="1">IF(iSummary!AK64=0,"=",iSummary!AK64)</f>
        <v/>
      </c>
      <c r="T66" s="649" t="b">
        <f ca="1">iSummary!AL64</f>
        <v>0</v>
      </c>
      <c r="U66" s="636" t="str">
        <f ca="1">IF(iSummary!AM64=0,"=",iSummary!AM64)</f>
        <v/>
      </c>
      <c r="V66" s="650" t="b">
        <f ca="1">iSummary!AN64</f>
        <v>0</v>
      </c>
      <c r="W66"/>
      <c r="X66" s="68">
        <f>iSummary!AX64</f>
        <v>1</v>
      </c>
      <c r="Y66" s="645">
        <f>IF(X66=0,0,IF(uxb_works!$B$49,IF(AC66&lt;$C$80,1,IF(AC66&gt;$C$80,4,2)),IF(AC66&lt;=$B$80,1,IF(AC66&lt;=$B$81,2,(IF(AC66&lt;=$B$82,3,4))))))</f>
        <v>3</v>
      </c>
      <c r="Z66" s="615"/>
      <c r="AA66" s="616">
        <f>iSummary!AY64</f>
        <v>57</v>
      </c>
      <c r="AB66" s="681" t="str">
        <f ca="1">iSummary!AZ64&amp;iSummary!BF64</f>
        <v>Cairo *</v>
      </c>
      <c r="AC66" s="705">
        <f>iSummary!BA64</f>
        <v>52.28</v>
      </c>
      <c r="AD66" s="637" t="str">
        <f ca="1">IF(iSummary!BB64=0,"=",iSummary!BB64)</f>
        <v/>
      </c>
      <c r="AE66" s="649" t="b">
        <f ca="1">iSummary!BC64</f>
        <v>0</v>
      </c>
      <c r="AF66" s="636" t="str">
        <f ca="1">IF(iSummary!BD64=0,"=",iSummary!BD64)</f>
        <v/>
      </c>
      <c r="AG66" s="650" t="b">
        <f ca="1">iSummary!BE64</f>
        <v>0</v>
      </c>
      <c r="AH66" s="68"/>
      <c r="AI66" s="68">
        <f>iSummary!BO64</f>
        <v>1</v>
      </c>
      <c r="AJ66" s="645">
        <f>IF(AI66=0,0,IF(uxb_works!$B$49,IF(AN66&lt;$C$80,1,IF(AN66&gt;$C$80,4,2)),IF(AN66&lt;=$B$80,1,IF(AN66&lt;=$B$81,2,(IF(AN66&lt;=$B$82,3,4))))))</f>
        <v>3</v>
      </c>
      <c r="AK66" s="615"/>
      <c r="AL66" s="616">
        <f>iSummary!BP64</f>
        <v>57</v>
      </c>
      <c r="AM66" s="681" t="str">
        <f ca="1">iSummary!BQ64&amp;iSummary!BW64</f>
        <v>Quito *</v>
      </c>
      <c r="AN66" s="705">
        <f>iSummary!BR64</f>
        <v>52.03</v>
      </c>
      <c r="AO66" s="637" t="str">
        <f ca="1">IF(iSummary!BS64=0,"=",iSummary!BS64)</f>
        <v/>
      </c>
      <c r="AP66" s="649" t="b">
        <f ca="1">iSummary!BT64</f>
        <v>0</v>
      </c>
      <c r="AQ66" s="636" t="str">
        <f ca="1">IF(iSummary!BU64=0,"=",iSummary!BU64)</f>
        <v/>
      </c>
      <c r="AR66" s="650" t="b">
        <f ca="1">iSummary!BV64</f>
        <v>0</v>
      </c>
      <c r="AS66" s="68"/>
      <c r="AT66" s="707">
        <f>iSummary!CF64</f>
        <v>1</v>
      </c>
      <c r="AU66" s="645">
        <f>IF(AT66=0,0,IF(uxb_works!$B$49,IF(AY66&lt;$C$80,1,IF(AY66&gt;$C$80,4,2)),IF(AY66&lt;=$B$80,1,IF(AY66&lt;=$B$81,2,(IF(AY66&lt;=$B$82,3,4))))))</f>
        <v>3</v>
      </c>
      <c r="AV66" s="615"/>
      <c r="AW66" s="616">
        <f>iSummary!CG64</f>
        <v>57</v>
      </c>
      <c r="AX66" s="681" t="str">
        <f ca="1">iSummary!CH64&amp;iSummary!CN64</f>
        <v>Yangon *</v>
      </c>
      <c r="AY66" s="705">
        <f>iSummary!CI64</f>
        <v>52.43</v>
      </c>
      <c r="AZ66" s="637" t="str">
        <f ca="1">IF(iSummary!CJ64=0,"=",iSummary!CJ64)</f>
        <v/>
      </c>
      <c r="BA66" s="649" t="b">
        <f ca="1">iSummary!CK64</f>
        <v>0</v>
      </c>
      <c r="BB66" s="708" t="str">
        <f ca="1">IF(iSummary!CL64=0,"=",iSummary!CL64)</f>
        <v/>
      </c>
      <c r="BC66" s="650" t="b">
        <f ca="1">iSummary!CM64</f>
        <v>0</v>
      </c>
      <c r="BD66"/>
      <c r="BE66"/>
      <c r="BF66"/>
      <c r="BG66"/>
      <c r="BH66"/>
      <c r="BI66"/>
      <c r="BJ66"/>
      <c r="BK66"/>
      <c r="BL66"/>
      <c r="BM66"/>
      <c r="BN66"/>
      <c r="BO66"/>
      <c r="BP66"/>
      <c r="BQ66"/>
      <c r="BR66"/>
      <c r="BS66"/>
      <c r="BT66"/>
      <c r="BU66"/>
      <c r="BV66"/>
      <c r="BW66"/>
      <c r="BX66"/>
      <c r="BY66"/>
      <c r="BZ66"/>
      <c r="CA66"/>
    </row>
    <row r="67" s="70" customFormat="1" customHeight="1" spans="2:79">
      <c r="B67" s="645">
        <f>iSummary!P65</f>
        <v>1</v>
      </c>
      <c r="C67" s="645">
        <f>IF(B67=0,0,IF(uxb_works!$B$49,IF(G67&lt;$C$80,1,IF(G67&gt;$C$80,4,2)),IF(G67&lt;=$B$80,1,IF(G67&lt;=$B$81,2,(IF(G67&lt;=$B$82,3,4))))))</f>
        <v>2</v>
      </c>
      <c r="D67" s="646"/>
      <c r="E67" s="616">
        <f>iSummary!Q65</f>
        <v>58</v>
      </c>
      <c r="F67" s="681" t="str">
        <f ca="1">iSummary!R65&amp;iSummary!X65</f>
        <v>Dhaka *</v>
      </c>
      <c r="G67" s="682">
        <f>iSummary!S65</f>
        <v>47.37</v>
      </c>
      <c r="H67" s="637" t="str">
        <f ca="1">IF(iSummary!T65=0,"=",iSummary!T65)</f>
        <v/>
      </c>
      <c r="I67" s="649" t="b">
        <f ca="1">iSummary!U65</f>
        <v>0</v>
      </c>
      <c r="J67" s="636" t="str">
        <f ca="1">IF(iSummary!V65=0,"=",iSummary!V65)</f>
        <v/>
      </c>
      <c r="K67" s="650" t="b">
        <f ca="1">iSummary!W65</f>
        <v>0</v>
      </c>
      <c r="L67" s="693"/>
      <c r="M67" s="693">
        <f>iSummary!AG65</f>
        <v>1</v>
      </c>
      <c r="N67" s="645">
        <f>IF(M67=0,0,IF(uxb_works!$B$49,IF(R67&lt;$C$80,1,IF(R67&gt;$C$80,4,2)),IF(R67&lt;=$B$80,1,IF(R67&lt;=$B$81,2,(IF(R67&lt;=$B$82,3,4))))))</f>
        <v>2</v>
      </c>
      <c r="O67" s="615"/>
      <c r="P67" s="695">
        <f>iSummary!AH65</f>
        <v>58</v>
      </c>
      <c r="Q67" s="699" t="str">
        <f ca="1">iSummary!AI65&amp;iSummary!AO65</f>
        <v>Dhaka *</v>
      </c>
      <c r="R67" s="700">
        <f>iSummary!AJ65</f>
        <v>38.33</v>
      </c>
      <c r="S67" s="637" t="str">
        <f ca="1">IF(iSummary!AK65=0,"=",iSummary!AK65)</f>
        <v/>
      </c>
      <c r="T67" s="649" t="b">
        <f ca="1">iSummary!AL65</f>
        <v>0</v>
      </c>
      <c r="U67" s="636" t="str">
        <f ca="1">IF(iSummary!AM65=0,"=",iSummary!AM65)</f>
        <v/>
      </c>
      <c r="V67" s="650" t="b">
        <f ca="1">iSummary!AN65</f>
        <v>0</v>
      </c>
      <c r="W67"/>
      <c r="X67" s="68">
        <f>iSummary!AX65</f>
        <v>1</v>
      </c>
      <c r="Y67" s="645">
        <f>IF(X67=0,0,IF(uxb_works!$B$49,IF(AC67&lt;$C$80,1,IF(AC67&gt;$C$80,4,2)),IF(AC67&lt;=$B$80,1,IF(AC67&lt;=$B$81,2,(IF(AC67&lt;=$B$82,3,4))))))</f>
        <v>2</v>
      </c>
      <c r="Z67" s="615"/>
      <c r="AA67" s="616">
        <f>iSummary!AY65</f>
        <v>58</v>
      </c>
      <c r="AB67" s="681" t="str">
        <f ca="1">iSummary!AZ65&amp;iSummary!BF65</f>
        <v>Yangon *</v>
      </c>
      <c r="AC67" s="705">
        <f>iSummary!BA65</f>
        <v>45.79</v>
      </c>
      <c r="AD67" s="637" t="str">
        <f ca="1">IF(iSummary!BB65=0,"=",iSummary!BB65)</f>
        <v/>
      </c>
      <c r="AE67" s="649" t="b">
        <f ca="1">iSummary!BC65</f>
        <v>0</v>
      </c>
      <c r="AF67" s="636" t="str">
        <f ca="1">IF(iSummary!BD65=0,"=",iSummary!BD65)</f>
        <v/>
      </c>
      <c r="AG67" s="650" t="b">
        <f ca="1">iSummary!BE65</f>
        <v>0</v>
      </c>
      <c r="AH67" s="68"/>
      <c r="AI67" s="68">
        <f>iSummary!BO65</f>
        <v>1</v>
      </c>
      <c r="AJ67" s="645">
        <f>IF(AI67=0,0,IF(uxb_works!$B$49,IF(AN67&lt;$C$80,1,IF(AN67&gt;$C$80,4,2)),IF(AN67&lt;=$B$80,1,IF(AN67&lt;=$B$81,2,(IF(AN67&lt;=$B$82,3,4))))))</f>
        <v>2</v>
      </c>
      <c r="AK67" s="615"/>
      <c r="AL67" s="616">
        <f>iSummary!BP65</f>
        <v>58</v>
      </c>
      <c r="AM67" s="681" t="str">
        <f ca="1">iSummary!BQ65&amp;iSummary!BW65</f>
        <v>Yangon *</v>
      </c>
      <c r="AN67" s="705">
        <f>iSummary!BR65</f>
        <v>48.58</v>
      </c>
      <c r="AO67" s="637" t="str">
        <f ca="1">IF(iSummary!BS65=0,"=",iSummary!BS65)</f>
        <v/>
      </c>
      <c r="AP67" s="649" t="b">
        <f ca="1">iSummary!BT65</f>
        <v>0</v>
      </c>
      <c r="AQ67" s="636" t="str">
        <f ca="1">IF(iSummary!BU65=0,"=",iSummary!BU65)</f>
        <v/>
      </c>
      <c r="AR67" s="650" t="b">
        <f ca="1">iSummary!BV65</f>
        <v>0</v>
      </c>
      <c r="AS67" s="68"/>
      <c r="AT67" s="707">
        <f>iSummary!CF65</f>
        <v>1</v>
      </c>
      <c r="AU67" s="645">
        <f>IF(AT67=0,0,IF(uxb_works!$B$49,IF(AY67&lt;$C$80,1,IF(AY67&gt;$C$80,4,2)),IF(AY67&lt;=$B$80,1,IF(AY67&lt;=$B$81,2,(IF(AY67&lt;=$B$82,3,4))))))</f>
        <v>3</v>
      </c>
      <c r="AV67" s="615"/>
      <c r="AW67" s="616">
        <f>iSummary!CG65</f>
        <v>58</v>
      </c>
      <c r="AX67" s="681" t="str">
        <f ca="1">iSummary!CH65&amp;iSummary!CN65</f>
        <v>Ho Chi Minh City</v>
      </c>
      <c r="AY67" s="705">
        <f>iSummary!CI65</f>
        <v>50.53</v>
      </c>
      <c r="AZ67" s="637">
        <f ca="1">IF(iSummary!CJ65=0,"=",iSummary!CJ65)</f>
        <v>-10.97</v>
      </c>
      <c r="BA67" s="649" t="b">
        <f ca="1">iSummary!CK65</f>
        <v>0</v>
      </c>
      <c r="BB67" s="708">
        <f ca="1">IF(iSummary!CL65=0,"=",iSummary!CL65)</f>
        <v>-20</v>
      </c>
      <c r="BC67" s="650" t="b">
        <f ca="1">iSummary!CM65</f>
        <v>0</v>
      </c>
      <c r="BD67"/>
      <c r="BE67"/>
      <c r="BF67"/>
      <c r="BG67"/>
      <c r="BH67"/>
      <c r="BI67"/>
      <c r="BJ67"/>
      <c r="BK67"/>
      <c r="BL67"/>
      <c r="BM67"/>
      <c r="BN67"/>
      <c r="BO67"/>
      <c r="BP67"/>
      <c r="BQ67"/>
      <c r="BR67"/>
      <c r="BS67"/>
      <c r="BT67"/>
      <c r="BU67"/>
      <c r="BV67"/>
      <c r="BW67"/>
      <c r="BX67"/>
      <c r="BY67"/>
      <c r="BZ67"/>
      <c r="CA67"/>
    </row>
    <row r="68" s="70" customFormat="1" customHeight="1" spans="2:79">
      <c r="B68" s="645">
        <f>iSummary!P66</f>
        <v>1</v>
      </c>
      <c r="C68" s="645">
        <f>IF(B68=0,0,IF(uxb_works!$B$49,IF(G68&lt;$C$80,1,IF(G68&gt;$C$80,4,2)),IF(G68&lt;=$B$80,1,IF(G68&lt;=$B$81,2,(IF(G68&lt;=$B$82,3,4))))))</f>
        <v>2</v>
      </c>
      <c r="D68" s="646"/>
      <c r="E68" s="616">
        <f>iSummary!Q66</f>
        <v>59</v>
      </c>
      <c r="F68" s="681" t="str">
        <f ca="1">iSummary!R66&amp;iSummary!X66</f>
        <v>Yangon *</v>
      </c>
      <c r="G68" s="682">
        <f>iSummary!S66</f>
        <v>46.47</v>
      </c>
      <c r="H68" s="637" t="str">
        <f ca="1">IF(iSummary!T66=0,"=",iSummary!T66)</f>
        <v/>
      </c>
      <c r="I68" s="649" t="b">
        <f ca="1">iSummary!U66</f>
        <v>0</v>
      </c>
      <c r="J68" s="636" t="str">
        <f ca="1">IF(iSummary!V66=0,"=",iSummary!V66)</f>
        <v/>
      </c>
      <c r="K68" s="650" t="b">
        <f ca="1">iSummary!W66</f>
        <v>0</v>
      </c>
      <c r="L68" s="693"/>
      <c r="M68" s="693">
        <f>iSummary!AG66</f>
        <v>1</v>
      </c>
      <c r="N68" s="645">
        <f>IF(M68=0,0,IF(uxb_works!$B$49,IF(R68&lt;$C$80,1,IF(R68&gt;$C$80,4,2)),IF(R68&lt;=$B$80,1,IF(R68&lt;=$B$81,2,(IF(R68&lt;=$B$82,3,4))))))</f>
        <v>2</v>
      </c>
      <c r="O68" s="615"/>
      <c r="P68" s="695">
        <f>iSummary!AH66</f>
        <v>59</v>
      </c>
      <c r="Q68" s="699" t="str">
        <f ca="1">iSummary!AI66&amp;iSummary!AO66</f>
        <v>Manila *</v>
      </c>
      <c r="R68" s="700">
        <f>iSummary!AJ66</f>
        <v>36.61</v>
      </c>
      <c r="S68" s="637" t="str">
        <f ca="1">IF(iSummary!AK66=0,"=",iSummary!AK66)</f>
        <v/>
      </c>
      <c r="T68" s="649" t="b">
        <f ca="1">iSummary!AL66</f>
        <v>0</v>
      </c>
      <c r="U68" s="636" t="str">
        <f ca="1">IF(iSummary!AM66=0,"=",iSummary!AM66)</f>
        <v/>
      </c>
      <c r="V68" s="650" t="b">
        <f ca="1">iSummary!AN66</f>
        <v>0</v>
      </c>
      <c r="W68"/>
      <c r="X68" s="68">
        <f>iSummary!AX66</f>
        <v>1</v>
      </c>
      <c r="Y68" s="645">
        <f>IF(X68=0,0,IF(uxb_works!$B$49,IF(AC68&lt;$C$80,1,IF(AC68&gt;$C$80,4,2)),IF(AC68&lt;=$B$80,1,IF(AC68&lt;=$B$81,2,(IF(AC68&lt;=$B$82,3,4))))))</f>
        <v>2</v>
      </c>
      <c r="Z68" s="615"/>
      <c r="AA68" s="616">
        <f>iSummary!AY66</f>
        <v>59</v>
      </c>
      <c r="AB68" s="681" t="str">
        <f ca="1">iSummary!AZ66&amp;iSummary!BF66</f>
        <v>Dhaka *</v>
      </c>
      <c r="AC68" s="705">
        <f>iSummary!BA66</f>
        <v>45.59</v>
      </c>
      <c r="AD68" s="637" t="str">
        <f ca="1">IF(iSummary!BB66=0,"=",iSummary!BB66)</f>
        <v/>
      </c>
      <c r="AE68" s="649" t="b">
        <f ca="1">iSummary!BC66</f>
        <v>0</v>
      </c>
      <c r="AF68" s="636" t="str">
        <f ca="1">IF(iSummary!BD66=0,"=",iSummary!BD66)</f>
        <v/>
      </c>
      <c r="AG68" s="650" t="b">
        <f ca="1">iSummary!BE66</f>
        <v>0</v>
      </c>
      <c r="AH68" s="68"/>
      <c r="AI68" s="68">
        <f>iSummary!BO66</f>
        <v>1</v>
      </c>
      <c r="AJ68" s="645">
        <f>IF(AI68=0,0,IF(uxb_works!$B$49,IF(AN68&lt;$C$80,1,IF(AN68&gt;$C$80,4,2)),IF(AN68&lt;=$B$80,1,IF(AN68&lt;=$B$81,2,(IF(AN68&lt;=$B$82,3,4))))))</f>
        <v>2</v>
      </c>
      <c r="AK68" s="615"/>
      <c r="AL68" s="616">
        <f>iSummary!BP66</f>
        <v>59</v>
      </c>
      <c r="AM68" s="681" t="str">
        <f ca="1">iSummary!BQ66&amp;iSummary!BW66</f>
        <v>Karachi *</v>
      </c>
      <c r="AN68" s="705">
        <f>iSummary!BR66</f>
        <v>40.11</v>
      </c>
      <c r="AO68" s="637" t="str">
        <f ca="1">IF(iSummary!BS66=0,"=",iSummary!BS66)</f>
        <v/>
      </c>
      <c r="AP68" s="649" t="b">
        <f ca="1">iSummary!BT66</f>
        <v>0</v>
      </c>
      <c r="AQ68" s="636" t="str">
        <f ca="1">IF(iSummary!BU66=0,"=",iSummary!BU66)</f>
        <v/>
      </c>
      <c r="AR68" s="650" t="b">
        <f ca="1">iSummary!BV66</f>
        <v>0</v>
      </c>
      <c r="AS68" s="68"/>
      <c r="AT68" s="707">
        <f>iSummary!CF66</f>
        <v>1</v>
      </c>
      <c r="AU68" s="645">
        <f>IF(AT68=0,0,IF(uxb_works!$B$49,IF(AY68&lt;$C$80,1,IF(AY68&gt;$C$80,4,2)),IF(AY68&lt;=$B$80,1,IF(AY68&lt;=$B$81,2,(IF(AY68&lt;=$B$82,3,4))))))</f>
        <v>2</v>
      </c>
      <c r="AV68" s="615"/>
      <c r="AW68" s="616">
        <f>iSummary!CG66</f>
        <v>59</v>
      </c>
      <c r="AX68" s="681" t="str">
        <f ca="1">iSummary!CH66&amp;iSummary!CN66</f>
        <v>Caracas *</v>
      </c>
      <c r="AY68" s="705">
        <f>iSummary!CI66</f>
        <v>47.36</v>
      </c>
      <c r="AZ68" s="637" t="str">
        <f ca="1">IF(iSummary!CJ66=0,"=",iSummary!CJ66)</f>
        <v/>
      </c>
      <c r="BA68" s="649" t="b">
        <f ca="1">iSummary!CK66</f>
        <v>0</v>
      </c>
      <c r="BB68" s="708" t="str">
        <f ca="1">IF(iSummary!CL66=0,"=",iSummary!CL66)</f>
        <v/>
      </c>
      <c r="BC68" s="650" t="b">
        <f ca="1">iSummary!CM66</f>
        <v>0</v>
      </c>
      <c r="BD68"/>
      <c r="BE68"/>
      <c r="BF68"/>
      <c r="BG68"/>
      <c r="BH68"/>
      <c r="BI68"/>
      <c r="BJ68"/>
      <c r="BK68"/>
      <c r="BL68"/>
      <c r="BM68"/>
      <c r="BN68"/>
      <c r="BO68"/>
      <c r="BP68"/>
      <c r="BQ68"/>
      <c r="BR68"/>
      <c r="BS68"/>
      <c r="BT68"/>
      <c r="BU68"/>
      <c r="BV68"/>
      <c r="BW68"/>
      <c r="BX68"/>
      <c r="BY68"/>
      <c r="BZ68"/>
      <c r="CA68"/>
    </row>
    <row r="69" s="70" customFormat="1" customHeight="1" spans="2:78">
      <c r="B69" s="645">
        <f>iSummary!P67</f>
        <v>1</v>
      </c>
      <c r="C69" s="645">
        <f>IF(B69=0,0,IF(uxb_works!$B$49,IF(G69&lt;$C$80,1,IF(G69&gt;$C$80,4,2)),IF(G69&lt;=$B$80,1,IF(G69&lt;=$B$81,2,(IF(G69&lt;=$B$82,3,4))))))</f>
        <v>2</v>
      </c>
      <c r="D69" s="646"/>
      <c r="E69" s="616">
        <f>iSummary!Q67</f>
        <v>60</v>
      </c>
      <c r="F69" s="681" t="str">
        <f ca="1">iSummary!R67&amp;iSummary!X67</f>
        <v>Karachi *</v>
      </c>
      <c r="G69" s="682">
        <f>iSummary!S67</f>
        <v>38.77</v>
      </c>
      <c r="H69" s="637" t="str">
        <f ca="1">IF(iSummary!T67=0,"=",iSummary!T67)</f>
        <v/>
      </c>
      <c r="I69" s="649" t="b">
        <f ca="1">iSummary!U67</f>
        <v>0</v>
      </c>
      <c r="J69" s="636" t="str">
        <f ca="1">IF(iSummary!V67=0,"=",iSummary!V67)</f>
        <v/>
      </c>
      <c r="K69" s="650" t="b">
        <f ca="1">iSummary!W67</f>
        <v>0</v>
      </c>
      <c r="L69" s="693"/>
      <c r="M69" s="693">
        <f>iSummary!AG67</f>
        <v>1</v>
      </c>
      <c r="N69" s="645">
        <f>IF(M69=0,0,IF(uxb_works!$B$49,IF(R69&lt;$C$80,1,IF(R69&gt;$C$80,4,2)),IF(R69&lt;=$B$80,1,IF(R69&lt;=$B$81,2,(IF(R69&lt;=$B$82,3,4))))))</f>
        <v>2</v>
      </c>
      <c r="O69" s="615"/>
      <c r="P69" s="695">
        <f>iSummary!AH67</f>
        <v>60</v>
      </c>
      <c r="Q69" s="699" t="str">
        <f ca="1">iSummary!AI67&amp;iSummary!AO67</f>
        <v>Jakarta</v>
      </c>
      <c r="R69" s="700">
        <f>iSummary!AJ67</f>
        <v>36.6</v>
      </c>
      <c r="S69" s="637">
        <f ca="1">IF(iSummary!AK67=0,"=",iSummary!AK67)</f>
        <v>-8.38</v>
      </c>
      <c r="T69" s="649" t="b">
        <f ca="1">iSummary!AL67</f>
        <v>0</v>
      </c>
      <c r="U69" s="636">
        <f ca="1">IF(iSummary!AM67=0,"=",iSummary!AM67)</f>
        <v>-17</v>
      </c>
      <c r="V69" s="650" t="b">
        <f ca="1">iSummary!AN67</f>
        <v>0</v>
      </c>
      <c r="W69"/>
      <c r="X69" s="68">
        <f>iSummary!AX67</f>
        <v>1</v>
      </c>
      <c r="Y69" s="645">
        <f>IF(X69=0,0,IF(uxb_works!$B$49,IF(AC69&lt;$C$80,1,IF(AC69&gt;$C$80,4,2)),IF(AC69&lt;=$B$80,1,IF(AC69&lt;=$B$81,2,(IF(AC69&lt;=$B$82,3,4))))))</f>
        <v>2</v>
      </c>
      <c r="Z69" s="615"/>
      <c r="AA69" s="616">
        <f>iSummary!AY67</f>
        <v>60</v>
      </c>
      <c r="AB69" s="681" t="str">
        <f ca="1">iSummary!AZ67&amp;iSummary!BF67</f>
        <v>Karachi *</v>
      </c>
      <c r="AC69" s="705">
        <f>iSummary!BA67</f>
        <v>39.92</v>
      </c>
      <c r="AD69" s="637" t="str">
        <f ca="1">IF(iSummary!BB67=0,"=",iSummary!BB67)</f>
        <v/>
      </c>
      <c r="AE69" s="649" t="b">
        <f ca="1">iSummary!BC67</f>
        <v>0</v>
      </c>
      <c r="AF69" s="636" t="str">
        <f ca="1">IF(iSummary!BD67=0,"=",iSummary!BD67)</f>
        <v/>
      </c>
      <c r="AG69" s="650" t="b">
        <f ca="1">iSummary!BE67</f>
        <v>0</v>
      </c>
      <c r="AH69" s="68"/>
      <c r="AI69" s="68">
        <f>iSummary!BO67</f>
        <v>1</v>
      </c>
      <c r="AJ69" s="645">
        <f>IF(AI69=0,0,IF(uxb_works!$B$49,IF(AN69&lt;$C$80,1,IF(AN69&gt;$C$80,4,2)),IF(AN69&lt;=$B$80,1,IF(AN69&lt;=$B$81,2,(IF(AN69&lt;=$B$82,3,4))))))</f>
        <v>2</v>
      </c>
      <c r="AK69" s="615"/>
      <c r="AL69" s="616">
        <f>iSummary!BP67</f>
        <v>60</v>
      </c>
      <c r="AM69" s="681" t="str">
        <f ca="1">iSummary!BQ67&amp;iSummary!BW67</f>
        <v>Dhaka *</v>
      </c>
      <c r="AN69" s="705">
        <f>iSummary!BR67</f>
        <v>38.42</v>
      </c>
      <c r="AO69" s="637" t="str">
        <f ca="1">IF(iSummary!BS67=0,"=",iSummary!BS67)</f>
        <v/>
      </c>
      <c r="AP69" s="649" t="b">
        <f ca="1">iSummary!BT67</f>
        <v>0</v>
      </c>
      <c r="AQ69" s="636" t="str">
        <f ca="1">IF(iSummary!BU67=0,"=",iSummary!BU67)</f>
        <v/>
      </c>
      <c r="AR69" s="650" t="b">
        <f ca="1">iSummary!BV67</f>
        <v>0</v>
      </c>
      <c r="AS69" s="68"/>
      <c r="AT69" s="707">
        <f>iSummary!CF67</f>
        <v>1</v>
      </c>
      <c r="AU69" s="645">
        <f>IF(AT69=0,0,IF(uxb_works!$B$49,IF(AY69&lt;$C$80,1,IF(AY69&gt;$C$80,4,2)),IF(AY69&lt;=$B$80,1,IF(AY69&lt;=$B$81,2,(IF(AY69&lt;=$B$82,3,4))))))</f>
        <v>2</v>
      </c>
      <c r="AV69" s="615"/>
      <c r="AW69" s="616">
        <f>iSummary!CG67</f>
        <v>60</v>
      </c>
      <c r="AX69" s="681" t="str">
        <f ca="1">iSummary!CH67&amp;iSummary!CN67</f>
        <v>Karachi *</v>
      </c>
      <c r="AY69" s="705">
        <f>iSummary!CI67</f>
        <v>31.85</v>
      </c>
      <c r="AZ69" s="637" t="str">
        <f ca="1">IF(iSummary!CJ67=0,"=",iSummary!CJ67)</f>
        <v/>
      </c>
      <c r="BA69" s="649" t="b">
        <f ca="1">iSummary!CK67</f>
        <v>0</v>
      </c>
      <c r="BB69" s="708" t="str">
        <f ca="1">IF(iSummary!CL67=0,"=",iSummary!CL67)</f>
        <v/>
      </c>
      <c r="BC69" s="650" t="b">
        <f ca="1">iSummary!CM67</f>
        <v>0</v>
      </c>
      <c r="BD69"/>
      <c r="BE69"/>
      <c r="BF69"/>
      <c r="BG69"/>
      <c r="BH69"/>
      <c r="BI69"/>
      <c r="BJ69"/>
      <c r="BK69"/>
      <c r="BL69"/>
      <c r="BM69"/>
      <c r="BN69"/>
      <c r="BO69"/>
      <c r="BP69"/>
      <c r="BQ69"/>
      <c r="BR69"/>
      <c r="BS69"/>
      <c r="BT69"/>
      <c r="BU69"/>
      <c r="BV69"/>
      <c r="BW69"/>
      <c r="BX69"/>
      <c r="BY69"/>
      <c r="BZ69"/>
    </row>
    <row r="70" s="70" customFormat="1" customHeight="1" spans="2:78">
      <c r="B70" s="645">
        <f>iSummary!P68</f>
        <v>0</v>
      </c>
      <c r="C70" s="645">
        <f>IF(B70=0,0,IF(uxb_works!$B$49,IF(G70&lt;$C$80,1,IF(G70&gt;$C$80,4,2)),IF(G70&lt;=$B$80,1,IF(G70&lt;=$B$81,2,(IF(G70&lt;=$B$82,3,4))))))</f>
        <v>0</v>
      </c>
      <c r="D70" s="646"/>
      <c r="E70" s="616" t="str">
        <f>iSummary!Q68</f>
        <v/>
      </c>
      <c r="F70" s="681" t="str">
        <f ca="1">iSummary!R68&amp;iSummary!X68</f>
        <v/>
      </c>
      <c r="G70" s="682" t="str">
        <f>iSummary!S68</f>
        <v/>
      </c>
      <c r="H70" s="637" t="str">
        <f ca="1">IF(iSummary!T68=0,"=",iSummary!T68)</f>
        <v/>
      </c>
      <c r="I70" s="649" t="b">
        <f ca="1">iSummary!U68</f>
        <v>0</v>
      </c>
      <c r="J70" s="636" t="str">
        <f ca="1">IF(iSummary!V68=0,"=",iSummary!V68)</f>
        <v/>
      </c>
      <c r="K70" s="650" t="b">
        <f ca="1">iSummary!W68</f>
        <v>0</v>
      </c>
      <c r="L70" s="693"/>
      <c r="M70" s="693">
        <f>iSummary!AG68</f>
        <v>0</v>
      </c>
      <c r="N70" s="645">
        <f>IF(M70=0,0,IF(uxb_works!$B$49,IF(R70&lt;$C$80,1,IF(R70&gt;$C$80,4,2)),IF(R70&lt;=$B$80,1,IF(R70&lt;=$B$81,2,(IF(R70&lt;=$B$82,3,4))))))</f>
        <v>0</v>
      </c>
      <c r="O70" s="711"/>
      <c r="P70" s="695" t="str">
        <f>iSummary!AH68</f>
        <v/>
      </c>
      <c r="Q70" s="699" t="str">
        <f ca="1">iSummary!AI68&amp;iSummary!AO68</f>
        <v/>
      </c>
      <c r="R70" s="700" t="str">
        <f>iSummary!AJ68</f>
        <v/>
      </c>
      <c r="S70" s="637" t="str">
        <f ca="1">IF(iSummary!AK68=0,"=",iSummary!AK68)</f>
        <v/>
      </c>
      <c r="T70" s="649" t="b">
        <f ca="1">iSummary!AL68</f>
        <v>0</v>
      </c>
      <c r="U70" s="636" t="str">
        <f ca="1">IF(iSummary!AM68=0,"=",iSummary!AM68)</f>
        <v/>
      </c>
      <c r="V70" s="650" t="b">
        <f ca="1">iSummary!AN68</f>
        <v>0</v>
      </c>
      <c r="W70"/>
      <c r="X70" s="68">
        <f>iSummary!AX68</f>
        <v>0</v>
      </c>
      <c r="Y70" s="645">
        <f>IF(X70=0,0,IF(uxb_works!$B$49,IF(AC70&lt;$C$80,1,IF(AC70&gt;$C$80,4,2)),IF(AC70&lt;=$B$80,1,IF(AC70&lt;=$B$81,2,(IF(AC70&lt;=$B$82,3,4))))))</f>
        <v>0</v>
      </c>
      <c r="Z70" s="711"/>
      <c r="AA70" s="616" t="str">
        <f>iSummary!AY68</f>
        <v/>
      </c>
      <c r="AB70" s="681" t="str">
        <f ca="1">iSummary!AZ68&amp;iSummary!BF68</f>
        <v/>
      </c>
      <c r="AC70" s="705" t="str">
        <f>iSummary!BA68</f>
        <v/>
      </c>
      <c r="AD70" s="637" t="str">
        <f ca="1">IF(iSummary!BB68=0,"=",iSummary!BB68)</f>
        <v/>
      </c>
      <c r="AE70" s="649" t="b">
        <f ca="1">iSummary!BC68</f>
        <v>0</v>
      </c>
      <c r="AF70" s="636" t="str">
        <f ca="1">IF(iSummary!BD68=0,"=",iSummary!BD68)</f>
        <v/>
      </c>
      <c r="AG70" s="650" t="b">
        <f ca="1">iSummary!BE68</f>
        <v>0</v>
      </c>
      <c r="AH70" s="68"/>
      <c r="AI70" s="68">
        <f>iSummary!BO68</f>
        <v>0</v>
      </c>
      <c r="AJ70" s="645">
        <f>IF(AI70=0,0,IF(uxb_works!$B$49,IF(AN70&lt;$C$80,1,IF(AN70&gt;$C$80,4,2)),IF(AN70&lt;=$B$80,1,IF(AN70&lt;=$B$81,2,(IF(AN70&lt;=$B$82,3,4))))))</f>
        <v>0</v>
      </c>
      <c r="AK70" s="711"/>
      <c r="AL70" s="616" t="str">
        <f>iSummary!BP68</f>
        <v/>
      </c>
      <c r="AM70" s="681" t="str">
        <f ca="1">iSummary!BQ68&amp;iSummary!BW68</f>
        <v/>
      </c>
      <c r="AN70" s="705" t="str">
        <f>iSummary!BR68</f>
        <v/>
      </c>
      <c r="AO70" s="637" t="str">
        <f ca="1">IF(iSummary!BS68=0,"=",iSummary!BS68)</f>
        <v/>
      </c>
      <c r="AP70" s="649" t="b">
        <f ca="1">iSummary!BT68</f>
        <v>0</v>
      </c>
      <c r="AQ70" s="636" t="str">
        <f ca="1">IF(iSummary!BU68=0,"=",iSummary!BU68)</f>
        <v/>
      </c>
      <c r="AR70" s="650" t="b">
        <f ca="1">iSummary!BV68</f>
        <v>0</v>
      </c>
      <c r="AS70" s="68"/>
      <c r="AT70" s="707">
        <f>iSummary!CF68</f>
        <v>0</v>
      </c>
      <c r="AU70" s="645">
        <f>IF(AT70=0,0,IF(uxb_works!$B$49,IF(AY70&lt;$C$80,1,IF(AY70&gt;$C$80,4,2)),IF(AY70&lt;=$B$80,1,IF(AY70&lt;=$B$81,2,(IF(AY70&lt;=$B$82,3,4))))))</f>
        <v>0</v>
      </c>
      <c r="AV70" s="711"/>
      <c r="AW70" s="616" t="str">
        <f>iSummary!CG68</f>
        <v/>
      </c>
      <c r="AX70" s="681" t="str">
        <f ca="1">iSummary!CH68&amp;iSummary!CN68</f>
        <v/>
      </c>
      <c r="AY70" s="705" t="str">
        <f>iSummary!CI68</f>
        <v/>
      </c>
      <c r="AZ70" s="637" t="str">
        <f ca="1">IF(iSummary!CJ68=0,"=",iSummary!CJ68)</f>
        <v/>
      </c>
      <c r="BA70" s="649" t="b">
        <f ca="1">iSummary!CK68</f>
        <v>0</v>
      </c>
      <c r="BB70" s="708" t="str">
        <f ca="1">IF(iSummary!CL68=0,"=",iSummary!CL68)</f>
        <v/>
      </c>
      <c r="BC70" s="650" t="b">
        <f ca="1">iSummary!CM68</f>
        <v>0</v>
      </c>
      <c r="BD70"/>
      <c r="BE70"/>
      <c r="BF70"/>
      <c r="BG70"/>
      <c r="BH70"/>
      <c r="BI70"/>
      <c r="BJ70"/>
      <c r="BK70"/>
      <c r="BL70"/>
      <c r="BM70"/>
      <c r="BN70"/>
      <c r="BO70"/>
      <c r="BP70"/>
      <c r="BQ70"/>
      <c r="BR70"/>
      <c r="BS70"/>
      <c r="BT70"/>
      <c r="BU70"/>
      <c r="BV70"/>
      <c r="BW70"/>
      <c r="BX70"/>
      <c r="BY70"/>
      <c r="BZ70"/>
    </row>
    <row r="71" s="70" customFormat="1" customHeight="1" spans="2:78">
      <c r="B71" s="645"/>
      <c r="C71" s="645"/>
      <c r="D71" s="646"/>
      <c r="E71" s="616"/>
      <c r="F71" s="681"/>
      <c r="G71" s="709"/>
      <c r="H71" s="637"/>
      <c r="I71" s="649"/>
      <c r="J71" s="636"/>
      <c r="K71" s="650"/>
      <c r="L71" s="693"/>
      <c r="M71" s="693"/>
      <c r="N71" s="645"/>
      <c r="O71" s="646"/>
      <c r="P71" s="695"/>
      <c r="Q71" s="699"/>
      <c r="R71" s="713"/>
      <c r="S71" s="637"/>
      <c r="T71" s="649"/>
      <c r="U71" s="708"/>
      <c r="V71" s="650"/>
      <c r="W71"/>
      <c r="X71" s="68"/>
      <c r="Y71" s="645"/>
      <c r="Z71" s="646"/>
      <c r="AA71" s="616"/>
      <c r="AB71" s="681"/>
      <c r="AC71" s="714"/>
      <c r="AD71" s="637"/>
      <c r="AE71" s="649"/>
      <c r="AF71" s="636"/>
      <c r="AG71" s="650"/>
      <c r="AH71" s="68"/>
      <c r="AI71" s="68"/>
      <c r="AJ71" s="645"/>
      <c r="AK71" s="646"/>
      <c r="AL71" s="616"/>
      <c r="AM71" s="681"/>
      <c r="AN71" s="714"/>
      <c r="AO71" s="637"/>
      <c r="AP71" s="649"/>
      <c r="AQ71" s="708"/>
      <c r="AR71" s="650"/>
      <c r="AS71" s="68"/>
      <c r="AT71" s="707"/>
      <c r="AU71" s="645"/>
      <c r="AV71" s="646"/>
      <c r="AW71" s="616"/>
      <c r="AX71" s="681"/>
      <c r="AY71" s="714"/>
      <c r="AZ71" s="637"/>
      <c r="BA71" s="649"/>
      <c r="BB71" s="708"/>
      <c r="BC71" s="650"/>
      <c r="BD71"/>
      <c r="BE71"/>
      <c r="BF71"/>
      <c r="BG71"/>
      <c r="BH71"/>
      <c r="BI71"/>
      <c r="BJ71"/>
      <c r="BK71"/>
      <c r="BL71"/>
      <c r="BM71"/>
      <c r="BN71"/>
      <c r="BO71"/>
      <c r="BP71"/>
      <c r="BQ71"/>
      <c r="BR71"/>
      <c r="BS71"/>
      <c r="BT71"/>
      <c r="BU71"/>
      <c r="BV71"/>
      <c r="BW71"/>
      <c r="BX71"/>
      <c r="BY71"/>
      <c r="BZ71"/>
    </row>
    <row r="72" s="70" customFormat="1" customHeight="1" spans="2:78">
      <c r="B72" s="645"/>
      <c r="C72" s="645"/>
      <c r="D72" s="646"/>
      <c r="E72" s="616"/>
      <c r="F72" s="681"/>
      <c r="G72" s="709"/>
      <c r="H72" s="637"/>
      <c r="I72" s="649"/>
      <c r="J72" s="636"/>
      <c r="K72" s="650"/>
      <c r="L72" s="693"/>
      <c r="M72" s="693"/>
      <c r="N72" s="645"/>
      <c r="O72" s="646"/>
      <c r="P72" s="695"/>
      <c r="Q72" s="699"/>
      <c r="R72" s="713"/>
      <c r="S72" s="637"/>
      <c r="T72" s="649"/>
      <c r="U72" s="708"/>
      <c r="V72" s="650"/>
      <c r="W72"/>
      <c r="X72" s="68"/>
      <c r="Y72" s="645"/>
      <c r="Z72" s="646"/>
      <c r="AA72" s="616"/>
      <c r="AB72" s="681"/>
      <c r="AC72" s="714"/>
      <c r="AD72" s="637"/>
      <c r="AE72" s="649"/>
      <c r="AF72" s="636"/>
      <c r="AG72" s="650"/>
      <c r="AH72" s="68"/>
      <c r="AI72" s="68"/>
      <c r="AJ72" s="645"/>
      <c r="AK72" s="646"/>
      <c r="AL72" s="616"/>
      <c r="AM72" s="681"/>
      <c r="AN72" s="714"/>
      <c r="AO72" s="637"/>
      <c r="AP72" s="649"/>
      <c r="AQ72" s="708"/>
      <c r="AR72" s="650"/>
      <c r="AS72" s="68"/>
      <c r="AT72" s="707"/>
      <c r="AU72" s="645"/>
      <c r="AV72" s="646"/>
      <c r="AW72" s="616"/>
      <c r="AX72" s="681"/>
      <c r="AY72" s="714"/>
      <c r="AZ72" s="637"/>
      <c r="BA72" s="649"/>
      <c r="BB72" s="708"/>
      <c r="BC72" s="650"/>
      <c r="BD72"/>
      <c r="BE72"/>
      <c r="BF72"/>
      <c r="BG72"/>
      <c r="BH72"/>
      <c r="BI72"/>
      <c r="BJ72"/>
      <c r="BK72"/>
      <c r="BL72"/>
      <c r="BM72"/>
      <c r="BN72"/>
      <c r="BO72"/>
      <c r="BP72"/>
      <c r="BQ72"/>
      <c r="BR72"/>
      <c r="BS72"/>
      <c r="BT72"/>
      <c r="BU72"/>
      <c r="BV72"/>
      <c r="BW72"/>
      <c r="BX72"/>
      <c r="BY72"/>
      <c r="BZ72"/>
    </row>
    <row r="73" customFormat="1" customHeight="1" spans="10:32">
      <c r="J73" s="284"/>
      <c r="AF73" s="284"/>
    </row>
    <row r="74" customFormat="1" customHeight="1" spans="10:32">
      <c r="J74" s="284"/>
      <c r="AF74" s="284"/>
    </row>
    <row r="75" customFormat="1" customHeight="1" spans="10:32">
      <c r="J75" s="284"/>
      <c r="AF75" s="284"/>
    </row>
    <row r="76" customFormat="1" customHeight="1" spans="10:32">
      <c r="J76" s="284"/>
      <c r="AF76" s="284"/>
    </row>
    <row r="77" customFormat="1" spans="10:32">
      <c r="J77" s="284"/>
      <c r="AF77" s="284"/>
    </row>
    <row r="78" customFormat="1" spans="10:32">
      <c r="J78" s="284"/>
      <c r="AF78" s="284"/>
    </row>
    <row r="79" customFormat="1" spans="10:32">
      <c r="J79" s="284"/>
      <c r="AF79" s="284"/>
    </row>
    <row r="80" customFormat="1" spans="2:32">
      <c r="B80" s="423">
        <v>25</v>
      </c>
      <c r="C80" s="423">
        <v>1</v>
      </c>
      <c r="J80" s="284"/>
      <c r="AF80" s="284"/>
    </row>
    <row r="81" customFormat="1" spans="2:32">
      <c r="B81" s="423">
        <v>50</v>
      </c>
      <c r="C81" s="423"/>
      <c r="J81" s="284"/>
      <c r="AF81" s="284"/>
    </row>
    <row r="82" customFormat="1" spans="2:32">
      <c r="B82" s="423">
        <v>75</v>
      </c>
      <c r="C82" s="423"/>
      <c r="J82" s="284"/>
      <c r="AF82" s="284"/>
    </row>
    <row r="83" customFormat="1" spans="2:32">
      <c r="B83" s="423"/>
      <c r="C83" s="423"/>
      <c r="J83" s="284"/>
      <c r="AF83" s="284"/>
    </row>
    <row r="84" customFormat="1" spans="10:32">
      <c r="J84" s="284"/>
      <c r="AF84" s="284"/>
    </row>
    <row r="85" customFormat="1" spans="10:32">
      <c r="J85" s="284"/>
      <c r="AF85" s="284"/>
    </row>
    <row r="86" customFormat="1" spans="10:32">
      <c r="J86" s="284"/>
      <c r="AF86" s="284"/>
    </row>
    <row r="87" customFormat="1" spans="10:32">
      <c r="J87" s="284"/>
      <c r="AF87" s="284"/>
    </row>
    <row r="88" customFormat="1" spans="10:32">
      <c r="J88" s="284"/>
      <c r="AF88" s="284"/>
    </row>
    <row r="89" customFormat="1" spans="10:32">
      <c r="J89" s="284"/>
      <c r="AF89" s="284"/>
    </row>
    <row r="90" s="657" customFormat="1" spans="1:78">
      <c r="A90" s="424"/>
      <c r="G90" s="710"/>
      <c r="J90" s="712"/>
      <c r="R90" s="710"/>
      <c r="W90"/>
      <c r="AC90" s="710"/>
      <c r="AF90" s="712"/>
      <c r="AN90" s="710"/>
      <c r="AY90" s="710"/>
      <c r="BD90"/>
      <c r="BE90"/>
      <c r="BF90"/>
      <c r="BG90"/>
      <c r="BH90"/>
      <c r="BI90"/>
      <c r="BJ90"/>
      <c r="BK90"/>
      <c r="BL90"/>
      <c r="BM90"/>
      <c r="BN90"/>
      <c r="BO90"/>
      <c r="BP90"/>
      <c r="BQ90"/>
      <c r="BR90"/>
      <c r="BS90"/>
      <c r="BT90"/>
      <c r="BU90"/>
      <c r="BV90"/>
      <c r="BW90"/>
      <c r="BX90"/>
      <c r="BY90"/>
      <c r="BZ90"/>
    </row>
    <row r="91" s="657" customFormat="1" spans="1:78">
      <c r="A91" s="424"/>
      <c r="G91" s="710"/>
      <c r="J91" s="712"/>
      <c r="R91" s="710"/>
      <c r="W91"/>
      <c r="AC91" s="710"/>
      <c r="AF91" s="712"/>
      <c r="AN91" s="710"/>
      <c r="AY91" s="710"/>
      <c r="BD91"/>
      <c r="BE91"/>
      <c r="BF91"/>
      <c r="BG91"/>
      <c r="BH91"/>
      <c r="BI91"/>
      <c r="BJ91"/>
      <c r="BK91"/>
      <c r="BL91"/>
      <c r="BM91"/>
      <c r="BN91"/>
      <c r="BO91"/>
      <c r="BP91"/>
      <c r="BQ91"/>
      <c r="BR91"/>
      <c r="BS91"/>
      <c r="BT91"/>
      <c r="BU91"/>
      <c r="BV91"/>
      <c r="BW91"/>
      <c r="BX91"/>
      <c r="BY91"/>
      <c r="BZ91"/>
    </row>
    <row r="92" s="657" customFormat="1" spans="1:78">
      <c r="A92" s="424"/>
      <c r="G92" s="710"/>
      <c r="J92" s="712"/>
      <c r="R92" s="710"/>
      <c r="W92"/>
      <c r="AC92" s="710"/>
      <c r="AF92" s="712"/>
      <c r="AN92" s="710"/>
      <c r="AY92" s="710"/>
      <c r="BD92"/>
      <c r="BE92"/>
      <c r="BF92"/>
      <c r="BG92"/>
      <c r="BH92"/>
      <c r="BI92"/>
      <c r="BJ92"/>
      <c r="BK92"/>
      <c r="BL92"/>
      <c r="BM92"/>
      <c r="BN92"/>
      <c r="BO92"/>
      <c r="BP92"/>
      <c r="BQ92"/>
      <c r="BR92"/>
      <c r="BS92"/>
      <c r="BT92"/>
      <c r="BU92"/>
      <c r="BV92"/>
      <c r="BW92"/>
      <c r="BX92"/>
      <c r="BY92"/>
      <c r="BZ92"/>
    </row>
    <row r="93" s="657" customFormat="1" spans="1:78">
      <c r="A93" s="424"/>
      <c r="G93" s="710"/>
      <c r="J93" s="712"/>
      <c r="R93" s="710"/>
      <c r="W93"/>
      <c r="AC93" s="710"/>
      <c r="AF93" s="712"/>
      <c r="AN93" s="710"/>
      <c r="AY93" s="710"/>
      <c r="BD93"/>
      <c r="BE93"/>
      <c r="BF93"/>
      <c r="BG93"/>
      <c r="BH93"/>
      <c r="BI93"/>
      <c r="BJ93"/>
      <c r="BK93"/>
      <c r="BL93"/>
      <c r="BM93"/>
      <c r="BN93"/>
      <c r="BO93"/>
      <c r="BP93"/>
      <c r="BQ93"/>
      <c r="BR93"/>
      <c r="BS93"/>
      <c r="BT93"/>
      <c r="BU93"/>
      <c r="BV93"/>
      <c r="BW93"/>
      <c r="BX93"/>
      <c r="BY93"/>
      <c r="BZ93"/>
    </row>
    <row r="94" s="657" customFormat="1" spans="1:78">
      <c r="A94" s="424"/>
      <c r="G94" s="710"/>
      <c r="J94" s="712"/>
      <c r="R94" s="710"/>
      <c r="W94"/>
      <c r="AC94" s="710"/>
      <c r="AF94" s="712"/>
      <c r="AN94" s="710"/>
      <c r="AY94" s="710"/>
      <c r="BD94"/>
      <c r="BE94"/>
      <c r="BF94"/>
      <c r="BG94"/>
      <c r="BH94"/>
      <c r="BI94"/>
      <c r="BJ94"/>
      <c r="BK94"/>
      <c r="BL94"/>
      <c r="BM94"/>
      <c r="BN94"/>
      <c r="BO94"/>
      <c r="BP94"/>
      <c r="BQ94"/>
      <c r="BR94"/>
      <c r="BS94"/>
      <c r="BT94"/>
      <c r="BU94"/>
      <c r="BV94"/>
      <c r="BW94"/>
      <c r="BX94"/>
      <c r="BY94"/>
      <c r="BZ94"/>
    </row>
    <row r="95" s="657" customFormat="1" spans="1:78">
      <c r="A95" s="424"/>
      <c r="G95" s="710"/>
      <c r="J95" s="712"/>
      <c r="R95" s="710"/>
      <c r="W95"/>
      <c r="AC95" s="710"/>
      <c r="AF95" s="712"/>
      <c r="AN95" s="710"/>
      <c r="AY95" s="710"/>
      <c r="BD95"/>
      <c r="BE95"/>
      <c r="BF95"/>
      <c r="BG95"/>
      <c r="BH95"/>
      <c r="BI95"/>
      <c r="BJ95"/>
      <c r="BK95"/>
      <c r="BL95"/>
      <c r="BM95"/>
      <c r="BN95"/>
      <c r="BO95"/>
      <c r="BP95"/>
      <c r="BQ95"/>
      <c r="BR95"/>
      <c r="BS95"/>
      <c r="BT95"/>
      <c r="BU95"/>
      <c r="BV95"/>
      <c r="BW95"/>
      <c r="BX95"/>
      <c r="BY95"/>
      <c r="BZ95"/>
    </row>
    <row r="96" s="657" customFormat="1" spans="1:78">
      <c r="A96" s="424"/>
      <c r="G96" s="710"/>
      <c r="J96" s="712"/>
      <c r="R96" s="710"/>
      <c r="W96"/>
      <c r="AC96" s="710"/>
      <c r="AF96" s="712"/>
      <c r="AN96" s="710"/>
      <c r="AY96" s="710"/>
      <c r="BD96"/>
      <c r="BE96"/>
      <c r="BF96"/>
      <c r="BG96"/>
      <c r="BH96"/>
      <c r="BI96"/>
      <c r="BJ96"/>
      <c r="BK96"/>
      <c r="BL96"/>
      <c r="BM96"/>
      <c r="BN96"/>
      <c r="BO96"/>
      <c r="BP96"/>
      <c r="BQ96"/>
      <c r="BR96"/>
      <c r="BS96"/>
      <c r="BT96"/>
      <c r="BU96"/>
      <c r="BV96"/>
      <c r="BW96"/>
      <c r="BX96"/>
      <c r="BY96"/>
      <c r="BZ96"/>
    </row>
    <row r="97" s="657" customFormat="1" spans="1:78">
      <c r="A97" s="424"/>
      <c r="G97" s="710"/>
      <c r="J97" s="712"/>
      <c r="R97" s="710"/>
      <c r="W97"/>
      <c r="AC97" s="710"/>
      <c r="AF97" s="712"/>
      <c r="AN97" s="710"/>
      <c r="AY97" s="710"/>
      <c r="BD97"/>
      <c r="BE97"/>
      <c r="BF97"/>
      <c r="BG97"/>
      <c r="BH97"/>
      <c r="BI97"/>
      <c r="BJ97"/>
      <c r="BK97"/>
      <c r="BL97"/>
      <c r="BM97"/>
      <c r="BN97"/>
      <c r="BO97"/>
      <c r="BP97"/>
      <c r="BQ97"/>
      <c r="BR97"/>
      <c r="BS97"/>
      <c r="BT97"/>
      <c r="BU97"/>
      <c r="BV97"/>
      <c r="BW97"/>
      <c r="BX97"/>
      <c r="BY97"/>
      <c r="BZ97"/>
    </row>
    <row r="98" s="657" customFormat="1" spans="1:78">
      <c r="A98" s="424"/>
      <c r="G98" s="710"/>
      <c r="J98" s="712"/>
      <c r="R98" s="710"/>
      <c r="W98"/>
      <c r="AC98" s="710"/>
      <c r="AF98" s="712"/>
      <c r="AN98" s="710"/>
      <c r="AY98" s="710"/>
      <c r="BD98"/>
      <c r="BE98"/>
      <c r="BF98"/>
      <c r="BG98"/>
      <c r="BH98"/>
      <c r="BI98"/>
      <c r="BJ98"/>
      <c r="BK98"/>
      <c r="BL98"/>
      <c r="BM98"/>
      <c r="BN98"/>
      <c r="BO98"/>
      <c r="BP98"/>
      <c r="BQ98"/>
      <c r="BR98"/>
      <c r="BS98"/>
      <c r="BT98"/>
      <c r="BU98"/>
      <c r="BV98"/>
      <c r="BW98"/>
      <c r="BX98"/>
      <c r="BY98"/>
      <c r="BZ98"/>
    </row>
    <row r="99" s="657" customFormat="1" spans="1:78">
      <c r="A99" s="424"/>
      <c r="G99" s="710"/>
      <c r="J99" s="712"/>
      <c r="R99" s="710"/>
      <c r="W99"/>
      <c r="AC99" s="710"/>
      <c r="AF99" s="712"/>
      <c r="AN99" s="710"/>
      <c r="AY99" s="710"/>
      <c r="BD99"/>
      <c r="BE99"/>
      <c r="BF99"/>
      <c r="BG99"/>
      <c r="BH99"/>
      <c r="BI99"/>
      <c r="BJ99"/>
      <c r="BK99"/>
      <c r="BL99"/>
      <c r="BM99"/>
      <c r="BN99"/>
      <c r="BO99"/>
      <c r="BP99"/>
      <c r="BQ99"/>
      <c r="BR99"/>
      <c r="BS99"/>
      <c r="BT99"/>
      <c r="BU99"/>
      <c r="BV99"/>
      <c r="BW99"/>
      <c r="BX99"/>
      <c r="BY99"/>
      <c r="BZ99"/>
    </row>
    <row r="100" s="657" customFormat="1" spans="1:78">
      <c r="A100" s="424"/>
      <c r="G100" s="710"/>
      <c r="J100" s="712"/>
      <c r="R100" s="710"/>
      <c r="W100"/>
      <c r="AC100" s="710"/>
      <c r="AF100" s="712"/>
      <c r="AN100" s="710"/>
      <c r="AY100" s="710"/>
      <c r="BD100"/>
      <c r="BE100"/>
      <c r="BF100"/>
      <c r="BG100"/>
      <c r="BH100"/>
      <c r="BI100"/>
      <c r="BJ100"/>
      <c r="BK100"/>
      <c r="BL100"/>
      <c r="BM100"/>
      <c r="BN100"/>
      <c r="BO100"/>
      <c r="BP100"/>
      <c r="BQ100"/>
      <c r="BR100"/>
      <c r="BS100"/>
      <c r="BT100"/>
      <c r="BU100"/>
      <c r="BV100"/>
      <c r="BW100"/>
      <c r="BX100"/>
      <c r="BY100"/>
      <c r="BZ100"/>
    </row>
    <row r="101" s="657" customFormat="1" spans="1:78">
      <c r="A101" s="424"/>
      <c r="G101" s="710"/>
      <c r="J101" s="712"/>
      <c r="R101" s="710"/>
      <c r="W101"/>
      <c r="AC101" s="710"/>
      <c r="AF101" s="712"/>
      <c r="AN101" s="710"/>
      <c r="AY101" s="710"/>
      <c r="BD101"/>
      <c r="BE101"/>
      <c r="BF101"/>
      <c r="BG101"/>
      <c r="BH101"/>
      <c r="BI101"/>
      <c r="BJ101"/>
      <c r="BK101"/>
      <c r="BL101"/>
      <c r="BM101"/>
      <c r="BN101"/>
      <c r="BO101"/>
      <c r="BP101"/>
      <c r="BQ101"/>
      <c r="BR101"/>
      <c r="BS101"/>
      <c r="BT101"/>
      <c r="BU101"/>
      <c r="BV101"/>
      <c r="BW101"/>
      <c r="BX101"/>
      <c r="BY101"/>
      <c r="BZ101"/>
    </row>
    <row r="102" s="657" customFormat="1" spans="1:78">
      <c r="A102" s="424"/>
      <c r="G102" s="710"/>
      <c r="J102" s="712"/>
      <c r="R102" s="710"/>
      <c r="W102"/>
      <c r="AC102" s="710"/>
      <c r="AF102" s="712"/>
      <c r="AN102" s="710"/>
      <c r="AY102" s="710"/>
      <c r="BD102"/>
      <c r="BE102"/>
      <c r="BF102"/>
      <c r="BG102"/>
      <c r="BH102"/>
      <c r="BI102"/>
      <c r="BJ102"/>
      <c r="BK102"/>
      <c r="BL102"/>
      <c r="BM102"/>
      <c r="BN102"/>
      <c r="BO102"/>
      <c r="BP102"/>
      <c r="BQ102"/>
      <c r="BR102"/>
      <c r="BS102"/>
      <c r="BT102"/>
      <c r="BU102"/>
      <c r="BV102"/>
      <c r="BW102"/>
      <c r="BX102"/>
      <c r="BY102"/>
      <c r="BZ102"/>
    </row>
    <row r="103" s="657" customFormat="1" spans="1:78">
      <c r="A103" s="424"/>
      <c r="G103" s="710"/>
      <c r="J103" s="712"/>
      <c r="R103" s="710"/>
      <c r="W103"/>
      <c r="AC103" s="710"/>
      <c r="AF103" s="712"/>
      <c r="AN103" s="710"/>
      <c r="AY103" s="710"/>
      <c r="BD103"/>
      <c r="BE103"/>
      <c r="BF103"/>
      <c r="BG103"/>
      <c r="BH103"/>
      <c r="BI103"/>
      <c r="BJ103"/>
      <c r="BK103"/>
      <c r="BL103"/>
      <c r="BM103"/>
      <c r="BN103"/>
      <c r="BO103"/>
      <c r="BP103"/>
      <c r="BQ103"/>
      <c r="BR103"/>
      <c r="BS103"/>
      <c r="BT103"/>
      <c r="BU103"/>
      <c r="BV103"/>
      <c r="BW103"/>
      <c r="BX103"/>
      <c r="BY103"/>
      <c r="BZ103"/>
    </row>
    <row r="104" s="657" customFormat="1" spans="1:78">
      <c r="A104" s="424"/>
      <c r="G104" s="710"/>
      <c r="J104" s="712"/>
      <c r="R104" s="710"/>
      <c r="W104"/>
      <c r="AC104" s="710"/>
      <c r="AF104" s="712"/>
      <c r="AN104" s="710"/>
      <c r="AY104" s="710"/>
      <c r="BD104"/>
      <c r="BE104"/>
      <c r="BF104"/>
      <c r="BG104"/>
      <c r="BH104"/>
      <c r="BI104"/>
      <c r="BJ104"/>
      <c r="BK104"/>
      <c r="BL104"/>
      <c r="BM104"/>
      <c r="BN104"/>
      <c r="BO104"/>
      <c r="BP104"/>
      <c r="BQ104"/>
      <c r="BR104"/>
      <c r="BS104"/>
      <c r="BT104"/>
      <c r="BU104"/>
      <c r="BV104"/>
      <c r="BW104"/>
      <c r="BX104"/>
      <c r="BY104"/>
      <c r="BZ104"/>
    </row>
    <row r="105" s="657" customFormat="1" spans="1:78">
      <c r="A105" s="424"/>
      <c r="G105" s="710"/>
      <c r="J105" s="712"/>
      <c r="R105" s="710"/>
      <c r="W105"/>
      <c r="AC105" s="710"/>
      <c r="AF105" s="712"/>
      <c r="AN105" s="710"/>
      <c r="AY105" s="710"/>
      <c r="BD105"/>
      <c r="BE105"/>
      <c r="BF105"/>
      <c r="BG105"/>
      <c r="BH105"/>
      <c r="BI105"/>
      <c r="BJ105"/>
      <c r="BK105"/>
      <c r="BL105"/>
      <c r="BM105"/>
      <c r="BN105"/>
      <c r="BO105"/>
      <c r="BP105"/>
      <c r="BQ105"/>
      <c r="BR105"/>
      <c r="BS105"/>
      <c r="BT105"/>
      <c r="BU105"/>
      <c r="BV105"/>
      <c r="BW105"/>
      <c r="BX105"/>
      <c r="BY105"/>
      <c r="BZ105"/>
    </row>
    <row r="106" s="657" customFormat="1" spans="1:78">
      <c r="A106" s="424"/>
      <c r="G106" s="710"/>
      <c r="J106" s="712"/>
      <c r="R106" s="710"/>
      <c r="W106"/>
      <c r="AC106" s="710"/>
      <c r="AF106" s="712"/>
      <c r="AN106" s="710"/>
      <c r="AY106" s="710"/>
      <c r="BD106"/>
      <c r="BE106"/>
      <c r="BF106"/>
      <c r="BG106"/>
      <c r="BH106"/>
      <c r="BI106"/>
      <c r="BJ106"/>
      <c r="BK106"/>
      <c r="BL106"/>
      <c r="BM106"/>
      <c r="BN106"/>
      <c r="BO106"/>
      <c r="BP106"/>
      <c r="BQ106"/>
      <c r="BR106"/>
      <c r="BS106"/>
      <c r="BT106"/>
      <c r="BU106"/>
      <c r="BV106"/>
      <c r="BW106"/>
      <c r="BX106"/>
      <c r="BY106"/>
      <c r="BZ106"/>
    </row>
    <row r="107" s="657" customFormat="1" spans="1:78">
      <c r="A107" s="424"/>
      <c r="G107" s="710"/>
      <c r="J107" s="712"/>
      <c r="R107" s="710"/>
      <c r="W107"/>
      <c r="AC107" s="710"/>
      <c r="AF107" s="712"/>
      <c r="AN107" s="710"/>
      <c r="AY107" s="710"/>
      <c r="BD107"/>
      <c r="BE107"/>
      <c r="BF107"/>
      <c r="BG107"/>
      <c r="BH107"/>
      <c r="BI107"/>
      <c r="BJ107"/>
      <c r="BK107"/>
      <c r="BL107"/>
      <c r="BM107"/>
      <c r="BN107"/>
      <c r="BO107"/>
      <c r="BP107"/>
      <c r="BQ107"/>
      <c r="BR107"/>
      <c r="BS107"/>
      <c r="BT107"/>
      <c r="BU107"/>
      <c r="BV107"/>
      <c r="BW107"/>
      <c r="BX107"/>
      <c r="BY107"/>
      <c r="BZ107"/>
    </row>
    <row r="108" s="657" customFormat="1" spans="1:78">
      <c r="A108" s="424"/>
      <c r="G108" s="710"/>
      <c r="J108" s="712"/>
      <c r="R108" s="710"/>
      <c r="W108"/>
      <c r="AC108" s="710"/>
      <c r="AF108" s="712"/>
      <c r="AN108" s="710"/>
      <c r="AY108" s="710"/>
      <c r="BD108"/>
      <c r="BE108"/>
      <c r="BF108"/>
      <c r="BG108"/>
      <c r="BH108"/>
      <c r="BI108"/>
      <c r="BJ108"/>
      <c r="BK108"/>
      <c r="BL108"/>
      <c r="BM108"/>
      <c r="BN108"/>
      <c r="BO108"/>
      <c r="BP108"/>
      <c r="BQ108"/>
      <c r="BR108"/>
      <c r="BS108"/>
      <c r="BT108"/>
      <c r="BU108"/>
      <c r="BV108"/>
      <c r="BW108"/>
      <c r="BX108"/>
      <c r="BY108"/>
      <c r="BZ108"/>
    </row>
    <row r="109" s="657" customFormat="1" spans="1:78">
      <c r="A109" s="424"/>
      <c r="G109" s="710"/>
      <c r="J109" s="712"/>
      <c r="R109" s="710"/>
      <c r="W109"/>
      <c r="AC109" s="710"/>
      <c r="AF109" s="712"/>
      <c r="AN109" s="710"/>
      <c r="AY109" s="710"/>
      <c r="BD109"/>
      <c r="BE109"/>
      <c r="BF109"/>
      <c r="BG109"/>
      <c r="BH109"/>
      <c r="BI109"/>
      <c r="BJ109"/>
      <c r="BK109"/>
      <c r="BL109"/>
      <c r="BM109"/>
      <c r="BN109"/>
      <c r="BO109"/>
      <c r="BP109"/>
      <c r="BQ109"/>
      <c r="BR109"/>
      <c r="BS109"/>
      <c r="BT109"/>
      <c r="BU109"/>
      <c r="BV109"/>
      <c r="BW109"/>
      <c r="BX109"/>
      <c r="BY109"/>
      <c r="BZ109"/>
    </row>
    <row r="110" s="657" customFormat="1" spans="1:78">
      <c r="A110" s="424"/>
      <c r="G110" s="710"/>
      <c r="J110" s="712"/>
      <c r="R110" s="710"/>
      <c r="W110"/>
      <c r="AC110" s="710"/>
      <c r="AF110" s="712"/>
      <c r="AN110" s="710"/>
      <c r="AY110" s="710"/>
      <c r="BD110"/>
      <c r="BE110"/>
      <c r="BF110"/>
      <c r="BG110"/>
      <c r="BH110"/>
      <c r="BI110"/>
      <c r="BJ110"/>
      <c r="BK110"/>
      <c r="BL110"/>
      <c r="BM110"/>
      <c r="BN110"/>
      <c r="BO110"/>
      <c r="BP110"/>
      <c r="BQ110"/>
      <c r="BR110"/>
      <c r="BS110"/>
      <c r="BT110"/>
      <c r="BU110"/>
      <c r="BV110"/>
      <c r="BW110"/>
      <c r="BX110"/>
      <c r="BY110"/>
      <c r="BZ110"/>
    </row>
    <row r="111" s="657" customFormat="1" spans="1:78">
      <c r="A111" s="424"/>
      <c r="G111" s="710"/>
      <c r="J111" s="712"/>
      <c r="R111" s="710"/>
      <c r="W111"/>
      <c r="AC111" s="710"/>
      <c r="AF111" s="712"/>
      <c r="AN111" s="710"/>
      <c r="AY111" s="710"/>
      <c r="BD111"/>
      <c r="BE111"/>
      <c r="BF111"/>
      <c r="BG111"/>
      <c r="BH111"/>
      <c r="BI111"/>
      <c r="BJ111"/>
      <c r="BK111"/>
      <c r="BL111"/>
      <c r="BM111"/>
      <c r="BN111"/>
      <c r="BO111"/>
      <c r="BP111"/>
      <c r="BQ111"/>
      <c r="BR111"/>
      <c r="BS111"/>
      <c r="BT111"/>
      <c r="BU111"/>
      <c r="BV111"/>
      <c r="BW111"/>
      <c r="BX111"/>
      <c r="BY111"/>
      <c r="BZ111"/>
    </row>
    <row r="112" s="657" customFormat="1" spans="1:78">
      <c r="A112" s="424"/>
      <c r="G112" s="710"/>
      <c r="J112" s="712"/>
      <c r="R112" s="710"/>
      <c r="W112"/>
      <c r="AC112" s="710"/>
      <c r="AF112" s="712"/>
      <c r="AN112" s="710"/>
      <c r="AY112" s="710"/>
      <c r="BD112"/>
      <c r="BE112"/>
      <c r="BF112"/>
      <c r="BG112"/>
      <c r="BH112"/>
      <c r="BI112"/>
      <c r="BJ112"/>
      <c r="BK112"/>
      <c r="BL112"/>
      <c r="BM112"/>
      <c r="BN112"/>
      <c r="BO112"/>
      <c r="BP112"/>
      <c r="BQ112"/>
      <c r="BR112"/>
      <c r="BS112"/>
      <c r="BT112"/>
      <c r="BU112"/>
      <c r="BV112"/>
      <c r="BW112"/>
      <c r="BX112"/>
      <c r="BY112"/>
      <c r="BZ112"/>
    </row>
    <row r="113" s="657" customFormat="1" spans="1:78">
      <c r="A113" s="424"/>
      <c r="G113" s="710"/>
      <c r="J113" s="712"/>
      <c r="R113" s="710"/>
      <c r="W113"/>
      <c r="AC113" s="710"/>
      <c r="AF113" s="712"/>
      <c r="AN113" s="710"/>
      <c r="AY113" s="710"/>
      <c r="BD113"/>
      <c r="BE113"/>
      <c r="BF113"/>
      <c r="BG113"/>
      <c r="BH113"/>
      <c r="BI113"/>
      <c r="BJ113"/>
      <c r="BK113"/>
      <c r="BL113"/>
      <c r="BM113"/>
      <c r="BN113"/>
      <c r="BO113"/>
      <c r="BP113"/>
      <c r="BQ113"/>
      <c r="BR113"/>
      <c r="BS113"/>
      <c r="BT113"/>
      <c r="BU113"/>
      <c r="BV113"/>
      <c r="BW113"/>
      <c r="BX113"/>
      <c r="BY113"/>
      <c r="BZ113"/>
    </row>
    <row r="114" s="657" customFormat="1" spans="1:78">
      <c r="A114" s="424"/>
      <c r="G114" s="710"/>
      <c r="J114" s="712"/>
      <c r="R114" s="710"/>
      <c r="W114"/>
      <c r="AC114" s="710"/>
      <c r="AF114" s="712"/>
      <c r="AN114" s="710"/>
      <c r="AY114" s="710"/>
      <c r="BD114"/>
      <c r="BE114"/>
      <c r="BF114"/>
      <c r="BG114"/>
      <c r="BH114"/>
      <c r="BI114"/>
      <c r="BJ114"/>
      <c r="BK114"/>
      <c r="BL114"/>
      <c r="BM114"/>
      <c r="BN114"/>
      <c r="BO114"/>
      <c r="BP114"/>
      <c r="BQ114"/>
      <c r="BR114"/>
      <c r="BS114"/>
      <c r="BT114"/>
      <c r="BU114"/>
      <c r="BV114"/>
      <c r="BW114"/>
      <c r="BX114"/>
      <c r="BY114"/>
      <c r="BZ114"/>
    </row>
    <row r="115" s="657" customFormat="1" spans="1:78">
      <c r="A115" s="424"/>
      <c r="G115" s="710"/>
      <c r="J115" s="712"/>
      <c r="R115" s="710"/>
      <c r="W115"/>
      <c r="AC115" s="710"/>
      <c r="AF115" s="712"/>
      <c r="AN115" s="710"/>
      <c r="AY115" s="710"/>
      <c r="BD115"/>
      <c r="BE115"/>
      <c r="BF115"/>
      <c r="BG115"/>
      <c r="BH115"/>
      <c r="BI115"/>
      <c r="BJ115"/>
      <c r="BK115"/>
      <c r="BL115"/>
      <c r="BM115"/>
      <c r="BN115"/>
      <c r="BO115"/>
      <c r="BP115"/>
      <c r="BQ115"/>
      <c r="BR115"/>
      <c r="BS115"/>
      <c r="BT115"/>
      <c r="BU115"/>
      <c r="BV115"/>
      <c r="BW115"/>
      <c r="BX115"/>
      <c r="BY115"/>
      <c r="BZ115"/>
    </row>
    <row r="116" s="657" customFormat="1" spans="1:78">
      <c r="A116" s="424"/>
      <c r="G116" s="710"/>
      <c r="J116" s="712"/>
      <c r="R116" s="710"/>
      <c r="W116"/>
      <c r="AC116" s="710"/>
      <c r="AF116" s="712"/>
      <c r="AN116" s="710"/>
      <c r="AY116" s="710"/>
      <c r="BD116"/>
      <c r="BE116"/>
      <c r="BF116"/>
      <c r="BG116"/>
      <c r="BH116"/>
      <c r="BI116"/>
      <c r="BJ116"/>
      <c r="BK116"/>
      <c r="BL116"/>
      <c r="BM116"/>
      <c r="BN116"/>
      <c r="BO116"/>
      <c r="BP116"/>
      <c r="BQ116"/>
      <c r="BR116"/>
      <c r="BS116"/>
      <c r="BT116"/>
      <c r="BU116"/>
      <c r="BV116"/>
      <c r="BW116"/>
      <c r="BX116"/>
      <c r="BY116"/>
      <c r="BZ116"/>
    </row>
  </sheetData>
  <sheetProtection password="A0BB" sheet="1" objects="1" scenarios="1"/>
  <mergeCells count="17">
    <mergeCell ref="E3:S3"/>
    <mergeCell ref="E4:S4"/>
    <mergeCell ref="D7:G7"/>
    <mergeCell ref="O7:R7"/>
    <mergeCell ref="Z7:AC7"/>
    <mergeCell ref="AK7:AN7"/>
    <mergeCell ref="AV7:AY7"/>
    <mergeCell ref="E8:F8"/>
    <mergeCell ref="P8:Q8"/>
    <mergeCell ref="AA8:AB8"/>
    <mergeCell ref="AL8:AM8"/>
    <mergeCell ref="AW8:AX8"/>
    <mergeCell ref="H7:K8"/>
    <mergeCell ref="AZ7:BC8"/>
    <mergeCell ref="S7:V8"/>
    <mergeCell ref="AD7:AG8"/>
    <mergeCell ref="AO7:AR8"/>
  </mergeCells>
  <conditionalFormatting sqref="H10:H72">
    <cfRule type="cellIs" dxfId="0" priority="44" operator="lessThan">
      <formula>0</formula>
    </cfRule>
  </conditionalFormatting>
  <conditionalFormatting sqref="I10:I72">
    <cfRule type="expression" dxfId="1" priority="35">
      <formula>H10&gt;0</formula>
    </cfRule>
    <cfRule type="expression" dxfId="2" priority="43">
      <formula>H10&lt;0</formula>
    </cfRule>
  </conditionalFormatting>
  <conditionalFormatting sqref="K10:K72">
    <cfRule type="expression" dxfId="1" priority="3">
      <formula>J10&gt;0</formula>
    </cfRule>
    <cfRule type="expression" dxfId="2" priority="33">
      <formula>J10&lt;0</formula>
    </cfRule>
  </conditionalFormatting>
  <conditionalFormatting sqref="T10:T72">
    <cfRule type="expression" dxfId="1" priority="31">
      <formula>S10&gt;0</formula>
    </cfRule>
    <cfRule type="expression" dxfId="2" priority="32">
      <formula>S10&lt;0</formula>
    </cfRule>
  </conditionalFormatting>
  <conditionalFormatting sqref="V10:V72">
    <cfRule type="expression" dxfId="1" priority="29">
      <formula>U10&gt;0</formula>
    </cfRule>
    <cfRule type="expression" dxfId="2" priority="30">
      <formula>U10&lt;0</formula>
    </cfRule>
  </conditionalFormatting>
  <conditionalFormatting sqref="AE10:AE72">
    <cfRule type="expression" dxfId="1" priority="26">
      <formula>AD10&gt;0</formula>
    </cfRule>
    <cfRule type="expression" dxfId="2" priority="27">
      <formula>AD10&lt;0</formula>
    </cfRule>
  </conditionalFormatting>
  <conditionalFormatting sqref="AG10:AG72">
    <cfRule type="expression" dxfId="1" priority="24">
      <formula>AF10&gt;0</formula>
    </cfRule>
    <cfRule type="expression" dxfId="2" priority="25">
      <formula>AF10&lt;0</formula>
    </cfRule>
  </conditionalFormatting>
  <conditionalFormatting sqref="AP10:AP72">
    <cfRule type="expression" dxfId="1" priority="20">
      <formula>AO10&gt;0</formula>
    </cfRule>
    <cfRule type="expression" dxfId="2" priority="21">
      <formula>AO10&lt;0</formula>
    </cfRule>
  </conditionalFormatting>
  <conditionalFormatting sqref="AR10:AR72">
    <cfRule type="expression" dxfId="1" priority="18">
      <formula>AQ10&gt;0</formula>
    </cfRule>
    <cfRule type="expression" dxfId="2" priority="19">
      <formula>AQ10&lt;0</formula>
    </cfRule>
  </conditionalFormatting>
  <conditionalFormatting sqref="AV10:AV72">
    <cfRule type="expression" dxfId="3" priority="11">
      <formula>AU10=4</formula>
    </cfRule>
    <cfRule type="expression" dxfId="4" priority="12">
      <formula>AU10=3</formula>
    </cfRule>
    <cfRule type="expression" dxfId="5" priority="13">
      <formula>AU10=2</formula>
    </cfRule>
    <cfRule type="expression" dxfId="6" priority="14">
      <formula>AU10=1</formula>
    </cfRule>
  </conditionalFormatting>
  <conditionalFormatting sqref="BA10:BA72">
    <cfRule type="expression" dxfId="1" priority="8">
      <formula>AZ10&gt;0</formula>
    </cfRule>
    <cfRule type="expression" dxfId="2" priority="9">
      <formula>AZ10&lt;0</formula>
    </cfRule>
  </conditionalFormatting>
  <conditionalFormatting sqref="BC10:BC72">
    <cfRule type="expression" dxfId="1" priority="6">
      <formula>BB10&gt;0</formula>
    </cfRule>
    <cfRule type="expression" dxfId="2" priority="7">
      <formula>BB10&lt;0</formula>
    </cfRule>
  </conditionalFormatting>
  <conditionalFormatting sqref="D10:D72 O10:O72 Z10:Z72 AK10:AK72">
    <cfRule type="expression" dxfId="3" priority="36">
      <formula>C10=4</formula>
    </cfRule>
    <cfRule type="expression" dxfId="4" priority="37">
      <formula>C10=3</formula>
    </cfRule>
    <cfRule type="expression" dxfId="5" priority="38">
      <formula>C10=2</formula>
    </cfRule>
    <cfRule type="expression" dxfId="6" priority="39">
      <formula>C10=1</formula>
    </cfRule>
  </conditionalFormatting>
  <conditionalFormatting sqref="E10:K72">
    <cfRule type="expression" dxfId="7" priority="2">
      <formula>$B10=3</formula>
    </cfRule>
    <cfRule type="expression" dxfId="8" priority="34">
      <formula>$B10=0</formula>
    </cfRule>
    <cfRule type="expression" dxfId="9" priority="45" stopIfTrue="1">
      <formula>AND($B10&lt;&gt;2,uxb_works!$B$8&gt;1)</formula>
    </cfRule>
  </conditionalFormatting>
  <conditionalFormatting sqref="P10:V72">
    <cfRule type="expression" dxfId="7" priority="1">
      <formula>$M10=3</formula>
    </cfRule>
    <cfRule type="expression" dxfId="8" priority="41">
      <formula>$M10=0</formula>
    </cfRule>
    <cfRule type="expression" dxfId="10" priority="42">
      <formula>AND($M10&lt;&gt;2,uxb_works!$B$8&gt;1)</formula>
    </cfRule>
  </conditionalFormatting>
  <conditionalFormatting sqref="AD10:AD72 AO10:AO72 AZ10:AZ72 S10:S72">
    <cfRule type="cellIs" dxfId="0" priority="10" operator="lessThan">
      <formula>0</formula>
    </cfRule>
  </conditionalFormatting>
  <conditionalFormatting sqref="AA10:AG72">
    <cfRule type="expression" dxfId="7" priority="22">
      <formula>$X10=3</formula>
    </cfRule>
    <cfRule type="expression" dxfId="8" priority="23">
      <formula>$X10=0</formula>
    </cfRule>
    <cfRule type="expression" dxfId="11" priority="28">
      <formula>AND($X10&lt;&gt;2,uxb_works!$B$8&gt;1)</formula>
    </cfRule>
  </conditionalFormatting>
  <conditionalFormatting sqref="AL10:AR72">
    <cfRule type="expression" dxfId="7" priority="15">
      <formula>$AI10=3</formula>
    </cfRule>
    <cfRule type="expression" dxfId="8" priority="16">
      <formula>$AI10=0</formula>
    </cfRule>
    <cfRule type="expression" dxfId="11" priority="17">
      <formula>AND($AI10&lt;&gt;2,uxb_works!$B$8&gt;1)</formula>
    </cfRule>
  </conditionalFormatting>
  <conditionalFormatting sqref="AW10:BC72">
    <cfRule type="expression" dxfId="7" priority="4">
      <formula>$AT10=3</formula>
    </cfRule>
    <cfRule type="expression" dxfId="8" priority="5">
      <formula>$AT10=0</formula>
    </cfRule>
    <cfRule type="expression" dxfId="11" priority="40">
      <formula>AND($AT10&lt;&gt;2,uxb_works!$B$8&gt;1)</formula>
    </cfRule>
  </conditionalFormatting>
  <pageMargins left="0.551181102362205" right="0.551181102362205" top="0.590551181102362" bottom="0.78740157480315" header="0.511811023622047" footer="0.511811023622047"/>
  <pageSetup paperSize="9" scale="42" orientation="landscape" horizontalDpi="1200" verticalDpi="1200"/>
  <headerFooter alignWithMargins="0">
    <oddHeader>&amp;RSafe Cities Index : 2017</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3254662" name="Button 6" r:id="rId3">
              <controlPr print="0" defaultSize="0">
                <anchor>
                  <from>
                    <xdr:col>49</xdr:col>
                    <xdr:colOff>314325</xdr:colOff>
                    <xdr:row>2</xdr:row>
                    <xdr:rowOff>584200</xdr:rowOff>
                  </from>
                  <to>
                    <xdr:col>49</xdr:col>
                    <xdr:colOff>1014730</xdr:colOff>
                    <xdr:row>2</xdr:row>
                    <xdr:rowOff>836930</xdr:rowOff>
                  </to>
                </anchor>
              </controlPr>
            </control>
          </mc:Choice>
        </mc:AlternateContent>
        <mc:AlternateContent xmlns:mc="http://schemas.openxmlformats.org/markup-compatibility/2006">
          <mc:Choice Requires="x14">
            <control shapeId="13254663" name="Drop Down 7" r:id="rId4">
              <controlPr print="0" defaultSize="0">
                <anchor>
                  <from>
                    <xdr:col>5</xdr:col>
                    <xdr:colOff>1121410</xdr:colOff>
                    <xdr:row>2</xdr:row>
                    <xdr:rowOff>622935</xdr:rowOff>
                  </from>
                  <to>
                    <xdr:col>11</xdr:col>
                    <xdr:colOff>241935</xdr:colOff>
                    <xdr:row>2</xdr:row>
                    <xdr:rowOff>836930</xdr:rowOff>
                  </to>
                </anchor>
              </controlPr>
            </control>
          </mc:Choice>
        </mc:AlternateContent>
        <mc:AlternateContent xmlns:mc="http://schemas.openxmlformats.org/markup-compatibility/2006">
          <mc:Choice Requires="x14">
            <control shapeId="13254664" name="Drop Down 8" r:id="rId5">
              <controlPr print="0" defaultSize="0">
                <anchor>
                  <from>
                    <xdr:col>14</xdr:col>
                    <xdr:colOff>47625</xdr:colOff>
                    <xdr:row>2</xdr:row>
                    <xdr:rowOff>622935</xdr:rowOff>
                  </from>
                  <to>
                    <xdr:col>16</xdr:col>
                    <xdr:colOff>1224915</xdr:colOff>
                    <xdr:row>2</xdr:row>
                    <xdr:rowOff>836930</xdr:rowOff>
                  </to>
                </anchor>
              </controlPr>
            </control>
          </mc:Choice>
        </mc:AlternateContent>
        <mc:AlternateContent xmlns:mc="http://schemas.openxmlformats.org/markup-compatibility/2006">
          <mc:Choice Requires="x14">
            <control shapeId="13254666" name="Drop Down 10" r:id="rId6">
              <controlPr print="0" defaultSize="0">
                <anchor>
                  <from>
                    <xdr:col>16</xdr:col>
                    <xdr:colOff>1384300</xdr:colOff>
                    <xdr:row>2</xdr:row>
                    <xdr:rowOff>622935</xdr:rowOff>
                  </from>
                  <to>
                    <xdr:col>27</xdr:col>
                    <xdr:colOff>4445</xdr:colOff>
                    <xdr:row>2</xdr:row>
                    <xdr:rowOff>836930</xdr:rowOff>
                  </to>
                </anchor>
              </controlPr>
            </control>
          </mc:Choice>
        </mc:AlternateContent>
        <mc:AlternateContent xmlns:mc="http://schemas.openxmlformats.org/markup-compatibility/2006">
          <mc:Choice Requires="x14">
            <control shapeId="13254667" name="Drop Down 11" r:id="rId7">
              <controlPr print="0" defaultSize="0">
                <anchor>
                  <from>
                    <xdr:col>27</xdr:col>
                    <xdr:colOff>196850</xdr:colOff>
                    <xdr:row>2</xdr:row>
                    <xdr:rowOff>622935</xdr:rowOff>
                  </from>
                  <to>
                    <xdr:col>28</xdr:col>
                    <xdr:colOff>379095</xdr:colOff>
                    <xdr:row>2</xdr:row>
                    <xdr:rowOff>836930</xdr:rowOff>
                  </to>
                </anchor>
              </controlPr>
            </control>
          </mc:Choice>
        </mc:AlternateContent>
        <mc:AlternateContent xmlns:mc="http://schemas.openxmlformats.org/markup-compatibility/2006">
          <mc:Choice Requires="x14">
            <control shapeId="13254668" name="Drop Down 12" r:id="rId8">
              <controlPr print="0" defaultSize="0">
                <anchor>
                  <from>
                    <xdr:col>3</xdr:col>
                    <xdr:colOff>18415</xdr:colOff>
                    <xdr:row>2</xdr:row>
                    <xdr:rowOff>622300</xdr:rowOff>
                  </from>
                  <to>
                    <xdr:col>5</xdr:col>
                    <xdr:colOff>921385</xdr:colOff>
                    <xdr:row>2</xdr:row>
                    <xdr:rowOff>844550</xdr:rowOff>
                  </to>
                </anchor>
              </controlPr>
            </control>
          </mc:Choice>
        </mc:AlternateContent>
        <mc:AlternateContent xmlns:mc="http://schemas.openxmlformats.org/markup-compatibility/2006">
          <mc:Choice Requires="x14">
            <control shapeId="13254669" name="Check Box 13" r:id="rId9">
              <controlPr print="0" defaultSize="0">
                <anchor>
                  <from>
                    <xdr:col>0</xdr:col>
                    <xdr:colOff>70485</xdr:colOff>
                    <xdr:row>2</xdr:row>
                    <xdr:rowOff>120015</xdr:rowOff>
                  </from>
                  <to>
                    <xdr:col>5</xdr:col>
                    <xdr:colOff>88265</xdr:colOff>
                    <xdr:row>2</xdr:row>
                    <xdr:rowOff>344170</xdr:rowOff>
                  </to>
                </anchor>
              </controlPr>
            </control>
          </mc:Choice>
        </mc:AlternateContent>
        <mc:AlternateContent xmlns:mc="http://schemas.openxmlformats.org/markup-compatibility/2006">
          <mc:Choice Requires="x14">
            <control shapeId="13254672" name="Drop Down 16" r:id="rId10">
              <controlPr print="0" defaultSize="0">
                <anchor>
                  <from>
                    <xdr:col>28</xdr:col>
                    <xdr:colOff>589915</xdr:colOff>
                    <xdr:row>2</xdr:row>
                    <xdr:rowOff>622300</xdr:rowOff>
                  </from>
                  <to>
                    <xdr:col>38</xdr:col>
                    <xdr:colOff>615315</xdr:colOff>
                    <xdr:row>2</xdr:row>
                    <xdr:rowOff>836295</xdr:rowOff>
                  </to>
                </anchor>
              </controlPr>
            </control>
          </mc:Choice>
        </mc:AlternateContent>
        <mc:AlternateContent xmlns:mc="http://schemas.openxmlformats.org/markup-compatibility/2006">
          <mc:Choice Requires="x14">
            <control shapeId="13254671" name="Drop Down 15" r:id="rId11">
              <controlPr print="0" defaultSize="0">
                <anchor>
                  <from>
                    <xdr:col>3</xdr:col>
                    <xdr:colOff>10160</xdr:colOff>
                    <xdr:row>4</xdr:row>
                    <xdr:rowOff>42545</xdr:rowOff>
                  </from>
                  <to>
                    <xdr:col>5</xdr:col>
                    <xdr:colOff>963295</xdr:colOff>
                    <xdr:row>5</xdr:row>
                    <xdr:rowOff>165735</xdr:rowOff>
                  </to>
                </anchor>
              </controlPr>
            </control>
          </mc:Choice>
        </mc:AlternateContent>
        <mc:AlternateContent xmlns:mc="http://schemas.openxmlformats.org/markup-compatibility/2006">
          <mc:Choice Requires="x14">
            <control shapeId="13254665" name="Drop Down 9" r:id="rId12">
              <controlPr print="0" defaultSize="0">
                <anchor>
                  <from>
                    <xdr:col>38</xdr:col>
                    <xdr:colOff>1036955</xdr:colOff>
                    <xdr:row>2</xdr:row>
                    <xdr:rowOff>618490</xdr:rowOff>
                  </from>
                  <to>
                    <xdr:col>48</xdr:col>
                    <xdr:colOff>170815</xdr:colOff>
                    <xdr:row>2</xdr:row>
                    <xdr:rowOff>828675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FFC000"/>
    <pageSetUpPr fitToPage="1"/>
  </sheetPr>
  <dimension ref="A1:BF71"/>
  <sheetViews>
    <sheetView showRowColHeaders="0" zoomScale="90" zoomScaleNormal="90" workbookViewId="0">
      <pane xSplit="9" ySplit="6" topLeftCell="J7" activePane="bottomRight" state="frozen"/>
      <selection/>
      <selection pane="topRight"/>
      <selection pane="bottomLeft"/>
      <selection pane="bottomRight" activeCell="A1" sqref="A1"/>
    </sheetView>
  </sheetViews>
  <sheetFormatPr defaultColWidth="9.14285714285714" defaultRowHeight="15"/>
  <cols>
    <col min="1" max="1" width="9.57142857142857" style="1" customWidth="1"/>
    <col min="2" max="2" width="65.2857142857143" style="1" customWidth="1"/>
    <col min="3" max="3" width="29" style="1" customWidth="1"/>
    <col min="4" max="5" width="9.57142857142857" style="1" customWidth="1"/>
    <col min="6" max="6" width="9.85714285714286" style="1" customWidth="1"/>
    <col min="7" max="7" width="18.2857142857143" style="1" customWidth="1"/>
    <col min="8" max="8" width="10" style="1" customWidth="1"/>
    <col min="9" max="17" width="9.14285714285714" style="1"/>
    <col min="18" max="19" width="6.85714285714286" style="1" customWidth="1"/>
    <col min="20" max="20" width="4" style="1" customWidth="1"/>
    <col min="21" max="21" width="6.85714285714286" style="1" customWidth="1"/>
    <col min="22" max="23" width="4" style="1" customWidth="1"/>
    <col min="24" max="24" width="8.28571428571429" style="1" customWidth="1"/>
    <col min="25" max="25" width="27.7142857142857" style="1" customWidth="1"/>
    <col min="26" max="26" width="10.8571428571429" style="1" customWidth="1"/>
    <col min="27" max="27" width="9.85714285714286" style="1" customWidth="1"/>
    <col min="28" max="28" width="8.28571428571429" style="1" customWidth="1"/>
    <col min="29" max="33" width="9.71428571428571" style="1" customWidth="1"/>
    <col min="34" max="34" width="5.14285714285714" style="1" customWidth="1"/>
    <col min="35" max="37" width="10.8571428571429" style="1" customWidth="1"/>
    <col min="38" max="38" width="4" style="1" customWidth="1"/>
    <col min="39" max="39" width="48.2857142857143" style="1" customWidth="1"/>
    <col min="40" max="44" width="4" style="1" customWidth="1"/>
    <col min="45" max="45" width="9.14285714285714" style="1"/>
    <col min="46" max="48" width="12.5714285714286" customWidth="1"/>
    <col min="49" max="49" width="4.57142857142857" customWidth="1"/>
    <col min="50" max="93" width="12.5714285714286" customWidth="1"/>
    <col min="94" max="16384" width="9.14285714285714" style="1"/>
  </cols>
  <sheetData>
    <row r="1" spans="1:5">
      <c r="A1" s="1" t="s">
        <v>402</v>
      </c>
      <c r="B1" s="1">
        <f>SUM(I2:I5)</f>
        <v>2</v>
      </c>
      <c r="D1" s="1" t="s">
        <v>24</v>
      </c>
      <c r="E1" s="1" t="s">
        <v>14</v>
      </c>
    </row>
    <row r="2" spans="1:9">
      <c r="A2" s="1" t="str">
        <f>uxb_works!A24</f>
        <v>CITY1_ID</v>
      </c>
      <c r="B2" s="1">
        <f>uxb_works!B24</f>
        <v>1</v>
      </c>
      <c r="C2" s="1" t="str">
        <f ca="1">CONCATENATE("Description: ",uxb_works!C24)</f>
        <v>Description: Abu Dhabi</v>
      </c>
      <c r="D2" s="1">
        <f ca="1">E8</f>
        <v>76.9075622869516</v>
      </c>
      <c r="E2" s="1">
        <f ca="1">INDEX(INDIRECT($G$6),1,B2)</f>
        <v>28</v>
      </c>
      <c r="F2" s="1" t="str">
        <f ca="1">IF(E2&lt;E3,"*","")</f>
        <v/>
      </c>
      <c r="G2" s="1" t="str">
        <f ca="1">uxb_works!C24</f>
        <v>Abu Dhabi</v>
      </c>
      <c r="I2" s="1">
        <v>1</v>
      </c>
    </row>
    <row r="3" spans="1:9">
      <c r="A3" s="1" t="str">
        <f>uxb_works!A25</f>
        <v>CITY2_ID</v>
      </c>
      <c r="B3" s="1">
        <f>uxb_works!B25</f>
        <v>1</v>
      </c>
      <c r="C3" s="1" t="str">
        <f ca="1">CONCATENATE("Description: ",uxb_works!C25)</f>
        <v>Description: Abu Dhabi</v>
      </c>
      <c r="D3" s="1">
        <f ca="1">G8</f>
        <v>76.9075622869516</v>
      </c>
      <c r="E3" s="1">
        <f ca="1">INDEX(INDIRECT($G$6),1,B3)</f>
        <v>28</v>
      </c>
      <c r="F3" s="1" t="str">
        <f ca="1">IF(E3&lt;E2,"*","")</f>
        <v/>
      </c>
      <c r="G3" s="1" t="str">
        <f ca="1">uxb_works!C25</f>
        <v>Abu Dhabi</v>
      </c>
      <c r="I3" s="1">
        <v>1</v>
      </c>
    </row>
    <row r="4" spans="1:9">
      <c r="A4" s="1" t="str">
        <f>uxb_works!A26</f>
        <v>CITY3_ID</v>
      </c>
      <c r="B4" s="1">
        <f>uxb_works!B26-1</f>
        <v>0</v>
      </c>
      <c r="C4" s="1" t="str">
        <f ca="1">CONCATENATE("Description: ",uxb_works!C26)</f>
        <v>Description: &lt;none&gt;</v>
      </c>
      <c r="D4" s="1" t="e">
        <f ca="1">I8</f>
        <v>#VALUE!</v>
      </c>
      <c r="E4" s="1">
        <f ca="1">INDEX(INDIRECT($G$6),1,B4)</f>
        <v>49</v>
      </c>
      <c r="F4" s="1" t="str">
        <f ca="1">IF(E4&lt;E3,"*","")</f>
        <v/>
      </c>
      <c r="G4" s="1" t="str">
        <f ca="1">uxb_works!C26</f>
        <v>&lt;none&gt;</v>
      </c>
      <c r="I4" s="1">
        <f>IF(B4=0,0,1)</f>
        <v>0</v>
      </c>
    </row>
    <row r="5" spans="1:9">
      <c r="A5" s="1" t="str">
        <f>uxb_works!A27</f>
        <v>CITY2_ID</v>
      </c>
      <c r="B5" s="1">
        <f>uxb_works!B27-1</f>
        <v>0</v>
      </c>
      <c r="C5" s="1" t="str">
        <f ca="1">CONCATENATE("Description: ",uxb_works!C27)</f>
        <v>Description: &lt;none&gt;</v>
      </c>
      <c r="D5" s="1" t="e">
        <f ca="1">K8</f>
        <v>#VALUE!</v>
      </c>
      <c r="E5" s="1">
        <f ca="1">INDEX(INDIRECT($G$6),1,B5)</f>
        <v>49</v>
      </c>
      <c r="F5" s="1" t="str">
        <f ca="1">IF(E5&lt;E4,"*","")</f>
        <v/>
      </c>
      <c r="G5" s="1" t="str">
        <f ca="1">uxb_works!C27</f>
        <v>&lt;none&gt;</v>
      </c>
      <c r="I5" s="1">
        <f>IF(B5=0,0,1)</f>
        <v>0</v>
      </c>
    </row>
    <row r="6" spans="1:8">
      <c r="A6" s="1" t="str">
        <f>uxb_works!A46</f>
        <v>YEAR_SELECT</v>
      </c>
      <c r="B6" s="1">
        <f>uxb_works!B46</f>
        <v>3</v>
      </c>
      <c r="C6" s="1">
        <f>uxb_works!C46</f>
        <v>2017</v>
      </c>
      <c r="D6" s="1" t="str">
        <f>uxb_works!D46</f>
        <v>aData_2017</v>
      </c>
      <c r="E6" s="1" t="str">
        <f>uxb_works!E46</f>
        <v>aScores_2017</v>
      </c>
      <c r="F6" s="1" t="str">
        <f>uxb_works!F46</f>
        <v>lu_Cities_2017</v>
      </c>
      <c r="G6" s="1" t="str">
        <f>uxb_works!G46</f>
        <v>aRankNumber_2017</v>
      </c>
      <c r="H6" s="1" t="str">
        <f>uxb_works!H46</f>
        <v>aRank_2017</v>
      </c>
    </row>
    <row r="7" spans="5:25">
      <c r="E7" s="1" t="s">
        <v>24</v>
      </c>
      <c r="F7" s="1" t="s">
        <v>403</v>
      </c>
      <c r="G7" s="1" t="s">
        <v>24</v>
      </c>
      <c r="H7" s="1" t="s">
        <v>14</v>
      </c>
      <c r="I7" s="1" t="s">
        <v>24</v>
      </c>
      <c r="J7" s="1" t="s">
        <v>14</v>
      </c>
      <c r="K7" s="1" t="s">
        <v>24</v>
      </c>
      <c r="L7" s="1" t="s">
        <v>14</v>
      </c>
      <c r="Y7" s="1" t="s">
        <v>404</v>
      </c>
    </row>
    <row r="8" spans="5:28">
      <c r="E8" s="1">
        <f ca="1">INDEX(INDIRECT($E$6),1,$B$2)</f>
        <v>76.9075622869516</v>
      </c>
      <c r="F8" s="1" t="str">
        <f ca="1">INDEX(INDIRECT($H$6),1,$B$2)</f>
        <v>28</v>
      </c>
      <c r="G8" s="1">
        <f ca="1">INDEX(INDIRECT($E$6),1,$B$3)</f>
        <v>76.9075622869516</v>
      </c>
      <c r="H8" s="1" t="str">
        <f ca="1">INDEX(INDIRECT($H$6),1,$B$3)</f>
        <v>28</v>
      </c>
      <c r="I8" s="1" t="e">
        <f ca="1">INDEX(INDIRECT($E$6),1,$B$4)</f>
        <v>#VALUE!</v>
      </c>
      <c r="J8" s="1" t="str">
        <f ca="1">INDEX(INDIRECT($H$6),1,$B$4)</f>
        <v>29</v>
      </c>
      <c r="K8" s="1" t="e">
        <f ca="1">INDEX(INDIRECT($E$6),1,$B$5)</f>
        <v>#VALUE!</v>
      </c>
      <c r="L8" s="1" t="str">
        <f ca="1">INDEX(INDIRECT($H$6),1,$B$5)</f>
        <v>54</v>
      </c>
      <c r="R8" s="281">
        <v>1</v>
      </c>
      <c r="AB8" s="281"/>
    </row>
    <row r="9" spans="5:50">
      <c r="E9" s="1" t="s">
        <v>405</v>
      </c>
      <c r="G9" s="1" t="s">
        <v>406</v>
      </c>
      <c r="I9" s="1" t="s">
        <v>407</v>
      </c>
      <c r="K9" s="1" t="s">
        <v>408</v>
      </c>
      <c r="Q9" s="1">
        <v>12</v>
      </c>
      <c r="R9" s="1">
        <f>INDEX(tblIndiSets!$B$5:$B$10,R8)</f>
        <v>1</v>
      </c>
      <c r="Y9" s="1">
        <v>1</v>
      </c>
      <c r="Z9" s="1">
        <v>1</v>
      </c>
      <c r="AA9" s="1">
        <v>2</v>
      </c>
      <c r="AB9" s="1">
        <v>3</v>
      </c>
      <c r="AC9" s="1">
        <v>4</v>
      </c>
      <c r="AD9" s="1">
        <v>5</v>
      </c>
      <c r="AE9" s="1">
        <v>6</v>
      </c>
      <c r="AF9" s="1">
        <v>7</v>
      </c>
      <c r="AG9" s="1">
        <v>8</v>
      </c>
      <c r="AH9" s="1" t="s">
        <v>409</v>
      </c>
      <c r="AI9" s="1" t="s">
        <v>410</v>
      </c>
      <c r="AJ9" s="1" t="s">
        <v>411</v>
      </c>
      <c r="AK9" s="1" t="s">
        <v>412</v>
      </c>
      <c r="AR9" s="1">
        <v>1</v>
      </c>
      <c r="AU9" t="s">
        <v>76</v>
      </c>
      <c r="AV9" t="s">
        <v>413</v>
      </c>
      <c r="AX9" t="s">
        <v>414</v>
      </c>
    </row>
    <row r="10" spans="3:46">
      <c r="C10" s="1" t="s">
        <v>322</v>
      </c>
      <c r="E10" s="1" t="s">
        <v>24</v>
      </c>
      <c r="F10" s="1" t="s">
        <v>25</v>
      </c>
      <c r="G10" s="1" t="s">
        <v>24</v>
      </c>
      <c r="H10" s="1" t="s">
        <v>25</v>
      </c>
      <c r="I10" s="1" t="s">
        <v>24</v>
      </c>
      <c r="J10" s="1" t="s">
        <v>25</v>
      </c>
      <c r="K10" s="1" t="s">
        <v>24</v>
      </c>
      <c r="L10" s="1" t="s">
        <v>25</v>
      </c>
      <c r="M10" s="1" t="s">
        <v>332</v>
      </c>
      <c r="Q10" s="1" t="s">
        <v>332</v>
      </c>
      <c r="R10" s="1" t="s">
        <v>24</v>
      </c>
      <c r="S10" s="1" t="s">
        <v>14</v>
      </c>
      <c r="T10" s="1" t="s">
        <v>327</v>
      </c>
      <c r="U10" s="1" t="s">
        <v>14</v>
      </c>
      <c r="Y10" s="1" t="s">
        <v>159</v>
      </c>
      <c r="Z10" s="1" t="s">
        <v>24</v>
      </c>
      <c r="AA10" s="1" t="s">
        <v>25</v>
      </c>
      <c r="AB10" s="1" t="s">
        <v>24</v>
      </c>
      <c r="AC10" s="1" t="s">
        <v>25</v>
      </c>
      <c r="AD10" s="1" t="s">
        <v>24</v>
      </c>
      <c r="AE10" s="1" t="s">
        <v>25</v>
      </c>
      <c r="AF10" s="1" t="s">
        <v>24</v>
      </c>
      <c r="AG10" s="1" t="s">
        <v>25</v>
      </c>
      <c r="AH10" s="1" t="s">
        <v>415</v>
      </c>
      <c r="AI10" s="1" t="s">
        <v>415</v>
      </c>
      <c r="AJ10" s="1" t="s">
        <v>415</v>
      </c>
      <c r="AK10" s="1" t="s">
        <v>415</v>
      </c>
      <c r="AM10" s="1" t="s">
        <v>416</v>
      </c>
      <c r="AN10" s="1" t="s">
        <v>417</v>
      </c>
      <c r="AO10" s="1" t="s">
        <v>417</v>
      </c>
      <c r="AP10" s="1" t="s">
        <v>417</v>
      </c>
      <c r="AQ10" s="1" t="s">
        <v>417</v>
      </c>
      <c r="AR10" s="268">
        <v>2</v>
      </c>
      <c r="AT10" s="1" t="s">
        <v>416</v>
      </c>
    </row>
    <row r="11" customFormat="1" spans="1:58">
      <c r="A11" s="1">
        <v>1</v>
      </c>
      <c r="B11" s="1" t="str">
        <f>tblCategories!D3</f>
        <v>1) DIGITAL SECURITY</v>
      </c>
      <c r="C11" s="1">
        <f>tblCategories!F3</f>
        <v>1</v>
      </c>
      <c r="D11" s="1">
        <f>IF(C11="",0,1000-A11)</f>
        <v>999</v>
      </c>
      <c r="E11" s="1">
        <f ca="1">IF(D11=0,"",INDEX(INDIRECT($E$6),$A11+1,$B$2))</f>
        <v>68.7742107919604</v>
      </c>
      <c r="F11" s="1">
        <f ca="1">IF($D11=0,"",INDEX(INDIRECT($D$6),$A11+1,$B$2))</f>
        <v>0</v>
      </c>
      <c r="G11" s="1">
        <f ca="1">IF($D11=0,"",INDEX(INDIRECT($E$6),$A11+1,$B$3))</f>
        <v>68.7742107919604</v>
      </c>
      <c r="H11" s="1">
        <f ca="1">IF($D11=0,"",INDEX(INDIRECT($D$6),$A11+1,$B$3))</f>
        <v>0</v>
      </c>
      <c r="I11" s="1" t="e">
        <f ca="1">IF($D11=0,"",INDEX(INDIRECT($E$6),$A11+1,$B$4))</f>
        <v>#VALUE!</v>
      </c>
      <c r="J11" s="1">
        <f ca="1">IF($D11=0,"",INDEX(INDIRECT($D$6),$A11+1,$B$4))</f>
        <v>0</v>
      </c>
      <c r="K11" s="1" t="e">
        <f ca="1">IF($D11=0,"",INDEX(INDIRECT($E$6),$A11+1,$B$5))</f>
        <v>#VALUE!</v>
      </c>
      <c r="L11" s="1">
        <f ca="1">IF($D11=0,"",INDEX(INDIRECT($D$6),$A11+1,$B$5))</f>
        <v>0</v>
      </c>
      <c r="M11" s="1">
        <f>IF(D11=0,"",tblIndiSets!C176)</f>
        <v>1</v>
      </c>
      <c r="N11" s="1"/>
      <c r="O11" s="1"/>
      <c r="P11" s="1"/>
      <c r="Q11" s="1">
        <f ca="1" t="shared" ref="Q11:Q71" si="0">IF($T11="","",INDEX($B$11:$M$71,$T11,Q$9))</f>
        <v>1</v>
      </c>
      <c r="R11" s="1">
        <f ca="1" t="shared" ref="R11:R71" si="1">IF($C11=0,"",(INDEX($D$11:$H$71,$A11,R$9)))</f>
        <v>999</v>
      </c>
      <c r="S11" s="1">
        <f ca="1">IF($C11=0,"",RANK(R11,R$11:R$71,0)+COUNTIF(R$11:R11,R11)-1)</f>
        <v>1</v>
      </c>
      <c r="T11" s="1">
        <f ca="1" t="shared" ref="T11:T15" si="2">IF(C11="","",IF(ISERROR(MATCH($A11,S$11:S$71,0)),"",MATCH($A11,S$11:S$71,0)))</f>
        <v>1</v>
      </c>
      <c r="U11" s="269">
        <f ca="1" t="shared" ref="U11:U15" si="3">IF(T11="","",RANK(Z11,Z$11:Z$71,0))</f>
        <v>44</v>
      </c>
      <c r="V11" s="269">
        <f ca="1" t="shared" ref="V11:V15" si="4">IF(T11="","",COUNTIF(Z$11:Z$71,Z11))</f>
        <v>1</v>
      </c>
      <c r="W11" s="269">
        <f ca="1" t="shared" ref="W11:W15" si="5">IF(T11="",0,INDEX($D$11:$D$71,T11))</f>
        <v>999</v>
      </c>
      <c r="X11" s="268">
        <f ca="1">IF(T11="","",IF(V11&gt;1,CONCATENATE("=",U11),U11))</f>
        <v>44</v>
      </c>
      <c r="Y11" s="1" t="str">
        <f ca="1" t="shared" ref="Y11:Y71" si="6">IF($T11="","",INDEX($B$11:$M$71,$T11,Y$9))</f>
        <v>1) DIGITAL SECURITY</v>
      </c>
      <c r="Z11" s="1">
        <f ca="1" t="shared" ref="Z11:AA30" si="7">IF($T11="","",INDEX($E$11:$P$71,$T11,Z$9))</f>
        <v>68.7742107919604</v>
      </c>
      <c r="AA11" s="1">
        <f ca="1" t="shared" si="7"/>
        <v>0</v>
      </c>
      <c r="AB11" s="1">
        <f ca="1" t="shared" ref="AB11:AB71" si="8">IF($T11="","",INDEX($E$11:$L$71,$T11,AB$9))</f>
        <v>68.7742107919604</v>
      </c>
      <c r="AC11" s="1">
        <f ca="1" t="shared" ref="AC11:AC71" si="9">IF($T11="","",INDEX($E$11:$P$71,$T11,AC$9))</f>
        <v>0</v>
      </c>
      <c r="AD11" s="1" t="e">
        <f ca="1" t="shared" ref="AD11:AD71" si="10">IF($T11="","",INDEX($E$11:$L$71,$T11,AD$9))</f>
        <v>#VALUE!</v>
      </c>
      <c r="AE11" s="1">
        <f ca="1" t="shared" ref="AE11:AE71" si="11">IF($T11="","",INDEX($E$11:$P$71,$T11,AE$9))</f>
        <v>0</v>
      </c>
      <c r="AF11" s="1" t="e">
        <f ca="1" t="shared" ref="AF11:AF71" si="12">IF($T11="","",INDEX($E$11:$L$71,$T11,AF$9))</f>
        <v>#VALUE!</v>
      </c>
      <c r="AG11" s="1">
        <f ca="1" t="shared" ref="AG11:AG71" si="13">IF($T11="","",INDEX($E$11:$P$71,$T11,AG$9))</f>
        <v>0</v>
      </c>
      <c r="AH11" s="1" t="str">
        <f ca="1">IF($T11="","",IF(ISERROR(INDEX(INDIRECT($H$6),$T11+1,uxb_works!$B$24)),"",INDEX(INDIRECT($H$6),$T11+1,uxb_works!$B$24)))</f>
        <v>28</v>
      </c>
      <c r="AI11" s="1" t="str">
        <f ca="1">IF($T11="","",IF(ISERROR(INDEX(INDIRECT($H$6),$T11+1,uxb_works!$B$25)),"",INDEX(INDIRECT($H$6),$T11+1,uxb_works!$B$25)))</f>
        <v>28</v>
      </c>
      <c r="AJ11" s="1" t="str">
        <f ca="1">IF($T11="","",IF(ISERROR(INDEX(INDIRECT($H$6),$T11+1,uxb_works!$B$26-1)),"",INDEX(INDIRECT($H$6),$T11+1,uxb_works!$B$26-1)))</f>
        <v>25</v>
      </c>
      <c r="AK11" s="1" t="str">
        <f ca="1">IF($T11="","",IF(ISERROR(INDEX(INDIRECT($H$6),$T11+1,uxb_works!$B$27-1)),"",INDEX(INDIRECT($H$6),$T11+1,uxb_works!$B$27-1)))</f>
        <v>51</v>
      </c>
      <c r="AL11" s="1"/>
      <c r="AM11" s="18"/>
      <c r="AN11" s="1" t="str">
        <f ca="1" t="shared" ref="AN11:AQ13" si="14">IF(AH11=$AU11,"*","")</f>
        <v/>
      </c>
      <c r="AO11" s="1" t="str">
        <f ca="1" t="shared" si="14"/>
        <v/>
      </c>
      <c r="AP11" s="1" t="str">
        <f ca="1" t="shared" si="14"/>
        <v/>
      </c>
      <c r="AQ11" s="1" t="str">
        <f ca="1" t="shared" si="14"/>
        <v/>
      </c>
      <c r="AR11" s="1">
        <v>3</v>
      </c>
      <c r="AS11" s="1"/>
      <c r="AU11">
        <f ca="1">MAX(AX11:BA11)</f>
        <v>28</v>
      </c>
      <c r="AV11">
        <f ca="1">MIN(AX11:BA11)</f>
        <v>12</v>
      </c>
      <c r="AX11" s="1">
        <f ca="1">IF($T11="","",IF(ISERROR(INDEX(INDIRECT($G$6),$T11+1,uxb_works!$B$24)),"",INDEX(INDIRECT($G$6),$T11+1,uxb_works!$B$24)))</f>
        <v>28</v>
      </c>
      <c r="AY11" s="1">
        <f ca="1">IF($T11="","",IF(ISERROR(INDEX(INDIRECT($G$6),$T11+1,uxb_works!$B$25)),"",INDEX(INDIRECT($G$6),$T11+1,uxb_works!$B$25)))</f>
        <v>28</v>
      </c>
      <c r="AZ11" s="1">
        <f ca="1">IF($T11="","",IF(ISERROR(INDEX(INDIRECT($G$6),$T11+1,uxb_works!$B$26-1)),"",INDEX(INDIRECT($G$6),$T11+1,uxb_works!$B$26-1)))</f>
        <v>13</v>
      </c>
      <c r="BA11" s="1">
        <f ca="1">IF($T11="","",IF(ISERROR(INDEX(INDIRECT($G$6),$T11+1,uxb_works!$B$27-1)),"",INDEX(INDIRECT($G$6),$T11+1,uxb_works!$B$27-1)))</f>
        <v>12</v>
      </c>
      <c r="BC11">
        <f ca="1" t="shared" ref="BC11:BF13" si="15">IF(AND(AX11=$AU11,AX11=$AV11),0,IF(AX11=$AV11,1,IF(AX11=$AU11,2,0)))</f>
        <v>2</v>
      </c>
      <c r="BD11">
        <f ca="1" t="shared" si="15"/>
        <v>2</v>
      </c>
      <c r="BE11">
        <f ca="1" t="shared" si="15"/>
        <v>0</v>
      </c>
      <c r="BF11">
        <f ca="1" t="shared" si="15"/>
        <v>1</v>
      </c>
    </row>
    <row r="12" customFormat="1" spans="1:58">
      <c r="A12" s="1">
        <f>A11+1</f>
        <v>2</v>
      </c>
      <c r="B12" s="1" t="str">
        <f>tblCategories!D4</f>
        <v>1.1) Digital security (Inputs)</v>
      </c>
      <c r="C12" s="1">
        <f>tblCategories!F4</f>
        <v>1</v>
      </c>
      <c r="D12" s="1">
        <f t="shared" ref="D12:D13" si="16">IF(C12="",0,1000-A12)</f>
        <v>998</v>
      </c>
      <c r="E12" s="1">
        <f ca="1" t="shared" ref="E12:E13" si="17">IF(D12=0,"",INDEX(INDIRECT($E$6),$A12+1,$B$2))</f>
        <v>63.3333333333333</v>
      </c>
      <c r="F12" s="1">
        <f ca="1" t="shared" ref="F12:F71" si="18">IF($D12=0,"",INDEX(INDIRECT($D$6),$A12+1,$B$2))</f>
        <v>0</v>
      </c>
      <c r="G12" s="1">
        <f ca="1" t="shared" ref="G12:G71" si="19">IF($D12=0,"",INDEX(INDIRECT($E$6),$A12+1,$B$3))</f>
        <v>63.3333333333333</v>
      </c>
      <c r="H12" s="1">
        <f ca="1" t="shared" ref="H12:H71" si="20">IF($D12=0,"",INDEX(INDIRECT($D$6),$A12+1,$B$3))</f>
        <v>0</v>
      </c>
      <c r="I12" s="1" t="e">
        <f ca="1" t="shared" ref="I12:I71" si="21">IF($D12=0,"",INDEX(INDIRECT($E$6),$A12+1,$B$4))</f>
        <v>#VALUE!</v>
      </c>
      <c r="J12" s="1">
        <f ca="1" t="shared" ref="J12:J71" si="22">IF($D12=0,"",INDEX(INDIRECT($D$6),$A12+1,$B$4))</f>
        <v>0</v>
      </c>
      <c r="K12" s="1" t="e">
        <f ca="1" t="shared" ref="K12:K71" si="23">IF($D12=0,"",INDEX(INDIRECT($E$6),$A12+1,$B$5))</f>
        <v>#VALUE!</v>
      </c>
      <c r="L12" s="1">
        <f ca="1" t="shared" ref="L12:L71" si="24">IF($D12=0,"",INDEX(INDIRECT($D$6),$A12+1,$B$5))</f>
        <v>0</v>
      </c>
      <c r="M12" s="1">
        <f>IF(D12=0,"",tblIndiSets!C177)</f>
        <v>2</v>
      </c>
      <c r="N12" s="1"/>
      <c r="O12" s="1"/>
      <c r="P12" s="1"/>
      <c r="Q12" s="1">
        <f ca="1" t="shared" si="0"/>
        <v>2</v>
      </c>
      <c r="R12" s="1">
        <f ca="1" t="shared" si="1"/>
        <v>998</v>
      </c>
      <c r="S12" s="1">
        <f ca="1">IF($C12=0,"",RANK(R12,R$11:R$71,0)+COUNTIF(R$11:R12,R12)-1)</f>
        <v>2</v>
      </c>
      <c r="T12" s="1">
        <f ca="1" t="shared" si="2"/>
        <v>2</v>
      </c>
      <c r="U12" s="269">
        <f ca="1" t="shared" si="3"/>
        <v>49</v>
      </c>
      <c r="V12" s="269">
        <f ca="1" t="shared" si="4"/>
        <v>1</v>
      </c>
      <c r="W12" s="269">
        <f ca="1" t="shared" si="5"/>
        <v>998</v>
      </c>
      <c r="X12" s="268">
        <f ca="1">IF(T12="","",IF(V12&gt;1,CONCATENATE("=",U12),U12))</f>
        <v>49</v>
      </c>
      <c r="Y12" s="1" t="str">
        <f ca="1" t="shared" si="6"/>
        <v>1.1) Digital security (Inputs)</v>
      </c>
      <c r="Z12" s="1">
        <f ca="1" t="shared" si="7"/>
        <v>63.3333333333333</v>
      </c>
      <c r="AA12" s="1">
        <f ca="1" t="shared" si="7"/>
        <v>0</v>
      </c>
      <c r="AB12" s="1">
        <f ca="1" t="shared" si="8"/>
        <v>63.3333333333333</v>
      </c>
      <c r="AC12" s="1">
        <f ca="1" t="shared" si="9"/>
        <v>0</v>
      </c>
      <c r="AD12" s="1" t="e">
        <f ca="1" t="shared" si="10"/>
        <v>#VALUE!</v>
      </c>
      <c r="AE12" s="1">
        <f ca="1" t="shared" si="11"/>
        <v>0</v>
      </c>
      <c r="AF12" s="1" t="e">
        <f ca="1" t="shared" si="12"/>
        <v>#VALUE!</v>
      </c>
      <c r="AG12" s="1">
        <f ca="1" t="shared" si="13"/>
        <v>0</v>
      </c>
      <c r="AH12" s="1" t="str">
        <f ca="1">IF($T12="","",IF(ISERROR(INDEX(INDIRECT($H$6),$T12+1,uxb_works!$B$24)),"",INDEX(INDIRECT($H$6),$T12+1,uxb_works!$B$24)))</f>
        <v>=29</v>
      </c>
      <c r="AI12" s="1" t="str">
        <f ca="1">IF($T12="","",IF(ISERROR(INDEX(INDIRECT($H$6),$T12+1,uxb_works!$B$25)),"",INDEX(INDIRECT($H$6),$T12+1,uxb_works!$B$25)))</f>
        <v>=29</v>
      </c>
      <c r="AJ12" s="1" t="str">
        <f ca="1">IF($T12="","",IF(ISERROR(INDEX(INDIRECT($H$6),$T12+1,uxb_works!$B$26-1)),"",INDEX(INDIRECT($H$6),$T12+1,uxb_works!$B$26-1)))</f>
        <v>14</v>
      </c>
      <c r="AK12" s="1" t="str">
        <f ca="1">IF($T12="","",IF(ISERROR(INDEX(INDIRECT($H$6),$T12+1,uxb_works!$B$27-1)),"",INDEX(INDIRECT($H$6),$T12+1,uxb_works!$B$27-1)))</f>
        <v>=49</v>
      </c>
      <c r="AL12" s="1"/>
      <c r="AM12" s="18"/>
      <c r="AN12" s="1" t="str">
        <f ca="1" t="shared" si="14"/>
        <v/>
      </c>
      <c r="AO12" s="1" t="str">
        <f ca="1" t="shared" si="14"/>
        <v/>
      </c>
      <c r="AP12" s="1" t="str">
        <f ca="1" t="shared" si="14"/>
        <v/>
      </c>
      <c r="AQ12" s="1" t="str">
        <f ca="1" t="shared" si="14"/>
        <v/>
      </c>
      <c r="AR12" s="1">
        <v>3</v>
      </c>
      <c r="AS12" s="1"/>
      <c r="AU12">
        <f ca="1">MAX(AX12:BA12)</f>
        <v>29</v>
      </c>
      <c r="AV12">
        <f ca="1">MIN(AX12:BA12)</f>
        <v>8</v>
      </c>
      <c r="AX12" s="1">
        <f ca="1">IF($T12="","",IF(ISERROR(INDEX(INDIRECT($G$6),$T12+1,uxb_works!$B$24)),"",INDEX(INDIRECT($G$6),$T12+1,uxb_works!$B$24)))</f>
        <v>29</v>
      </c>
      <c r="AY12" s="1">
        <f ca="1">IF($T12="","",IF(ISERROR(INDEX(INDIRECT($G$6),$T12+1,uxb_works!$B$25)),"",INDEX(INDIRECT($G$6),$T12+1,uxb_works!$B$25)))</f>
        <v>29</v>
      </c>
      <c r="AZ12" s="1">
        <f ca="1">IF($T12="","",IF(ISERROR(INDEX(INDIRECT($G$6),$T12+1,uxb_works!$B$26-1)),"",INDEX(INDIRECT($G$6),$T12+1,uxb_works!$B$26-1)))</f>
        <v>23</v>
      </c>
      <c r="BA12" s="1">
        <f ca="1">IF($T12="","",IF(ISERROR(INDEX(INDIRECT($G$6),$T12+1,uxb_works!$B$27-1)),"",INDEX(INDIRECT($G$6),$T12+1,uxb_works!$B$27-1)))</f>
        <v>8</v>
      </c>
      <c r="BC12">
        <f ca="1" t="shared" si="15"/>
        <v>2</v>
      </c>
      <c r="BD12">
        <f ca="1" t="shared" si="15"/>
        <v>2</v>
      </c>
      <c r="BE12">
        <f ca="1" t="shared" si="15"/>
        <v>0</v>
      </c>
      <c r="BF12">
        <f ca="1" t="shared" si="15"/>
        <v>1</v>
      </c>
    </row>
    <row r="13" customFormat="1" spans="1:58">
      <c r="A13" s="1">
        <f t="shared" ref="A13:A71" si="25">A12+1</f>
        <v>3</v>
      </c>
      <c r="B13" s="1" t="str">
        <f>tblCategories!D5</f>
        <v>1.1.1) Privacy policy</v>
      </c>
      <c r="C13" s="1">
        <f>tblCategories!F5</f>
        <v>1</v>
      </c>
      <c r="D13" s="1">
        <f t="shared" si="16"/>
        <v>997</v>
      </c>
      <c r="E13" s="1">
        <f ca="1" t="shared" si="17"/>
        <v>50</v>
      </c>
      <c r="F13" s="1">
        <f ca="1" t="shared" si="18"/>
        <v>3</v>
      </c>
      <c r="G13" s="1">
        <f ca="1" t="shared" si="19"/>
        <v>50</v>
      </c>
      <c r="H13" s="1">
        <f ca="1" t="shared" si="20"/>
        <v>3</v>
      </c>
      <c r="I13" s="1" t="e">
        <f ca="1" t="shared" si="21"/>
        <v>#VALUE!</v>
      </c>
      <c r="J13" s="1">
        <f ca="1" t="shared" si="22"/>
        <v>3</v>
      </c>
      <c r="K13" s="1" t="e">
        <f ca="1" t="shared" si="23"/>
        <v>#VALUE!</v>
      </c>
      <c r="L13" s="1">
        <f ca="1" t="shared" si="24"/>
        <v>4</v>
      </c>
      <c r="M13" s="1">
        <f>IF(D13=0,"",tblIndiSets!C178)</f>
        <v>3</v>
      </c>
      <c r="N13" s="1"/>
      <c r="O13" s="1"/>
      <c r="P13" s="1"/>
      <c r="Q13" s="1">
        <f ca="1" t="shared" si="0"/>
        <v>3</v>
      </c>
      <c r="R13" s="1">
        <f ca="1" t="shared" si="1"/>
        <v>997</v>
      </c>
      <c r="S13" s="1">
        <f ca="1">IF($C13=0,"",RANK(R13,R$11:R$71,0)+COUNTIF(R$11:R13,R13)-1)</f>
        <v>3</v>
      </c>
      <c r="T13" s="1">
        <f ca="1" t="shared" si="2"/>
        <v>3</v>
      </c>
      <c r="U13" s="269">
        <f ca="1" t="shared" si="3"/>
        <v>53</v>
      </c>
      <c r="V13" s="269">
        <f ca="1" t="shared" si="4"/>
        <v>3</v>
      </c>
      <c r="W13" s="269">
        <f ca="1" t="shared" si="5"/>
        <v>997</v>
      </c>
      <c r="X13" s="268" t="str">
        <f ca="1">IF(T13="","",IF(V13&gt;1,CONCATENATE("=",U13),U13))</f>
        <v>=53</v>
      </c>
      <c r="Y13" s="1" t="str">
        <f ca="1" t="shared" si="6"/>
        <v>1.1.1) Privacy policy</v>
      </c>
      <c r="Z13" s="1">
        <f ca="1" t="shared" si="7"/>
        <v>50</v>
      </c>
      <c r="AA13" s="1">
        <f ca="1" t="shared" si="7"/>
        <v>3</v>
      </c>
      <c r="AB13" s="1">
        <f ca="1" t="shared" si="8"/>
        <v>50</v>
      </c>
      <c r="AC13" s="1">
        <f ca="1" t="shared" si="9"/>
        <v>3</v>
      </c>
      <c r="AD13" s="1" t="e">
        <f ca="1" t="shared" si="10"/>
        <v>#VALUE!</v>
      </c>
      <c r="AE13" s="1">
        <f ca="1" t="shared" si="11"/>
        <v>3</v>
      </c>
      <c r="AF13" s="1" t="e">
        <f ca="1" t="shared" si="12"/>
        <v>#VALUE!</v>
      </c>
      <c r="AG13" s="1">
        <f ca="1" t="shared" si="13"/>
        <v>4</v>
      </c>
      <c r="AH13" s="1" t="str">
        <f ca="1">IF($T13="","",IF(ISERROR(INDEX(INDIRECT($H$6),$T13+1,uxb_works!$B$24)),"",INDEX(INDIRECT($H$6),$T13+1,uxb_works!$B$24)))</f>
        <v>=33</v>
      </c>
      <c r="AI13" s="1" t="str">
        <f ca="1">IF($T13="","",IF(ISERROR(INDEX(INDIRECT($H$6),$T13+1,uxb_works!$B$25)),"",INDEX(INDIRECT($H$6),$T13+1,uxb_works!$B$25)))</f>
        <v>=33</v>
      </c>
      <c r="AJ13" s="1" t="str">
        <f ca="1">IF($T13="","",IF(ISERROR(INDEX(INDIRECT($H$6),$T13+1,uxb_works!$B$26-1)),"",INDEX(INDIRECT($H$6),$T13+1,uxb_works!$B$26-1)))</f>
        <v>=1</v>
      </c>
      <c r="AK13" s="1" t="str">
        <f ca="1">IF($T13="","",IF(ISERROR(INDEX(INDIRECT($H$6),$T13+1,uxb_works!$B$27-1)),"",INDEX(INDIRECT($H$6),$T13+1,uxb_works!$B$27-1)))</f>
        <v>=33</v>
      </c>
      <c r="AL13" s="1"/>
      <c r="AM13" s="18"/>
      <c r="AN13" s="1" t="str">
        <f ca="1" t="shared" si="14"/>
        <v/>
      </c>
      <c r="AO13" s="1" t="str">
        <f ca="1" t="shared" si="14"/>
        <v/>
      </c>
      <c r="AP13" s="1" t="str">
        <f ca="1" t="shared" si="14"/>
        <v/>
      </c>
      <c r="AQ13" s="1" t="str">
        <f ca="1" t="shared" si="14"/>
        <v/>
      </c>
      <c r="AR13" s="1">
        <v>3</v>
      </c>
      <c r="AS13" s="1"/>
      <c r="AU13">
        <f ca="1">MAX(AX13:BA13)</f>
        <v>33</v>
      </c>
      <c r="AV13">
        <f ca="1">MIN(AX13:BA13)</f>
        <v>1</v>
      </c>
      <c r="AX13" s="1">
        <f ca="1">IF($T13="","",IF(ISERROR(INDEX(INDIRECT($G$6),$T13+1,uxb_works!$B$24)),"",INDEX(INDIRECT($G$6),$T13+1,uxb_works!$B$24)))</f>
        <v>33</v>
      </c>
      <c r="AY13" s="1">
        <f ca="1">IF($T13="","",IF(ISERROR(INDEX(INDIRECT($G$6),$T13+1,uxb_works!$B$25)),"",INDEX(INDIRECT($G$6),$T13+1,uxb_works!$B$25)))</f>
        <v>33</v>
      </c>
      <c r="AZ13" s="1">
        <f ca="1">IF($T13="","",IF(ISERROR(INDEX(INDIRECT($G$6),$T13+1,uxb_works!$B$26-1)),"",INDEX(INDIRECT($G$6),$T13+1,uxb_works!$B$26-1)))</f>
        <v>21</v>
      </c>
      <c r="BA13" s="1">
        <f ca="1">IF($T13="","",IF(ISERROR(INDEX(INDIRECT($G$6),$T13+1,uxb_works!$B$27-1)),"",INDEX(INDIRECT($G$6),$T13+1,uxb_works!$B$27-1)))</f>
        <v>1</v>
      </c>
      <c r="BC13">
        <f ca="1" t="shared" si="15"/>
        <v>2</v>
      </c>
      <c r="BD13">
        <f ca="1" t="shared" si="15"/>
        <v>2</v>
      </c>
      <c r="BE13">
        <f ca="1" t="shared" si="15"/>
        <v>0</v>
      </c>
      <c r="BF13">
        <f ca="1" t="shared" si="15"/>
        <v>1</v>
      </c>
    </row>
    <row r="14" customFormat="1" spans="1:58">
      <c r="A14" s="1">
        <f t="shared" si="25"/>
        <v>4</v>
      </c>
      <c r="B14" s="1" t="str">
        <f>tblCategories!D6</f>
        <v>1.1.2) Citizen awareness of digital threats</v>
      </c>
      <c r="C14" s="1">
        <f>tblCategories!F6</f>
        <v>1</v>
      </c>
      <c r="D14" s="1">
        <f t="shared" ref="D14:D15" si="26">IF(C14="",0,1000-A14)</f>
        <v>996</v>
      </c>
      <c r="E14" s="1">
        <f ca="1" t="shared" ref="E14:E15" si="27">IF(D14=0,"",INDEX(INDIRECT($E$6),$A14+1,$B$2))</f>
        <v>66.6666666666667</v>
      </c>
      <c r="F14" s="1">
        <f ca="1" t="shared" si="18"/>
        <v>2</v>
      </c>
      <c r="G14" s="1">
        <f ca="1" t="shared" si="19"/>
        <v>66.6666666666667</v>
      </c>
      <c r="H14" s="1">
        <f ca="1" t="shared" si="20"/>
        <v>2</v>
      </c>
      <c r="I14" s="1" t="e">
        <f ca="1" t="shared" si="21"/>
        <v>#VALUE!</v>
      </c>
      <c r="J14" s="1">
        <f ca="1" t="shared" si="22"/>
        <v>2</v>
      </c>
      <c r="K14" s="1" t="e">
        <f ca="1" t="shared" si="23"/>
        <v>#VALUE!</v>
      </c>
      <c r="L14" s="1">
        <f ca="1" t="shared" si="24"/>
        <v>3</v>
      </c>
      <c r="M14" s="1">
        <f>IF(D14=0,"",tblIndiSets!C179)</f>
        <v>3</v>
      </c>
      <c r="N14" s="1"/>
      <c r="O14" s="1"/>
      <c r="P14" s="1"/>
      <c r="Q14" s="1">
        <f ca="1" t="shared" si="0"/>
        <v>3</v>
      </c>
      <c r="R14" s="1">
        <f ca="1" t="shared" si="1"/>
        <v>996</v>
      </c>
      <c r="S14" s="1">
        <f ca="1">IF($C14=0,"",RANK(R14,R$11:R$71,0)+COUNTIF(R$11:R14,R14)-1)</f>
        <v>4</v>
      </c>
      <c r="T14" s="1">
        <f ca="1" t="shared" si="2"/>
        <v>4</v>
      </c>
      <c r="U14" s="269">
        <f ca="1" t="shared" si="3"/>
        <v>47</v>
      </c>
      <c r="V14" s="269">
        <f ca="1" t="shared" si="4"/>
        <v>1</v>
      </c>
      <c r="W14" s="269">
        <f ca="1" t="shared" si="5"/>
        <v>996</v>
      </c>
      <c r="X14" s="268">
        <f ca="1" t="shared" ref="X14:X15" si="28">IF(T14="","",IF(V14&gt;1,CONCATENATE("=",U14),U14))</f>
        <v>47</v>
      </c>
      <c r="Y14" s="1" t="str">
        <f ca="1" t="shared" si="6"/>
        <v>1.1.2) Citizen awareness of digital threats</v>
      </c>
      <c r="Z14" s="1">
        <f ca="1" t="shared" si="7"/>
        <v>66.6666666666667</v>
      </c>
      <c r="AA14" s="1">
        <f ca="1" t="shared" si="7"/>
        <v>2</v>
      </c>
      <c r="AB14" s="1">
        <f ca="1" t="shared" si="8"/>
        <v>66.6666666666667</v>
      </c>
      <c r="AC14" s="1">
        <f ca="1" t="shared" si="9"/>
        <v>2</v>
      </c>
      <c r="AD14" s="1" t="e">
        <f ca="1" t="shared" si="10"/>
        <v>#VALUE!</v>
      </c>
      <c r="AE14" s="1">
        <f ca="1" t="shared" si="11"/>
        <v>2</v>
      </c>
      <c r="AF14" s="1" t="e">
        <f ca="1" t="shared" si="12"/>
        <v>#VALUE!</v>
      </c>
      <c r="AG14" s="1">
        <f ca="1" t="shared" si="13"/>
        <v>3</v>
      </c>
      <c r="AH14" s="1" t="str">
        <f ca="1">IF($T14="","",IF(ISERROR(INDEX(INDIRECT($H$6),$T14+1,uxb_works!$B$24)),"",INDEX(INDIRECT($H$6),$T14+1,uxb_works!$B$24)))</f>
        <v>=24</v>
      </c>
      <c r="AI14" s="1" t="str">
        <f ca="1">IF($T14="","",IF(ISERROR(INDEX(INDIRECT($H$6),$T14+1,uxb_works!$B$25)),"",INDEX(INDIRECT($H$6),$T14+1,uxb_works!$B$25)))</f>
        <v>=24</v>
      </c>
      <c r="AJ14" s="1" t="str">
        <f ca="1">IF($T14="","",IF(ISERROR(INDEX(INDIRECT($H$6),$T14+1,uxb_works!$B$26-1)),"",INDEX(INDIRECT($H$6),$T14+1,uxb_works!$B$26-1)))</f>
        <v>=24</v>
      </c>
      <c r="AK14" s="1" t="str">
        <f ca="1">IF($T14="","",IF(ISERROR(INDEX(INDIRECT($H$6),$T14+1,uxb_works!$B$27-1)),"",INDEX(INDIRECT($H$6),$T14+1,uxb_works!$B$27-1)))</f>
        <v>=48</v>
      </c>
      <c r="AL14" s="1"/>
      <c r="AM14" s="18"/>
      <c r="AN14" s="1" t="str">
        <f ca="1" t="shared" ref="AN14:AN15" si="29">IF(AH14=$AU14,"*","")</f>
        <v/>
      </c>
      <c r="AO14" s="1" t="str">
        <f ca="1" t="shared" ref="AO14:AO15" si="30">IF(AI14=$AU14,"*","")</f>
        <v/>
      </c>
      <c r="AP14" s="1" t="str">
        <f ca="1" t="shared" ref="AP14:AP15" si="31">IF(AJ14=$AU14,"*","")</f>
        <v/>
      </c>
      <c r="AQ14" s="1" t="str">
        <f ca="1" t="shared" ref="AQ14:AQ15" si="32">IF(AK14=$AU14,"*","")</f>
        <v/>
      </c>
      <c r="AR14" s="1">
        <v>3</v>
      </c>
      <c r="AS14" s="1"/>
      <c r="AU14">
        <f ca="1" t="shared" ref="AU14:AU15" si="33">MAX(AX14:BA14)</f>
        <v>24</v>
      </c>
      <c r="AV14">
        <f ca="1" t="shared" ref="AV14:AV15" si="34">MIN(AX14:BA14)</f>
        <v>1</v>
      </c>
      <c r="AX14" s="1">
        <f ca="1">IF($T14="","",IF(ISERROR(INDEX(INDIRECT($G$6),$T14+1,uxb_works!$B$24)),"",INDEX(INDIRECT($G$6),$T14+1,uxb_works!$B$24)))</f>
        <v>24</v>
      </c>
      <c r="AY14" s="1">
        <f ca="1">IF($T14="","",IF(ISERROR(INDEX(INDIRECT($G$6),$T14+1,uxb_works!$B$25)),"",INDEX(INDIRECT($G$6),$T14+1,uxb_works!$B$25)))</f>
        <v>24</v>
      </c>
      <c r="AZ14" s="1">
        <f ca="1">IF($T14="","",IF(ISERROR(INDEX(INDIRECT($G$6),$T14+1,uxb_works!$B$26-1)),"",INDEX(INDIRECT($G$6),$T14+1,uxb_works!$B$26-1)))</f>
        <v>1</v>
      </c>
      <c r="BA14" s="1">
        <f ca="1">IF($T14="","",IF(ISERROR(INDEX(INDIRECT($G$6),$T14+1,uxb_works!$B$27-1)),"",INDEX(INDIRECT($G$6),$T14+1,uxb_works!$B$27-1)))</f>
        <v>1</v>
      </c>
      <c r="BC14">
        <f ca="1" t="shared" ref="BC14:BC15" si="35">IF(AND(AX14=$AU14,AX14=$AV14),0,IF(AX14=$AV14,1,IF(AX14=$AU14,2,0)))</f>
        <v>2</v>
      </c>
      <c r="BD14">
        <f ca="1" t="shared" ref="BD14:BD15" si="36">IF(AND(AY14=$AU14,AY14=$AV14),0,IF(AY14=$AV14,1,IF(AY14=$AU14,2,0)))</f>
        <v>2</v>
      </c>
      <c r="BE14">
        <f ca="1" t="shared" ref="BE14:BE15" si="37">IF(AND(AZ14=$AU14,AZ14=$AV14),0,IF(AZ14=$AV14,1,IF(AZ14=$AU14,2,0)))</f>
        <v>1</v>
      </c>
      <c r="BF14">
        <f ca="1" t="shared" ref="BF14:BF15" si="38">IF(AND(BA14=$AU14,BA14=$AV14),0,IF(BA14=$AV14,1,IF(BA14=$AU14,2,0)))</f>
        <v>1</v>
      </c>
    </row>
    <row r="15" customFormat="1" spans="1:58">
      <c r="A15" s="1">
        <f t="shared" si="25"/>
        <v>5</v>
      </c>
      <c r="B15" s="1" t="str">
        <f>tblCategories!D7</f>
        <v>1.1.3) Public-private partnerships</v>
      </c>
      <c r="C15" s="1">
        <f>tblCategories!F7</f>
        <v>1</v>
      </c>
      <c r="D15" s="1">
        <f t="shared" si="26"/>
        <v>995</v>
      </c>
      <c r="E15" s="1">
        <f ca="1" t="shared" si="27"/>
        <v>50</v>
      </c>
      <c r="F15" s="1">
        <f ca="1" t="shared" si="18"/>
        <v>1</v>
      </c>
      <c r="G15" s="1">
        <f ca="1" t="shared" si="19"/>
        <v>50</v>
      </c>
      <c r="H15" s="1">
        <f ca="1" t="shared" si="20"/>
        <v>1</v>
      </c>
      <c r="I15" s="1" t="e">
        <f ca="1" t="shared" si="21"/>
        <v>#VALUE!</v>
      </c>
      <c r="J15" s="1">
        <f ca="1" t="shared" si="22"/>
        <v>1</v>
      </c>
      <c r="K15" s="1" t="e">
        <f ca="1" t="shared" si="23"/>
        <v>#VALUE!</v>
      </c>
      <c r="L15" s="1">
        <f ca="1" t="shared" si="24"/>
        <v>0</v>
      </c>
      <c r="M15" s="1">
        <f>IF(D15=0,"",tblIndiSets!C180)</f>
        <v>3</v>
      </c>
      <c r="N15" s="1"/>
      <c r="O15" s="1"/>
      <c r="P15" s="1"/>
      <c r="Q15" s="1">
        <f ca="1" t="shared" si="0"/>
        <v>3</v>
      </c>
      <c r="R15" s="1">
        <f ca="1" t="shared" si="1"/>
        <v>995</v>
      </c>
      <c r="S15" s="1">
        <f ca="1">IF($C15=0,"",RANK(R15,R$11:R$71,0)+COUNTIF(R$11:R15,R15)-1)</f>
        <v>5</v>
      </c>
      <c r="T15" s="1">
        <f ca="1" t="shared" si="2"/>
        <v>5</v>
      </c>
      <c r="U15" s="269">
        <f ca="1" t="shared" si="3"/>
        <v>53</v>
      </c>
      <c r="V15" s="269">
        <f ca="1" t="shared" si="4"/>
        <v>3</v>
      </c>
      <c r="W15" s="269">
        <f ca="1" t="shared" si="5"/>
        <v>995</v>
      </c>
      <c r="X15" s="268" t="str">
        <f ca="1" t="shared" si="28"/>
        <v>=53</v>
      </c>
      <c r="Y15" s="1" t="str">
        <f ca="1" t="shared" si="6"/>
        <v>1.1.3) Public-private partnerships</v>
      </c>
      <c r="Z15" s="1">
        <f ca="1" t="shared" si="7"/>
        <v>50</v>
      </c>
      <c r="AA15" s="1">
        <f ca="1" t="shared" si="7"/>
        <v>1</v>
      </c>
      <c r="AB15" s="1">
        <f ca="1" t="shared" si="8"/>
        <v>50</v>
      </c>
      <c r="AC15" s="1">
        <f ca="1" t="shared" si="9"/>
        <v>1</v>
      </c>
      <c r="AD15" s="1" t="e">
        <f ca="1" t="shared" si="10"/>
        <v>#VALUE!</v>
      </c>
      <c r="AE15" s="1">
        <f ca="1" t="shared" si="11"/>
        <v>1</v>
      </c>
      <c r="AF15" s="1" t="e">
        <f ca="1" t="shared" si="12"/>
        <v>#VALUE!</v>
      </c>
      <c r="AG15" s="1">
        <f ca="1" t="shared" si="13"/>
        <v>0</v>
      </c>
      <c r="AH15" s="1" t="str">
        <f ca="1">IF($T15="","",IF(ISERROR(INDEX(INDIRECT($H$6),$T15+1,uxb_works!$B$24)),"",INDEX(INDIRECT($H$6),$T15+1,uxb_works!$B$24)))</f>
        <v>=11</v>
      </c>
      <c r="AI15" s="1" t="str">
        <f ca="1">IF($T15="","",IF(ISERROR(INDEX(INDIRECT($H$6),$T15+1,uxb_works!$B$25)),"",INDEX(INDIRECT($H$6),$T15+1,uxb_works!$B$25)))</f>
        <v>=11</v>
      </c>
      <c r="AJ15" s="1" t="str">
        <f ca="1">IF($T15="","",IF(ISERROR(INDEX(INDIRECT($H$6),$T15+1,uxb_works!$B$26-1)),"",INDEX(INDIRECT($H$6),$T15+1,uxb_works!$B$26-1)))</f>
        <v>=1</v>
      </c>
      <c r="AK15" s="1" t="str">
        <f ca="1">IF($T15="","",IF(ISERROR(INDEX(INDIRECT($H$6),$T15+1,uxb_works!$B$27-1)),"",INDEX(INDIRECT($H$6),$T15+1,uxb_works!$B$27-1)))</f>
        <v>=43</v>
      </c>
      <c r="AL15" s="1"/>
      <c r="AM15" s="18"/>
      <c r="AN15" s="1" t="str">
        <f ca="1" t="shared" si="29"/>
        <v/>
      </c>
      <c r="AO15" s="1" t="str">
        <f ca="1" t="shared" si="30"/>
        <v/>
      </c>
      <c r="AP15" s="1" t="str">
        <f ca="1" t="shared" si="31"/>
        <v/>
      </c>
      <c r="AQ15" s="1" t="str">
        <f ca="1" t="shared" si="32"/>
        <v/>
      </c>
      <c r="AR15" s="1">
        <v>3</v>
      </c>
      <c r="AS15" s="1"/>
      <c r="AU15">
        <f ca="1" t="shared" si="33"/>
        <v>11</v>
      </c>
      <c r="AV15">
        <f ca="1" t="shared" si="34"/>
        <v>11</v>
      </c>
      <c r="AX15" s="1">
        <f ca="1">IF($T15="","",IF(ISERROR(INDEX(INDIRECT($G$6),$T15+1,uxb_works!$B$24)),"",INDEX(INDIRECT($G$6),$T15+1,uxb_works!$B$24)))</f>
        <v>11</v>
      </c>
      <c r="AY15" s="1">
        <f ca="1">IF($T15="","",IF(ISERROR(INDEX(INDIRECT($G$6),$T15+1,uxb_works!$B$25)),"",INDEX(INDIRECT($G$6),$T15+1,uxb_works!$B$25)))</f>
        <v>11</v>
      </c>
      <c r="AZ15" s="1">
        <f ca="1">IF($T15="","",IF(ISERROR(INDEX(INDIRECT($G$6),$T15+1,uxb_works!$B$26-1)),"",INDEX(INDIRECT($G$6),$T15+1,uxb_works!$B$26-1)))</f>
        <v>11</v>
      </c>
      <c r="BA15" s="1">
        <f ca="1">IF($T15="","",IF(ISERROR(INDEX(INDIRECT($G$6),$T15+1,uxb_works!$B$27-1)),"",INDEX(INDIRECT($G$6),$T15+1,uxb_works!$B$27-1)))</f>
        <v>11</v>
      </c>
      <c r="BC15">
        <f ca="1" t="shared" si="35"/>
        <v>0</v>
      </c>
      <c r="BD15">
        <f ca="1" t="shared" si="36"/>
        <v>0</v>
      </c>
      <c r="BE15">
        <f ca="1" t="shared" si="37"/>
        <v>0</v>
      </c>
      <c r="BF15">
        <f ca="1" t="shared" si="38"/>
        <v>0</v>
      </c>
    </row>
    <row r="16" customFormat="1" spans="1:58">
      <c r="A16" s="1">
        <f t="shared" si="25"/>
        <v>6</v>
      </c>
      <c r="B16" s="1" t="str">
        <f>tblCategories!D8</f>
        <v>1.1.4) Level of technology employed</v>
      </c>
      <c r="C16" s="1">
        <f>tblCategories!F8</f>
        <v>1</v>
      </c>
      <c r="D16" s="1">
        <f t="shared" ref="D16:D71" si="39">IF(C16="",0,1000-A16)</f>
        <v>994</v>
      </c>
      <c r="E16" s="1">
        <f ca="1" t="shared" ref="E16:E71" si="40">IF(D16=0,"",INDEX(INDIRECT($E$6),$A16+1,$B$2))</f>
        <v>100</v>
      </c>
      <c r="F16" s="1">
        <f ca="1" t="shared" si="18"/>
        <v>100</v>
      </c>
      <c r="G16" s="1">
        <f ca="1" t="shared" si="19"/>
        <v>100</v>
      </c>
      <c r="H16" s="1">
        <f ca="1" t="shared" si="20"/>
        <v>100</v>
      </c>
      <c r="I16" s="1" t="e">
        <f ca="1" t="shared" si="21"/>
        <v>#VALUE!</v>
      </c>
      <c r="J16" s="1">
        <f ca="1" t="shared" si="22"/>
        <v>100</v>
      </c>
      <c r="K16" s="1" t="e">
        <f ca="1" t="shared" si="23"/>
        <v>#VALUE!</v>
      </c>
      <c r="L16" s="1">
        <f ca="1" t="shared" si="24"/>
        <v>75</v>
      </c>
      <c r="M16" s="1">
        <f>IF(D16=0,"",tblIndiSets!C181)</f>
        <v>3</v>
      </c>
      <c r="N16" s="1"/>
      <c r="O16" s="1"/>
      <c r="P16" s="1"/>
      <c r="Q16" s="1">
        <f ca="1" t="shared" si="0"/>
        <v>3</v>
      </c>
      <c r="R16" s="1">
        <f ca="1" t="shared" si="1"/>
        <v>994</v>
      </c>
      <c r="S16" s="1">
        <f ca="1">IF($C16=0,"",RANK(R16,R$11:R$71,0)+COUNTIF(R$11:R16,R16)-1)</f>
        <v>6</v>
      </c>
      <c r="T16" s="1">
        <f ca="1" t="shared" ref="T16:T71" si="41">IF(C16="","",IF(ISERROR(MATCH($A16,S$11:S$71,0)),"",MATCH($A16,S$11:S$71,0)))</f>
        <v>6</v>
      </c>
      <c r="U16" s="269">
        <f ca="1" t="shared" ref="U16:U71" si="42">IF(T16="","",RANK(Z16,Z$11:Z$71,0))</f>
        <v>1</v>
      </c>
      <c r="V16" s="269">
        <f ca="1" t="shared" ref="V16:V71" si="43">IF(T16="","",COUNTIF(Z$11:Z$71,Z16))</f>
        <v>15</v>
      </c>
      <c r="W16" s="269">
        <f ca="1" t="shared" ref="W16:W71" si="44">IF(T16="",0,INDEX($D$11:$D$71,T16))</f>
        <v>994</v>
      </c>
      <c r="X16" s="268" t="str">
        <f ca="1" t="shared" ref="X16:X71" si="45">IF(T16="","",IF(V16&gt;1,CONCATENATE("=",U16),U16))</f>
        <v>=1</v>
      </c>
      <c r="Y16" s="1" t="str">
        <f ca="1" t="shared" si="6"/>
        <v>1.1.4) Level of technology employed</v>
      </c>
      <c r="Z16" s="1">
        <f ca="1" t="shared" si="7"/>
        <v>100</v>
      </c>
      <c r="AA16" s="1">
        <f ca="1" t="shared" si="7"/>
        <v>100</v>
      </c>
      <c r="AB16" s="1">
        <f ca="1" t="shared" si="8"/>
        <v>100</v>
      </c>
      <c r="AC16" s="1">
        <f ca="1" t="shared" si="9"/>
        <v>100</v>
      </c>
      <c r="AD16" s="1" t="e">
        <f ca="1" t="shared" si="10"/>
        <v>#VALUE!</v>
      </c>
      <c r="AE16" s="1">
        <f ca="1" t="shared" si="11"/>
        <v>100</v>
      </c>
      <c r="AF16" s="1" t="e">
        <f ca="1" t="shared" si="12"/>
        <v>#VALUE!</v>
      </c>
      <c r="AG16" s="1">
        <f ca="1" t="shared" si="13"/>
        <v>75</v>
      </c>
      <c r="AH16" s="1" t="str">
        <f ca="1">IF($T16="","",IF(ISERROR(INDEX(INDIRECT($H$6),$T16+1,uxb_works!$B$24)),"",INDEX(INDIRECT($H$6),$T16+1,uxb_works!$B$24)))</f>
        <v>=1</v>
      </c>
      <c r="AI16" s="1" t="str">
        <f ca="1">IF($T16="","",IF(ISERROR(INDEX(INDIRECT($H$6),$T16+1,uxb_works!$B$25)),"",INDEX(INDIRECT($H$6),$T16+1,uxb_works!$B$25)))</f>
        <v>=1</v>
      </c>
      <c r="AJ16" s="1" t="str">
        <f ca="1">IF($T16="","",IF(ISERROR(INDEX(INDIRECT($H$6),$T16+1,uxb_works!$B$26-1)),"",INDEX(INDIRECT($H$6),$T16+1,uxb_works!$B$26-1)))</f>
        <v>=1</v>
      </c>
      <c r="AK16" s="1" t="str">
        <f ca="1">IF($T16="","",IF(ISERROR(INDEX(INDIRECT($H$6),$T16+1,uxb_works!$B$27-1)),"",INDEX(INDIRECT($H$6),$T16+1,uxb_works!$B$27-1)))</f>
        <v>=29</v>
      </c>
      <c r="AL16" s="1"/>
      <c r="AM16" s="18"/>
      <c r="AN16" s="1" t="str">
        <f ca="1" t="shared" ref="AN16:AN71" si="46">IF(AH16=$AU16,"*","")</f>
        <v/>
      </c>
      <c r="AO16" s="1" t="str">
        <f ca="1" t="shared" ref="AO16:AO71" si="47">IF(AI16=$AU16,"*","")</f>
        <v/>
      </c>
      <c r="AP16" s="1" t="str">
        <f ca="1" t="shared" ref="AP16:AP71" si="48">IF(AJ16=$AU16,"*","")</f>
        <v/>
      </c>
      <c r="AQ16" s="1" t="str">
        <f ca="1" t="shared" ref="AQ16:AQ71" si="49">IF(AK16=$AU16,"*","")</f>
        <v/>
      </c>
      <c r="AR16" s="1">
        <v>3</v>
      </c>
      <c r="AS16" s="1"/>
      <c r="AU16">
        <f ca="1" t="shared" ref="AU16:AU71" si="50">MAX(AX16:BA16)</f>
        <v>1</v>
      </c>
      <c r="AV16">
        <f ca="1" t="shared" ref="AV16:AV71" si="51">MIN(AX16:BA16)</f>
        <v>1</v>
      </c>
      <c r="AX16" s="1">
        <f ca="1">IF($T16="","",IF(ISERROR(INDEX(INDIRECT($G$6),$T16+1,uxb_works!$B$24)),"",INDEX(INDIRECT($G$6),$T16+1,uxb_works!$B$24)))</f>
        <v>1</v>
      </c>
      <c r="AY16" s="1">
        <f ca="1">IF($T16="","",IF(ISERROR(INDEX(INDIRECT($G$6),$T16+1,uxb_works!$B$25)),"",INDEX(INDIRECT($G$6),$T16+1,uxb_works!$B$25)))</f>
        <v>1</v>
      </c>
      <c r="AZ16" s="1">
        <f ca="1">IF($T16="","",IF(ISERROR(INDEX(INDIRECT($G$6),$T16+1,uxb_works!$B$26-1)),"",INDEX(INDIRECT($G$6),$T16+1,uxb_works!$B$26-1)))</f>
        <v>1</v>
      </c>
      <c r="BA16" s="1">
        <f ca="1">IF($T16="","",IF(ISERROR(INDEX(INDIRECT($G$6),$T16+1,uxb_works!$B$27-1)),"",INDEX(INDIRECT($G$6),$T16+1,uxb_works!$B$27-1)))</f>
        <v>1</v>
      </c>
      <c r="BC16">
        <f ca="1" t="shared" ref="BC16:BC71" si="52">IF(AND(AX16=$AU16,AX16=$AV16),0,IF(AX16=$AV16,1,IF(AX16=$AU16,2,0)))</f>
        <v>0</v>
      </c>
      <c r="BD16">
        <f ca="1" t="shared" ref="BD16:BD71" si="53">IF(AND(AY16=$AU16,AY16=$AV16),0,IF(AY16=$AV16,1,IF(AY16=$AU16,2,0)))</f>
        <v>0</v>
      </c>
      <c r="BE16">
        <f ca="1" t="shared" ref="BE16:BE71" si="54">IF(AND(AZ16=$AU16,AZ16=$AV16),0,IF(AZ16=$AV16,1,IF(AZ16=$AU16,2,0)))</f>
        <v>0</v>
      </c>
      <c r="BF16">
        <f ca="1" t="shared" ref="BF16:BF71" si="55">IF(AND(BA16=$AU16,BA16=$AV16),0,IF(BA16=$AV16,1,IF(BA16=$AU16,2,0)))</f>
        <v>0</v>
      </c>
    </row>
    <row r="17" customFormat="1" spans="1:58">
      <c r="A17" s="1">
        <f t="shared" si="25"/>
        <v>7</v>
      </c>
      <c r="B17" s="1" t="str">
        <f>tblCategories!D9</f>
        <v>1.1.5) Dedicated cyber security teams</v>
      </c>
      <c r="C17" s="1">
        <f>tblCategories!F9</f>
        <v>1</v>
      </c>
      <c r="D17" s="1">
        <f t="shared" si="39"/>
        <v>993</v>
      </c>
      <c r="E17" s="1">
        <f ca="1" t="shared" si="40"/>
        <v>50</v>
      </c>
      <c r="F17" s="1">
        <f ca="1" t="shared" si="18"/>
        <v>1</v>
      </c>
      <c r="G17" s="1">
        <f ca="1" t="shared" si="19"/>
        <v>50</v>
      </c>
      <c r="H17" s="1">
        <f ca="1" t="shared" si="20"/>
        <v>1</v>
      </c>
      <c r="I17" s="1" t="e">
        <f ca="1" t="shared" si="21"/>
        <v>#VALUE!</v>
      </c>
      <c r="J17" s="1">
        <f ca="1" t="shared" si="22"/>
        <v>1</v>
      </c>
      <c r="K17" s="1" t="e">
        <f ca="1" t="shared" si="23"/>
        <v>#VALUE!</v>
      </c>
      <c r="L17" s="1">
        <f ca="1" t="shared" si="24"/>
        <v>1</v>
      </c>
      <c r="M17" s="1">
        <f>IF(D17=0,"",tblIndiSets!C182)</f>
        <v>3</v>
      </c>
      <c r="N17" s="1"/>
      <c r="O17" s="1"/>
      <c r="P17" s="1"/>
      <c r="Q17" s="1">
        <f ca="1" t="shared" si="0"/>
        <v>3</v>
      </c>
      <c r="R17" s="1">
        <f ca="1" t="shared" si="1"/>
        <v>993</v>
      </c>
      <c r="S17" s="1">
        <f ca="1">IF($C17=0,"",RANK(R17,R$11:R$71,0)+COUNTIF(R$11:R17,R17)-1)</f>
        <v>7</v>
      </c>
      <c r="T17" s="1">
        <f ca="1" t="shared" si="41"/>
        <v>7</v>
      </c>
      <c r="U17" s="269">
        <f ca="1" t="shared" si="42"/>
        <v>53</v>
      </c>
      <c r="V17" s="269">
        <f ca="1" t="shared" si="43"/>
        <v>3</v>
      </c>
      <c r="W17" s="269">
        <f ca="1" t="shared" si="44"/>
        <v>993</v>
      </c>
      <c r="X17" s="268" t="str">
        <f ca="1" t="shared" si="45"/>
        <v>=53</v>
      </c>
      <c r="Y17" s="1" t="str">
        <f ca="1" t="shared" si="6"/>
        <v>1.1.5) Dedicated cyber security teams</v>
      </c>
      <c r="Z17" s="1">
        <f ca="1" t="shared" si="7"/>
        <v>50</v>
      </c>
      <c r="AA17" s="1">
        <f ca="1" t="shared" si="7"/>
        <v>1</v>
      </c>
      <c r="AB17" s="1">
        <f ca="1" t="shared" si="8"/>
        <v>50</v>
      </c>
      <c r="AC17" s="1">
        <f ca="1" t="shared" si="9"/>
        <v>1</v>
      </c>
      <c r="AD17" s="1" t="e">
        <f ca="1" t="shared" si="10"/>
        <v>#VALUE!</v>
      </c>
      <c r="AE17" s="1">
        <f ca="1" t="shared" si="11"/>
        <v>1</v>
      </c>
      <c r="AF17" s="1" t="e">
        <f ca="1" t="shared" si="12"/>
        <v>#VALUE!</v>
      </c>
      <c r="AG17" s="1">
        <f ca="1" t="shared" si="13"/>
        <v>1</v>
      </c>
      <c r="AH17" s="1" t="str">
        <f ca="1">IF($T17="","",IF(ISERROR(INDEX(INDIRECT($H$6),$T17+1,uxb_works!$B$24)),"",INDEX(INDIRECT($H$6),$T17+1,uxb_works!$B$24)))</f>
        <v>=20</v>
      </c>
      <c r="AI17" s="1" t="str">
        <f ca="1">IF($T17="","",IF(ISERROR(INDEX(INDIRECT($H$6),$T17+1,uxb_works!$B$25)),"",INDEX(INDIRECT($H$6),$T17+1,uxb_works!$B$25)))</f>
        <v>=20</v>
      </c>
      <c r="AJ17" s="1" t="str">
        <f ca="1">IF($T17="","",IF(ISERROR(INDEX(INDIRECT($H$6),$T17+1,uxb_works!$B$26-1)),"",INDEX(INDIRECT($H$6),$T17+1,uxb_works!$B$26-1)))</f>
        <v>=20</v>
      </c>
      <c r="AK17" s="1" t="str">
        <f ca="1">IF($T17="","",IF(ISERROR(INDEX(INDIRECT($H$6),$T17+1,uxb_works!$B$27-1)),"",INDEX(INDIRECT($H$6),$T17+1,uxb_works!$B$27-1)))</f>
        <v>=20</v>
      </c>
      <c r="AL17" s="1"/>
      <c r="AM17" s="18"/>
      <c r="AN17" s="1" t="str">
        <f ca="1" t="shared" si="46"/>
        <v/>
      </c>
      <c r="AO17" s="1" t="str">
        <f ca="1" t="shared" si="47"/>
        <v/>
      </c>
      <c r="AP17" s="1" t="str">
        <f ca="1" t="shared" si="48"/>
        <v/>
      </c>
      <c r="AQ17" s="1" t="str">
        <f ca="1" t="shared" si="49"/>
        <v/>
      </c>
      <c r="AR17" s="1">
        <v>3</v>
      </c>
      <c r="AS17" s="1"/>
      <c r="AU17">
        <f ca="1" t="shared" si="50"/>
        <v>20</v>
      </c>
      <c r="AV17">
        <f ca="1" t="shared" si="51"/>
        <v>1</v>
      </c>
      <c r="AX17" s="1">
        <f ca="1">IF($T17="","",IF(ISERROR(INDEX(INDIRECT($G$6),$T17+1,uxb_works!$B$24)),"",INDEX(INDIRECT($G$6),$T17+1,uxb_works!$B$24)))</f>
        <v>20</v>
      </c>
      <c r="AY17" s="1">
        <f ca="1">IF($T17="","",IF(ISERROR(INDEX(INDIRECT($G$6),$T17+1,uxb_works!$B$25)),"",INDEX(INDIRECT($G$6),$T17+1,uxb_works!$B$25)))</f>
        <v>20</v>
      </c>
      <c r="AZ17" s="1">
        <f ca="1">IF($T17="","",IF(ISERROR(INDEX(INDIRECT($G$6),$T17+1,uxb_works!$B$26-1)),"",INDEX(INDIRECT($G$6),$T17+1,uxb_works!$B$26-1)))</f>
        <v>20</v>
      </c>
      <c r="BA17" s="1">
        <f ca="1">IF($T17="","",IF(ISERROR(INDEX(INDIRECT($G$6),$T17+1,uxb_works!$B$27-1)),"",INDEX(INDIRECT($G$6),$T17+1,uxb_works!$B$27-1)))</f>
        <v>1</v>
      </c>
      <c r="BC17">
        <f ca="1" t="shared" si="52"/>
        <v>2</v>
      </c>
      <c r="BD17">
        <f ca="1" t="shared" si="53"/>
        <v>2</v>
      </c>
      <c r="BE17">
        <f ca="1" t="shared" si="54"/>
        <v>2</v>
      </c>
      <c r="BF17">
        <f ca="1" t="shared" si="55"/>
        <v>1</v>
      </c>
    </row>
    <row r="18" customFormat="1" spans="1:58">
      <c r="A18" s="1">
        <f t="shared" si="25"/>
        <v>8</v>
      </c>
      <c r="B18" s="1" t="str">
        <f>tblCategories!D10</f>
        <v>1.2) Digital security (Outputs)</v>
      </c>
      <c r="C18" s="1">
        <f>tblCategories!F10</f>
        <v>1</v>
      </c>
      <c r="D18" s="1">
        <f t="shared" si="39"/>
        <v>992</v>
      </c>
      <c r="E18" s="1">
        <f ca="1" t="shared" si="40"/>
        <v>74.2150882505875</v>
      </c>
      <c r="F18" s="1" t="str">
        <f ca="1" t="shared" si="18"/>
        <v/>
      </c>
      <c r="G18" s="1">
        <f ca="1" t="shared" si="19"/>
        <v>74.2150882505875</v>
      </c>
      <c r="H18" s="1" t="str">
        <f ca="1" t="shared" si="20"/>
        <v/>
      </c>
      <c r="I18" s="1" t="e">
        <f ca="1" t="shared" si="21"/>
        <v>#VALUE!</v>
      </c>
      <c r="J18" s="1" t="str">
        <f ca="1" t="shared" si="22"/>
        <v/>
      </c>
      <c r="K18" s="1" t="e">
        <f ca="1" t="shared" si="23"/>
        <v>#VALUE!</v>
      </c>
      <c r="L18" s="1" t="str">
        <f ca="1" t="shared" si="24"/>
        <v/>
      </c>
      <c r="M18" s="1">
        <f>IF(D18=0,"",tblIndiSets!C183)</f>
        <v>2</v>
      </c>
      <c r="N18" s="1"/>
      <c r="O18" s="1"/>
      <c r="P18" s="1"/>
      <c r="Q18" s="1">
        <f ca="1" t="shared" si="0"/>
        <v>2</v>
      </c>
      <c r="R18" s="1">
        <f ca="1" t="shared" si="1"/>
        <v>992</v>
      </c>
      <c r="S18" s="1">
        <f ca="1">IF($C18=0,"",RANK(R18,R$11:R$71,0)+COUNTIF(R$11:R18,R18)-1)</f>
        <v>8</v>
      </c>
      <c r="T18" s="1">
        <f ca="1" t="shared" si="41"/>
        <v>8</v>
      </c>
      <c r="U18" s="269">
        <f ca="1" t="shared" si="42"/>
        <v>41</v>
      </c>
      <c r="V18" s="269">
        <f ca="1" t="shared" si="43"/>
        <v>1</v>
      </c>
      <c r="W18" s="269">
        <f ca="1" t="shared" si="44"/>
        <v>992</v>
      </c>
      <c r="X18" s="268">
        <f ca="1" t="shared" si="45"/>
        <v>41</v>
      </c>
      <c r="Y18" s="1" t="str">
        <f ca="1" t="shared" si="6"/>
        <v>1.2) Digital security (Outputs)</v>
      </c>
      <c r="Z18" s="1">
        <f ca="1" t="shared" si="7"/>
        <v>74.2150882505875</v>
      </c>
      <c r="AA18" s="1" t="str">
        <f ca="1" t="shared" si="7"/>
        <v/>
      </c>
      <c r="AB18" s="1">
        <f ca="1" t="shared" si="8"/>
        <v>74.2150882505875</v>
      </c>
      <c r="AC18" s="1" t="str">
        <f ca="1" t="shared" si="9"/>
        <v/>
      </c>
      <c r="AD18" s="1" t="e">
        <f ca="1" t="shared" si="10"/>
        <v>#VALUE!</v>
      </c>
      <c r="AE18" s="1" t="str">
        <f ca="1" t="shared" si="11"/>
        <v/>
      </c>
      <c r="AF18" s="1" t="e">
        <f ca="1" t="shared" si="12"/>
        <v>#VALUE!</v>
      </c>
      <c r="AG18" s="1" t="str">
        <f ca="1" t="shared" si="13"/>
        <v/>
      </c>
      <c r="AH18" s="1" t="str">
        <f ca="1">IF($T18="","",IF(ISERROR(INDEX(INDIRECT($H$6),$T18+1,uxb_works!$B$24)),"",INDEX(INDIRECT($H$6),$T18+1,uxb_works!$B$24)))</f>
        <v>=16</v>
      </c>
      <c r="AI18" s="1" t="str">
        <f ca="1">IF($T18="","",IF(ISERROR(INDEX(INDIRECT($H$6),$T18+1,uxb_works!$B$25)),"",INDEX(INDIRECT($H$6),$T18+1,uxb_works!$B$25)))</f>
        <v>=16</v>
      </c>
      <c r="AJ18" s="1" t="str">
        <f ca="1">IF($T18="","",IF(ISERROR(INDEX(INDIRECT($H$6),$T18+1,uxb_works!$B$26-1)),"",INDEX(INDIRECT($H$6),$T18+1,uxb_works!$B$26-1)))</f>
        <v>=41</v>
      </c>
      <c r="AK18" s="1" t="str">
        <f ca="1">IF($T18="","",IF(ISERROR(INDEX(INDIRECT($H$6),$T18+1,uxb_works!$B$27-1)),"",INDEX(INDIRECT($H$6),$T18+1,uxb_works!$B$27-1)))</f>
        <v>52</v>
      </c>
      <c r="AL18" s="1"/>
      <c r="AM18" s="18"/>
      <c r="AN18" s="1" t="str">
        <f ca="1" t="shared" si="46"/>
        <v/>
      </c>
      <c r="AO18" s="1" t="str">
        <f ca="1" t="shared" si="47"/>
        <v/>
      </c>
      <c r="AP18" s="1" t="str">
        <f ca="1" t="shared" si="48"/>
        <v/>
      </c>
      <c r="AQ18" s="1" t="str">
        <f ca="1" t="shared" si="49"/>
        <v/>
      </c>
      <c r="AR18" s="1">
        <v>3</v>
      </c>
      <c r="AS18" s="1"/>
      <c r="AU18">
        <f ca="1" t="shared" si="50"/>
        <v>16</v>
      </c>
      <c r="AV18">
        <f ca="1" t="shared" si="51"/>
        <v>2</v>
      </c>
      <c r="AX18" s="1">
        <f ca="1">IF($T18="","",IF(ISERROR(INDEX(INDIRECT($G$6),$T18+1,uxb_works!$B$24)),"",INDEX(INDIRECT($G$6),$T18+1,uxb_works!$B$24)))</f>
        <v>16</v>
      </c>
      <c r="AY18" s="1">
        <f ca="1">IF($T18="","",IF(ISERROR(INDEX(INDIRECT($G$6),$T18+1,uxb_works!$B$25)),"",INDEX(INDIRECT($G$6),$T18+1,uxb_works!$B$25)))</f>
        <v>16</v>
      </c>
      <c r="AZ18" s="1">
        <f ca="1">IF($T18="","",IF(ISERROR(INDEX(INDIRECT($G$6),$T18+1,uxb_works!$B$26-1)),"",INDEX(INDIRECT($G$6),$T18+1,uxb_works!$B$26-1)))</f>
        <v>2</v>
      </c>
      <c r="BA18" s="1">
        <f ca="1">IF($T18="","",IF(ISERROR(INDEX(INDIRECT($G$6),$T18+1,uxb_works!$B$27-1)),"",INDEX(INDIRECT($G$6),$T18+1,uxb_works!$B$27-1)))</f>
        <v>15</v>
      </c>
      <c r="BC18">
        <f ca="1" t="shared" si="52"/>
        <v>2</v>
      </c>
      <c r="BD18">
        <f ca="1" t="shared" si="53"/>
        <v>2</v>
      </c>
      <c r="BE18">
        <f ca="1" t="shared" si="54"/>
        <v>1</v>
      </c>
      <c r="BF18">
        <f ca="1" t="shared" si="55"/>
        <v>0</v>
      </c>
    </row>
    <row r="19" customFormat="1" spans="1:58">
      <c r="A19" s="1">
        <f t="shared" si="25"/>
        <v>9</v>
      </c>
      <c r="B19" s="1" t="str">
        <f>tblCategories!D11</f>
        <v>1.2.1) Frequency of identity theft</v>
      </c>
      <c r="C19" s="1">
        <f>tblCategories!F11</f>
        <v>1</v>
      </c>
      <c r="D19" s="1">
        <f t="shared" si="39"/>
        <v>991</v>
      </c>
      <c r="E19" s="1">
        <f ca="1" t="shared" si="40"/>
        <v>100</v>
      </c>
      <c r="F19" s="1">
        <f ca="1" t="shared" si="18"/>
        <v>0</v>
      </c>
      <c r="G19" s="1">
        <f ca="1" t="shared" si="19"/>
        <v>100</v>
      </c>
      <c r="H19" s="1">
        <f ca="1" t="shared" si="20"/>
        <v>0</v>
      </c>
      <c r="I19" s="1" t="e">
        <f ca="1" t="shared" si="21"/>
        <v>#VALUE!</v>
      </c>
      <c r="J19" s="1">
        <f ca="1" t="shared" si="22"/>
        <v>0</v>
      </c>
      <c r="K19" s="1" t="e">
        <f ca="1" t="shared" si="23"/>
        <v>#VALUE!</v>
      </c>
      <c r="L19" s="1">
        <f ca="1" t="shared" si="24"/>
        <v>0</v>
      </c>
      <c r="M19" s="1">
        <f>IF(D19=0,"",tblIndiSets!C184)</f>
        <v>3</v>
      </c>
      <c r="N19" s="1"/>
      <c r="O19" s="1"/>
      <c r="P19" s="1"/>
      <c r="Q19" s="1">
        <f ca="1" t="shared" si="0"/>
        <v>3</v>
      </c>
      <c r="R19" s="1">
        <f ca="1" t="shared" si="1"/>
        <v>991</v>
      </c>
      <c r="S19" s="1">
        <f ca="1">IF($C19=0,"",RANK(R19,R$11:R$71,0)+COUNTIF(R$11:R19,R19)-1)</f>
        <v>9</v>
      </c>
      <c r="T19" s="1">
        <f ca="1" t="shared" si="41"/>
        <v>9</v>
      </c>
      <c r="U19" s="269">
        <f ca="1" t="shared" si="42"/>
        <v>1</v>
      </c>
      <c r="V19" s="269">
        <f ca="1" t="shared" si="43"/>
        <v>15</v>
      </c>
      <c r="W19" s="269">
        <f ca="1" t="shared" si="44"/>
        <v>991</v>
      </c>
      <c r="X19" s="268" t="str">
        <f ca="1" t="shared" si="45"/>
        <v>=1</v>
      </c>
      <c r="Y19" s="1" t="str">
        <f ca="1" t="shared" si="6"/>
        <v>1.2.1) Frequency of identity theft</v>
      </c>
      <c r="Z19" s="1">
        <f ca="1" t="shared" si="7"/>
        <v>100</v>
      </c>
      <c r="AA19" s="1">
        <f ca="1" t="shared" si="7"/>
        <v>0</v>
      </c>
      <c r="AB19" s="1">
        <f ca="1" t="shared" si="8"/>
        <v>100</v>
      </c>
      <c r="AC19" s="1">
        <f ca="1" t="shared" si="9"/>
        <v>0</v>
      </c>
      <c r="AD19" s="1" t="e">
        <f ca="1" t="shared" si="10"/>
        <v>#VALUE!</v>
      </c>
      <c r="AE19" s="1">
        <f ca="1" t="shared" si="11"/>
        <v>0</v>
      </c>
      <c r="AF19" s="1" t="e">
        <f ca="1" t="shared" si="12"/>
        <v>#VALUE!</v>
      </c>
      <c r="AG19" s="1">
        <f ca="1" t="shared" si="13"/>
        <v>0</v>
      </c>
      <c r="AH19" s="1" t="str">
        <f ca="1">IF($T19="","",IF(ISERROR(INDEX(INDIRECT($H$6),$T19+1,uxb_works!$B$24)),"",INDEX(INDIRECT($H$6),$T19+1,uxb_works!$B$24)))</f>
        <v>=1</v>
      </c>
      <c r="AI19" s="1" t="str">
        <f ca="1">IF($T19="","",IF(ISERROR(INDEX(INDIRECT($H$6),$T19+1,uxb_works!$B$25)),"",INDEX(INDIRECT($H$6),$T19+1,uxb_works!$B$25)))</f>
        <v>=1</v>
      </c>
      <c r="AJ19" s="1" t="str">
        <f ca="1">IF($T19="","",IF(ISERROR(INDEX(INDIRECT($H$6),$T19+1,uxb_works!$B$26-1)),"",INDEX(INDIRECT($H$6),$T19+1,uxb_works!$B$26-1)))</f>
        <v>=38</v>
      </c>
      <c r="AK19" s="1" t="str">
        <f ca="1">IF($T19="","",IF(ISERROR(INDEX(INDIRECT($H$6),$T19+1,uxb_works!$B$27-1)),"",INDEX(INDIRECT($H$6),$T19+1,uxb_works!$B$27-1)))</f>
        <v>40</v>
      </c>
      <c r="AL19" s="1"/>
      <c r="AM19" s="18"/>
      <c r="AN19" s="1" t="str">
        <f ca="1" t="shared" si="46"/>
        <v/>
      </c>
      <c r="AO19" s="1" t="str">
        <f ca="1" t="shared" si="47"/>
        <v/>
      </c>
      <c r="AP19" s="1" t="str">
        <f ca="1" t="shared" si="48"/>
        <v/>
      </c>
      <c r="AQ19" s="1" t="str">
        <f ca="1" t="shared" si="49"/>
        <v/>
      </c>
      <c r="AR19" s="1">
        <v>3</v>
      </c>
      <c r="AS19" s="1"/>
      <c r="AU19">
        <f ca="1" t="shared" si="50"/>
        <v>47</v>
      </c>
      <c r="AV19">
        <f ca="1" t="shared" si="51"/>
        <v>1</v>
      </c>
      <c r="AX19" s="1">
        <f ca="1">IF($T19="","",IF(ISERROR(INDEX(INDIRECT($G$6),$T19+1,uxb_works!$B$24)),"",INDEX(INDIRECT($G$6),$T19+1,uxb_works!$B$24)))</f>
        <v>1</v>
      </c>
      <c r="AY19" s="1">
        <f ca="1">IF($T19="","",IF(ISERROR(INDEX(INDIRECT($G$6),$T19+1,uxb_works!$B$25)),"",INDEX(INDIRECT($G$6),$T19+1,uxb_works!$B$25)))</f>
        <v>1</v>
      </c>
      <c r="AZ19" s="1">
        <f ca="1">IF($T19="","",IF(ISERROR(INDEX(INDIRECT($G$6),$T19+1,uxb_works!$B$26-1)),"",INDEX(INDIRECT($G$6),$T19+1,uxb_works!$B$26-1)))</f>
        <v>1</v>
      </c>
      <c r="BA19" s="1">
        <f ca="1">IF($T19="","",IF(ISERROR(INDEX(INDIRECT($G$6),$T19+1,uxb_works!$B$27-1)),"",INDEX(INDIRECT($G$6),$T19+1,uxb_works!$B$27-1)))</f>
        <v>47</v>
      </c>
      <c r="BC19">
        <f ca="1" t="shared" si="52"/>
        <v>1</v>
      </c>
      <c r="BD19">
        <f ca="1" t="shared" si="53"/>
        <v>1</v>
      </c>
      <c r="BE19">
        <f ca="1" t="shared" si="54"/>
        <v>1</v>
      </c>
      <c r="BF19">
        <f ca="1" t="shared" si="55"/>
        <v>2</v>
      </c>
    </row>
    <row r="20" customFormat="1" spans="1:58">
      <c r="A20" s="1">
        <f t="shared" si="25"/>
        <v>10</v>
      </c>
      <c r="B20" s="1" t="str">
        <f>tblCategories!D12</f>
        <v>1.2.2) Percentage of computers infected</v>
      </c>
      <c r="C20" s="1">
        <f>tblCategories!F12</f>
        <v>1</v>
      </c>
      <c r="D20" s="1">
        <f t="shared" si="39"/>
        <v>990</v>
      </c>
      <c r="E20" s="1">
        <f ca="1" t="shared" si="40"/>
        <v>25</v>
      </c>
      <c r="F20" s="1">
        <f ca="1" t="shared" si="18"/>
        <v>4</v>
      </c>
      <c r="G20" s="1">
        <f ca="1" t="shared" si="19"/>
        <v>25</v>
      </c>
      <c r="H20" s="1">
        <f ca="1" t="shared" si="20"/>
        <v>4</v>
      </c>
      <c r="I20" s="1" t="e">
        <f ca="1" t="shared" si="21"/>
        <v>#VALUE!</v>
      </c>
      <c r="J20" s="1">
        <f ca="1" t="shared" si="22"/>
        <v>4</v>
      </c>
      <c r="K20" s="1" t="e">
        <f ca="1" t="shared" si="23"/>
        <v>#VALUE!</v>
      </c>
      <c r="L20" s="1">
        <f ca="1" t="shared" si="24"/>
        <v>4</v>
      </c>
      <c r="M20" s="1">
        <f>IF(D20=0,"",tblIndiSets!C185)</f>
        <v>3</v>
      </c>
      <c r="N20" s="1"/>
      <c r="O20" s="1"/>
      <c r="P20" s="1"/>
      <c r="Q20" s="1">
        <f ca="1" t="shared" si="0"/>
        <v>3</v>
      </c>
      <c r="R20" s="1">
        <f ca="1" t="shared" si="1"/>
        <v>990</v>
      </c>
      <c r="S20" s="1">
        <f ca="1">IF($C20=0,"",RANK(R20,R$11:R$71,0)+COUNTIF(R$11:R20,R20)-1)</f>
        <v>10</v>
      </c>
      <c r="T20" s="1">
        <f ca="1" t="shared" si="41"/>
        <v>10</v>
      </c>
      <c r="U20" s="269">
        <f ca="1" t="shared" si="42"/>
        <v>58</v>
      </c>
      <c r="V20" s="269">
        <f ca="1" t="shared" si="43"/>
        <v>1</v>
      </c>
      <c r="W20" s="269">
        <f ca="1" t="shared" si="44"/>
        <v>990</v>
      </c>
      <c r="X20" s="268">
        <f ca="1" t="shared" si="45"/>
        <v>58</v>
      </c>
      <c r="Y20" s="1" t="str">
        <f ca="1" t="shared" si="6"/>
        <v>1.2.2) Percentage of computers infected</v>
      </c>
      <c r="Z20" s="1">
        <f ca="1" t="shared" si="7"/>
        <v>25</v>
      </c>
      <c r="AA20" s="1">
        <f ca="1" t="shared" si="7"/>
        <v>4</v>
      </c>
      <c r="AB20" s="1">
        <f ca="1" t="shared" si="8"/>
        <v>25</v>
      </c>
      <c r="AC20" s="1">
        <f ca="1" t="shared" si="9"/>
        <v>4</v>
      </c>
      <c r="AD20" s="1" t="e">
        <f ca="1" t="shared" si="10"/>
        <v>#VALUE!</v>
      </c>
      <c r="AE20" s="1">
        <f ca="1" t="shared" si="11"/>
        <v>4</v>
      </c>
      <c r="AF20" s="1" t="e">
        <f ca="1" t="shared" si="12"/>
        <v>#VALUE!</v>
      </c>
      <c r="AG20" s="1">
        <f ca="1" t="shared" si="13"/>
        <v>4</v>
      </c>
      <c r="AH20" s="1" t="str">
        <f ca="1">IF($T20="","",IF(ISERROR(INDEX(INDIRECT($H$6),$T20+1,uxb_works!$B$24)),"",INDEX(INDIRECT($H$6),$T20+1,uxb_works!$B$24)))</f>
        <v>=42</v>
      </c>
      <c r="AI20" s="1" t="str">
        <f ca="1">IF($T20="","",IF(ISERROR(INDEX(INDIRECT($H$6),$T20+1,uxb_works!$B$25)),"",INDEX(INDIRECT($H$6),$T20+1,uxb_works!$B$25)))</f>
        <v>=42</v>
      </c>
      <c r="AJ20" s="1" t="str">
        <f ca="1">IF($T20="","",IF(ISERROR(INDEX(INDIRECT($H$6),$T20+1,uxb_works!$B$26-1)),"",INDEX(INDIRECT($H$6),$T20+1,uxb_works!$B$26-1)))</f>
        <v>=42</v>
      </c>
      <c r="AK20" s="1" t="str">
        <f ca="1">IF($T20="","",IF(ISERROR(INDEX(INDIRECT($H$6),$T20+1,uxb_works!$B$27-1)),"",INDEX(INDIRECT($H$6),$T20+1,uxb_works!$B$27-1)))</f>
        <v>60</v>
      </c>
      <c r="AL20" s="1"/>
      <c r="AM20" s="18"/>
      <c r="AN20" s="1" t="str">
        <f ca="1" t="shared" si="46"/>
        <v/>
      </c>
      <c r="AO20" s="1" t="str">
        <f ca="1" t="shared" si="47"/>
        <v/>
      </c>
      <c r="AP20" s="1" t="str">
        <f ca="1" t="shared" si="48"/>
        <v/>
      </c>
      <c r="AQ20" s="1" t="str">
        <f ca="1" t="shared" si="49"/>
        <v/>
      </c>
      <c r="AR20" s="1">
        <v>3</v>
      </c>
      <c r="AS20" s="1"/>
      <c r="AU20">
        <f ca="1" t="shared" si="50"/>
        <v>42</v>
      </c>
      <c r="AV20">
        <f ca="1" t="shared" si="51"/>
        <v>1</v>
      </c>
      <c r="AX20" s="1">
        <f ca="1">IF($T20="","",IF(ISERROR(INDEX(INDIRECT($G$6),$T20+1,uxb_works!$B$24)),"",INDEX(INDIRECT($G$6),$T20+1,uxb_works!$B$24)))</f>
        <v>42</v>
      </c>
      <c r="AY20" s="1">
        <f ca="1">IF($T20="","",IF(ISERROR(INDEX(INDIRECT($G$6),$T20+1,uxb_works!$B$25)),"",INDEX(INDIRECT($G$6),$T20+1,uxb_works!$B$25)))</f>
        <v>42</v>
      </c>
      <c r="AZ20" s="1">
        <f ca="1">IF($T20="","",IF(ISERROR(INDEX(INDIRECT($G$6),$T20+1,uxb_works!$B$26-1)),"",INDEX(INDIRECT($G$6),$T20+1,uxb_works!$B$26-1)))</f>
        <v>1</v>
      </c>
      <c r="BA20" s="1">
        <f ca="1">IF($T20="","",IF(ISERROR(INDEX(INDIRECT($G$6),$T20+1,uxb_works!$B$27-1)),"",INDEX(INDIRECT($G$6),$T20+1,uxb_works!$B$27-1)))</f>
        <v>10</v>
      </c>
      <c r="BC20">
        <f ca="1" t="shared" si="52"/>
        <v>2</v>
      </c>
      <c r="BD20">
        <f ca="1" t="shared" si="53"/>
        <v>2</v>
      </c>
      <c r="BE20">
        <f ca="1" t="shared" si="54"/>
        <v>1</v>
      </c>
      <c r="BF20">
        <f ca="1" t="shared" si="55"/>
        <v>0</v>
      </c>
    </row>
    <row r="21" customFormat="1" spans="1:58">
      <c r="A21" s="1">
        <f t="shared" si="25"/>
        <v>11</v>
      </c>
      <c r="B21" s="1" t="str">
        <f>tblCategories!D13</f>
        <v>1.2.3) Percentage with Internet access</v>
      </c>
      <c r="C21" s="1">
        <f>tblCategories!F13</f>
        <v>1</v>
      </c>
      <c r="D21" s="1">
        <f t="shared" si="39"/>
        <v>989</v>
      </c>
      <c r="E21" s="1">
        <f ca="1" t="shared" si="40"/>
        <v>97.6452647517627</v>
      </c>
      <c r="F21" s="1">
        <f ca="1" t="shared" si="18"/>
        <v>0.912434057753709</v>
      </c>
      <c r="G21" s="1">
        <f ca="1" t="shared" si="19"/>
        <v>97.6452647517627</v>
      </c>
      <c r="H21" s="1">
        <f ca="1" t="shared" si="20"/>
        <v>0.912434057753709</v>
      </c>
      <c r="I21" s="1" t="e">
        <f ca="1" t="shared" si="21"/>
        <v>#VALUE!</v>
      </c>
      <c r="J21" s="1">
        <f ca="1" t="shared" si="22"/>
        <v>0.912434057753709</v>
      </c>
      <c r="K21" s="1" t="e">
        <f ca="1" t="shared" si="23"/>
        <v>#VALUE!</v>
      </c>
      <c r="L21" s="1">
        <f ca="1" t="shared" si="24"/>
        <v>0.66835</v>
      </c>
      <c r="M21" s="1">
        <f>IF(D21=0,"",tblIndiSets!C186)</f>
        <v>3</v>
      </c>
      <c r="N21" s="1"/>
      <c r="O21" s="1"/>
      <c r="P21" s="1"/>
      <c r="Q21" s="1">
        <f ca="1" t="shared" si="0"/>
        <v>3</v>
      </c>
      <c r="R21" s="1">
        <f ca="1" t="shared" si="1"/>
        <v>989</v>
      </c>
      <c r="S21" s="1">
        <f ca="1">IF($C21=0,"",RANK(R21,R$11:R$71,0)+COUNTIF(R$11:R21,R21)-1)</f>
        <v>11</v>
      </c>
      <c r="T21" s="1">
        <f ca="1" t="shared" si="41"/>
        <v>11</v>
      </c>
      <c r="U21" s="269">
        <f ca="1" t="shared" si="42"/>
        <v>19</v>
      </c>
      <c r="V21" s="269">
        <f ca="1" t="shared" si="43"/>
        <v>1</v>
      </c>
      <c r="W21" s="269">
        <f ca="1" t="shared" si="44"/>
        <v>989</v>
      </c>
      <c r="X21" s="268">
        <f ca="1" t="shared" si="45"/>
        <v>19</v>
      </c>
      <c r="Y21" s="1" t="str">
        <f ca="1" t="shared" si="6"/>
        <v>1.2.3) Percentage with Internet access</v>
      </c>
      <c r="Z21" s="1">
        <f ca="1" t="shared" si="7"/>
        <v>97.6452647517627</v>
      </c>
      <c r="AA21" s="1">
        <f ca="1" t="shared" si="7"/>
        <v>0.912434057753709</v>
      </c>
      <c r="AB21" s="1">
        <f ca="1" t="shared" si="8"/>
        <v>97.6452647517627</v>
      </c>
      <c r="AC21" s="1">
        <f ca="1" t="shared" si="9"/>
        <v>0.912434057753709</v>
      </c>
      <c r="AD21" s="1" t="e">
        <f ca="1" t="shared" si="10"/>
        <v>#VALUE!</v>
      </c>
      <c r="AE21" s="1">
        <f ca="1" t="shared" si="11"/>
        <v>0.912434057753709</v>
      </c>
      <c r="AF21" s="1" t="e">
        <f ca="1" t="shared" si="12"/>
        <v>#VALUE!</v>
      </c>
      <c r="AG21" s="1">
        <f ca="1" t="shared" si="13"/>
        <v>0.66835</v>
      </c>
      <c r="AH21" s="1" t="str">
        <f ca="1">IF($T21="","",IF(ISERROR(INDEX(INDIRECT($H$6),$T21+1,uxb_works!$B$24)),"",INDEX(INDIRECT($H$6),$T21+1,uxb_works!$B$24)))</f>
        <v>4</v>
      </c>
      <c r="AI21" s="1" t="str">
        <f ca="1">IF($T21="","",IF(ISERROR(INDEX(INDIRECT($H$6),$T21+1,uxb_works!$B$25)),"",INDEX(INDIRECT($H$6),$T21+1,uxb_works!$B$25)))</f>
        <v>4</v>
      </c>
      <c r="AJ21" s="1" t="str">
        <f ca="1">IF($T21="","",IF(ISERROR(INDEX(INDIRECT($H$6),$T21+1,uxb_works!$B$26-1)),"",INDEX(INDIRECT($H$6),$T21+1,uxb_works!$B$26-1)))</f>
        <v>=37</v>
      </c>
      <c r="AK21" s="1" t="str">
        <f ca="1">IF($T21="","",IF(ISERROR(INDEX(INDIRECT($H$6),$T21+1,uxb_works!$B$27-1)),"",INDEX(INDIRECT($H$6),$T21+1,uxb_works!$B$27-1)))</f>
        <v>32</v>
      </c>
      <c r="AL21" s="1"/>
      <c r="AM21" s="18"/>
      <c r="AN21" s="1" t="str">
        <f ca="1" t="shared" si="46"/>
        <v/>
      </c>
      <c r="AO21" s="1" t="str">
        <f ca="1" t="shared" si="47"/>
        <v/>
      </c>
      <c r="AP21" s="1" t="str">
        <f ca="1" t="shared" si="48"/>
        <v/>
      </c>
      <c r="AQ21" s="1" t="str">
        <f ca="1" t="shared" si="49"/>
        <v/>
      </c>
      <c r="AR21" s="1">
        <v>3</v>
      </c>
      <c r="AS21" s="1"/>
      <c r="AU21">
        <f ca="1" t="shared" si="50"/>
        <v>16</v>
      </c>
      <c r="AV21">
        <f ca="1" t="shared" si="51"/>
        <v>4</v>
      </c>
      <c r="AX21" s="1">
        <f ca="1">IF($T21="","",IF(ISERROR(INDEX(INDIRECT($G$6),$T21+1,uxb_works!$B$24)),"",INDEX(INDIRECT($G$6),$T21+1,uxb_works!$B$24)))</f>
        <v>4</v>
      </c>
      <c r="AY21" s="1">
        <f ca="1">IF($T21="","",IF(ISERROR(INDEX(INDIRECT($G$6),$T21+1,uxb_works!$B$25)),"",INDEX(INDIRECT($G$6),$T21+1,uxb_works!$B$25)))</f>
        <v>4</v>
      </c>
      <c r="AZ21" s="1">
        <f ca="1">IF($T21="","",IF(ISERROR(INDEX(INDIRECT($G$6),$T21+1,uxb_works!$B$26-1)),"",INDEX(INDIRECT($G$6),$T21+1,uxb_works!$B$26-1)))</f>
        <v>5</v>
      </c>
      <c r="BA21" s="1">
        <f ca="1">IF($T21="","",IF(ISERROR(INDEX(INDIRECT($G$6),$T21+1,uxb_works!$B$27-1)),"",INDEX(INDIRECT($G$6),$T21+1,uxb_works!$B$27-1)))</f>
        <v>16</v>
      </c>
      <c r="BC21">
        <f ca="1" t="shared" si="52"/>
        <v>1</v>
      </c>
      <c r="BD21">
        <f ca="1" t="shared" si="53"/>
        <v>1</v>
      </c>
      <c r="BE21">
        <f ca="1" t="shared" si="54"/>
        <v>0</v>
      </c>
      <c r="BF21">
        <f ca="1" t="shared" si="55"/>
        <v>2</v>
      </c>
    </row>
    <row r="22" customFormat="1" spans="1:58">
      <c r="A22" s="1">
        <f t="shared" si="25"/>
        <v>12</v>
      </c>
      <c r="B22" s="1" t="str">
        <f>tblCategories!D14</f>
        <v>2) HEALTH SECURITY</v>
      </c>
      <c r="C22" s="1">
        <f>tblCategories!F14</f>
        <v>1</v>
      </c>
      <c r="D22" s="1">
        <f t="shared" si="39"/>
        <v>988</v>
      </c>
      <c r="E22" s="1">
        <f ca="1" t="shared" si="40"/>
        <v>68.5404322865189</v>
      </c>
      <c r="F22" s="1" t="str">
        <f ca="1" t="shared" si="18"/>
        <v/>
      </c>
      <c r="G22" s="1">
        <f ca="1" t="shared" si="19"/>
        <v>68.5404322865189</v>
      </c>
      <c r="H22" s="1" t="str">
        <f ca="1" t="shared" si="20"/>
        <v/>
      </c>
      <c r="I22" s="1" t="e">
        <f ca="1" t="shared" si="21"/>
        <v>#VALUE!</v>
      </c>
      <c r="J22" s="1" t="str">
        <f ca="1" t="shared" si="22"/>
        <v/>
      </c>
      <c r="K22" s="1" t="e">
        <f ca="1" t="shared" si="23"/>
        <v>#VALUE!</v>
      </c>
      <c r="L22" s="1" t="str">
        <f ca="1" t="shared" si="24"/>
        <v/>
      </c>
      <c r="M22" s="1">
        <f>IF(D22=0,"",tblIndiSets!C187)</f>
        <v>1</v>
      </c>
      <c r="N22" s="1"/>
      <c r="O22" s="1"/>
      <c r="P22" s="1"/>
      <c r="Q22" s="1">
        <f ca="1" t="shared" si="0"/>
        <v>1</v>
      </c>
      <c r="R22" s="1">
        <f ca="1" t="shared" si="1"/>
        <v>988</v>
      </c>
      <c r="S22" s="1">
        <f ca="1">IF($C22=0,"",RANK(R22,R$11:R$71,0)+COUNTIF(R$11:R22,R22)-1)</f>
        <v>12</v>
      </c>
      <c r="T22" s="1">
        <f ca="1" t="shared" si="41"/>
        <v>12</v>
      </c>
      <c r="U22" s="269">
        <f ca="1" t="shared" si="42"/>
        <v>45</v>
      </c>
      <c r="V22" s="269">
        <f ca="1" t="shared" si="43"/>
        <v>1</v>
      </c>
      <c r="W22" s="269">
        <f ca="1" t="shared" si="44"/>
        <v>988</v>
      </c>
      <c r="X22" s="268">
        <f ca="1" t="shared" si="45"/>
        <v>45</v>
      </c>
      <c r="Y22" s="1" t="str">
        <f ca="1" t="shared" si="6"/>
        <v>2) HEALTH SECURITY</v>
      </c>
      <c r="Z22" s="1">
        <f ca="1" t="shared" si="7"/>
        <v>68.5404322865189</v>
      </c>
      <c r="AA22" s="1" t="str">
        <f ca="1" t="shared" si="7"/>
        <v/>
      </c>
      <c r="AB22" s="1">
        <f ca="1" t="shared" si="8"/>
        <v>68.5404322865189</v>
      </c>
      <c r="AC22" s="1" t="str">
        <f ca="1" t="shared" si="9"/>
        <v/>
      </c>
      <c r="AD22" s="1" t="e">
        <f ca="1" t="shared" si="10"/>
        <v>#VALUE!</v>
      </c>
      <c r="AE22" s="1" t="str">
        <f ca="1" t="shared" si="11"/>
        <v/>
      </c>
      <c r="AF22" s="1" t="e">
        <f ca="1" t="shared" si="12"/>
        <v>#VALUE!</v>
      </c>
      <c r="AG22" s="1" t="str">
        <f ca="1" t="shared" si="13"/>
        <v/>
      </c>
      <c r="AH22" s="1" t="str">
        <f ca="1">IF($T22="","",IF(ISERROR(INDEX(INDIRECT($H$6),$T22+1,uxb_works!$B$24)),"",INDEX(INDIRECT($H$6),$T22+1,uxb_works!$B$24)))</f>
        <v>33</v>
      </c>
      <c r="AI22" s="1" t="str">
        <f ca="1">IF($T22="","",IF(ISERROR(INDEX(INDIRECT($H$6),$T22+1,uxb_works!$B$25)),"",INDEX(INDIRECT($H$6),$T22+1,uxb_works!$B$25)))</f>
        <v>33</v>
      </c>
      <c r="AJ22" s="1" t="str">
        <f ca="1">IF($T22="","",IF(ISERROR(INDEX(INDIRECT($H$6),$T22+1,uxb_works!$B$26-1)),"",INDEX(INDIRECT($H$6),$T22+1,uxb_works!$B$26-1)))</f>
        <v>17</v>
      </c>
      <c r="AK22" s="1" t="str">
        <f ca="1">IF($T22="","",IF(ISERROR(INDEX(INDIRECT($H$6),$T22+1,uxb_works!$B$27-1)),"",INDEX(INDIRECT($H$6),$T22+1,uxb_works!$B$27-1)))</f>
        <v>25</v>
      </c>
      <c r="AL22" s="1"/>
      <c r="AM22" s="18"/>
      <c r="AN22" s="1" t="str">
        <f ca="1" t="shared" si="46"/>
        <v/>
      </c>
      <c r="AO22" s="1" t="str">
        <f ca="1" t="shared" si="47"/>
        <v/>
      </c>
      <c r="AP22" s="1" t="str">
        <f ca="1" t="shared" si="48"/>
        <v/>
      </c>
      <c r="AQ22" s="1" t="str">
        <f ca="1" t="shared" si="49"/>
        <v/>
      </c>
      <c r="AR22" s="1">
        <v>3</v>
      </c>
      <c r="AS22" s="1"/>
      <c r="AU22">
        <f ca="1" t="shared" si="50"/>
        <v>33</v>
      </c>
      <c r="AV22">
        <f ca="1" t="shared" si="51"/>
        <v>6</v>
      </c>
      <c r="AX22" s="1">
        <f ca="1">IF($T22="","",IF(ISERROR(INDEX(INDIRECT($G$6),$T22+1,uxb_works!$B$24)),"",INDEX(INDIRECT($G$6),$T22+1,uxb_works!$B$24)))</f>
        <v>33</v>
      </c>
      <c r="AY22" s="1">
        <f ca="1">IF($T22="","",IF(ISERROR(INDEX(INDIRECT($G$6),$T22+1,uxb_works!$B$25)),"",INDEX(INDIRECT($G$6),$T22+1,uxb_works!$B$25)))</f>
        <v>33</v>
      </c>
      <c r="AZ22" s="1">
        <f ca="1">IF($T22="","",IF(ISERROR(INDEX(INDIRECT($G$6),$T22+1,uxb_works!$B$26-1)),"",INDEX(INDIRECT($G$6),$T22+1,uxb_works!$B$26-1)))</f>
        <v>10</v>
      </c>
      <c r="BA22" s="1">
        <f ca="1">IF($T22="","",IF(ISERROR(INDEX(INDIRECT($G$6),$T22+1,uxb_works!$B$27-1)),"",INDEX(INDIRECT($G$6),$T22+1,uxb_works!$B$27-1)))</f>
        <v>6</v>
      </c>
      <c r="BC22">
        <f ca="1" t="shared" si="52"/>
        <v>2</v>
      </c>
      <c r="BD22">
        <f ca="1" t="shared" si="53"/>
        <v>2</v>
      </c>
      <c r="BE22">
        <f ca="1" t="shared" si="54"/>
        <v>0</v>
      </c>
      <c r="BF22">
        <f ca="1" t="shared" si="55"/>
        <v>1</v>
      </c>
    </row>
    <row r="23" customFormat="1" spans="1:58">
      <c r="A23" s="1">
        <f t="shared" si="25"/>
        <v>13</v>
      </c>
      <c r="B23" s="1" t="str">
        <f>tblCategories!D15</f>
        <v>2.1) Health security (Inputs)</v>
      </c>
      <c r="C23" s="1">
        <f>tblCategories!F15</f>
        <v>1</v>
      </c>
      <c r="D23" s="1">
        <f t="shared" si="39"/>
        <v>987</v>
      </c>
      <c r="E23" s="1">
        <f ca="1" t="shared" si="40"/>
        <v>55.909058022829</v>
      </c>
      <c r="F23" s="1" t="str">
        <f ca="1" t="shared" si="18"/>
        <v/>
      </c>
      <c r="G23" s="1">
        <f ca="1" t="shared" si="19"/>
        <v>55.909058022829</v>
      </c>
      <c r="H23" s="1" t="str">
        <f ca="1" t="shared" si="20"/>
        <v/>
      </c>
      <c r="I23" s="1" t="e">
        <f ca="1" t="shared" si="21"/>
        <v>#VALUE!</v>
      </c>
      <c r="J23" s="1" t="str">
        <f ca="1" t="shared" si="22"/>
        <v/>
      </c>
      <c r="K23" s="1" t="e">
        <f ca="1" t="shared" si="23"/>
        <v>#VALUE!</v>
      </c>
      <c r="L23" s="1" t="str">
        <f ca="1" t="shared" si="24"/>
        <v/>
      </c>
      <c r="M23" s="1">
        <f>IF(D23=0,"",tblIndiSets!C188)</f>
        <v>2</v>
      </c>
      <c r="N23" s="1"/>
      <c r="O23" s="1"/>
      <c r="P23" s="1"/>
      <c r="Q23" s="1">
        <f ca="1" t="shared" si="0"/>
        <v>2</v>
      </c>
      <c r="R23" s="1">
        <f ca="1" t="shared" si="1"/>
        <v>987</v>
      </c>
      <c r="S23" s="1">
        <f ca="1">IF($C23=0,"",RANK(R23,R$11:R$71,0)+COUNTIF(R$11:R23,R23)-1)</f>
        <v>13</v>
      </c>
      <c r="T23" s="1">
        <f ca="1" t="shared" si="41"/>
        <v>13</v>
      </c>
      <c r="U23" s="269">
        <f ca="1" t="shared" si="42"/>
        <v>51</v>
      </c>
      <c r="V23" s="269">
        <f ca="1" t="shared" si="43"/>
        <v>1</v>
      </c>
      <c r="W23" s="269">
        <f ca="1" t="shared" si="44"/>
        <v>987</v>
      </c>
      <c r="X23" s="268">
        <f ca="1" t="shared" si="45"/>
        <v>51</v>
      </c>
      <c r="Y23" s="1" t="str">
        <f ca="1" t="shared" si="6"/>
        <v>2.1) Health security (Inputs)</v>
      </c>
      <c r="Z23" s="1">
        <f ca="1" t="shared" si="7"/>
        <v>55.909058022829</v>
      </c>
      <c r="AA23" s="1" t="str">
        <f ca="1" t="shared" si="7"/>
        <v/>
      </c>
      <c r="AB23" s="1">
        <f ca="1" t="shared" si="8"/>
        <v>55.909058022829</v>
      </c>
      <c r="AC23" s="1" t="str">
        <f ca="1" t="shared" si="9"/>
        <v/>
      </c>
      <c r="AD23" s="1" t="e">
        <f ca="1" t="shared" si="10"/>
        <v>#VALUE!</v>
      </c>
      <c r="AE23" s="1" t="str">
        <f ca="1" t="shared" si="11"/>
        <v/>
      </c>
      <c r="AF23" s="1" t="e">
        <f ca="1" t="shared" si="12"/>
        <v>#VALUE!</v>
      </c>
      <c r="AG23" s="1" t="str">
        <f ca="1" t="shared" si="13"/>
        <v/>
      </c>
      <c r="AH23" s="1" t="str">
        <f ca="1">IF($T23="","",IF(ISERROR(INDEX(INDIRECT($H$6),$T23+1,uxb_works!$B$24)),"",INDEX(INDIRECT($H$6),$T23+1,uxb_works!$B$24)))</f>
        <v>37</v>
      </c>
      <c r="AI23" s="1" t="str">
        <f ca="1">IF($T23="","",IF(ISERROR(INDEX(INDIRECT($H$6),$T23+1,uxb_works!$B$25)),"",INDEX(INDIRECT($H$6),$T23+1,uxb_works!$B$25)))</f>
        <v>37</v>
      </c>
      <c r="AJ23" s="1" t="str">
        <f ca="1">IF($T23="","",IF(ISERROR(INDEX(INDIRECT($H$6),$T23+1,uxb_works!$B$26-1)),"",INDEX(INDIRECT($H$6),$T23+1,uxb_works!$B$26-1)))</f>
        <v>22</v>
      </c>
      <c r="AK23" s="1" t="str">
        <f ca="1">IF($T23="","",IF(ISERROR(INDEX(INDIRECT($H$6),$T23+1,uxb_works!$B$27-1)),"",INDEX(INDIRECT($H$6),$T23+1,uxb_works!$B$27-1)))</f>
        <v>13</v>
      </c>
      <c r="AL23" s="1"/>
      <c r="AM23" s="18"/>
      <c r="AN23" s="1" t="str">
        <f ca="1" t="shared" si="46"/>
        <v/>
      </c>
      <c r="AO23" s="1" t="str">
        <f ca="1" t="shared" si="47"/>
        <v/>
      </c>
      <c r="AP23" s="1" t="str">
        <f ca="1" t="shared" si="48"/>
        <v/>
      </c>
      <c r="AQ23" s="1" t="str">
        <f ca="1" t="shared" si="49"/>
        <v/>
      </c>
      <c r="AR23" s="1">
        <v>3</v>
      </c>
      <c r="AS23" s="1"/>
      <c r="AU23">
        <f ca="1" t="shared" si="50"/>
        <v>37</v>
      </c>
      <c r="AV23">
        <f ca="1" t="shared" si="51"/>
        <v>11</v>
      </c>
      <c r="AX23" s="1">
        <f ca="1">IF($T23="","",IF(ISERROR(INDEX(INDIRECT($G$6),$T23+1,uxb_works!$B$24)),"",INDEX(INDIRECT($G$6),$T23+1,uxb_works!$B$24)))</f>
        <v>37</v>
      </c>
      <c r="AY23" s="1">
        <f ca="1">IF($T23="","",IF(ISERROR(INDEX(INDIRECT($G$6),$T23+1,uxb_works!$B$25)),"",INDEX(INDIRECT($G$6),$T23+1,uxb_works!$B$25)))</f>
        <v>37</v>
      </c>
      <c r="AZ23" s="1">
        <f ca="1">IF($T23="","",IF(ISERROR(INDEX(INDIRECT($G$6),$T23+1,uxb_works!$B$26-1)),"",INDEX(INDIRECT($G$6),$T23+1,uxb_works!$B$26-1)))</f>
        <v>20</v>
      </c>
      <c r="BA23" s="1">
        <f ca="1">IF($T23="","",IF(ISERROR(INDEX(INDIRECT($G$6),$T23+1,uxb_works!$B$27-1)),"",INDEX(INDIRECT($G$6),$T23+1,uxb_works!$B$27-1)))</f>
        <v>11</v>
      </c>
      <c r="BC23">
        <f ca="1" t="shared" si="52"/>
        <v>2</v>
      </c>
      <c r="BD23">
        <f ca="1" t="shared" si="53"/>
        <v>2</v>
      </c>
      <c r="BE23">
        <f ca="1" t="shared" si="54"/>
        <v>0</v>
      </c>
      <c r="BF23">
        <f ca="1" t="shared" si="55"/>
        <v>1</v>
      </c>
    </row>
    <row r="24" customFormat="1" spans="1:58">
      <c r="A24" s="1">
        <f t="shared" si="25"/>
        <v>14</v>
      </c>
      <c r="B24" s="1" t="str">
        <f>tblCategories!D16</f>
        <v>2.1.1) Environmental policies</v>
      </c>
      <c r="C24" s="1">
        <f>tblCategories!F16</f>
        <v>1</v>
      </c>
      <c r="D24" s="1">
        <f t="shared" si="39"/>
        <v>986</v>
      </c>
      <c r="E24" s="1">
        <f ca="1" t="shared" si="40"/>
        <v>62.7906976744186</v>
      </c>
      <c r="F24" s="1">
        <f ca="1" t="shared" si="18"/>
        <v>66.6666666666667</v>
      </c>
      <c r="G24" s="1">
        <f ca="1" t="shared" si="19"/>
        <v>62.7906976744186</v>
      </c>
      <c r="H24" s="1">
        <f ca="1" t="shared" si="20"/>
        <v>66.6666666666667</v>
      </c>
      <c r="I24" s="1" t="e">
        <f ca="1" t="shared" si="21"/>
        <v>#VALUE!</v>
      </c>
      <c r="J24" s="1">
        <f ca="1" t="shared" si="22"/>
        <v>66.6666666666667</v>
      </c>
      <c r="K24" s="1" t="e">
        <f ca="1" t="shared" si="23"/>
        <v>#VALUE!</v>
      </c>
      <c r="L24" s="1">
        <f ca="1" t="shared" si="24"/>
        <v>50</v>
      </c>
      <c r="M24" s="1">
        <f>IF(D24=0,"",tblIndiSets!C189)</f>
        <v>3</v>
      </c>
      <c r="N24" s="1"/>
      <c r="O24" s="1"/>
      <c r="P24" s="1"/>
      <c r="Q24" s="1">
        <f ca="1" t="shared" si="0"/>
        <v>3</v>
      </c>
      <c r="R24" s="1">
        <f ca="1" t="shared" si="1"/>
        <v>986</v>
      </c>
      <c r="S24" s="1">
        <f ca="1">IF($C24=0,"",RANK(R24,R$11:R$71,0)+COUNTIF(R$11:R24,R24)-1)</f>
        <v>14</v>
      </c>
      <c r="T24" s="1">
        <f ca="1" t="shared" si="41"/>
        <v>14</v>
      </c>
      <c r="U24" s="269">
        <f ca="1" t="shared" si="42"/>
        <v>50</v>
      </c>
      <c r="V24" s="269">
        <f ca="1" t="shared" si="43"/>
        <v>1</v>
      </c>
      <c r="W24" s="269">
        <f ca="1" t="shared" si="44"/>
        <v>986</v>
      </c>
      <c r="X24" s="268">
        <f ca="1" t="shared" si="45"/>
        <v>50</v>
      </c>
      <c r="Y24" s="1" t="str">
        <f ca="1" t="shared" si="6"/>
        <v>2.1.1) Environmental policies</v>
      </c>
      <c r="Z24" s="1">
        <f ca="1" t="shared" si="7"/>
        <v>62.7906976744186</v>
      </c>
      <c r="AA24" s="1">
        <f ca="1" t="shared" si="7"/>
        <v>66.6666666666667</v>
      </c>
      <c r="AB24" s="1">
        <f ca="1" t="shared" si="8"/>
        <v>62.7906976744186</v>
      </c>
      <c r="AC24" s="1">
        <f ca="1" t="shared" si="9"/>
        <v>66.6666666666667</v>
      </c>
      <c r="AD24" s="1" t="e">
        <f ca="1" t="shared" si="10"/>
        <v>#VALUE!</v>
      </c>
      <c r="AE24" s="1">
        <f ca="1" t="shared" si="11"/>
        <v>66.6666666666667</v>
      </c>
      <c r="AF24" s="1" t="e">
        <f ca="1" t="shared" si="12"/>
        <v>#VALUE!</v>
      </c>
      <c r="AG24" s="1">
        <f ca="1" t="shared" si="13"/>
        <v>50</v>
      </c>
      <c r="AH24" s="1" t="str">
        <f ca="1">IF($T24="","",IF(ISERROR(INDEX(INDIRECT($H$6),$T24+1,uxb_works!$B$24)),"",INDEX(INDIRECT($H$6),$T24+1,uxb_works!$B$24)))</f>
        <v>=38</v>
      </c>
      <c r="AI24" s="1" t="str">
        <f ca="1">IF($T24="","",IF(ISERROR(INDEX(INDIRECT($H$6),$T24+1,uxb_works!$B$25)),"",INDEX(INDIRECT($H$6),$T24+1,uxb_works!$B$25)))</f>
        <v>=38</v>
      </c>
      <c r="AJ24" s="1" t="str">
        <f ca="1">IF($T24="","",IF(ISERROR(INDEX(INDIRECT($H$6),$T24+1,uxb_works!$B$26-1)),"",INDEX(INDIRECT($H$6),$T24+1,uxb_works!$B$26-1)))</f>
        <v>=25</v>
      </c>
      <c r="AK24" s="1" t="str">
        <f ca="1">IF($T24="","",IF(ISERROR(INDEX(INDIRECT($H$6),$T24+1,uxb_works!$B$27-1)),"",INDEX(INDIRECT($H$6),$T24+1,uxb_works!$B$27-1)))</f>
        <v>37</v>
      </c>
      <c r="AL24" s="1"/>
      <c r="AM24" s="18"/>
      <c r="AN24" s="1" t="str">
        <f ca="1" t="shared" si="46"/>
        <v/>
      </c>
      <c r="AO24" s="1" t="str">
        <f ca="1" t="shared" si="47"/>
        <v/>
      </c>
      <c r="AP24" s="1" t="str">
        <f ca="1" t="shared" si="48"/>
        <v/>
      </c>
      <c r="AQ24" s="1" t="str">
        <f ca="1" t="shared" si="49"/>
        <v/>
      </c>
      <c r="AR24" s="1">
        <v>3</v>
      </c>
      <c r="AS24" s="1"/>
      <c r="AU24">
        <f ca="1" t="shared" si="50"/>
        <v>38</v>
      </c>
      <c r="AV24">
        <f ca="1" t="shared" si="51"/>
        <v>18</v>
      </c>
      <c r="AX24" s="1">
        <f ca="1">IF($T24="","",IF(ISERROR(INDEX(INDIRECT($G$6),$T24+1,uxb_works!$B$24)),"",INDEX(INDIRECT($G$6),$T24+1,uxb_works!$B$24)))</f>
        <v>38</v>
      </c>
      <c r="AY24" s="1">
        <f ca="1">IF($T24="","",IF(ISERROR(INDEX(INDIRECT($G$6),$T24+1,uxb_works!$B$25)),"",INDEX(INDIRECT($G$6),$T24+1,uxb_works!$B$25)))</f>
        <v>38</v>
      </c>
      <c r="AZ24" s="1">
        <f ca="1">IF($T24="","",IF(ISERROR(INDEX(INDIRECT($G$6),$T24+1,uxb_works!$B$26-1)),"",INDEX(INDIRECT($G$6),$T24+1,uxb_works!$B$26-1)))</f>
        <v>18</v>
      </c>
      <c r="BA24" s="1">
        <f ca="1">IF($T24="","",IF(ISERROR(INDEX(INDIRECT($G$6),$T24+1,uxb_works!$B$27-1)),"",INDEX(INDIRECT($G$6),$T24+1,uxb_works!$B$27-1)))</f>
        <v>18</v>
      </c>
      <c r="BC24">
        <f ca="1" t="shared" si="52"/>
        <v>2</v>
      </c>
      <c r="BD24">
        <f ca="1" t="shared" si="53"/>
        <v>2</v>
      </c>
      <c r="BE24">
        <f ca="1" t="shared" si="54"/>
        <v>1</v>
      </c>
      <c r="BF24">
        <f ca="1" t="shared" si="55"/>
        <v>1</v>
      </c>
    </row>
    <row r="25" customFormat="1" spans="1:58">
      <c r="A25" s="1">
        <f t="shared" si="25"/>
        <v>15</v>
      </c>
      <c r="B25" s="1" t="str">
        <f>tblCategories!D17</f>
        <v>2.1.2) Access to healthcare</v>
      </c>
      <c r="C25" s="1">
        <f>tblCategories!F17</f>
        <v>1</v>
      </c>
      <c r="D25" s="1">
        <f t="shared" si="39"/>
        <v>985</v>
      </c>
      <c r="E25" s="1">
        <f ca="1" t="shared" si="40"/>
        <v>73.3333333333333</v>
      </c>
      <c r="F25" s="1">
        <f ca="1" t="shared" si="18"/>
        <v>73.3333333333333</v>
      </c>
      <c r="G25" s="1">
        <f ca="1" t="shared" si="19"/>
        <v>73.3333333333333</v>
      </c>
      <c r="H25" s="1">
        <f ca="1" t="shared" si="20"/>
        <v>73.3333333333333</v>
      </c>
      <c r="I25" s="1" t="e">
        <f ca="1" t="shared" si="21"/>
        <v>#VALUE!</v>
      </c>
      <c r="J25" s="1">
        <f ca="1" t="shared" si="22"/>
        <v>73.3333333333333</v>
      </c>
      <c r="K25" s="1" t="e">
        <f ca="1" t="shared" si="23"/>
        <v>#VALUE!</v>
      </c>
      <c r="L25" s="1">
        <f ca="1" t="shared" si="24"/>
        <v>73.3333333333333</v>
      </c>
      <c r="M25" s="1">
        <f>IF(D25=0,"",tblIndiSets!C190)</f>
        <v>3</v>
      </c>
      <c r="N25" s="1"/>
      <c r="O25" s="1"/>
      <c r="P25" s="1"/>
      <c r="Q25" s="1">
        <f ca="1" t="shared" si="0"/>
        <v>3</v>
      </c>
      <c r="R25" s="1">
        <f ca="1" t="shared" si="1"/>
        <v>985</v>
      </c>
      <c r="S25" s="1">
        <f ca="1">IF($C25=0,"",RANK(R25,R$11:R$71,0)+COUNTIF(R$11:R25,R25)-1)</f>
        <v>15</v>
      </c>
      <c r="T25" s="1">
        <f ca="1" t="shared" si="41"/>
        <v>15</v>
      </c>
      <c r="U25" s="269">
        <f ca="1" t="shared" si="42"/>
        <v>42</v>
      </c>
      <c r="V25" s="269">
        <f ca="1" t="shared" si="43"/>
        <v>1</v>
      </c>
      <c r="W25" s="269">
        <f ca="1" t="shared" si="44"/>
        <v>985</v>
      </c>
      <c r="X25" s="268">
        <f ca="1" t="shared" si="45"/>
        <v>42</v>
      </c>
      <c r="Y25" s="1" t="str">
        <f ca="1" t="shared" si="6"/>
        <v>2.1.2) Access to healthcare</v>
      </c>
      <c r="Z25" s="1">
        <f ca="1" t="shared" si="7"/>
        <v>73.3333333333333</v>
      </c>
      <c r="AA25" s="1">
        <f ca="1" t="shared" si="7"/>
        <v>73.3333333333333</v>
      </c>
      <c r="AB25" s="1">
        <f ca="1" t="shared" si="8"/>
        <v>73.3333333333333</v>
      </c>
      <c r="AC25" s="1">
        <f ca="1" t="shared" si="9"/>
        <v>73.3333333333333</v>
      </c>
      <c r="AD25" s="1" t="e">
        <f ca="1" t="shared" si="10"/>
        <v>#VALUE!</v>
      </c>
      <c r="AE25" s="1">
        <f ca="1" t="shared" si="11"/>
        <v>73.3333333333333</v>
      </c>
      <c r="AF25" s="1" t="e">
        <f ca="1" t="shared" si="12"/>
        <v>#VALUE!</v>
      </c>
      <c r="AG25" s="1">
        <f ca="1" t="shared" si="13"/>
        <v>73.3333333333333</v>
      </c>
      <c r="AH25" s="1" t="str">
        <f ca="1">IF($T25="","",IF(ISERROR(INDEX(INDIRECT($H$6),$T25+1,uxb_works!$B$24)),"",INDEX(INDIRECT($H$6),$T25+1,uxb_works!$B$24)))</f>
        <v>=43</v>
      </c>
      <c r="AI25" s="1" t="str">
        <f ca="1">IF($T25="","",IF(ISERROR(INDEX(INDIRECT($H$6),$T25+1,uxb_works!$B$25)),"",INDEX(INDIRECT($H$6),$T25+1,uxb_works!$B$25)))</f>
        <v>=43</v>
      </c>
      <c r="AJ25" s="1" t="str">
        <f ca="1">IF($T25="","",IF(ISERROR(INDEX(INDIRECT($H$6),$T25+1,uxb_works!$B$26-1)),"",INDEX(INDIRECT($H$6),$T25+1,uxb_works!$B$26-1)))</f>
        <v>=11</v>
      </c>
      <c r="AK25" s="1" t="str">
        <f ca="1">IF($T25="","",IF(ISERROR(INDEX(INDIRECT($H$6),$T25+1,uxb_works!$B$27-1)),"",INDEX(INDIRECT($H$6),$T25+1,uxb_works!$B$27-1)))</f>
        <v>=34</v>
      </c>
      <c r="AL25" s="1"/>
      <c r="AM25" s="18"/>
      <c r="AN25" s="1" t="str">
        <f ca="1" t="shared" si="46"/>
        <v/>
      </c>
      <c r="AO25" s="1" t="str">
        <f ca="1" t="shared" si="47"/>
        <v/>
      </c>
      <c r="AP25" s="1" t="str">
        <f ca="1" t="shared" si="48"/>
        <v/>
      </c>
      <c r="AQ25" s="1" t="str">
        <f ca="1" t="shared" si="49"/>
        <v/>
      </c>
      <c r="AR25" s="1">
        <v>3</v>
      </c>
      <c r="AS25" s="1"/>
      <c r="AU25">
        <f ca="1" t="shared" si="50"/>
        <v>43</v>
      </c>
      <c r="AV25">
        <f ca="1" t="shared" si="51"/>
        <v>1</v>
      </c>
      <c r="AX25" s="1">
        <f ca="1">IF($T25="","",IF(ISERROR(INDEX(INDIRECT($G$6),$T25+1,uxb_works!$B$24)),"",INDEX(INDIRECT($G$6),$T25+1,uxb_works!$B$24)))</f>
        <v>43</v>
      </c>
      <c r="AY25" s="1">
        <f ca="1">IF($T25="","",IF(ISERROR(INDEX(INDIRECT($G$6),$T25+1,uxb_works!$B$25)),"",INDEX(INDIRECT($G$6),$T25+1,uxb_works!$B$25)))</f>
        <v>43</v>
      </c>
      <c r="AZ25" s="1">
        <f ca="1">IF($T25="","",IF(ISERROR(INDEX(INDIRECT($G$6),$T25+1,uxb_works!$B$26-1)),"",INDEX(INDIRECT($G$6),$T25+1,uxb_works!$B$26-1)))</f>
        <v>25</v>
      </c>
      <c r="BA25" s="1">
        <f ca="1">IF($T25="","",IF(ISERROR(INDEX(INDIRECT($G$6),$T25+1,uxb_works!$B$27-1)),"",INDEX(INDIRECT($G$6),$T25+1,uxb_works!$B$27-1)))</f>
        <v>1</v>
      </c>
      <c r="BC25">
        <f ca="1" t="shared" si="52"/>
        <v>2</v>
      </c>
      <c r="BD25">
        <f ca="1" t="shared" si="53"/>
        <v>2</v>
      </c>
      <c r="BE25">
        <f ca="1" t="shared" si="54"/>
        <v>0</v>
      </c>
      <c r="BF25">
        <f ca="1" t="shared" si="55"/>
        <v>1</v>
      </c>
    </row>
    <row r="26" customFormat="1" spans="1:58">
      <c r="A26" s="1">
        <f t="shared" si="25"/>
        <v>16</v>
      </c>
      <c r="B26" s="1" t="str">
        <f>tblCategories!D18</f>
        <v>2.1.3) No. of beds per 1,000</v>
      </c>
      <c r="C26" s="1">
        <f>tblCategories!F18</f>
        <v>1</v>
      </c>
      <c r="D26" s="1">
        <f t="shared" si="39"/>
        <v>984</v>
      </c>
      <c r="E26" s="1">
        <f ca="1" t="shared" si="40"/>
        <v>8.26514587982478</v>
      </c>
      <c r="F26" s="1">
        <f ca="1" t="shared" si="18"/>
        <v>1.1</v>
      </c>
      <c r="G26" s="1">
        <f ca="1" t="shared" si="19"/>
        <v>8.26514587982478</v>
      </c>
      <c r="H26" s="1">
        <f ca="1" t="shared" si="20"/>
        <v>1.1</v>
      </c>
      <c r="I26" s="1" t="e">
        <f ca="1" t="shared" si="21"/>
        <v>#VALUE!</v>
      </c>
      <c r="J26" s="1">
        <f ca="1" t="shared" si="22"/>
        <v>1.1</v>
      </c>
      <c r="K26" s="1" t="e">
        <f ca="1" t="shared" si="23"/>
        <v>#VALUE!</v>
      </c>
      <c r="L26" s="1">
        <f ca="1" t="shared" si="24"/>
        <v>4.8</v>
      </c>
      <c r="M26" s="1">
        <f>IF(D26=0,"",tblIndiSets!C191)</f>
        <v>3</v>
      </c>
      <c r="N26" s="1"/>
      <c r="O26" s="1"/>
      <c r="P26" s="1"/>
      <c r="Q26" s="1">
        <f ca="1" t="shared" si="0"/>
        <v>3</v>
      </c>
      <c r="R26" s="1">
        <f ca="1" t="shared" si="1"/>
        <v>984</v>
      </c>
      <c r="S26" s="1">
        <f ca="1">IF($C26=0,"",RANK(R26,R$11:R$71,0)+COUNTIF(R$11:R26,R26)-1)</f>
        <v>16</v>
      </c>
      <c r="T26" s="1">
        <f ca="1" t="shared" si="41"/>
        <v>16</v>
      </c>
      <c r="U26" s="269">
        <f ca="1" t="shared" si="42"/>
        <v>60</v>
      </c>
      <c r="V26" s="269">
        <f ca="1" t="shared" si="43"/>
        <v>1</v>
      </c>
      <c r="W26" s="269">
        <f ca="1" t="shared" si="44"/>
        <v>984</v>
      </c>
      <c r="X26" s="268">
        <f ca="1" t="shared" si="45"/>
        <v>60</v>
      </c>
      <c r="Y26" s="1" t="str">
        <f ca="1" t="shared" si="6"/>
        <v>2.1.3) No. of beds per 1,000</v>
      </c>
      <c r="Z26" s="1">
        <f ca="1" t="shared" si="7"/>
        <v>8.26514587982478</v>
      </c>
      <c r="AA26" s="1">
        <f ca="1" t="shared" si="7"/>
        <v>1.1</v>
      </c>
      <c r="AB26" s="1">
        <f ca="1" t="shared" si="8"/>
        <v>8.26514587982478</v>
      </c>
      <c r="AC26" s="1">
        <f ca="1" t="shared" si="9"/>
        <v>1.1</v>
      </c>
      <c r="AD26" s="1" t="e">
        <f ca="1" t="shared" si="10"/>
        <v>#VALUE!</v>
      </c>
      <c r="AE26" s="1">
        <f ca="1" t="shared" si="11"/>
        <v>1.1</v>
      </c>
      <c r="AF26" s="1" t="e">
        <f ca="1" t="shared" si="12"/>
        <v>#VALUE!</v>
      </c>
      <c r="AG26" s="1">
        <f ca="1" t="shared" si="13"/>
        <v>4.8</v>
      </c>
      <c r="AH26" s="1" t="str">
        <f ca="1">IF($T26="","",IF(ISERROR(INDEX(INDIRECT($H$6),$T26+1,uxb_works!$B$24)),"",INDEX(INDIRECT($H$6),$T26+1,uxb_works!$B$24)))</f>
        <v>51</v>
      </c>
      <c r="AI26" s="1" t="str">
        <f ca="1">IF($T26="","",IF(ISERROR(INDEX(INDIRECT($H$6),$T26+1,uxb_works!$B$25)),"",INDEX(INDIRECT($H$6),$T26+1,uxb_works!$B$25)))</f>
        <v>51</v>
      </c>
      <c r="AJ26" s="1" t="str">
        <f ca="1">IF($T26="","",IF(ISERROR(INDEX(INDIRECT($H$6),$T26+1,uxb_works!$B$26-1)),"",INDEX(INDIRECT($H$6),$T26+1,uxb_works!$B$26-1)))</f>
        <v>=18</v>
      </c>
      <c r="AK26" s="1" t="str">
        <f ca="1">IF($T26="","",IF(ISERROR(INDEX(INDIRECT($H$6),$T26+1,uxb_works!$B$27-1)),"",INDEX(INDIRECT($H$6),$T26+1,uxb_works!$B$27-1)))</f>
        <v>2</v>
      </c>
      <c r="AL26" s="1"/>
      <c r="AM26" s="18"/>
      <c r="AN26" s="1" t="str">
        <f ca="1" t="shared" si="46"/>
        <v/>
      </c>
      <c r="AO26" s="1" t="str">
        <f ca="1" t="shared" si="47"/>
        <v/>
      </c>
      <c r="AP26" s="1" t="str">
        <f ca="1" t="shared" si="48"/>
        <v/>
      </c>
      <c r="AQ26" s="1" t="str">
        <f ca="1" t="shared" si="49"/>
        <v/>
      </c>
      <c r="AR26" s="1">
        <v>3</v>
      </c>
      <c r="AS26" s="1"/>
      <c r="AU26">
        <f ca="1" t="shared" si="50"/>
        <v>51</v>
      </c>
      <c r="AV26">
        <f ca="1" t="shared" si="51"/>
        <v>16</v>
      </c>
      <c r="AX26" s="1">
        <f ca="1">IF($T26="","",IF(ISERROR(INDEX(INDIRECT($G$6),$T26+1,uxb_works!$B$24)),"",INDEX(INDIRECT($G$6),$T26+1,uxb_works!$B$24)))</f>
        <v>51</v>
      </c>
      <c r="AY26" s="1">
        <f ca="1">IF($T26="","",IF(ISERROR(INDEX(INDIRECT($G$6),$T26+1,uxb_works!$B$25)),"",INDEX(INDIRECT($G$6),$T26+1,uxb_works!$B$25)))</f>
        <v>51</v>
      </c>
      <c r="AZ26" s="1">
        <f ca="1">IF($T26="","",IF(ISERROR(INDEX(INDIRECT($G$6),$T26+1,uxb_works!$B$26-1)),"",INDEX(INDIRECT($G$6),$T26+1,uxb_works!$B$26-1)))</f>
        <v>25</v>
      </c>
      <c r="BA26" s="1">
        <f ca="1">IF($T26="","",IF(ISERROR(INDEX(INDIRECT($G$6),$T26+1,uxb_works!$B$27-1)),"",INDEX(INDIRECT($G$6),$T26+1,uxb_works!$B$27-1)))</f>
        <v>16</v>
      </c>
      <c r="BC26">
        <f ca="1" t="shared" si="52"/>
        <v>2</v>
      </c>
      <c r="BD26">
        <f ca="1" t="shared" si="53"/>
        <v>2</v>
      </c>
      <c r="BE26">
        <f ca="1" t="shared" si="54"/>
        <v>0</v>
      </c>
      <c r="BF26">
        <f ca="1" t="shared" si="55"/>
        <v>1</v>
      </c>
    </row>
    <row r="27" customFormat="1" spans="1:58">
      <c r="A27" s="1">
        <f t="shared" si="25"/>
        <v>17</v>
      </c>
      <c r="B27" s="1" t="str">
        <f>tblCategories!D19</f>
        <v>2.1.4) No. of doctors per 1,000</v>
      </c>
      <c r="C27" s="1">
        <f>tblCategories!F19</f>
        <v>1</v>
      </c>
      <c r="D27" s="1">
        <f t="shared" si="39"/>
        <v>983</v>
      </c>
      <c r="E27" s="1">
        <f ca="1" t="shared" si="40"/>
        <v>16.365171249397</v>
      </c>
      <c r="F27" s="1">
        <f ca="1" t="shared" si="18"/>
        <v>1.558</v>
      </c>
      <c r="G27" s="1">
        <f ca="1" t="shared" si="19"/>
        <v>16.365171249397</v>
      </c>
      <c r="H27" s="1">
        <f ca="1" t="shared" si="20"/>
        <v>1.558</v>
      </c>
      <c r="I27" s="1" t="e">
        <f ca="1" t="shared" si="21"/>
        <v>#VALUE!</v>
      </c>
      <c r="J27" s="1">
        <f ca="1" t="shared" si="22"/>
        <v>1.558</v>
      </c>
      <c r="K27" s="1" t="e">
        <f ca="1" t="shared" si="23"/>
        <v>#VALUE!</v>
      </c>
      <c r="L27" s="1">
        <f ca="1" t="shared" si="24"/>
        <v>6.255</v>
      </c>
      <c r="M27" s="1">
        <f>IF(D27=0,"",tblIndiSets!C192)</f>
        <v>3</v>
      </c>
      <c r="N27" s="1"/>
      <c r="O27" s="1"/>
      <c r="P27" s="1"/>
      <c r="Q27" s="1">
        <f ca="1" t="shared" si="0"/>
        <v>3</v>
      </c>
      <c r="R27" s="1">
        <f ca="1" t="shared" si="1"/>
        <v>983</v>
      </c>
      <c r="S27" s="1">
        <f ca="1">IF($C27=0,"",RANK(R27,R$11:R$71,0)+COUNTIF(R$11:R27,R27)-1)</f>
        <v>17</v>
      </c>
      <c r="T27" s="1">
        <f ca="1" t="shared" si="41"/>
        <v>17</v>
      </c>
      <c r="U27" s="269">
        <f ca="1" t="shared" si="42"/>
        <v>59</v>
      </c>
      <c r="V27" s="269">
        <f ca="1" t="shared" si="43"/>
        <v>1</v>
      </c>
      <c r="W27" s="269">
        <f ca="1" t="shared" si="44"/>
        <v>983</v>
      </c>
      <c r="X27" s="268">
        <f ca="1" t="shared" si="45"/>
        <v>59</v>
      </c>
      <c r="Y27" s="1" t="str">
        <f ca="1" t="shared" si="6"/>
        <v>2.1.4) No. of doctors per 1,000</v>
      </c>
      <c r="Z27" s="1">
        <f ca="1" t="shared" si="7"/>
        <v>16.365171249397</v>
      </c>
      <c r="AA27" s="1">
        <f ca="1" t="shared" si="7"/>
        <v>1.558</v>
      </c>
      <c r="AB27" s="1">
        <f ca="1" t="shared" si="8"/>
        <v>16.365171249397</v>
      </c>
      <c r="AC27" s="1">
        <f ca="1" t="shared" si="9"/>
        <v>1.558</v>
      </c>
      <c r="AD27" s="1" t="e">
        <f ca="1" t="shared" si="10"/>
        <v>#VALUE!</v>
      </c>
      <c r="AE27" s="1">
        <f ca="1" t="shared" si="11"/>
        <v>1.558</v>
      </c>
      <c r="AF27" s="1" t="e">
        <f ca="1" t="shared" si="12"/>
        <v>#VALUE!</v>
      </c>
      <c r="AG27" s="1">
        <f ca="1" t="shared" si="13"/>
        <v>6.255</v>
      </c>
      <c r="AH27" s="1" t="str">
        <f ca="1">IF($T27="","",IF(ISERROR(INDEX(INDIRECT($H$6),$T27+1,uxb_works!$B$24)),"",INDEX(INDIRECT($H$6),$T27+1,uxb_works!$B$24)))</f>
        <v>43</v>
      </c>
      <c r="AI27" s="1" t="str">
        <f ca="1">IF($T27="","",IF(ISERROR(INDEX(INDIRECT($H$6),$T27+1,uxb_works!$B$25)),"",INDEX(INDIRECT($H$6),$T27+1,uxb_works!$B$25)))</f>
        <v>43</v>
      </c>
      <c r="AJ27" s="1" t="str">
        <f ca="1">IF($T27="","",IF(ISERROR(INDEX(INDIRECT($H$6),$T27+1,uxb_works!$B$26-1)),"",INDEX(INDIRECT($H$6),$T27+1,uxb_works!$B$26-1)))</f>
        <v>=6</v>
      </c>
      <c r="AK27" s="1" t="str">
        <f ca="1">IF($T27="","",IF(ISERROR(INDEX(INDIRECT($H$6),$T27+1,uxb_works!$B$27-1)),"",INDEX(INDIRECT($H$6),$T27+1,uxb_works!$B$27-1)))</f>
        <v>16</v>
      </c>
      <c r="AL27" s="1"/>
      <c r="AM27" s="18"/>
      <c r="AN27" s="1" t="str">
        <f ca="1" t="shared" si="46"/>
        <v/>
      </c>
      <c r="AO27" s="1" t="str">
        <f ca="1" t="shared" si="47"/>
        <v/>
      </c>
      <c r="AP27" s="1" t="str">
        <f ca="1" t="shared" si="48"/>
        <v/>
      </c>
      <c r="AQ27" s="1" t="str">
        <f ca="1" t="shared" si="49"/>
        <v/>
      </c>
      <c r="AR27" s="1">
        <v>3</v>
      </c>
      <c r="AS27" s="1"/>
      <c r="AU27">
        <f ca="1" t="shared" si="50"/>
        <v>43</v>
      </c>
      <c r="AV27">
        <f ca="1" t="shared" si="51"/>
        <v>5</v>
      </c>
      <c r="AX27" s="1">
        <f ca="1">IF($T27="","",IF(ISERROR(INDEX(INDIRECT($G$6),$T27+1,uxb_works!$B$24)),"",INDEX(INDIRECT($G$6),$T27+1,uxb_works!$B$24)))</f>
        <v>43</v>
      </c>
      <c r="AY27" s="1">
        <f ca="1">IF($T27="","",IF(ISERROR(INDEX(INDIRECT($G$6),$T27+1,uxb_works!$B$25)),"",INDEX(INDIRECT($G$6),$T27+1,uxb_works!$B$25)))</f>
        <v>43</v>
      </c>
      <c r="AZ27" s="1">
        <f ca="1">IF($T27="","",IF(ISERROR(INDEX(INDIRECT($G$6),$T27+1,uxb_works!$B$26-1)),"",INDEX(INDIRECT($G$6),$T27+1,uxb_works!$B$26-1)))</f>
        <v>5</v>
      </c>
      <c r="BA27" s="1">
        <f ca="1">IF($T27="","",IF(ISERROR(INDEX(INDIRECT($G$6),$T27+1,uxb_works!$B$27-1)),"",INDEX(INDIRECT($G$6),$T27+1,uxb_works!$B$27-1)))</f>
        <v>13</v>
      </c>
      <c r="BC27">
        <f ca="1" t="shared" si="52"/>
        <v>2</v>
      </c>
      <c r="BD27">
        <f ca="1" t="shared" si="53"/>
        <v>2</v>
      </c>
      <c r="BE27">
        <f ca="1" t="shared" si="54"/>
        <v>1</v>
      </c>
      <c r="BF27">
        <f ca="1" t="shared" si="55"/>
        <v>0</v>
      </c>
    </row>
    <row r="28" customFormat="1" spans="1:58">
      <c r="A28" s="1">
        <f t="shared" si="25"/>
        <v>18</v>
      </c>
      <c r="B28" s="1" t="str">
        <f>tblCategories!D20</f>
        <v>2.1.5) Access to safe and quality food</v>
      </c>
      <c r="C28" s="1">
        <f>tblCategories!F20</f>
        <v>1</v>
      </c>
      <c r="D28" s="1">
        <f t="shared" si="39"/>
        <v>982</v>
      </c>
      <c r="E28" s="1">
        <f ca="1" t="shared" si="40"/>
        <v>99.7</v>
      </c>
      <c r="F28" s="1">
        <f ca="1" t="shared" si="18"/>
        <v>99.7</v>
      </c>
      <c r="G28" s="1">
        <f ca="1" t="shared" si="19"/>
        <v>99.7</v>
      </c>
      <c r="H28" s="1">
        <f ca="1" t="shared" si="20"/>
        <v>99.7</v>
      </c>
      <c r="I28" s="1" t="e">
        <f ca="1" t="shared" si="21"/>
        <v>#VALUE!</v>
      </c>
      <c r="J28" s="1">
        <f ca="1" t="shared" si="22"/>
        <v>99.7</v>
      </c>
      <c r="K28" s="1" t="e">
        <f ca="1" t="shared" si="23"/>
        <v>#VALUE!</v>
      </c>
      <c r="L28" s="1">
        <f ca="1" t="shared" si="24"/>
        <v>100</v>
      </c>
      <c r="M28" s="1">
        <f>IF(D28=0,"",tblIndiSets!C193)</f>
        <v>3</v>
      </c>
      <c r="N28" s="1"/>
      <c r="O28" s="1"/>
      <c r="P28" s="1"/>
      <c r="Q28" s="1">
        <f ca="1" t="shared" si="0"/>
        <v>3</v>
      </c>
      <c r="R28" s="1">
        <f ca="1" t="shared" si="1"/>
        <v>982</v>
      </c>
      <c r="S28" s="1">
        <f ca="1">IF($C28=0,"",RANK(R28,R$11:R$71,0)+COUNTIF(R$11:R28,R28)-1)</f>
        <v>18</v>
      </c>
      <c r="T28" s="1">
        <f ca="1" t="shared" si="41"/>
        <v>18</v>
      </c>
      <c r="U28" s="269">
        <f ca="1" t="shared" si="42"/>
        <v>18</v>
      </c>
      <c r="V28" s="269">
        <f ca="1" t="shared" si="43"/>
        <v>1</v>
      </c>
      <c r="W28" s="269">
        <f ca="1" t="shared" si="44"/>
        <v>982</v>
      </c>
      <c r="X28" s="268">
        <f ca="1" t="shared" si="45"/>
        <v>18</v>
      </c>
      <c r="Y28" s="1" t="str">
        <f ca="1" t="shared" si="6"/>
        <v>2.1.5) Access to safe and quality food</v>
      </c>
      <c r="Z28" s="1">
        <f ca="1" t="shared" si="7"/>
        <v>99.7</v>
      </c>
      <c r="AA28" s="1">
        <f ca="1" t="shared" si="7"/>
        <v>99.7</v>
      </c>
      <c r="AB28" s="1">
        <f ca="1" t="shared" si="8"/>
        <v>99.7</v>
      </c>
      <c r="AC28" s="1">
        <f ca="1" t="shared" si="9"/>
        <v>99.7</v>
      </c>
      <c r="AD28" s="1" t="e">
        <f ca="1" t="shared" si="10"/>
        <v>#VALUE!</v>
      </c>
      <c r="AE28" s="1">
        <f ca="1" t="shared" si="11"/>
        <v>99.7</v>
      </c>
      <c r="AF28" s="1" t="e">
        <f ca="1" t="shared" si="12"/>
        <v>#VALUE!</v>
      </c>
      <c r="AG28" s="1">
        <f ca="1" t="shared" si="13"/>
        <v>100</v>
      </c>
      <c r="AH28" s="1" t="str">
        <f ca="1">IF($T28="","",IF(ISERROR(INDEX(INDIRECT($H$6),$T28+1,uxb_works!$B$24)),"",INDEX(INDIRECT($H$6),$T28+1,uxb_works!$B$24)))</f>
        <v>=21</v>
      </c>
      <c r="AI28" s="1" t="str">
        <f ca="1">IF($T28="","",IF(ISERROR(INDEX(INDIRECT($H$6),$T28+1,uxb_works!$B$25)),"",INDEX(INDIRECT($H$6),$T28+1,uxb_works!$B$25)))</f>
        <v>=21</v>
      </c>
      <c r="AJ28" s="1" t="str">
        <f ca="1">IF($T28="","",IF(ISERROR(INDEX(INDIRECT($H$6),$T28+1,uxb_works!$B$26-1)),"",INDEX(INDIRECT($H$6),$T28+1,uxb_works!$B$26-1)))</f>
        <v>=1</v>
      </c>
      <c r="AK28" s="1" t="str">
        <f ca="1">IF($T28="","",IF(ISERROR(INDEX(INDIRECT($H$6),$T28+1,uxb_works!$B$27-1)),"",INDEX(INDIRECT($H$6),$T28+1,uxb_works!$B$27-1)))</f>
        <v>39</v>
      </c>
      <c r="AL28" s="1"/>
      <c r="AM28" s="18"/>
      <c r="AN28" s="1" t="str">
        <f ca="1" t="shared" si="46"/>
        <v/>
      </c>
      <c r="AO28" s="1" t="str">
        <f ca="1" t="shared" si="47"/>
        <v/>
      </c>
      <c r="AP28" s="1" t="str">
        <f ca="1" t="shared" si="48"/>
        <v/>
      </c>
      <c r="AQ28" s="1" t="str">
        <f ca="1" t="shared" si="49"/>
        <v/>
      </c>
      <c r="AR28" s="1">
        <v>3</v>
      </c>
      <c r="AS28" s="1"/>
      <c r="AU28">
        <f ca="1" t="shared" si="50"/>
        <v>21</v>
      </c>
      <c r="AV28">
        <f ca="1" t="shared" si="51"/>
        <v>1</v>
      </c>
      <c r="AX28" s="1">
        <f ca="1">IF($T28="","",IF(ISERROR(INDEX(INDIRECT($G$6),$T28+1,uxb_works!$B$24)),"",INDEX(INDIRECT($G$6),$T28+1,uxb_works!$B$24)))</f>
        <v>21</v>
      </c>
      <c r="AY28" s="1">
        <f ca="1">IF($T28="","",IF(ISERROR(INDEX(INDIRECT($G$6),$T28+1,uxb_works!$B$25)),"",INDEX(INDIRECT($G$6),$T28+1,uxb_works!$B$25)))</f>
        <v>21</v>
      </c>
      <c r="AZ28" s="1">
        <f ca="1">IF($T28="","",IF(ISERROR(INDEX(INDIRECT($G$6),$T28+1,uxb_works!$B$26-1)),"",INDEX(INDIRECT($G$6),$T28+1,uxb_works!$B$26-1)))</f>
        <v>1</v>
      </c>
      <c r="BA28" s="1">
        <f ca="1">IF($T28="","",IF(ISERROR(INDEX(INDIRECT($G$6),$T28+1,uxb_works!$B$27-1)),"",INDEX(INDIRECT($G$6),$T28+1,uxb_works!$B$27-1)))</f>
        <v>1</v>
      </c>
      <c r="BC28">
        <f ca="1" t="shared" si="52"/>
        <v>2</v>
      </c>
      <c r="BD28">
        <f ca="1" t="shared" si="53"/>
        <v>2</v>
      </c>
      <c r="BE28">
        <f ca="1" t="shared" si="54"/>
        <v>1</v>
      </c>
      <c r="BF28">
        <f ca="1" t="shared" si="55"/>
        <v>1</v>
      </c>
    </row>
    <row r="29" customFormat="1" spans="1:58">
      <c r="A29" s="1">
        <f t="shared" si="25"/>
        <v>19</v>
      </c>
      <c r="B29" s="1" t="str">
        <f>tblCategories!D21</f>
        <v>2.1.6) Quality of health services</v>
      </c>
      <c r="C29" s="1">
        <f>tblCategories!F21</f>
        <v>1</v>
      </c>
      <c r="D29" s="1">
        <f t="shared" si="39"/>
        <v>981</v>
      </c>
      <c r="E29" s="1">
        <f ca="1" t="shared" si="40"/>
        <v>75</v>
      </c>
      <c r="F29" s="1">
        <f ca="1" t="shared" si="18"/>
        <v>4</v>
      </c>
      <c r="G29" s="1">
        <f ca="1" t="shared" si="19"/>
        <v>75</v>
      </c>
      <c r="H29" s="1">
        <f ca="1" t="shared" si="20"/>
        <v>4</v>
      </c>
      <c r="I29" s="1" t="e">
        <f ca="1" t="shared" si="21"/>
        <v>#VALUE!</v>
      </c>
      <c r="J29" s="1">
        <f ca="1" t="shared" si="22"/>
        <v>4</v>
      </c>
      <c r="K29" s="1" t="e">
        <f ca="1" t="shared" si="23"/>
        <v>#VALUE!</v>
      </c>
      <c r="L29" s="1">
        <f ca="1" t="shared" si="24"/>
        <v>3.5</v>
      </c>
      <c r="M29" s="1">
        <f>IF(D29=0,"",tblIndiSets!C194)</f>
        <v>3</v>
      </c>
      <c r="N29" s="1"/>
      <c r="O29" s="1"/>
      <c r="P29" s="1"/>
      <c r="Q29" s="1">
        <f ca="1" t="shared" si="0"/>
        <v>3</v>
      </c>
      <c r="R29" s="1">
        <f ca="1" t="shared" si="1"/>
        <v>981</v>
      </c>
      <c r="S29" s="1">
        <f ca="1">IF($C29=0,"",RANK(R29,R$11:R$71,0)+COUNTIF(R$11:R29,R29)-1)</f>
        <v>19</v>
      </c>
      <c r="T29" s="1">
        <f ca="1" t="shared" si="41"/>
        <v>19</v>
      </c>
      <c r="U29" s="269">
        <f ca="1" t="shared" si="42"/>
        <v>33</v>
      </c>
      <c r="V29" s="269">
        <f ca="1" t="shared" si="43"/>
        <v>7</v>
      </c>
      <c r="W29" s="269">
        <f ca="1" t="shared" si="44"/>
        <v>981</v>
      </c>
      <c r="X29" s="268" t="str">
        <f ca="1" t="shared" si="45"/>
        <v>=33</v>
      </c>
      <c r="Y29" s="1" t="str">
        <f ca="1" t="shared" si="6"/>
        <v>2.1.6) Quality of health services</v>
      </c>
      <c r="Z29" s="1">
        <f ca="1" t="shared" si="7"/>
        <v>75</v>
      </c>
      <c r="AA29" s="1">
        <f ca="1" t="shared" si="7"/>
        <v>4</v>
      </c>
      <c r="AB29" s="1">
        <f ca="1" t="shared" si="8"/>
        <v>75</v>
      </c>
      <c r="AC29" s="1">
        <f ca="1" t="shared" si="9"/>
        <v>4</v>
      </c>
      <c r="AD29" s="1" t="e">
        <f ca="1" t="shared" si="10"/>
        <v>#VALUE!</v>
      </c>
      <c r="AE29" s="1">
        <f ca="1" t="shared" si="11"/>
        <v>4</v>
      </c>
      <c r="AF29" s="1" t="e">
        <f ca="1" t="shared" si="12"/>
        <v>#VALUE!</v>
      </c>
      <c r="AG29" s="1">
        <f ca="1" t="shared" si="13"/>
        <v>3.5</v>
      </c>
      <c r="AH29" s="1" t="str">
        <f ca="1">IF($T29="","",IF(ISERROR(INDEX(INDIRECT($H$6),$T29+1,uxb_works!$B$24)),"",INDEX(INDIRECT($H$6),$T29+1,uxb_works!$B$24)))</f>
        <v>=27</v>
      </c>
      <c r="AI29" s="1" t="str">
        <f ca="1">IF($T29="","",IF(ISERROR(INDEX(INDIRECT($H$6),$T29+1,uxb_works!$B$25)),"",INDEX(INDIRECT($H$6),$T29+1,uxb_works!$B$25)))</f>
        <v>=27</v>
      </c>
      <c r="AJ29" s="1" t="str">
        <f ca="1">IF($T29="","",IF(ISERROR(INDEX(INDIRECT($H$6),$T29+1,uxb_works!$B$26-1)),"",INDEX(INDIRECT($H$6),$T29+1,uxb_works!$B$26-1)))</f>
        <v>=27</v>
      </c>
      <c r="AK29" s="1" t="str">
        <f ca="1">IF($T29="","",IF(ISERROR(INDEX(INDIRECT($H$6),$T29+1,uxb_works!$B$27-1)),"",INDEX(INDIRECT($H$6),$T29+1,uxb_works!$B$27-1)))</f>
        <v>=27</v>
      </c>
      <c r="AL29" s="1"/>
      <c r="AM29" s="18"/>
      <c r="AN29" s="1" t="str">
        <f ca="1" t="shared" si="46"/>
        <v/>
      </c>
      <c r="AO29" s="1" t="str">
        <f ca="1" t="shared" si="47"/>
        <v/>
      </c>
      <c r="AP29" s="1" t="str">
        <f ca="1" t="shared" si="48"/>
        <v/>
      </c>
      <c r="AQ29" s="1" t="str">
        <f ca="1" t="shared" si="49"/>
        <v/>
      </c>
      <c r="AR29" s="1">
        <v>3</v>
      </c>
      <c r="AS29" s="1"/>
      <c r="AU29">
        <f ca="1" t="shared" si="50"/>
        <v>27</v>
      </c>
      <c r="AV29">
        <f ca="1" t="shared" si="51"/>
        <v>1</v>
      </c>
      <c r="AX29" s="1">
        <f ca="1">IF($T29="","",IF(ISERROR(INDEX(INDIRECT($G$6),$T29+1,uxb_works!$B$24)),"",INDEX(INDIRECT($G$6),$T29+1,uxb_works!$B$24)))</f>
        <v>27</v>
      </c>
      <c r="AY29" s="1">
        <f ca="1">IF($T29="","",IF(ISERROR(INDEX(INDIRECT($G$6),$T29+1,uxb_works!$B$25)),"",INDEX(INDIRECT($G$6),$T29+1,uxb_works!$B$25)))</f>
        <v>27</v>
      </c>
      <c r="AZ29" s="1">
        <f ca="1">IF($T29="","",IF(ISERROR(INDEX(INDIRECT($G$6),$T29+1,uxb_works!$B$26-1)),"",INDEX(INDIRECT($G$6),$T29+1,uxb_works!$B$26-1)))</f>
        <v>13</v>
      </c>
      <c r="BA29" s="1">
        <f ca="1">IF($T29="","",IF(ISERROR(INDEX(INDIRECT($G$6),$T29+1,uxb_works!$B$27-1)),"",INDEX(INDIRECT($G$6),$T29+1,uxb_works!$B$27-1)))</f>
        <v>1</v>
      </c>
      <c r="BC29">
        <f ca="1" t="shared" si="52"/>
        <v>2</v>
      </c>
      <c r="BD29">
        <f ca="1" t="shared" si="53"/>
        <v>2</v>
      </c>
      <c r="BE29">
        <f ca="1" t="shared" si="54"/>
        <v>0</v>
      </c>
      <c r="BF29">
        <f ca="1" t="shared" si="55"/>
        <v>1</v>
      </c>
    </row>
    <row r="30" customFormat="1" spans="1:58">
      <c r="A30" s="1">
        <f t="shared" si="25"/>
        <v>20</v>
      </c>
      <c r="B30" s="1" t="str">
        <f>tblCategories!D22</f>
        <v>2.2) Health security (Outputs)</v>
      </c>
      <c r="C30" s="1">
        <f>tblCategories!F22</f>
        <v>1</v>
      </c>
      <c r="D30" s="1">
        <f t="shared" si="39"/>
        <v>980</v>
      </c>
      <c r="E30" s="1">
        <f ca="1" t="shared" si="40"/>
        <v>81.1718065502088</v>
      </c>
      <c r="F30" s="1" t="str">
        <f ca="1" t="shared" si="18"/>
        <v/>
      </c>
      <c r="G30" s="1">
        <f ca="1" t="shared" si="19"/>
        <v>81.1718065502088</v>
      </c>
      <c r="H30" s="1" t="str">
        <f ca="1" t="shared" si="20"/>
        <v/>
      </c>
      <c r="I30" s="1" t="e">
        <f ca="1" t="shared" si="21"/>
        <v>#VALUE!</v>
      </c>
      <c r="J30" s="1" t="str">
        <f ca="1" t="shared" si="22"/>
        <v/>
      </c>
      <c r="K30" s="1" t="e">
        <f ca="1" t="shared" si="23"/>
        <v>#VALUE!</v>
      </c>
      <c r="L30" s="1" t="str">
        <f ca="1" t="shared" si="24"/>
        <v/>
      </c>
      <c r="M30" s="1">
        <f>IF(D30=0,"",tblIndiSets!C195)</f>
        <v>2</v>
      </c>
      <c r="N30" s="1"/>
      <c r="O30" s="1"/>
      <c r="P30" s="1"/>
      <c r="Q30" s="1">
        <f ca="1" t="shared" si="0"/>
        <v>2</v>
      </c>
      <c r="R30" s="1">
        <f ca="1" t="shared" si="1"/>
        <v>980</v>
      </c>
      <c r="S30" s="1">
        <f ca="1">IF($C30=0,"",RANK(R30,R$11:R$71,0)+COUNTIF(R$11:R30,R30)-1)</f>
        <v>20</v>
      </c>
      <c r="T30" s="1">
        <f ca="1" t="shared" si="41"/>
        <v>20</v>
      </c>
      <c r="U30" s="269">
        <f ca="1" t="shared" si="42"/>
        <v>31</v>
      </c>
      <c r="V30" s="269">
        <f ca="1" t="shared" si="43"/>
        <v>1</v>
      </c>
      <c r="W30" s="269">
        <f ca="1" t="shared" si="44"/>
        <v>980</v>
      </c>
      <c r="X30" s="268">
        <f ca="1" t="shared" si="45"/>
        <v>31</v>
      </c>
      <c r="Y30" s="1" t="str">
        <f ca="1" t="shared" si="6"/>
        <v>2.2) Health security (Outputs)</v>
      </c>
      <c r="Z30" s="1">
        <f ca="1" t="shared" si="7"/>
        <v>81.1718065502088</v>
      </c>
      <c r="AA30" s="1" t="str">
        <f ca="1" t="shared" si="7"/>
        <v/>
      </c>
      <c r="AB30" s="1">
        <f ca="1" t="shared" si="8"/>
        <v>81.1718065502088</v>
      </c>
      <c r="AC30" s="1" t="str">
        <f ca="1" t="shared" si="9"/>
        <v/>
      </c>
      <c r="AD30" s="1" t="e">
        <f ca="1" t="shared" si="10"/>
        <v>#VALUE!</v>
      </c>
      <c r="AE30" s="1" t="str">
        <f ca="1" t="shared" si="11"/>
        <v/>
      </c>
      <c r="AF30" s="1" t="e">
        <f ca="1" t="shared" si="12"/>
        <v>#VALUE!</v>
      </c>
      <c r="AG30" s="1" t="str">
        <f ca="1" t="shared" si="13"/>
        <v/>
      </c>
      <c r="AH30" s="1" t="str">
        <f ca="1">IF($T30="","",IF(ISERROR(INDEX(INDIRECT($H$6),$T30+1,uxb_works!$B$24)),"",INDEX(INDIRECT($H$6),$T30+1,uxb_works!$B$24)))</f>
        <v>22</v>
      </c>
      <c r="AI30" s="1" t="str">
        <f ca="1">IF($T30="","",IF(ISERROR(INDEX(INDIRECT($H$6),$T30+1,uxb_works!$B$25)),"",INDEX(INDIRECT($H$6),$T30+1,uxb_works!$B$25)))</f>
        <v>22</v>
      </c>
      <c r="AJ30" s="1" t="str">
        <f ca="1">IF($T30="","",IF(ISERROR(INDEX(INDIRECT($H$6),$T30+1,uxb_works!$B$26-1)),"",INDEX(INDIRECT($H$6),$T30+1,uxb_works!$B$26-1)))</f>
        <v>16</v>
      </c>
      <c r="AK30" s="1" t="str">
        <f ca="1">IF($T30="","",IF(ISERROR(INDEX(INDIRECT($H$6),$T30+1,uxb_works!$B$27-1)),"",INDEX(INDIRECT($H$6),$T30+1,uxb_works!$B$27-1)))</f>
        <v>46</v>
      </c>
      <c r="AL30" s="1"/>
      <c r="AM30" s="18"/>
      <c r="AN30" s="1" t="str">
        <f ca="1" t="shared" si="46"/>
        <v/>
      </c>
      <c r="AO30" s="1" t="str">
        <f ca="1" t="shared" si="47"/>
        <v/>
      </c>
      <c r="AP30" s="1" t="str">
        <f ca="1" t="shared" si="48"/>
        <v/>
      </c>
      <c r="AQ30" s="1" t="str">
        <f ca="1" t="shared" si="49"/>
        <v/>
      </c>
      <c r="AR30" s="1">
        <v>3</v>
      </c>
      <c r="AS30" s="1"/>
      <c r="AU30">
        <f ca="1" t="shared" si="50"/>
        <v>22</v>
      </c>
      <c r="AV30">
        <f ca="1" t="shared" si="51"/>
        <v>1</v>
      </c>
      <c r="AX30" s="1">
        <f ca="1">IF($T30="","",IF(ISERROR(INDEX(INDIRECT($G$6),$T30+1,uxb_works!$B$24)),"",INDEX(INDIRECT($G$6),$T30+1,uxb_works!$B$24)))</f>
        <v>22</v>
      </c>
      <c r="AY30" s="1">
        <f ca="1">IF($T30="","",IF(ISERROR(INDEX(INDIRECT($G$6),$T30+1,uxb_works!$B$25)),"",INDEX(INDIRECT($G$6),$T30+1,uxb_works!$B$25)))</f>
        <v>22</v>
      </c>
      <c r="AZ30" s="1">
        <f ca="1">IF($T30="","",IF(ISERROR(INDEX(INDIRECT($G$6),$T30+1,uxb_works!$B$26-1)),"",INDEX(INDIRECT($G$6),$T30+1,uxb_works!$B$26-1)))</f>
        <v>1</v>
      </c>
      <c r="BA30" s="1">
        <f ca="1">IF($T30="","",IF(ISERROR(INDEX(INDIRECT($G$6),$T30+1,uxb_works!$B$27-1)),"",INDEX(INDIRECT($G$6),$T30+1,uxb_works!$B$27-1)))</f>
        <v>5</v>
      </c>
      <c r="BC30">
        <f ca="1" t="shared" si="52"/>
        <v>2</v>
      </c>
      <c r="BD30">
        <f ca="1" t="shared" si="53"/>
        <v>2</v>
      </c>
      <c r="BE30">
        <f ca="1" t="shared" si="54"/>
        <v>1</v>
      </c>
      <c r="BF30">
        <f ca="1" t="shared" si="55"/>
        <v>0</v>
      </c>
    </row>
    <row r="31" customFormat="1" spans="1:58">
      <c r="A31" s="1">
        <f t="shared" si="25"/>
        <v>21</v>
      </c>
      <c r="B31" s="1" t="str">
        <f>tblCategories!D23</f>
        <v>2.2.1) Air quality (PM 2.5 levels)</v>
      </c>
      <c r="C31" s="1">
        <f>tblCategories!F23</f>
        <v>1</v>
      </c>
      <c r="D31" s="1">
        <f t="shared" si="39"/>
        <v>979</v>
      </c>
      <c r="E31" s="1">
        <f ca="1" t="shared" si="40"/>
        <v>44.2188213579332</v>
      </c>
      <c r="F31" s="1">
        <f ca="1" t="shared" si="18"/>
        <v>55.7811786420668</v>
      </c>
      <c r="G31" s="1">
        <f ca="1" t="shared" si="19"/>
        <v>44.2188213579332</v>
      </c>
      <c r="H31" s="1">
        <f ca="1" t="shared" si="20"/>
        <v>55.7811786420668</v>
      </c>
      <c r="I31" s="1" t="e">
        <f ca="1" t="shared" si="21"/>
        <v>#VALUE!</v>
      </c>
      <c r="J31" s="1">
        <f ca="1" t="shared" si="22"/>
        <v>55.7811786420668</v>
      </c>
      <c r="K31" s="1" t="e">
        <f ca="1" t="shared" si="23"/>
        <v>#VALUE!</v>
      </c>
      <c r="L31" s="1">
        <f ca="1" t="shared" si="24"/>
        <v>14.9984123566746</v>
      </c>
      <c r="M31" s="1">
        <f>IF(D31=0,"",tblIndiSets!C196)</f>
        <v>3</v>
      </c>
      <c r="N31" s="1"/>
      <c r="O31" s="1"/>
      <c r="P31" s="1"/>
      <c r="Q31" s="1">
        <f ca="1" t="shared" si="0"/>
        <v>3</v>
      </c>
      <c r="R31" s="1">
        <f ca="1" t="shared" si="1"/>
        <v>979</v>
      </c>
      <c r="S31" s="1">
        <f ca="1">IF($C31=0,"",RANK(R31,R$11:R$71,0)+COUNTIF(R$11:R31,R31)-1)</f>
        <v>21</v>
      </c>
      <c r="T31" s="1">
        <f ca="1" t="shared" si="41"/>
        <v>21</v>
      </c>
      <c r="U31" s="269">
        <f ca="1" t="shared" si="42"/>
        <v>57</v>
      </c>
      <c r="V31" s="269">
        <f ca="1" t="shared" si="43"/>
        <v>1</v>
      </c>
      <c r="W31" s="269">
        <f ca="1" t="shared" si="44"/>
        <v>979</v>
      </c>
      <c r="X31" s="268">
        <f ca="1" t="shared" si="45"/>
        <v>57</v>
      </c>
      <c r="Y31" s="1" t="str">
        <f ca="1" t="shared" si="6"/>
        <v>2.2.1) Air quality (PM 2.5 levels)</v>
      </c>
      <c r="Z31" s="1">
        <f ca="1" t="shared" ref="Z31:AA71" si="56">IF($T31="","",INDEX($E$11:$P$71,$T31,Z$9))</f>
        <v>44.2188213579332</v>
      </c>
      <c r="AA31" s="1">
        <f ca="1" t="shared" si="56"/>
        <v>55.7811786420668</v>
      </c>
      <c r="AB31" s="1">
        <f ca="1" t="shared" si="8"/>
        <v>44.2188213579332</v>
      </c>
      <c r="AC31" s="1">
        <f ca="1" t="shared" si="9"/>
        <v>55.7811786420668</v>
      </c>
      <c r="AD31" s="1" t="e">
        <f ca="1" t="shared" si="10"/>
        <v>#VALUE!</v>
      </c>
      <c r="AE31" s="1">
        <f ca="1" t="shared" si="11"/>
        <v>55.7811786420668</v>
      </c>
      <c r="AF31" s="1" t="e">
        <f ca="1" t="shared" si="12"/>
        <v>#VALUE!</v>
      </c>
      <c r="AG31" s="1">
        <f ca="1" t="shared" si="13"/>
        <v>14.9984123566746</v>
      </c>
      <c r="AH31" s="1" t="str">
        <f ca="1">IF($T31="","",IF(ISERROR(INDEX(INDIRECT($H$6),$T31+1,uxb_works!$B$24)),"",INDEX(INDIRECT($H$6),$T31+1,uxb_works!$B$24)))</f>
        <v>51</v>
      </c>
      <c r="AI31" s="1" t="str">
        <f ca="1">IF($T31="","",IF(ISERROR(INDEX(INDIRECT($H$6),$T31+1,uxb_works!$B$25)),"",INDEX(INDIRECT($H$6),$T31+1,uxb_works!$B$25)))</f>
        <v>51</v>
      </c>
      <c r="AJ31" s="1" t="str">
        <f ca="1">IF($T31="","",IF(ISERROR(INDEX(INDIRECT($H$6),$T31+1,uxb_works!$B$26-1)),"",INDEX(INDIRECT($H$6),$T31+1,uxb_works!$B$26-1)))</f>
        <v>43</v>
      </c>
      <c r="AK31" s="1" t="str">
        <f ca="1">IF($T31="","",IF(ISERROR(INDEX(INDIRECT($H$6),$T31+1,uxb_works!$B$27-1)),"",INDEX(INDIRECT($H$6),$T31+1,uxb_works!$B$27-1)))</f>
        <v>33</v>
      </c>
      <c r="AL31" s="1"/>
      <c r="AM31" s="18"/>
      <c r="AN31" s="1" t="str">
        <f ca="1" t="shared" si="46"/>
        <v/>
      </c>
      <c r="AO31" s="1" t="str">
        <f ca="1" t="shared" si="47"/>
        <v/>
      </c>
      <c r="AP31" s="1" t="str">
        <f ca="1" t="shared" si="48"/>
        <v/>
      </c>
      <c r="AQ31" s="1" t="str">
        <f ca="1" t="shared" si="49"/>
        <v/>
      </c>
      <c r="AR31" s="1">
        <v>3</v>
      </c>
      <c r="AS31" s="1"/>
      <c r="AU31">
        <f ca="1" t="shared" si="50"/>
        <v>51</v>
      </c>
      <c r="AV31">
        <f ca="1" t="shared" si="51"/>
        <v>1</v>
      </c>
      <c r="AX31" s="1">
        <f ca="1">IF($T31="","",IF(ISERROR(INDEX(INDIRECT($G$6),$T31+1,uxb_works!$B$24)),"",INDEX(INDIRECT($G$6),$T31+1,uxb_works!$B$24)))</f>
        <v>51</v>
      </c>
      <c r="AY31" s="1">
        <f ca="1">IF($T31="","",IF(ISERROR(INDEX(INDIRECT($G$6),$T31+1,uxb_works!$B$25)),"",INDEX(INDIRECT($G$6),$T31+1,uxb_works!$B$25)))</f>
        <v>51</v>
      </c>
      <c r="AZ31" s="1">
        <f ca="1">IF($T31="","",IF(ISERROR(INDEX(INDIRECT($G$6),$T31+1,uxb_works!$B$26-1)),"",INDEX(INDIRECT($G$6),$T31+1,uxb_works!$B$26-1)))</f>
        <v>1</v>
      </c>
      <c r="BA31" s="1">
        <f ca="1">IF($T31="","",IF(ISERROR(INDEX(INDIRECT($G$6),$T31+1,uxb_works!$B$27-1)),"",INDEX(INDIRECT($G$6),$T31+1,uxb_works!$B$27-1)))</f>
        <v>3</v>
      </c>
      <c r="BC31">
        <f ca="1" t="shared" si="52"/>
        <v>2</v>
      </c>
      <c r="BD31">
        <f ca="1" t="shared" si="53"/>
        <v>2</v>
      </c>
      <c r="BE31">
        <f ca="1" t="shared" si="54"/>
        <v>1</v>
      </c>
      <c r="BF31">
        <f ca="1" t="shared" si="55"/>
        <v>0</v>
      </c>
    </row>
    <row r="32" customFormat="1" spans="1:58">
      <c r="A32" s="1">
        <f t="shared" si="25"/>
        <v>22</v>
      </c>
      <c r="B32" s="1" t="str">
        <f>tblCategories!D24</f>
        <v>2.2.2) Water quality</v>
      </c>
      <c r="C32" s="1">
        <f>tblCategories!F24</f>
        <v>1</v>
      </c>
      <c r="D32" s="1">
        <f t="shared" si="39"/>
        <v>978</v>
      </c>
      <c r="E32" s="1">
        <f ca="1" t="shared" si="40"/>
        <v>91.3447138534964</v>
      </c>
      <c r="F32" s="1">
        <f ca="1" t="shared" si="18"/>
        <v>91.3447138534964</v>
      </c>
      <c r="G32" s="1">
        <f ca="1" t="shared" si="19"/>
        <v>91.3447138534964</v>
      </c>
      <c r="H32" s="1">
        <f ca="1" t="shared" si="20"/>
        <v>91.3447138534964</v>
      </c>
      <c r="I32" s="1" t="e">
        <f ca="1" t="shared" si="21"/>
        <v>#VALUE!</v>
      </c>
      <c r="J32" s="1">
        <f ca="1" t="shared" si="22"/>
        <v>91.3447138534964</v>
      </c>
      <c r="K32" s="1" t="e">
        <f ca="1" t="shared" si="23"/>
        <v>#VALUE!</v>
      </c>
      <c r="L32" s="1">
        <f ca="1" t="shared" si="24"/>
        <v>87.6489240209656</v>
      </c>
      <c r="M32" s="1">
        <f>IF(D32=0,"",tblIndiSets!C197)</f>
        <v>3</v>
      </c>
      <c r="N32" s="1"/>
      <c r="O32" s="1"/>
      <c r="P32" s="1"/>
      <c r="Q32" s="1">
        <f ca="1" t="shared" si="0"/>
        <v>3</v>
      </c>
      <c r="R32" s="1">
        <f ca="1" t="shared" si="1"/>
        <v>978</v>
      </c>
      <c r="S32" s="1">
        <f ca="1">IF($C32=0,"",RANK(R32,R$11:R$71,0)+COUNTIF(R$11:R32,R32)-1)</f>
        <v>22</v>
      </c>
      <c r="T32" s="1">
        <f ca="1" t="shared" si="41"/>
        <v>22</v>
      </c>
      <c r="U32" s="269">
        <f ca="1" t="shared" si="42"/>
        <v>25</v>
      </c>
      <c r="V32" s="269">
        <f ca="1" t="shared" si="43"/>
        <v>1</v>
      </c>
      <c r="W32" s="269">
        <f ca="1" t="shared" si="44"/>
        <v>978</v>
      </c>
      <c r="X32" s="268">
        <f ca="1" t="shared" si="45"/>
        <v>25</v>
      </c>
      <c r="Y32" s="1" t="str">
        <f ca="1" t="shared" si="6"/>
        <v>2.2.2) Water quality</v>
      </c>
      <c r="Z32" s="1">
        <f ca="1" t="shared" si="56"/>
        <v>91.3447138534964</v>
      </c>
      <c r="AA32" s="1">
        <f ca="1" t="shared" si="56"/>
        <v>91.3447138534964</v>
      </c>
      <c r="AB32" s="1">
        <f ca="1" t="shared" si="8"/>
        <v>91.3447138534964</v>
      </c>
      <c r="AC32" s="1">
        <f ca="1" t="shared" si="9"/>
        <v>91.3447138534964</v>
      </c>
      <c r="AD32" s="1" t="e">
        <f ca="1" t="shared" si="10"/>
        <v>#VALUE!</v>
      </c>
      <c r="AE32" s="1">
        <f ca="1" t="shared" si="11"/>
        <v>91.3447138534964</v>
      </c>
      <c r="AF32" s="1" t="e">
        <f ca="1" t="shared" si="12"/>
        <v>#VALUE!</v>
      </c>
      <c r="AG32" s="1">
        <f ca="1" t="shared" si="13"/>
        <v>87.6489240209656</v>
      </c>
      <c r="AH32" s="1" t="str">
        <f ca="1">IF($T32="","",IF(ISERROR(INDEX(INDIRECT($H$6),$T32+1,uxb_works!$B$24)),"",INDEX(INDIRECT($H$6),$T32+1,uxb_works!$B$24)))</f>
        <v>11</v>
      </c>
      <c r="AI32" s="1" t="str">
        <f ca="1">IF($T32="","",IF(ISERROR(INDEX(INDIRECT($H$6),$T32+1,uxb_works!$B$25)),"",INDEX(INDIRECT($H$6),$T32+1,uxb_works!$B$25)))</f>
        <v>11</v>
      </c>
      <c r="AJ32" s="1" t="str">
        <f ca="1">IF($T32="","",IF(ISERROR(INDEX(INDIRECT($H$6),$T32+1,uxb_works!$B$26-1)),"",INDEX(INDIRECT($H$6),$T32+1,uxb_works!$B$26-1)))</f>
        <v>=21</v>
      </c>
      <c r="AK32" s="1" t="str">
        <f ca="1">IF($T32="","",IF(ISERROR(INDEX(INDIRECT($H$6),$T32+1,uxb_works!$B$27-1)),"",INDEX(INDIRECT($H$6),$T32+1,uxb_works!$B$27-1)))</f>
        <v>17</v>
      </c>
      <c r="AL32" s="1"/>
      <c r="AM32" s="18"/>
      <c r="AN32" s="1" t="str">
        <f ca="1" t="shared" si="46"/>
        <v/>
      </c>
      <c r="AO32" s="1" t="str">
        <f ca="1" t="shared" si="47"/>
        <v/>
      </c>
      <c r="AP32" s="1" t="str">
        <f ca="1" t="shared" si="48"/>
        <v/>
      </c>
      <c r="AQ32" s="1" t="str">
        <f ca="1" t="shared" si="49"/>
        <v/>
      </c>
      <c r="AR32" s="1">
        <v>3</v>
      </c>
      <c r="AS32" s="1"/>
      <c r="AU32">
        <f ca="1" t="shared" si="50"/>
        <v>11</v>
      </c>
      <c r="AV32">
        <f ca="1" t="shared" si="51"/>
        <v>4</v>
      </c>
      <c r="AX32" s="1">
        <f ca="1">IF($T32="","",IF(ISERROR(INDEX(INDIRECT($G$6),$T32+1,uxb_works!$B$24)),"",INDEX(INDIRECT($G$6),$T32+1,uxb_works!$B$24)))</f>
        <v>11</v>
      </c>
      <c r="AY32" s="1">
        <f ca="1">IF($T32="","",IF(ISERROR(INDEX(INDIRECT($G$6),$T32+1,uxb_works!$B$25)),"",INDEX(INDIRECT($G$6),$T32+1,uxb_works!$B$25)))</f>
        <v>11</v>
      </c>
      <c r="AZ32" s="1">
        <f ca="1">IF($T32="","",IF(ISERROR(INDEX(INDIRECT($G$6),$T32+1,uxb_works!$B$26-1)),"",INDEX(INDIRECT($G$6),$T32+1,uxb_works!$B$26-1)))</f>
        <v>4</v>
      </c>
      <c r="BA32" s="1">
        <f ca="1">IF($T32="","",IF(ISERROR(INDEX(INDIRECT($G$6),$T32+1,uxb_works!$B$27-1)),"",INDEX(INDIRECT($G$6),$T32+1,uxb_works!$B$27-1)))</f>
        <v>8</v>
      </c>
      <c r="BC32">
        <f ca="1" t="shared" si="52"/>
        <v>2</v>
      </c>
      <c r="BD32">
        <f ca="1" t="shared" si="53"/>
        <v>2</v>
      </c>
      <c r="BE32">
        <f ca="1" t="shared" si="54"/>
        <v>1</v>
      </c>
      <c r="BF32">
        <f ca="1" t="shared" si="55"/>
        <v>0</v>
      </c>
    </row>
    <row r="33" customFormat="1" spans="1:58">
      <c r="A33" s="1">
        <f t="shared" si="25"/>
        <v>23</v>
      </c>
      <c r="B33" s="1" t="str">
        <f>tblCategories!D25</f>
        <v>2.2.3) Life expectancy years</v>
      </c>
      <c r="C33" s="1">
        <f>tblCategories!F25</f>
        <v>1</v>
      </c>
      <c r="D33" s="1">
        <f t="shared" si="39"/>
        <v>977</v>
      </c>
      <c r="E33" s="1">
        <f ca="1" t="shared" si="40"/>
        <v>74.8974619270887</v>
      </c>
      <c r="F33" s="1">
        <f ca="1" t="shared" si="18"/>
        <v>77.541243902439</v>
      </c>
      <c r="G33" s="1">
        <f ca="1" t="shared" si="19"/>
        <v>74.8974619270887</v>
      </c>
      <c r="H33" s="1">
        <f ca="1" t="shared" si="20"/>
        <v>77.541243902439</v>
      </c>
      <c r="I33" s="1" t="e">
        <f ca="1" t="shared" si="21"/>
        <v>#VALUE!</v>
      </c>
      <c r="J33" s="1">
        <f ca="1" t="shared" si="22"/>
        <v>77.541243902439</v>
      </c>
      <c r="K33" s="1" t="e">
        <f ca="1" t="shared" si="23"/>
        <v>#VALUE!</v>
      </c>
      <c r="L33" s="1">
        <f ca="1" t="shared" si="24"/>
        <v>81.5878048780488</v>
      </c>
      <c r="M33" s="1">
        <f>IF(D33=0,"",tblIndiSets!C198)</f>
        <v>3</v>
      </c>
      <c r="N33" s="1"/>
      <c r="O33" s="1"/>
      <c r="P33" s="1"/>
      <c r="Q33" s="1">
        <f ca="1" t="shared" si="0"/>
        <v>3</v>
      </c>
      <c r="R33" s="1">
        <f ca="1" t="shared" si="1"/>
        <v>977</v>
      </c>
      <c r="S33" s="1">
        <f ca="1">IF($C33=0,"",RANK(R33,R$11:R$71,0)+COUNTIF(R$11:R33,R33)-1)</f>
        <v>23</v>
      </c>
      <c r="T33" s="1">
        <f ca="1" t="shared" si="41"/>
        <v>23</v>
      </c>
      <c r="U33" s="269">
        <f ca="1" t="shared" si="42"/>
        <v>40</v>
      </c>
      <c r="V33" s="269">
        <f ca="1" t="shared" si="43"/>
        <v>1</v>
      </c>
      <c r="W33" s="269">
        <f ca="1" t="shared" si="44"/>
        <v>977</v>
      </c>
      <c r="X33" s="268">
        <f ca="1" t="shared" si="45"/>
        <v>40</v>
      </c>
      <c r="Y33" s="1" t="str">
        <f ca="1" t="shared" si="6"/>
        <v>2.2.3) Life expectancy years</v>
      </c>
      <c r="Z33" s="1">
        <f ca="1" t="shared" si="56"/>
        <v>74.8974619270887</v>
      </c>
      <c r="AA33" s="1">
        <f ca="1" t="shared" si="56"/>
        <v>77.541243902439</v>
      </c>
      <c r="AB33" s="1">
        <f ca="1" t="shared" si="8"/>
        <v>74.8974619270887</v>
      </c>
      <c r="AC33" s="1">
        <f ca="1" t="shared" si="9"/>
        <v>77.541243902439</v>
      </c>
      <c r="AD33" s="1" t="e">
        <f ca="1" t="shared" si="10"/>
        <v>#VALUE!</v>
      </c>
      <c r="AE33" s="1">
        <f ca="1" t="shared" si="11"/>
        <v>77.541243902439</v>
      </c>
      <c r="AF33" s="1" t="e">
        <f ca="1" t="shared" si="12"/>
        <v>#VALUE!</v>
      </c>
      <c r="AG33" s="1">
        <f ca="1" t="shared" si="13"/>
        <v>81.5878048780488</v>
      </c>
      <c r="AH33" s="1" t="str">
        <f ca="1">IF($T33="","",IF(ISERROR(INDEX(INDIRECT($H$6),$T33+1,uxb_works!$B$24)),"",INDEX(INDIRECT($H$6),$T33+1,uxb_works!$B$24)))</f>
        <v>30</v>
      </c>
      <c r="AI33" s="1" t="str">
        <f ca="1">IF($T33="","",IF(ISERROR(INDEX(INDIRECT($H$6),$T33+1,uxb_works!$B$25)),"",INDEX(INDIRECT($H$6),$T33+1,uxb_works!$B$25)))</f>
        <v>30</v>
      </c>
      <c r="AJ33" s="1" t="str">
        <f ca="1">IF($T33="","",IF(ISERROR(INDEX(INDIRECT($H$6),$T33+1,uxb_works!$B$26-1)),"",INDEX(INDIRECT($H$6),$T33+1,uxb_works!$B$26-1)))</f>
        <v>=4</v>
      </c>
      <c r="AK33" s="1" t="str">
        <f ca="1">IF($T33="","",IF(ISERROR(INDEX(INDIRECT($H$6),$T33+1,uxb_works!$B$27-1)),"",INDEX(INDIRECT($H$6),$T33+1,uxb_works!$B$27-1)))</f>
        <v>53</v>
      </c>
      <c r="AL33" s="1"/>
      <c r="AM33" s="18"/>
      <c r="AN33" s="1" t="str">
        <f ca="1" t="shared" si="46"/>
        <v/>
      </c>
      <c r="AO33" s="1" t="str">
        <f ca="1" t="shared" si="47"/>
        <v/>
      </c>
      <c r="AP33" s="1" t="str">
        <f ca="1" t="shared" si="48"/>
        <v/>
      </c>
      <c r="AQ33" s="1" t="str">
        <f ca="1" t="shared" si="49"/>
        <v/>
      </c>
      <c r="AR33" s="1">
        <v>3</v>
      </c>
      <c r="AS33" s="1"/>
      <c r="AU33">
        <f ca="1" t="shared" si="50"/>
        <v>30</v>
      </c>
      <c r="AV33">
        <f ca="1" t="shared" si="51"/>
        <v>11</v>
      </c>
      <c r="AX33" s="1">
        <f ca="1">IF($T33="","",IF(ISERROR(INDEX(INDIRECT($G$6),$T33+1,uxb_works!$B$24)),"",INDEX(INDIRECT($G$6),$T33+1,uxb_works!$B$24)))</f>
        <v>30</v>
      </c>
      <c r="AY33" s="1">
        <f ca="1">IF($T33="","",IF(ISERROR(INDEX(INDIRECT($G$6),$T33+1,uxb_works!$B$25)),"",INDEX(INDIRECT($G$6),$T33+1,uxb_works!$B$25)))</f>
        <v>30</v>
      </c>
      <c r="AZ33" s="1">
        <f ca="1">IF($T33="","",IF(ISERROR(INDEX(INDIRECT($G$6),$T33+1,uxb_works!$B$26-1)),"",INDEX(INDIRECT($G$6),$T33+1,uxb_works!$B$26-1)))</f>
        <v>11</v>
      </c>
      <c r="BA33" s="1">
        <f ca="1">IF($T33="","",IF(ISERROR(INDEX(INDIRECT($G$6),$T33+1,uxb_works!$B$27-1)),"",INDEX(INDIRECT($G$6),$T33+1,uxb_works!$B$27-1)))</f>
        <v>12</v>
      </c>
      <c r="BC33">
        <f ca="1" t="shared" si="52"/>
        <v>2</v>
      </c>
      <c r="BD33">
        <f ca="1" t="shared" si="53"/>
        <v>2</v>
      </c>
      <c r="BE33">
        <f ca="1" t="shared" si="54"/>
        <v>1</v>
      </c>
      <c r="BF33">
        <f ca="1" t="shared" si="55"/>
        <v>0</v>
      </c>
    </row>
    <row r="34" customFormat="1" spans="1:58">
      <c r="A34" s="1">
        <f t="shared" si="25"/>
        <v>24</v>
      </c>
      <c r="B34" s="1" t="str">
        <f>tblCategories!D26</f>
        <v>2.2.4) Infant mortality</v>
      </c>
      <c r="C34" s="1">
        <f>tblCategories!F26</f>
        <v>1</v>
      </c>
      <c r="D34" s="1">
        <f t="shared" si="39"/>
        <v>976</v>
      </c>
      <c r="E34" s="1">
        <f ca="1" t="shared" si="40"/>
        <v>93.1570762052877</v>
      </c>
      <c r="F34" s="1">
        <f ca="1" t="shared" si="18"/>
        <v>5.9</v>
      </c>
      <c r="G34" s="1">
        <f ca="1" t="shared" si="19"/>
        <v>93.1570762052877</v>
      </c>
      <c r="H34" s="1">
        <f ca="1" t="shared" si="20"/>
        <v>5.9</v>
      </c>
      <c r="I34" s="1" t="e">
        <f ca="1" t="shared" si="21"/>
        <v>#VALUE!</v>
      </c>
      <c r="J34" s="1">
        <f ca="1" t="shared" si="22"/>
        <v>5.9</v>
      </c>
      <c r="K34" s="1" t="e">
        <f ca="1" t="shared" si="23"/>
        <v>#VALUE!</v>
      </c>
      <c r="L34" s="1">
        <f ca="1" t="shared" si="24"/>
        <v>3.6</v>
      </c>
      <c r="M34" s="1">
        <f>IF(D34=0,"",tblIndiSets!C199)</f>
        <v>3</v>
      </c>
      <c r="N34" s="1"/>
      <c r="O34" s="1"/>
      <c r="P34" s="1"/>
      <c r="Q34" s="1">
        <f ca="1" t="shared" si="0"/>
        <v>3</v>
      </c>
      <c r="R34" s="1">
        <f ca="1" t="shared" si="1"/>
        <v>976</v>
      </c>
      <c r="S34" s="1">
        <f ca="1">IF($C34=0,"",RANK(R34,R$11:R$71,0)+COUNTIF(R$11:R34,R34)-1)</f>
        <v>24</v>
      </c>
      <c r="T34" s="1">
        <f ca="1" t="shared" si="41"/>
        <v>24</v>
      </c>
      <c r="U34" s="269">
        <f ca="1" t="shared" si="42"/>
        <v>22</v>
      </c>
      <c r="V34" s="269">
        <f ca="1" t="shared" si="43"/>
        <v>1</v>
      </c>
      <c r="W34" s="269">
        <f ca="1" t="shared" si="44"/>
        <v>976</v>
      </c>
      <c r="X34" s="268">
        <f ca="1" t="shared" si="45"/>
        <v>22</v>
      </c>
      <c r="Y34" s="1" t="str">
        <f ca="1" t="shared" si="6"/>
        <v>2.2.4) Infant mortality</v>
      </c>
      <c r="Z34" s="1">
        <f ca="1" t="shared" si="56"/>
        <v>93.1570762052877</v>
      </c>
      <c r="AA34" s="1">
        <f ca="1" t="shared" si="56"/>
        <v>5.9</v>
      </c>
      <c r="AB34" s="1">
        <f ca="1" t="shared" si="8"/>
        <v>93.1570762052877</v>
      </c>
      <c r="AC34" s="1">
        <f ca="1" t="shared" si="9"/>
        <v>5.9</v>
      </c>
      <c r="AD34" s="1" t="e">
        <f ca="1" t="shared" si="10"/>
        <v>#VALUE!</v>
      </c>
      <c r="AE34" s="1">
        <f ca="1" t="shared" si="11"/>
        <v>5.9</v>
      </c>
      <c r="AF34" s="1" t="e">
        <f ca="1" t="shared" si="12"/>
        <v>#VALUE!</v>
      </c>
      <c r="AG34" s="1">
        <f ca="1" t="shared" si="13"/>
        <v>3.6</v>
      </c>
      <c r="AH34" s="1" t="str">
        <f ca="1">IF($T34="","",IF(ISERROR(INDEX(INDIRECT($H$6),$T34+1,uxb_works!$B$24)),"",INDEX(INDIRECT($H$6),$T34+1,uxb_works!$B$24)))</f>
        <v>28</v>
      </c>
      <c r="AI34" s="1" t="str">
        <f ca="1">IF($T34="","",IF(ISERROR(INDEX(INDIRECT($H$6),$T34+1,uxb_works!$B$25)),"",INDEX(INDIRECT($H$6),$T34+1,uxb_works!$B$25)))</f>
        <v>28</v>
      </c>
      <c r="AJ34" s="1" t="str">
        <f ca="1">IF($T34="","",IF(ISERROR(INDEX(INDIRECT($H$6),$T34+1,uxb_works!$B$26-1)),"",INDEX(INDIRECT($H$6),$T34+1,uxb_works!$B$26-1)))</f>
        <v>=6</v>
      </c>
      <c r="AK34" s="1" t="str">
        <f ca="1">IF($T34="","",IF(ISERROR(INDEX(INDIRECT($H$6),$T34+1,uxb_works!$B$27-1)),"",INDEX(INDIRECT($H$6),$T34+1,uxb_works!$B$27-1)))</f>
        <v>34</v>
      </c>
      <c r="AL34" s="1"/>
      <c r="AM34" s="18"/>
      <c r="AN34" s="1" t="str">
        <f ca="1" t="shared" si="46"/>
        <v/>
      </c>
      <c r="AO34" s="1" t="str">
        <f ca="1" t="shared" si="47"/>
        <v/>
      </c>
      <c r="AP34" s="1" t="str">
        <f ca="1" t="shared" si="48"/>
        <v/>
      </c>
      <c r="AQ34" s="1" t="str">
        <f ca="1" t="shared" si="49"/>
        <v/>
      </c>
      <c r="AR34" s="1">
        <v>3</v>
      </c>
      <c r="AS34" s="1"/>
      <c r="AU34">
        <f ca="1" t="shared" si="50"/>
        <v>28</v>
      </c>
      <c r="AV34">
        <f ca="1" t="shared" si="51"/>
        <v>5</v>
      </c>
      <c r="AX34" s="1">
        <f ca="1">IF($T34="","",IF(ISERROR(INDEX(INDIRECT($G$6),$T34+1,uxb_works!$B$24)),"",INDEX(INDIRECT($G$6),$T34+1,uxb_works!$B$24)))</f>
        <v>28</v>
      </c>
      <c r="AY34" s="1">
        <f ca="1">IF($T34="","",IF(ISERROR(INDEX(INDIRECT($G$6),$T34+1,uxb_works!$B$25)),"",INDEX(INDIRECT($G$6),$T34+1,uxb_works!$B$25)))</f>
        <v>28</v>
      </c>
      <c r="AZ34" s="1">
        <f ca="1">IF($T34="","",IF(ISERROR(INDEX(INDIRECT($G$6),$T34+1,uxb_works!$B$26-1)),"",INDEX(INDIRECT($G$6),$T34+1,uxb_works!$B$26-1)))</f>
        <v>5</v>
      </c>
      <c r="BA34" s="1">
        <f ca="1">IF($T34="","",IF(ISERROR(INDEX(INDIRECT($G$6),$T34+1,uxb_works!$B$27-1)),"",INDEX(INDIRECT($G$6),$T34+1,uxb_works!$B$27-1)))</f>
        <v>9</v>
      </c>
      <c r="BC34">
        <f ca="1" t="shared" si="52"/>
        <v>2</v>
      </c>
      <c r="BD34">
        <f ca="1" t="shared" si="53"/>
        <v>2</v>
      </c>
      <c r="BE34">
        <f ca="1" t="shared" si="54"/>
        <v>1</v>
      </c>
      <c r="BF34">
        <f ca="1" t="shared" si="55"/>
        <v>0</v>
      </c>
    </row>
    <row r="35" customFormat="1" spans="1:58">
      <c r="A35" s="1">
        <f t="shared" si="25"/>
        <v>25</v>
      </c>
      <c r="B35" s="1" t="str">
        <f>tblCategories!D27</f>
        <v>2.2.5) Cancer mortality rate</v>
      </c>
      <c r="C35" s="1">
        <f>tblCategories!F27</f>
        <v>1</v>
      </c>
      <c r="D35" s="1">
        <f t="shared" si="39"/>
        <v>975</v>
      </c>
      <c r="E35" s="1">
        <f ca="1" t="shared" si="40"/>
        <v>83.4127659574468</v>
      </c>
      <c r="F35" s="1">
        <f ca="1" t="shared" si="18"/>
        <v>79.69</v>
      </c>
      <c r="G35" s="1">
        <f ca="1" t="shared" si="19"/>
        <v>83.4127659574468</v>
      </c>
      <c r="H35" s="1">
        <f ca="1" t="shared" si="20"/>
        <v>79.69</v>
      </c>
      <c r="I35" s="1" t="e">
        <f ca="1" t="shared" si="21"/>
        <v>#VALUE!</v>
      </c>
      <c r="J35" s="1">
        <f ca="1" t="shared" si="22"/>
        <v>79.69</v>
      </c>
      <c r="K35" s="1" t="e">
        <f ca="1" t="shared" si="23"/>
        <v>#VALUE!</v>
      </c>
      <c r="L35" s="1">
        <f ca="1" t="shared" si="24"/>
        <v>123.71</v>
      </c>
      <c r="M35" s="1">
        <f>IF(D35=0,"",tblIndiSets!C200)</f>
        <v>3</v>
      </c>
      <c r="N35" s="1"/>
      <c r="O35" s="1"/>
      <c r="P35" s="1"/>
      <c r="Q35" s="1">
        <f ca="1" t="shared" si="0"/>
        <v>3</v>
      </c>
      <c r="R35" s="1">
        <f ca="1" t="shared" si="1"/>
        <v>975</v>
      </c>
      <c r="S35" s="1">
        <f ca="1">IF($C35=0,"",RANK(R35,R$11:R$71,0)+COUNTIF(R$11:R35,R35)-1)</f>
        <v>25</v>
      </c>
      <c r="T35" s="1">
        <f ca="1" t="shared" si="41"/>
        <v>25</v>
      </c>
      <c r="U35" s="269">
        <f ca="1" t="shared" si="42"/>
        <v>30</v>
      </c>
      <c r="V35" s="269">
        <f ca="1" t="shared" si="43"/>
        <v>1</v>
      </c>
      <c r="W35" s="269">
        <f ca="1" t="shared" si="44"/>
        <v>975</v>
      </c>
      <c r="X35" s="268">
        <f ca="1" t="shared" si="45"/>
        <v>30</v>
      </c>
      <c r="Y35" s="1" t="str">
        <f ca="1" t="shared" si="6"/>
        <v>2.2.5) Cancer mortality rate</v>
      </c>
      <c r="Z35" s="1">
        <f ca="1" t="shared" si="56"/>
        <v>83.4127659574468</v>
      </c>
      <c r="AA35" s="1">
        <f ca="1" t="shared" si="56"/>
        <v>79.69</v>
      </c>
      <c r="AB35" s="1">
        <f ca="1" t="shared" si="8"/>
        <v>83.4127659574468</v>
      </c>
      <c r="AC35" s="1">
        <f ca="1" t="shared" si="9"/>
        <v>79.69</v>
      </c>
      <c r="AD35" s="1" t="e">
        <f ca="1" t="shared" si="10"/>
        <v>#VALUE!</v>
      </c>
      <c r="AE35" s="1">
        <f ca="1" t="shared" si="11"/>
        <v>79.69</v>
      </c>
      <c r="AF35" s="1" t="e">
        <f ca="1" t="shared" si="12"/>
        <v>#VALUE!</v>
      </c>
      <c r="AG35" s="1">
        <f ca="1" t="shared" si="13"/>
        <v>123.71</v>
      </c>
      <c r="AH35" s="1" t="str">
        <f ca="1">IF($T35="","",IF(ISERROR(INDEX(INDIRECT($H$6),$T35+1,uxb_works!$B$24)),"",INDEX(INDIRECT($H$6),$T35+1,uxb_works!$B$24)))</f>
        <v>8</v>
      </c>
      <c r="AI35" s="1" t="str">
        <f ca="1">IF($T35="","",IF(ISERROR(INDEX(INDIRECT($H$6),$T35+1,uxb_works!$B$25)),"",INDEX(INDIRECT($H$6),$T35+1,uxb_works!$B$25)))</f>
        <v>8</v>
      </c>
      <c r="AJ35" s="1" t="str">
        <f ca="1">IF($T35="","",IF(ISERROR(INDEX(INDIRECT($H$6),$T35+1,uxb_works!$B$26-1)),"",INDEX(INDIRECT($H$6),$T35+1,uxb_works!$B$26-1)))</f>
        <v>=40</v>
      </c>
      <c r="AK35" s="1" t="str">
        <f ca="1">IF($T35="","",IF(ISERROR(INDEX(INDIRECT($H$6),$T35+1,uxb_works!$B$27-1)),"",INDEX(INDIRECT($H$6),$T35+1,uxb_works!$B$27-1)))</f>
        <v>55</v>
      </c>
      <c r="AL35" s="1"/>
      <c r="AM35" s="18"/>
      <c r="AN35" s="1" t="str">
        <f ca="1" t="shared" si="46"/>
        <v/>
      </c>
      <c r="AO35" s="1" t="str">
        <f ca="1" t="shared" si="47"/>
        <v/>
      </c>
      <c r="AP35" s="1" t="str">
        <f ca="1" t="shared" si="48"/>
        <v/>
      </c>
      <c r="AQ35" s="1" t="str">
        <f ca="1" t="shared" si="49"/>
        <v/>
      </c>
      <c r="AR35" s="1">
        <v>3</v>
      </c>
      <c r="AS35" s="1"/>
      <c r="AU35">
        <f ca="1" t="shared" si="50"/>
        <v>37</v>
      </c>
      <c r="AV35">
        <f ca="1" t="shared" si="51"/>
        <v>8</v>
      </c>
      <c r="AX35" s="1">
        <f ca="1">IF($T35="","",IF(ISERROR(INDEX(INDIRECT($G$6),$T35+1,uxb_works!$B$24)),"",INDEX(INDIRECT($G$6),$T35+1,uxb_works!$B$24)))</f>
        <v>8</v>
      </c>
      <c r="AY35" s="1">
        <f ca="1">IF($T35="","",IF(ISERROR(INDEX(INDIRECT($G$6),$T35+1,uxb_works!$B$25)),"",INDEX(INDIRECT($G$6),$T35+1,uxb_works!$B$25)))</f>
        <v>8</v>
      </c>
      <c r="AZ35" s="1">
        <f ca="1">IF($T35="","",IF(ISERROR(INDEX(INDIRECT($G$6),$T35+1,uxb_works!$B$26-1)),"",INDEX(INDIRECT($G$6),$T35+1,uxb_works!$B$26-1)))</f>
        <v>37</v>
      </c>
      <c r="BA35" s="1">
        <f ca="1">IF($T35="","",IF(ISERROR(INDEX(INDIRECT($G$6),$T35+1,uxb_works!$B$27-1)),"",INDEX(INDIRECT($G$6),$T35+1,uxb_works!$B$27-1)))</f>
        <v>34</v>
      </c>
      <c r="BC35">
        <f ca="1" t="shared" si="52"/>
        <v>1</v>
      </c>
      <c r="BD35">
        <f ca="1" t="shared" si="53"/>
        <v>1</v>
      </c>
      <c r="BE35">
        <f ca="1" t="shared" si="54"/>
        <v>2</v>
      </c>
      <c r="BF35">
        <f ca="1" t="shared" si="55"/>
        <v>0</v>
      </c>
    </row>
    <row r="36" customFormat="1" spans="1:58">
      <c r="A36" s="1">
        <f t="shared" si="25"/>
        <v>26</v>
      </c>
      <c r="B36" s="1" t="str">
        <f>tblCategories!D28</f>
        <v>2.2.6) Number of attacks using biological, chemical and/or radiological weapons</v>
      </c>
      <c r="C36" s="1">
        <f>tblCategories!F28</f>
        <v>1</v>
      </c>
      <c r="D36" s="1">
        <f t="shared" si="39"/>
        <v>974</v>
      </c>
      <c r="E36" s="1">
        <f ca="1" t="shared" si="40"/>
        <v>100</v>
      </c>
      <c r="F36" s="1">
        <f ca="1" t="shared" si="18"/>
        <v>0</v>
      </c>
      <c r="G36" s="1">
        <f ca="1" t="shared" si="19"/>
        <v>100</v>
      </c>
      <c r="H36" s="1">
        <f ca="1" t="shared" si="20"/>
        <v>0</v>
      </c>
      <c r="I36" s="1" t="e">
        <f ca="1" t="shared" si="21"/>
        <v>#VALUE!</v>
      </c>
      <c r="J36" s="1">
        <f ca="1" t="shared" si="22"/>
        <v>0</v>
      </c>
      <c r="K36" s="1" t="e">
        <f ca="1" t="shared" si="23"/>
        <v>#VALUE!</v>
      </c>
      <c r="L36" s="1">
        <f ca="1" t="shared" si="24"/>
        <v>0</v>
      </c>
      <c r="M36" s="1">
        <f>IF(D36=0,"",tblIndiSets!C201)</f>
        <v>3</v>
      </c>
      <c r="N36" s="1"/>
      <c r="O36" s="1"/>
      <c r="P36" s="1"/>
      <c r="Q36" s="1">
        <f ca="1" t="shared" si="0"/>
        <v>3</v>
      </c>
      <c r="R36" s="1">
        <f ca="1" t="shared" si="1"/>
        <v>974</v>
      </c>
      <c r="S36" s="1">
        <f ca="1">IF($C36=0,"",RANK(R36,R$11:R$71,0)+COUNTIF(R$11:R36,R36)-1)</f>
        <v>26</v>
      </c>
      <c r="T36" s="1">
        <f ca="1" t="shared" si="41"/>
        <v>26</v>
      </c>
      <c r="U36" s="269">
        <f ca="1" t="shared" si="42"/>
        <v>1</v>
      </c>
      <c r="V36" s="269">
        <f ca="1" t="shared" si="43"/>
        <v>15</v>
      </c>
      <c r="W36" s="269">
        <f ca="1" t="shared" si="44"/>
        <v>974</v>
      </c>
      <c r="X36" s="268" t="str">
        <f ca="1" t="shared" si="45"/>
        <v>=1</v>
      </c>
      <c r="Y36" s="1" t="str">
        <f ca="1" t="shared" si="6"/>
        <v>2.2.6) Number of attacks using biological, chemical and/or radiological weapons</v>
      </c>
      <c r="Z36" s="1">
        <f ca="1" t="shared" si="56"/>
        <v>100</v>
      </c>
      <c r="AA36" s="1">
        <f ca="1" t="shared" si="56"/>
        <v>0</v>
      </c>
      <c r="AB36" s="1">
        <f ca="1" t="shared" si="8"/>
        <v>100</v>
      </c>
      <c r="AC36" s="1">
        <f ca="1" t="shared" si="9"/>
        <v>0</v>
      </c>
      <c r="AD36" s="1" t="e">
        <f ca="1" t="shared" si="10"/>
        <v>#VALUE!</v>
      </c>
      <c r="AE36" s="1">
        <f ca="1" t="shared" si="11"/>
        <v>0</v>
      </c>
      <c r="AF36" s="1" t="e">
        <f ca="1" t="shared" si="12"/>
        <v>#VALUE!</v>
      </c>
      <c r="AG36" s="1">
        <f ca="1" t="shared" si="13"/>
        <v>0</v>
      </c>
      <c r="AH36" s="1" t="str">
        <f ca="1">IF($T36="","",IF(ISERROR(INDEX(INDIRECT($H$6),$T36+1,uxb_works!$B$24)),"",INDEX(INDIRECT($H$6),$T36+1,uxb_works!$B$24)))</f>
        <v>=1</v>
      </c>
      <c r="AI36" s="1" t="str">
        <f ca="1">IF($T36="","",IF(ISERROR(INDEX(INDIRECT($H$6),$T36+1,uxb_works!$B$25)),"",INDEX(INDIRECT($H$6),$T36+1,uxb_works!$B$25)))</f>
        <v>=1</v>
      </c>
      <c r="AJ36" s="1" t="str">
        <f ca="1">IF($T36="","",IF(ISERROR(INDEX(INDIRECT($H$6),$T36+1,uxb_works!$B$26-1)),"",INDEX(INDIRECT($H$6),$T36+1,uxb_works!$B$26-1)))</f>
        <v>=1</v>
      </c>
      <c r="AK36" s="1" t="str">
        <f ca="1">IF($T36="","",IF(ISERROR(INDEX(INDIRECT($H$6),$T36+1,uxb_works!$B$27-1)),"",INDEX(INDIRECT($H$6),$T36+1,uxb_works!$B$27-1)))</f>
        <v>=1</v>
      </c>
      <c r="AL36" s="1"/>
      <c r="AM36" s="18"/>
      <c r="AN36" s="1" t="str">
        <f ca="1" t="shared" si="46"/>
        <v/>
      </c>
      <c r="AO36" s="1" t="str">
        <f ca="1" t="shared" si="47"/>
        <v/>
      </c>
      <c r="AP36" s="1" t="str">
        <f ca="1" t="shared" si="48"/>
        <v/>
      </c>
      <c r="AQ36" s="1" t="str">
        <f ca="1" t="shared" si="49"/>
        <v/>
      </c>
      <c r="AR36" s="1">
        <v>3</v>
      </c>
      <c r="AS36" s="1"/>
      <c r="AU36">
        <f ca="1" t="shared" si="50"/>
        <v>1</v>
      </c>
      <c r="AV36">
        <f ca="1" t="shared" si="51"/>
        <v>1</v>
      </c>
      <c r="AX36" s="1">
        <f ca="1">IF($T36="","",IF(ISERROR(INDEX(INDIRECT($G$6),$T36+1,uxb_works!$B$24)),"",INDEX(INDIRECT($G$6),$T36+1,uxb_works!$B$24)))</f>
        <v>1</v>
      </c>
      <c r="AY36" s="1">
        <f ca="1">IF($T36="","",IF(ISERROR(INDEX(INDIRECT($G$6),$T36+1,uxb_works!$B$25)),"",INDEX(INDIRECT($G$6),$T36+1,uxb_works!$B$25)))</f>
        <v>1</v>
      </c>
      <c r="AZ36" s="1">
        <f ca="1">IF($T36="","",IF(ISERROR(INDEX(INDIRECT($G$6),$T36+1,uxb_works!$B$26-1)),"",INDEX(INDIRECT($G$6),$T36+1,uxb_works!$B$26-1)))</f>
        <v>1</v>
      </c>
      <c r="BA36" s="1">
        <f ca="1">IF($T36="","",IF(ISERROR(INDEX(INDIRECT($G$6),$T36+1,uxb_works!$B$27-1)),"",INDEX(INDIRECT($G$6),$T36+1,uxb_works!$B$27-1)))</f>
        <v>1</v>
      </c>
      <c r="BC36">
        <f ca="1" t="shared" si="52"/>
        <v>0</v>
      </c>
      <c r="BD36">
        <f ca="1" t="shared" si="53"/>
        <v>0</v>
      </c>
      <c r="BE36">
        <f ca="1" t="shared" si="54"/>
        <v>0</v>
      </c>
      <c r="BF36">
        <f ca="1" t="shared" si="55"/>
        <v>0</v>
      </c>
    </row>
    <row r="37" customFormat="1" spans="1:58">
      <c r="A37" s="1">
        <f t="shared" si="25"/>
        <v>27</v>
      </c>
      <c r="B37" s="1" t="str">
        <f>tblCategories!D29</f>
        <v>3) INFRASTRUCTURE SECURITY</v>
      </c>
      <c r="C37" s="1">
        <f>tblCategories!F29</f>
        <v>1</v>
      </c>
      <c r="D37" s="1">
        <f t="shared" si="39"/>
        <v>973</v>
      </c>
      <c r="E37" s="1">
        <f ca="1" t="shared" si="40"/>
        <v>91.3641602398045</v>
      </c>
      <c r="F37" s="1" t="str">
        <f ca="1" t="shared" si="18"/>
        <v/>
      </c>
      <c r="G37" s="1">
        <f ca="1" t="shared" si="19"/>
        <v>91.3641602398045</v>
      </c>
      <c r="H37" s="1" t="str">
        <f ca="1" t="shared" si="20"/>
        <v/>
      </c>
      <c r="I37" s="1" t="e">
        <f ca="1" t="shared" si="21"/>
        <v>#VALUE!</v>
      </c>
      <c r="J37" s="1" t="str">
        <f ca="1" t="shared" si="22"/>
        <v/>
      </c>
      <c r="K37" s="1" t="e">
        <f ca="1" t="shared" si="23"/>
        <v>#VALUE!</v>
      </c>
      <c r="L37" s="1" t="str">
        <f ca="1" t="shared" si="24"/>
        <v/>
      </c>
      <c r="M37" s="1">
        <f>IF(D37=0,"",tblIndiSets!C202)</f>
        <v>1</v>
      </c>
      <c r="N37" s="1"/>
      <c r="O37" s="1"/>
      <c r="P37" s="1"/>
      <c r="Q37" s="1">
        <f ca="1" t="shared" si="0"/>
        <v>1</v>
      </c>
      <c r="R37" s="1">
        <f ca="1" t="shared" si="1"/>
        <v>973</v>
      </c>
      <c r="S37" s="1">
        <f ca="1">IF($C37=0,"",RANK(R37,R$11:R$71,0)+COUNTIF(R$11:R37,R37)-1)</f>
        <v>27</v>
      </c>
      <c r="T37" s="1">
        <f ca="1" t="shared" si="41"/>
        <v>27</v>
      </c>
      <c r="U37" s="269">
        <f ca="1" t="shared" si="42"/>
        <v>24</v>
      </c>
      <c r="V37" s="269">
        <f ca="1" t="shared" si="43"/>
        <v>1</v>
      </c>
      <c r="W37" s="269">
        <f ca="1" t="shared" si="44"/>
        <v>973</v>
      </c>
      <c r="X37" s="268">
        <f ca="1" t="shared" si="45"/>
        <v>24</v>
      </c>
      <c r="Y37" s="1" t="str">
        <f ca="1" t="shared" si="6"/>
        <v>3) INFRASTRUCTURE SECURITY</v>
      </c>
      <c r="Z37" s="1">
        <f ca="1" t="shared" si="56"/>
        <v>91.3641602398045</v>
      </c>
      <c r="AA37" s="1" t="str">
        <f ca="1" t="shared" si="56"/>
        <v/>
      </c>
      <c r="AB37" s="1">
        <f ca="1" t="shared" si="8"/>
        <v>91.3641602398045</v>
      </c>
      <c r="AC37" s="1" t="str">
        <f ca="1" t="shared" si="9"/>
        <v/>
      </c>
      <c r="AD37" s="1" t="e">
        <f ca="1" t="shared" si="10"/>
        <v>#VALUE!</v>
      </c>
      <c r="AE37" s="1" t="str">
        <f ca="1" t="shared" si="11"/>
        <v/>
      </c>
      <c r="AF37" s="1" t="e">
        <f ca="1" t="shared" si="12"/>
        <v>#VALUE!</v>
      </c>
      <c r="AG37" s="1" t="str">
        <f ca="1" t="shared" si="13"/>
        <v/>
      </c>
      <c r="AH37" s="1" t="str">
        <f ca="1">IF($T37="","",IF(ISERROR(INDEX(INDIRECT($H$6),$T37+1,uxb_works!$B$24)),"",INDEX(INDIRECT($H$6),$T37+1,uxb_works!$B$24)))</f>
        <v>16</v>
      </c>
      <c r="AI37" s="1" t="str">
        <f ca="1">IF($T37="","",IF(ISERROR(INDEX(INDIRECT($H$6),$T37+1,uxb_works!$B$25)),"",INDEX(INDIRECT($H$6),$T37+1,uxb_works!$B$25)))</f>
        <v>16</v>
      </c>
      <c r="AJ37" s="1" t="str">
        <f ca="1">IF($T37="","",IF(ISERROR(INDEX(INDIRECT($H$6),$T37+1,uxb_works!$B$26-1)),"",INDEX(INDIRECT($H$6),$T37+1,uxb_works!$B$26-1)))</f>
        <v>18</v>
      </c>
      <c r="AK37" s="1" t="str">
        <f ca="1">IF($T37="","",IF(ISERROR(INDEX(INDIRECT($H$6),$T37+1,uxb_works!$B$27-1)),"",INDEX(INDIRECT($H$6),$T37+1,uxb_works!$B$27-1)))</f>
        <v>36</v>
      </c>
      <c r="AL37" s="1"/>
      <c r="AM37" s="18"/>
      <c r="AN37" s="1" t="str">
        <f ca="1" t="shared" si="46"/>
        <v/>
      </c>
      <c r="AO37" s="1" t="str">
        <f ca="1" t="shared" si="47"/>
        <v/>
      </c>
      <c r="AP37" s="1" t="str">
        <f ca="1" t="shared" si="48"/>
        <v/>
      </c>
      <c r="AQ37" s="1" t="str">
        <f ca="1" t="shared" si="49"/>
        <v/>
      </c>
      <c r="AR37" s="1">
        <v>3</v>
      </c>
      <c r="AS37" s="1"/>
      <c r="AU37">
        <f ca="1" t="shared" si="50"/>
        <v>16</v>
      </c>
      <c r="AV37">
        <f ca="1" t="shared" si="51"/>
        <v>4</v>
      </c>
      <c r="AX37" s="1">
        <f ca="1">IF($T37="","",IF(ISERROR(INDEX(INDIRECT($G$6),$T37+1,uxb_works!$B$24)),"",INDEX(INDIRECT($G$6),$T37+1,uxb_works!$B$24)))</f>
        <v>16</v>
      </c>
      <c r="AY37" s="1">
        <f ca="1">IF($T37="","",IF(ISERROR(INDEX(INDIRECT($G$6),$T37+1,uxb_works!$B$25)),"",INDEX(INDIRECT($G$6),$T37+1,uxb_works!$B$25)))</f>
        <v>16</v>
      </c>
      <c r="AZ37" s="1">
        <f ca="1">IF($T37="","",IF(ISERROR(INDEX(INDIRECT($G$6),$T37+1,uxb_works!$B$26-1)),"",INDEX(INDIRECT($G$6),$T37+1,uxb_works!$B$26-1)))</f>
        <v>4</v>
      </c>
      <c r="BA37" s="1">
        <f ca="1">IF($T37="","",IF(ISERROR(INDEX(INDIRECT($G$6),$T37+1,uxb_works!$B$27-1)),"",INDEX(INDIRECT($G$6),$T37+1,uxb_works!$B$27-1)))</f>
        <v>9</v>
      </c>
      <c r="BC37">
        <f ca="1" t="shared" si="52"/>
        <v>2</v>
      </c>
      <c r="BD37">
        <f ca="1" t="shared" si="53"/>
        <v>2</v>
      </c>
      <c r="BE37">
        <f ca="1" t="shared" si="54"/>
        <v>1</v>
      </c>
      <c r="BF37">
        <f ca="1" t="shared" si="55"/>
        <v>0</v>
      </c>
    </row>
    <row r="38" customFormat="1" spans="1:58">
      <c r="A38" s="1">
        <f t="shared" si="25"/>
        <v>28</v>
      </c>
      <c r="B38" s="1" t="str">
        <f>tblCategories!D30</f>
        <v>3.1) Infrastructure security (Inputs)</v>
      </c>
      <c r="C38" s="1">
        <f>tblCategories!F30</f>
        <v>1</v>
      </c>
      <c r="D38" s="1">
        <f t="shared" si="39"/>
        <v>972</v>
      </c>
      <c r="E38" s="1">
        <f ca="1" t="shared" si="40"/>
        <v>90</v>
      </c>
      <c r="F38" s="1" t="str">
        <f ca="1" t="shared" si="18"/>
        <v/>
      </c>
      <c r="G38" s="1">
        <f ca="1" t="shared" si="19"/>
        <v>90</v>
      </c>
      <c r="H38" s="1" t="str">
        <f ca="1" t="shared" si="20"/>
        <v/>
      </c>
      <c r="I38" s="1" t="e">
        <f ca="1" t="shared" si="21"/>
        <v>#VALUE!</v>
      </c>
      <c r="J38" s="1" t="str">
        <f ca="1" t="shared" si="22"/>
        <v/>
      </c>
      <c r="K38" s="1" t="e">
        <f ca="1" t="shared" si="23"/>
        <v>#VALUE!</v>
      </c>
      <c r="L38" s="1" t="str">
        <f ca="1" t="shared" si="24"/>
        <v/>
      </c>
      <c r="M38" s="1">
        <f>IF(D38=0,"",tblIndiSets!C203)</f>
        <v>2</v>
      </c>
      <c r="N38" s="1"/>
      <c r="O38" s="1"/>
      <c r="P38" s="1"/>
      <c r="Q38" s="1">
        <f ca="1" t="shared" si="0"/>
        <v>2</v>
      </c>
      <c r="R38" s="1">
        <f ca="1" t="shared" si="1"/>
        <v>972</v>
      </c>
      <c r="S38" s="1">
        <f ca="1">IF($C38=0,"",RANK(R38,R$11:R$71,0)+COUNTIF(R$11:R38,R38)-1)</f>
        <v>28</v>
      </c>
      <c r="T38" s="1">
        <f ca="1" t="shared" si="41"/>
        <v>28</v>
      </c>
      <c r="U38" s="269">
        <f ca="1" t="shared" si="42"/>
        <v>26</v>
      </c>
      <c r="V38" s="269">
        <f ca="1" t="shared" si="43"/>
        <v>1</v>
      </c>
      <c r="W38" s="269">
        <f ca="1" t="shared" si="44"/>
        <v>972</v>
      </c>
      <c r="X38" s="268">
        <f ca="1" t="shared" si="45"/>
        <v>26</v>
      </c>
      <c r="Y38" s="1" t="str">
        <f ca="1" t="shared" si="6"/>
        <v>3.1) Infrastructure security (Inputs)</v>
      </c>
      <c r="Z38" s="1">
        <f ca="1" t="shared" si="56"/>
        <v>90</v>
      </c>
      <c r="AA38" s="1" t="str">
        <f ca="1" t="shared" si="56"/>
        <v/>
      </c>
      <c r="AB38" s="1">
        <f ca="1" t="shared" si="8"/>
        <v>90</v>
      </c>
      <c r="AC38" s="1" t="str">
        <f ca="1" t="shared" si="9"/>
        <v/>
      </c>
      <c r="AD38" s="1" t="e">
        <f ca="1" t="shared" si="10"/>
        <v>#VALUE!</v>
      </c>
      <c r="AE38" s="1" t="str">
        <f ca="1" t="shared" si="11"/>
        <v/>
      </c>
      <c r="AF38" s="1" t="e">
        <f ca="1" t="shared" si="12"/>
        <v>#VALUE!</v>
      </c>
      <c r="AG38" s="1" t="str">
        <f ca="1" t="shared" si="13"/>
        <v/>
      </c>
      <c r="AH38" s="1" t="str">
        <f ca="1">IF($T38="","",IF(ISERROR(INDEX(INDIRECT($H$6),$T38+1,uxb_works!$B$24)),"",INDEX(INDIRECT($H$6),$T38+1,uxb_works!$B$24)))</f>
        <v>23</v>
      </c>
      <c r="AI38" s="1" t="str">
        <f ca="1">IF($T38="","",IF(ISERROR(INDEX(INDIRECT($H$6),$T38+1,uxb_works!$B$25)),"",INDEX(INDIRECT($H$6),$T38+1,uxb_works!$B$25)))</f>
        <v>23</v>
      </c>
      <c r="AJ38" s="1" t="str">
        <f ca="1">IF($T38="","",IF(ISERROR(INDEX(INDIRECT($H$6),$T38+1,uxb_works!$B$26-1)),"",INDEX(INDIRECT($H$6),$T38+1,uxb_works!$B$26-1)))</f>
        <v>=24</v>
      </c>
      <c r="AK38" s="1" t="str">
        <f ca="1">IF($T38="","",IF(ISERROR(INDEX(INDIRECT($H$6),$T38+1,uxb_works!$B$27-1)),"",INDEX(INDIRECT($H$6),$T38+1,uxb_works!$B$27-1)))</f>
        <v>29</v>
      </c>
      <c r="AL38" s="1"/>
      <c r="AM38" s="18"/>
      <c r="AN38" s="1" t="str">
        <f ca="1" t="shared" si="46"/>
        <v/>
      </c>
      <c r="AO38" s="1" t="str">
        <f ca="1" t="shared" si="47"/>
        <v/>
      </c>
      <c r="AP38" s="1" t="str">
        <f ca="1" t="shared" si="48"/>
        <v/>
      </c>
      <c r="AQ38" s="1" t="str">
        <f ca="1" t="shared" si="49"/>
        <v/>
      </c>
      <c r="AR38" s="1">
        <v>3</v>
      </c>
      <c r="AS38" s="1"/>
      <c r="AU38">
        <f ca="1" t="shared" si="50"/>
        <v>23</v>
      </c>
      <c r="AV38">
        <f ca="1" t="shared" si="51"/>
        <v>7</v>
      </c>
      <c r="AX38" s="1">
        <f ca="1">IF($T38="","",IF(ISERROR(INDEX(INDIRECT($G$6),$T38+1,uxb_works!$B$24)),"",INDEX(INDIRECT($G$6),$T38+1,uxb_works!$B$24)))</f>
        <v>23</v>
      </c>
      <c r="AY38" s="1">
        <f ca="1">IF($T38="","",IF(ISERROR(INDEX(INDIRECT($G$6),$T38+1,uxb_works!$B$25)),"",INDEX(INDIRECT($G$6),$T38+1,uxb_works!$B$25)))</f>
        <v>23</v>
      </c>
      <c r="AZ38" s="1">
        <f ca="1">IF($T38="","",IF(ISERROR(INDEX(INDIRECT($G$6),$T38+1,uxb_works!$B$26-1)),"",INDEX(INDIRECT($G$6),$T38+1,uxb_works!$B$26-1)))</f>
        <v>10</v>
      </c>
      <c r="BA38" s="1">
        <f ca="1">IF($T38="","",IF(ISERROR(INDEX(INDIRECT($G$6),$T38+1,uxb_works!$B$27-1)),"",INDEX(INDIRECT($G$6),$T38+1,uxb_works!$B$27-1)))</f>
        <v>7</v>
      </c>
      <c r="BC38">
        <f ca="1" t="shared" si="52"/>
        <v>2</v>
      </c>
      <c r="BD38">
        <f ca="1" t="shared" si="53"/>
        <v>2</v>
      </c>
      <c r="BE38">
        <f ca="1" t="shared" si="54"/>
        <v>0</v>
      </c>
      <c r="BF38">
        <f ca="1" t="shared" si="55"/>
        <v>1</v>
      </c>
    </row>
    <row r="39" customFormat="1" spans="1:58">
      <c r="A39" s="1">
        <f t="shared" si="25"/>
        <v>29</v>
      </c>
      <c r="B39" s="1" t="str">
        <f>tblCategories!D31</f>
        <v>3.1.1) Enforcement of transport safety</v>
      </c>
      <c r="C39" s="1">
        <f>tblCategories!F31</f>
        <v>1</v>
      </c>
      <c r="D39" s="1">
        <f t="shared" si="39"/>
        <v>971</v>
      </c>
      <c r="E39" s="1">
        <f ca="1" t="shared" si="40"/>
        <v>100</v>
      </c>
      <c r="F39" s="1">
        <f ca="1" t="shared" si="18"/>
        <v>10</v>
      </c>
      <c r="G39" s="1">
        <f ca="1" t="shared" si="19"/>
        <v>100</v>
      </c>
      <c r="H39" s="1">
        <f ca="1" t="shared" si="20"/>
        <v>10</v>
      </c>
      <c r="I39" s="1" t="e">
        <f ca="1" t="shared" si="21"/>
        <v>#VALUE!</v>
      </c>
      <c r="J39" s="1">
        <f ca="1" t="shared" si="22"/>
        <v>10</v>
      </c>
      <c r="K39" s="1" t="e">
        <f ca="1" t="shared" si="23"/>
        <v>#VALUE!</v>
      </c>
      <c r="L39" s="1">
        <f ca="1" t="shared" si="24"/>
        <v>6</v>
      </c>
      <c r="M39" s="1">
        <f>IF(D39=0,"",tblIndiSets!C204)</f>
        <v>3</v>
      </c>
      <c r="N39" s="1"/>
      <c r="O39" s="1"/>
      <c r="P39" s="1"/>
      <c r="Q39" s="1">
        <f ca="1" t="shared" si="0"/>
        <v>3</v>
      </c>
      <c r="R39" s="1">
        <f ca="1" t="shared" si="1"/>
        <v>971</v>
      </c>
      <c r="S39" s="1">
        <f ca="1">IF($C39=0,"",RANK(R39,R$11:R$71,0)+COUNTIF(R$11:R39,R39)-1)</f>
        <v>29</v>
      </c>
      <c r="T39" s="1">
        <f ca="1" t="shared" si="41"/>
        <v>29</v>
      </c>
      <c r="U39" s="269">
        <f ca="1" t="shared" si="42"/>
        <v>1</v>
      </c>
      <c r="V39" s="269">
        <f ca="1" t="shared" si="43"/>
        <v>15</v>
      </c>
      <c r="W39" s="269">
        <f ca="1" t="shared" si="44"/>
        <v>971</v>
      </c>
      <c r="X39" s="268" t="str">
        <f ca="1" t="shared" si="45"/>
        <v>=1</v>
      </c>
      <c r="Y39" s="1" t="str">
        <f ca="1" t="shared" si="6"/>
        <v>3.1.1) Enforcement of transport safety</v>
      </c>
      <c r="Z39" s="1">
        <f ca="1" t="shared" si="56"/>
        <v>100</v>
      </c>
      <c r="AA39" s="1">
        <f ca="1" t="shared" si="56"/>
        <v>10</v>
      </c>
      <c r="AB39" s="1">
        <f ca="1" t="shared" si="8"/>
        <v>100</v>
      </c>
      <c r="AC39" s="1">
        <f ca="1" t="shared" si="9"/>
        <v>10</v>
      </c>
      <c r="AD39" s="1" t="e">
        <f ca="1" t="shared" si="10"/>
        <v>#VALUE!</v>
      </c>
      <c r="AE39" s="1">
        <f ca="1" t="shared" si="11"/>
        <v>10</v>
      </c>
      <c r="AF39" s="1" t="e">
        <f ca="1" t="shared" si="12"/>
        <v>#VALUE!</v>
      </c>
      <c r="AG39" s="1">
        <f ca="1" t="shared" si="13"/>
        <v>6</v>
      </c>
      <c r="AH39" s="1" t="str">
        <f ca="1">IF($T39="","",IF(ISERROR(INDEX(INDIRECT($H$6),$T39+1,uxb_works!$B$24)),"",INDEX(INDIRECT($H$6),$T39+1,uxb_works!$B$24)))</f>
        <v>1</v>
      </c>
      <c r="AI39" s="1" t="str">
        <f ca="1">IF($T39="","",IF(ISERROR(INDEX(INDIRECT($H$6),$T39+1,uxb_works!$B$25)),"",INDEX(INDIRECT($H$6),$T39+1,uxb_works!$B$25)))</f>
        <v>1</v>
      </c>
      <c r="AJ39" s="1" t="str">
        <f ca="1">IF($T39="","",IF(ISERROR(INDEX(INDIRECT($H$6),$T39+1,uxb_works!$B$26-1)),"",INDEX(INDIRECT($H$6),$T39+1,uxb_works!$B$26-1)))</f>
        <v>=27</v>
      </c>
      <c r="AK39" s="1" t="str">
        <f ca="1">IF($T39="","",IF(ISERROR(INDEX(INDIRECT($H$6),$T39+1,uxb_works!$B$27-1)),"",INDEX(INDIRECT($H$6),$T39+1,uxb_works!$B$27-1)))</f>
        <v>=33</v>
      </c>
      <c r="AL39" s="1"/>
      <c r="AM39" s="18"/>
      <c r="AN39" s="1" t="str">
        <f ca="1" t="shared" si="46"/>
        <v/>
      </c>
      <c r="AO39" s="1" t="str">
        <f ca="1" t="shared" si="47"/>
        <v/>
      </c>
      <c r="AP39" s="1" t="str">
        <f ca="1" t="shared" si="48"/>
        <v/>
      </c>
      <c r="AQ39" s="1" t="str">
        <f ca="1" t="shared" si="49"/>
        <v/>
      </c>
      <c r="AR39" s="1">
        <v>3</v>
      </c>
      <c r="AS39" s="1"/>
      <c r="AU39">
        <f ca="1" t="shared" si="50"/>
        <v>24</v>
      </c>
      <c r="AV39">
        <f ca="1" t="shared" si="51"/>
        <v>1</v>
      </c>
      <c r="AX39" s="1">
        <f ca="1">IF($T39="","",IF(ISERROR(INDEX(INDIRECT($G$6),$T39+1,uxb_works!$B$24)),"",INDEX(INDIRECT($G$6),$T39+1,uxb_works!$B$24)))</f>
        <v>1</v>
      </c>
      <c r="AY39" s="1">
        <f ca="1">IF($T39="","",IF(ISERROR(INDEX(INDIRECT($G$6),$T39+1,uxb_works!$B$25)),"",INDEX(INDIRECT($G$6),$T39+1,uxb_works!$B$25)))</f>
        <v>1</v>
      </c>
      <c r="AZ39" s="1">
        <f ca="1">IF($T39="","",IF(ISERROR(INDEX(INDIRECT($G$6),$T39+1,uxb_works!$B$26-1)),"",INDEX(INDIRECT($G$6),$T39+1,uxb_works!$B$26-1)))</f>
        <v>24</v>
      </c>
      <c r="BA39" s="1">
        <f ca="1">IF($T39="","",IF(ISERROR(INDEX(INDIRECT($G$6),$T39+1,uxb_works!$B$27-1)),"",INDEX(INDIRECT($G$6),$T39+1,uxb_works!$B$27-1)))</f>
        <v>10</v>
      </c>
      <c r="BC39">
        <f ca="1" t="shared" si="52"/>
        <v>1</v>
      </c>
      <c r="BD39">
        <f ca="1" t="shared" si="53"/>
        <v>1</v>
      </c>
      <c r="BE39">
        <f ca="1" t="shared" si="54"/>
        <v>2</v>
      </c>
      <c r="BF39">
        <f ca="1" t="shared" si="55"/>
        <v>0</v>
      </c>
    </row>
    <row r="40" customFormat="1" spans="1:58">
      <c r="A40" s="1">
        <f t="shared" si="25"/>
        <v>30</v>
      </c>
      <c r="B40" s="1" t="str">
        <f>tblCategories!D32</f>
        <v>3.1.2) Pedestrian friendliness</v>
      </c>
      <c r="C40" s="1">
        <f>tblCategories!F32</f>
        <v>1</v>
      </c>
      <c r="D40" s="1">
        <f t="shared" si="39"/>
        <v>970</v>
      </c>
      <c r="E40" s="1">
        <f ca="1" t="shared" si="40"/>
        <v>100</v>
      </c>
      <c r="F40" s="1">
        <f ca="1" t="shared" si="18"/>
        <v>5</v>
      </c>
      <c r="G40" s="1">
        <f ca="1" t="shared" si="19"/>
        <v>100</v>
      </c>
      <c r="H40" s="1">
        <f ca="1" t="shared" si="20"/>
        <v>5</v>
      </c>
      <c r="I40" s="1" t="e">
        <f ca="1" t="shared" si="21"/>
        <v>#VALUE!</v>
      </c>
      <c r="J40" s="1">
        <f ca="1" t="shared" si="22"/>
        <v>5</v>
      </c>
      <c r="K40" s="1" t="e">
        <f ca="1" t="shared" si="23"/>
        <v>#VALUE!</v>
      </c>
      <c r="L40" s="1">
        <f ca="1" t="shared" si="24"/>
        <v>5</v>
      </c>
      <c r="M40" s="1">
        <f>IF(D40=0,"",tblIndiSets!C205)</f>
        <v>3</v>
      </c>
      <c r="N40" s="1"/>
      <c r="O40" s="1"/>
      <c r="P40" s="1"/>
      <c r="Q40" s="1">
        <f ca="1" t="shared" si="0"/>
        <v>3</v>
      </c>
      <c r="R40" s="1">
        <f ca="1" t="shared" si="1"/>
        <v>970</v>
      </c>
      <c r="S40" s="1">
        <f ca="1">IF($C40=0,"",RANK(R40,R$11:R$71,0)+COUNTIF(R$11:R40,R40)-1)</f>
        <v>30</v>
      </c>
      <c r="T40" s="1">
        <f ca="1" t="shared" si="41"/>
        <v>30</v>
      </c>
      <c r="U40" s="269">
        <f ca="1" t="shared" si="42"/>
        <v>1</v>
      </c>
      <c r="V40" s="269">
        <f ca="1" t="shared" si="43"/>
        <v>15</v>
      </c>
      <c r="W40" s="269">
        <f ca="1" t="shared" si="44"/>
        <v>970</v>
      </c>
      <c r="X40" s="268" t="str">
        <f ca="1" t="shared" si="45"/>
        <v>=1</v>
      </c>
      <c r="Y40" s="1" t="str">
        <f ca="1" t="shared" si="6"/>
        <v>3.1.2) Pedestrian friendliness</v>
      </c>
      <c r="Z40" s="1">
        <f ca="1" t="shared" si="56"/>
        <v>100</v>
      </c>
      <c r="AA40" s="1">
        <f ca="1" t="shared" si="56"/>
        <v>5</v>
      </c>
      <c r="AB40" s="1">
        <f ca="1" t="shared" si="8"/>
        <v>100</v>
      </c>
      <c r="AC40" s="1">
        <f ca="1" t="shared" si="9"/>
        <v>5</v>
      </c>
      <c r="AD40" s="1" t="e">
        <f ca="1" t="shared" si="10"/>
        <v>#VALUE!</v>
      </c>
      <c r="AE40" s="1">
        <f ca="1" t="shared" si="11"/>
        <v>5</v>
      </c>
      <c r="AF40" s="1" t="e">
        <f ca="1" t="shared" si="12"/>
        <v>#VALUE!</v>
      </c>
      <c r="AG40" s="1">
        <f ca="1" t="shared" si="13"/>
        <v>5</v>
      </c>
      <c r="AH40" s="1" t="str">
        <f ca="1">IF($T40="","",IF(ISERROR(INDEX(INDIRECT($H$6),$T40+1,uxb_works!$B$24)),"",INDEX(INDIRECT($H$6),$T40+1,uxb_works!$B$24)))</f>
        <v>=1</v>
      </c>
      <c r="AI40" s="1" t="str">
        <f ca="1">IF($T40="","",IF(ISERROR(INDEX(INDIRECT($H$6),$T40+1,uxb_works!$B$25)),"",INDEX(INDIRECT($H$6),$T40+1,uxb_works!$B$25)))</f>
        <v>=1</v>
      </c>
      <c r="AJ40" s="1" t="str">
        <f ca="1">IF($T40="","",IF(ISERROR(INDEX(INDIRECT($H$6),$T40+1,uxb_works!$B$26-1)),"",INDEX(INDIRECT($H$6),$T40+1,uxb_works!$B$26-1)))</f>
        <v>=1</v>
      </c>
      <c r="AK40" s="1" t="str">
        <f ca="1">IF($T40="","",IF(ISERROR(INDEX(INDIRECT($H$6),$T40+1,uxb_works!$B$27-1)),"",INDEX(INDIRECT($H$6),$T40+1,uxb_works!$B$27-1)))</f>
        <v>=1</v>
      </c>
      <c r="AL40" s="1"/>
      <c r="AM40" s="18"/>
      <c r="AN40" s="1" t="str">
        <f ca="1" t="shared" si="46"/>
        <v/>
      </c>
      <c r="AO40" s="1" t="str">
        <f ca="1" t="shared" si="47"/>
        <v/>
      </c>
      <c r="AP40" s="1" t="str">
        <f ca="1" t="shared" si="48"/>
        <v/>
      </c>
      <c r="AQ40" s="1" t="str">
        <f ca="1" t="shared" si="49"/>
        <v/>
      </c>
      <c r="AR40" s="1">
        <v>3</v>
      </c>
      <c r="AS40" s="1"/>
      <c r="AU40">
        <f ca="1" t="shared" si="50"/>
        <v>1</v>
      </c>
      <c r="AV40">
        <f ca="1" t="shared" si="51"/>
        <v>1</v>
      </c>
      <c r="AX40" s="1">
        <f ca="1">IF($T40="","",IF(ISERROR(INDEX(INDIRECT($G$6),$T40+1,uxb_works!$B$24)),"",INDEX(INDIRECT($G$6),$T40+1,uxb_works!$B$24)))</f>
        <v>1</v>
      </c>
      <c r="AY40" s="1">
        <f ca="1">IF($T40="","",IF(ISERROR(INDEX(INDIRECT($G$6),$T40+1,uxb_works!$B$25)),"",INDEX(INDIRECT($G$6),$T40+1,uxb_works!$B$25)))</f>
        <v>1</v>
      </c>
      <c r="AZ40" s="1">
        <f ca="1">IF($T40="","",IF(ISERROR(INDEX(INDIRECT($G$6),$T40+1,uxb_works!$B$26-1)),"",INDEX(INDIRECT($G$6),$T40+1,uxb_works!$B$26-1)))</f>
        <v>1</v>
      </c>
      <c r="BA40" s="1">
        <f ca="1">IF($T40="","",IF(ISERROR(INDEX(INDIRECT($G$6),$T40+1,uxb_works!$B$27-1)),"",INDEX(INDIRECT($G$6),$T40+1,uxb_works!$B$27-1)))</f>
        <v>1</v>
      </c>
      <c r="BC40">
        <f ca="1" t="shared" si="52"/>
        <v>0</v>
      </c>
      <c r="BD40">
        <f ca="1" t="shared" si="53"/>
        <v>0</v>
      </c>
      <c r="BE40">
        <f ca="1" t="shared" si="54"/>
        <v>0</v>
      </c>
      <c r="BF40">
        <f ca="1" t="shared" si="55"/>
        <v>0</v>
      </c>
    </row>
    <row r="41" customFormat="1" spans="1:58">
      <c r="A41" s="1">
        <f t="shared" si="25"/>
        <v>31</v>
      </c>
      <c r="B41" s="1" t="str">
        <f>tblCategories!D33</f>
        <v>3.1.3) Quality of road infrastructure</v>
      </c>
      <c r="C41" s="1">
        <f>tblCategories!F33</f>
        <v>1</v>
      </c>
      <c r="D41" s="1">
        <f t="shared" si="39"/>
        <v>969</v>
      </c>
      <c r="E41" s="1">
        <f ca="1" t="shared" si="40"/>
        <v>100</v>
      </c>
      <c r="F41" s="1">
        <f ca="1" t="shared" si="18"/>
        <v>1</v>
      </c>
      <c r="G41" s="1">
        <f ca="1" t="shared" si="19"/>
        <v>100</v>
      </c>
      <c r="H41" s="1">
        <f ca="1" t="shared" si="20"/>
        <v>1</v>
      </c>
      <c r="I41" s="1" t="e">
        <f ca="1" t="shared" si="21"/>
        <v>#VALUE!</v>
      </c>
      <c r="J41" s="1">
        <f ca="1" t="shared" si="22"/>
        <v>1</v>
      </c>
      <c r="K41" s="1" t="e">
        <f ca="1" t="shared" si="23"/>
        <v>#VALUE!</v>
      </c>
      <c r="L41" s="1">
        <f ca="1" t="shared" si="24"/>
        <v>3</v>
      </c>
      <c r="M41" s="1">
        <f>IF(D41=0,"",tblIndiSets!C206)</f>
        <v>3</v>
      </c>
      <c r="N41" s="1"/>
      <c r="O41" s="1"/>
      <c r="P41" s="1"/>
      <c r="Q41" s="1">
        <f ca="1" t="shared" si="0"/>
        <v>3</v>
      </c>
      <c r="R41" s="1">
        <f ca="1" t="shared" si="1"/>
        <v>969</v>
      </c>
      <c r="S41" s="1">
        <f ca="1">IF($C41=0,"",RANK(R41,R$11:R$71,0)+COUNTIF(R$11:R41,R41)-1)</f>
        <v>31</v>
      </c>
      <c r="T41" s="1">
        <f ca="1" t="shared" si="41"/>
        <v>31</v>
      </c>
      <c r="U41" s="269">
        <f ca="1" t="shared" si="42"/>
        <v>1</v>
      </c>
      <c r="V41" s="269">
        <f ca="1" t="shared" si="43"/>
        <v>15</v>
      </c>
      <c r="W41" s="269">
        <f ca="1" t="shared" si="44"/>
        <v>969</v>
      </c>
      <c r="X41" s="268" t="str">
        <f ca="1" t="shared" si="45"/>
        <v>=1</v>
      </c>
      <c r="Y41" s="1" t="str">
        <f ca="1" t="shared" si="6"/>
        <v>3.1.3) Quality of road infrastructure</v>
      </c>
      <c r="Z41" s="1">
        <f ca="1" t="shared" si="56"/>
        <v>100</v>
      </c>
      <c r="AA41" s="1">
        <f ca="1" t="shared" si="56"/>
        <v>1</v>
      </c>
      <c r="AB41" s="1">
        <f ca="1" t="shared" si="8"/>
        <v>100</v>
      </c>
      <c r="AC41" s="1">
        <f ca="1" t="shared" si="9"/>
        <v>1</v>
      </c>
      <c r="AD41" s="1" t="e">
        <f ca="1" t="shared" si="10"/>
        <v>#VALUE!</v>
      </c>
      <c r="AE41" s="1">
        <f ca="1" t="shared" si="11"/>
        <v>1</v>
      </c>
      <c r="AF41" s="1" t="e">
        <f ca="1" t="shared" si="12"/>
        <v>#VALUE!</v>
      </c>
      <c r="AG41" s="1">
        <f ca="1" t="shared" si="13"/>
        <v>3</v>
      </c>
      <c r="AH41" s="1" t="str">
        <f ca="1">IF($T41="","",IF(ISERROR(INDEX(INDIRECT($H$6),$T41+1,uxb_works!$B$24)),"",INDEX(INDIRECT($H$6),$T41+1,uxb_works!$B$24)))</f>
        <v>=1</v>
      </c>
      <c r="AI41" s="1" t="str">
        <f ca="1">IF($T41="","",IF(ISERROR(INDEX(INDIRECT($H$6),$T41+1,uxb_works!$B$25)),"",INDEX(INDIRECT($H$6),$T41+1,uxb_works!$B$25)))</f>
        <v>=1</v>
      </c>
      <c r="AJ41" s="1" t="str">
        <f ca="1">IF($T41="","",IF(ISERROR(INDEX(INDIRECT($H$6),$T41+1,uxb_works!$B$26-1)),"",INDEX(INDIRECT($H$6),$T41+1,uxb_works!$B$26-1)))</f>
        <v>=16</v>
      </c>
      <c r="AK41" s="1" t="str">
        <f ca="1">IF($T41="","",IF(ISERROR(INDEX(INDIRECT($H$6),$T41+1,uxb_works!$B$27-1)),"",INDEX(INDIRECT($H$6),$T41+1,uxb_works!$B$27-1)))</f>
        <v>=16</v>
      </c>
      <c r="AL41" s="1"/>
      <c r="AM41" s="18"/>
      <c r="AN41" s="1" t="str">
        <f ca="1" t="shared" si="46"/>
        <v/>
      </c>
      <c r="AO41" s="1" t="str">
        <f ca="1" t="shared" si="47"/>
        <v/>
      </c>
      <c r="AP41" s="1" t="str">
        <f ca="1" t="shared" si="48"/>
        <v/>
      </c>
      <c r="AQ41" s="1" t="str">
        <f ca="1" t="shared" si="49"/>
        <v/>
      </c>
      <c r="AR41" s="1">
        <v>3</v>
      </c>
      <c r="AS41" s="1"/>
      <c r="AU41">
        <f ca="1" t="shared" si="50"/>
        <v>1</v>
      </c>
      <c r="AV41">
        <f ca="1" t="shared" si="51"/>
        <v>1</v>
      </c>
      <c r="AX41" s="1">
        <f ca="1">IF($T41="","",IF(ISERROR(INDEX(INDIRECT($G$6),$T41+1,uxb_works!$B$24)),"",INDEX(INDIRECT($G$6),$T41+1,uxb_works!$B$24)))</f>
        <v>1</v>
      </c>
      <c r="AY41" s="1">
        <f ca="1">IF($T41="","",IF(ISERROR(INDEX(INDIRECT($G$6),$T41+1,uxb_works!$B$25)),"",INDEX(INDIRECT($G$6),$T41+1,uxb_works!$B$25)))</f>
        <v>1</v>
      </c>
      <c r="AZ41" s="1">
        <f ca="1">IF($T41="","",IF(ISERROR(INDEX(INDIRECT($G$6),$T41+1,uxb_works!$B$26-1)),"",INDEX(INDIRECT($G$6),$T41+1,uxb_works!$B$26-1)))</f>
        <v>1</v>
      </c>
      <c r="BA41" s="1">
        <f ca="1">IF($T41="","",IF(ISERROR(INDEX(INDIRECT($G$6),$T41+1,uxb_works!$B$27-1)),"",INDEX(INDIRECT($G$6),$T41+1,uxb_works!$B$27-1)))</f>
        <v>1</v>
      </c>
      <c r="BC41">
        <f ca="1" t="shared" si="52"/>
        <v>0</v>
      </c>
      <c r="BD41">
        <f ca="1" t="shared" si="53"/>
        <v>0</v>
      </c>
      <c r="BE41">
        <f ca="1" t="shared" si="54"/>
        <v>0</v>
      </c>
      <c r="BF41">
        <f ca="1" t="shared" si="55"/>
        <v>0</v>
      </c>
    </row>
    <row r="42" customFormat="1" spans="1:58">
      <c r="A42" s="1">
        <f t="shared" si="25"/>
        <v>32</v>
      </c>
      <c r="B42" s="1" t="str">
        <f>tblCategories!D34</f>
        <v>3.1.4) Quality of electricity infrastructure</v>
      </c>
      <c r="C42" s="1">
        <f>tblCategories!F34</f>
        <v>1</v>
      </c>
      <c r="D42" s="1">
        <f t="shared" si="39"/>
        <v>968</v>
      </c>
      <c r="E42" s="1">
        <f ca="1" t="shared" si="40"/>
        <v>75</v>
      </c>
      <c r="F42" s="1">
        <f ca="1" t="shared" si="18"/>
        <v>2</v>
      </c>
      <c r="G42" s="1">
        <f ca="1" t="shared" si="19"/>
        <v>75</v>
      </c>
      <c r="H42" s="1">
        <f ca="1" t="shared" si="20"/>
        <v>2</v>
      </c>
      <c r="I42" s="1" t="e">
        <f ca="1" t="shared" si="21"/>
        <v>#VALUE!</v>
      </c>
      <c r="J42" s="1">
        <f ca="1" t="shared" si="22"/>
        <v>2</v>
      </c>
      <c r="K42" s="1" t="e">
        <f ca="1" t="shared" si="23"/>
        <v>#VALUE!</v>
      </c>
      <c r="L42" s="1">
        <f ca="1" t="shared" si="24"/>
        <v>2</v>
      </c>
      <c r="M42" s="1">
        <f>IF(D42=0,"",tblIndiSets!C207)</f>
        <v>3</v>
      </c>
      <c r="N42" s="1"/>
      <c r="O42" s="1"/>
      <c r="P42" s="1"/>
      <c r="Q42" s="1">
        <f ca="1" t="shared" si="0"/>
        <v>3</v>
      </c>
      <c r="R42" s="1">
        <f ca="1" t="shared" si="1"/>
        <v>968</v>
      </c>
      <c r="S42" s="1">
        <f ca="1">IF($C42=0,"",RANK(R42,R$11:R$71,0)+COUNTIF(R$11:R42,R42)-1)</f>
        <v>32</v>
      </c>
      <c r="T42" s="1">
        <f ca="1" t="shared" si="41"/>
        <v>32</v>
      </c>
      <c r="U42" s="269">
        <f ca="1" t="shared" si="42"/>
        <v>33</v>
      </c>
      <c r="V42" s="269">
        <f ca="1" t="shared" si="43"/>
        <v>7</v>
      </c>
      <c r="W42" s="269">
        <f ca="1" t="shared" si="44"/>
        <v>968</v>
      </c>
      <c r="X42" s="268" t="str">
        <f ca="1" t="shared" si="45"/>
        <v>=33</v>
      </c>
      <c r="Y42" s="1" t="str">
        <f ca="1" t="shared" si="6"/>
        <v>3.1.4) Quality of electricity infrastructure</v>
      </c>
      <c r="Z42" s="1">
        <f ca="1" t="shared" si="56"/>
        <v>75</v>
      </c>
      <c r="AA42" s="1">
        <f ca="1" t="shared" si="56"/>
        <v>2</v>
      </c>
      <c r="AB42" s="1">
        <f ca="1" t="shared" si="8"/>
        <v>75</v>
      </c>
      <c r="AC42" s="1">
        <f ca="1" t="shared" si="9"/>
        <v>2</v>
      </c>
      <c r="AD42" s="1" t="e">
        <f ca="1" t="shared" si="10"/>
        <v>#VALUE!</v>
      </c>
      <c r="AE42" s="1">
        <f ca="1" t="shared" si="11"/>
        <v>2</v>
      </c>
      <c r="AF42" s="1" t="e">
        <f ca="1" t="shared" si="12"/>
        <v>#VALUE!</v>
      </c>
      <c r="AG42" s="1">
        <f ca="1" t="shared" si="13"/>
        <v>2</v>
      </c>
      <c r="AH42" s="1" t="str">
        <f ca="1">IF($T42="","",IF(ISERROR(INDEX(INDIRECT($H$6),$T42+1,uxb_works!$B$24)),"",INDEX(INDIRECT($H$6),$T42+1,uxb_works!$B$24)))</f>
        <v>=38</v>
      </c>
      <c r="AI42" s="1" t="str">
        <f ca="1">IF($T42="","",IF(ISERROR(INDEX(INDIRECT($H$6),$T42+1,uxb_works!$B$25)),"",INDEX(INDIRECT($H$6),$T42+1,uxb_works!$B$25)))</f>
        <v>=38</v>
      </c>
      <c r="AJ42" s="1" t="str">
        <f ca="1">IF($T42="","",IF(ISERROR(INDEX(INDIRECT($H$6),$T42+1,uxb_works!$B$26-1)),"",INDEX(INDIRECT($H$6),$T42+1,uxb_works!$B$26-1)))</f>
        <v>=1</v>
      </c>
      <c r="AK42" s="1" t="str">
        <f ca="1">IF($T42="","",IF(ISERROR(INDEX(INDIRECT($H$6),$T42+1,uxb_works!$B$27-1)),"",INDEX(INDIRECT($H$6),$T42+1,uxb_works!$B$27-1)))</f>
        <v>=1</v>
      </c>
      <c r="AL42" s="1"/>
      <c r="AM42" s="18"/>
      <c r="AN42" s="1" t="str">
        <f ca="1" t="shared" si="46"/>
        <v/>
      </c>
      <c r="AO42" s="1" t="str">
        <f ca="1" t="shared" si="47"/>
        <v/>
      </c>
      <c r="AP42" s="1" t="str">
        <f ca="1" t="shared" si="48"/>
        <v/>
      </c>
      <c r="AQ42" s="1" t="str">
        <f ca="1" t="shared" si="49"/>
        <v/>
      </c>
      <c r="AR42" s="1">
        <v>3</v>
      </c>
      <c r="AS42" s="1"/>
      <c r="AU42">
        <f ca="1" t="shared" si="50"/>
        <v>38</v>
      </c>
      <c r="AV42">
        <f ca="1" t="shared" si="51"/>
        <v>1</v>
      </c>
      <c r="AX42" s="1">
        <f ca="1">IF($T42="","",IF(ISERROR(INDEX(INDIRECT($G$6),$T42+1,uxb_works!$B$24)),"",INDEX(INDIRECT($G$6),$T42+1,uxb_works!$B$24)))</f>
        <v>38</v>
      </c>
      <c r="AY42" s="1">
        <f ca="1">IF($T42="","",IF(ISERROR(INDEX(INDIRECT($G$6),$T42+1,uxb_works!$B$25)),"",INDEX(INDIRECT($G$6),$T42+1,uxb_works!$B$25)))</f>
        <v>38</v>
      </c>
      <c r="AZ42" s="1">
        <f ca="1">IF($T42="","",IF(ISERROR(INDEX(INDIRECT($G$6),$T42+1,uxb_works!$B$26-1)),"",INDEX(INDIRECT($G$6),$T42+1,uxb_works!$B$26-1)))</f>
        <v>1</v>
      </c>
      <c r="BA42" s="1">
        <f ca="1">IF($T42="","",IF(ISERROR(INDEX(INDIRECT($G$6),$T42+1,uxb_works!$B$27-1)),"",INDEX(INDIRECT($G$6),$T42+1,uxb_works!$B$27-1)))</f>
        <v>1</v>
      </c>
      <c r="BC42">
        <f ca="1" t="shared" si="52"/>
        <v>2</v>
      </c>
      <c r="BD42">
        <f ca="1" t="shared" si="53"/>
        <v>2</v>
      </c>
      <c r="BE42">
        <f ca="1" t="shared" si="54"/>
        <v>1</v>
      </c>
      <c r="BF42">
        <f ca="1" t="shared" si="55"/>
        <v>1</v>
      </c>
    </row>
    <row r="43" customFormat="1" spans="1:58">
      <c r="A43" s="1">
        <f t="shared" si="25"/>
        <v>33</v>
      </c>
      <c r="B43" s="1" t="str">
        <f>tblCategories!D35</f>
        <v>3.1.5) Disaster management/business continuity plan</v>
      </c>
      <c r="C43" s="1">
        <f>tblCategories!F35</f>
        <v>1</v>
      </c>
      <c r="D43" s="1">
        <f t="shared" si="39"/>
        <v>967</v>
      </c>
      <c r="E43" s="1">
        <f ca="1" t="shared" si="40"/>
        <v>75</v>
      </c>
      <c r="F43" s="1">
        <f ca="1" t="shared" si="18"/>
        <v>2</v>
      </c>
      <c r="G43" s="1">
        <f ca="1" t="shared" si="19"/>
        <v>75</v>
      </c>
      <c r="H43" s="1">
        <f ca="1" t="shared" si="20"/>
        <v>2</v>
      </c>
      <c r="I43" s="1" t="e">
        <f ca="1" t="shared" si="21"/>
        <v>#VALUE!</v>
      </c>
      <c r="J43" s="1">
        <f ca="1" t="shared" si="22"/>
        <v>2</v>
      </c>
      <c r="K43" s="1" t="e">
        <f ca="1" t="shared" si="23"/>
        <v>#VALUE!</v>
      </c>
      <c r="L43" s="1">
        <f ca="1" t="shared" si="24"/>
        <v>2</v>
      </c>
      <c r="M43" s="1">
        <f>IF(D43=0,"",tblIndiSets!C208)</f>
        <v>3</v>
      </c>
      <c r="N43" s="1"/>
      <c r="O43" s="1"/>
      <c r="P43" s="1"/>
      <c r="Q43" s="1">
        <f ca="1" t="shared" si="0"/>
        <v>3</v>
      </c>
      <c r="R43" s="1">
        <f ca="1" t="shared" si="1"/>
        <v>967</v>
      </c>
      <c r="S43" s="1">
        <f ca="1">IF($C43=0,"",RANK(R43,R$11:R$71,0)+COUNTIF(R$11:R43,R43)-1)</f>
        <v>33</v>
      </c>
      <c r="T43" s="1">
        <f ca="1" t="shared" si="41"/>
        <v>33</v>
      </c>
      <c r="U43" s="269">
        <f ca="1" t="shared" si="42"/>
        <v>33</v>
      </c>
      <c r="V43" s="269">
        <f ca="1" t="shared" si="43"/>
        <v>7</v>
      </c>
      <c r="W43" s="269">
        <f ca="1" t="shared" si="44"/>
        <v>967</v>
      </c>
      <c r="X43" s="268" t="str">
        <f ca="1" t="shared" si="45"/>
        <v>=33</v>
      </c>
      <c r="Y43" s="1" t="str">
        <f ca="1" t="shared" si="6"/>
        <v>3.1.5) Disaster management/business continuity plan</v>
      </c>
      <c r="Z43" s="1">
        <f ca="1" t="shared" si="56"/>
        <v>75</v>
      </c>
      <c r="AA43" s="1">
        <f ca="1" t="shared" si="56"/>
        <v>2</v>
      </c>
      <c r="AB43" s="1">
        <f ca="1" t="shared" si="8"/>
        <v>75</v>
      </c>
      <c r="AC43" s="1">
        <f ca="1" t="shared" si="9"/>
        <v>2</v>
      </c>
      <c r="AD43" s="1" t="e">
        <f ca="1" t="shared" si="10"/>
        <v>#VALUE!</v>
      </c>
      <c r="AE43" s="1">
        <f ca="1" t="shared" si="11"/>
        <v>2</v>
      </c>
      <c r="AF43" s="1" t="e">
        <f ca="1" t="shared" si="12"/>
        <v>#VALUE!</v>
      </c>
      <c r="AG43" s="1">
        <f ca="1" t="shared" si="13"/>
        <v>2</v>
      </c>
      <c r="AH43" s="1" t="str">
        <f ca="1">IF($T43="","",IF(ISERROR(INDEX(INDIRECT($H$6),$T43+1,uxb_works!$B$24)),"",INDEX(INDIRECT($H$6),$T43+1,uxb_works!$B$24)))</f>
        <v>=30</v>
      </c>
      <c r="AI43" s="1" t="str">
        <f ca="1">IF($T43="","",IF(ISERROR(INDEX(INDIRECT($H$6),$T43+1,uxb_works!$B$25)),"",INDEX(INDIRECT($H$6),$T43+1,uxb_works!$B$25)))</f>
        <v>=30</v>
      </c>
      <c r="AJ43" s="1" t="str">
        <f ca="1">IF($T43="","",IF(ISERROR(INDEX(INDIRECT($H$6),$T43+1,uxb_works!$B$26-1)),"",INDEX(INDIRECT($H$6),$T43+1,uxb_works!$B$26-1)))</f>
        <v>=1</v>
      </c>
      <c r="AK43" s="1" t="str">
        <f ca="1">IF($T43="","",IF(ISERROR(INDEX(INDIRECT($H$6),$T43+1,uxb_works!$B$27-1)),"",INDEX(INDIRECT($H$6),$T43+1,uxb_works!$B$27-1)))</f>
        <v>=30</v>
      </c>
      <c r="AL43" s="1"/>
      <c r="AM43" s="18"/>
      <c r="AN43" s="1" t="str">
        <f ca="1" t="shared" si="46"/>
        <v/>
      </c>
      <c r="AO43" s="1" t="str">
        <f ca="1" t="shared" si="47"/>
        <v/>
      </c>
      <c r="AP43" s="1" t="str">
        <f ca="1" t="shared" si="48"/>
        <v/>
      </c>
      <c r="AQ43" s="1" t="str">
        <f ca="1" t="shared" si="49"/>
        <v/>
      </c>
      <c r="AR43" s="1">
        <v>3</v>
      </c>
      <c r="AS43" s="1"/>
      <c r="AU43">
        <f ca="1" t="shared" si="50"/>
        <v>30</v>
      </c>
      <c r="AV43">
        <f ca="1" t="shared" si="51"/>
        <v>1</v>
      </c>
      <c r="AX43" s="1">
        <f ca="1">IF($T43="","",IF(ISERROR(INDEX(INDIRECT($G$6),$T43+1,uxb_works!$B$24)),"",INDEX(INDIRECT($G$6),$T43+1,uxb_works!$B$24)))</f>
        <v>30</v>
      </c>
      <c r="AY43" s="1">
        <f ca="1">IF($T43="","",IF(ISERROR(INDEX(INDIRECT($G$6),$T43+1,uxb_works!$B$25)),"",INDEX(INDIRECT($G$6),$T43+1,uxb_works!$B$25)))</f>
        <v>30</v>
      </c>
      <c r="AZ43" s="1">
        <f ca="1">IF($T43="","",IF(ISERROR(INDEX(INDIRECT($G$6),$T43+1,uxb_works!$B$26-1)),"",INDEX(INDIRECT($G$6),$T43+1,uxb_works!$B$26-1)))</f>
        <v>1</v>
      </c>
      <c r="BA43" s="1">
        <f ca="1">IF($T43="","",IF(ISERROR(INDEX(INDIRECT($G$6),$T43+1,uxb_works!$B$27-1)),"",INDEX(INDIRECT($G$6),$T43+1,uxb_works!$B$27-1)))</f>
        <v>1</v>
      </c>
      <c r="BC43">
        <f ca="1" t="shared" si="52"/>
        <v>2</v>
      </c>
      <c r="BD43">
        <f ca="1" t="shared" si="53"/>
        <v>2</v>
      </c>
      <c r="BE43">
        <f ca="1" t="shared" si="54"/>
        <v>1</v>
      </c>
      <c r="BF43">
        <f ca="1" t="shared" si="55"/>
        <v>1</v>
      </c>
    </row>
    <row r="44" customFormat="1" spans="1:58">
      <c r="A44" s="1">
        <f t="shared" si="25"/>
        <v>34</v>
      </c>
      <c r="B44" s="1" t="str">
        <f>tblCategories!D36</f>
        <v>3.2) Infrastructure security (Outputs)</v>
      </c>
      <c r="C44" s="1">
        <f>tblCategories!F36</f>
        <v>1</v>
      </c>
      <c r="D44" s="1">
        <f t="shared" si="39"/>
        <v>966</v>
      </c>
      <c r="E44" s="1">
        <f ca="1" t="shared" si="40"/>
        <v>92.728320479609</v>
      </c>
      <c r="F44" s="1" t="str">
        <f ca="1" t="shared" si="18"/>
        <v/>
      </c>
      <c r="G44" s="1">
        <f ca="1" t="shared" si="19"/>
        <v>92.728320479609</v>
      </c>
      <c r="H44" s="1" t="str">
        <f ca="1" t="shared" si="20"/>
        <v/>
      </c>
      <c r="I44" s="1" t="e">
        <f ca="1" t="shared" si="21"/>
        <v>#VALUE!</v>
      </c>
      <c r="J44" s="1" t="str">
        <f ca="1" t="shared" si="22"/>
        <v/>
      </c>
      <c r="K44" s="1" t="e">
        <f ca="1" t="shared" si="23"/>
        <v>#VALUE!</v>
      </c>
      <c r="L44" s="1" t="str">
        <f ca="1" t="shared" si="24"/>
        <v/>
      </c>
      <c r="M44" s="1">
        <f>IF(D44=0,"",tblIndiSets!C209)</f>
        <v>2</v>
      </c>
      <c r="N44" s="1"/>
      <c r="O44" s="1"/>
      <c r="P44" s="1"/>
      <c r="Q44" s="1">
        <f ca="1" t="shared" si="0"/>
        <v>2</v>
      </c>
      <c r="R44" s="1">
        <f ca="1" t="shared" si="1"/>
        <v>966</v>
      </c>
      <c r="S44" s="1">
        <f ca="1">IF($C44=0,"",RANK(R44,R$11:R$71,0)+COUNTIF(R$11:R44,R44)-1)</f>
        <v>34</v>
      </c>
      <c r="T44" s="1">
        <f ca="1" t="shared" si="41"/>
        <v>34</v>
      </c>
      <c r="U44" s="269">
        <f ca="1" t="shared" si="42"/>
        <v>23</v>
      </c>
      <c r="V44" s="269">
        <f ca="1" t="shared" si="43"/>
        <v>1</v>
      </c>
      <c r="W44" s="269">
        <f ca="1" t="shared" si="44"/>
        <v>966</v>
      </c>
      <c r="X44" s="268">
        <f ca="1" t="shared" si="45"/>
        <v>23</v>
      </c>
      <c r="Y44" s="1" t="str">
        <f ca="1" t="shared" si="6"/>
        <v>3.2) Infrastructure security (Outputs)</v>
      </c>
      <c r="Z44" s="1">
        <f ca="1" t="shared" si="56"/>
        <v>92.728320479609</v>
      </c>
      <c r="AA44" s="1" t="str">
        <f ca="1" t="shared" si="56"/>
        <v/>
      </c>
      <c r="AB44" s="1">
        <f ca="1" t="shared" si="8"/>
        <v>92.728320479609</v>
      </c>
      <c r="AC44" s="1" t="str">
        <f ca="1" t="shared" si="9"/>
        <v/>
      </c>
      <c r="AD44" s="1" t="e">
        <f ca="1" t="shared" si="10"/>
        <v>#VALUE!</v>
      </c>
      <c r="AE44" s="1" t="str">
        <f ca="1" t="shared" si="11"/>
        <v/>
      </c>
      <c r="AF44" s="1" t="e">
        <f ca="1" t="shared" si="12"/>
        <v>#VALUE!</v>
      </c>
      <c r="AG44" s="1" t="str">
        <f ca="1" t="shared" si="13"/>
        <v/>
      </c>
      <c r="AH44" s="1" t="str">
        <f ca="1">IF($T44="","",IF(ISERROR(INDEX(INDIRECT($H$6),$T44+1,uxb_works!$B$24)),"",INDEX(INDIRECT($H$6),$T44+1,uxb_works!$B$24)))</f>
        <v>=14</v>
      </c>
      <c r="AI44" s="1" t="str">
        <f ca="1">IF($T44="","",IF(ISERROR(INDEX(INDIRECT($H$6),$T44+1,uxb_works!$B$25)),"",INDEX(INDIRECT($H$6),$T44+1,uxb_works!$B$25)))</f>
        <v>=14</v>
      </c>
      <c r="AJ44" s="1" t="str">
        <f ca="1">IF($T44="","",IF(ISERROR(INDEX(INDIRECT($H$6),$T44+1,uxb_works!$B$26-1)),"",INDEX(INDIRECT($H$6),$T44+1,uxb_works!$B$26-1)))</f>
        <v>18</v>
      </c>
      <c r="AK44" s="1" t="str">
        <f ca="1">IF($T44="","",IF(ISERROR(INDEX(INDIRECT($H$6),$T44+1,uxb_works!$B$27-1)),"",INDEX(INDIRECT($H$6),$T44+1,uxb_works!$B$27-1)))</f>
        <v>53</v>
      </c>
      <c r="AL44" s="1"/>
      <c r="AM44" s="18"/>
      <c r="AN44" s="1" t="str">
        <f ca="1" t="shared" si="46"/>
        <v/>
      </c>
      <c r="AO44" s="1" t="str">
        <f ca="1" t="shared" si="47"/>
        <v/>
      </c>
      <c r="AP44" s="1" t="str">
        <f ca="1" t="shared" si="48"/>
        <v/>
      </c>
      <c r="AQ44" s="1" t="str">
        <f ca="1" t="shared" si="49"/>
        <v/>
      </c>
      <c r="AR44" s="1">
        <v>3</v>
      </c>
      <c r="AS44" s="1"/>
      <c r="AU44">
        <f ca="1" t="shared" si="50"/>
        <v>14</v>
      </c>
      <c r="AV44">
        <f ca="1" t="shared" si="51"/>
        <v>3</v>
      </c>
      <c r="AX44" s="1">
        <f ca="1">IF($T44="","",IF(ISERROR(INDEX(INDIRECT($G$6),$T44+1,uxb_works!$B$24)),"",INDEX(INDIRECT($G$6),$T44+1,uxb_works!$B$24)))</f>
        <v>14</v>
      </c>
      <c r="AY44" s="1">
        <f ca="1">IF($T44="","",IF(ISERROR(INDEX(INDIRECT($G$6),$T44+1,uxb_works!$B$25)),"",INDEX(INDIRECT($G$6),$T44+1,uxb_works!$B$25)))</f>
        <v>14</v>
      </c>
      <c r="AZ44" s="1">
        <f ca="1">IF($T44="","",IF(ISERROR(INDEX(INDIRECT($G$6),$T44+1,uxb_works!$B$26-1)),"",INDEX(INDIRECT($G$6),$T44+1,uxb_works!$B$26-1)))</f>
        <v>3</v>
      </c>
      <c r="BA44" s="1">
        <f ca="1">IF($T44="","",IF(ISERROR(INDEX(INDIRECT($G$6),$T44+1,uxb_works!$B$27-1)),"",INDEX(INDIRECT($G$6),$T44+1,uxb_works!$B$27-1)))</f>
        <v>9</v>
      </c>
      <c r="BC44">
        <f ca="1" t="shared" si="52"/>
        <v>2</v>
      </c>
      <c r="BD44">
        <f ca="1" t="shared" si="53"/>
        <v>2</v>
      </c>
      <c r="BE44">
        <f ca="1" t="shared" si="54"/>
        <v>1</v>
      </c>
      <c r="BF44">
        <f ca="1" t="shared" si="55"/>
        <v>0</v>
      </c>
    </row>
    <row r="45" customFormat="1" spans="1:58">
      <c r="A45" s="1">
        <f t="shared" si="25"/>
        <v>35</v>
      </c>
      <c r="B45" s="1" t="str">
        <f>tblCategories!D37</f>
        <v>3.2.1) Deaths from natural disaster</v>
      </c>
      <c r="C45" s="1">
        <f>tblCategories!F37</f>
        <v>1</v>
      </c>
      <c r="D45" s="1">
        <f t="shared" si="39"/>
        <v>965</v>
      </c>
      <c r="E45" s="1">
        <f ca="1" t="shared" si="40"/>
        <v>100</v>
      </c>
      <c r="F45" s="1">
        <f ca="1" t="shared" si="18"/>
        <v>0</v>
      </c>
      <c r="G45" s="1">
        <f ca="1" t="shared" si="19"/>
        <v>100</v>
      </c>
      <c r="H45" s="1">
        <f ca="1" t="shared" si="20"/>
        <v>0</v>
      </c>
      <c r="I45" s="1" t="e">
        <f ca="1" t="shared" si="21"/>
        <v>#VALUE!</v>
      </c>
      <c r="J45" s="1">
        <f ca="1" t="shared" si="22"/>
        <v>0</v>
      </c>
      <c r="K45" s="1" t="e">
        <f ca="1" t="shared" si="23"/>
        <v>#VALUE!</v>
      </c>
      <c r="L45" s="1">
        <f ca="1" t="shared" si="24"/>
        <v>0.36321985406817</v>
      </c>
      <c r="M45" s="1">
        <f>IF(D45=0,"",tblIndiSets!C210)</f>
        <v>3</v>
      </c>
      <c r="N45" s="1"/>
      <c r="O45" s="1"/>
      <c r="P45" s="1"/>
      <c r="Q45" s="1">
        <f ca="1" t="shared" si="0"/>
        <v>3</v>
      </c>
      <c r="R45" s="1">
        <f ca="1" t="shared" si="1"/>
        <v>965</v>
      </c>
      <c r="S45" s="1">
        <f ca="1">IF($C45=0,"",RANK(R45,R$11:R$71,0)+COUNTIF(R$11:R45,R45)-1)</f>
        <v>35</v>
      </c>
      <c r="T45" s="1">
        <f ca="1" t="shared" si="41"/>
        <v>35</v>
      </c>
      <c r="U45" s="269">
        <f ca="1" t="shared" si="42"/>
        <v>1</v>
      </c>
      <c r="V45" s="269">
        <f ca="1" t="shared" si="43"/>
        <v>15</v>
      </c>
      <c r="W45" s="269">
        <f ca="1" t="shared" si="44"/>
        <v>965</v>
      </c>
      <c r="X45" s="268" t="str">
        <f ca="1" t="shared" si="45"/>
        <v>=1</v>
      </c>
      <c r="Y45" s="1" t="str">
        <f ca="1" t="shared" si="6"/>
        <v>3.2.1) Deaths from natural disaster</v>
      </c>
      <c r="Z45" s="1">
        <f ca="1" t="shared" si="56"/>
        <v>100</v>
      </c>
      <c r="AA45" s="1">
        <f ca="1" t="shared" si="56"/>
        <v>0</v>
      </c>
      <c r="AB45" s="1">
        <f ca="1" t="shared" si="8"/>
        <v>100</v>
      </c>
      <c r="AC45" s="1">
        <f ca="1" t="shared" si="9"/>
        <v>0</v>
      </c>
      <c r="AD45" s="1" t="e">
        <f ca="1" t="shared" si="10"/>
        <v>#VALUE!</v>
      </c>
      <c r="AE45" s="1">
        <f ca="1" t="shared" si="11"/>
        <v>0</v>
      </c>
      <c r="AF45" s="1" t="e">
        <f ca="1" t="shared" si="12"/>
        <v>#VALUE!</v>
      </c>
      <c r="AG45" s="1">
        <f ca="1" t="shared" si="13"/>
        <v>0.36321985406817</v>
      </c>
      <c r="AH45" s="1" t="str">
        <f ca="1">IF($T45="","",IF(ISERROR(INDEX(INDIRECT($H$6),$T45+1,uxb_works!$B$24)),"",INDEX(INDIRECT($H$6),$T45+1,uxb_works!$B$24)))</f>
        <v>=1</v>
      </c>
      <c r="AI45" s="1" t="str">
        <f ca="1">IF($T45="","",IF(ISERROR(INDEX(INDIRECT($H$6),$T45+1,uxb_works!$B$25)),"",INDEX(INDIRECT($H$6),$T45+1,uxb_works!$B$25)))</f>
        <v>=1</v>
      </c>
      <c r="AJ45" s="1" t="str">
        <f ca="1">IF($T45="","",IF(ISERROR(INDEX(INDIRECT($H$6),$T45+1,uxb_works!$B$26-1)),"",INDEX(INDIRECT($H$6),$T45+1,uxb_works!$B$26-1)))</f>
        <v>=42</v>
      </c>
      <c r="AK45" s="1" t="str">
        <f ca="1">IF($T45="","",IF(ISERROR(INDEX(INDIRECT($H$6),$T45+1,uxb_works!$B$27-1)),"",INDEX(INDIRECT($H$6),$T45+1,uxb_works!$B$27-1)))</f>
        <v>25</v>
      </c>
      <c r="AL45" s="1"/>
      <c r="AM45" s="18"/>
      <c r="AN45" s="1" t="str">
        <f ca="1" t="shared" si="46"/>
        <v/>
      </c>
      <c r="AO45" s="1" t="str">
        <f ca="1" t="shared" si="47"/>
        <v/>
      </c>
      <c r="AP45" s="1" t="str">
        <f ca="1" t="shared" si="48"/>
        <v/>
      </c>
      <c r="AQ45" s="1" t="str">
        <f ca="1" t="shared" si="49"/>
        <v/>
      </c>
      <c r="AR45" s="1">
        <v>3</v>
      </c>
      <c r="AS45" s="1"/>
      <c r="AU45">
        <f ca="1" t="shared" si="50"/>
        <v>44</v>
      </c>
      <c r="AV45">
        <f ca="1" t="shared" si="51"/>
        <v>1</v>
      </c>
      <c r="AX45" s="1">
        <f ca="1">IF($T45="","",IF(ISERROR(INDEX(INDIRECT($G$6),$T45+1,uxb_works!$B$24)),"",INDEX(INDIRECT($G$6),$T45+1,uxb_works!$B$24)))</f>
        <v>1</v>
      </c>
      <c r="AY45" s="1">
        <f ca="1">IF($T45="","",IF(ISERROR(INDEX(INDIRECT($G$6),$T45+1,uxb_works!$B$25)),"",INDEX(INDIRECT($G$6),$T45+1,uxb_works!$B$25)))</f>
        <v>1</v>
      </c>
      <c r="AZ45" s="1">
        <f ca="1">IF($T45="","",IF(ISERROR(INDEX(INDIRECT($G$6),$T45+1,uxb_works!$B$26-1)),"",INDEX(INDIRECT($G$6),$T45+1,uxb_works!$B$26-1)))</f>
        <v>27</v>
      </c>
      <c r="BA45" s="1">
        <f ca="1">IF($T45="","",IF(ISERROR(INDEX(INDIRECT($G$6),$T45+1,uxb_works!$B$27-1)),"",INDEX(INDIRECT($G$6),$T45+1,uxb_works!$B$27-1)))</f>
        <v>44</v>
      </c>
      <c r="BC45">
        <f ca="1" t="shared" si="52"/>
        <v>1</v>
      </c>
      <c r="BD45">
        <f ca="1" t="shared" si="53"/>
        <v>1</v>
      </c>
      <c r="BE45">
        <f ca="1" t="shared" si="54"/>
        <v>0</v>
      </c>
      <c r="BF45">
        <f ca="1" t="shared" si="55"/>
        <v>2</v>
      </c>
    </row>
    <row r="46" customFormat="1" spans="1:58">
      <c r="A46" s="1">
        <f t="shared" si="25"/>
        <v>36</v>
      </c>
      <c r="B46" s="1" t="str">
        <f>tblCategories!D38</f>
        <v>3.2.2) Frequency of vehicular accidents</v>
      </c>
      <c r="C46" s="1">
        <f>tblCategories!F38</f>
        <v>1</v>
      </c>
      <c r="D46" s="1">
        <f t="shared" si="39"/>
        <v>964</v>
      </c>
      <c r="E46" s="1">
        <f ca="1" t="shared" si="40"/>
        <v>95.6913364340366</v>
      </c>
      <c r="F46" s="1">
        <f ca="1" t="shared" si="18"/>
        <v>1574.67248908297</v>
      </c>
      <c r="G46" s="1">
        <f ca="1" t="shared" si="19"/>
        <v>95.6913364340366</v>
      </c>
      <c r="H46" s="1">
        <f ca="1" t="shared" si="20"/>
        <v>1574.67248908297</v>
      </c>
      <c r="I46" s="1" t="e">
        <f ca="1" t="shared" si="21"/>
        <v>#VALUE!</v>
      </c>
      <c r="J46" s="1">
        <f ca="1" t="shared" si="22"/>
        <v>1574.67248908297</v>
      </c>
      <c r="K46" s="1" t="e">
        <f ca="1" t="shared" si="23"/>
        <v>#VALUE!</v>
      </c>
      <c r="L46" s="1">
        <f ca="1" t="shared" si="24"/>
        <v>1041.57509157509</v>
      </c>
      <c r="M46" s="1">
        <f>IF(D46=0,"",tblIndiSets!C211)</f>
        <v>3</v>
      </c>
      <c r="N46" s="1"/>
      <c r="O46" s="1"/>
      <c r="P46" s="1"/>
      <c r="Q46" s="1">
        <f ca="1" t="shared" si="0"/>
        <v>3</v>
      </c>
      <c r="R46" s="1">
        <f ca="1" t="shared" si="1"/>
        <v>964</v>
      </c>
      <c r="S46" s="1">
        <f ca="1">IF($C46=0,"",RANK(R46,R$11:R$71,0)+COUNTIF(R$11:R46,R46)-1)</f>
        <v>36</v>
      </c>
      <c r="T46" s="1">
        <f ca="1" t="shared" si="41"/>
        <v>36</v>
      </c>
      <c r="U46" s="269">
        <f ca="1" t="shared" si="42"/>
        <v>21</v>
      </c>
      <c r="V46" s="269">
        <f ca="1" t="shared" si="43"/>
        <v>1</v>
      </c>
      <c r="W46" s="269">
        <f ca="1" t="shared" si="44"/>
        <v>964</v>
      </c>
      <c r="X46" s="268">
        <f ca="1" t="shared" si="45"/>
        <v>21</v>
      </c>
      <c r="Y46" s="1" t="str">
        <f ca="1" t="shared" si="6"/>
        <v>3.2.2) Frequency of vehicular accidents</v>
      </c>
      <c r="Z46" s="1">
        <f ca="1" t="shared" si="56"/>
        <v>95.6913364340366</v>
      </c>
      <c r="AA46" s="1">
        <f ca="1" t="shared" si="56"/>
        <v>1574.67248908297</v>
      </c>
      <c r="AB46" s="1">
        <f ca="1" t="shared" si="8"/>
        <v>95.6913364340366</v>
      </c>
      <c r="AC46" s="1">
        <f ca="1" t="shared" si="9"/>
        <v>1574.67248908297</v>
      </c>
      <c r="AD46" s="1" t="e">
        <f ca="1" t="shared" si="10"/>
        <v>#VALUE!</v>
      </c>
      <c r="AE46" s="1">
        <f ca="1" t="shared" si="11"/>
        <v>1574.67248908297</v>
      </c>
      <c r="AF46" s="1" t="e">
        <f ca="1" t="shared" si="12"/>
        <v>#VALUE!</v>
      </c>
      <c r="AG46" s="1">
        <f ca="1" t="shared" si="13"/>
        <v>1041.57509157509</v>
      </c>
      <c r="AH46" s="1" t="str">
        <f ca="1">IF($T46="","",IF(ISERROR(INDEX(INDIRECT($H$6),$T46+1,uxb_works!$B$24)),"",INDEX(INDIRECT($H$6),$T46+1,uxb_works!$B$24)))</f>
        <v>17</v>
      </c>
      <c r="AI46" s="1" t="str">
        <f ca="1">IF($T46="","",IF(ISERROR(INDEX(INDIRECT($H$6),$T46+1,uxb_works!$B$25)),"",INDEX(INDIRECT($H$6),$T46+1,uxb_works!$B$25)))</f>
        <v>17</v>
      </c>
      <c r="AJ46" s="1" t="str">
        <f ca="1">IF($T46="","",IF(ISERROR(INDEX(INDIRECT($H$6),$T46+1,uxb_works!$B$26-1)),"",INDEX(INDIRECT($H$6),$T46+1,uxb_works!$B$26-1)))</f>
        <v>40</v>
      </c>
      <c r="AK46" s="1" t="str">
        <f ca="1">IF($T46="","",IF(ISERROR(INDEX(INDIRECT($H$6),$T46+1,uxb_works!$B$27-1)),"",INDEX(INDIRECT($H$6),$T46+1,uxb_works!$B$27-1)))</f>
        <v>56</v>
      </c>
      <c r="AL46" s="1"/>
      <c r="AM46" s="18"/>
      <c r="AN46" s="1" t="str">
        <f ca="1" t="shared" si="46"/>
        <v/>
      </c>
      <c r="AO46" s="1" t="str">
        <f ca="1" t="shared" si="47"/>
        <v/>
      </c>
      <c r="AP46" s="1" t="str">
        <f ca="1" t="shared" si="48"/>
        <v/>
      </c>
      <c r="AQ46" s="1" t="str">
        <f ca="1" t="shared" si="49"/>
        <v/>
      </c>
      <c r="AR46" s="1">
        <v>3</v>
      </c>
      <c r="AS46" s="1"/>
      <c r="AU46">
        <f ca="1" t="shared" si="50"/>
        <v>26</v>
      </c>
      <c r="AV46">
        <f ca="1" t="shared" si="51"/>
        <v>17</v>
      </c>
      <c r="AX46" s="1">
        <f ca="1">IF($T46="","",IF(ISERROR(INDEX(INDIRECT($G$6),$T46+1,uxb_works!$B$24)),"",INDEX(INDIRECT($G$6),$T46+1,uxb_works!$B$24)))</f>
        <v>17</v>
      </c>
      <c r="AY46" s="1">
        <f ca="1">IF($T46="","",IF(ISERROR(INDEX(INDIRECT($G$6),$T46+1,uxb_works!$B$25)),"",INDEX(INDIRECT($G$6),$T46+1,uxb_works!$B$25)))</f>
        <v>17</v>
      </c>
      <c r="AZ46" s="1">
        <f ca="1">IF($T46="","",IF(ISERROR(INDEX(INDIRECT($G$6),$T46+1,uxb_works!$B$26-1)),"",INDEX(INDIRECT($G$6),$T46+1,uxb_works!$B$26-1)))</f>
        <v>18</v>
      </c>
      <c r="BA46" s="1">
        <f ca="1">IF($T46="","",IF(ISERROR(INDEX(INDIRECT($G$6),$T46+1,uxb_works!$B$27-1)),"",INDEX(INDIRECT($G$6),$T46+1,uxb_works!$B$27-1)))</f>
        <v>26</v>
      </c>
      <c r="BC46">
        <f ca="1" t="shared" si="52"/>
        <v>1</v>
      </c>
      <c r="BD46">
        <f ca="1" t="shared" si="53"/>
        <v>1</v>
      </c>
      <c r="BE46">
        <f ca="1" t="shared" si="54"/>
        <v>0</v>
      </c>
      <c r="BF46">
        <f ca="1" t="shared" si="55"/>
        <v>2</v>
      </c>
    </row>
    <row r="47" customFormat="1" spans="1:58">
      <c r="A47" s="1">
        <f t="shared" si="25"/>
        <v>37</v>
      </c>
      <c r="B47" s="1" t="str">
        <f>tblCategories!D39</f>
        <v>3.2.3) Frequency of pedestrian deaths</v>
      </c>
      <c r="C47" s="1">
        <f>tblCategories!F39</f>
        <v>1</v>
      </c>
      <c r="D47" s="1">
        <f t="shared" si="39"/>
        <v>963</v>
      </c>
      <c r="E47" s="1">
        <f ca="1" t="shared" si="40"/>
        <v>67.9502659640083</v>
      </c>
      <c r="F47" s="1">
        <f ca="1" t="shared" si="18"/>
        <v>29.4779867256637</v>
      </c>
      <c r="G47" s="1">
        <f ca="1" t="shared" si="19"/>
        <v>67.9502659640083</v>
      </c>
      <c r="H47" s="1">
        <f ca="1" t="shared" si="20"/>
        <v>29.4779867256637</v>
      </c>
      <c r="I47" s="1" t="e">
        <f ca="1" t="shared" si="21"/>
        <v>#VALUE!</v>
      </c>
      <c r="J47" s="1">
        <f ca="1" t="shared" si="22"/>
        <v>29.4779867256637</v>
      </c>
      <c r="K47" s="1" t="e">
        <f ca="1" t="shared" si="23"/>
        <v>#VALUE!</v>
      </c>
      <c r="L47" s="1">
        <f ca="1" t="shared" si="24"/>
        <v>15.6828082808281</v>
      </c>
      <c r="M47" s="1">
        <f>IF(D47=0,"",tblIndiSets!C212)</f>
        <v>3</v>
      </c>
      <c r="N47" s="1"/>
      <c r="O47" s="1"/>
      <c r="P47" s="1"/>
      <c r="Q47" s="1">
        <f ca="1" t="shared" si="0"/>
        <v>3</v>
      </c>
      <c r="R47" s="1">
        <f ca="1" t="shared" si="1"/>
        <v>963</v>
      </c>
      <c r="S47" s="1">
        <f ca="1">IF($C47=0,"",RANK(R47,R$11:R$71,0)+COUNTIF(R$11:R47,R47)-1)</f>
        <v>37</v>
      </c>
      <c r="T47" s="1">
        <f ca="1" t="shared" si="41"/>
        <v>37</v>
      </c>
      <c r="U47" s="269">
        <f ca="1" t="shared" si="42"/>
        <v>46</v>
      </c>
      <c r="V47" s="269">
        <f ca="1" t="shared" si="43"/>
        <v>1</v>
      </c>
      <c r="W47" s="269">
        <f ca="1" t="shared" si="44"/>
        <v>963</v>
      </c>
      <c r="X47" s="268">
        <f ca="1" t="shared" si="45"/>
        <v>46</v>
      </c>
      <c r="Y47" s="1" t="str">
        <f ca="1" t="shared" si="6"/>
        <v>3.2.3) Frequency of pedestrian deaths</v>
      </c>
      <c r="Z47" s="1">
        <f ca="1" t="shared" si="56"/>
        <v>67.9502659640083</v>
      </c>
      <c r="AA47" s="1">
        <f ca="1" t="shared" si="56"/>
        <v>29.4779867256637</v>
      </c>
      <c r="AB47" s="1">
        <f ca="1" t="shared" si="8"/>
        <v>67.9502659640083</v>
      </c>
      <c r="AC47" s="1">
        <f ca="1" t="shared" si="9"/>
        <v>29.4779867256637</v>
      </c>
      <c r="AD47" s="1" t="e">
        <f ca="1" t="shared" si="10"/>
        <v>#VALUE!</v>
      </c>
      <c r="AE47" s="1">
        <f ca="1" t="shared" si="11"/>
        <v>29.4779867256637</v>
      </c>
      <c r="AF47" s="1" t="e">
        <f ca="1" t="shared" si="12"/>
        <v>#VALUE!</v>
      </c>
      <c r="AG47" s="1">
        <f ca="1" t="shared" si="13"/>
        <v>15.6828082808281</v>
      </c>
      <c r="AH47" s="1" t="str">
        <f ca="1">IF($T47="","",IF(ISERROR(INDEX(INDIRECT($H$6),$T47+1,uxb_works!$B$24)),"",INDEX(INDIRECT($H$6),$T47+1,uxb_works!$B$24)))</f>
        <v>38</v>
      </c>
      <c r="AI47" s="1" t="str">
        <f ca="1">IF($T47="","",IF(ISERROR(INDEX(INDIRECT($H$6),$T47+1,uxb_works!$B$25)),"",INDEX(INDIRECT($H$6),$T47+1,uxb_works!$B$25)))</f>
        <v>38</v>
      </c>
      <c r="AJ47" s="1" t="str">
        <f ca="1">IF($T47="","",IF(ISERROR(INDEX(INDIRECT($H$6),$T47+1,uxb_works!$B$26-1)),"",INDEX(INDIRECT($H$6),$T47+1,uxb_works!$B$26-1)))</f>
        <v>16</v>
      </c>
      <c r="AK47" s="1" t="str">
        <f ca="1">IF($T47="","",IF(ISERROR(INDEX(INDIRECT($H$6),$T47+1,uxb_works!$B$27-1)),"",INDEX(INDIRECT($H$6),$T47+1,uxb_works!$B$27-1)))</f>
        <v>56</v>
      </c>
      <c r="AL47" s="1"/>
      <c r="AM47" s="18"/>
      <c r="AN47" s="1" t="str">
        <f ca="1" t="shared" si="46"/>
        <v/>
      </c>
      <c r="AO47" s="1" t="str">
        <f ca="1" t="shared" si="47"/>
        <v/>
      </c>
      <c r="AP47" s="1" t="str">
        <f ca="1" t="shared" si="48"/>
        <v/>
      </c>
      <c r="AQ47" s="1" t="str">
        <f ca="1" t="shared" si="49"/>
        <v/>
      </c>
      <c r="AR47" s="1">
        <v>3</v>
      </c>
      <c r="AS47" s="1"/>
      <c r="AU47">
        <f ca="1" t="shared" si="50"/>
        <v>38</v>
      </c>
      <c r="AV47">
        <f ca="1" t="shared" si="51"/>
        <v>2</v>
      </c>
      <c r="AX47" s="1">
        <f ca="1">IF($T47="","",IF(ISERROR(INDEX(INDIRECT($G$6),$T47+1,uxb_works!$B$24)),"",INDEX(INDIRECT($G$6),$T47+1,uxb_works!$B$24)))</f>
        <v>38</v>
      </c>
      <c r="AY47" s="1">
        <f ca="1">IF($T47="","",IF(ISERROR(INDEX(INDIRECT($G$6),$T47+1,uxb_works!$B$25)),"",INDEX(INDIRECT($G$6),$T47+1,uxb_works!$B$25)))</f>
        <v>38</v>
      </c>
      <c r="AZ47" s="1">
        <f ca="1">IF($T47="","",IF(ISERROR(INDEX(INDIRECT($G$6),$T47+1,uxb_works!$B$26-1)),"",INDEX(INDIRECT($G$6),$T47+1,uxb_works!$B$26-1)))</f>
        <v>2</v>
      </c>
      <c r="BA47" s="1">
        <f ca="1">IF($T47="","",IF(ISERROR(INDEX(INDIRECT($G$6),$T47+1,uxb_works!$B$27-1)),"",INDEX(INDIRECT($G$6),$T47+1,uxb_works!$B$27-1)))</f>
        <v>9</v>
      </c>
      <c r="BC47">
        <f ca="1" t="shared" si="52"/>
        <v>2</v>
      </c>
      <c r="BD47">
        <f ca="1" t="shared" si="53"/>
        <v>2</v>
      </c>
      <c r="BE47">
        <f ca="1" t="shared" si="54"/>
        <v>1</v>
      </c>
      <c r="BF47">
        <f ca="1" t="shared" si="55"/>
        <v>0</v>
      </c>
    </row>
    <row r="48" customFormat="1" spans="1:58">
      <c r="A48" s="1">
        <f t="shared" si="25"/>
        <v>38</v>
      </c>
      <c r="B48" s="1" t="str">
        <f>tblCategories!D40</f>
        <v>3.2.4) Percentage living in slums</v>
      </c>
      <c r="C48" s="1">
        <f>tblCategories!F40</f>
        <v>1</v>
      </c>
      <c r="D48" s="1">
        <f t="shared" si="39"/>
        <v>962</v>
      </c>
      <c r="E48" s="1">
        <f ca="1" t="shared" si="40"/>
        <v>100</v>
      </c>
      <c r="F48" s="1">
        <f ca="1" t="shared" si="18"/>
        <v>0</v>
      </c>
      <c r="G48" s="1">
        <f ca="1" t="shared" si="19"/>
        <v>100</v>
      </c>
      <c r="H48" s="1">
        <f ca="1" t="shared" si="20"/>
        <v>0</v>
      </c>
      <c r="I48" s="1" t="e">
        <f ca="1" t="shared" si="21"/>
        <v>#VALUE!</v>
      </c>
      <c r="J48" s="1">
        <f ca="1" t="shared" si="22"/>
        <v>0</v>
      </c>
      <c r="K48" s="1" t="e">
        <f ca="1" t="shared" si="23"/>
        <v>#VALUE!</v>
      </c>
      <c r="L48" s="1">
        <f ca="1" t="shared" si="24"/>
        <v>0.063</v>
      </c>
      <c r="M48" s="1">
        <f>IF(D48=0,"",tblIndiSets!C213)</f>
        <v>3</v>
      </c>
      <c r="N48" s="1"/>
      <c r="O48" s="1"/>
      <c r="P48" s="1"/>
      <c r="Q48" s="1">
        <f ca="1" t="shared" si="0"/>
        <v>3</v>
      </c>
      <c r="R48" s="1">
        <f ca="1" t="shared" si="1"/>
        <v>962</v>
      </c>
      <c r="S48" s="1">
        <f ca="1">IF($C48=0,"",RANK(R48,R$11:R$71,0)+COUNTIF(R$11:R48,R48)-1)</f>
        <v>38</v>
      </c>
      <c r="T48" s="1">
        <f ca="1" t="shared" si="41"/>
        <v>38</v>
      </c>
      <c r="U48" s="269">
        <f ca="1" t="shared" si="42"/>
        <v>1</v>
      </c>
      <c r="V48" s="269">
        <f ca="1" t="shared" si="43"/>
        <v>15</v>
      </c>
      <c r="W48" s="269">
        <f ca="1" t="shared" si="44"/>
        <v>962</v>
      </c>
      <c r="X48" s="268" t="str">
        <f ca="1" t="shared" si="45"/>
        <v>=1</v>
      </c>
      <c r="Y48" s="1" t="str">
        <f ca="1" t="shared" si="6"/>
        <v>3.2.4) Percentage living in slums</v>
      </c>
      <c r="Z48" s="1">
        <f ca="1" t="shared" si="56"/>
        <v>100</v>
      </c>
      <c r="AA48" s="1">
        <f ca="1" t="shared" si="56"/>
        <v>0</v>
      </c>
      <c r="AB48" s="1">
        <f ca="1" t="shared" si="8"/>
        <v>100</v>
      </c>
      <c r="AC48" s="1">
        <f ca="1" t="shared" si="9"/>
        <v>0</v>
      </c>
      <c r="AD48" s="1" t="e">
        <f ca="1" t="shared" si="10"/>
        <v>#VALUE!</v>
      </c>
      <c r="AE48" s="1">
        <f ca="1" t="shared" si="11"/>
        <v>0</v>
      </c>
      <c r="AF48" s="1" t="e">
        <f ca="1" t="shared" si="12"/>
        <v>#VALUE!</v>
      </c>
      <c r="AG48" s="1">
        <f ca="1" t="shared" si="13"/>
        <v>0.063</v>
      </c>
      <c r="AH48" s="1" t="str">
        <f ca="1">IF($T48="","",IF(ISERROR(INDEX(INDIRECT($H$6),$T48+1,uxb_works!$B$24)),"",INDEX(INDIRECT($H$6),$T48+1,uxb_works!$B$24)))</f>
        <v>=1</v>
      </c>
      <c r="AI48" s="1" t="str">
        <f ca="1">IF($T48="","",IF(ISERROR(INDEX(INDIRECT($H$6),$T48+1,uxb_works!$B$25)),"",INDEX(INDIRECT($H$6),$T48+1,uxb_works!$B$25)))</f>
        <v>=1</v>
      </c>
      <c r="AJ48" s="1" t="str">
        <f ca="1">IF($T48="","",IF(ISERROR(INDEX(INDIRECT($H$6),$T48+1,uxb_works!$B$26-1)),"",INDEX(INDIRECT($H$6),$T48+1,uxb_works!$B$26-1)))</f>
        <v>=33</v>
      </c>
      <c r="AK48" s="1" t="str">
        <f ca="1">IF($T48="","",IF(ISERROR(INDEX(INDIRECT($H$6),$T48+1,uxb_works!$B$27-1)),"",INDEX(INDIRECT($H$6),$T48+1,uxb_works!$B$27-1)))</f>
        <v>=28</v>
      </c>
      <c r="AL48" s="1"/>
      <c r="AM48" s="18"/>
      <c r="AN48" s="1" t="str">
        <f ca="1" t="shared" si="46"/>
        <v/>
      </c>
      <c r="AO48" s="1" t="str">
        <f ca="1" t="shared" si="47"/>
        <v/>
      </c>
      <c r="AP48" s="1" t="str">
        <f ca="1" t="shared" si="48"/>
        <v/>
      </c>
      <c r="AQ48" s="1" t="str">
        <f ca="1" t="shared" si="49"/>
        <v/>
      </c>
      <c r="AR48" s="1">
        <v>3</v>
      </c>
      <c r="AS48" s="1"/>
      <c r="AU48">
        <f ca="1" t="shared" si="50"/>
        <v>24</v>
      </c>
      <c r="AV48">
        <f ca="1" t="shared" si="51"/>
        <v>1</v>
      </c>
      <c r="AX48" s="1">
        <f ca="1">IF($T48="","",IF(ISERROR(INDEX(INDIRECT($G$6),$T48+1,uxb_works!$B$24)),"",INDEX(INDIRECT($G$6),$T48+1,uxb_works!$B$24)))</f>
        <v>1</v>
      </c>
      <c r="AY48" s="1">
        <f ca="1">IF($T48="","",IF(ISERROR(INDEX(INDIRECT($G$6),$T48+1,uxb_works!$B$25)),"",INDEX(INDIRECT($G$6),$T48+1,uxb_works!$B$25)))</f>
        <v>1</v>
      </c>
      <c r="AZ48" s="1">
        <f ca="1">IF($T48="","",IF(ISERROR(INDEX(INDIRECT($G$6),$T48+1,uxb_works!$B$26-1)),"",INDEX(INDIRECT($G$6),$T48+1,uxb_works!$B$26-1)))</f>
        <v>24</v>
      </c>
      <c r="BA48" s="1">
        <f ca="1">IF($T48="","",IF(ISERROR(INDEX(INDIRECT($G$6),$T48+1,uxb_works!$B$27-1)),"",INDEX(INDIRECT($G$6),$T48+1,uxb_works!$B$27-1)))</f>
        <v>11</v>
      </c>
      <c r="BC48">
        <f ca="1" t="shared" si="52"/>
        <v>1</v>
      </c>
      <c r="BD48">
        <f ca="1" t="shared" si="53"/>
        <v>1</v>
      </c>
      <c r="BE48">
        <f ca="1" t="shared" si="54"/>
        <v>2</v>
      </c>
      <c r="BF48">
        <f ca="1" t="shared" si="55"/>
        <v>0</v>
      </c>
    </row>
    <row r="49" customFormat="1" spans="1:58">
      <c r="A49" s="1">
        <f t="shared" si="25"/>
        <v>39</v>
      </c>
      <c r="B49" s="1" t="str">
        <f>tblCategories!D41</f>
        <v>3.2.5) Number of attacks on facilities/infrastructure</v>
      </c>
      <c r="C49" s="1">
        <f>tblCategories!F41</f>
        <v>1</v>
      </c>
      <c r="D49" s="1">
        <f t="shared" si="39"/>
        <v>961</v>
      </c>
      <c r="E49" s="1">
        <f ca="1" t="shared" si="40"/>
        <v>100</v>
      </c>
      <c r="F49" s="1">
        <f ca="1" t="shared" si="18"/>
        <v>0</v>
      </c>
      <c r="G49" s="1">
        <f ca="1" t="shared" si="19"/>
        <v>100</v>
      </c>
      <c r="H49" s="1">
        <f ca="1" t="shared" si="20"/>
        <v>0</v>
      </c>
      <c r="I49" s="1" t="e">
        <f ca="1" t="shared" si="21"/>
        <v>#VALUE!</v>
      </c>
      <c r="J49" s="1">
        <f ca="1" t="shared" si="22"/>
        <v>0</v>
      </c>
      <c r="K49" s="1" t="e">
        <f ca="1" t="shared" si="23"/>
        <v>#VALUE!</v>
      </c>
      <c r="L49" s="1">
        <f ca="1" t="shared" si="24"/>
        <v>0.4</v>
      </c>
      <c r="M49" s="1">
        <f>IF(D49=0,"",tblIndiSets!C214)</f>
        <v>3</v>
      </c>
      <c r="N49" s="1"/>
      <c r="O49" s="1"/>
      <c r="P49" s="1"/>
      <c r="Q49" s="1">
        <f ca="1" t="shared" si="0"/>
        <v>3</v>
      </c>
      <c r="R49" s="1">
        <f ca="1" t="shared" si="1"/>
        <v>961</v>
      </c>
      <c r="S49" s="1">
        <f ca="1">IF($C49=0,"",RANK(R49,R$11:R$71,0)+COUNTIF(R$11:R49,R49)-1)</f>
        <v>39</v>
      </c>
      <c r="T49" s="1">
        <f ca="1" t="shared" si="41"/>
        <v>39</v>
      </c>
      <c r="U49" s="269">
        <f ca="1" t="shared" si="42"/>
        <v>1</v>
      </c>
      <c r="V49" s="269">
        <f ca="1" t="shared" si="43"/>
        <v>15</v>
      </c>
      <c r="W49" s="269">
        <f ca="1" t="shared" si="44"/>
        <v>961</v>
      </c>
      <c r="X49" s="268" t="str">
        <f ca="1" t="shared" si="45"/>
        <v>=1</v>
      </c>
      <c r="Y49" s="1" t="str">
        <f ca="1" t="shared" si="6"/>
        <v>3.2.5) Number of attacks on facilities/infrastructure</v>
      </c>
      <c r="Z49" s="1">
        <f ca="1" t="shared" si="56"/>
        <v>100</v>
      </c>
      <c r="AA49" s="1">
        <f ca="1" t="shared" si="56"/>
        <v>0</v>
      </c>
      <c r="AB49" s="1">
        <f ca="1" t="shared" si="8"/>
        <v>100</v>
      </c>
      <c r="AC49" s="1">
        <f ca="1" t="shared" si="9"/>
        <v>0</v>
      </c>
      <c r="AD49" s="1" t="e">
        <f ca="1" t="shared" si="10"/>
        <v>#VALUE!</v>
      </c>
      <c r="AE49" s="1">
        <f ca="1" t="shared" si="11"/>
        <v>0</v>
      </c>
      <c r="AF49" s="1" t="e">
        <f ca="1" t="shared" si="12"/>
        <v>#VALUE!</v>
      </c>
      <c r="AG49" s="1">
        <f ca="1" t="shared" si="13"/>
        <v>0.4</v>
      </c>
      <c r="AH49" s="1" t="str">
        <f ca="1">IF($T49="","",IF(ISERROR(INDEX(INDIRECT($H$6),$T49+1,uxb_works!$B$24)),"",INDEX(INDIRECT($H$6),$T49+1,uxb_works!$B$24)))</f>
        <v>=1</v>
      </c>
      <c r="AI49" s="1" t="str">
        <f ca="1">IF($T49="","",IF(ISERROR(INDEX(INDIRECT($H$6),$T49+1,uxb_works!$B$25)),"",INDEX(INDIRECT($H$6),$T49+1,uxb_works!$B$25)))</f>
        <v>=1</v>
      </c>
      <c r="AJ49" s="1" t="str">
        <f ca="1">IF($T49="","",IF(ISERROR(INDEX(INDIRECT($H$6),$T49+1,uxb_works!$B$26-1)),"",INDEX(INDIRECT($H$6),$T49+1,uxb_works!$B$26-1)))</f>
        <v>=1</v>
      </c>
      <c r="AK49" s="1" t="str">
        <f ca="1">IF($T49="","",IF(ISERROR(INDEX(INDIRECT($H$6),$T49+1,uxb_works!$B$27-1)),"",INDEX(INDIRECT($H$6),$T49+1,uxb_works!$B$27-1)))</f>
        <v>=48</v>
      </c>
      <c r="AL49" s="1"/>
      <c r="AM49" s="18"/>
      <c r="AN49" s="1" t="str">
        <f ca="1" t="shared" si="46"/>
        <v/>
      </c>
      <c r="AO49" s="1" t="str">
        <f ca="1" t="shared" si="47"/>
        <v/>
      </c>
      <c r="AP49" s="1" t="str">
        <f ca="1" t="shared" si="48"/>
        <v/>
      </c>
      <c r="AQ49" s="1" t="str">
        <f ca="1" t="shared" si="49"/>
        <v/>
      </c>
      <c r="AR49" s="1">
        <v>3</v>
      </c>
      <c r="AS49" s="1"/>
      <c r="AU49">
        <f ca="1" t="shared" si="50"/>
        <v>1</v>
      </c>
      <c r="AV49">
        <f ca="1" t="shared" si="51"/>
        <v>1</v>
      </c>
      <c r="AX49" s="1">
        <f ca="1">IF($T49="","",IF(ISERROR(INDEX(INDIRECT($G$6),$T49+1,uxb_works!$B$24)),"",INDEX(INDIRECT($G$6),$T49+1,uxb_works!$B$24)))</f>
        <v>1</v>
      </c>
      <c r="AY49" s="1">
        <f ca="1">IF($T49="","",IF(ISERROR(INDEX(INDIRECT($G$6),$T49+1,uxb_works!$B$25)),"",INDEX(INDIRECT($G$6),$T49+1,uxb_works!$B$25)))</f>
        <v>1</v>
      </c>
      <c r="AZ49" s="1">
        <f ca="1">IF($T49="","",IF(ISERROR(INDEX(INDIRECT($G$6),$T49+1,uxb_works!$B$26-1)),"",INDEX(INDIRECT($G$6),$T49+1,uxb_works!$B$26-1)))</f>
        <v>1</v>
      </c>
      <c r="BA49" s="1">
        <f ca="1">IF($T49="","",IF(ISERROR(INDEX(INDIRECT($G$6),$T49+1,uxb_works!$B$27-1)),"",INDEX(INDIRECT($G$6),$T49+1,uxb_works!$B$27-1)))</f>
        <v>1</v>
      </c>
      <c r="BC49">
        <f ca="1" t="shared" si="52"/>
        <v>0</v>
      </c>
      <c r="BD49">
        <f ca="1" t="shared" si="53"/>
        <v>0</v>
      </c>
      <c r="BE49">
        <f ca="1" t="shared" si="54"/>
        <v>0</v>
      </c>
      <c r="BF49">
        <f ca="1" t="shared" si="55"/>
        <v>0</v>
      </c>
    </row>
    <row r="50" customFormat="1" spans="1:58">
      <c r="A50" s="1">
        <f t="shared" si="25"/>
        <v>40</v>
      </c>
      <c r="B50" s="1" t="str">
        <f>tblCategories!D42</f>
        <v>4) PERSONAL SECURITY</v>
      </c>
      <c r="C50" s="1">
        <f>tblCategories!F42</f>
        <v>1</v>
      </c>
      <c r="D50" s="1">
        <f t="shared" si="39"/>
        <v>960</v>
      </c>
      <c r="E50" s="1">
        <f ca="1" t="shared" si="40"/>
        <v>78.9514458295227</v>
      </c>
      <c r="F50" s="1" t="str">
        <f ca="1" t="shared" si="18"/>
        <v/>
      </c>
      <c r="G50" s="1">
        <f ca="1" t="shared" si="19"/>
        <v>78.9514458295227</v>
      </c>
      <c r="H50" s="1" t="str">
        <f ca="1" t="shared" si="20"/>
        <v/>
      </c>
      <c r="I50" s="1" t="e">
        <f ca="1" t="shared" si="21"/>
        <v>#VALUE!</v>
      </c>
      <c r="J50" s="1" t="str">
        <f ca="1" t="shared" si="22"/>
        <v/>
      </c>
      <c r="K50" s="1" t="e">
        <f ca="1" t="shared" si="23"/>
        <v>#VALUE!</v>
      </c>
      <c r="L50" s="1" t="str">
        <f ca="1" t="shared" si="24"/>
        <v/>
      </c>
      <c r="M50" s="1">
        <f>IF(D50=0,"",tblIndiSets!C215)</f>
        <v>1</v>
      </c>
      <c r="N50" s="1"/>
      <c r="O50" s="1"/>
      <c r="P50" s="1"/>
      <c r="Q50" s="1">
        <f ca="1" t="shared" si="0"/>
        <v>1</v>
      </c>
      <c r="R50" s="1">
        <f ca="1" t="shared" si="1"/>
        <v>960</v>
      </c>
      <c r="S50" s="1">
        <f ca="1">IF($C50=0,"",RANK(R50,R$11:R$71,0)+COUNTIF(R$11:R50,R50)-1)</f>
        <v>40</v>
      </c>
      <c r="T50" s="1">
        <f ca="1" t="shared" si="41"/>
        <v>40</v>
      </c>
      <c r="U50" s="269">
        <f ca="1" t="shared" si="42"/>
        <v>32</v>
      </c>
      <c r="V50" s="269">
        <f ca="1" t="shared" si="43"/>
        <v>1</v>
      </c>
      <c r="W50" s="269">
        <f ca="1" t="shared" si="44"/>
        <v>960</v>
      </c>
      <c r="X50" s="268">
        <f ca="1" t="shared" si="45"/>
        <v>32</v>
      </c>
      <c r="Y50" s="1" t="str">
        <f ca="1" t="shared" si="6"/>
        <v>4) PERSONAL SECURITY</v>
      </c>
      <c r="Z50" s="1">
        <f ca="1" t="shared" si="56"/>
        <v>78.9514458295227</v>
      </c>
      <c r="AA50" s="1" t="str">
        <f ca="1" t="shared" si="56"/>
        <v/>
      </c>
      <c r="AB50" s="1">
        <f ca="1" t="shared" si="8"/>
        <v>78.9514458295227</v>
      </c>
      <c r="AC50" s="1" t="str">
        <f ca="1" t="shared" si="9"/>
        <v/>
      </c>
      <c r="AD50" s="1" t="e">
        <f ca="1" t="shared" si="10"/>
        <v>#VALUE!</v>
      </c>
      <c r="AE50" s="1" t="str">
        <f ca="1" t="shared" si="11"/>
        <v/>
      </c>
      <c r="AF50" s="1" t="e">
        <f ca="1" t="shared" si="12"/>
        <v>#VALUE!</v>
      </c>
      <c r="AG50" s="1" t="str">
        <f ca="1" t="shared" si="13"/>
        <v/>
      </c>
      <c r="AH50" s="1" t="str">
        <f ca="1">IF($T50="","",IF(ISERROR(INDEX(INDIRECT($H$6),$T50+1,uxb_works!$B$24)),"",INDEX(INDIRECT($H$6),$T50+1,uxb_works!$B$24)))</f>
        <v>29</v>
      </c>
      <c r="AI50" s="1" t="str">
        <f ca="1">IF($T50="","",IF(ISERROR(INDEX(INDIRECT($H$6),$T50+1,uxb_works!$B$25)),"",INDEX(INDIRECT($H$6),$T50+1,uxb_works!$B$25)))</f>
        <v>29</v>
      </c>
      <c r="AJ50" s="1" t="str">
        <f ca="1">IF($T50="","",IF(ISERROR(INDEX(INDIRECT($H$6),$T50+1,uxb_works!$B$26-1)),"",INDEX(INDIRECT($H$6),$T50+1,uxb_works!$B$26-1)))</f>
        <v>32</v>
      </c>
      <c r="AK50" s="1" t="str">
        <f ca="1">IF($T50="","",IF(ISERROR(INDEX(INDIRECT($H$6),$T50+1,uxb_works!$B$27-1)),"",INDEX(INDIRECT($H$6),$T50+1,uxb_works!$B$27-1)))</f>
        <v>53</v>
      </c>
      <c r="AL50" s="1"/>
      <c r="AM50" s="18"/>
      <c r="AN50" s="1" t="str">
        <f ca="1" t="shared" si="46"/>
        <v/>
      </c>
      <c r="AO50" s="1" t="str">
        <f ca="1" t="shared" si="47"/>
        <v/>
      </c>
      <c r="AP50" s="1" t="str">
        <f ca="1" t="shared" si="48"/>
        <v/>
      </c>
      <c r="AQ50" s="1" t="str">
        <f ca="1" t="shared" si="49"/>
        <v/>
      </c>
      <c r="AR50" s="1">
        <v>3</v>
      </c>
      <c r="AS50" s="1"/>
      <c r="AU50">
        <f ca="1" t="shared" si="50"/>
        <v>29</v>
      </c>
      <c r="AV50">
        <f ca="1" t="shared" si="51"/>
        <v>9</v>
      </c>
      <c r="AX50" s="1">
        <f ca="1">IF($T50="","",IF(ISERROR(INDEX(INDIRECT($G$6),$T50+1,uxb_works!$B$24)),"",INDEX(INDIRECT($G$6),$T50+1,uxb_works!$B$24)))</f>
        <v>29</v>
      </c>
      <c r="AY50" s="1">
        <f ca="1">IF($T50="","",IF(ISERROR(INDEX(INDIRECT($G$6),$T50+1,uxb_works!$B$25)),"",INDEX(INDIRECT($G$6),$T50+1,uxb_works!$B$25)))</f>
        <v>29</v>
      </c>
      <c r="AZ50" s="1">
        <f ca="1">IF($T50="","",IF(ISERROR(INDEX(INDIRECT($G$6),$T50+1,uxb_works!$B$26-1)),"",INDEX(INDIRECT($G$6),$T50+1,uxb_works!$B$26-1)))</f>
        <v>9</v>
      </c>
      <c r="BA50" s="1">
        <f ca="1">IF($T50="","",IF(ISERROR(INDEX(INDIRECT($G$6),$T50+1,uxb_works!$B$27-1)),"",INDEX(INDIRECT($G$6),$T50+1,uxb_works!$B$27-1)))</f>
        <v>12</v>
      </c>
      <c r="BC50">
        <f ca="1" t="shared" si="52"/>
        <v>2</v>
      </c>
      <c r="BD50">
        <f ca="1" t="shared" si="53"/>
        <v>2</v>
      </c>
      <c r="BE50">
        <f ca="1" t="shared" si="54"/>
        <v>1</v>
      </c>
      <c r="BF50">
        <f ca="1" t="shared" si="55"/>
        <v>0</v>
      </c>
    </row>
    <row r="51" customFormat="1" spans="1:58">
      <c r="A51" s="1">
        <f t="shared" si="25"/>
        <v>41</v>
      </c>
      <c r="B51" s="1" t="str">
        <f>tblCategories!D43</f>
        <v>4.1) Personal security (Inputs)</v>
      </c>
      <c r="C51" s="1">
        <f>tblCategories!F43</f>
        <v>1</v>
      </c>
      <c r="D51" s="1">
        <f t="shared" si="39"/>
        <v>959</v>
      </c>
      <c r="E51" s="1">
        <f ca="1" t="shared" si="40"/>
        <v>71.8027210884354</v>
      </c>
      <c r="F51" s="1" t="str">
        <f ca="1" t="shared" si="18"/>
        <v/>
      </c>
      <c r="G51" s="1">
        <f ca="1" t="shared" si="19"/>
        <v>71.8027210884354</v>
      </c>
      <c r="H51" s="1" t="str">
        <f ca="1" t="shared" si="20"/>
        <v/>
      </c>
      <c r="I51" s="1" t="e">
        <f ca="1" t="shared" si="21"/>
        <v>#VALUE!</v>
      </c>
      <c r="J51" s="1" t="str">
        <f ca="1" t="shared" si="22"/>
        <v/>
      </c>
      <c r="K51" s="1" t="e">
        <f ca="1" t="shared" si="23"/>
        <v>#VALUE!</v>
      </c>
      <c r="L51" s="1" t="str">
        <f ca="1" t="shared" si="24"/>
        <v/>
      </c>
      <c r="M51" s="1">
        <f>IF(D51=0,"",tblIndiSets!C216)</f>
        <v>2</v>
      </c>
      <c r="N51" s="1"/>
      <c r="O51" s="1"/>
      <c r="P51" s="1"/>
      <c r="Q51" s="1">
        <f ca="1" t="shared" si="0"/>
        <v>2</v>
      </c>
      <c r="R51" s="1">
        <f ca="1" t="shared" si="1"/>
        <v>959</v>
      </c>
      <c r="S51" s="1">
        <f ca="1">IF($C51=0,"",RANK(R51,R$11:R$71,0)+COUNTIF(R$11:R51,R51)-1)</f>
        <v>41</v>
      </c>
      <c r="T51" s="1">
        <f ca="1" t="shared" si="41"/>
        <v>41</v>
      </c>
      <c r="U51" s="269">
        <f ca="1" t="shared" si="42"/>
        <v>43</v>
      </c>
      <c r="V51" s="269">
        <f ca="1" t="shared" si="43"/>
        <v>1</v>
      </c>
      <c r="W51" s="269">
        <f ca="1" t="shared" si="44"/>
        <v>959</v>
      </c>
      <c r="X51" s="268">
        <f ca="1" t="shared" si="45"/>
        <v>43</v>
      </c>
      <c r="Y51" s="1" t="str">
        <f ca="1" t="shared" si="6"/>
        <v>4.1) Personal security (Inputs)</v>
      </c>
      <c r="Z51" s="1">
        <f ca="1" t="shared" si="56"/>
        <v>71.8027210884354</v>
      </c>
      <c r="AA51" s="1" t="str">
        <f ca="1" t="shared" si="56"/>
        <v/>
      </c>
      <c r="AB51" s="1">
        <f ca="1" t="shared" si="8"/>
        <v>71.8027210884354</v>
      </c>
      <c r="AC51" s="1" t="str">
        <f ca="1" t="shared" si="9"/>
        <v/>
      </c>
      <c r="AD51" s="1" t="e">
        <f ca="1" t="shared" si="10"/>
        <v>#VALUE!</v>
      </c>
      <c r="AE51" s="1" t="str">
        <f ca="1" t="shared" si="11"/>
        <v/>
      </c>
      <c r="AF51" s="1" t="e">
        <f ca="1" t="shared" si="12"/>
        <v>#VALUE!</v>
      </c>
      <c r="AG51" s="1" t="str">
        <f ca="1" t="shared" si="13"/>
        <v/>
      </c>
      <c r="AH51" s="1" t="str">
        <f ca="1">IF($T51="","",IF(ISERROR(INDEX(INDIRECT($H$6),$T51+1,uxb_works!$B$24)),"",INDEX(INDIRECT($H$6),$T51+1,uxb_works!$B$24)))</f>
        <v>40</v>
      </c>
      <c r="AI51" s="1" t="str">
        <f ca="1">IF($T51="","",IF(ISERROR(INDEX(INDIRECT($H$6),$T51+1,uxb_works!$B$25)),"",INDEX(INDIRECT($H$6),$T51+1,uxb_works!$B$25)))</f>
        <v>40</v>
      </c>
      <c r="AJ51" s="1" t="str">
        <f ca="1">IF($T51="","",IF(ISERROR(INDEX(INDIRECT($H$6),$T51+1,uxb_works!$B$26-1)),"",INDEX(INDIRECT($H$6),$T51+1,uxb_works!$B$26-1)))</f>
        <v>=32</v>
      </c>
      <c r="AK51" s="1" t="str">
        <f ca="1">IF($T51="","",IF(ISERROR(INDEX(INDIRECT($H$6),$T51+1,uxb_works!$B$27-1)),"",INDEX(INDIRECT($H$6),$T51+1,uxb_works!$B$27-1)))</f>
        <v>51</v>
      </c>
      <c r="AL51" s="1"/>
      <c r="AM51" s="18"/>
      <c r="AN51" s="1" t="str">
        <f ca="1" t="shared" si="46"/>
        <v/>
      </c>
      <c r="AO51" s="1" t="str">
        <f ca="1" t="shared" si="47"/>
        <v/>
      </c>
      <c r="AP51" s="1" t="str">
        <f ca="1" t="shared" si="48"/>
        <v/>
      </c>
      <c r="AQ51" s="1" t="str">
        <f ca="1" t="shared" si="49"/>
        <v/>
      </c>
      <c r="AR51" s="1">
        <v>3</v>
      </c>
      <c r="AS51" s="1"/>
      <c r="AU51">
        <f ca="1" t="shared" si="50"/>
        <v>40</v>
      </c>
      <c r="AV51">
        <f ca="1" t="shared" si="51"/>
        <v>3</v>
      </c>
      <c r="AX51" s="1">
        <f ca="1">IF($T51="","",IF(ISERROR(INDEX(INDIRECT($G$6),$T51+1,uxb_works!$B$24)),"",INDEX(INDIRECT($G$6),$T51+1,uxb_works!$B$24)))</f>
        <v>40</v>
      </c>
      <c r="AY51" s="1">
        <f ca="1">IF($T51="","",IF(ISERROR(INDEX(INDIRECT($G$6),$T51+1,uxb_works!$B$25)),"",INDEX(INDIRECT($G$6),$T51+1,uxb_works!$B$25)))</f>
        <v>40</v>
      </c>
      <c r="AZ51" s="1">
        <f ca="1">IF($T51="","",IF(ISERROR(INDEX(INDIRECT($G$6),$T51+1,uxb_works!$B$26-1)),"",INDEX(INDIRECT($G$6),$T51+1,uxb_works!$B$26-1)))</f>
        <v>26</v>
      </c>
      <c r="BA51" s="1">
        <f ca="1">IF($T51="","",IF(ISERROR(INDEX(INDIRECT($G$6),$T51+1,uxb_works!$B$27-1)),"",INDEX(INDIRECT($G$6),$T51+1,uxb_works!$B$27-1)))</f>
        <v>3</v>
      </c>
      <c r="BC51">
        <f ca="1" t="shared" si="52"/>
        <v>2</v>
      </c>
      <c r="BD51">
        <f ca="1" t="shared" si="53"/>
        <v>2</v>
      </c>
      <c r="BE51">
        <f ca="1" t="shared" si="54"/>
        <v>0</v>
      </c>
      <c r="BF51">
        <f ca="1" t="shared" si="55"/>
        <v>1</v>
      </c>
    </row>
    <row r="52" customFormat="1" spans="1:58">
      <c r="A52" s="1">
        <f t="shared" si="25"/>
        <v>42</v>
      </c>
      <c r="B52" s="1" t="str">
        <f>tblCategories!D44</f>
        <v>4.1.1) Level of police engagement</v>
      </c>
      <c r="C52" s="1">
        <f>tblCategories!F44</f>
        <v>1</v>
      </c>
      <c r="D52" s="1">
        <f t="shared" si="39"/>
        <v>958</v>
      </c>
      <c r="E52" s="1">
        <f ca="1" t="shared" si="40"/>
        <v>100</v>
      </c>
      <c r="F52" s="1">
        <f ca="1" t="shared" si="18"/>
        <v>1</v>
      </c>
      <c r="G52" s="1">
        <f ca="1" t="shared" si="19"/>
        <v>100</v>
      </c>
      <c r="H52" s="1">
        <f ca="1" t="shared" si="20"/>
        <v>1</v>
      </c>
      <c r="I52" s="1" t="e">
        <f ca="1" t="shared" si="21"/>
        <v>#VALUE!</v>
      </c>
      <c r="J52" s="1">
        <f ca="1" t="shared" si="22"/>
        <v>1</v>
      </c>
      <c r="K52" s="1" t="e">
        <f ca="1" t="shared" si="23"/>
        <v>#VALUE!</v>
      </c>
      <c r="L52" s="1">
        <f ca="1" t="shared" si="24"/>
        <v>0.5</v>
      </c>
      <c r="M52" s="1">
        <f>IF(D52=0,"",tblIndiSets!C217)</f>
        <v>3</v>
      </c>
      <c r="N52" s="1"/>
      <c r="O52" s="1"/>
      <c r="P52" s="1"/>
      <c r="Q52" s="1">
        <f ca="1" t="shared" si="0"/>
        <v>3</v>
      </c>
      <c r="R52" s="1">
        <f ca="1" t="shared" si="1"/>
        <v>958</v>
      </c>
      <c r="S52" s="1">
        <f ca="1">IF($C52=0,"",RANK(R52,R$11:R$71,0)+COUNTIF(R$11:R52,R52)-1)</f>
        <v>42</v>
      </c>
      <c r="T52" s="1">
        <f ca="1" t="shared" si="41"/>
        <v>42</v>
      </c>
      <c r="U52" s="269">
        <f ca="1" t="shared" si="42"/>
        <v>1</v>
      </c>
      <c r="V52" s="269">
        <f ca="1" t="shared" si="43"/>
        <v>15</v>
      </c>
      <c r="W52" s="269">
        <f ca="1" t="shared" si="44"/>
        <v>958</v>
      </c>
      <c r="X52" s="268" t="str">
        <f ca="1" t="shared" si="45"/>
        <v>=1</v>
      </c>
      <c r="Y52" s="1" t="str">
        <f ca="1" t="shared" si="6"/>
        <v>4.1.1) Level of police engagement</v>
      </c>
      <c r="Z52" s="1">
        <f ca="1" t="shared" si="56"/>
        <v>100</v>
      </c>
      <c r="AA52" s="1">
        <f ca="1" t="shared" si="56"/>
        <v>1</v>
      </c>
      <c r="AB52" s="1">
        <f ca="1" t="shared" si="8"/>
        <v>100</v>
      </c>
      <c r="AC52" s="1">
        <f ca="1" t="shared" si="9"/>
        <v>1</v>
      </c>
      <c r="AD52" s="1" t="e">
        <f ca="1" t="shared" si="10"/>
        <v>#VALUE!</v>
      </c>
      <c r="AE52" s="1">
        <f ca="1" t="shared" si="11"/>
        <v>1</v>
      </c>
      <c r="AF52" s="1" t="e">
        <f ca="1" t="shared" si="12"/>
        <v>#VALUE!</v>
      </c>
      <c r="AG52" s="1">
        <f ca="1" t="shared" si="13"/>
        <v>0.5</v>
      </c>
      <c r="AH52" s="1" t="str">
        <f ca="1">IF($T52="","",IF(ISERROR(INDEX(INDIRECT($H$6),$T52+1,uxb_works!$B$24)),"",INDEX(INDIRECT($H$6),$T52+1,uxb_works!$B$24)))</f>
        <v>=1</v>
      </c>
      <c r="AI52" s="1" t="str">
        <f ca="1">IF($T52="","",IF(ISERROR(INDEX(INDIRECT($H$6),$T52+1,uxb_works!$B$25)),"",INDEX(INDIRECT($H$6),$T52+1,uxb_works!$B$25)))</f>
        <v>=1</v>
      </c>
      <c r="AJ52" s="1" t="str">
        <f ca="1">IF($T52="","",IF(ISERROR(INDEX(INDIRECT($H$6),$T52+1,uxb_works!$B$26-1)),"",INDEX(INDIRECT($H$6),$T52+1,uxb_works!$B$26-1)))</f>
        <v>=29</v>
      </c>
      <c r="AK52" s="1" t="str">
        <f ca="1">IF($T52="","",IF(ISERROR(INDEX(INDIRECT($H$6),$T52+1,uxb_works!$B$27-1)),"",INDEX(INDIRECT($H$6),$T52+1,uxb_works!$B$27-1)))</f>
        <v>=59</v>
      </c>
      <c r="AL52" s="1"/>
      <c r="AM52" s="18"/>
      <c r="AN52" s="1" t="str">
        <f ca="1" t="shared" si="46"/>
        <v/>
      </c>
      <c r="AO52" s="1" t="str">
        <f ca="1" t="shared" si="47"/>
        <v/>
      </c>
      <c r="AP52" s="1" t="str">
        <f ca="1" t="shared" si="48"/>
        <v/>
      </c>
      <c r="AQ52" s="1" t="str">
        <f ca="1" t="shared" si="49"/>
        <v/>
      </c>
      <c r="AR52" s="1">
        <v>3</v>
      </c>
      <c r="AS52" s="1"/>
      <c r="AU52">
        <f ca="1" t="shared" si="50"/>
        <v>29</v>
      </c>
      <c r="AV52">
        <f ca="1" t="shared" si="51"/>
        <v>1</v>
      </c>
      <c r="AX52" s="1">
        <f ca="1">IF($T52="","",IF(ISERROR(INDEX(INDIRECT($G$6),$T52+1,uxb_works!$B$24)),"",INDEX(INDIRECT($G$6),$T52+1,uxb_works!$B$24)))</f>
        <v>1</v>
      </c>
      <c r="AY52" s="1">
        <f ca="1">IF($T52="","",IF(ISERROR(INDEX(INDIRECT($G$6),$T52+1,uxb_works!$B$25)),"",INDEX(INDIRECT($G$6),$T52+1,uxb_works!$B$25)))</f>
        <v>1</v>
      </c>
      <c r="AZ52" s="1">
        <f ca="1">IF($T52="","",IF(ISERROR(INDEX(INDIRECT($G$6),$T52+1,uxb_works!$B$26-1)),"",INDEX(INDIRECT($G$6),$T52+1,uxb_works!$B$26-1)))</f>
        <v>29</v>
      </c>
      <c r="BA52" s="1">
        <f ca="1">IF($T52="","",IF(ISERROR(INDEX(INDIRECT($G$6),$T52+1,uxb_works!$B$27-1)),"",INDEX(INDIRECT($G$6),$T52+1,uxb_works!$B$27-1)))</f>
        <v>1</v>
      </c>
      <c r="BC52">
        <f ca="1" t="shared" si="52"/>
        <v>1</v>
      </c>
      <c r="BD52">
        <f ca="1" t="shared" si="53"/>
        <v>1</v>
      </c>
      <c r="BE52">
        <f ca="1" t="shared" si="54"/>
        <v>2</v>
      </c>
      <c r="BF52">
        <f ca="1" t="shared" si="55"/>
        <v>1</v>
      </c>
    </row>
    <row r="53" customFormat="1" spans="1:58">
      <c r="A53" s="1">
        <f t="shared" si="25"/>
        <v>43</v>
      </c>
      <c r="B53" s="1" t="str">
        <f>tblCategories!D45</f>
        <v>4.1.2) Community-based patrolling</v>
      </c>
      <c r="C53" s="1">
        <f>tblCategories!F45</f>
        <v>1</v>
      </c>
      <c r="D53" s="1">
        <f t="shared" si="39"/>
        <v>957</v>
      </c>
      <c r="E53" s="1">
        <f ca="1" t="shared" si="40"/>
        <v>100</v>
      </c>
      <c r="F53" s="1">
        <f ca="1" t="shared" si="18"/>
        <v>1</v>
      </c>
      <c r="G53" s="1">
        <f ca="1" t="shared" si="19"/>
        <v>100</v>
      </c>
      <c r="H53" s="1">
        <f ca="1" t="shared" si="20"/>
        <v>1</v>
      </c>
      <c r="I53" s="1" t="e">
        <f ca="1" t="shared" si="21"/>
        <v>#VALUE!</v>
      </c>
      <c r="J53" s="1">
        <f ca="1" t="shared" si="22"/>
        <v>1</v>
      </c>
      <c r="K53" s="1" t="e">
        <f ca="1" t="shared" si="23"/>
        <v>#VALUE!</v>
      </c>
      <c r="L53" s="1">
        <f ca="1" t="shared" si="24"/>
        <v>0</v>
      </c>
      <c r="M53" s="1">
        <f>IF(D53=0,"",tblIndiSets!C218)</f>
        <v>3</v>
      </c>
      <c r="N53" s="1"/>
      <c r="O53" s="1"/>
      <c r="P53" s="1"/>
      <c r="Q53" s="1">
        <f ca="1" t="shared" si="0"/>
        <v>3</v>
      </c>
      <c r="R53" s="1">
        <f ca="1" t="shared" si="1"/>
        <v>957</v>
      </c>
      <c r="S53" s="1">
        <f ca="1">IF($C53=0,"",RANK(R53,R$11:R$71,0)+COUNTIF(R$11:R53,R53)-1)</f>
        <v>43</v>
      </c>
      <c r="T53" s="1">
        <f ca="1" t="shared" si="41"/>
        <v>43</v>
      </c>
      <c r="U53" s="269">
        <f ca="1" t="shared" si="42"/>
        <v>1</v>
      </c>
      <c r="V53" s="269">
        <f ca="1" t="shared" si="43"/>
        <v>15</v>
      </c>
      <c r="W53" s="269">
        <f ca="1" t="shared" si="44"/>
        <v>957</v>
      </c>
      <c r="X53" s="268" t="str">
        <f ca="1" t="shared" si="45"/>
        <v>=1</v>
      </c>
      <c r="Y53" s="1" t="str">
        <f ca="1" t="shared" si="6"/>
        <v>4.1.2) Community-based patrolling</v>
      </c>
      <c r="Z53" s="1">
        <f ca="1" t="shared" si="56"/>
        <v>100</v>
      </c>
      <c r="AA53" s="1">
        <f ca="1" t="shared" si="56"/>
        <v>1</v>
      </c>
      <c r="AB53" s="1">
        <f ca="1" t="shared" si="8"/>
        <v>100</v>
      </c>
      <c r="AC53" s="1">
        <f ca="1" t="shared" si="9"/>
        <v>1</v>
      </c>
      <c r="AD53" s="1" t="e">
        <f ca="1" t="shared" si="10"/>
        <v>#VALUE!</v>
      </c>
      <c r="AE53" s="1">
        <f ca="1" t="shared" si="11"/>
        <v>1</v>
      </c>
      <c r="AF53" s="1" t="e">
        <f ca="1" t="shared" si="12"/>
        <v>#VALUE!</v>
      </c>
      <c r="AG53" s="1">
        <f ca="1" t="shared" si="13"/>
        <v>0</v>
      </c>
      <c r="AH53" s="1" t="str">
        <f ca="1">IF($T53="","",IF(ISERROR(INDEX(INDIRECT($H$6),$T53+1,uxb_works!$B$24)),"",INDEX(INDIRECT($H$6),$T53+1,uxb_works!$B$24)))</f>
        <v>=1</v>
      </c>
      <c r="AI53" s="1" t="str">
        <f ca="1">IF($T53="","",IF(ISERROR(INDEX(INDIRECT($H$6),$T53+1,uxb_works!$B$25)),"",INDEX(INDIRECT($H$6),$T53+1,uxb_works!$B$25)))</f>
        <v>=1</v>
      </c>
      <c r="AJ53" s="1" t="str">
        <f ca="1">IF($T53="","",IF(ISERROR(INDEX(INDIRECT($H$6),$T53+1,uxb_works!$B$26-1)),"",INDEX(INDIRECT($H$6),$T53+1,uxb_works!$B$26-1)))</f>
        <v>=1</v>
      </c>
      <c r="AK53" s="1" t="str">
        <f ca="1">IF($T53="","",IF(ISERROR(INDEX(INDIRECT($H$6),$T53+1,uxb_works!$B$27-1)),"",INDEX(INDIRECT($H$6),$T53+1,uxb_works!$B$27-1)))</f>
        <v>=1</v>
      </c>
      <c r="AL53" s="1"/>
      <c r="AM53" s="18"/>
      <c r="AN53" s="1" t="str">
        <f ca="1" t="shared" si="46"/>
        <v/>
      </c>
      <c r="AO53" s="1" t="str">
        <f ca="1" t="shared" si="47"/>
        <v/>
      </c>
      <c r="AP53" s="1" t="str">
        <f ca="1" t="shared" si="48"/>
        <v/>
      </c>
      <c r="AQ53" s="1" t="str">
        <f ca="1" t="shared" si="49"/>
        <v/>
      </c>
      <c r="AR53" s="1">
        <v>3</v>
      </c>
      <c r="AS53" s="1"/>
      <c r="AU53">
        <f ca="1" t="shared" si="50"/>
        <v>1</v>
      </c>
      <c r="AV53">
        <f ca="1" t="shared" si="51"/>
        <v>1</v>
      </c>
      <c r="AX53" s="1">
        <f ca="1">IF($T53="","",IF(ISERROR(INDEX(INDIRECT($G$6),$T53+1,uxb_works!$B$24)),"",INDEX(INDIRECT($G$6),$T53+1,uxb_works!$B$24)))</f>
        <v>1</v>
      </c>
      <c r="AY53" s="1">
        <f ca="1">IF($T53="","",IF(ISERROR(INDEX(INDIRECT($G$6),$T53+1,uxb_works!$B$25)),"",INDEX(INDIRECT($G$6),$T53+1,uxb_works!$B$25)))</f>
        <v>1</v>
      </c>
      <c r="AZ53" s="1">
        <f ca="1">IF($T53="","",IF(ISERROR(INDEX(INDIRECT($G$6),$T53+1,uxb_works!$B$26-1)),"",INDEX(INDIRECT($G$6),$T53+1,uxb_works!$B$26-1)))</f>
        <v>1</v>
      </c>
      <c r="BA53" s="1">
        <f ca="1">IF($T53="","",IF(ISERROR(INDEX(INDIRECT($G$6),$T53+1,uxb_works!$B$27-1)),"",INDEX(INDIRECT($G$6),$T53+1,uxb_works!$B$27-1)))</f>
        <v>1</v>
      </c>
      <c r="BC53">
        <f ca="1" t="shared" si="52"/>
        <v>0</v>
      </c>
      <c r="BD53">
        <f ca="1" t="shared" si="53"/>
        <v>0</v>
      </c>
      <c r="BE53">
        <f ca="1" t="shared" si="54"/>
        <v>0</v>
      </c>
      <c r="BF53">
        <f ca="1" t="shared" si="55"/>
        <v>0</v>
      </c>
    </row>
    <row r="54" customFormat="1" spans="1:58">
      <c r="A54" s="1">
        <f t="shared" si="25"/>
        <v>44</v>
      </c>
      <c r="B54" s="1" t="str">
        <f>tblCategories!D46</f>
        <v>4.1.3) Available street-level crime data</v>
      </c>
      <c r="C54" s="1">
        <f>tblCategories!F46</f>
        <v>1</v>
      </c>
      <c r="D54" s="1">
        <f t="shared" si="39"/>
        <v>956</v>
      </c>
      <c r="E54" s="1">
        <f ca="1" t="shared" si="40"/>
        <v>100</v>
      </c>
      <c r="F54" s="1">
        <f ca="1" t="shared" si="18"/>
        <v>1</v>
      </c>
      <c r="G54" s="1">
        <f ca="1" t="shared" si="19"/>
        <v>100</v>
      </c>
      <c r="H54" s="1">
        <f ca="1" t="shared" si="20"/>
        <v>1</v>
      </c>
      <c r="I54" s="1" t="e">
        <f ca="1" t="shared" si="21"/>
        <v>#VALUE!</v>
      </c>
      <c r="J54" s="1">
        <f ca="1" t="shared" si="22"/>
        <v>1</v>
      </c>
      <c r="K54" s="1" t="e">
        <f ca="1" t="shared" si="23"/>
        <v>#VALUE!</v>
      </c>
      <c r="L54" s="1">
        <f ca="1" t="shared" si="24"/>
        <v>1</v>
      </c>
      <c r="M54" s="1">
        <f>IF(D54=0,"",tblIndiSets!C219)</f>
        <v>3</v>
      </c>
      <c r="N54" s="1"/>
      <c r="O54" s="1"/>
      <c r="P54" s="1"/>
      <c r="Q54" s="1">
        <f ca="1" t="shared" si="0"/>
        <v>3</v>
      </c>
      <c r="R54" s="1">
        <f ca="1" t="shared" si="1"/>
        <v>956</v>
      </c>
      <c r="S54" s="1">
        <f ca="1">IF($C54=0,"",RANK(R54,R$11:R$71,0)+COUNTIF(R$11:R54,R54)-1)</f>
        <v>44</v>
      </c>
      <c r="T54" s="1">
        <f ca="1" t="shared" si="41"/>
        <v>44</v>
      </c>
      <c r="U54" s="269">
        <f ca="1" t="shared" si="42"/>
        <v>1</v>
      </c>
      <c r="V54" s="269">
        <f ca="1" t="shared" si="43"/>
        <v>15</v>
      </c>
      <c r="W54" s="269">
        <f ca="1" t="shared" si="44"/>
        <v>956</v>
      </c>
      <c r="X54" s="268" t="str">
        <f ca="1" t="shared" si="45"/>
        <v>=1</v>
      </c>
      <c r="Y54" s="1" t="str">
        <f ca="1" t="shared" si="6"/>
        <v>4.1.3) Available street-level crime data</v>
      </c>
      <c r="Z54" s="1">
        <f ca="1" t="shared" si="56"/>
        <v>100</v>
      </c>
      <c r="AA54" s="1">
        <f ca="1" t="shared" si="56"/>
        <v>1</v>
      </c>
      <c r="AB54" s="1">
        <f ca="1" t="shared" si="8"/>
        <v>100</v>
      </c>
      <c r="AC54" s="1">
        <f ca="1" t="shared" si="9"/>
        <v>1</v>
      </c>
      <c r="AD54" s="1" t="e">
        <f ca="1" t="shared" si="10"/>
        <v>#VALUE!</v>
      </c>
      <c r="AE54" s="1">
        <f ca="1" t="shared" si="11"/>
        <v>1</v>
      </c>
      <c r="AF54" s="1" t="e">
        <f ca="1" t="shared" si="12"/>
        <v>#VALUE!</v>
      </c>
      <c r="AG54" s="1">
        <f ca="1" t="shared" si="13"/>
        <v>1</v>
      </c>
      <c r="AH54" s="1" t="str">
        <f ca="1">IF($T54="","",IF(ISERROR(INDEX(INDIRECT($H$6),$T54+1,uxb_works!$B$24)),"",INDEX(INDIRECT($H$6),$T54+1,uxb_works!$B$24)))</f>
        <v>=1</v>
      </c>
      <c r="AI54" s="1" t="str">
        <f ca="1">IF($T54="","",IF(ISERROR(INDEX(INDIRECT($H$6),$T54+1,uxb_works!$B$25)),"",INDEX(INDIRECT($H$6),$T54+1,uxb_works!$B$25)))</f>
        <v>=1</v>
      </c>
      <c r="AJ54" s="1" t="str">
        <f ca="1">IF($T54="","",IF(ISERROR(INDEX(INDIRECT($H$6),$T54+1,uxb_works!$B$26-1)),"",INDEX(INDIRECT($H$6),$T54+1,uxb_works!$B$26-1)))</f>
        <v>=1</v>
      </c>
      <c r="AK54" s="1" t="str">
        <f ca="1">IF($T54="","",IF(ISERROR(INDEX(INDIRECT($H$6),$T54+1,uxb_works!$B$27-1)),"",INDEX(INDIRECT($H$6),$T54+1,uxb_works!$B$27-1)))</f>
        <v>=1</v>
      </c>
      <c r="AL54" s="1"/>
      <c r="AM54" s="18"/>
      <c r="AN54" s="1" t="str">
        <f ca="1" t="shared" si="46"/>
        <v/>
      </c>
      <c r="AO54" s="1" t="str">
        <f ca="1" t="shared" si="47"/>
        <v/>
      </c>
      <c r="AP54" s="1" t="str">
        <f ca="1" t="shared" si="48"/>
        <v/>
      </c>
      <c r="AQ54" s="1" t="str">
        <f ca="1" t="shared" si="49"/>
        <v/>
      </c>
      <c r="AR54" s="1">
        <v>3</v>
      </c>
      <c r="AS54" s="1"/>
      <c r="AU54">
        <f ca="1" t="shared" si="50"/>
        <v>1</v>
      </c>
      <c r="AV54">
        <f ca="1" t="shared" si="51"/>
        <v>1</v>
      </c>
      <c r="AX54" s="1">
        <f ca="1">IF($T54="","",IF(ISERROR(INDEX(INDIRECT($G$6),$T54+1,uxb_works!$B$24)),"",INDEX(INDIRECT($G$6),$T54+1,uxb_works!$B$24)))</f>
        <v>1</v>
      </c>
      <c r="AY54" s="1">
        <f ca="1">IF($T54="","",IF(ISERROR(INDEX(INDIRECT($G$6),$T54+1,uxb_works!$B$25)),"",INDEX(INDIRECT($G$6),$T54+1,uxb_works!$B$25)))</f>
        <v>1</v>
      </c>
      <c r="AZ54" s="1">
        <f ca="1">IF($T54="","",IF(ISERROR(INDEX(INDIRECT($G$6),$T54+1,uxb_works!$B$26-1)),"",INDEX(INDIRECT($G$6),$T54+1,uxb_works!$B$26-1)))</f>
        <v>1</v>
      </c>
      <c r="BA54" s="1">
        <f ca="1">IF($T54="","",IF(ISERROR(INDEX(INDIRECT($G$6),$T54+1,uxb_works!$B$27-1)),"",INDEX(INDIRECT($G$6),$T54+1,uxb_works!$B$27-1)))</f>
        <v>1</v>
      </c>
      <c r="BC54">
        <f ca="1" t="shared" si="52"/>
        <v>0</v>
      </c>
      <c r="BD54">
        <f ca="1" t="shared" si="53"/>
        <v>0</v>
      </c>
      <c r="BE54">
        <f ca="1" t="shared" si="54"/>
        <v>0</v>
      </c>
      <c r="BF54">
        <f ca="1" t="shared" si="55"/>
        <v>0</v>
      </c>
    </row>
    <row r="55" customFormat="1" spans="1:58">
      <c r="A55" s="1">
        <f t="shared" si="25"/>
        <v>45</v>
      </c>
      <c r="B55" s="1" t="str">
        <f>tblCategories!D47</f>
        <v>4.1.4) Use of data-driven techniques for crime</v>
      </c>
      <c r="C55" s="1">
        <f>tblCategories!F47</f>
        <v>1</v>
      </c>
      <c r="D55" s="1">
        <f t="shared" si="39"/>
        <v>955</v>
      </c>
      <c r="E55" s="1">
        <f ca="1" t="shared" si="40"/>
        <v>0</v>
      </c>
      <c r="F55" s="1">
        <f ca="1" t="shared" si="18"/>
        <v>0</v>
      </c>
      <c r="G55" s="1">
        <f ca="1" t="shared" si="19"/>
        <v>0</v>
      </c>
      <c r="H55" s="1">
        <f ca="1" t="shared" si="20"/>
        <v>0</v>
      </c>
      <c r="I55" s="1" t="e">
        <f ca="1" t="shared" si="21"/>
        <v>#VALUE!</v>
      </c>
      <c r="J55" s="1">
        <f ca="1" t="shared" si="22"/>
        <v>0</v>
      </c>
      <c r="K55" s="1" t="e">
        <f ca="1" t="shared" si="23"/>
        <v>#VALUE!</v>
      </c>
      <c r="L55" s="1">
        <f ca="1" t="shared" si="24"/>
        <v>1</v>
      </c>
      <c r="M55" s="1">
        <f>IF(D55=0,"",tblIndiSets!C220)</f>
        <v>3</v>
      </c>
      <c r="N55" s="1"/>
      <c r="O55" s="1"/>
      <c r="P55" s="1"/>
      <c r="Q55" s="1">
        <f ca="1" t="shared" si="0"/>
        <v>3</v>
      </c>
      <c r="R55" s="1">
        <f ca="1" t="shared" si="1"/>
        <v>955</v>
      </c>
      <c r="S55" s="1">
        <f ca="1">IF($C55=0,"",RANK(R55,R$11:R$71,0)+COUNTIF(R$11:R55,R55)-1)</f>
        <v>45</v>
      </c>
      <c r="T55" s="1">
        <f ca="1" t="shared" si="41"/>
        <v>45</v>
      </c>
      <c r="U55" s="269">
        <f ca="1" t="shared" si="42"/>
        <v>61</v>
      </c>
      <c r="V55" s="269">
        <f ca="1" t="shared" si="43"/>
        <v>1</v>
      </c>
      <c r="W55" s="269">
        <f ca="1" t="shared" si="44"/>
        <v>955</v>
      </c>
      <c r="X55" s="268">
        <f ca="1" t="shared" si="45"/>
        <v>61</v>
      </c>
      <c r="Y55" s="1" t="str">
        <f ca="1" t="shared" si="6"/>
        <v>4.1.4) Use of data-driven techniques for crime</v>
      </c>
      <c r="Z55" s="1">
        <f ca="1" t="shared" si="56"/>
        <v>0</v>
      </c>
      <c r="AA55" s="1">
        <f ca="1" t="shared" si="56"/>
        <v>0</v>
      </c>
      <c r="AB55" s="1">
        <f ca="1" t="shared" si="8"/>
        <v>0</v>
      </c>
      <c r="AC55" s="1">
        <f ca="1" t="shared" si="9"/>
        <v>0</v>
      </c>
      <c r="AD55" s="1" t="e">
        <f ca="1" t="shared" si="10"/>
        <v>#VALUE!</v>
      </c>
      <c r="AE55" s="1">
        <f ca="1" t="shared" si="11"/>
        <v>0</v>
      </c>
      <c r="AF55" s="1" t="e">
        <f ca="1" t="shared" si="12"/>
        <v>#VALUE!</v>
      </c>
      <c r="AG55" s="1">
        <f ca="1" t="shared" si="13"/>
        <v>1</v>
      </c>
      <c r="AH55" s="1" t="str">
        <f ca="1">IF($T55="","",IF(ISERROR(INDEX(INDIRECT($H$6),$T55+1,uxb_works!$B$24)),"",INDEX(INDIRECT($H$6),$T55+1,uxb_works!$B$24)))</f>
        <v>=49</v>
      </c>
      <c r="AI55" s="1" t="str">
        <f ca="1">IF($T55="","",IF(ISERROR(INDEX(INDIRECT($H$6),$T55+1,uxb_works!$B$25)),"",INDEX(INDIRECT($H$6),$T55+1,uxb_works!$B$25)))</f>
        <v>=49</v>
      </c>
      <c r="AJ55" s="1" t="str">
        <f ca="1">IF($T55="","",IF(ISERROR(INDEX(INDIRECT($H$6),$T55+1,uxb_works!$B$26-1)),"",INDEX(INDIRECT($H$6),$T55+1,uxb_works!$B$26-1)))</f>
        <v>=1</v>
      </c>
      <c r="AK55" s="1" t="str">
        <f ca="1">IF($T55="","",IF(ISERROR(INDEX(INDIRECT($H$6),$T55+1,uxb_works!$B$27-1)),"",INDEX(INDIRECT($H$6),$T55+1,uxb_works!$B$27-1)))</f>
        <v>=49</v>
      </c>
      <c r="AL55" s="1"/>
      <c r="AM55" s="18"/>
      <c r="AN55" s="1" t="str">
        <f ca="1" t="shared" si="46"/>
        <v/>
      </c>
      <c r="AO55" s="1" t="str">
        <f ca="1" t="shared" si="47"/>
        <v/>
      </c>
      <c r="AP55" s="1" t="str">
        <f ca="1" t="shared" si="48"/>
        <v/>
      </c>
      <c r="AQ55" s="1" t="str">
        <f ca="1" t="shared" si="49"/>
        <v/>
      </c>
      <c r="AR55" s="1">
        <v>3</v>
      </c>
      <c r="AS55" s="1"/>
      <c r="AU55">
        <f ca="1" t="shared" si="50"/>
        <v>49</v>
      </c>
      <c r="AV55">
        <f ca="1" t="shared" si="51"/>
        <v>1</v>
      </c>
      <c r="AX55" s="1">
        <f ca="1">IF($T55="","",IF(ISERROR(INDEX(INDIRECT($G$6),$T55+1,uxb_works!$B$24)),"",INDEX(INDIRECT($G$6),$T55+1,uxb_works!$B$24)))</f>
        <v>49</v>
      </c>
      <c r="AY55" s="1">
        <f ca="1">IF($T55="","",IF(ISERROR(INDEX(INDIRECT($G$6),$T55+1,uxb_works!$B$25)),"",INDEX(INDIRECT($G$6),$T55+1,uxb_works!$B$25)))</f>
        <v>49</v>
      </c>
      <c r="AZ55" s="1">
        <f ca="1">IF($T55="","",IF(ISERROR(INDEX(INDIRECT($G$6),$T55+1,uxb_works!$B$26-1)),"",INDEX(INDIRECT($G$6),$T55+1,uxb_works!$B$26-1)))</f>
        <v>1</v>
      </c>
      <c r="BA55" s="1">
        <f ca="1">IF($T55="","",IF(ISERROR(INDEX(INDIRECT($G$6),$T55+1,uxb_works!$B$27-1)),"",INDEX(INDIRECT($G$6),$T55+1,uxb_works!$B$27-1)))</f>
        <v>1</v>
      </c>
      <c r="BC55">
        <f ca="1" t="shared" si="52"/>
        <v>2</v>
      </c>
      <c r="BD55">
        <f ca="1" t="shared" si="53"/>
        <v>2</v>
      </c>
      <c r="BE55">
        <f ca="1" t="shared" si="54"/>
        <v>1</v>
      </c>
      <c r="BF55">
        <f ca="1" t="shared" si="55"/>
        <v>1</v>
      </c>
    </row>
    <row r="56" customFormat="1" spans="1:58">
      <c r="A56" s="1">
        <f t="shared" si="25"/>
        <v>46</v>
      </c>
      <c r="B56" s="1" t="str">
        <f>tblCategories!D48</f>
        <v>4.1.5) Private security measures</v>
      </c>
      <c r="C56" s="1">
        <f>tblCategories!F48</f>
        <v>1</v>
      </c>
      <c r="D56" s="1">
        <f t="shared" si="39"/>
        <v>954</v>
      </c>
      <c r="E56" s="1">
        <f ca="1" t="shared" si="40"/>
        <v>100</v>
      </c>
      <c r="F56" s="1">
        <f ca="1" t="shared" si="18"/>
        <v>1</v>
      </c>
      <c r="G56" s="1">
        <f ca="1" t="shared" si="19"/>
        <v>100</v>
      </c>
      <c r="H56" s="1">
        <f ca="1" t="shared" si="20"/>
        <v>1</v>
      </c>
      <c r="I56" s="1" t="e">
        <f ca="1" t="shared" si="21"/>
        <v>#VALUE!</v>
      </c>
      <c r="J56" s="1">
        <f ca="1" t="shared" si="22"/>
        <v>1</v>
      </c>
      <c r="K56" s="1" t="e">
        <f ca="1" t="shared" si="23"/>
        <v>#VALUE!</v>
      </c>
      <c r="L56" s="1">
        <f ca="1" t="shared" si="24"/>
        <v>1</v>
      </c>
      <c r="M56" s="1">
        <f>IF(D56=0,"",tblIndiSets!C221)</f>
        <v>3</v>
      </c>
      <c r="N56" s="1"/>
      <c r="O56" s="1"/>
      <c r="P56" s="1"/>
      <c r="Q56" s="1">
        <f ca="1" t="shared" si="0"/>
        <v>3</v>
      </c>
      <c r="R56" s="1">
        <f ca="1" t="shared" si="1"/>
        <v>954</v>
      </c>
      <c r="S56" s="1">
        <f ca="1">IF($C56=0,"",RANK(R56,R$11:R$71,0)+COUNTIF(R$11:R56,R56)-1)</f>
        <v>46</v>
      </c>
      <c r="T56" s="1">
        <f ca="1" t="shared" si="41"/>
        <v>46</v>
      </c>
      <c r="U56" s="269">
        <f ca="1" t="shared" si="42"/>
        <v>1</v>
      </c>
      <c r="V56" s="269">
        <f ca="1" t="shared" si="43"/>
        <v>15</v>
      </c>
      <c r="W56" s="269">
        <f ca="1" t="shared" si="44"/>
        <v>954</v>
      </c>
      <c r="X56" s="268" t="str">
        <f ca="1" t="shared" si="45"/>
        <v>=1</v>
      </c>
      <c r="Y56" s="1" t="str">
        <f ca="1" t="shared" si="6"/>
        <v>4.1.5) Private security measures</v>
      </c>
      <c r="Z56" s="1">
        <f ca="1" t="shared" si="56"/>
        <v>100</v>
      </c>
      <c r="AA56" s="1">
        <f ca="1" t="shared" si="56"/>
        <v>1</v>
      </c>
      <c r="AB56" s="1">
        <f ca="1" t="shared" si="8"/>
        <v>100</v>
      </c>
      <c r="AC56" s="1">
        <f ca="1" t="shared" si="9"/>
        <v>1</v>
      </c>
      <c r="AD56" s="1" t="e">
        <f ca="1" t="shared" si="10"/>
        <v>#VALUE!</v>
      </c>
      <c r="AE56" s="1">
        <f ca="1" t="shared" si="11"/>
        <v>1</v>
      </c>
      <c r="AF56" s="1" t="e">
        <f ca="1" t="shared" si="12"/>
        <v>#VALUE!</v>
      </c>
      <c r="AG56" s="1">
        <f ca="1" t="shared" si="13"/>
        <v>1</v>
      </c>
      <c r="AH56" s="1" t="str">
        <f ca="1">IF($T56="","",IF(ISERROR(INDEX(INDIRECT($H$6),$T56+1,uxb_works!$B$24)),"",INDEX(INDIRECT($H$6),$T56+1,uxb_works!$B$24)))</f>
        <v>=1</v>
      </c>
      <c r="AI56" s="1" t="str">
        <f ca="1">IF($T56="","",IF(ISERROR(INDEX(INDIRECT($H$6),$T56+1,uxb_works!$B$25)),"",INDEX(INDIRECT($H$6),$T56+1,uxb_works!$B$25)))</f>
        <v>=1</v>
      </c>
      <c r="AJ56" s="1" t="str">
        <f ca="1">IF($T56="","",IF(ISERROR(INDEX(INDIRECT($H$6),$T56+1,uxb_works!$B$26-1)),"",INDEX(INDIRECT($H$6),$T56+1,uxb_works!$B$26-1)))</f>
        <v>=1</v>
      </c>
      <c r="AK56" s="1" t="str">
        <f ca="1">IF($T56="","",IF(ISERROR(INDEX(INDIRECT($H$6),$T56+1,uxb_works!$B$27-1)),"",INDEX(INDIRECT($H$6),$T56+1,uxb_works!$B$27-1)))</f>
        <v>=1</v>
      </c>
      <c r="AL56" s="1"/>
      <c r="AM56" s="18"/>
      <c r="AN56" s="1" t="str">
        <f ca="1" t="shared" si="46"/>
        <v/>
      </c>
      <c r="AO56" s="1" t="str">
        <f ca="1" t="shared" si="47"/>
        <v/>
      </c>
      <c r="AP56" s="1" t="str">
        <f ca="1" t="shared" si="48"/>
        <v/>
      </c>
      <c r="AQ56" s="1" t="str">
        <f ca="1" t="shared" si="49"/>
        <v/>
      </c>
      <c r="AR56" s="1">
        <v>3</v>
      </c>
      <c r="AS56" s="1"/>
      <c r="AU56">
        <f ca="1" t="shared" si="50"/>
        <v>1</v>
      </c>
      <c r="AV56">
        <f ca="1" t="shared" si="51"/>
        <v>1</v>
      </c>
      <c r="AX56" s="1">
        <f ca="1">IF($T56="","",IF(ISERROR(INDEX(INDIRECT($G$6),$T56+1,uxb_works!$B$24)),"",INDEX(INDIRECT($G$6),$T56+1,uxb_works!$B$24)))</f>
        <v>1</v>
      </c>
      <c r="AY56" s="1">
        <f ca="1">IF($T56="","",IF(ISERROR(INDEX(INDIRECT($G$6),$T56+1,uxb_works!$B$25)),"",INDEX(INDIRECT($G$6),$T56+1,uxb_works!$B$25)))</f>
        <v>1</v>
      </c>
      <c r="AZ56" s="1">
        <f ca="1">IF($T56="","",IF(ISERROR(INDEX(INDIRECT($G$6),$T56+1,uxb_works!$B$26-1)),"",INDEX(INDIRECT($G$6),$T56+1,uxb_works!$B$26-1)))</f>
        <v>1</v>
      </c>
      <c r="BA56" s="1">
        <f ca="1">IF($T56="","",IF(ISERROR(INDEX(INDIRECT($G$6),$T56+1,uxb_works!$B$27-1)),"",INDEX(INDIRECT($G$6),$T56+1,uxb_works!$B$27-1)))</f>
        <v>1</v>
      </c>
      <c r="BC56">
        <f ca="1" t="shared" si="52"/>
        <v>0</v>
      </c>
      <c r="BD56">
        <f ca="1" t="shared" si="53"/>
        <v>0</v>
      </c>
      <c r="BE56">
        <f ca="1" t="shared" si="54"/>
        <v>0</v>
      </c>
      <c r="BF56">
        <f ca="1" t="shared" si="55"/>
        <v>0</v>
      </c>
    </row>
    <row r="57" customFormat="1" spans="1:58">
      <c r="A57" s="1">
        <f t="shared" si="25"/>
        <v>47</v>
      </c>
      <c r="B57" s="1" t="str">
        <f>tblCategories!D49</f>
        <v>4.1.6) Gun regulation and enforcement</v>
      </c>
      <c r="C57" s="1">
        <f>tblCategories!F49</f>
        <v>1</v>
      </c>
      <c r="D57" s="1">
        <f t="shared" si="39"/>
        <v>953</v>
      </c>
      <c r="E57" s="1">
        <f ca="1" t="shared" si="40"/>
        <v>47.6190476190476</v>
      </c>
      <c r="F57" s="1">
        <f ca="1" t="shared" si="18"/>
        <v>3.8</v>
      </c>
      <c r="G57" s="1">
        <f ca="1" t="shared" si="19"/>
        <v>47.6190476190476</v>
      </c>
      <c r="H57" s="1">
        <f ca="1" t="shared" si="20"/>
        <v>3.8</v>
      </c>
      <c r="I57" s="1" t="e">
        <f ca="1" t="shared" si="21"/>
        <v>#VALUE!</v>
      </c>
      <c r="J57" s="1">
        <f ca="1" t="shared" si="22"/>
        <v>3.8</v>
      </c>
      <c r="K57" s="1" t="e">
        <f ca="1" t="shared" si="23"/>
        <v>#VALUE!</v>
      </c>
      <c r="L57" s="1">
        <f ca="1" t="shared" si="24"/>
        <v>4.8</v>
      </c>
      <c r="M57" s="1">
        <f>IF(D57=0,"",tblIndiSets!C222)</f>
        <v>3</v>
      </c>
      <c r="N57" s="1"/>
      <c r="O57" s="1"/>
      <c r="P57" s="1"/>
      <c r="Q57" s="1">
        <f ca="1" t="shared" si="0"/>
        <v>3</v>
      </c>
      <c r="R57" s="1">
        <f ca="1" t="shared" si="1"/>
        <v>953</v>
      </c>
      <c r="S57" s="1">
        <f ca="1">IF($C57=0,"",RANK(R57,R$11:R$71,0)+COUNTIF(R$11:R57,R57)-1)</f>
        <v>47</v>
      </c>
      <c r="T57" s="1">
        <f ca="1" t="shared" si="41"/>
        <v>47</v>
      </c>
      <c r="U57" s="269">
        <f ca="1" t="shared" si="42"/>
        <v>56</v>
      </c>
      <c r="V57" s="269">
        <f ca="1" t="shared" si="43"/>
        <v>1</v>
      </c>
      <c r="W57" s="269">
        <f ca="1" t="shared" si="44"/>
        <v>953</v>
      </c>
      <c r="X57" s="268">
        <f ca="1" t="shared" si="45"/>
        <v>56</v>
      </c>
      <c r="Y57" s="1" t="str">
        <f ca="1" t="shared" si="6"/>
        <v>4.1.6) Gun regulation and enforcement</v>
      </c>
      <c r="Z57" s="1">
        <f ca="1" t="shared" si="56"/>
        <v>47.6190476190476</v>
      </c>
      <c r="AA57" s="1">
        <f ca="1" t="shared" si="56"/>
        <v>3.8</v>
      </c>
      <c r="AB57" s="1">
        <f ca="1" t="shared" si="8"/>
        <v>47.6190476190476</v>
      </c>
      <c r="AC57" s="1">
        <f ca="1" t="shared" si="9"/>
        <v>3.8</v>
      </c>
      <c r="AD57" s="1" t="e">
        <f ca="1" t="shared" si="10"/>
        <v>#VALUE!</v>
      </c>
      <c r="AE57" s="1">
        <f ca="1" t="shared" si="11"/>
        <v>3.8</v>
      </c>
      <c r="AF57" s="1" t="e">
        <f ca="1" t="shared" si="12"/>
        <v>#VALUE!</v>
      </c>
      <c r="AG57" s="1">
        <f ca="1" t="shared" si="13"/>
        <v>4.8</v>
      </c>
      <c r="AH57" s="1" t="str">
        <f ca="1">IF($T57="","",IF(ISERROR(INDEX(INDIRECT($H$6),$T57+1,uxb_works!$B$24)),"",INDEX(INDIRECT($H$6),$T57+1,uxb_works!$B$24)))</f>
        <v>39</v>
      </c>
      <c r="AI57" s="1" t="str">
        <f ca="1">IF($T57="","",IF(ISERROR(INDEX(INDIRECT($H$6),$T57+1,uxb_works!$B$25)),"",INDEX(INDIRECT($H$6),$T57+1,uxb_works!$B$25)))</f>
        <v>39</v>
      </c>
      <c r="AJ57" s="1" t="str">
        <f ca="1">IF($T57="","",IF(ISERROR(INDEX(INDIRECT($H$6),$T57+1,uxb_works!$B$26-1)),"",INDEX(INDIRECT($H$6),$T57+1,uxb_works!$B$26-1)))</f>
        <v>=34</v>
      </c>
      <c r="AK57" s="1" t="str">
        <f ca="1">IF($T57="","",IF(ISERROR(INDEX(INDIRECT($H$6),$T57+1,uxb_works!$B$27-1)),"",INDEX(INDIRECT($H$6),$T57+1,uxb_works!$B$27-1)))</f>
        <v>=28</v>
      </c>
      <c r="AL57" s="1"/>
      <c r="AM57" s="18"/>
      <c r="AN57" s="1" t="str">
        <f ca="1" t="shared" si="46"/>
        <v/>
      </c>
      <c r="AO57" s="1" t="str">
        <f ca="1" t="shared" si="47"/>
        <v/>
      </c>
      <c r="AP57" s="1" t="str">
        <f ca="1" t="shared" si="48"/>
        <v/>
      </c>
      <c r="AQ57" s="1" t="str">
        <f ca="1" t="shared" si="49"/>
        <v/>
      </c>
      <c r="AR57" s="1">
        <v>3</v>
      </c>
      <c r="AS57" s="1"/>
      <c r="AU57">
        <f ca="1" t="shared" si="50"/>
        <v>39</v>
      </c>
      <c r="AV57">
        <f ca="1" t="shared" si="51"/>
        <v>12</v>
      </c>
      <c r="AX57" s="1">
        <f ca="1">IF($T57="","",IF(ISERROR(INDEX(INDIRECT($G$6),$T57+1,uxb_works!$B$24)),"",INDEX(INDIRECT($G$6),$T57+1,uxb_works!$B$24)))</f>
        <v>39</v>
      </c>
      <c r="AY57" s="1">
        <f ca="1">IF($T57="","",IF(ISERROR(INDEX(INDIRECT($G$6),$T57+1,uxb_works!$B$25)),"",INDEX(INDIRECT($G$6),$T57+1,uxb_works!$B$25)))</f>
        <v>39</v>
      </c>
      <c r="AZ57" s="1">
        <f ca="1">IF($T57="","",IF(ISERROR(INDEX(INDIRECT($G$6),$T57+1,uxb_works!$B$26-1)),"",INDEX(INDIRECT($G$6),$T57+1,uxb_works!$B$26-1)))</f>
        <v>30</v>
      </c>
      <c r="BA57" s="1">
        <f ca="1">IF($T57="","",IF(ISERROR(INDEX(INDIRECT($G$6),$T57+1,uxb_works!$B$27-1)),"",INDEX(INDIRECT($G$6),$T57+1,uxb_works!$B$27-1)))</f>
        <v>12</v>
      </c>
      <c r="BC57">
        <f ca="1" t="shared" si="52"/>
        <v>2</v>
      </c>
      <c r="BD57">
        <f ca="1" t="shared" si="53"/>
        <v>2</v>
      </c>
      <c r="BE57">
        <f ca="1" t="shared" si="54"/>
        <v>0</v>
      </c>
      <c r="BF57">
        <f ca="1" t="shared" si="55"/>
        <v>1</v>
      </c>
    </row>
    <row r="58" customFormat="1" spans="1:58">
      <c r="A58" s="1">
        <f t="shared" si="25"/>
        <v>48</v>
      </c>
      <c r="B58" s="1" t="str">
        <f>tblCategories!D50</f>
        <v>4.1.7) Political stability risk</v>
      </c>
      <c r="C58" s="1">
        <f>tblCategories!F50</f>
        <v>1</v>
      </c>
      <c r="D58" s="1">
        <f t="shared" si="39"/>
        <v>952</v>
      </c>
      <c r="E58" s="1">
        <f ca="1" t="shared" si="40"/>
        <v>55</v>
      </c>
      <c r="F58" s="1">
        <f ca="1" t="shared" si="18"/>
        <v>45</v>
      </c>
      <c r="G58" s="1">
        <f ca="1" t="shared" si="19"/>
        <v>55</v>
      </c>
      <c r="H58" s="1">
        <f ca="1" t="shared" si="20"/>
        <v>45</v>
      </c>
      <c r="I58" s="1" t="e">
        <f ca="1" t="shared" si="21"/>
        <v>#VALUE!</v>
      </c>
      <c r="J58" s="1">
        <f ca="1" t="shared" si="22"/>
        <v>45</v>
      </c>
      <c r="K58" s="1" t="e">
        <f ca="1" t="shared" si="23"/>
        <v>#VALUE!</v>
      </c>
      <c r="L58" s="1">
        <f ca="1" t="shared" si="24"/>
        <v>30</v>
      </c>
      <c r="M58" s="1">
        <f>IF(D58=0,"",tblIndiSets!C223)</f>
        <v>3</v>
      </c>
      <c r="N58" s="1"/>
      <c r="O58" s="1"/>
      <c r="P58" s="1"/>
      <c r="Q58" s="1">
        <f ca="1" t="shared" si="0"/>
        <v>3</v>
      </c>
      <c r="R58" s="1">
        <f ca="1" t="shared" si="1"/>
        <v>952</v>
      </c>
      <c r="S58" s="1">
        <f ca="1">IF($C58=0,"",RANK(R58,R$11:R$71,0)+COUNTIF(R$11:R58,R58)-1)</f>
        <v>48</v>
      </c>
      <c r="T58" s="1">
        <f ca="1" t="shared" si="41"/>
        <v>48</v>
      </c>
      <c r="U58" s="269">
        <f ca="1" t="shared" si="42"/>
        <v>52</v>
      </c>
      <c r="V58" s="269">
        <f ca="1" t="shared" si="43"/>
        <v>1</v>
      </c>
      <c r="W58" s="269">
        <f ca="1" t="shared" si="44"/>
        <v>952</v>
      </c>
      <c r="X58" s="268">
        <f ca="1" t="shared" si="45"/>
        <v>52</v>
      </c>
      <c r="Y58" s="1" t="str">
        <f ca="1" t="shared" si="6"/>
        <v>4.1.7) Political stability risk</v>
      </c>
      <c r="Z58" s="1">
        <f ca="1" t="shared" si="56"/>
        <v>55</v>
      </c>
      <c r="AA58" s="1">
        <f ca="1" t="shared" si="56"/>
        <v>45</v>
      </c>
      <c r="AB58" s="1">
        <f ca="1" t="shared" si="8"/>
        <v>55</v>
      </c>
      <c r="AC58" s="1">
        <f ca="1" t="shared" si="9"/>
        <v>45</v>
      </c>
      <c r="AD58" s="1" t="e">
        <f ca="1" t="shared" si="10"/>
        <v>#VALUE!</v>
      </c>
      <c r="AE58" s="1">
        <f ca="1" t="shared" si="11"/>
        <v>45</v>
      </c>
      <c r="AF58" s="1" t="e">
        <f ca="1" t="shared" si="12"/>
        <v>#VALUE!</v>
      </c>
      <c r="AG58" s="1">
        <f ca="1" t="shared" si="13"/>
        <v>30</v>
      </c>
      <c r="AH58" s="1" t="str">
        <f ca="1">IF($T58="","",IF(ISERROR(INDEX(INDIRECT($H$6),$T58+1,uxb_works!$B$24)),"",INDEX(INDIRECT($H$6),$T58+1,uxb_works!$B$24)))</f>
        <v>=40</v>
      </c>
      <c r="AI58" s="1" t="str">
        <f ca="1">IF($T58="","",IF(ISERROR(INDEX(INDIRECT($H$6),$T58+1,uxb_works!$B$25)),"",INDEX(INDIRECT($H$6),$T58+1,uxb_works!$B$25)))</f>
        <v>=40</v>
      </c>
      <c r="AJ58" s="1" t="str">
        <f ca="1">IF($T58="","",IF(ISERROR(INDEX(INDIRECT($H$6),$T58+1,uxb_works!$B$26-1)),"",INDEX(INDIRECT($H$6),$T58+1,uxb_works!$B$26-1)))</f>
        <v>=32</v>
      </c>
      <c r="AK58" s="1" t="str">
        <f ca="1">IF($T58="","",IF(ISERROR(INDEX(INDIRECT($H$6),$T58+1,uxb_works!$B$27-1)),"",INDEX(INDIRECT($H$6),$T58+1,uxb_works!$B$27-1)))</f>
        <v>=53</v>
      </c>
      <c r="AL58" s="1"/>
      <c r="AM58" s="18"/>
      <c r="AN58" s="1" t="str">
        <f ca="1" t="shared" si="46"/>
        <v/>
      </c>
      <c r="AO58" s="1" t="str">
        <f ca="1" t="shared" si="47"/>
        <v/>
      </c>
      <c r="AP58" s="1" t="str">
        <f ca="1" t="shared" si="48"/>
        <v/>
      </c>
      <c r="AQ58" s="1" t="str">
        <f ca="1" t="shared" si="49"/>
        <v/>
      </c>
      <c r="AR58" s="1">
        <v>3</v>
      </c>
      <c r="AS58" s="1"/>
      <c r="AU58">
        <f ca="1" t="shared" si="50"/>
        <v>40</v>
      </c>
      <c r="AV58">
        <f ca="1" t="shared" si="51"/>
        <v>2</v>
      </c>
      <c r="AX58" s="1">
        <f ca="1">IF($T58="","",IF(ISERROR(INDEX(INDIRECT($G$6),$T58+1,uxb_works!$B$24)),"",INDEX(INDIRECT($G$6),$T58+1,uxb_works!$B$24)))</f>
        <v>40</v>
      </c>
      <c r="AY58" s="1">
        <f ca="1">IF($T58="","",IF(ISERROR(INDEX(INDIRECT($G$6),$T58+1,uxb_works!$B$25)),"",INDEX(INDIRECT($G$6),$T58+1,uxb_works!$B$25)))</f>
        <v>40</v>
      </c>
      <c r="AZ58" s="1">
        <f ca="1">IF($T58="","",IF(ISERROR(INDEX(INDIRECT($G$6),$T58+1,uxb_works!$B$26-1)),"",INDEX(INDIRECT($G$6),$T58+1,uxb_works!$B$26-1)))</f>
        <v>4</v>
      </c>
      <c r="BA58" s="1">
        <f ca="1">IF($T58="","",IF(ISERROR(INDEX(INDIRECT($G$6),$T58+1,uxb_works!$B$27-1)),"",INDEX(INDIRECT($G$6),$T58+1,uxb_works!$B$27-1)))</f>
        <v>2</v>
      </c>
      <c r="BC58">
        <f ca="1" t="shared" si="52"/>
        <v>2</v>
      </c>
      <c r="BD58">
        <f ca="1" t="shared" si="53"/>
        <v>2</v>
      </c>
      <c r="BE58">
        <f ca="1" t="shared" si="54"/>
        <v>0</v>
      </c>
      <c r="BF58">
        <f ca="1" t="shared" si="55"/>
        <v>1</v>
      </c>
    </row>
    <row r="59" customFormat="1" spans="1:58">
      <c r="A59" s="1">
        <f t="shared" si="25"/>
        <v>49</v>
      </c>
      <c r="B59" s="1" t="str">
        <f>tblCategories!D51</f>
        <v>4.2) Personal security (Outputs)</v>
      </c>
      <c r="C59" s="1">
        <f>tblCategories!F51</f>
        <v>1</v>
      </c>
      <c r="D59" s="1">
        <f t="shared" si="39"/>
        <v>951</v>
      </c>
      <c r="E59" s="1">
        <f ca="1" t="shared" si="40"/>
        <v>86.10017057061</v>
      </c>
      <c r="F59" s="1" t="str">
        <f ca="1" t="shared" si="18"/>
        <v/>
      </c>
      <c r="G59" s="1">
        <f ca="1" t="shared" si="19"/>
        <v>86.10017057061</v>
      </c>
      <c r="H59" s="1" t="str">
        <f ca="1" t="shared" si="20"/>
        <v/>
      </c>
      <c r="I59" s="1" t="e">
        <f ca="1" t="shared" si="21"/>
        <v>#VALUE!</v>
      </c>
      <c r="J59" s="1" t="str">
        <f ca="1" t="shared" si="22"/>
        <v/>
      </c>
      <c r="K59" s="1" t="e">
        <f ca="1" t="shared" si="23"/>
        <v>#VALUE!</v>
      </c>
      <c r="L59" s="1" t="str">
        <f ca="1" t="shared" si="24"/>
        <v/>
      </c>
      <c r="M59" s="1">
        <f>IF(D59=0,"",tblIndiSets!C224)</f>
        <v>2</v>
      </c>
      <c r="N59" s="1"/>
      <c r="O59" s="1"/>
      <c r="P59" s="1"/>
      <c r="Q59" s="1">
        <f ca="1" t="shared" si="0"/>
        <v>2</v>
      </c>
      <c r="R59" s="1">
        <f ca="1" t="shared" si="1"/>
        <v>951</v>
      </c>
      <c r="S59" s="1">
        <f ca="1">IF($C59=0,"",RANK(R59,R$11:R$71,0)+COUNTIF(R$11:R59,R59)-1)</f>
        <v>49</v>
      </c>
      <c r="T59" s="1">
        <f ca="1" t="shared" si="41"/>
        <v>49</v>
      </c>
      <c r="U59" s="269">
        <f ca="1" t="shared" si="42"/>
        <v>28</v>
      </c>
      <c r="V59" s="269">
        <f ca="1" t="shared" si="43"/>
        <v>1</v>
      </c>
      <c r="W59" s="269">
        <f ca="1" t="shared" si="44"/>
        <v>951</v>
      </c>
      <c r="X59" s="268">
        <f ca="1" t="shared" si="45"/>
        <v>28</v>
      </c>
      <c r="Y59" s="1" t="str">
        <f ca="1" t="shared" si="6"/>
        <v>4.2) Personal security (Outputs)</v>
      </c>
      <c r="Z59" s="1">
        <f ca="1" t="shared" si="56"/>
        <v>86.10017057061</v>
      </c>
      <c r="AA59" s="1" t="str">
        <f ca="1" t="shared" si="56"/>
        <v/>
      </c>
      <c r="AB59" s="1">
        <f ca="1" t="shared" si="8"/>
        <v>86.10017057061</v>
      </c>
      <c r="AC59" s="1" t="str">
        <f ca="1" t="shared" si="9"/>
        <v/>
      </c>
      <c r="AD59" s="1" t="e">
        <f ca="1" t="shared" si="10"/>
        <v>#VALUE!</v>
      </c>
      <c r="AE59" s="1" t="str">
        <f ca="1" t="shared" si="11"/>
        <v/>
      </c>
      <c r="AF59" s="1" t="e">
        <f ca="1" t="shared" si="12"/>
        <v>#VALUE!</v>
      </c>
      <c r="AG59" s="1" t="str">
        <f ca="1" t="shared" si="13"/>
        <v/>
      </c>
      <c r="AH59" s="1" t="str">
        <f ca="1">IF($T59="","",IF(ISERROR(INDEX(INDIRECT($H$6),$T59+1,uxb_works!$B$24)),"",INDEX(INDIRECT($H$6),$T59+1,uxb_works!$B$24)))</f>
        <v>10</v>
      </c>
      <c r="AI59" s="1" t="str">
        <f ca="1">IF($T59="","",IF(ISERROR(INDEX(INDIRECT($H$6),$T59+1,uxb_works!$B$25)),"",INDEX(INDIRECT($H$6),$T59+1,uxb_works!$B$25)))</f>
        <v>10</v>
      </c>
      <c r="AJ59" s="1" t="str">
        <f ca="1">IF($T59="","",IF(ISERROR(INDEX(INDIRECT($H$6),$T59+1,uxb_works!$B$26-1)),"",INDEX(INDIRECT($H$6),$T59+1,uxb_works!$B$26-1)))</f>
        <v>35</v>
      </c>
      <c r="AK59" s="1" t="str">
        <f ca="1">IF($T59="","",IF(ISERROR(INDEX(INDIRECT($H$6),$T59+1,uxb_works!$B$27-1)),"",INDEX(INDIRECT($H$6),$T59+1,uxb_works!$B$27-1)))</f>
        <v>55</v>
      </c>
      <c r="AL59" s="1"/>
      <c r="AM59" s="18"/>
      <c r="AN59" s="1" t="str">
        <f ca="1" t="shared" si="46"/>
        <v/>
      </c>
      <c r="AO59" s="1" t="str">
        <f ca="1" t="shared" si="47"/>
        <v/>
      </c>
      <c r="AP59" s="1" t="str">
        <f ca="1" t="shared" si="48"/>
        <v/>
      </c>
      <c r="AQ59" s="1" t="str">
        <f ca="1" t="shared" si="49"/>
        <v/>
      </c>
      <c r="AR59" s="1">
        <v>3</v>
      </c>
      <c r="AS59" s="1"/>
      <c r="AU59">
        <f ca="1" t="shared" si="50"/>
        <v>23</v>
      </c>
      <c r="AV59">
        <f ca="1" t="shared" si="51"/>
        <v>2</v>
      </c>
      <c r="AX59" s="1">
        <f ca="1">IF($T59="","",IF(ISERROR(INDEX(INDIRECT($G$6),$T59+1,uxb_works!$B$24)),"",INDEX(INDIRECT($G$6),$T59+1,uxb_works!$B$24)))</f>
        <v>10</v>
      </c>
      <c r="AY59" s="1">
        <f ca="1">IF($T59="","",IF(ISERROR(INDEX(INDIRECT($G$6),$T59+1,uxb_works!$B$25)),"",INDEX(INDIRECT($G$6),$T59+1,uxb_works!$B$25)))</f>
        <v>10</v>
      </c>
      <c r="AZ59" s="1">
        <f ca="1">IF($T59="","",IF(ISERROR(INDEX(INDIRECT($G$6),$T59+1,uxb_works!$B$26-1)),"",INDEX(INDIRECT($G$6),$T59+1,uxb_works!$B$26-1)))</f>
        <v>2</v>
      </c>
      <c r="BA59" s="1">
        <f ca="1">IF($T59="","",IF(ISERROR(INDEX(INDIRECT($G$6),$T59+1,uxb_works!$B$27-1)),"",INDEX(INDIRECT($G$6),$T59+1,uxb_works!$B$27-1)))</f>
        <v>23</v>
      </c>
      <c r="BC59">
        <f ca="1" t="shared" si="52"/>
        <v>0</v>
      </c>
      <c r="BD59">
        <f ca="1" t="shared" si="53"/>
        <v>0</v>
      </c>
      <c r="BE59">
        <f ca="1" t="shared" si="54"/>
        <v>1</v>
      </c>
      <c r="BF59">
        <f ca="1" t="shared" si="55"/>
        <v>2</v>
      </c>
    </row>
    <row r="60" customFormat="1" spans="1:58">
      <c r="A60" s="1">
        <f t="shared" si="25"/>
        <v>50</v>
      </c>
      <c r="B60" s="1" t="str">
        <f>tblCategories!D52</f>
        <v>4.2.1) Prevalence of petty crime</v>
      </c>
      <c r="C60" s="1">
        <f>tblCategories!F52</f>
        <v>1</v>
      </c>
      <c r="D60" s="1">
        <f t="shared" si="39"/>
        <v>950</v>
      </c>
      <c r="E60" s="1">
        <f ca="1" t="shared" si="40"/>
        <v>75</v>
      </c>
      <c r="F60" s="1">
        <f ca="1" t="shared" si="18"/>
        <v>2</v>
      </c>
      <c r="G60" s="1">
        <f ca="1" t="shared" si="19"/>
        <v>75</v>
      </c>
      <c r="H60" s="1">
        <f ca="1" t="shared" si="20"/>
        <v>2</v>
      </c>
      <c r="I60" s="1" t="e">
        <f ca="1" t="shared" si="21"/>
        <v>#VALUE!</v>
      </c>
      <c r="J60" s="1">
        <f ca="1" t="shared" si="22"/>
        <v>2</v>
      </c>
      <c r="K60" s="1" t="e">
        <f ca="1" t="shared" si="23"/>
        <v>#VALUE!</v>
      </c>
      <c r="L60" s="1">
        <f ca="1" t="shared" si="24"/>
        <v>2</v>
      </c>
      <c r="M60" s="1">
        <f>IF(D60=0,"",tblIndiSets!C225)</f>
        <v>3</v>
      </c>
      <c r="N60" s="1"/>
      <c r="O60" s="1"/>
      <c r="P60" s="1"/>
      <c r="Q60" s="1">
        <f ca="1" t="shared" si="0"/>
        <v>3</v>
      </c>
      <c r="R60" s="1">
        <f ca="1" t="shared" si="1"/>
        <v>950</v>
      </c>
      <c r="S60" s="1">
        <f ca="1">IF($C60=0,"",RANK(R60,R$11:R$71,0)+COUNTIF(R$11:R60,R60)-1)</f>
        <v>50</v>
      </c>
      <c r="T60" s="1">
        <f ca="1" t="shared" si="41"/>
        <v>50</v>
      </c>
      <c r="U60" s="269">
        <f ca="1" t="shared" si="42"/>
        <v>33</v>
      </c>
      <c r="V60" s="269">
        <f ca="1" t="shared" si="43"/>
        <v>7</v>
      </c>
      <c r="W60" s="269">
        <f ca="1" t="shared" si="44"/>
        <v>950</v>
      </c>
      <c r="X60" s="268" t="str">
        <f ca="1" t="shared" si="45"/>
        <v>=33</v>
      </c>
      <c r="Y60" s="1" t="str">
        <f ca="1" t="shared" si="6"/>
        <v>4.2.1) Prevalence of petty crime</v>
      </c>
      <c r="Z60" s="1">
        <f ca="1" t="shared" si="56"/>
        <v>75</v>
      </c>
      <c r="AA60" s="1">
        <f ca="1" t="shared" si="56"/>
        <v>2</v>
      </c>
      <c r="AB60" s="1">
        <f ca="1" t="shared" si="8"/>
        <v>75</v>
      </c>
      <c r="AC60" s="1">
        <f ca="1" t="shared" si="9"/>
        <v>2</v>
      </c>
      <c r="AD60" s="1" t="e">
        <f ca="1" t="shared" si="10"/>
        <v>#VALUE!</v>
      </c>
      <c r="AE60" s="1">
        <f ca="1" t="shared" si="11"/>
        <v>2</v>
      </c>
      <c r="AF60" s="1" t="e">
        <f ca="1" t="shared" si="12"/>
        <v>#VALUE!</v>
      </c>
      <c r="AG60" s="1">
        <f ca="1" t="shared" si="13"/>
        <v>2</v>
      </c>
      <c r="AH60" s="1" t="str">
        <f ca="1">IF($T60="","",IF(ISERROR(INDEX(INDIRECT($H$6),$T60+1,uxb_works!$B$24)),"",INDEX(INDIRECT($H$6),$T60+1,uxb_works!$B$24)))</f>
        <v>=3</v>
      </c>
      <c r="AI60" s="1" t="str">
        <f ca="1">IF($T60="","",IF(ISERROR(INDEX(INDIRECT($H$6),$T60+1,uxb_works!$B$25)),"",INDEX(INDIRECT($H$6),$T60+1,uxb_works!$B$25)))</f>
        <v>=3</v>
      </c>
      <c r="AJ60" s="1" t="str">
        <f ca="1">IF($T60="","",IF(ISERROR(INDEX(INDIRECT($H$6),$T60+1,uxb_works!$B$26-1)),"",INDEX(INDIRECT($H$6),$T60+1,uxb_works!$B$26-1)))</f>
        <v>=3</v>
      </c>
      <c r="AK60" s="1" t="str">
        <f ca="1">IF($T60="","",IF(ISERROR(INDEX(INDIRECT($H$6),$T60+1,uxb_works!$B$27-1)),"",INDEX(INDIRECT($H$6),$T60+1,uxb_works!$B$27-1)))</f>
        <v>=31</v>
      </c>
      <c r="AL60" s="1"/>
      <c r="AM60" s="18"/>
      <c r="AN60" s="1" t="str">
        <f ca="1" t="shared" si="46"/>
        <v/>
      </c>
      <c r="AO60" s="1" t="str">
        <f ca="1" t="shared" si="47"/>
        <v/>
      </c>
      <c r="AP60" s="1" t="str">
        <f ca="1" t="shared" si="48"/>
        <v/>
      </c>
      <c r="AQ60" s="1" t="str">
        <f ca="1" t="shared" si="49"/>
        <v/>
      </c>
      <c r="AR60" s="1">
        <v>3</v>
      </c>
      <c r="AS60" s="1"/>
      <c r="AU60">
        <f ca="1" t="shared" si="50"/>
        <v>3</v>
      </c>
      <c r="AV60">
        <f ca="1" t="shared" si="51"/>
        <v>3</v>
      </c>
      <c r="AX60" s="1">
        <f ca="1">IF($T60="","",IF(ISERROR(INDEX(INDIRECT($G$6),$T60+1,uxb_works!$B$24)),"",INDEX(INDIRECT($G$6),$T60+1,uxb_works!$B$24)))</f>
        <v>3</v>
      </c>
      <c r="AY60" s="1">
        <f ca="1">IF($T60="","",IF(ISERROR(INDEX(INDIRECT($G$6),$T60+1,uxb_works!$B$25)),"",INDEX(INDIRECT($G$6),$T60+1,uxb_works!$B$25)))</f>
        <v>3</v>
      </c>
      <c r="AZ60" s="1">
        <f ca="1">IF($T60="","",IF(ISERROR(INDEX(INDIRECT($G$6),$T60+1,uxb_works!$B$26-1)),"",INDEX(INDIRECT($G$6),$T60+1,uxb_works!$B$26-1)))</f>
        <v>3</v>
      </c>
      <c r="BA60" s="1">
        <f ca="1">IF($T60="","",IF(ISERROR(INDEX(INDIRECT($G$6),$T60+1,uxb_works!$B$27-1)),"",INDEX(INDIRECT($G$6),$T60+1,uxb_works!$B$27-1)))</f>
        <v>3</v>
      </c>
      <c r="BC60">
        <f ca="1" t="shared" si="52"/>
        <v>0</v>
      </c>
      <c r="BD60">
        <f ca="1" t="shared" si="53"/>
        <v>0</v>
      </c>
      <c r="BE60">
        <f ca="1" t="shared" si="54"/>
        <v>0</v>
      </c>
      <c r="BF60">
        <f ca="1" t="shared" si="55"/>
        <v>0</v>
      </c>
    </row>
    <row r="61" customFormat="1" spans="1:58">
      <c r="A61" s="1">
        <f t="shared" si="25"/>
        <v>51</v>
      </c>
      <c r="B61" s="1" t="str">
        <f>tblCategories!D53</f>
        <v>4.2.2) Prevalence of violent crime</v>
      </c>
      <c r="C61" s="1">
        <f>tblCategories!F53</f>
        <v>1</v>
      </c>
      <c r="D61" s="1">
        <f t="shared" si="39"/>
        <v>949</v>
      </c>
      <c r="E61" s="1">
        <f ca="1" t="shared" si="40"/>
        <v>100</v>
      </c>
      <c r="F61" s="1">
        <f ca="1" t="shared" si="18"/>
        <v>1</v>
      </c>
      <c r="G61" s="1">
        <f ca="1" t="shared" si="19"/>
        <v>100</v>
      </c>
      <c r="H61" s="1">
        <f ca="1" t="shared" si="20"/>
        <v>1</v>
      </c>
      <c r="I61" s="1" t="e">
        <f ca="1" t="shared" si="21"/>
        <v>#VALUE!</v>
      </c>
      <c r="J61" s="1">
        <f ca="1" t="shared" si="22"/>
        <v>1</v>
      </c>
      <c r="K61" s="1" t="e">
        <f ca="1" t="shared" si="23"/>
        <v>#VALUE!</v>
      </c>
      <c r="L61" s="1">
        <f ca="1" t="shared" si="24"/>
        <v>1</v>
      </c>
      <c r="M61" s="1">
        <f>IF(D61=0,"",tblIndiSets!C226)</f>
        <v>3</v>
      </c>
      <c r="N61" s="1"/>
      <c r="O61" s="1"/>
      <c r="P61" s="1"/>
      <c r="Q61" s="1">
        <f ca="1" t="shared" si="0"/>
        <v>3</v>
      </c>
      <c r="R61" s="1">
        <f ca="1" t="shared" si="1"/>
        <v>949</v>
      </c>
      <c r="S61" s="1">
        <f ca="1">IF($C61=0,"",RANK(R61,R$11:R$71,0)+COUNTIF(R$11:R61,R61)-1)</f>
        <v>51</v>
      </c>
      <c r="T61" s="1">
        <f ca="1" t="shared" si="41"/>
        <v>51</v>
      </c>
      <c r="U61" s="269">
        <f ca="1" t="shared" si="42"/>
        <v>1</v>
      </c>
      <c r="V61" s="269">
        <f ca="1" t="shared" si="43"/>
        <v>15</v>
      </c>
      <c r="W61" s="269">
        <f ca="1" t="shared" si="44"/>
        <v>949</v>
      </c>
      <c r="X61" s="268" t="str">
        <f ca="1" t="shared" si="45"/>
        <v>=1</v>
      </c>
      <c r="Y61" s="1" t="str">
        <f ca="1" t="shared" si="6"/>
        <v>4.2.2) Prevalence of violent crime</v>
      </c>
      <c r="Z61" s="1">
        <f ca="1" t="shared" si="56"/>
        <v>100</v>
      </c>
      <c r="AA61" s="1">
        <f ca="1" t="shared" si="56"/>
        <v>1</v>
      </c>
      <c r="AB61" s="1">
        <f ca="1" t="shared" si="8"/>
        <v>100</v>
      </c>
      <c r="AC61" s="1">
        <f ca="1" t="shared" si="9"/>
        <v>1</v>
      </c>
      <c r="AD61" s="1" t="e">
        <f ca="1" t="shared" si="10"/>
        <v>#VALUE!</v>
      </c>
      <c r="AE61" s="1">
        <f ca="1" t="shared" si="11"/>
        <v>1</v>
      </c>
      <c r="AF61" s="1" t="e">
        <f ca="1" t="shared" si="12"/>
        <v>#VALUE!</v>
      </c>
      <c r="AG61" s="1">
        <f ca="1" t="shared" si="13"/>
        <v>1</v>
      </c>
      <c r="AH61" s="1" t="str">
        <f ca="1">IF($T61="","",IF(ISERROR(INDEX(INDIRECT($H$6),$T61+1,uxb_works!$B$24)),"",INDEX(INDIRECT($H$6),$T61+1,uxb_works!$B$24)))</f>
        <v>=1</v>
      </c>
      <c r="AI61" s="1" t="str">
        <f ca="1">IF($T61="","",IF(ISERROR(INDEX(INDIRECT($H$6),$T61+1,uxb_works!$B$25)),"",INDEX(INDIRECT($H$6),$T61+1,uxb_works!$B$25)))</f>
        <v>=1</v>
      </c>
      <c r="AJ61" s="1" t="str">
        <f ca="1">IF($T61="","",IF(ISERROR(INDEX(INDIRECT($H$6),$T61+1,uxb_works!$B$26-1)),"",INDEX(INDIRECT($H$6),$T61+1,uxb_works!$B$26-1)))</f>
        <v>=17</v>
      </c>
      <c r="AK61" s="1" t="str">
        <f ca="1">IF($T61="","",IF(ISERROR(INDEX(INDIRECT($H$6),$T61+1,uxb_works!$B$27-1)),"",INDEX(INDIRECT($H$6),$T61+1,uxb_works!$B$27-1)))</f>
        <v>=17</v>
      </c>
      <c r="AL61" s="1"/>
      <c r="AM61" s="18"/>
      <c r="AN61" s="1" t="str">
        <f ca="1" t="shared" si="46"/>
        <v/>
      </c>
      <c r="AO61" s="1" t="str">
        <f ca="1" t="shared" si="47"/>
        <v/>
      </c>
      <c r="AP61" s="1" t="str">
        <f ca="1" t="shared" si="48"/>
        <v/>
      </c>
      <c r="AQ61" s="1" t="str">
        <f ca="1" t="shared" si="49"/>
        <v/>
      </c>
      <c r="AR61" s="1">
        <v>3</v>
      </c>
      <c r="AS61" s="1"/>
      <c r="AU61">
        <f ca="1" t="shared" si="50"/>
        <v>17</v>
      </c>
      <c r="AV61">
        <f ca="1" t="shared" si="51"/>
        <v>1</v>
      </c>
      <c r="AX61" s="1">
        <f ca="1">IF($T61="","",IF(ISERROR(INDEX(INDIRECT($G$6),$T61+1,uxb_works!$B$24)),"",INDEX(INDIRECT($G$6),$T61+1,uxb_works!$B$24)))</f>
        <v>1</v>
      </c>
      <c r="AY61" s="1">
        <f ca="1">IF($T61="","",IF(ISERROR(INDEX(INDIRECT($G$6),$T61+1,uxb_works!$B$25)),"",INDEX(INDIRECT($G$6),$T61+1,uxb_works!$B$25)))</f>
        <v>1</v>
      </c>
      <c r="AZ61" s="1">
        <f ca="1">IF($T61="","",IF(ISERROR(INDEX(INDIRECT($G$6),$T61+1,uxb_works!$B$26-1)),"",INDEX(INDIRECT($G$6),$T61+1,uxb_works!$B$26-1)))</f>
        <v>1</v>
      </c>
      <c r="BA61" s="1">
        <f ca="1">IF($T61="","",IF(ISERROR(INDEX(INDIRECT($G$6),$T61+1,uxb_works!$B$27-1)),"",INDEX(INDIRECT($G$6),$T61+1,uxb_works!$B$27-1)))</f>
        <v>17</v>
      </c>
      <c r="BC61">
        <f ca="1" t="shared" si="52"/>
        <v>1</v>
      </c>
      <c r="BD61">
        <f ca="1" t="shared" si="53"/>
        <v>1</v>
      </c>
      <c r="BE61">
        <f ca="1" t="shared" si="54"/>
        <v>1</v>
      </c>
      <c r="BF61">
        <f ca="1" t="shared" si="55"/>
        <v>2</v>
      </c>
    </row>
    <row r="62" customFormat="1" spans="1:58">
      <c r="A62" s="1">
        <f t="shared" si="25"/>
        <v>52</v>
      </c>
      <c r="B62" s="1" t="str">
        <f>tblCategories!D54</f>
        <v>4.2.3) Organised crime</v>
      </c>
      <c r="C62" s="1">
        <f>tblCategories!F54</f>
        <v>1</v>
      </c>
      <c r="D62" s="1">
        <f t="shared" si="39"/>
        <v>948</v>
      </c>
      <c r="E62" s="1">
        <f ca="1" t="shared" si="40"/>
        <v>75</v>
      </c>
      <c r="F62" s="1">
        <f ca="1" t="shared" si="18"/>
        <v>1</v>
      </c>
      <c r="G62" s="1">
        <f ca="1" t="shared" si="19"/>
        <v>75</v>
      </c>
      <c r="H62" s="1">
        <f ca="1" t="shared" si="20"/>
        <v>1</v>
      </c>
      <c r="I62" s="1" t="e">
        <f ca="1" t="shared" si="21"/>
        <v>#VALUE!</v>
      </c>
      <c r="J62" s="1">
        <f ca="1" t="shared" si="22"/>
        <v>1</v>
      </c>
      <c r="K62" s="1" t="e">
        <f ca="1" t="shared" si="23"/>
        <v>#VALUE!</v>
      </c>
      <c r="L62" s="1">
        <f ca="1" t="shared" si="24"/>
        <v>2</v>
      </c>
      <c r="M62" s="1">
        <f>IF(D62=0,"",tblIndiSets!C227)</f>
        <v>3</v>
      </c>
      <c r="N62" s="1"/>
      <c r="O62" s="1"/>
      <c r="P62" s="1"/>
      <c r="Q62" s="1">
        <f ca="1" t="shared" si="0"/>
        <v>3</v>
      </c>
      <c r="R62" s="1">
        <f ca="1" t="shared" si="1"/>
        <v>948</v>
      </c>
      <c r="S62" s="1">
        <f ca="1">IF($C62=0,"",RANK(R62,R$11:R$71,0)+COUNTIF(R$11:R62,R62)-1)</f>
        <v>52</v>
      </c>
      <c r="T62" s="1">
        <f ca="1" t="shared" si="41"/>
        <v>52</v>
      </c>
      <c r="U62" s="269">
        <f ca="1" t="shared" si="42"/>
        <v>33</v>
      </c>
      <c r="V62" s="269">
        <f ca="1" t="shared" si="43"/>
        <v>7</v>
      </c>
      <c r="W62" s="269">
        <f ca="1" t="shared" si="44"/>
        <v>948</v>
      </c>
      <c r="X62" s="268" t="str">
        <f ca="1" t="shared" si="45"/>
        <v>=33</v>
      </c>
      <c r="Y62" s="1" t="str">
        <f ca="1" t="shared" si="6"/>
        <v>4.2.3) Organised crime</v>
      </c>
      <c r="Z62" s="1">
        <f ca="1" t="shared" si="56"/>
        <v>75</v>
      </c>
      <c r="AA62" s="1">
        <f ca="1" t="shared" si="56"/>
        <v>1</v>
      </c>
      <c r="AB62" s="1">
        <f ca="1" t="shared" si="8"/>
        <v>75</v>
      </c>
      <c r="AC62" s="1">
        <f ca="1" t="shared" si="9"/>
        <v>1</v>
      </c>
      <c r="AD62" s="1" t="e">
        <f ca="1" t="shared" si="10"/>
        <v>#VALUE!</v>
      </c>
      <c r="AE62" s="1">
        <f ca="1" t="shared" si="11"/>
        <v>1</v>
      </c>
      <c r="AF62" s="1" t="e">
        <f ca="1" t="shared" si="12"/>
        <v>#VALUE!</v>
      </c>
      <c r="AG62" s="1">
        <f ca="1" t="shared" si="13"/>
        <v>2</v>
      </c>
      <c r="AH62" s="1" t="str">
        <f ca="1">IF($T62="","",IF(ISERROR(INDEX(INDIRECT($H$6),$T62+1,uxb_works!$B$24)),"",INDEX(INDIRECT($H$6),$T62+1,uxb_works!$B$24)))</f>
        <v>=6</v>
      </c>
      <c r="AI62" s="1" t="str">
        <f ca="1">IF($T62="","",IF(ISERROR(INDEX(INDIRECT($H$6),$T62+1,uxb_works!$B$25)),"",INDEX(INDIRECT($H$6),$T62+1,uxb_works!$B$25)))</f>
        <v>=6</v>
      </c>
      <c r="AJ62" s="1" t="str">
        <f ca="1">IF($T62="","",IF(ISERROR(INDEX(INDIRECT($H$6),$T62+1,uxb_works!$B$26-1)),"",INDEX(INDIRECT($H$6),$T62+1,uxb_works!$B$26-1)))</f>
        <v>=49</v>
      </c>
      <c r="AK62" s="1" t="str">
        <f ca="1">IF($T62="","",IF(ISERROR(INDEX(INDIRECT($H$6),$T62+1,uxb_works!$B$27-1)),"",INDEX(INDIRECT($H$6),$T62+1,uxb_works!$B$27-1)))</f>
        <v>=49</v>
      </c>
      <c r="AL62" s="1"/>
      <c r="AM62" s="18"/>
      <c r="AN62" s="1" t="str">
        <f ca="1" t="shared" si="46"/>
        <v/>
      </c>
      <c r="AO62" s="1" t="str">
        <f ca="1" t="shared" si="47"/>
        <v/>
      </c>
      <c r="AP62" s="1" t="str">
        <f ca="1" t="shared" si="48"/>
        <v/>
      </c>
      <c r="AQ62" s="1" t="str">
        <f ca="1" t="shared" si="49"/>
        <v/>
      </c>
      <c r="AR62" s="1">
        <v>3</v>
      </c>
      <c r="AS62" s="1"/>
      <c r="AU62">
        <f ca="1" t="shared" si="50"/>
        <v>6</v>
      </c>
      <c r="AV62">
        <f ca="1" t="shared" si="51"/>
        <v>1</v>
      </c>
      <c r="AX62" s="1">
        <f ca="1">IF($T62="","",IF(ISERROR(INDEX(INDIRECT($G$6),$T62+1,uxb_works!$B$24)),"",INDEX(INDIRECT($G$6),$T62+1,uxb_works!$B$24)))</f>
        <v>6</v>
      </c>
      <c r="AY62" s="1">
        <f ca="1">IF($T62="","",IF(ISERROR(INDEX(INDIRECT($G$6),$T62+1,uxb_works!$B$25)),"",INDEX(INDIRECT($G$6),$T62+1,uxb_works!$B$25)))</f>
        <v>6</v>
      </c>
      <c r="AZ62" s="1">
        <f ca="1">IF($T62="","",IF(ISERROR(INDEX(INDIRECT($G$6),$T62+1,uxb_works!$B$26-1)),"",INDEX(INDIRECT($G$6),$T62+1,uxb_works!$B$26-1)))</f>
        <v>1</v>
      </c>
      <c r="BA62" s="1">
        <f ca="1">IF($T62="","",IF(ISERROR(INDEX(INDIRECT($G$6),$T62+1,uxb_works!$B$27-1)),"",INDEX(INDIRECT($G$6),$T62+1,uxb_works!$B$27-1)))</f>
        <v>6</v>
      </c>
      <c r="BC62">
        <f ca="1" t="shared" si="52"/>
        <v>2</v>
      </c>
      <c r="BD62">
        <f ca="1" t="shared" si="53"/>
        <v>2</v>
      </c>
      <c r="BE62">
        <f ca="1" t="shared" si="54"/>
        <v>1</v>
      </c>
      <c r="BF62">
        <f ca="1" t="shared" si="55"/>
        <v>2</v>
      </c>
    </row>
    <row r="63" customFormat="1" spans="1:58">
      <c r="A63" s="1">
        <f t="shared" si="25"/>
        <v>53</v>
      </c>
      <c r="B63" s="1" t="str">
        <f>tblCategories!D55</f>
        <v>4.2.4) Level of corruption</v>
      </c>
      <c r="C63" s="1">
        <f>tblCategories!F55</f>
        <v>1</v>
      </c>
      <c r="D63" s="1">
        <f t="shared" si="39"/>
        <v>947</v>
      </c>
      <c r="E63" s="1">
        <f ca="1" t="shared" si="40"/>
        <v>66</v>
      </c>
      <c r="F63" s="1">
        <f ca="1" t="shared" si="18"/>
        <v>66</v>
      </c>
      <c r="G63" s="1">
        <f ca="1" t="shared" si="19"/>
        <v>66</v>
      </c>
      <c r="H63" s="1">
        <f ca="1" t="shared" si="20"/>
        <v>66</v>
      </c>
      <c r="I63" s="1" t="e">
        <f ca="1" t="shared" si="21"/>
        <v>#VALUE!</v>
      </c>
      <c r="J63" s="1">
        <f ca="1" t="shared" si="22"/>
        <v>66</v>
      </c>
      <c r="K63" s="1" t="e">
        <f ca="1" t="shared" si="23"/>
        <v>#VALUE!</v>
      </c>
      <c r="L63" s="1">
        <f ca="1" t="shared" si="24"/>
        <v>44</v>
      </c>
      <c r="M63" s="1">
        <f>IF(D63=0,"",tblIndiSets!C228)</f>
        <v>3</v>
      </c>
      <c r="N63" s="1"/>
      <c r="O63" s="1"/>
      <c r="P63" s="1"/>
      <c r="Q63" s="1">
        <f ca="1" t="shared" si="0"/>
        <v>3</v>
      </c>
      <c r="R63" s="1">
        <f ca="1" t="shared" si="1"/>
        <v>947</v>
      </c>
      <c r="S63" s="1">
        <f ca="1">IF($C63=0,"",RANK(R63,R$11:R$71,0)+COUNTIF(R$11:R63,R63)-1)</f>
        <v>53</v>
      </c>
      <c r="T63" s="1">
        <f ca="1" t="shared" si="41"/>
        <v>53</v>
      </c>
      <c r="U63" s="269">
        <f ca="1" t="shared" si="42"/>
        <v>48</v>
      </c>
      <c r="V63" s="269">
        <f ca="1" t="shared" si="43"/>
        <v>1</v>
      </c>
      <c r="W63" s="269">
        <f ca="1" t="shared" si="44"/>
        <v>947</v>
      </c>
      <c r="X63" s="268">
        <f ca="1" t="shared" si="45"/>
        <v>48</v>
      </c>
      <c r="Y63" s="1" t="str">
        <f ca="1" t="shared" si="6"/>
        <v>4.2.4) Level of corruption</v>
      </c>
      <c r="Z63" s="1">
        <f ca="1" t="shared" si="56"/>
        <v>66</v>
      </c>
      <c r="AA63" s="1">
        <f ca="1" t="shared" si="56"/>
        <v>66</v>
      </c>
      <c r="AB63" s="1">
        <f ca="1" t="shared" si="8"/>
        <v>66</v>
      </c>
      <c r="AC63" s="1">
        <f ca="1" t="shared" si="9"/>
        <v>66</v>
      </c>
      <c r="AD63" s="1" t="e">
        <f ca="1" t="shared" si="10"/>
        <v>#VALUE!</v>
      </c>
      <c r="AE63" s="1">
        <f ca="1" t="shared" si="11"/>
        <v>66</v>
      </c>
      <c r="AF63" s="1" t="e">
        <f ca="1" t="shared" si="12"/>
        <v>#VALUE!</v>
      </c>
      <c r="AG63" s="1">
        <f ca="1" t="shared" si="13"/>
        <v>44</v>
      </c>
      <c r="AH63" s="1" t="str">
        <f ca="1">IF($T63="","",IF(ISERROR(INDEX(INDIRECT($H$6),$T63+1,uxb_works!$B$24)),"",INDEX(INDIRECT($H$6),$T63+1,uxb_works!$B$24)))</f>
        <v>=22</v>
      </c>
      <c r="AI63" s="1" t="str">
        <f ca="1">IF($T63="","",IF(ISERROR(INDEX(INDIRECT($H$6),$T63+1,uxb_works!$B$25)),"",INDEX(INDIRECT($H$6),$T63+1,uxb_works!$B$25)))</f>
        <v>=22</v>
      </c>
      <c r="AJ63" s="1" t="str">
        <f ca="1">IF($T63="","",IF(ISERROR(INDEX(INDIRECT($H$6),$T63+1,uxb_works!$B$26-1)),"",INDEX(INDIRECT($H$6),$T63+1,uxb_works!$B$26-1)))</f>
        <v>=30</v>
      </c>
      <c r="AK63" s="1" t="str">
        <f ca="1">IF($T63="","",IF(ISERROR(INDEX(INDIRECT($H$6),$T63+1,uxb_works!$B$27-1)),"",INDEX(INDIRECT($H$6),$T63+1,uxb_works!$B$27-1)))</f>
        <v>=56</v>
      </c>
      <c r="AL63" s="1"/>
      <c r="AM63" s="18"/>
      <c r="AN63" s="1" t="str">
        <f ca="1" t="shared" si="46"/>
        <v/>
      </c>
      <c r="AO63" s="1" t="str">
        <f ca="1" t="shared" si="47"/>
        <v/>
      </c>
      <c r="AP63" s="1" t="str">
        <f ca="1" t="shared" si="48"/>
        <v/>
      </c>
      <c r="AQ63" s="1" t="str">
        <f ca="1" t="shared" si="49"/>
        <v/>
      </c>
      <c r="AR63" s="1">
        <v>3</v>
      </c>
      <c r="AS63" s="1"/>
      <c r="AU63">
        <f ca="1" t="shared" si="50"/>
        <v>22</v>
      </c>
      <c r="AV63">
        <f ca="1" t="shared" si="51"/>
        <v>2</v>
      </c>
      <c r="AX63" s="1">
        <f ca="1">IF($T63="","",IF(ISERROR(INDEX(INDIRECT($G$6),$T63+1,uxb_works!$B$24)),"",INDEX(INDIRECT($G$6),$T63+1,uxb_works!$B$24)))</f>
        <v>22</v>
      </c>
      <c r="AY63" s="1">
        <f ca="1">IF($T63="","",IF(ISERROR(INDEX(INDIRECT($G$6),$T63+1,uxb_works!$B$25)),"",INDEX(INDIRECT($G$6),$T63+1,uxb_works!$B$25)))</f>
        <v>22</v>
      </c>
      <c r="AZ63" s="1">
        <f ca="1">IF($T63="","",IF(ISERROR(INDEX(INDIRECT($G$6),$T63+1,uxb_works!$B$26-1)),"",INDEX(INDIRECT($G$6),$T63+1,uxb_works!$B$26-1)))</f>
        <v>2</v>
      </c>
      <c r="BA63" s="1">
        <f ca="1">IF($T63="","",IF(ISERROR(INDEX(INDIRECT($G$6),$T63+1,uxb_works!$B$27-1)),"",INDEX(INDIRECT($G$6),$T63+1,uxb_works!$B$27-1)))</f>
        <v>9</v>
      </c>
      <c r="BC63">
        <f ca="1" t="shared" si="52"/>
        <v>2</v>
      </c>
      <c r="BD63">
        <f ca="1" t="shared" si="53"/>
        <v>2</v>
      </c>
      <c r="BE63">
        <f ca="1" t="shared" si="54"/>
        <v>1</v>
      </c>
      <c r="BF63">
        <f ca="1" t="shared" si="55"/>
        <v>0</v>
      </c>
    </row>
    <row r="64" customFormat="1" spans="1:58">
      <c r="A64" s="1">
        <f t="shared" si="25"/>
        <v>54</v>
      </c>
      <c r="B64" s="1" t="str">
        <f>tblCategories!D56</f>
        <v>4.2.5) Rate of drug use </v>
      </c>
      <c r="C64" s="1">
        <f>tblCategories!F56</f>
        <v>1</v>
      </c>
      <c r="D64" s="1">
        <f t="shared" si="39"/>
        <v>946</v>
      </c>
      <c r="E64" s="1">
        <f ca="1" t="shared" si="40"/>
        <v>86.758691206544</v>
      </c>
      <c r="F64" s="1">
        <f ca="1" t="shared" si="18"/>
        <v>0.0537</v>
      </c>
      <c r="G64" s="1">
        <f ca="1" t="shared" si="19"/>
        <v>86.758691206544</v>
      </c>
      <c r="H64" s="1">
        <f ca="1" t="shared" si="20"/>
        <v>0.0537</v>
      </c>
      <c r="I64" s="1" t="e">
        <f ca="1" t="shared" si="21"/>
        <v>#VALUE!</v>
      </c>
      <c r="J64" s="1">
        <f ca="1" t="shared" si="22"/>
        <v>0.0537</v>
      </c>
      <c r="K64" s="1" t="e">
        <f ca="1" t="shared" si="23"/>
        <v>#VALUE!</v>
      </c>
      <c r="L64" s="1">
        <f ca="1" t="shared" si="24"/>
        <v>0.0312</v>
      </c>
      <c r="M64" s="1">
        <f>IF(D64=0,"",tblIndiSets!C229)</f>
        <v>3</v>
      </c>
      <c r="N64" s="1"/>
      <c r="O64" s="1"/>
      <c r="P64" s="1"/>
      <c r="Q64" s="1">
        <f ca="1" t="shared" si="0"/>
        <v>3</v>
      </c>
      <c r="R64" s="1">
        <f ca="1" t="shared" si="1"/>
        <v>946</v>
      </c>
      <c r="S64" s="1">
        <f ca="1">IF($C64=0,"",RANK(R64,R$11:R$71,0)+COUNTIF(R$11:R64,R64)-1)</f>
        <v>54</v>
      </c>
      <c r="T64" s="1">
        <f ca="1" t="shared" si="41"/>
        <v>54</v>
      </c>
      <c r="U64" s="269">
        <f ca="1" t="shared" si="42"/>
        <v>27</v>
      </c>
      <c r="V64" s="269">
        <f ca="1" t="shared" si="43"/>
        <v>1</v>
      </c>
      <c r="W64" s="269">
        <f ca="1" t="shared" si="44"/>
        <v>946</v>
      </c>
      <c r="X64" s="268">
        <f ca="1" t="shared" si="45"/>
        <v>27</v>
      </c>
      <c r="Y64" s="1" t="str">
        <f ca="1" t="shared" si="6"/>
        <v>4.2.5) Rate of drug use </v>
      </c>
      <c r="Z64" s="1">
        <f ca="1" t="shared" si="56"/>
        <v>86.758691206544</v>
      </c>
      <c r="AA64" s="1">
        <f ca="1" t="shared" si="56"/>
        <v>0.0537</v>
      </c>
      <c r="AB64" s="1">
        <f ca="1" t="shared" si="8"/>
        <v>86.758691206544</v>
      </c>
      <c r="AC64" s="1">
        <f ca="1" t="shared" si="9"/>
        <v>0.0537</v>
      </c>
      <c r="AD64" s="1" t="e">
        <f ca="1" t="shared" si="10"/>
        <v>#VALUE!</v>
      </c>
      <c r="AE64" s="1">
        <f ca="1" t="shared" si="11"/>
        <v>0.0537</v>
      </c>
      <c r="AF64" s="1" t="e">
        <f ca="1" t="shared" si="12"/>
        <v>#VALUE!</v>
      </c>
      <c r="AG64" s="1">
        <f ca="1" t="shared" si="13"/>
        <v>0.0312</v>
      </c>
      <c r="AH64" s="1" t="str">
        <f ca="1">IF($T64="","",IF(ISERROR(INDEX(INDIRECT($H$6),$T64+1,uxb_works!$B$24)),"",INDEX(INDIRECT($H$6),$T64+1,uxb_works!$B$24)))</f>
        <v>28</v>
      </c>
      <c r="AI64" s="1" t="str">
        <f ca="1">IF($T64="","",IF(ISERROR(INDEX(INDIRECT($H$6),$T64+1,uxb_works!$B$25)),"",INDEX(INDIRECT($H$6),$T64+1,uxb_works!$B$25)))</f>
        <v>28</v>
      </c>
      <c r="AJ64" s="1" t="str">
        <f ca="1">IF($T64="","",IF(ISERROR(INDEX(INDIRECT($H$6),$T64+1,uxb_works!$B$26-1)),"",INDEX(INDIRECT($H$6),$T64+1,uxb_works!$B$26-1)))</f>
        <v>=57</v>
      </c>
      <c r="AK64" s="1" t="str">
        <f ca="1">IF($T64="","",IF(ISERROR(INDEX(INDIRECT($H$6),$T64+1,uxb_works!$B$27-1)),"",INDEX(INDIRECT($H$6),$T64+1,uxb_works!$B$27-1)))</f>
        <v>41</v>
      </c>
      <c r="AL64" s="1"/>
      <c r="AM64" s="18"/>
      <c r="AN64" s="1" t="str">
        <f ca="1" t="shared" si="46"/>
        <v/>
      </c>
      <c r="AO64" s="1" t="str">
        <f ca="1" t="shared" si="47"/>
        <v/>
      </c>
      <c r="AP64" s="1" t="str">
        <f ca="1" t="shared" si="48"/>
        <v/>
      </c>
      <c r="AQ64" s="1" t="str">
        <f ca="1" t="shared" si="49"/>
        <v/>
      </c>
      <c r="AR64" s="1">
        <v>3</v>
      </c>
      <c r="AS64" s="1"/>
      <c r="AU64">
        <f ca="1" t="shared" si="50"/>
        <v>59</v>
      </c>
      <c r="AV64">
        <f ca="1" t="shared" si="51"/>
        <v>28</v>
      </c>
      <c r="AX64" s="1">
        <f ca="1">IF($T64="","",IF(ISERROR(INDEX(INDIRECT($G$6),$T64+1,uxb_works!$B$24)),"",INDEX(INDIRECT($G$6),$T64+1,uxb_works!$B$24)))</f>
        <v>28</v>
      </c>
      <c r="AY64" s="1">
        <f ca="1">IF($T64="","",IF(ISERROR(INDEX(INDIRECT($G$6),$T64+1,uxb_works!$B$25)),"",INDEX(INDIRECT($G$6),$T64+1,uxb_works!$B$25)))</f>
        <v>28</v>
      </c>
      <c r="AZ64" s="1">
        <f ca="1">IF($T64="","",IF(ISERROR(INDEX(INDIRECT($G$6),$T64+1,uxb_works!$B$26-1)),"",INDEX(INDIRECT($G$6),$T64+1,uxb_works!$B$26-1)))</f>
        <v>37</v>
      </c>
      <c r="BA64" s="1">
        <f ca="1">IF($T64="","",IF(ISERROR(INDEX(INDIRECT($G$6),$T64+1,uxb_works!$B$27-1)),"",INDEX(INDIRECT($G$6),$T64+1,uxb_works!$B$27-1)))</f>
        <v>59</v>
      </c>
      <c r="BC64">
        <f ca="1" t="shared" si="52"/>
        <v>1</v>
      </c>
      <c r="BD64">
        <f ca="1" t="shared" si="53"/>
        <v>1</v>
      </c>
      <c r="BE64">
        <f ca="1" t="shared" si="54"/>
        <v>0</v>
      </c>
      <c r="BF64">
        <f ca="1" t="shared" si="55"/>
        <v>2</v>
      </c>
    </row>
    <row r="65" customFormat="1" spans="1:58">
      <c r="A65" s="1">
        <f t="shared" si="25"/>
        <v>55</v>
      </c>
      <c r="B65" s="1" t="str">
        <f>tblCategories!D57</f>
        <v>4.2.6) Frequency of terrorist attacks </v>
      </c>
      <c r="C65" s="1">
        <f>tblCategories!F57</f>
        <v>1</v>
      </c>
      <c r="D65" s="1">
        <f t="shared" si="39"/>
        <v>945</v>
      </c>
      <c r="E65" s="1">
        <f ca="1" t="shared" si="40"/>
        <v>99.8572448251249</v>
      </c>
      <c r="F65" s="1">
        <f ca="1" t="shared" si="18"/>
        <v>0.2</v>
      </c>
      <c r="G65" s="1">
        <f ca="1" t="shared" si="19"/>
        <v>99.8572448251249</v>
      </c>
      <c r="H65" s="1">
        <f ca="1" t="shared" si="20"/>
        <v>0.2</v>
      </c>
      <c r="I65" s="1" t="e">
        <f ca="1" t="shared" si="21"/>
        <v>#VALUE!</v>
      </c>
      <c r="J65" s="1">
        <f ca="1" t="shared" si="22"/>
        <v>0.2</v>
      </c>
      <c r="K65" s="1" t="e">
        <f ca="1" t="shared" si="23"/>
        <v>#VALUE!</v>
      </c>
      <c r="L65" s="1">
        <f ca="1" t="shared" si="24"/>
        <v>28.5</v>
      </c>
      <c r="M65" s="1">
        <f>IF(D65=0,"",tblIndiSets!C230)</f>
        <v>3</v>
      </c>
      <c r="N65" s="1"/>
      <c r="O65" s="1"/>
      <c r="P65" s="1"/>
      <c r="Q65" s="1">
        <f ca="1" t="shared" si="0"/>
        <v>3</v>
      </c>
      <c r="R65" s="1">
        <f ca="1" t="shared" si="1"/>
        <v>945</v>
      </c>
      <c r="S65" s="1">
        <f ca="1">IF($C65=0,"",RANK(R65,R$11:R$71,0)+COUNTIF(R$11:R65,R65)-1)</f>
        <v>55</v>
      </c>
      <c r="T65" s="1">
        <f ca="1" t="shared" si="41"/>
        <v>55</v>
      </c>
      <c r="U65" s="269">
        <f ca="1" t="shared" si="42"/>
        <v>17</v>
      </c>
      <c r="V65" s="269">
        <f ca="1" t="shared" si="43"/>
        <v>1</v>
      </c>
      <c r="W65" s="269">
        <f ca="1" t="shared" si="44"/>
        <v>945</v>
      </c>
      <c r="X65" s="268">
        <f ca="1" t="shared" si="45"/>
        <v>17</v>
      </c>
      <c r="Y65" s="1" t="str">
        <f ca="1" t="shared" si="6"/>
        <v>4.2.6) Frequency of terrorist attacks </v>
      </c>
      <c r="Z65" s="1">
        <f ca="1" t="shared" si="56"/>
        <v>99.8572448251249</v>
      </c>
      <c r="AA65" s="1">
        <f ca="1" t="shared" si="56"/>
        <v>0.2</v>
      </c>
      <c r="AB65" s="1">
        <f ca="1" t="shared" si="8"/>
        <v>99.8572448251249</v>
      </c>
      <c r="AC65" s="1">
        <f ca="1" t="shared" si="9"/>
        <v>0.2</v>
      </c>
      <c r="AD65" s="1" t="e">
        <f ca="1" t="shared" si="10"/>
        <v>#VALUE!</v>
      </c>
      <c r="AE65" s="1">
        <f ca="1" t="shared" si="11"/>
        <v>0.2</v>
      </c>
      <c r="AF65" s="1" t="e">
        <f ca="1" t="shared" si="12"/>
        <v>#VALUE!</v>
      </c>
      <c r="AG65" s="1">
        <f ca="1" t="shared" si="13"/>
        <v>28.5</v>
      </c>
      <c r="AH65" s="1" t="str">
        <f ca="1">IF($T65="","",IF(ISERROR(INDEX(INDIRECT($H$6),$T65+1,uxb_works!$B$24)),"",INDEX(INDIRECT($H$6),$T65+1,uxb_works!$B$24)))</f>
        <v>=14</v>
      </c>
      <c r="AI65" s="1" t="str">
        <f ca="1">IF($T65="","",IF(ISERROR(INDEX(INDIRECT($H$6),$T65+1,uxb_works!$B$25)),"",INDEX(INDIRECT($H$6),$T65+1,uxb_works!$B$25)))</f>
        <v>=14</v>
      </c>
      <c r="AJ65" s="1" t="str">
        <f ca="1">IF($T65="","",IF(ISERROR(INDEX(INDIRECT($H$6),$T65+1,uxb_works!$B$26-1)),"",INDEX(INDIRECT($H$6),$T65+1,uxb_works!$B$26-1)))</f>
        <v>=36</v>
      </c>
      <c r="AK65" s="1" t="str">
        <f ca="1">IF($T65="","",IF(ISERROR(INDEX(INDIRECT($H$6),$T65+1,uxb_works!$B$27-1)),"",INDEX(INDIRECT($H$6),$T65+1,uxb_works!$B$27-1)))</f>
        <v>51</v>
      </c>
      <c r="AL65" s="1"/>
      <c r="AM65" s="18"/>
      <c r="AN65" s="1" t="str">
        <f ca="1" t="shared" si="46"/>
        <v/>
      </c>
      <c r="AO65" s="1" t="str">
        <f ca="1" t="shared" si="47"/>
        <v/>
      </c>
      <c r="AP65" s="1" t="str">
        <f ca="1" t="shared" si="48"/>
        <v/>
      </c>
      <c r="AQ65" s="1" t="str">
        <f ca="1" t="shared" si="49"/>
        <v/>
      </c>
      <c r="AR65" s="1">
        <v>3</v>
      </c>
      <c r="AS65" s="1"/>
      <c r="AU65">
        <f ca="1" t="shared" si="50"/>
        <v>28</v>
      </c>
      <c r="AV65">
        <f ca="1" t="shared" si="51"/>
        <v>14</v>
      </c>
      <c r="AX65" s="1">
        <f ca="1">IF($T65="","",IF(ISERROR(INDEX(INDIRECT($G$6),$T65+1,uxb_works!$B$24)),"",INDEX(INDIRECT($G$6),$T65+1,uxb_works!$B$24)))</f>
        <v>14</v>
      </c>
      <c r="AY65" s="1">
        <f ca="1">IF($T65="","",IF(ISERROR(INDEX(INDIRECT($G$6),$T65+1,uxb_works!$B$25)),"",INDEX(INDIRECT($G$6),$T65+1,uxb_works!$B$25)))</f>
        <v>14</v>
      </c>
      <c r="AZ65" s="1">
        <f ca="1">IF($T65="","",IF(ISERROR(INDEX(INDIRECT($G$6),$T65+1,uxb_works!$B$26-1)),"",INDEX(INDIRECT($G$6),$T65+1,uxb_works!$B$26-1)))</f>
        <v>28</v>
      </c>
      <c r="BA65" s="1">
        <f ca="1">IF($T65="","",IF(ISERROR(INDEX(INDIRECT($G$6),$T65+1,uxb_works!$B$27-1)),"",INDEX(INDIRECT($G$6),$T65+1,uxb_works!$B$27-1)))</f>
        <v>25</v>
      </c>
      <c r="BC65">
        <f ca="1" t="shared" si="52"/>
        <v>1</v>
      </c>
      <c r="BD65">
        <f ca="1" t="shared" si="53"/>
        <v>1</v>
      </c>
      <c r="BE65">
        <f ca="1" t="shared" si="54"/>
        <v>2</v>
      </c>
      <c r="BF65">
        <f ca="1" t="shared" si="55"/>
        <v>0</v>
      </c>
    </row>
    <row r="66" customFormat="1" spans="1:58">
      <c r="A66" s="1">
        <f t="shared" si="25"/>
        <v>56</v>
      </c>
      <c r="B66" s="1" t="str">
        <f>tblCategories!D58</f>
        <v>4.2.7) Severity of terrorist attacks</v>
      </c>
      <c r="C66" s="1">
        <f>tblCategories!F58</f>
        <v>1</v>
      </c>
      <c r="D66" s="1">
        <f t="shared" si="39"/>
        <v>944</v>
      </c>
      <c r="E66" s="1">
        <f ca="1" t="shared" si="40"/>
        <v>99.9801350814462</v>
      </c>
      <c r="F66" s="1">
        <f ca="1" t="shared" si="18"/>
        <v>0.1</v>
      </c>
      <c r="G66" s="1">
        <f ca="1" t="shared" si="19"/>
        <v>99.9801350814462</v>
      </c>
      <c r="H66" s="1">
        <f ca="1" t="shared" si="20"/>
        <v>0.1</v>
      </c>
      <c r="I66" s="1" t="e">
        <f ca="1" t="shared" si="21"/>
        <v>#VALUE!</v>
      </c>
      <c r="J66" s="1">
        <f ca="1" t="shared" si="22"/>
        <v>0.1</v>
      </c>
      <c r="K66" s="1" t="e">
        <f ca="1" t="shared" si="23"/>
        <v>#VALUE!</v>
      </c>
      <c r="L66" s="1">
        <f ca="1" t="shared" si="24"/>
        <v>3.6</v>
      </c>
      <c r="M66" s="1">
        <f>IF(D66=0,"",tblIndiSets!C231)</f>
        <v>3</v>
      </c>
      <c r="N66" s="1"/>
      <c r="O66" s="1"/>
      <c r="P66" s="1"/>
      <c r="Q66" s="1">
        <f ca="1" t="shared" si="0"/>
        <v>3</v>
      </c>
      <c r="R66" s="1">
        <f ca="1" t="shared" si="1"/>
        <v>944</v>
      </c>
      <c r="S66" s="1">
        <f ca="1">IF($C66=0,"",RANK(R66,R$11:R$71,0)+COUNTIF(R$11:R66,R66)-1)</f>
        <v>56</v>
      </c>
      <c r="T66" s="1">
        <f ca="1" t="shared" si="41"/>
        <v>56</v>
      </c>
      <c r="U66" s="269">
        <f ca="1" t="shared" si="42"/>
        <v>16</v>
      </c>
      <c r="V66" s="269">
        <f ca="1" t="shared" si="43"/>
        <v>1</v>
      </c>
      <c r="W66" s="269">
        <f ca="1" t="shared" si="44"/>
        <v>944</v>
      </c>
      <c r="X66" s="268">
        <f ca="1" t="shared" si="45"/>
        <v>16</v>
      </c>
      <c r="Y66" s="1" t="str">
        <f ca="1" t="shared" si="6"/>
        <v>4.2.7) Severity of terrorist attacks</v>
      </c>
      <c r="Z66" s="1">
        <f ca="1" t="shared" si="56"/>
        <v>99.9801350814462</v>
      </c>
      <c r="AA66" s="1">
        <f ca="1" t="shared" si="56"/>
        <v>0.1</v>
      </c>
      <c r="AB66" s="1">
        <f ca="1" t="shared" si="8"/>
        <v>99.9801350814462</v>
      </c>
      <c r="AC66" s="1">
        <f ca="1" t="shared" si="9"/>
        <v>0.1</v>
      </c>
      <c r="AD66" s="1" t="e">
        <f ca="1" t="shared" si="10"/>
        <v>#VALUE!</v>
      </c>
      <c r="AE66" s="1">
        <f ca="1" t="shared" si="11"/>
        <v>0.1</v>
      </c>
      <c r="AF66" s="1" t="e">
        <f ca="1" t="shared" si="12"/>
        <v>#VALUE!</v>
      </c>
      <c r="AG66" s="1">
        <f ca="1" t="shared" si="13"/>
        <v>3.6</v>
      </c>
      <c r="AH66" s="1" t="str">
        <f ca="1">IF($T66="","",IF(ISERROR(INDEX(INDIRECT($H$6),$T66+1,uxb_works!$B$24)),"",INDEX(INDIRECT($H$6),$T66+1,uxb_works!$B$24)))</f>
        <v>=15</v>
      </c>
      <c r="AI66" s="1" t="str">
        <f ca="1">IF($T66="","",IF(ISERROR(INDEX(INDIRECT($H$6),$T66+1,uxb_works!$B$25)),"",INDEX(INDIRECT($H$6),$T66+1,uxb_works!$B$25)))</f>
        <v>=15</v>
      </c>
      <c r="AJ66" s="1" t="str">
        <f ca="1">IF($T66="","",IF(ISERROR(INDEX(INDIRECT($H$6),$T66+1,uxb_works!$B$26-1)),"",INDEX(INDIRECT($H$6),$T66+1,uxb_works!$B$26-1)))</f>
        <v>=28</v>
      </c>
      <c r="AK66" s="1" t="str">
        <f ca="1">IF($T66="","",IF(ISERROR(INDEX(INDIRECT($H$6),$T66+1,uxb_works!$B$27-1)),"",INDEX(INDIRECT($H$6),$T66+1,uxb_works!$B$27-1)))</f>
        <v>45</v>
      </c>
      <c r="AL66" s="1"/>
      <c r="AM66" s="18"/>
      <c r="AN66" s="1" t="str">
        <f ca="1" t="shared" si="46"/>
        <v/>
      </c>
      <c r="AO66" s="1" t="str">
        <f ca="1" t="shared" si="47"/>
        <v/>
      </c>
      <c r="AP66" s="1" t="str">
        <f ca="1" t="shared" si="48"/>
        <v/>
      </c>
      <c r="AQ66" s="1" t="str">
        <f ca="1" t="shared" si="49"/>
        <v/>
      </c>
      <c r="AR66" s="1">
        <v>3</v>
      </c>
      <c r="AS66" s="1"/>
      <c r="AU66">
        <f ca="1" t="shared" si="50"/>
        <v>31</v>
      </c>
      <c r="AV66">
        <f ca="1" t="shared" si="51"/>
        <v>15</v>
      </c>
      <c r="AX66" s="1">
        <f ca="1">IF($T66="","",IF(ISERROR(INDEX(INDIRECT($G$6),$T66+1,uxb_works!$B$24)),"",INDEX(INDIRECT($G$6),$T66+1,uxb_works!$B$24)))</f>
        <v>15</v>
      </c>
      <c r="AY66" s="1">
        <f ca="1">IF($T66="","",IF(ISERROR(INDEX(INDIRECT($G$6),$T66+1,uxb_works!$B$25)),"",INDEX(INDIRECT($G$6),$T66+1,uxb_works!$B$25)))</f>
        <v>15</v>
      </c>
      <c r="AZ66" s="1">
        <f ca="1">IF($T66="","",IF(ISERROR(INDEX(INDIRECT($G$6),$T66+1,uxb_works!$B$26-1)),"",INDEX(INDIRECT($G$6),$T66+1,uxb_works!$B$26-1)))</f>
        <v>22</v>
      </c>
      <c r="BA66" s="1">
        <f ca="1">IF($T66="","",IF(ISERROR(INDEX(INDIRECT($G$6),$T66+1,uxb_works!$B$27-1)),"",INDEX(INDIRECT($G$6),$T66+1,uxb_works!$B$27-1)))</f>
        <v>31</v>
      </c>
      <c r="BC66">
        <f ca="1" t="shared" si="52"/>
        <v>1</v>
      </c>
      <c r="BD66">
        <f ca="1" t="shared" si="53"/>
        <v>1</v>
      </c>
      <c r="BE66">
        <f ca="1" t="shared" si="54"/>
        <v>0</v>
      </c>
      <c r="BF66">
        <f ca="1" t="shared" si="55"/>
        <v>2</v>
      </c>
    </row>
    <row r="67" customFormat="1" spans="1:58">
      <c r="A67" s="1">
        <f t="shared" si="25"/>
        <v>57</v>
      </c>
      <c r="B67" s="1" t="str">
        <f>tblCategories!D59</f>
        <v>4.2.8) Gender safety</v>
      </c>
      <c r="C67" s="1">
        <f>tblCategories!F59</f>
        <v>1</v>
      </c>
      <c r="D67" s="1">
        <f t="shared" si="39"/>
        <v>943</v>
      </c>
      <c r="E67" s="1">
        <f ca="1" t="shared" si="40"/>
        <v>96.1159757342053</v>
      </c>
      <c r="F67" s="1">
        <f ca="1" t="shared" si="18"/>
        <v>0.61903734337157</v>
      </c>
      <c r="G67" s="1">
        <f ca="1" t="shared" si="19"/>
        <v>96.1159757342053</v>
      </c>
      <c r="H67" s="1">
        <f ca="1" t="shared" si="20"/>
        <v>0.61903734337157</v>
      </c>
      <c r="I67" s="1" t="e">
        <f ca="1" t="shared" si="21"/>
        <v>#VALUE!</v>
      </c>
      <c r="J67" s="1">
        <f ca="1" t="shared" si="22"/>
        <v>0.61903734337157</v>
      </c>
      <c r="K67" s="1" t="e">
        <f ca="1" t="shared" si="23"/>
        <v>#VALUE!</v>
      </c>
      <c r="L67" s="1">
        <f ca="1" t="shared" si="24"/>
        <v>0.949835387818532</v>
      </c>
      <c r="M67" s="1">
        <f>IF(D67=0,"",tblIndiSets!C232)</f>
        <v>3</v>
      </c>
      <c r="N67" s="1"/>
      <c r="O67" s="1"/>
      <c r="P67" s="1"/>
      <c r="Q67" s="1">
        <f ca="1" t="shared" si="0"/>
        <v>3</v>
      </c>
      <c r="R67" s="1">
        <f ca="1" t="shared" si="1"/>
        <v>943</v>
      </c>
      <c r="S67" s="1">
        <f ca="1">IF($C67=0,"",RANK(R67,R$11:R$71,0)+COUNTIF(R$11:R67,R67)-1)</f>
        <v>57</v>
      </c>
      <c r="T67" s="1">
        <f ca="1" t="shared" si="41"/>
        <v>57</v>
      </c>
      <c r="U67" s="269">
        <f ca="1" t="shared" si="42"/>
        <v>20</v>
      </c>
      <c r="V67" s="269">
        <f ca="1" t="shared" si="43"/>
        <v>1</v>
      </c>
      <c r="W67" s="269">
        <f ca="1" t="shared" si="44"/>
        <v>943</v>
      </c>
      <c r="X67" s="268">
        <f ca="1" t="shared" si="45"/>
        <v>20</v>
      </c>
      <c r="Y67" s="1" t="str">
        <f ca="1" t="shared" si="6"/>
        <v>4.2.8) Gender safety</v>
      </c>
      <c r="Z67" s="1">
        <f ca="1" t="shared" si="56"/>
        <v>96.1159757342053</v>
      </c>
      <c r="AA67" s="1">
        <f ca="1" t="shared" si="56"/>
        <v>0.61903734337157</v>
      </c>
      <c r="AB67" s="1">
        <f ca="1" t="shared" si="8"/>
        <v>96.1159757342053</v>
      </c>
      <c r="AC67" s="1">
        <f ca="1" t="shared" si="9"/>
        <v>0.61903734337157</v>
      </c>
      <c r="AD67" s="1" t="e">
        <f ca="1" t="shared" si="10"/>
        <v>#VALUE!</v>
      </c>
      <c r="AE67" s="1">
        <f ca="1" t="shared" si="11"/>
        <v>0.61903734337157</v>
      </c>
      <c r="AF67" s="1" t="e">
        <f ca="1" t="shared" si="12"/>
        <v>#VALUE!</v>
      </c>
      <c r="AG67" s="1">
        <f ca="1" t="shared" si="13"/>
        <v>0.949835387818532</v>
      </c>
      <c r="AH67" s="1" t="str">
        <f ca="1">IF($T67="","",IF(ISERROR(INDEX(INDIRECT($H$6),$T67+1,uxb_works!$B$24)),"",INDEX(INDIRECT($H$6),$T67+1,uxb_works!$B$24)))</f>
        <v>15</v>
      </c>
      <c r="AI67" s="1" t="str">
        <f ca="1">IF($T67="","",IF(ISERROR(INDEX(INDIRECT($H$6),$T67+1,uxb_works!$B$25)),"",INDEX(INDIRECT($H$6),$T67+1,uxb_works!$B$25)))</f>
        <v>15</v>
      </c>
      <c r="AJ67" s="1" t="str">
        <f ca="1">IF($T67="","",IF(ISERROR(INDEX(INDIRECT($H$6),$T67+1,uxb_works!$B$26-1)),"",INDEX(INDIRECT($H$6),$T67+1,uxb_works!$B$26-1)))</f>
        <v>=5</v>
      </c>
      <c r="AK67" s="1" t="str">
        <f ca="1">IF($T67="","",IF(ISERROR(INDEX(INDIRECT($H$6),$T67+1,uxb_works!$B$27-1)),"",INDEX(INDIRECT($H$6),$T67+1,uxb_works!$B$27-1)))</f>
        <v>54</v>
      </c>
      <c r="AL67" s="1"/>
      <c r="AM67" s="18"/>
      <c r="AN67" s="1" t="str">
        <f ca="1" t="shared" si="46"/>
        <v/>
      </c>
      <c r="AO67" s="1" t="str">
        <f ca="1" t="shared" si="47"/>
        <v/>
      </c>
      <c r="AP67" s="1" t="str">
        <f ca="1" t="shared" si="48"/>
        <v/>
      </c>
      <c r="AQ67" s="1" t="str">
        <f ca="1" t="shared" si="49"/>
        <v/>
      </c>
      <c r="AR67" s="1">
        <v>3</v>
      </c>
      <c r="AS67" s="1"/>
      <c r="AU67">
        <f ca="1" t="shared" si="50"/>
        <v>20</v>
      </c>
      <c r="AV67">
        <f ca="1" t="shared" si="51"/>
        <v>7</v>
      </c>
      <c r="AX67" s="1">
        <f ca="1">IF($T67="","",IF(ISERROR(INDEX(INDIRECT($G$6),$T67+1,uxb_works!$B$24)),"",INDEX(INDIRECT($G$6),$T67+1,uxb_works!$B$24)))</f>
        <v>15</v>
      </c>
      <c r="AY67" s="1">
        <f ca="1">IF($T67="","",IF(ISERROR(INDEX(INDIRECT($G$6),$T67+1,uxb_works!$B$25)),"",INDEX(INDIRECT($G$6),$T67+1,uxb_works!$B$25)))</f>
        <v>15</v>
      </c>
      <c r="AZ67" s="1">
        <f ca="1">IF($T67="","",IF(ISERROR(INDEX(INDIRECT($G$6),$T67+1,uxb_works!$B$26-1)),"",INDEX(INDIRECT($G$6),$T67+1,uxb_works!$B$26-1)))</f>
        <v>7</v>
      </c>
      <c r="BA67" s="1">
        <f ca="1">IF($T67="","",IF(ISERROR(INDEX(INDIRECT($G$6),$T67+1,uxb_works!$B$27-1)),"",INDEX(INDIRECT($G$6),$T67+1,uxb_works!$B$27-1)))</f>
        <v>20</v>
      </c>
      <c r="BC67">
        <f ca="1" t="shared" si="52"/>
        <v>0</v>
      </c>
      <c r="BD67">
        <f ca="1" t="shared" si="53"/>
        <v>0</v>
      </c>
      <c r="BE67">
        <f ca="1" t="shared" si="54"/>
        <v>1</v>
      </c>
      <c r="BF67">
        <f ca="1" t="shared" si="55"/>
        <v>2</v>
      </c>
    </row>
    <row r="68" customFormat="1" spans="1:58">
      <c r="A68" s="1">
        <f t="shared" si="25"/>
        <v>58</v>
      </c>
      <c r="B68" s="1" t="str">
        <f>tblCategories!D60</f>
        <v>4.2.9) Perceptions of safety</v>
      </c>
      <c r="C68" s="1">
        <f>tblCategories!F60</f>
        <v>1</v>
      </c>
      <c r="D68" s="1">
        <f t="shared" si="39"/>
        <v>942</v>
      </c>
      <c r="E68" s="1">
        <f ca="1" t="shared" si="40"/>
        <v>84.49</v>
      </c>
      <c r="F68" s="1">
        <f ca="1" t="shared" si="18"/>
        <v>84.49</v>
      </c>
      <c r="G68" s="1">
        <f ca="1" t="shared" si="19"/>
        <v>84.49</v>
      </c>
      <c r="H68" s="1">
        <f ca="1" t="shared" si="20"/>
        <v>84.49</v>
      </c>
      <c r="I68" s="1" t="e">
        <f ca="1" t="shared" si="21"/>
        <v>#VALUE!</v>
      </c>
      <c r="J68" s="1">
        <f ca="1" t="shared" si="22"/>
        <v>84.49</v>
      </c>
      <c r="K68" s="1" t="e">
        <f ca="1" t="shared" si="23"/>
        <v>#VALUE!</v>
      </c>
      <c r="L68" s="1">
        <f ca="1" t="shared" si="24"/>
        <v>49.28</v>
      </c>
      <c r="M68" s="1">
        <f>IF(D68=0,"",tblIndiSets!C233)</f>
        <v>3</v>
      </c>
      <c r="N68" s="1"/>
      <c r="O68" s="1"/>
      <c r="P68" s="1"/>
      <c r="Q68" s="1">
        <f ca="1" t="shared" si="0"/>
        <v>3</v>
      </c>
      <c r="R68" s="1">
        <f ca="1" t="shared" si="1"/>
        <v>942</v>
      </c>
      <c r="S68" s="1">
        <f ca="1">IF($C68=0,"",RANK(R68,R$11:R$71,0)+COUNTIF(R$11:R68,R68)-1)</f>
        <v>58</v>
      </c>
      <c r="T68" s="1">
        <f ca="1" t="shared" si="41"/>
        <v>58</v>
      </c>
      <c r="U68" s="269">
        <f ca="1" t="shared" si="42"/>
        <v>29</v>
      </c>
      <c r="V68" s="269">
        <f ca="1" t="shared" si="43"/>
        <v>1</v>
      </c>
      <c r="W68" s="269">
        <f ca="1" t="shared" si="44"/>
        <v>942</v>
      </c>
      <c r="X68" s="268">
        <f ca="1" t="shared" si="45"/>
        <v>29</v>
      </c>
      <c r="Y68" s="1" t="str">
        <f ca="1" t="shared" si="6"/>
        <v>4.2.9) Perceptions of safety</v>
      </c>
      <c r="Z68" s="1">
        <f ca="1" t="shared" si="56"/>
        <v>84.49</v>
      </c>
      <c r="AA68" s="1">
        <f ca="1" t="shared" si="56"/>
        <v>84.49</v>
      </c>
      <c r="AB68" s="1">
        <f ca="1" t="shared" si="8"/>
        <v>84.49</v>
      </c>
      <c r="AC68" s="1">
        <f ca="1" t="shared" si="9"/>
        <v>84.49</v>
      </c>
      <c r="AD68" s="1" t="e">
        <f ca="1" t="shared" si="10"/>
        <v>#VALUE!</v>
      </c>
      <c r="AE68" s="1">
        <f ca="1" t="shared" si="11"/>
        <v>84.49</v>
      </c>
      <c r="AF68" s="1" t="e">
        <f ca="1" t="shared" si="12"/>
        <v>#VALUE!</v>
      </c>
      <c r="AG68" s="1">
        <f ca="1" t="shared" si="13"/>
        <v>49.28</v>
      </c>
      <c r="AH68" s="1" t="str">
        <f ca="1">IF($T68="","",IF(ISERROR(INDEX(INDIRECT($H$6),$T68+1,uxb_works!$B$24)),"",INDEX(INDIRECT($H$6),$T68+1,uxb_works!$B$24)))</f>
        <v>1</v>
      </c>
      <c r="AI68" s="1" t="str">
        <f ca="1">IF($T68="","",IF(ISERROR(INDEX(INDIRECT($H$6),$T68+1,uxb_works!$B$25)),"",INDEX(INDIRECT($H$6),$T68+1,uxb_works!$B$25)))</f>
        <v>1</v>
      </c>
      <c r="AJ68" s="1" t="str">
        <f ca="1">IF($T68="","",IF(ISERROR(INDEX(INDIRECT($H$6),$T68+1,uxb_works!$B$26-1)),"",INDEX(INDIRECT($H$6),$T68+1,uxb_works!$B$26-1)))</f>
        <v>27</v>
      </c>
      <c r="AK68" s="1" t="str">
        <f ca="1">IF($T68="","",IF(ISERROR(INDEX(INDIRECT($H$6),$T68+1,uxb_works!$B$27-1)),"",INDEX(INDIRECT($H$6),$T68+1,uxb_works!$B$27-1)))</f>
        <v>24</v>
      </c>
      <c r="AL68" s="1"/>
      <c r="AM68" s="18"/>
      <c r="AN68" s="1" t="str">
        <f ca="1" t="shared" si="46"/>
        <v/>
      </c>
      <c r="AO68" s="1" t="str">
        <f ca="1" t="shared" si="47"/>
        <v/>
      </c>
      <c r="AP68" s="1" t="str">
        <f ca="1" t="shared" si="48"/>
        <v/>
      </c>
      <c r="AQ68" s="1" t="str">
        <f ca="1" t="shared" si="49"/>
        <v/>
      </c>
      <c r="AR68" s="1">
        <v>3</v>
      </c>
      <c r="AS68" s="1"/>
      <c r="AU68">
        <f ca="1" t="shared" si="50"/>
        <v>25</v>
      </c>
      <c r="AV68">
        <f ca="1" t="shared" si="51"/>
        <v>1</v>
      </c>
      <c r="AX68" s="1">
        <f ca="1">IF($T68="","",IF(ISERROR(INDEX(INDIRECT($G$6),$T68+1,uxb_works!$B$24)),"",INDEX(INDIRECT($G$6),$T68+1,uxb_works!$B$24)))</f>
        <v>1</v>
      </c>
      <c r="AY68" s="1">
        <f ca="1">IF($T68="","",IF(ISERROR(INDEX(INDIRECT($G$6),$T68+1,uxb_works!$B$25)),"",INDEX(INDIRECT($G$6),$T68+1,uxb_works!$B$25)))</f>
        <v>1</v>
      </c>
      <c r="AZ68" s="1">
        <f ca="1">IF($T68="","",IF(ISERROR(INDEX(INDIRECT($G$6),$T68+1,uxb_works!$B$26-1)),"",INDEX(INDIRECT($G$6),$T68+1,uxb_works!$B$26-1)))</f>
        <v>25</v>
      </c>
      <c r="BA68" s="1">
        <f ca="1">IF($T68="","",IF(ISERROR(INDEX(INDIRECT($G$6),$T68+1,uxb_works!$B$27-1)),"",INDEX(INDIRECT($G$6),$T68+1,uxb_works!$B$27-1)))</f>
        <v>20</v>
      </c>
      <c r="BC68">
        <f ca="1" t="shared" si="52"/>
        <v>1</v>
      </c>
      <c r="BD68">
        <f ca="1" t="shared" si="53"/>
        <v>1</v>
      </c>
      <c r="BE68">
        <f ca="1" t="shared" si="54"/>
        <v>2</v>
      </c>
      <c r="BF68">
        <f ca="1" t="shared" si="55"/>
        <v>0</v>
      </c>
    </row>
    <row r="69" customFormat="1" spans="1:58">
      <c r="A69" s="1">
        <f t="shared" si="25"/>
        <v>59</v>
      </c>
      <c r="B69" s="1" t="str">
        <f>tblCategories!D61</f>
        <v>4.2.10) Threat of terrorism</v>
      </c>
      <c r="C69" s="1">
        <f>tblCategories!F61</f>
        <v>1</v>
      </c>
      <c r="D69" s="1">
        <f t="shared" si="39"/>
        <v>941</v>
      </c>
      <c r="E69" s="1">
        <f ca="1" t="shared" si="40"/>
        <v>75</v>
      </c>
      <c r="F69" s="1">
        <f ca="1" t="shared" si="18"/>
        <v>3</v>
      </c>
      <c r="G69" s="1">
        <f ca="1" t="shared" si="19"/>
        <v>75</v>
      </c>
      <c r="H69" s="1">
        <f ca="1" t="shared" si="20"/>
        <v>3</v>
      </c>
      <c r="I69" s="1" t="e">
        <f ca="1" t="shared" si="21"/>
        <v>#VALUE!</v>
      </c>
      <c r="J69" s="1">
        <f ca="1" t="shared" si="22"/>
        <v>3</v>
      </c>
      <c r="K69" s="1" t="e">
        <f ca="1" t="shared" si="23"/>
        <v>#VALUE!</v>
      </c>
      <c r="L69" s="1">
        <f ca="1" t="shared" si="24"/>
        <v>3</v>
      </c>
      <c r="M69" s="1">
        <f>IF(D69=0,"",tblIndiSets!C234)</f>
        <v>3</v>
      </c>
      <c r="N69" s="1"/>
      <c r="O69" s="1"/>
      <c r="P69" s="1"/>
      <c r="Q69" s="1">
        <f ca="1" t="shared" si="0"/>
        <v>3</v>
      </c>
      <c r="R69" s="1">
        <f ca="1" t="shared" si="1"/>
        <v>941</v>
      </c>
      <c r="S69" s="1">
        <f ca="1">IF($C69=0,"",RANK(R69,R$11:R$71,0)+COUNTIF(R$11:R69,R69)-1)</f>
        <v>59</v>
      </c>
      <c r="T69" s="1">
        <f ca="1" t="shared" si="41"/>
        <v>59</v>
      </c>
      <c r="U69" s="269">
        <f ca="1" t="shared" si="42"/>
        <v>33</v>
      </c>
      <c r="V69" s="269">
        <f ca="1" t="shared" si="43"/>
        <v>7</v>
      </c>
      <c r="W69" s="269">
        <f ca="1" t="shared" si="44"/>
        <v>941</v>
      </c>
      <c r="X69" s="268" t="str">
        <f ca="1" t="shared" si="45"/>
        <v>=33</v>
      </c>
      <c r="Y69" s="1" t="str">
        <f ca="1" t="shared" si="6"/>
        <v>4.2.10) Threat of terrorism</v>
      </c>
      <c r="Z69" s="1">
        <f ca="1" t="shared" si="56"/>
        <v>75</v>
      </c>
      <c r="AA69" s="1">
        <f ca="1" t="shared" si="56"/>
        <v>3</v>
      </c>
      <c r="AB69" s="1">
        <f ca="1" t="shared" si="8"/>
        <v>75</v>
      </c>
      <c r="AC69" s="1">
        <f ca="1" t="shared" si="9"/>
        <v>3</v>
      </c>
      <c r="AD69" s="1" t="e">
        <f ca="1" t="shared" si="10"/>
        <v>#VALUE!</v>
      </c>
      <c r="AE69" s="1">
        <f ca="1" t="shared" si="11"/>
        <v>3</v>
      </c>
      <c r="AF69" s="1" t="e">
        <f ca="1" t="shared" si="12"/>
        <v>#VALUE!</v>
      </c>
      <c r="AG69" s="1">
        <f ca="1" t="shared" si="13"/>
        <v>3</v>
      </c>
      <c r="AH69" s="1" t="str">
        <f ca="1">IF($T69="","",IF(ISERROR(INDEX(INDIRECT($H$6),$T69+1,uxb_works!$B$24)),"",INDEX(INDIRECT($H$6),$T69+1,uxb_works!$B$24)))</f>
        <v>=11</v>
      </c>
      <c r="AI69" s="1" t="str">
        <f ca="1">IF($T69="","",IF(ISERROR(INDEX(INDIRECT($H$6),$T69+1,uxb_works!$B$25)),"",INDEX(INDIRECT($H$6),$T69+1,uxb_works!$B$25)))</f>
        <v>=11</v>
      </c>
      <c r="AJ69" s="1" t="str">
        <f ca="1">IF($T69="","",IF(ISERROR(INDEX(INDIRECT($H$6),$T69+1,uxb_works!$B$26-1)),"",INDEX(INDIRECT($H$6),$T69+1,uxb_works!$B$26-1)))</f>
        <v>=1</v>
      </c>
      <c r="AK69" s="1" t="str">
        <f ca="1">IF($T69="","",IF(ISERROR(INDEX(INDIRECT($H$6),$T69+1,uxb_works!$B$27-1)),"",INDEX(INDIRECT($H$6),$T69+1,uxb_works!$B$27-1)))</f>
        <v>=41</v>
      </c>
      <c r="AL69" s="1"/>
      <c r="AM69" s="18"/>
      <c r="AN69" s="1" t="str">
        <f ca="1" t="shared" si="46"/>
        <v/>
      </c>
      <c r="AO69" s="1" t="str">
        <f ca="1" t="shared" si="47"/>
        <v/>
      </c>
      <c r="AP69" s="1" t="str">
        <f ca="1" t="shared" si="48"/>
        <v/>
      </c>
      <c r="AQ69" s="1" t="str">
        <f ca="1" t="shared" si="49"/>
        <v/>
      </c>
      <c r="AR69" s="1">
        <v>3</v>
      </c>
      <c r="AS69" s="1"/>
      <c r="AU69">
        <f ca="1" t="shared" si="50"/>
        <v>11</v>
      </c>
      <c r="AV69">
        <f ca="1" t="shared" si="51"/>
        <v>1</v>
      </c>
      <c r="AX69" s="1">
        <f ca="1">IF($T69="","",IF(ISERROR(INDEX(INDIRECT($G$6),$T69+1,uxb_works!$B$24)),"",INDEX(INDIRECT($G$6),$T69+1,uxb_works!$B$24)))</f>
        <v>11</v>
      </c>
      <c r="AY69" s="1">
        <f ca="1">IF($T69="","",IF(ISERROR(INDEX(INDIRECT($G$6),$T69+1,uxb_works!$B$25)),"",INDEX(INDIRECT($G$6),$T69+1,uxb_works!$B$25)))</f>
        <v>11</v>
      </c>
      <c r="AZ69" s="1">
        <f ca="1">IF($T69="","",IF(ISERROR(INDEX(INDIRECT($G$6),$T69+1,uxb_works!$B$26-1)),"",INDEX(INDIRECT($G$6),$T69+1,uxb_works!$B$26-1)))</f>
        <v>1</v>
      </c>
      <c r="BA69" s="1">
        <f ca="1">IF($T69="","",IF(ISERROR(INDEX(INDIRECT($G$6),$T69+1,uxb_works!$B$27-1)),"",INDEX(INDIRECT($G$6),$T69+1,uxb_works!$B$27-1)))</f>
        <v>11</v>
      </c>
      <c r="BC69">
        <f ca="1" t="shared" si="52"/>
        <v>2</v>
      </c>
      <c r="BD69">
        <f ca="1" t="shared" si="53"/>
        <v>2</v>
      </c>
      <c r="BE69">
        <f ca="1" t="shared" si="54"/>
        <v>1</v>
      </c>
      <c r="BF69">
        <f ca="1" t="shared" si="55"/>
        <v>2</v>
      </c>
    </row>
    <row r="70" customFormat="1" spans="1:58">
      <c r="A70" s="1">
        <f t="shared" si="25"/>
        <v>60</v>
      </c>
      <c r="B70" s="1" t="str">
        <f>tblCategories!D62</f>
        <v>4.2.11) Threat of military conflict</v>
      </c>
      <c r="C70" s="1">
        <f>tblCategories!F62</f>
        <v>1</v>
      </c>
      <c r="D70" s="1">
        <f t="shared" si="39"/>
        <v>940</v>
      </c>
      <c r="E70" s="1">
        <f ca="1" t="shared" si="40"/>
        <v>100</v>
      </c>
      <c r="F70" s="1">
        <f ca="1" t="shared" si="18"/>
        <v>4</v>
      </c>
      <c r="G70" s="1">
        <f ca="1" t="shared" si="19"/>
        <v>100</v>
      </c>
      <c r="H70" s="1">
        <f ca="1" t="shared" si="20"/>
        <v>4</v>
      </c>
      <c r="I70" s="1" t="e">
        <f ca="1" t="shared" si="21"/>
        <v>#VALUE!</v>
      </c>
      <c r="J70" s="1">
        <f ca="1" t="shared" si="22"/>
        <v>4</v>
      </c>
      <c r="K70" s="1" t="e">
        <f ca="1" t="shared" si="23"/>
        <v>#VALUE!</v>
      </c>
      <c r="L70" s="1">
        <f ca="1" t="shared" si="24"/>
        <v>3</v>
      </c>
      <c r="M70" s="1">
        <f>IF(D70=0,"",tblIndiSets!C235)</f>
        <v>3</v>
      </c>
      <c r="N70" s="1"/>
      <c r="O70" s="1"/>
      <c r="P70" s="1"/>
      <c r="Q70" s="1">
        <f ca="1" t="shared" si="0"/>
        <v>3</v>
      </c>
      <c r="R70" s="1">
        <f ca="1" t="shared" si="1"/>
        <v>940</v>
      </c>
      <c r="S70" s="1">
        <f ca="1">IF($C70=0,"",RANK(R70,R$11:R$71,0)+COUNTIF(R$11:R70,R70)-1)</f>
        <v>60</v>
      </c>
      <c r="T70" s="1">
        <f ca="1" t="shared" si="41"/>
        <v>60</v>
      </c>
      <c r="U70" s="269">
        <f ca="1" t="shared" si="42"/>
        <v>1</v>
      </c>
      <c r="V70" s="269">
        <f ca="1" t="shared" si="43"/>
        <v>15</v>
      </c>
      <c r="W70" s="269">
        <f ca="1" t="shared" si="44"/>
        <v>940</v>
      </c>
      <c r="X70" s="268" t="str">
        <f ca="1" t="shared" si="45"/>
        <v>=1</v>
      </c>
      <c r="Y70" s="1" t="str">
        <f ca="1" t="shared" si="6"/>
        <v>4.2.11) Threat of military conflict</v>
      </c>
      <c r="Z70" s="1">
        <f ca="1" t="shared" si="56"/>
        <v>100</v>
      </c>
      <c r="AA70" s="1">
        <f ca="1" t="shared" si="56"/>
        <v>4</v>
      </c>
      <c r="AB70" s="1">
        <f ca="1" t="shared" si="8"/>
        <v>100</v>
      </c>
      <c r="AC70" s="1">
        <f ca="1" t="shared" si="9"/>
        <v>4</v>
      </c>
      <c r="AD70" s="1" t="e">
        <f ca="1" t="shared" si="10"/>
        <v>#VALUE!</v>
      </c>
      <c r="AE70" s="1">
        <f ca="1" t="shared" si="11"/>
        <v>4</v>
      </c>
      <c r="AF70" s="1" t="e">
        <f ca="1" t="shared" si="12"/>
        <v>#VALUE!</v>
      </c>
      <c r="AG70" s="1">
        <f ca="1" t="shared" si="13"/>
        <v>3</v>
      </c>
      <c r="AH70" s="1" t="str">
        <f ca="1">IF($T70="","",IF(ISERROR(INDEX(INDIRECT($H$6),$T70+1,uxb_works!$B$24)),"",INDEX(INDIRECT($H$6),$T70+1,uxb_works!$B$24)))</f>
        <v>=1</v>
      </c>
      <c r="AI70" s="1" t="str">
        <f ca="1">IF($T70="","",IF(ISERROR(INDEX(INDIRECT($H$6),$T70+1,uxb_works!$B$25)),"",INDEX(INDIRECT($H$6),$T70+1,uxb_works!$B$25)))</f>
        <v>=1</v>
      </c>
      <c r="AJ70" s="1" t="str">
        <f ca="1">IF($T70="","",IF(ISERROR(INDEX(INDIRECT($H$6),$T70+1,uxb_works!$B$26-1)),"",INDEX(INDIRECT($H$6),$T70+1,uxb_works!$B$26-1)))</f>
        <v>=1</v>
      </c>
      <c r="AK70" s="1" t="str">
        <f ca="1">IF($T70="","",IF(ISERROR(INDEX(INDIRECT($H$6),$T70+1,uxb_works!$B$27-1)),"",INDEX(INDIRECT($H$6),$T70+1,uxb_works!$B$27-1)))</f>
        <v>=55</v>
      </c>
      <c r="AL70" s="1"/>
      <c r="AM70" s="18"/>
      <c r="AN70" s="1" t="str">
        <f ca="1" t="shared" si="46"/>
        <v/>
      </c>
      <c r="AO70" s="1" t="str">
        <f ca="1" t="shared" si="47"/>
        <v/>
      </c>
      <c r="AP70" s="1" t="str">
        <f ca="1" t="shared" si="48"/>
        <v/>
      </c>
      <c r="AQ70" s="1" t="str">
        <f ca="1" t="shared" si="49"/>
        <v/>
      </c>
      <c r="AR70" s="1">
        <v>3</v>
      </c>
      <c r="AS70" s="1"/>
      <c r="AU70">
        <f ca="1" t="shared" si="50"/>
        <v>1</v>
      </c>
      <c r="AV70">
        <f ca="1" t="shared" si="51"/>
        <v>1</v>
      </c>
      <c r="AX70" s="1">
        <f ca="1">IF($T70="","",IF(ISERROR(INDEX(INDIRECT($G$6),$T70+1,uxb_works!$B$24)),"",INDEX(INDIRECT($G$6),$T70+1,uxb_works!$B$24)))</f>
        <v>1</v>
      </c>
      <c r="AY70" s="1">
        <f ca="1">IF($T70="","",IF(ISERROR(INDEX(INDIRECT($G$6),$T70+1,uxb_works!$B$25)),"",INDEX(INDIRECT($G$6),$T70+1,uxb_works!$B$25)))</f>
        <v>1</v>
      </c>
      <c r="AZ70" s="1">
        <f ca="1">IF($T70="","",IF(ISERROR(INDEX(INDIRECT($G$6),$T70+1,uxb_works!$B$26-1)),"",INDEX(INDIRECT($G$6),$T70+1,uxb_works!$B$26-1)))</f>
        <v>1</v>
      </c>
      <c r="BA70" s="1">
        <f ca="1">IF($T70="","",IF(ISERROR(INDEX(INDIRECT($G$6),$T70+1,uxb_works!$B$27-1)),"",INDEX(INDIRECT($G$6),$T70+1,uxb_works!$B$27-1)))</f>
        <v>1</v>
      </c>
      <c r="BC70">
        <f ca="1" t="shared" si="52"/>
        <v>0</v>
      </c>
      <c r="BD70">
        <f ca="1" t="shared" si="53"/>
        <v>0</v>
      </c>
      <c r="BE70">
        <f ca="1" t="shared" si="54"/>
        <v>0</v>
      </c>
      <c r="BF70">
        <f ca="1" t="shared" si="55"/>
        <v>0</v>
      </c>
    </row>
    <row r="71" customFormat="1" spans="1:58">
      <c r="A71" s="1">
        <f t="shared" si="25"/>
        <v>61</v>
      </c>
      <c r="B71" s="1" t="str">
        <f>tblCategories!D63</f>
        <v>4.2.12) Threat of civil unrest</v>
      </c>
      <c r="C71" s="1">
        <f>tblCategories!F63</f>
        <v>1</v>
      </c>
      <c r="D71" s="1">
        <f t="shared" si="39"/>
        <v>939</v>
      </c>
      <c r="E71" s="1">
        <f ca="1" t="shared" si="40"/>
        <v>75</v>
      </c>
      <c r="F71" s="1">
        <f ca="1" t="shared" si="18"/>
        <v>3</v>
      </c>
      <c r="G71" s="1">
        <f ca="1" t="shared" si="19"/>
        <v>75</v>
      </c>
      <c r="H71" s="1">
        <f ca="1" t="shared" si="20"/>
        <v>3</v>
      </c>
      <c r="I71" s="1" t="e">
        <f ca="1" t="shared" si="21"/>
        <v>#VALUE!</v>
      </c>
      <c r="J71" s="1">
        <f ca="1" t="shared" si="22"/>
        <v>3</v>
      </c>
      <c r="K71" s="1" t="e">
        <f ca="1" t="shared" si="23"/>
        <v>#VALUE!</v>
      </c>
      <c r="L71" s="1">
        <f ca="1" t="shared" si="24"/>
        <v>2</v>
      </c>
      <c r="M71" s="1">
        <f>IF(D71=0,"",tblIndiSets!C236)</f>
        <v>3</v>
      </c>
      <c r="N71" s="1"/>
      <c r="O71" s="1"/>
      <c r="P71" s="1"/>
      <c r="Q71" s="1">
        <f ca="1" t="shared" si="0"/>
        <v>3</v>
      </c>
      <c r="R71" s="1">
        <f ca="1" t="shared" si="1"/>
        <v>939</v>
      </c>
      <c r="S71" s="1">
        <f ca="1">IF($C71=0,"",RANK(R71,R$11:R$71,0)+COUNTIF(R$11:R71,R71)-1)</f>
        <v>61</v>
      </c>
      <c r="T71" s="1">
        <f ca="1" t="shared" si="41"/>
        <v>61</v>
      </c>
      <c r="U71" s="269">
        <f ca="1" t="shared" si="42"/>
        <v>33</v>
      </c>
      <c r="V71" s="269">
        <f ca="1" t="shared" si="43"/>
        <v>7</v>
      </c>
      <c r="W71" s="269">
        <f ca="1" t="shared" si="44"/>
        <v>939</v>
      </c>
      <c r="X71" s="268" t="str">
        <f ca="1" t="shared" si="45"/>
        <v>=33</v>
      </c>
      <c r="Y71" s="1" t="str">
        <f ca="1" t="shared" si="6"/>
        <v>4.2.12) Threat of civil unrest</v>
      </c>
      <c r="Z71" s="1">
        <f ca="1" t="shared" si="56"/>
        <v>75</v>
      </c>
      <c r="AA71" s="1">
        <f ca="1" t="shared" si="56"/>
        <v>3</v>
      </c>
      <c r="AB71" s="1">
        <f ca="1" t="shared" si="8"/>
        <v>75</v>
      </c>
      <c r="AC71" s="1">
        <f ca="1" t="shared" si="9"/>
        <v>3</v>
      </c>
      <c r="AD71" s="1" t="e">
        <f ca="1" t="shared" si="10"/>
        <v>#VALUE!</v>
      </c>
      <c r="AE71" s="1">
        <f ca="1" t="shared" si="11"/>
        <v>3</v>
      </c>
      <c r="AF71" s="1" t="e">
        <f ca="1" t="shared" si="12"/>
        <v>#VALUE!</v>
      </c>
      <c r="AG71" s="1">
        <f ca="1" t="shared" si="13"/>
        <v>2</v>
      </c>
      <c r="AH71" s="1" t="str">
        <f ca="1">IF($T71="","",IF(ISERROR(INDEX(INDIRECT($H$6),$T71+1,uxb_works!$B$24)),"",INDEX(INDIRECT($H$6),$T71+1,uxb_works!$B$24)))</f>
        <v>=12</v>
      </c>
      <c r="AI71" s="1" t="str">
        <f ca="1">IF($T71="","",IF(ISERROR(INDEX(INDIRECT($H$6),$T71+1,uxb_works!$B$25)),"",INDEX(INDIRECT($H$6),$T71+1,uxb_works!$B$25)))</f>
        <v>=12</v>
      </c>
      <c r="AJ71" s="1" t="str">
        <f ca="1">IF($T71="","",IF(ISERROR(INDEX(INDIRECT($H$6),$T71+1,uxb_works!$B$26-1)),"",INDEX(INDIRECT($H$6),$T71+1,uxb_works!$B$26-1)))</f>
        <v>=12</v>
      </c>
      <c r="AK71" s="1" t="str">
        <f ca="1">IF($T71="","",IF(ISERROR(INDEX(INDIRECT($H$6),$T71+1,uxb_works!$B$27-1)),"",INDEX(INDIRECT($H$6),$T71+1,uxb_works!$B$27-1)))</f>
        <v>=36</v>
      </c>
      <c r="AL71" s="1"/>
      <c r="AM71" s="18"/>
      <c r="AN71" s="1" t="str">
        <f ca="1" t="shared" si="46"/>
        <v/>
      </c>
      <c r="AO71" s="1" t="str">
        <f ca="1" t="shared" si="47"/>
        <v/>
      </c>
      <c r="AP71" s="1" t="str">
        <f ca="1" t="shared" si="48"/>
        <v/>
      </c>
      <c r="AQ71" s="1" t="str">
        <f ca="1" t="shared" si="49"/>
        <v/>
      </c>
      <c r="AR71" s="1">
        <v>3</v>
      </c>
      <c r="AS71" s="1"/>
      <c r="AU71">
        <f ca="1" t="shared" si="50"/>
        <v>12</v>
      </c>
      <c r="AV71">
        <f ca="1" t="shared" si="51"/>
        <v>1</v>
      </c>
      <c r="AX71" s="1">
        <f ca="1">IF($T71="","",IF(ISERROR(INDEX(INDIRECT($G$6),$T71+1,uxb_works!$B$24)),"",INDEX(INDIRECT($G$6),$T71+1,uxb_works!$B$24)))</f>
        <v>12</v>
      </c>
      <c r="AY71" s="1">
        <f ca="1">IF($T71="","",IF(ISERROR(INDEX(INDIRECT($G$6),$T71+1,uxb_works!$B$25)),"",INDEX(INDIRECT($G$6),$T71+1,uxb_works!$B$25)))</f>
        <v>12</v>
      </c>
      <c r="AZ71" s="1">
        <f ca="1">IF($T71="","",IF(ISERROR(INDEX(INDIRECT($G$6),$T71+1,uxb_works!$B$26-1)),"",INDEX(INDIRECT($G$6),$T71+1,uxb_works!$B$26-1)))</f>
        <v>1</v>
      </c>
      <c r="BA71" s="1">
        <f ca="1">IF($T71="","",IF(ISERROR(INDEX(INDIRECT($G$6),$T71+1,uxb_works!$B$27-1)),"",INDEX(INDIRECT($G$6),$T71+1,uxb_works!$B$27-1)))</f>
        <v>1</v>
      </c>
      <c r="BC71">
        <f ca="1" t="shared" si="52"/>
        <v>2</v>
      </c>
      <c r="BD71">
        <f ca="1" t="shared" si="53"/>
        <v>2</v>
      </c>
      <c r="BE71">
        <f ca="1" t="shared" si="54"/>
        <v>1</v>
      </c>
      <c r="BF71">
        <f ca="1" t="shared" si="55"/>
        <v>1</v>
      </c>
    </row>
  </sheetData>
  <pageMargins left="0.551181102362205" right="0.551181102362205" top="0.590551181102362" bottom="0.78740157480315" header="0.511811023622047" footer="0.511811023622047"/>
  <pageSetup paperSize="9" scale="20" orientation="landscape"/>
  <headerFooter alignWithMargins="0">
    <oddHeader>&amp;RSafe Cities Index : 2017</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C000"/>
    <pageSetUpPr fitToPage="1"/>
  </sheetPr>
  <dimension ref="A1:EJ97"/>
  <sheetViews>
    <sheetView showRowColHeaders="0" zoomScale="90" zoomScaleNormal="90" topLeftCell="AK49" workbookViewId="0">
      <selection activeCell="BF74" sqref="BF74"/>
    </sheetView>
  </sheetViews>
  <sheetFormatPr defaultColWidth="9.14285714285714" defaultRowHeight="15"/>
  <cols>
    <col min="1" max="13" width="9.14285714285714" style="1"/>
    <col min="14" max="16" width="9.14285714285714" style="1" hidden="1" customWidth="1"/>
    <col min="17" max="18" width="6.42857142857143" style="1" customWidth="1"/>
    <col min="19" max="19" width="4" style="1" customWidth="1"/>
    <col min="20" max="20" width="6.42857142857143" style="1" customWidth="1"/>
    <col min="21" max="22" width="4" style="1" customWidth="1"/>
    <col min="23" max="23" width="8.28571428571429" style="1" customWidth="1"/>
    <col min="24" max="24" width="27.7142857142857" style="1" customWidth="1"/>
    <col min="25" max="25" width="10.4285714285714" style="1" customWidth="1"/>
    <col min="26" max="26" width="5.42857142857143" style="1" customWidth="1"/>
    <col min="27" max="27" width="7.85714285714286" style="1" customWidth="1"/>
    <col min="28" max="30" width="5.42857142857143" style="1" customWidth="1"/>
    <col min="31" max="31" width="7.71428571428571" style="1" customWidth="1"/>
    <col min="32" max="32" width="5.42857142857143" style="1" customWidth="1"/>
    <col min="33" max="33" width="7.28571428571429" style="1" customWidth="1"/>
    <col min="34" max="35" width="5.14285714285714" style="1" customWidth="1"/>
    <col min="36" max="36" width="11.1428571428571" style="1" customWidth="1"/>
    <col min="37" max="39" width="4" style="1" customWidth="1"/>
    <col min="40" max="40" width="9.14285714285714" style="1"/>
    <col min="41" max="56" width="12.5714285714286" customWidth="1"/>
    <col min="57" max="57" width="10.4285714285714" customWidth="1"/>
    <col min="58" max="59" width="11" hidden="1" customWidth="1"/>
    <col min="60" max="60" width="22.2857142857143" customWidth="1"/>
    <col min="61" max="89" width="12.5714285714286" customWidth="1"/>
    <col min="90" max="16384" width="9.14285714285714" style="1"/>
  </cols>
  <sheetData>
    <row r="1" spans="1:5">
      <c r="A1" s="1" t="s">
        <v>402</v>
      </c>
      <c r="D1" s="1" t="s">
        <v>24</v>
      </c>
      <c r="E1" s="1" t="s">
        <v>14</v>
      </c>
    </row>
    <row r="2" spans="1:8">
      <c r="A2" s="1" t="str">
        <f>uxb_works!A24</f>
        <v>CITY1_ID</v>
      </c>
      <c r="B2" s="1">
        <f>uxb_works!B24</f>
        <v>1</v>
      </c>
      <c r="C2" s="1" t="str">
        <f ca="1">CONCATENATE("Description: ",uxb_works!C24)</f>
        <v>Description: Abu Dhabi</v>
      </c>
      <c r="D2" s="1">
        <f ca="1">E9</f>
        <v>76.9075622869516</v>
      </c>
      <c r="E2" s="1">
        <f ca="1">INDEX(INDIRECT($G$7),1,B2)</f>
        <v>28</v>
      </c>
      <c r="F2" s="1" t="str">
        <f ca="1">IF(E2&lt;E3,"*","")</f>
        <v/>
      </c>
      <c r="H2" s="1" t="str">
        <f ca="1">uxb_works!C24</f>
        <v>Abu Dhabi</v>
      </c>
    </row>
    <row r="3" spans="1:8">
      <c r="A3" s="1" t="str">
        <f>uxb_works!A25</f>
        <v>CITY2_ID</v>
      </c>
      <c r="B3" s="1">
        <f>uxb_works!B25</f>
        <v>1</v>
      </c>
      <c r="C3" s="1" t="str">
        <f ca="1">CONCATENATE("Description: ",uxb_works!C25)</f>
        <v>Description: Abu Dhabi</v>
      </c>
      <c r="D3" s="1">
        <f ca="1">G9</f>
        <v>76.9075622869516</v>
      </c>
      <c r="E3" s="1">
        <f ca="1">INDEX(INDIRECT($G$7),1,B3)</f>
        <v>28</v>
      </c>
      <c r="F3" s="1" t="str">
        <f ca="1">IF(E3&lt;E2,"*","")</f>
        <v/>
      </c>
      <c r="H3" s="1" t="str">
        <f ca="1">uxb_works!C25</f>
        <v>Abu Dhabi</v>
      </c>
    </row>
    <row r="4" spans="1:8">
      <c r="A4" s="1" t="str">
        <f>uxb_works!A26</f>
        <v>CITY3_ID</v>
      </c>
      <c r="B4" s="1">
        <f>uxb_works!B26-1</f>
        <v>0</v>
      </c>
      <c r="C4" s="1" t="str">
        <f ca="1">CONCATENATE("Description: ",uxb_works!C26)</f>
        <v>Description: &lt;none&gt;</v>
      </c>
      <c r="D4" s="1" t="e">
        <f ca="1">I9</f>
        <v>#VALUE!</v>
      </c>
      <c r="E4" s="1">
        <f ca="1">INDEX(INDIRECT($G$7),1,B4)</f>
        <v>49</v>
      </c>
      <c r="F4" s="1" t="str">
        <f ca="1">IF(E4&lt;E3,"*","")</f>
        <v/>
      </c>
      <c r="H4" s="1" t="str">
        <f ca="1">uxb_works!C26</f>
        <v>&lt;none&gt;</v>
      </c>
    </row>
    <row r="5" spans="1:8">
      <c r="A5" s="1" t="str">
        <f>uxb_works!A27</f>
        <v>CITY2_ID</v>
      </c>
      <c r="B5" s="1">
        <f>uxb_works!B27-1</f>
        <v>0</v>
      </c>
      <c r="C5" s="1" t="str">
        <f ca="1">CONCATENATE("Description: ",uxb_works!C27)</f>
        <v>Description: &lt;none&gt;</v>
      </c>
      <c r="D5" s="1" t="e">
        <f ca="1">K9</f>
        <v>#VALUE!</v>
      </c>
      <c r="E5" s="1">
        <f ca="1">INDEX(INDIRECT($G$7),1,B5)</f>
        <v>49</v>
      </c>
      <c r="F5" s="1" t="str">
        <f ca="1">IF(E5&lt;E4,"*","")</f>
        <v/>
      </c>
      <c r="H5" s="1" t="str">
        <f ca="1">uxb_works!C27</f>
        <v>&lt;none&gt;</v>
      </c>
    </row>
    <row r="6" spans="1:3">
      <c r="A6" s="1" t="str">
        <f>uxb_works!A9</f>
        <v>GROUP_HIGHLIGHT_DD</v>
      </c>
      <c r="B6" s="1">
        <f>uxb_works!B9</f>
        <v>1</v>
      </c>
      <c r="C6" s="1" t="str">
        <f>uxb_works!C9</f>
        <v>All Regions/Groups</v>
      </c>
    </row>
    <row r="7" spans="1:8">
      <c r="A7" s="1" t="str">
        <f>uxb_works!A46</f>
        <v>YEAR_SELECT</v>
      </c>
      <c r="B7" s="1">
        <f>uxb_works!B46</f>
        <v>3</v>
      </c>
      <c r="C7" s="1">
        <f>uxb_works!C46</f>
        <v>2017</v>
      </c>
      <c r="D7" s="1" t="str">
        <f>uxb_works!D46</f>
        <v>aData_2017</v>
      </c>
      <c r="E7" s="1" t="str">
        <f>uxb_works!E46</f>
        <v>aScores_2017</v>
      </c>
      <c r="F7" s="1" t="str">
        <f>uxb_works!F46</f>
        <v>lu_Cities_2017</v>
      </c>
      <c r="G7" s="1" t="str">
        <f>uxb_works!G46</f>
        <v>aRankNumber_2017</v>
      </c>
      <c r="H7" s="1" t="str">
        <f>uxb_works!H46</f>
        <v>aRank_2017</v>
      </c>
    </row>
    <row r="8" spans="5:24">
      <c r="E8" s="1" t="s">
        <v>24</v>
      </c>
      <c r="F8" s="1" t="s">
        <v>403</v>
      </c>
      <c r="G8" s="1" t="s">
        <v>24</v>
      </c>
      <c r="H8" s="1" t="s">
        <v>14</v>
      </c>
      <c r="I8" s="1" t="s">
        <v>24</v>
      </c>
      <c r="J8" s="1" t="s">
        <v>14</v>
      </c>
      <c r="K8" s="1" t="s">
        <v>24</v>
      </c>
      <c r="L8" s="1" t="s">
        <v>14</v>
      </c>
      <c r="X8" s="1" t="s">
        <v>404</v>
      </c>
    </row>
    <row r="9" spans="5:27">
      <c r="E9" s="1">
        <f ca="1">INDEX(INDIRECT(E7),1,$B$2)</f>
        <v>76.9075622869516</v>
      </c>
      <c r="F9" s="1" t="str">
        <f ca="1">INDEX(INDIRECT($H$7),1,$B$2)</f>
        <v>28</v>
      </c>
      <c r="G9" s="1">
        <f ca="1">INDEX(INDIRECT(E7),1,$B$3)</f>
        <v>76.9075622869516</v>
      </c>
      <c r="H9" s="1" t="str">
        <f ca="1">INDEX(INDIRECT($H$7),1,$B$3)</f>
        <v>28</v>
      </c>
      <c r="I9" s="1" t="e">
        <f ca="1">INDEX(INDIRECT(E7),1,$B$5)</f>
        <v>#VALUE!</v>
      </c>
      <c r="J9" s="1" t="str">
        <f ca="1">INDEX(INDIRECT($H$7),1,$B$4)</f>
        <v>29</v>
      </c>
      <c r="K9" s="1" t="e">
        <f ca="1">INDEX(INDIRECT(E7),1,$B$5)</f>
        <v>#VALUE!</v>
      </c>
      <c r="L9" s="1" t="str">
        <f ca="1">INDEX(INDIRECT($H$7),1,$B$5)</f>
        <v>54</v>
      </c>
      <c r="Q9" s="281">
        <v>1</v>
      </c>
      <c r="AA9" s="281"/>
    </row>
    <row r="10" spans="5:33">
      <c r="E10" s="1" t="s">
        <v>418</v>
      </c>
      <c r="G10" s="1" t="s">
        <v>419</v>
      </c>
      <c r="I10" s="1" t="s">
        <v>419</v>
      </c>
      <c r="K10" s="1" t="s">
        <v>419</v>
      </c>
      <c r="Q10" s="1">
        <f>INDEX(tblIndiSets!$B$5:$B$10,Q9)</f>
        <v>1</v>
      </c>
      <c r="X10" s="1">
        <v>1</v>
      </c>
      <c r="Y10" s="1">
        <v>1</v>
      </c>
      <c r="Z10" s="1">
        <v>2</v>
      </c>
      <c r="AA10" s="1">
        <v>3</v>
      </c>
      <c r="AB10" s="1">
        <v>4</v>
      </c>
      <c r="AC10" s="1">
        <v>5</v>
      </c>
      <c r="AD10" s="1">
        <v>6</v>
      </c>
      <c r="AE10" s="1">
        <v>7</v>
      </c>
      <c r="AF10" s="1">
        <v>8</v>
      </c>
      <c r="AG10" s="1">
        <v>9</v>
      </c>
    </row>
    <row r="11" spans="3:41">
      <c r="C11" s="1" t="s">
        <v>322</v>
      </c>
      <c r="E11" s="1" t="s">
        <v>24</v>
      </c>
      <c r="F11" s="1" t="s">
        <v>25</v>
      </c>
      <c r="G11" s="1" t="s">
        <v>24</v>
      </c>
      <c r="H11" s="1" t="s">
        <v>25</v>
      </c>
      <c r="I11" s="1" t="s">
        <v>24</v>
      </c>
      <c r="J11" s="1" t="s">
        <v>25</v>
      </c>
      <c r="K11" s="1" t="s">
        <v>24</v>
      </c>
      <c r="L11" s="1" t="s">
        <v>25</v>
      </c>
      <c r="M11" s="1" t="s">
        <v>7</v>
      </c>
      <c r="Q11" s="1" t="s">
        <v>24</v>
      </c>
      <c r="R11" s="1" t="s">
        <v>14</v>
      </c>
      <c r="S11" s="1" t="s">
        <v>327</v>
      </c>
      <c r="T11" s="1" t="s">
        <v>14</v>
      </c>
      <c r="X11" s="1" t="s">
        <v>159</v>
      </c>
      <c r="Y11" s="1" t="s">
        <v>24</v>
      </c>
      <c r="Z11" s="1" t="s">
        <v>25</v>
      </c>
      <c r="AA11" s="1" t="s">
        <v>24</v>
      </c>
      <c r="AB11" s="1" t="s">
        <v>25</v>
      </c>
      <c r="AC11" s="1" t="s">
        <v>24</v>
      </c>
      <c r="AD11" s="1" t="s">
        <v>25</v>
      </c>
      <c r="AE11" s="1" t="s">
        <v>24</v>
      </c>
      <c r="AF11" s="1" t="s">
        <v>25</v>
      </c>
      <c r="AG11" s="1" t="s">
        <v>7</v>
      </c>
      <c r="AH11" s="1" t="s">
        <v>415</v>
      </c>
      <c r="AL11" s="268"/>
      <c r="AM11" s="268"/>
      <c r="AO11" s="1"/>
    </row>
    <row r="12" customFormat="1" spans="1:40">
      <c r="A12" s="1">
        <v>1</v>
      </c>
      <c r="B12" s="1" t="str">
        <f>tblCategories!D3</f>
        <v>1) DIGITAL SECURITY</v>
      </c>
      <c r="C12" s="1">
        <f>IF(tblCategories!AC3="",0,tblCategories!AC3)</f>
        <v>1</v>
      </c>
      <c r="D12" s="1">
        <v>1</v>
      </c>
      <c r="E12" s="1">
        <f ca="1">IF($C12=0,"",INDEX(INDIRECT($E$7),$A12+1,$B$2))</f>
        <v>68.7742107919604</v>
      </c>
      <c r="F12" s="1"/>
      <c r="G12" s="1">
        <f ca="1">IF($C12=0,"",INDEX(INDIRECT($E$7),$A12+1,$B$3))</f>
        <v>68.7742107919604</v>
      </c>
      <c r="H12" s="1"/>
      <c r="I12" s="1" t="e">
        <f ca="1">IF($C12=0,"",INDEX(INDIRECT($E$7),$A12+1,$B$4))</f>
        <v>#VALUE!</v>
      </c>
      <c r="J12" s="1"/>
      <c r="K12" s="1" t="e">
        <f ca="1">IF($C12=0,"",INDEX(INDIRECT($E$7),$A12+1,$B$5))</f>
        <v>#VALUE!</v>
      </c>
      <c r="L12" s="1"/>
      <c r="M12" s="1">
        <f>CHOOSE($B$7,SUMIF(rScores_2014_O!$B$280:$AY$280,1,rScores_2014_O!$B3:$AY3)/rScores_2014_O!$BA$280,SUMIF(rScores_2014_N!$B$280:$AU$280,1,rScores_2014_N!$B3:$AU3)/rScores_2014_N!$AW$280,SUMIF(rScores_2017!$B$280:$BJ$280,1,rScores_2017!$B3:$BJ3)/rScores_2017!$BL$280)</f>
        <v>66.1523333333333</v>
      </c>
      <c r="N12" s="1"/>
      <c r="O12" s="1"/>
      <c r="P12" s="1"/>
      <c r="Q12" s="1">
        <f ca="1" t="shared" ref="Q12:Q43" si="0">IF($C12=0,"",(INDEX($D$12:$H$73,$A12,Q$10)))</f>
        <v>1</v>
      </c>
      <c r="R12" s="1">
        <f ca="1">IF($C12=0,"",RANK(Q12,Q$12:Q$73,1)+COUNTIF(Q$12:Q12,Q12)-1)</f>
        <v>1</v>
      </c>
      <c r="S12" s="1">
        <f ca="1" t="shared" ref="S12:S43" si="1">IF(ISERROR(MATCH($A12,R$12:R$73,0)),"",MATCH($A12,R$12:R$73,0))</f>
        <v>1</v>
      </c>
      <c r="T12" s="269">
        <f ca="1" t="shared" ref="T12:T43" si="2">IF(S12="","",RANK(Y12,Y$12:Y$73,0))</f>
        <v>3</v>
      </c>
      <c r="U12" s="269">
        <f ca="1" t="shared" ref="U12:U43" si="3">IF(S12="","",COUNTIF(Y$12:Y$73,Y12))</f>
        <v>1</v>
      </c>
      <c r="V12" s="269">
        <f ca="1" t="shared" ref="V12:V43" si="4">IF(S12="",0,INDEX($D$12:$D$73,S12))</f>
        <v>1</v>
      </c>
      <c r="W12" s="268">
        <f ca="1">IF(S12="","",IF(U12&gt;1,CONCATENATE("=",T12),T12))</f>
        <v>3</v>
      </c>
      <c r="X12" s="1" t="str">
        <f ca="1" t="shared" ref="X12:X43" si="5">IF($S12="","",INDEX($B$12:$H$73,$S12,X$10))</f>
        <v>1) DIGITAL SECURITY</v>
      </c>
      <c r="Y12" s="1">
        <f ca="1" t="shared" ref="Y12:Z31" si="6">IF($S12="","",INDEX($E$12:$O$73,$S12,Y$10))</f>
        <v>68.7742107919604</v>
      </c>
      <c r="Z12" s="1">
        <f ca="1" t="shared" si="6"/>
        <v>0</v>
      </c>
      <c r="AA12" s="1">
        <f ca="1" t="shared" ref="AA12:AA43" si="7">IF($S12="","",INDEX($E$12:$L$73,$S12,AA$10))</f>
        <v>68.7742107919604</v>
      </c>
      <c r="AB12" s="1">
        <f ca="1" t="shared" ref="AB12:AB43" si="8">IF($S12="","",INDEX($E$12:$O$73,$S12,AB$10))</f>
        <v>0</v>
      </c>
      <c r="AC12" s="1" t="e">
        <f ca="1" t="shared" ref="AC12:AC43" si="9">IF($S12="","",INDEX($E$12:$L$73,$S12,AC$10))</f>
        <v>#VALUE!</v>
      </c>
      <c r="AD12" s="1">
        <f ca="1" t="shared" ref="AD12:AD43" si="10">IF($S12="","",INDEX($E$12:$O$73,$S12,AD$10))</f>
        <v>0</v>
      </c>
      <c r="AE12" s="1" t="e">
        <f ca="1" t="shared" ref="AE12:AE43" si="11">IF($S12="","",INDEX($E$12:$L$73,$S12,AE$10))</f>
        <v>#VALUE!</v>
      </c>
      <c r="AF12" s="1">
        <f ca="1" t="shared" ref="AF12:AG31" si="12">IF($S12="","",INDEX($E$12:$O$73,$S12,AF$10))</f>
        <v>0</v>
      </c>
      <c r="AG12" s="1">
        <f ca="1" t="shared" si="12"/>
        <v>66.1523333333333</v>
      </c>
      <c r="AH12" s="1" t="str">
        <f ca="1">IF(T12="","",IF(ISERROR(INDEX(aRank_2014_N,$S12+1,uxb_works!$B$25)),"",INDEX(aRank_2014_N,$S12+1,uxb_works!$B$25)))</f>
        <v>4</v>
      </c>
      <c r="AI12" s="1"/>
      <c r="AJ12" s="18"/>
      <c r="AK12" s="1"/>
      <c r="AL12" s="277"/>
      <c r="AM12" s="1"/>
      <c r="AN12" s="1"/>
    </row>
    <row r="13" customFormat="1" spans="1:40">
      <c r="A13" s="1">
        <f>A12+1</f>
        <v>2</v>
      </c>
      <c r="B13" s="1" t="str">
        <f>tblCategories!D4</f>
        <v>1.1) Digital security (Inputs)</v>
      </c>
      <c r="C13" s="1">
        <f>IF(tblCategories!AC4="",0,tblCategories!AC4)</f>
        <v>0</v>
      </c>
      <c r="D13" s="1">
        <v>1</v>
      </c>
      <c r="E13" s="1" t="str">
        <f ca="1" t="shared" ref="E13:E72" si="13">IF($C13=0,"",INDEX(INDIRECT($E$7),$A13+1,$B$2))</f>
        <v/>
      </c>
      <c r="F13" s="1"/>
      <c r="G13" s="1" t="str">
        <f ca="1" t="shared" ref="G13:G72" si="14">IF($C13=0,"",INDEX(INDIRECT($E$7),$A13+1,$B$3))</f>
        <v/>
      </c>
      <c r="H13" s="1"/>
      <c r="I13" s="1" t="str">
        <f ca="1" t="shared" ref="I13:I72" si="15">IF($C13=0,"",INDEX(INDIRECT($E$7),$A13+1,$B$4))</f>
        <v/>
      </c>
      <c r="J13" s="1"/>
      <c r="K13" s="1" t="str">
        <f ca="1" t="shared" ref="K13:K72" si="16">IF($C13=0,"",INDEX(INDIRECT($E$7),$A13+1,$B$5))</f>
        <v/>
      </c>
      <c r="L13" s="1"/>
      <c r="M13" s="1">
        <f>CHOOSE($B$7,SUMIF(rScores_2014_O!$B$280:$AY$280,1,rScores_2014_O!$B4:$AY4)/rScores_2014_O!$BA$280,SUMIF(rScores_2014_N!$B$280:$AU$280,1,rScores_2014_N!$B4:$AU4)/rScores_2014_N!$AW$280,SUMIF(rScores_2017!$B$280:$BJ$280,1,rScores_2017!$B4:$BJ4)/rScores_2017!$BL$280)</f>
        <v>64.1105</v>
      </c>
      <c r="N13" s="1"/>
      <c r="O13" s="1"/>
      <c r="P13" s="1"/>
      <c r="Q13" s="1" t="str">
        <f ca="1" t="shared" si="0"/>
        <v/>
      </c>
      <c r="R13" s="1" t="str">
        <f ca="1">IF($C13=0,"",RANK(Q13,Q$12:Q$73,1)+COUNTIF(Q$12:Q13,Q13)-1)</f>
        <v/>
      </c>
      <c r="S13" s="1">
        <f ca="1" t="shared" si="1"/>
        <v>12</v>
      </c>
      <c r="T13" s="269">
        <f ca="1" t="shared" si="2"/>
        <v>4</v>
      </c>
      <c r="U13" s="269">
        <f ca="1" t="shared" si="3"/>
        <v>1</v>
      </c>
      <c r="V13" s="269">
        <f ca="1" t="shared" si="4"/>
        <v>1</v>
      </c>
      <c r="W13" s="268">
        <f ca="1">IF(S13="","",IF(U13&gt;1,CONCATENATE("=",T13),T13))</f>
        <v>4</v>
      </c>
      <c r="X13" s="1" t="str">
        <f ca="1" t="shared" si="5"/>
        <v>2) HEALTH SECURITY</v>
      </c>
      <c r="Y13" s="1">
        <f ca="1" t="shared" si="6"/>
        <v>68.5404322865189</v>
      </c>
      <c r="Z13" s="1">
        <f ca="1" t="shared" si="6"/>
        <v>0</v>
      </c>
      <c r="AA13" s="1">
        <f ca="1" t="shared" si="7"/>
        <v>68.5404322865189</v>
      </c>
      <c r="AB13" s="1">
        <f ca="1" t="shared" si="8"/>
        <v>0</v>
      </c>
      <c r="AC13" s="1" t="e">
        <f ca="1" t="shared" si="9"/>
        <v>#VALUE!</v>
      </c>
      <c r="AD13" s="1">
        <f ca="1" t="shared" si="10"/>
        <v>0</v>
      </c>
      <c r="AE13" s="1" t="e">
        <f ca="1" t="shared" si="11"/>
        <v>#VALUE!</v>
      </c>
      <c r="AF13" s="1">
        <f ca="1" t="shared" si="12"/>
        <v>0</v>
      </c>
      <c r="AG13" s="1">
        <f ca="1" t="shared" si="12"/>
        <v>69.1868333333333</v>
      </c>
      <c r="AH13" s="1" t="str">
        <f ca="1">IF(T13="","",IF(ISERROR(INDEX(aRank_2014_N,$S13+1,uxb_works!$B$25)),"",INDEX(aRank_2014_N,$S13+1,uxb_works!$B$25)))</f>
        <v>42</v>
      </c>
      <c r="AI13" s="1"/>
      <c r="AJ13" s="18"/>
      <c r="AK13" s="1"/>
      <c r="AL13" s="277"/>
      <c r="AM13" s="268"/>
      <c r="AN13" s="1"/>
    </row>
    <row r="14" customFormat="1" spans="1:40">
      <c r="A14" s="1">
        <f t="shared" ref="A14:A72" si="17">A13+1</f>
        <v>3</v>
      </c>
      <c r="B14" s="1" t="str">
        <f>tblCategories!D5</f>
        <v>1.1.1) Privacy policy</v>
      </c>
      <c r="C14" s="1">
        <f>IF(tblCategories!AC5="",0,tblCategories!AC5)</f>
        <v>0</v>
      </c>
      <c r="D14" s="1">
        <v>1</v>
      </c>
      <c r="E14" s="1" t="str">
        <f ca="1" t="shared" si="13"/>
        <v/>
      </c>
      <c r="F14" s="1"/>
      <c r="G14" s="1" t="str">
        <f ca="1" t="shared" si="14"/>
        <v/>
      </c>
      <c r="H14" s="1"/>
      <c r="I14" s="1" t="str">
        <f ca="1" t="shared" si="15"/>
        <v/>
      </c>
      <c r="J14" s="1"/>
      <c r="K14" s="1" t="str">
        <f ca="1" t="shared" si="16"/>
        <v/>
      </c>
      <c r="L14" s="1"/>
      <c r="M14" s="1">
        <f>CHOOSE($B$7,SUMIF(rScores_2014_O!$B$280:$AY$280,1,rScores_2014_O!$B5:$AY5)/rScores_2014_O!$BA$280,SUMIF(rScores_2014_N!$B$280:$AU$280,1,rScores_2014_N!$B5:$AU5)/rScores_2014_N!$AW$280,SUMIF(rScores_2017!$B$280:$BJ$280,1,rScores_2017!$B5:$BJ5)/rScores_2017!$BL$280)</f>
        <v>63.75</v>
      </c>
      <c r="N14" s="1"/>
      <c r="O14" s="1"/>
      <c r="P14" s="1"/>
      <c r="Q14" s="1" t="str">
        <f ca="1" t="shared" si="0"/>
        <v/>
      </c>
      <c r="R14" s="1" t="str">
        <f ca="1">IF($C14=0,"",RANK(Q14,Q$12:Q$73,1)+COUNTIF(Q$12:Q14,Q14)-1)</f>
        <v/>
      </c>
      <c r="S14" s="1">
        <f ca="1" t="shared" si="1"/>
        <v>27</v>
      </c>
      <c r="T14" s="269">
        <f ca="1" t="shared" si="2"/>
        <v>1</v>
      </c>
      <c r="U14" s="269">
        <f ca="1" t="shared" si="3"/>
        <v>1</v>
      </c>
      <c r="V14" s="269">
        <f ca="1" t="shared" si="4"/>
        <v>1</v>
      </c>
      <c r="W14" s="268">
        <f ca="1" t="shared" ref="W14" si="18">IF(S14="","",IF(U14&gt;1,CONCATENATE("=",T14),T14))</f>
        <v>1</v>
      </c>
      <c r="X14" s="1" t="str">
        <f ca="1" t="shared" si="5"/>
        <v>3) INFRASTRUCTURE SECURITY</v>
      </c>
      <c r="Y14" s="1">
        <f ca="1" t="shared" si="6"/>
        <v>91.3641602398045</v>
      </c>
      <c r="Z14" s="1">
        <f ca="1" t="shared" si="6"/>
        <v>0</v>
      </c>
      <c r="AA14" s="1">
        <f ca="1" t="shared" si="7"/>
        <v>91.3641602398045</v>
      </c>
      <c r="AB14" s="1">
        <f ca="1" t="shared" si="8"/>
        <v>0</v>
      </c>
      <c r="AC14" s="1" t="e">
        <f ca="1" t="shared" si="9"/>
        <v>#VALUE!</v>
      </c>
      <c r="AD14" s="1">
        <f ca="1" t="shared" si="10"/>
        <v>0</v>
      </c>
      <c r="AE14" s="1" t="e">
        <f ca="1" t="shared" si="11"/>
        <v>#VALUE!</v>
      </c>
      <c r="AF14" s="1">
        <f ca="1" t="shared" si="12"/>
        <v>0</v>
      </c>
      <c r="AG14" s="1">
        <f ca="1" t="shared" si="12"/>
        <v>78.2028333333333</v>
      </c>
      <c r="AH14" s="1" t="str">
        <f ca="1">IF(T14="","",IF(ISERROR(INDEX(aRank_2014_N,$S14+1,uxb_works!$B$25)),"",INDEX(aRank_2014_N,$S14+1,uxb_works!$B$25)))</f>
        <v>11</v>
      </c>
      <c r="AI14" s="1"/>
      <c r="AJ14" s="18"/>
      <c r="AK14" s="1"/>
      <c r="AL14" s="277"/>
      <c r="AM14" s="268"/>
      <c r="AN14" s="1"/>
    </row>
    <row r="15" customFormat="1" spans="1:40">
      <c r="A15" s="1">
        <f t="shared" si="17"/>
        <v>4</v>
      </c>
      <c r="B15" s="1" t="str">
        <f>tblCategories!D6</f>
        <v>1.1.2) Citizen awareness of digital threats</v>
      </c>
      <c r="C15" s="1">
        <f>IF(tblCategories!AC6="",0,tblCategories!AC6)</f>
        <v>0</v>
      </c>
      <c r="D15" s="1">
        <v>1</v>
      </c>
      <c r="E15" s="1" t="str">
        <f ca="1" t="shared" si="13"/>
        <v/>
      </c>
      <c r="F15" s="1"/>
      <c r="G15" s="1" t="str">
        <f ca="1" t="shared" si="14"/>
        <v/>
      </c>
      <c r="H15" s="1"/>
      <c r="I15" s="1" t="str">
        <f ca="1" t="shared" si="15"/>
        <v/>
      </c>
      <c r="J15" s="1"/>
      <c r="K15" s="1" t="str">
        <f ca="1" t="shared" si="16"/>
        <v/>
      </c>
      <c r="L15" s="1"/>
      <c r="M15" s="1">
        <f>CHOOSE($B$7,SUMIF(rScores_2014_O!$B$280:$AY$280,1,rScores_2014_O!$B6:$AY6)/rScores_2014_O!$BA$280,SUMIF(rScores_2014_N!$B$280:$AU$280,1,rScores_2014_N!$B6:$AU6)/rScores_2014_N!$AW$280,SUMIF(rScores_2017!$B$280:$BJ$280,1,rScores_2017!$B6:$BJ6)/rScores_2017!$BL$280)</f>
        <v>72.2228333333333</v>
      </c>
      <c r="N15" s="1"/>
      <c r="O15" s="1"/>
      <c r="P15" s="1"/>
      <c r="Q15" s="1" t="str">
        <f ca="1" t="shared" si="0"/>
        <v/>
      </c>
      <c r="R15" s="1" t="str">
        <f ca="1">IF($C15=0,"",RANK(Q15,Q$12:Q$73,1)+COUNTIF(Q$12:Q15,Q15)-1)</f>
        <v/>
      </c>
      <c r="S15" s="1">
        <f ca="1" t="shared" si="1"/>
        <v>40</v>
      </c>
      <c r="T15" s="269">
        <f ca="1" t="shared" si="2"/>
        <v>2</v>
      </c>
      <c r="U15" s="269">
        <f ca="1" t="shared" si="3"/>
        <v>1</v>
      </c>
      <c r="V15" s="269">
        <f ca="1" t="shared" si="4"/>
        <v>1</v>
      </c>
      <c r="W15" s="268">
        <f ca="1" t="shared" ref="W15:W71" si="19">IF(S15="","",IF(U15&gt;1,CONCATENATE("=",T15),T15))</f>
        <v>2</v>
      </c>
      <c r="X15" s="1" t="str">
        <f ca="1" t="shared" si="5"/>
        <v>4) PERSONAL SECURITY</v>
      </c>
      <c r="Y15" s="1">
        <f ca="1" t="shared" si="6"/>
        <v>78.9514458295227</v>
      </c>
      <c r="Z15" s="1">
        <f ca="1" t="shared" si="6"/>
        <v>0</v>
      </c>
      <c r="AA15" s="1">
        <f ca="1" t="shared" si="7"/>
        <v>78.9514458295227</v>
      </c>
      <c r="AB15" s="1">
        <f ca="1" t="shared" si="8"/>
        <v>0</v>
      </c>
      <c r="AC15" s="1" t="e">
        <f ca="1" t="shared" si="9"/>
        <v>#VALUE!</v>
      </c>
      <c r="AD15" s="1">
        <f ca="1" t="shared" si="10"/>
        <v>0</v>
      </c>
      <c r="AE15" s="1" t="e">
        <f ca="1" t="shared" si="11"/>
        <v>#VALUE!</v>
      </c>
      <c r="AF15" s="1">
        <f ca="1" t="shared" si="12"/>
        <v>0</v>
      </c>
      <c r="AG15" s="1">
        <f ca="1" t="shared" si="12"/>
        <v>74.4281666666667</v>
      </c>
      <c r="AH15" s="1" t="str">
        <f ca="1">IF(T15="","",IF(ISERROR(INDEX(aRank_2014_N,$S15+1,uxb_works!$B$25)),"",INDEX(aRank_2014_N,$S15+1,uxb_works!$B$25)))</f>
        <v>27</v>
      </c>
      <c r="AI15" s="1"/>
      <c r="AJ15" s="18"/>
      <c r="AK15" s="1"/>
      <c r="AL15" s="277"/>
      <c r="AM15" s="268"/>
      <c r="AN15" s="1"/>
    </row>
    <row r="16" customFormat="1" spans="1:40">
      <c r="A16" s="1">
        <f t="shared" si="17"/>
        <v>5</v>
      </c>
      <c r="B16" s="1" t="str">
        <f>tblCategories!D7</f>
        <v>1.1.3) Public-private partnerships</v>
      </c>
      <c r="C16" s="1">
        <f>IF(tblCategories!AC7="",0,tblCategories!AC7)</f>
        <v>0</v>
      </c>
      <c r="D16" s="1">
        <v>1</v>
      </c>
      <c r="E16" s="1" t="str">
        <f ca="1" t="shared" si="13"/>
        <v/>
      </c>
      <c r="F16" s="1"/>
      <c r="G16" s="1" t="str">
        <f ca="1" t="shared" si="14"/>
        <v/>
      </c>
      <c r="H16" s="1"/>
      <c r="I16" s="1" t="str">
        <f ca="1" t="shared" si="15"/>
        <v/>
      </c>
      <c r="J16" s="1"/>
      <c r="K16" s="1" t="str">
        <f ca="1" t="shared" si="16"/>
        <v/>
      </c>
      <c r="L16" s="1"/>
      <c r="M16" s="1">
        <f>CHOOSE($B$7,SUMIF(rScores_2014_O!$B$280:$AY$280,1,rScores_2014_O!$B7:$AY7)/rScores_2014_O!$BA$280,SUMIF(rScores_2014_N!$B$280:$AU$280,1,rScores_2014_N!$B7:$AU7)/rScores_2014_N!$AW$280,SUMIF(rScores_2017!$B$280:$BJ$280,1,rScores_2017!$B7:$BJ7)/rScores_2017!$BL$280)</f>
        <v>43.3333333333333</v>
      </c>
      <c r="N16" s="1"/>
      <c r="O16" s="1"/>
      <c r="P16" s="1"/>
      <c r="Q16" s="1" t="str">
        <f ca="1" t="shared" si="0"/>
        <v/>
      </c>
      <c r="R16" s="1" t="str">
        <f ca="1">IF($C16=0,"",RANK(Q16,Q$12:Q$73,1)+COUNTIF(Q$12:Q16,Q16)-1)</f>
        <v/>
      </c>
      <c r="S16" s="1" t="str">
        <f ca="1" t="shared" si="1"/>
        <v/>
      </c>
      <c r="T16" s="269" t="str">
        <f ca="1" t="shared" si="2"/>
        <v/>
      </c>
      <c r="U16" s="269" t="str">
        <f ca="1" t="shared" si="3"/>
        <v/>
      </c>
      <c r="V16" s="269">
        <f ca="1" t="shared" si="4"/>
        <v>0</v>
      </c>
      <c r="W16" s="268" t="str">
        <f ca="1" t="shared" si="19"/>
        <v/>
      </c>
      <c r="X16" s="1" t="str">
        <f ca="1" t="shared" si="5"/>
        <v/>
      </c>
      <c r="Y16" s="1" t="str">
        <f ca="1" t="shared" si="6"/>
        <v/>
      </c>
      <c r="Z16" s="1" t="str">
        <f ca="1" t="shared" si="6"/>
        <v/>
      </c>
      <c r="AA16" s="1" t="str">
        <f ca="1" t="shared" si="7"/>
        <v/>
      </c>
      <c r="AB16" s="1" t="str">
        <f ca="1" t="shared" si="8"/>
        <v/>
      </c>
      <c r="AC16" s="1" t="str">
        <f ca="1" t="shared" si="9"/>
        <v/>
      </c>
      <c r="AD16" s="1" t="str">
        <f ca="1" t="shared" si="10"/>
        <v/>
      </c>
      <c r="AE16" s="1" t="str">
        <f ca="1" t="shared" si="11"/>
        <v/>
      </c>
      <c r="AF16" s="1" t="str">
        <f ca="1" t="shared" si="12"/>
        <v/>
      </c>
      <c r="AG16" s="1" t="str">
        <f ca="1" t="shared" si="12"/>
        <v/>
      </c>
      <c r="AH16" s="1" t="str">
        <f ca="1">IF(T16="","",IF(ISERROR(INDEX(aRank_2014_N,$S16+1,uxb_works!$B$25)),"",INDEX(aRank_2014_N,$S16+1,uxb_works!$B$25)))</f>
        <v/>
      </c>
      <c r="AI16" s="1"/>
      <c r="AJ16" s="18"/>
      <c r="AK16" s="1"/>
      <c r="AL16" s="277"/>
      <c r="AM16" s="268"/>
      <c r="AN16" s="1"/>
    </row>
    <row r="17" customFormat="1" spans="1:40">
      <c r="A17" s="1">
        <f t="shared" si="17"/>
        <v>6</v>
      </c>
      <c r="B17" s="1" t="str">
        <f>tblCategories!D8</f>
        <v>1.1.4) Level of technology employed</v>
      </c>
      <c r="C17" s="1">
        <f>IF(tblCategories!AC8="",0,tblCategories!AC8)</f>
        <v>0</v>
      </c>
      <c r="D17" s="1">
        <v>1</v>
      </c>
      <c r="E17" s="1" t="str">
        <f ca="1" t="shared" si="13"/>
        <v/>
      </c>
      <c r="F17" s="1"/>
      <c r="G17" s="1" t="str">
        <f ca="1" t="shared" si="14"/>
        <v/>
      </c>
      <c r="H17" s="1"/>
      <c r="I17" s="1" t="str">
        <f ca="1" t="shared" si="15"/>
        <v/>
      </c>
      <c r="J17" s="1"/>
      <c r="K17" s="1" t="str">
        <f ca="1" t="shared" si="16"/>
        <v/>
      </c>
      <c r="L17" s="1"/>
      <c r="M17" s="1">
        <f>CHOOSE($B$7,SUMIF(rScores_2014_O!$B$280:$AY$280,1,rScores_2014_O!$B8:$AY8)/rScores_2014_O!$BA$280,SUMIF(rScores_2014_N!$B$280:$AU$280,1,rScores_2014_N!$B8:$AU8)/rScores_2014_N!$AW$280,SUMIF(rScores_2017!$B$280:$BJ$280,1,rScores_2017!$B8:$BJ8)/rScores_2017!$BL$280)</f>
        <v>75.4166666666667</v>
      </c>
      <c r="N17" s="1"/>
      <c r="O17" s="1"/>
      <c r="P17" s="1"/>
      <c r="Q17" s="1" t="str">
        <f ca="1" t="shared" si="0"/>
        <v/>
      </c>
      <c r="R17" s="1" t="str">
        <f ca="1">IF($C17=0,"",RANK(Q17,Q$12:Q$73,1)+COUNTIF(Q$12:Q17,Q17)-1)</f>
        <v/>
      </c>
      <c r="S17" s="1" t="str">
        <f ca="1" t="shared" si="1"/>
        <v/>
      </c>
      <c r="T17" s="269" t="str">
        <f ca="1" t="shared" si="2"/>
        <v/>
      </c>
      <c r="U17" s="269" t="str">
        <f ca="1" t="shared" si="3"/>
        <v/>
      </c>
      <c r="V17" s="269">
        <f ca="1" t="shared" si="4"/>
        <v>0</v>
      </c>
      <c r="W17" s="268" t="str">
        <f ca="1" t="shared" si="19"/>
        <v/>
      </c>
      <c r="X17" s="1" t="str">
        <f ca="1" t="shared" si="5"/>
        <v/>
      </c>
      <c r="Y17" s="1" t="str">
        <f ca="1" t="shared" si="6"/>
        <v/>
      </c>
      <c r="Z17" s="1" t="str">
        <f ca="1" t="shared" si="6"/>
        <v/>
      </c>
      <c r="AA17" s="1" t="str">
        <f ca="1" t="shared" si="7"/>
        <v/>
      </c>
      <c r="AB17" s="1" t="str">
        <f ca="1" t="shared" si="8"/>
        <v/>
      </c>
      <c r="AC17" s="1" t="str">
        <f ca="1" t="shared" si="9"/>
        <v/>
      </c>
      <c r="AD17" s="1" t="str">
        <f ca="1" t="shared" si="10"/>
        <v/>
      </c>
      <c r="AE17" s="1" t="str">
        <f ca="1" t="shared" si="11"/>
        <v/>
      </c>
      <c r="AF17" s="1" t="str">
        <f ca="1" t="shared" si="12"/>
        <v/>
      </c>
      <c r="AG17" s="1" t="str">
        <f ca="1" t="shared" si="12"/>
        <v/>
      </c>
      <c r="AH17" s="1" t="str">
        <f ca="1">IF(T17="","",IF(ISERROR(INDEX(aRank_2014_N,$S17+1,uxb_works!$B$25)),"",INDEX(aRank_2014_N,$S17+1,uxb_works!$B$25)))</f>
        <v/>
      </c>
      <c r="AI17" s="1"/>
      <c r="AJ17" s="18"/>
      <c r="AK17" s="1"/>
      <c r="AL17" s="277"/>
      <c r="AM17" s="268"/>
      <c r="AN17" s="1"/>
    </row>
    <row r="18" customFormat="1" spans="1:40">
      <c r="A18" s="1">
        <f t="shared" si="17"/>
        <v>7</v>
      </c>
      <c r="B18" s="1" t="str">
        <f>tblCategories!D9</f>
        <v>1.1.5) Dedicated cyber security teams</v>
      </c>
      <c r="C18" s="1">
        <f>IF(tblCategories!AC9="",0,tblCategories!AC9)</f>
        <v>0</v>
      </c>
      <c r="D18" s="1">
        <v>1</v>
      </c>
      <c r="E18" s="1" t="str">
        <f ca="1" t="shared" si="13"/>
        <v/>
      </c>
      <c r="F18" s="1"/>
      <c r="G18" s="1" t="str">
        <f ca="1" t="shared" si="14"/>
        <v/>
      </c>
      <c r="H18" s="1"/>
      <c r="I18" s="1" t="str">
        <f ca="1" t="shared" si="15"/>
        <v/>
      </c>
      <c r="J18" s="1"/>
      <c r="K18" s="1" t="str">
        <f ca="1" t="shared" si="16"/>
        <v/>
      </c>
      <c r="L18" s="1"/>
      <c r="M18" s="1">
        <f>CHOOSE($B$7,SUMIF(rScores_2014_O!$B$280:$AY$280,1,rScores_2014_O!$B9:$AY9)/rScores_2014_O!$BA$280,SUMIF(rScores_2014_N!$B$280:$AU$280,1,rScores_2014_N!$B9:$AU9)/rScores_2014_N!$AW$280,SUMIF(rScores_2017!$B$280:$BJ$280,1,rScores_2017!$B9:$BJ9)/rScores_2017!$BL$280)</f>
        <v>65.8333333333333</v>
      </c>
      <c r="N18" s="1"/>
      <c r="O18" s="1"/>
      <c r="P18" s="1"/>
      <c r="Q18" s="1" t="str">
        <f ca="1" t="shared" si="0"/>
        <v/>
      </c>
      <c r="R18" s="1" t="str">
        <f ca="1">IF($C18=0,"",RANK(Q18,Q$12:Q$73,1)+COUNTIF(Q$12:Q18,Q18)-1)</f>
        <v/>
      </c>
      <c r="S18" s="1" t="str">
        <f ca="1" t="shared" si="1"/>
        <v/>
      </c>
      <c r="T18" s="269" t="str">
        <f ca="1" t="shared" si="2"/>
        <v/>
      </c>
      <c r="U18" s="269" t="str">
        <f ca="1" t="shared" si="3"/>
        <v/>
      </c>
      <c r="V18" s="269">
        <f ca="1" t="shared" si="4"/>
        <v>0</v>
      </c>
      <c r="W18" s="268" t="str">
        <f ca="1" t="shared" si="19"/>
        <v/>
      </c>
      <c r="X18" s="1" t="str">
        <f ca="1" t="shared" si="5"/>
        <v/>
      </c>
      <c r="Y18" s="1" t="str">
        <f ca="1" t="shared" si="6"/>
        <v/>
      </c>
      <c r="Z18" s="1" t="str">
        <f ca="1" t="shared" si="6"/>
        <v/>
      </c>
      <c r="AA18" s="1" t="str">
        <f ca="1" t="shared" si="7"/>
        <v/>
      </c>
      <c r="AB18" s="1" t="str">
        <f ca="1" t="shared" si="8"/>
        <v/>
      </c>
      <c r="AC18" s="1" t="str">
        <f ca="1" t="shared" si="9"/>
        <v/>
      </c>
      <c r="AD18" s="1" t="str">
        <f ca="1" t="shared" si="10"/>
        <v/>
      </c>
      <c r="AE18" s="1" t="str">
        <f ca="1" t="shared" si="11"/>
        <v/>
      </c>
      <c r="AF18" s="1" t="str">
        <f ca="1" t="shared" si="12"/>
        <v/>
      </c>
      <c r="AG18" s="1" t="str">
        <f ca="1" t="shared" si="12"/>
        <v/>
      </c>
      <c r="AH18" s="1" t="str">
        <f ca="1">IF(T18="","",IF(ISERROR(INDEX(aRank_2014_N,$S18+1,uxb_works!$B$25)),"",INDEX(aRank_2014_N,$S18+1,uxb_works!$B$25)))</f>
        <v/>
      </c>
      <c r="AI18" s="1"/>
      <c r="AJ18" s="18"/>
      <c r="AK18" s="1"/>
      <c r="AL18" s="277"/>
      <c r="AM18" s="268"/>
      <c r="AN18" s="1"/>
    </row>
    <row r="19" customFormat="1" spans="1:40">
      <c r="A19" s="1">
        <f t="shared" si="17"/>
        <v>8</v>
      </c>
      <c r="B19" s="1" t="str">
        <f>tblCategories!D10</f>
        <v>1.2) Digital security (Outputs)</v>
      </c>
      <c r="C19" s="1">
        <f>IF(tblCategories!AC10="",0,tblCategories!AC10)</f>
        <v>0</v>
      </c>
      <c r="D19" s="1">
        <v>1</v>
      </c>
      <c r="E19" s="1" t="str">
        <f ca="1" t="shared" si="13"/>
        <v/>
      </c>
      <c r="F19" s="1"/>
      <c r="G19" s="1" t="str">
        <f ca="1" t="shared" si="14"/>
        <v/>
      </c>
      <c r="H19" s="1"/>
      <c r="I19" s="1" t="str">
        <f ca="1" t="shared" si="15"/>
        <v/>
      </c>
      <c r="J19" s="1"/>
      <c r="K19" s="1" t="str">
        <f ca="1" t="shared" si="16"/>
        <v/>
      </c>
      <c r="L19" s="1"/>
      <c r="M19" s="1">
        <f>CHOOSE($B$7,SUMIF(rScores_2014_O!$B$280:$AY$280,1,rScores_2014_O!$B10:$AY10)/rScores_2014_O!$BA$280,SUMIF(rScores_2014_N!$B$280:$AU$280,1,rScores_2014_N!$B10:$AU10)/rScores_2014_N!$AW$280,SUMIF(rScores_2017!$B$280:$BJ$280,1,rScores_2017!$B10:$BJ10)/rScores_2017!$BL$280)</f>
        <v>68.1941666666667</v>
      </c>
      <c r="N19" s="1"/>
      <c r="O19" s="1"/>
      <c r="P19" s="1"/>
      <c r="Q19" s="1" t="str">
        <f ca="1" t="shared" si="0"/>
        <v/>
      </c>
      <c r="R19" s="1" t="str">
        <f ca="1">IF($C19=0,"",RANK(Q19,Q$12:Q$73,1)+COUNTIF(Q$12:Q19,Q19)-1)</f>
        <v/>
      </c>
      <c r="S19" s="1" t="str">
        <f ca="1" t="shared" si="1"/>
        <v/>
      </c>
      <c r="T19" s="269" t="str">
        <f ca="1" t="shared" si="2"/>
        <v/>
      </c>
      <c r="U19" s="269" t="str">
        <f ca="1" t="shared" si="3"/>
        <v/>
      </c>
      <c r="V19" s="269">
        <f ca="1" t="shared" si="4"/>
        <v>0</v>
      </c>
      <c r="W19" s="268" t="str">
        <f ca="1" t="shared" si="19"/>
        <v/>
      </c>
      <c r="X19" s="1" t="str">
        <f ca="1" t="shared" si="5"/>
        <v/>
      </c>
      <c r="Y19" s="1" t="str">
        <f ca="1" t="shared" si="6"/>
        <v/>
      </c>
      <c r="Z19" s="1" t="str">
        <f ca="1" t="shared" si="6"/>
        <v/>
      </c>
      <c r="AA19" s="1" t="str">
        <f ca="1" t="shared" si="7"/>
        <v/>
      </c>
      <c r="AB19" s="1" t="str">
        <f ca="1" t="shared" si="8"/>
        <v/>
      </c>
      <c r="AC19" s="1" t="str">
        <f ca="1" t="shared" si="9"/>
        <v/>
      </c>
      <c r="AD19" s="1" t="str">
        <f ca="1" t="shared" si="10"/>
        <v/>
      </c>
      <c r="AE19" s="1" t="str">
        <f ca="1" t="shared" si="11"/>
        <v/>
      </c>
      <c r="AF19" s="1" t="str">
        <f ca="1" t="shared" si="12"/>
        <v/>
      </c>
      <c r="AG19" s="1" t="str">
        <f ca="1" t="shared" si="12"/>
        <v/>
      </c>
      <c r="AH19" s="1" t="str">
        <f ca="1">IF(T19="","",IF(ISERROR(INDEX(aRank_2014_N,$S19+1,uxb_works!$B$25)),"",INDEX(aRank_2014_N,$S19+1,uxb_works!$B$25)))</f>
        <v/>
      </c>
      <c r="AI19" s="1"/>
      <c r="AJ19" s="18"/>
      <c r="AK19" s="1"/>
      <c r="AL19" s="277"/>
      <c r="AM19" s="268"/>
      <c r="AN19" s="1"/>
    </row>
    <row r="20" customFormat="1" spans="1:40">
      <c r="A20" s="1">
        <f t="shared" si="17"/>
        <v>9</v>
      </c>
      <c r="B20" s="1" t="str">
        <f>tblCategories!D11</f>
        <v>1.2.1) Frequency of identity theft</v>
      </c>
      <c r="C20" s="1">
        <f>IF(tblCategories!AC11="",0,tblCategories!AC11)</f>
        <v>0</v>
      </c>
      <c r="D20" s="1">
        <v>1</v>
      </c>
      <c r="E20" s="1" t="str">
        <f ca="1" t="shared" si="13"/>
        <v/>
      </c>
      <c r="F20" s="1"/>
      <c r="G20" s="1" t="str">
        <f ca="1" t="shared" si="14"/>
        <v/>
      </c>
      <c r="H20" s="1"/>
      <c r="I20" s="1" t="str">
        <f ca="1" t="shared" si="15"/>
        <v/>
      </c>
      <c r="J20" s="1"/>
      <c r="K20" s="1" t="str">
        <f ca="1" t="shared" si="16"/>
        <v/>
      </c>
      <c r="L20" s="1"/>
      <c r="M20" s="1">
        <f>CHOOSE($B$7,SUMIF(rScores_2014_O!$B$280:$AY$280,1,rScores_2014_O!$B11:$AY11)/rScores_2014_O!$BA$280,SUMIF(rScores_2014_N!$B$280:$AU$280,1,rScores_2014_N!$B11:$AU11)/rScores_2014_N!$AW$280,SUMIF(rScores_2017!$B$280:$BJ$280,1,rScores_2017!$B11:$BJ11)/rScores_2017!$BL$280)</f>
        <v>92.8428333333333</v>
      </c>
      <c r="N20" s="1"/>
      <c r="O20" s="1"/>
      <c r="P20" s="1"/>
      <c r="Q20" s="1" t="str">
        <f ca="1" t="shared" si="0"/>
        <v/>
      </c>
      <c r="R20" s="1" t="str">
        <f ca="1">IF($C20=0,"",RANK(Q20,Q$12:Q$73,1)+COUNTIF(Q$12:Q20,Q20)-1)</f>
        <v/>
      </c>
      <c r="S20" s="1" t="str">
        <f ca="1" t="shared" si="1"/>
        <v/>
      </c>
      <c r="T20" s="269" t="str">
        <f ca="1" t="shared" si="2"/>
        <v/>
      </c>
      <c r="U20" s="269" t="str">
        <f ca="1" t="shared" si="3"/>
        <v/>
      </c>
      <c r="V20" s="269">
        <f ca="1" t="shared" si="4"/>
        <v>0</v>
      </c>
      <c r="W20" s="268" t="str">
        <f ca="1" t="shared" si="19"/>
        <v/>
      </c>
      <c r="X20" s="1" t="str">
        <f ca="1" t="shared" si="5"/>
        <v/>
      </c>
      <c r="Y20" s="1" t="str">
        <f ca="1" t="shared" si="6"/>
        <v/>
      </c>
      <c r="Z20" s="1" t="str">
        <f ca="1" t="shared" si="6"/>
        <v/>
      </c>
      <c r="AA20" s="1" t="str">
        <f ca="1" t="shared" si="7"/>
        <v/>
      </c>
      <c r="AB20" s="1" t="str">
        <f ca="1" t="shared" si="8"/>
        <v/>
      </c>
      <c r="AC20" s="1" t="str">
        <f ca="1" t="shared" si="9"/>
        <v/>
      </c>
      <c r="AD20" s="1" t="str">
        <f ca="1" t="shared" si="10"/>
        <v/>
      </c>
      <c r="AE20" s="1" t="str">
        <f ca="1" t="shared" si="11"/>
        <v/>
      </c>
      <c r="AF20" s="1" t="str">
        <f ca="1" t="shared" si="12"/>
        <v/>
      </c>
      <c r="AG20" s="1" t="str">
        <f ca="1" t="shared" si="12"/>
        <v/>
      </c>
      <c r="AH20" s="1" t="str">
        <f ca="1">IF(T20="","",IF(ISERROR(INDEX(aRank_2014_N,$S20+1,uxb_works!$B$25)),"",INDEX(aRank_2014_N,$S20+1,uxb_works!$B$25)))</f>
        <v/>
      </c>
      <c r="AI20" s="1"/>
      <c r="AJ20" s="18"/>
      <c r="AK20" s="1"/>
      <c r="AL20" s="277"/>
      <c r="AM20" s="268"/>
      <c r="AN20" s="1"/>
    </row>
    <row r="21" customFormat="1" spans="1:40">
      <c r="A21" s="1">
        <f t="shared" si="17"/>
        <v>10</v>
      </c>
      <c r="B21" s="1" t="str">
        <f>tblCategories!D12</f>
        <v>1.2.2) Percentage of computers infected</v>
      </c>
      <c r="C21" s="1">
        <f>IF(tblCategories!AC12="",0,tblCategories!AC12)</f>
        <v>0</v>
      </c>
      <c r="D21" s="1">
        <v>1</v>
      </c>
      <c r="E21" s="1" t="str">
        <f ca="1" t="shared" si="13"/>
        <v/>
      </c>
      <c r="F21" s="1"/>
      <c r="G21" s="1" t="str">
        <f ca="1" t="shared" si="14"/>
        <v/>
      </c>
      <c r="H21" s="1"/>
      <c r="I21" s="1" t="str">
        <f ca="1" t="shared" si="15"/>
        <v/>
      </c>
      <c r="J21" s="1"/>
      <c r="K21" s="1" t="str">
        <f ca="1" t="shared" si="16"/>
        <v/>
      </c>
      <c r="L21" s="1"/>
      <c r="M21" s="1">
        <f>CHOOSE($B$7,SUMIF(rScores_2014_O!$B$280:$AY$280,1,rScores_2014_O!$B12:$AY12)/rScores_2014_O!$BA$280,SUMIF(rScores_2014_N!$B$280:$AU$280,1,rScores_2014_N!$B12:$AU12)/rScores_2014_N!$AW$280,SUMIF(rScores_2017!$B$280:$BJ$280,1,rScores_2017!$B12:$BJ12)/rScores_2017!$BL$280)</f>
        <v>45.4166666666667</v>
      </c>
      <c r="N21" s="1"/>
      <c r="O21" s="1"/>
      <c r="P21" s="1"/>
      <c r="Q21" s="1" t="str">
        <f ca="1" t="shared" si="0"/>
        <v/>
      </c>
      <c r="R21" s="1" t="str">
        <f ca="1">IF($C21=0,"",RANK(Q21,Q$12:Q$73,1)+COUNTIF(Q$12:Q21,Q21)-1)</f>
        <v/>
      </c>
      <c r="S21" s="1" t="str">
        <f ca="1" t="shared" si="1"/>
        <v/>
      </c>
      <c r="T21" s="269" t="str">
        <f ca="1" t="shared" si="2"/>
        <v/>
      </c>
      <c r="U21" s="269" t="str">
        <f ca="1" t="shared" si="3"/>
        <v/>
      </c>
      <c r="V21" s="269">
        <f ca="1" t="shared" si="4"/>
        <v>0</v>
      </c>
      <c r="W21" s="268" t="str">
        <f ca="1" t="shared" si="19"/>
        <v/>
      </c>
      <c r="X21" s="1" t="str">
        <f ca="1" t="shared" si="5"/>
        <v/>
      </c>
      <c r="Y21" s="1" t="str">
        <f ca="1" t="shared" si="6"/>
        <v/>
      </c>
      <c r="Z21" s="1" t="str">
        <f ca="1" t="shared" si="6"/>
        <v/>
      </c>
      <c r="AA21" s="1" t="str">
        <f ca="1" t="shared" si="7"/>
        <v/>
      </c>
      <c r="AB21" s="1" t="str">
        <f ca="1" t="shared" si="8"/>
        <v/>
      </c>
      <c r="AC21" s="1" t="str">
        <f ca="1" t="shared" si="9"/>
        <v/>
      </c>
      <c r="AD21" s="1" t="str">
        <f ca="1" t="shared" si="10"/>
        <v/>
      </c>
      <c r="AE21" s="1" t="str">
        <f ca="1" t="shared" si="11"/>
        <v/>
      </c>
      <c r="AF21" s="1" t="str">
        <f ca="1" t="shared" si="12"/>
        <v/>
      </c>
      <c r="AG21" s="1" t="str">
        <f ca="1" t="shared" si="12"/>
        <v/>
      </c>
      <c r="AH21" s="1" t="str">
        <f ca="1">IF(T21="","",IF(ISERROR(INDEX(aRank_2014_N,$S21+1,uxb_works!$B$25)),"",INDEX(aRank_2014_N,$S21+1,uxb_works!$B$25)))</f>
        <v/>
      </c>
      <c r="AI21" s="1"/>
      <c r="AJ21" s="18"/>
      <c r="AK21" s="1"/>
      <c r="AL21" s="277"/>
      <c r="AM21" s="268"/>
      <c r="AN21" s="1"/>
    </row>
    <row r="22" customFormat="1" spans="1:40">
      <c r="A22" s="1">
        <f t="shared" si="17"/>
        <v>11</v>
      </c>
      <c r="B22" s="1" t="str">
        <f>tblCategories!D13</f>
        <v>1.2.3) Percentage with Internet access</v>
      </c>
      <c r="C22" s="1">
        <f>IF(tblCategories!AC13="",0,tblCategories!AC13)</f>
        <v>0</v>
      </c>
      <c r="D22" s="1">
        <v>1</v>
      </c>
      <c r="E22" s="1" t="str">
        <f ca="1" t="shared" si="13"/>
        <v/>
      </c>
      <c r="F22" s="1"/>
      <c r="G22" s="1" t="str">
        <f ca="1" t="shared" si="14"/>
        <v/>
      </c>
      <c r="H22" s="1"/>
      <c r="I22" s="1" t="str">
        <f ca="1" t="shared" si="15"/>
        <v/>
      </c>
      <c r="J22" s="1"/>
      <c r="K22" s="1" t="str">
        <f ca="1" t="shared" si="16"/>
        <v/>
      </c>
      <c r="L22" s="1"/>
      <c r="M22" s="1">
        <f>CHOOSE($B$7,SUMIF(rScores_2014_O!$B$280:$AY$280,1,rScores_2014_O!$B13:$AY13)/rScores_2014_O!$BA$280,SUMIF(rScores_2014_N!$B$280:$AU$280,1,rScores_2014_N!$B13:$AU13)/rScores_2014_N!$AW$280,SUMIF(rScores_2017!$B$280:$BJ$280,1,rScores_2017!$B13:$BJ13)/rScores_2017!$BL$280)</f>
        <v>66.322</v>
      </c>
      <c r="N22" s="1"/>
      <c r="O22" s="1"/>
      <c r="P22" s="1"/>
      <c r="Q22" s="1" t="str">
        <f ca="1" t="shared" si="0"/>
        <v/>
      </c>
      <c r="R22" s="1" t="str">
        <f ca="1">IF($C22=0,"",RANK(Q22,Q$12:Q$73,1)+COUNTIF(Q$12:Q22,Q22)-1)</f>
        <v/>
      </c>
      <c r="S22" s="1" t="str">
        <f ca="1" t="shared" si="1"/>
        <v/>
      </c>
      <c r="T22" s="269" t="str">
        <f ca="1" t="shared" si="2"/>
        <v/>
      </c>
      <c r="U22" s="269" t="str">
        <f ca="1" t="shared" si="3"/>
        <v/>
      </c>
      <c r="V22" s="269">
        <f ca="1" t="shared" si="4"/>
        <v>0</v>
      </c>
      <c r="W22" s="268" t="str">
        <f ca="1" t="shared" si="19"/>
        <v/>
      </c>
      <c r="X22" s="1" t="str">
        <f ca="1" t="shared" si="5"/>
        <v/>
      </c>
      <c r="Y22" s="1" t="str">
        <f ca="1" t="shared" si="6"/>
        <v/>
      </c>
      <c r="Z22" s="1" t="str">
        <f ca="1" t="shared" si="6"/>
        <v/>
      </c>
      <c r="AA22" s="1" t="str">
        <f ca="1" t="shared" si="7"/>
        <v/>
      </c>
      <c r="AB22" s="1" t="str">
        <f ca="1" t="shared" si="8"/>
        <v/>
      </c>
      <c r="AC22" s="1" t="str">
        <f ca="1" t="shared" si="9"/>
        <v/>
      </c>
      <c r="AD22" s="1" t="str">
        <f ca="1" t="shared" si="10"/>
        <v/>
      </c>
      <c r="AE22" s="1" t="str">
        <f ca="1" t="shared" si="11"/>
        <v/>
      </c>
      <c r="AF22" s="1" t="str">
        <f ca="1" t="shared" si="12"/>
        <v/>
      </c>
      <c r="AG22" s="1" t="str">
        <f ca="1" t="shared" si="12"/>
        <v/>
      </c>
      <c r="AH22" s="1" t="str">
        <f ca="1">IF(T22="","",IF(ISERROR(INDEX(aRank_2014_N,$S22+1,uxb_works!$B$25)),"",INDEX(aRank_2014_N,$S22+1,uxb_works!$B$25)))</f>
        <v/>
      </c>
      <c r="AI22" s="1"/>
      <c r="AJ22" s="18"/>
      <c r="AK22" s="1"/>
      <c r="AL22" s="277"/>
      <c r="AM22" s="268"/>
      <c r="AN22" s="1"/>
    </row>
    <row r="23" customFormat="1" spans="1:40">
      <c r="A23" s="1">
        <f t="shared" si="17"/>
        <v>12</v>
      </c>
      <c r="B23" s="1" t="str">
        <f>tblCategories!D14</f>
        <v>2) HEALTH SECURITY</v>
      </c>
      <c r="C23" s="1">
        <f>IF(tblCategories!AC14="",0,tblCategories!AC14)</f>
        <v>1</v>
      </c>
      <c r="D23" s="1">
        <v>1</v>
      </c>
      <c r="E23" s="1">
        <f ca="1" t="shared" si="13"/>
        <v>68.5404322865189</v>
      </c>
      <c r="F23" s="1"/>
      <c r="G23" s="1">
        <f ca="1" t="shared" si="14"/>
        <v>68.5404322865189</v>
      </c>
      <c r="H23" s="1"/>
      <c r="I23" s="1" t="e">
        <f ca="1" t="shared" si="15"/>
        <v>#VALUE!</v>
      </c>
      <c r="J23" s="1"/>
      <c r="K23" s="1" t="e">
        <f ca="1" t="shared" si="16"/>
        <v>#VALUE!</v>
      </c>
      <c r="L23" s="1"/>
      <c r="M23" s="1">
        <f>CHOOSE($B$7,SUMIF(rScores_2014_O!$B$280:$AY$280,1,rScores_2014_O!$B14:$AY14)/rScores_2014_O!$BA$280,SUMIF(rScores_2014_N!$B$280:$AU$280,1,rScores_2014_N!$B14:$AU14)/rScores_2014_N!$AW$280,SUMIF(rScores_2017!$B$280:$BJ$280,1,rScores_2017!$B14:$BJ14)/rScores_2017!$BL$280)</f>
        <v>69.1868333333333</v>
      </c>
      <c r="N23" s="1"/>
      <c r="O23" s="1"/>
      <c r="P23" s="1"/>
      <c r="Q23" s="1">
        <f ca="1" t="shared" si="0"/>
        <v>1</v>
      </c>
      <c r="R23" s="1">
        <f ca="1">IF($C23=0,"",RANK(Q23,Q$12:Q$73,1)+COUNTIF(Q$12:Q23,Q23)-1)</f>
        <v>2</v>
      </c>
      <c r="S23" s="1" t="str">
        <f ca="1" t="shared" si="1"/>
        <v/>
      </c>
      <c r="T23" s="269" t="str">
        <f ca="1" t="shared" si="2"/>
        <v/>
      </c>
      <c r="U23" s="269" t="str">
        <f ca="1" t="shared" si="3"/>
        <v/>
      </c>
      <c r="V23" s="269">
        <f ca="1" t="shared" si="4"/>
        <v>0</v>
      </c>
      <c r="W23" s="268" t="str">
        <f ca="1" t="shared" si="19"/>
        <v/>
      </c>
      <c r="X23" s="1" t="str">
        <f ca="1" t="shared" si="5"/>
        <v/>
      </c>
      <c r="Y23" s="1" t="str">
        <f ca="1" t="shared" si="6"/>
        <v/>
      </c>
      <c r="Z23" s="1" t="str">
        <f ca="1" t="shared" si="6"/>
        <v/>
      </c>
      <c r="AA23" s="1" t="str">
        <f ca="1" t="shared" si="7"/>
        <v/>
      </c>
      <c r="AB23" s="1" t="str">
        <f ca="1" t="shared" si="8"/>
        <v/>
      </c>
      <c r="AC23" s="1" t="str">
        <f ca="1" t="shared" si="9"/>
        <v/>
      </c>
      <c r="AD23" s="1" t="str">
        <f ca="1" t="shared" si="10"/>
        <v/>
      </c>
      <c r="AE23" s="1" t="str">
        <f ca="1" t="shared" si="11"/>
        <v/>
      </c>
      <c r="AF23" s="1" t="str">
        <f ca="1" t="shared" si="12"/>
        <v/>
      </c>
      <c r="AG23" s="1" t="str">
        <f ca="1" t="shared" si="12"/>
        <v/>
      </c>
      <c r="AH23" s="1" t="str">
        <f ca="1">IF(T23="","",IF(ISERROR(INDEX(aRank_2014_N,$S23+1,uxb_works!$B$25)),"",INDEX(aRank_2014_N,$S23+1,uxb_works!$B$25)))</f>
        <v/>
      </c>
      <c r="AI23" s="1"/>
      <c r="AJ23" s="18"/>
      <c r="AK23" s="1"/>
      <c r="AL23" s="277"/>
      <c r="AM23" s="268"/>
      <c r="AN23" s="1"/>
    </row>
    <row r="24" customFormat="1" spans="1:40">
      <c r="A24" s="1">
        <f t="shared" si="17"/>
        <v>13</v>
      </c>
      <c r="B24" s="1" t="str">
        <f>tblCategories!D15</f>
        <v>2.1) Health security (Inputs)</v>
      </c>
      <c r="C24" s="1">
        <f>IF(tblCategories!AC15="",0,tblCategories!AC15)</f>
        <v>0</v>
      </c>
      <c r="D24" s="1">
        <v>1</v>
      </c>
      <c r="E24" s="1" t="str">
        <f ca="1" t="shared" si="13"/>
        <v/>
      </c>
      <c r="F24" s="1"/>
      <c r="G24" s="1" t="str">
        <f ca="1" t="shared" si="14"/>
        <v/>
      </c>
      <c r="H24" s="1"/>
      <c r="I24" s="1" t="str">
        <f ca="1" t="shared" si="15"/>
        <v/>
      </c>
      <c r="J24" s="1"/>
      <c r="K24" s="1" t="str">
        <f ca="1" t="shared" si="16"/>
        <v/>
      </c>
      <c r="L24" s="1"/>
      <c r="M24" s="1">
        <f>CHOOSE($B$7,SUMIF(rScores_2014_O!$B$280:$AY$280,1,rScores_2014_O!$B15:$AY15)/rScores_2014_O!$BA$280,SUMIF(rScores_2014_N!$B$280:$AU$280,1,rScores_2014_N!$B15:$AU15)/rScores_2014_N!$AW$280,SUMIF(rScores_2017!$B$280:$BJ$280,1,rScores_2017!$B15:$BJ15)/rScores_2017!$BL$280)</f>
        <v>62.1148333333333</v>
      </c>
      <c r="N24" s="1"/>
      <c r="O24" s="1"/>
      <c r="P24" s="1"/>
      <c r="Q24" s="1" t="str">
        <f ca="1" t="shared" si="0"/>
        <v/>
      </c>
      <c r="R24" s="1" t="str">
        <f ca="1">IF($C24=0,"",RANK(Q24,Q$12:Q$73,1)+COUNTIF(Q$12:Q24,Q24)-1)</f>
        <v/>
      </c>
      <c r="S24" s="1" t="str">
        <f ca="1" t="shared" si="1"/>
        <v/>
      </c>
      <c r="T24" s="269" t="str">
        <f ca="1" t="shared" si="2"/>
        <v/>
      </c>
      <c r="U24" s="269" t="str">
        <f ca="1" t="shared" si="3"/>
        <v/>
      </c>
      <c r="V24" s="269">
        <f ca="1" t="shared" si="4"/>
        <v>0</v>
      </c>
      <c r="W24" s="268" t="str">
        <f ca="1" t="shared" si="19"/>
        <v/>
      </c>
      <c r="X24" s="1" t="str">
        <f ca="1" t="shared" si="5"/>
        <v/>
      </c>
      <c r="Y24" s="1" t="str">
        <f ca="1" t="shared" si="6"/>
        <v/>
      </c>
      <c r="Z24" s="1" t="str">
        <f ca="1" t="shared" si="6"/>
        <v/>
      </c>
      <c r="AA24" s="1" t="str">
        <f ca="1" t="shared" si="7"/>
        <v/>
      </c>
      <c r="AB24" s="1" t="str">
        <f ca="1" t="shared" si="8"/>
        <v/>
      </c>
      <c r="AC24" s="1" t="str">
        <f ca="1" t="shared" si="9"/>
        <v/>
      </c>
      <c r="AD24" s="1" t="str">
        <f ca="1" t="shared" si="10"/>
        <v/>
      </c>
      <c r="AE24" s="1" t="str">
        <f ca="1" t="shared" si="11"/>
        <v/>
      </c>
      <c r="AF24" s="1" t="str">
        <f ca="1" t="shared" si="12"/>
        <v/>
      </c>
      <c r="AG24" s="1" t="str">
        <f ca="1" t="shared" si="12"/>
        <v/>
      </c>
      <c r="AH24" s="1" t="str">
        <f ca="1">IF(T24="","",IF(ISERROR(INDEX(aRank_2014_N,$S24+1,uxb_works!$B$25)),"",INDEX(aRank_2014_N,$S24+1,uxb_works!$B$25)))</f>
        <v/>
      </c>
      <c r="AI24" s="1"/>
      <c r="AJ24" s="18"/>
      <c r="AK24" s="1"/>
      <c r="AL24" s="277"/>
      <c r="AM24" s="268"/>
      <c r="AN24" s="1"/>
    </row>
    <row r="25" customFormat="1" spans="1:40">
      <c r="A25" s="1">
        <f t="shared" si="17"/>
        <v>14</v>
      </c>
      <c r="B25" s="1" t="str">
        <f>tblCategories!D16</f>
        <v>2.1.1) Environmental policies</v>
      </c>
      <c r="C25" s="1">
        <f>IF(tblCategories!AC16="",0,tblCategories!AC16)</f>
        <v>0</v>
      </c>
      <c r="D25" s="1">
        <v>1</v>
      </c>
      <c r="E25" s="1" t="str">
        <f ca="1" t="shared" si="13"/>
        <v/>
      </c>
      <c r="F25" s="1"/>
      <c r="G25" s="1" t="str">
        <f ca="1" t="shared" si="14"/>
        <v/>
      </c>
      <c r="H25" s="1"/>
      <c r="I25" s="1" t="str">
        <f ca="1" t="shared" si="15"/>
        <v/>
      </c>
      <c r="J25" s="1"/>
      <c r="K25" s="1" t="str">
        <f ca="1" t="shared" si="16"/>
        <v/>
      </c>
      <c r="L25" s="1"/>
      <c r="M25" s="1">
        <f>CHOOSE($B$7,SUMIF(rScores_2014_O!$B$280:$AY$280,1,rScores_2014_O!$B16:$AY16)/rScores_2014_O!$BA$280,SUMIF(rScores_2014_N!$B$280:$AU$280,1,rScores_2014_N!$B16:$AU16)/rScores_2014_N!$AW$280,SUMIF(rScores_2017!$B$280:$BJ$280,1,rScores_2017!$B16:$BJ16)/rScores_2017!$BL$280)</f>
        <v>68.9931666666667</v>
      </c>
      <c r="N25" s="1"/>
      <c r="O25" s="1"/>
      <c r="P25" s="1"/>
      <c r="Q25" s="1" t="str">
        <f ca="1" t="shared" si="0"/>
        <v/>
      </c>
      <c r="R25" s="1" t="str">
        <f ca="1">IF($C25=0,"",RANK(Q25,Q$12:Q$73,1)+COUNTIF(Q$12:Q25,Q25)-1)</f>
        <v/>
      </c>
      <c r="S25" s="1" t="str">
        <f ca="1" t="shared" si="1"/>
        <v/>
      </c>
      <c r="T25" s="269" t="str">
        <f ca="1" t="shared" si="2"/>
        <v/>
      </c>
      <c r="U25" s="269" t="str">
        <f ca="1" t="shared" si="3"/>
        <v/>
      </c>
      <c r="V25" s="269">
        <f ca="1" t="shared" si="4"/>
        <v>0</v>
      </c>
      <c r="W25" s="268" t="str">
        <f ca="1" t="shared" si="19"/>
        <v/>
      </c>
      <c r="X25" s="1" t="str">
        <f ca="1" t="shared" si="5"/>
        <v/>
      </c>
      <c r="Y25" s="1" t="str">
        <f ca="1" t="shared" si="6"/>
        <v/>
      </c>
      <c r="Z25" s="1" t="str">
        <f ca="1" t="shared" si="6"/>
        <v/>
      </c>
      <c r="AA25" s="1" t="str">
        <f ca="1" t="shared" si="7"/>
        <v/>
      </c>
      <c r="AB25" s="1" t="str">
        <f ca="1" t="shared" si="8"/>
        <v/>
      </c>
      <c r="AC25" s="1" t="str">
        <f ca="1" t="shared" si="9"/>
        <v/>
      </c>
      <c r="AD25" s="1" t="str">
        <f ca="1" t="shared" si="10"/>
        <v/>
      </c>
      <c r="AE25" s="1" t="str">
        <f ca="1" t="shared" si="11"/>
        <v/>
      </c>
      <c r="AF25" s="1" t="str">
        <f ca="1" t="shared" si="12"/>
        <v/>
      </c>
      <c r="AG25" s="1" t="str">
        <f ca="1" t="shared" si="12"/>
        <v/>
      </c>
      <c r="AH25" s="1" t="str">
        <f ca="1">IF(T25="","",IF(ISERROR(INDEX(aRank_2014_N,$S25+1,uxb_works!$B$25)),"",INDEX(aRank_2014_N,$S25+1,uxb_works!$B$25)))</f>
        <v/>
      </c>
      <c r="AI25" s="1"/>
      <c r="AJ25" s="18"/>
      <c r="AK25" s="1"/>
      <c r="AL25" s="277"/>
      <c r="AM25" s="268"/>
      <c r="AN25" s="1"/>
    </row>
    <row r="26" customFormat="1" spans="1:40">
      <c r="A26" s="1">
        <f t="shared" si="17"/>
        <v>15</v>
      </c>
      <c r="B26" s="1" t="str">
        <f>tblCategories!D17</f>
        <v>2.1.2) Access to healthcare</v>
      </c>
      <c r="C26" s="1">
        <f>IF(tblCategories!AC17="",0,tblCategories!AC17)</f>
        <v>0</v>
      </c>
      <c r="D26" s="1">
        <v>1</v>
      </c>
      <c r="E26" s="1" t="str">
        <f ca="1" t="shared" si="13"/>
        <v/>
      </c>
      <c r="F26" s="1"/>
      <c r="G26" s="1" t="str">
        <f ca="1" t="shared" si="14"/>
        <v/>
      </c>
      <c r="H26" s="1"/>
      <c r="I26" s="1" t="str">
        <f ca="1" t="shared" si="15"/>
        <v/>
      </c>
      <c r="J26" s="1"/>
      <c r="K26" s="1" t="str">
        <f ca="1" t="shared" si="16"/>
        <v/>
      </c>
      <c r="L26" s="1"/>
      <c r="M26" s="1">
        <f>CHOOSE($B$7,SUMIF(rScores_2014_O!$B$280:$AY$280,1,rScores_2014_O!$B17:$AY17)/rScores_2014_O!$BA$280,SUMIF(rScores_2014_N!$B$280:$AU$280,1,rScores_2014_N!$B17:$AU17)/rScores_2014_N!$AW$280,SUMIF(rScores_2017!$B$280:$BJ$280,1,rScores_2017!$B17:$BJ17)/rScores_2017!$BL$280)</f>
        <v>83.3326666666667</v>
      </c>
      <c r="N26" s="1"/>
      <c r="O26" s="1"/>
      <c r="P26" s="1"/>
      <c r="Q26" s="1" t="str">
        <f ca="1" t="shared" si="0"/>
        <v/>
      </c>
      <c r="R26" s="1" t="str">
        <f ca="1">IF($C26=0,"",RANK(Q26,Q$12:Q$73,1)+COUNTIF(Q$12:Q26,Q26)-1)</f>
        <v/>
      </c>
      <c r="S26" s="1" t="str">
        <f ca="1" t="shared" si="1"/>
        <v/>
      </c>
      <c r="T26" s="269" t="str">
        <f ca="1" t="shared" si="2"/>
        <v/>
      </c>
      <c r="U26" s="269" t="str">
        <f ca="1" t="shared" si="3"/>
        <v/>
      </c>
      <c r="V26" s="269">
        <f ca="1" t="shared" si="4"/>
        <v>0</v>
      </c>
      <c r="W26" s="268" t="str">
        <f ca="1" t="shared" si="19"/>
        <v/>
      </c>
      <c r="X26" s="1" t="str">
        <f ca="1" t="shared" si="5"/>
        <v/>
      </c>
      <c r="Y26" s="1" t="str">
        <f ca="1" t="shared" si="6"/>
        <v/>
      </c>
      <c r="Z26" s="1" t="str">
        <f ca="1" t="shared" si="6"/>
        <v/>
      </c>
      <c r="AA26" s="1" t="str">
        <f ca="1" t="shared" si="7"/>
        <v/>
      </c>
      <c r="AB26" s="1" t="str">
        <f ca="1" t="shared" si="8"/>
        <v/>
      </c>
      <c r="AC26" s="1" t="str">
        <f ca="1" t="shared" si="9"/>
        <v/>
      </c>
      <c r="AD26" s="1" t="str">
        <f ca="1" t="shared" si="10"/>
        <v/>
      </c>
      <c r="AE26" s="1" t="str">
        <f ca="1" t="shared" si="11"/>
        <v/>
      </c>
      <c r="AF26" s="1" t="str">
        <f ca="1" t="shared" si="12"/>
        <v/>
      </c>
      <c r="AG26" s="1" t="str">
        <f ca="1" t="shared" si="12"/>
        <v/>
      </c>
      <c r="AH26" s="1" t="str">
        <f ca="1">IF(T26="","",IF(ISERROR(INDEX(aRank_2014_N,$S26+1,uxb_works!$B$25)),"",INDEX(aRank_2014_N,$S26+1,uxb_works!$B$25)))</f>
        <v/>
      </c>
      <c r="AI26" s="1"/>
      <c r="AJ26" s="18"/>
      <c r="AK26" s="1"/>
      <c r="AL26" s="277"/>
      <c r="AM26" s="268"/>
      <c r="AN26" s="1"/>
    </row>
    <row r="27" customFormat="1" spans="1:40">
      <c r="A27" s="1">
        <f t="shared" si="17"/>
        <v>16</v>
      </c>
      <c r="B27" s="1" t="str">
        <f>tblCategories!D18</f>
        <v>2.1.3) No. of beds per 1,000</v>
      </c>
      <c r="C27" s="1">
        <f>IF(tblCategories!AC18="",0,tblCategories!AC18)</f>
        <v>0</v>
      </c>
      <c r="D27" s="1">
        <v>1</v>
      </c>
      <c r="E27" s="1" t="str">
        <f ca="1" t="shared" si="13"/>
        <v/>
      </c>
      <c r="F27" s="1"/>
      <c r="G27" s="1" t="str">
        <f ca="1" t="shared" si="14"/>
        <v/>
      </c>
      <c r="H27" s="1"/>
      <c r="I27" s="1" t="str">
        <f ca="1" t="shared" si="15"/>
        <v/>
      </c>
      <c r="J27" s="1"/>
      <c r="K27" s="1" t="str">
        <f ca="1" t="shared" si="16"/>
        <v/>
      </c>
      <c r="L27" s="1"/>
      <c r="M27" s="1">
        <f>CHOOSE($B$7,SUMIF(rScores_2014_O!$B$280:$AY$280,1,rScores_2014_O!$B18:$AY18)/rScores_2014_O!$BA$280,SUMIF(rScores_2014_N!$B$280:$AU$280,1,rScores_2014_N!$B18:$AU18)/rScores_2014_N!$AW$280,SUMIF(rScores_2017!$B$280:$BJ$280,1,rScores_2017!$B18:$BJ18)/rScores_2017!$BL$280)</f>
        <v>26.5545</v>
      </c>
      <c r="N27" s="1"/>
      <c r="O27" s="1"/>
      <c r="P27" s="1"/>
      <c r="Q27" s="1" t="str">
        <f ca="1" t="shared" si="0"/>
        <v/>
      </c>
      <c r="R27" s="1" t="str">
        <f ca="1">IF($C27=0,"",RANK(Q27,Q$12:Q$73,1)+COUNTIF(Q$12:Q27,Q27)-1)</f>
        <v/>
      </c>
      <c r="S27" s="1" t="str">
        <f ca="1" t="shared" si="1"/>
        <v/>
      </c>
      <c r="T27" s="269" t="str">
        <f ca="1" t="shared" si="2"/>
        <v/>
      </c>
      <c r="U27" s="269" t="str">
        <f ca="1" t="shared" si="3"/>
        <v/>
      </c>
      <c r="V27" s="269">
        <f ca="1" t="shared" si="4"/>
        <v>0</v>
      </c>
      <c r="W27" s="268" t="str">
        <f ca="1" t="shared" si="19"/>
        <v/>
      </c>
      <c r="X27" s="1" t="str">
        <f ca="1" t="shared" si="5"/>
        <v/>
      </c>
      <c r="Y27" s="1" t="str">
        <f ca="1" t="shared" si="6"/>
        <v/>
      </c>
      <c r="Z27" s="1" t="str">
        <f ca="1" t="shared" si="6"/>
        <v/>
      </c>
      <c r="AA27" s="1" t="str">
        <f ca="1" t="shared" si="7"/>
        <v/>
      </c>
      <c r="AB27" s="1" t="str">
        <f ca="1" t="shared" si="8"/>
        <v/>
      </c>
      <c r="AC27" s="1" t="str">
        <f ca="1" t="shared" si="9"/>
        <v/>
      </c>
      <c r="AD27" s="1" t="str">
        <f ca="1" t="shared" si="10"/>
        <v/>
      </c>
      <c r="AE27" s="1" t="str">
        <f ca="1" t="shared" si="11"/>
        <v/>
      </c>
      <c r="AF27" s="1" t="str">
        <f ca="1" t="shared" si="12"/>
        <v/>
      </c>
      <c r="AG27" s="1" t="str">
        <f ca="1" t="shared" si="12"/>
        <v/>
      </c>
      <c r="AH27" s="1" t="str">
        <f ca="1">IF(T27="","",IF(ISERROR(INDEX(aRank_2014_N,$S27+1,uxb_works!$B$25)),"",INDEX(aRank_2014_N,$S27+1,uxb_works!$B$25)))</f>
        <v/>
      </c>
      <c r="AI27" s="1"/>
      <c r="AJ27" s="18"/>
      <c r="AK27" s="1"/>
      <c r="AL27" s="277"/>
      <c r="AM27" s="268"/>
      <c r="AN27" s="1"/>
    </row>
    <row r="28" customFormat="1" spans="1:40">
      <c r="A28" s="1">
        <f t="shared" si="17"/>
        <v>17</v>
      </c>
      <c r="B28" s="1" t="str">
        <f>tblCategories!D19</f>
        <v>2.1.4) No. of doctors per 1,000</v>
      </c>
      <c r="C28" s="1">
        <f>IF(tblCategories!AC19="",0,tblCategories!AC19)</f>
        <v>0</v>
      </c>
      <c r="D28" s="1">
        <v>1</v>
      </c>
      <c r="E28" s="1" t="str">
        <f ca="1" t="shared" si="13"/>
        <v/>
      </c>
      <c r="F28" s="1"/>
      <c r="G28" s="1" t="str">
        <f ca="1" t="shared" si="14"/>
        <v/>
      </c>
      <c r="H28" s="1"/>
      <c r="I28" s="1" t="str">
        <f ca="1" t="shared" si="15"/>
        <v/>
      </c>
      <c r="J28" s="1"/>
      <c r="K28" s="1" t="str">
        <f ca="1" t="shared" si="16"/>
        <v/>
      </c>
      <c r="L28" s="1"/>
      <c r="M28" s="1">
        <f>CHOOSE($B$7,SUMIF(rScores_2014_O!$B$280:$AY$280,1,rScores_2014_O!$B19:$AY19)/rScores_2014_O!$BA$280,SUMIF(rScores_2014_N!$B$280:$AU$280,1,rScores_2014_N!$B19:$AU19)/rScores_2014_N!$AW$280,SUMIF(rScores_2017!$B$280:$BJ$280,1,rScores_2017!$B19:$BJ19)/rScores_2017!$BL$280)</f>
        <v>26.3901666666667</v>
      </c>
      <c r="N28" s="1"/>
      <c r="O28" s="1"/>
      <c r="P28" s="1"/>
      <c r="Q28" s="1" t="str">
        <f ca="1" t="shared" si="0"/>
        <v/>
      </c>
      <c r="R28" s="1" t="str">
        <f ca="1">IF($C28=0,"",RANK(Q28,Q$12:Q$73,1)+COUNTIF(Q$12:Q28,Q28)-1)</f>
        <v/>
      </c>
      <c r="S28" s="1" t="str">
        <f ca="1" t="shared" si="1"/>
        <v/>
      </c>
      <c r="T28" s="269" t="str">
        <f ca="1" t="shared" si="2"/>
        <v/>
      </c>
      <c r="U28" s="269" t="str">
        <f ca="1" t="shared" si="3"/>
        <v/>
      </c>
      <c r="V28" s="269">
        <f ca="1" t="shared" si="4"/>
        <v>0</v>
      </c>
      <c r="W28" s="268" t="str">
        <f ca="1" t="shared" si="19"/>
        <v/>
      </c>
      <c r="X28" s="1" t="str">
        <f ca="1" t="shared" si="5"/>
        <v/>
      </c>
      <c r="Y28" s="1" t="str">
        <f ca="1" t="shared" si="6"/>
        <v/>
      </c>
      <c r="Z28" s="1" t="str">
        <f ca="1" t="shared" si="6"/>
        <v/>
      </c>
      <c r="AA28" s="1" t="str">
        <f ca="1" t="shared" si="7"/>
        <v/>
      </c>
      <c r="AB28" s="1" t="str">
        <f ca="1" t="shared" si="8"/>
        <v/>
      </c>
      <c r="AC28" s="1" t="str">
        <f ca="1" t="shared" si="9"/>
        <v/>
      </c>
      <c r="AD28" s="1" t="str">
        <f ca="1" t="shared" si="10"/>
        <v/>
      </c>
      <c r="AE28" s="1" t="str">
        <f ca="1" t="shared" si="11"/>
        <v/>
      </c>
      <c r="AF28" s="1" t="str">
        <f ca="1" t="shared" si="12"/>
        <v/>
      </c>
      <c r="AG28" s="1" t="str">
        <f ca="1" t="shared" si="12"/>
        <v/>
      </c>
      <c r="AH28" s="1" t="str">
        <f ca="1">IF(T28="","",IF(ISERROR(INDEX(aRank_2014_N,$S28+1,uxb_works!$B$25)),"",INDEX(aRank_2014_N,$S28+1,uxb_works!$B$25)))</f>
        <v/>
      </c>
      <c r="AI28" s="1"/>
      <c r="AJ28" s="18"/>
      <c r="AK28" s="1"/>
      <c r="AL28" s="277"/>
      <c r="AM28" s="268"/>
      <c r="AN28" s="1"/>
    </row>
    <row r="29" customFormat="1" spans="1:40">
      <c r="A29" s="1">
        <f t="shared" si="17"/>
        <v>18</v>
      </c>
      <c r="B29" s="1" t="str">
        <f>tblCategories!D20</f>
        <v>2.1.5) Access to safe and quality food</v>
      </c>
      <c r="C29" s="1">
        <f>IF(tblCategories!AC20="",0,tblCategories!AC20)</f>
        <v>0</v>
      </c>
      <c r="D29" s="1">
        <v>1</v>
      </c>
      <c r="E29" s="1" t="str">
        <f ca="1" t="shared" si="13"/>
        <v/>
      </c>
      <c r="F29" s="1"/>
      <c r="G29" s="1" t="str">
        <f ca="1" t="shared" si="14"/>
        <v/>
      </c>
      <c r="H29" s="1"/>
      <c r="I29" s="1" t="str">
        <f ca="1" t="shared" si="15"/>
        <v/>
      </c>
      <c r="J29" s="1"/>
      <c r="K29" s="1" t="str">
        <f ca="1" t="shared" si="16"/>
        <v/>
      </c>
      <c r="L29" s="1"/>
      <c r="M29" s="1">
        <f>CHOOSE($B$7,SUMIF(rScores_2014_O!$B$280:$AY$280,1,rScores_2014_O!$B20:$AY20)/rScores_2014_O!$BA$280,SUMIF(rScores_2014_N!$B$280:$AU$280,1,rScores_2014_N!$B20:$AU20)/rScores_2014_N!$AW$280,SUMIF(rScores_2017!$B$280:$BJ$280,1,rScores_2017!$B20:$BJ20)/rScores_2017!$BL$280)</f>
        <v>94.9166666666667</v>
      </c>
      <c r="N29" s="1"/>
      <c r="O29" s="1"/>
      <c r="P29" s="1"/>
      <c r="Q29" s="1" t="str">
        <f ca="1" t="shared" si="0"/>
        <v/>
      </c>
      <c r="R29" s="1" t="str">
        <f ca="1">IF($C29=0,"",RANK(Q29,Q$12:Q$73,1)+COUNTIF(Q$12:Q29,Q29)-1)</f>
        <v/>
      </c>
      <c r="S29" s="1" t="str">
        <f ca="1" t="shared" si="1"/>
        <v/>
      </c>
      <c r="T29" s="269" t="str">
        <f ca="1" t="shared" si="2"/>
        <v/>
      </c>
      <c r="U29" s="269" t="str">
        <f ca="1" t="shared" si="3"/>
        <v/>
      </c>
      <c r="V29" s="269">
        <f ca="1" t="shared" si="4"/>
        <v>0</v>
      </c>
      <c r="W29" s="268" t="str">
        <f ca="1" t="shared" si="19"/>
        <v/>
      </c>
      <c r="X29" s="1" t="str">
        <f ca="1" t="shared" si="5"/>
        <v/>
      </c>
      <c r="Y29" s="1" t="str">
        <f ca="1" t="shared" si="6"/>
        <v/>
      </c>
      <c r="Z29" s="1" t="str">
        <f ca="1" t="shared" si="6"/>
        <v/>
      </c>
      <c r="AA29" s="1" t="str">
        <f ca="1" t="shared" si="7"/>
        <v/>
      </c>
      <c r="AB29" s="1" t="str">
        <f ca="1" t="shared" si="8"/>
        <v/>
      </c>
      <c r="AC29" s="1" t="str">
        <f ca="1" t="shared" si="9"/>
        <v/>
      </c>
      <c r="AD29" s="1" t="str">
        <f ca="1" t="shared" si="10"/>
        <v/>
      </c>
      <c r="AE29" s="1" t="str">
        <f ca="1" t="shared" si="11"/>
        <v/>
      </c>
      <c r="AF29" s="1" t="str">
        <f ca="1" t="shared" si="12"/>
        <v/>
      </c>
      <c r="AG29" s="1" t="str">
        <f ca="1" t="shared" si="12"/>
        <v/>
      </c>
      <c r="AH29" s="1" t="str">
        <f ca="1">IF(T29="","",IF(ISERROR(INDEX(aRank_2014_N,$S29+1,uxb_works!$B$25)),"",INDEX(aRank_2014_N,$S29+1,uxb_works!$B$25)))</f>
        <v/>
      </c>
      <c r="AI29" s="1"/>
      <c r="AJ29" s="18"/>
      <c r="AK29" s="1"/>
      <c r="AL29" s="277"/>
      <c r="AM29" s="268"/>
      <c r="AN29" s="1"/>
    </row>
    <row r="30" customFormat="1" spans="1:40">
      <c r="A30" s="1">
        <f t="shared" si="17"/>
        <v>19</v>
      </c>
      <c r="B30" s="1" t="str">
        <f>tblCategories!D21</f>
        <v>2.1.6) Quality of health services</v>
      </c>
      <c r="C30" s="1">
        <f>IF(tblCategories!AC21="",0,tblCategories!AC21)</f>
        <v>0</v>
      </c>
      <c r="D30" s="1">
        <v>1</v>
      </c>
      <c r="E30" s="1" t="str">
        <f ca="1" t="shared" si="13"/>
        <v/>
      </c>
      <c r="F30" s="1"/>
      <c r="G30" s="1" t="str">
        <f ca="1" t="shared" si="14"/>
        <v/>
      </c>
      <c r="H30" s="1"/>
      <c r="I30" s="1" t="str">
        <f ca="1" t="shared" si="15"/>
        <v/>
      </c>
      <c r="J30" s="1"/>
      <c r="K30" s="1" t="str">
        <f ca="1" t="shared" si="16"/>
        <v/>
      </c>
      <c r="L30" s="1"/>
      <c r="M30" s="1">
        <f>CHOOSE($B$7,SUMIF(rScores_2014_O!$B$280:$AY$280,1,rScores_2014_O!$B21:$AY21)/rScores_2014_O!$BA$280,SUMIF(rScores_2014_N!$B$280:$AU$280,1,rScores_2014_N!$B21:$AU21)/rScores_2014_N!$AW$280,SUMIF(rScores_2017!$B$280:$BJ$280,1,rScores_2017!$B21:$BJ21)/rScores_2017!$BL$280)</f>
        <v>72.5</v>
      </c>
      <c r="N30" s="1"/>
      <c r="O30" s="1"/>
      <c r="P30" s="1"/>
      <c r="Q30" s="1" t="str">
        <f ca="1" t="shared" si="0"/>
        <v/>
      </c>
      <c r="R30" s="1" t="str">
        <f ca="1">IF($C30=0,"",RANK(Q30,Q$12:Q$73,1)+COUNTIF(Q$12:Q30,Q30)-1)</f>
        <v/>
      </c>
      <c r="S30" s="1" t="str">
        <f ca="1" t="shared" si="1"/>
        <v/>
      </c>
      <c r="T30" s="269" t="str">
        <f ca="1" t="shared" si="2"/>
        <v/>
      </c>
      <c r="U30" s="269" t="str">
        <f ca="1" t="shared" si="3"/>
        <v/>
      </c>
      <c r="V30" s="269">
        <f ca="1" t="shared" si="4"/>
        <v>0</v>
      </c>
      <c r="W30" s="268" t="str">
        <f ca="1" t="shared" si="19"/>
        <v/>
      </c>
      <c r="X30" s="1" t="str">
        <f ca="1" t="shared" si="5"/>
        <v/>
      </c>
      <c r="Y30" s="1" t="str">
        <f ca="1" t="shared" si="6"/>
        <v/>
      </c>
      <c r="Z30" s="1" t="str">
        <f ca="1" t="shared" si="6"/>
        <v/>
      </c>
      <c r="AA30" s="1" t="str">
        <f ca="1" t="shared" si="7"/>
        <v/>
      </c>
      <c r="AB30" s="1" t="str">
        <f ca="1" t="shared" si="8"/>
        <v/>
      </c>
      <c r="AC30" s="1" t="str">
        <f ca="1" t="shared" si="9"/>
        <v/>
      </c>
      <c r="AD30" s="1" t="str">
        <f ca="1" t="shared" si="10"/>
        <v/>
      </c>
      <c r="AE30" s="1" t="str">
        <f ca="1" t="shared" si="11"/>
        <v/>
      </c>
      <c r="AF30" s="1" t="str">
        <f ca="1" t="shared" si="12"/>
        <v/>
      </c>
      <c r="AG30" s="1" t="str">
        <f ca="1" t="shared" si="12"/>
        <v/>
      </c>
      <c r="AH30" s="1" t="str">
        <f ca="1">IF(T30="","",IF(ISERROR(INDEX(aRank_2014_N,$S30+1,uxb_works!$B$25)),"",INDEX(aRank_2014_N,$S30+1,uxb_works!$B$25)))</f>
        <v/>
      </c>
      <c r="AI30" s="1"/>
      <c r="AJ30" s="18"/>
      <c r="AK30" s="1"/>
      <c r="AL30" s="277"/>
      <c r="AM30" s="268"/>
      <c r="AN30" s="1"/>
    </row>
    <row r="31" customFormat="1" spans="1:40">
      <c r="A31" s="1">
        <f t="shared" si="17"/>
        <v>20</v>
      </c>
      <c r="B31" s="1" t="str">
        <f>tblCategories!D22</f>
        <v>2.2) Health security (Outputs)</v>
      </c>
      <c r="C31" s="1">
        <f>IF(tblCategories!AC22="",0,tblCategories!AC22)</f>
        <v>0</v>
      </c>
      <c r="D31" s="1">
        <v>1</v>
      </c>
      <c r="E31" s="1" t="str">
        <f ca="1" t="shared" si="13"/>
        <v/>
      </c>
      <c r="F31" s="1"/>
      <c r="G31" s="1" t="str">
        <f ca="1" t="shared" si="14"/>
        <v/>
      </c>
      <c r="H31" s="1"/>
      <c r="I31" s="1" t="str">
        <f ca="1" t="shared" si="15"/>
        <v/>
      </c>
      <c r="J31" s="1"/>
      <c r="K31" s="1" t="str">
        <f ca="1" t="shared" si="16"/>
        <v/>
      </c>
      <c r="L31" s="1"/>
      <c r="M31" s="1">
        <f>CHOOSE($B$7,SUMIF(rScores_2014_O!$B$280:$AY$280,1,rScores_2014_O!$B22:$AY22)/rScores_2014_O!$BA$280,SUMIF(rScores_2014_N!$B$280:$AU$280,1,rScores_2014_N!$B22:$AU22)/rScores_2014_N!$AW$280,SUMIF(rScores_2017!$B$280:$BJ$280,1,rScores_2017!$B22:$BJ22)/rScores_2017!$BL$280)</f>
        <v>76.2593333333333</v>
      </c>
      <c r="N31" s="1"/>
      <c r="O31" s="1"/>
      <c r="P31" s="1"/>
      <c r="Q31" s="1" t="str">
        <f ca="1" t="shared" si="0"/>
        <v/>
      </c>
      <c r="R31" s="1" t="str">
        <f ca="1">IF($C31=0,"",RANK(Q31,Q$12:Q$73,1)+COUNTIF(Q$12:Q31,Q31)-1)</f>
        <v/>
      </c>
      <c r="S31" s="1" t="str">
        <f ca="1" t="shared" si="1"/>
        <v/>
      </c>
      <c r="T31" s="269" t="str">
        <f ca="1" t="shared" si="2"/>
        <v/>
      </c>
      <c r="U31" s="269" t="str">
        <f ca="1" t="shared" si="3"/>
        <v/>
      </c>
      <c r="V31" s="269">
        <f ca="1" t="shared" si="4"/>
        <v>0</v>
      </c>
      <c r="W31" s="268" t="str">
        <f ca="1" t="shared" si="19"/>
        <v/>
      </c>
      <c r="X31" s="1" t="str">
        <f ca="1" t="shared" si="5"/>
        <v/>
      </c>
      <c r="Y31" s="1" t="str">
        <f ca="1" t="shared" si="6"/>
        <v/>
      </c>
      <c r="Z31" s="1" t="str">
        <f ca="1" t="shared" si="6"/>
        <v/>
      </c>
      <c r="AA31" s="1" t="str">
        <f ca="1" t="shared" si="7"/>
        <v/>
      </c>
      <c r="AB31" s="1" t="str">
        <f ca="1" t="shared" si="8"/>
        <v/>
      </c>
      <c r="AC31" s="1" t="str">
        <f ca="1" t="shared" si="9"/>
        <v/>
      </c>
      <c r="AD31" s="1" t="str">
        <f ca="1" t="shared" si="10"/>
        <v/>
      </c>
      <c r="AE31" s="1" t="str">
        <f ca="1" t="shared" si="11"/>
        <v/>
      </c>
      <c r="AF31" s="1" t="str">
        <f ca="1" t="shared" si="12"/>
        <v/>
      </c>
      <c r="AG31" s="1" t="str">
        <f ca="1" t="shared" si="12"/>
        <v/>
      </c>
      <c r="AH31" s="1" t="str">
        <f ca="1">IF(T31="","",IF(ISERROR(INDEX(aRank_2014_N,$S31+1,uxb_works!$B$25)),"",INDEX(aRank_2014_N,$S31+1,uxb_works!$B$25)))</f>
        <v/>
      </c>
      <c r="AI31" s="1"/>
      <c r="AJ31" s="18"/>
      <c r="AK31" s="1"/>
      <c r="AL31" s="277"/>
      <c r="AM31" s="268"/>
      <c r="AN31" s="1"/>
    </row>
    <row r="32" customFormat="1" spans="1:40">
      <c r="A32" s="1">
        <f t="shared" si="17"/>
        <v>21</v>
      </c>
      <c r="B32" s="1" t="str">
        <f>tblCategories!D23</f>
        <v>2.2.1) Air quality (PM 2.5 levels)</v>
      </c>
      <c r="C32" s="1">
        <f>IF(tblCategories!AC23="",0,tblCategories!AC23)</f>
        <v>0</v>
      </c>
      <c r="D32" s="1">
        <v>1</v>
      </c>
      <c r="E32" s="1" t="str">
        <f ca="1" t="shared" si="13"/>
        <v/>
      </c>
      <c r="F32" s="1"/>
      <c r="G32" s="1" t="str">
        <f ca="1" t="shared" si="14"/>
        <v/>
      </c>
      <c r="H32" s="1"/>
      <c r="I32" s="1" t="str">
        <f ca="1" t="shared" si="15"/>
        <v/>
      </c>
      <c r="J32" s="1"/>
      <c r="K32" s="1" t="str">
        <f ca="1" t="shared" si="16"/>
        <v/>
      </c>
      <c r="L32" s="1"/>
      <c r="M32" s="1">
        <f>CHOOSE($B$7,SUMIF(rScores_2014_O!$B$280:$AY$280,1,rScores_2014_O!$B23:$AY23)/rScores_2014_O!$BA$280,SUMIF(rScores_2014_N!$B$280:$AU$280,1,rScores_2014_N!$B23:$AU23)/rScores_2014_N!$AW$280,SUMIF(rScores_2017!$B$280:$BJ$280,1,rScores_2017!$B23:$BJ23)/rScores_2017!$BL$280)</f>
        <v>70.2713333333333</v>
      </c>
      <c r="N32" s="1"/>
      <c r="O32" s="1"/>
      <c r="P32" s="1"/>
      <c r="Q32" s="1" t="str">
        <f ca="1" t="shared" si="0"/>
        <v/>
      </c>
      <c r="R32" s="1" t="str">
        <f ca="1">IF($C32=0,"",RANK(Q32,Q$12:Q$73,1)+COUNTIF(Q$12:Q32,Q32)-1)</f>
        <v/>
      </c>
      <c r="S32" s="1" t="str">
        <f ca="1" t="shared" si="1"/>
        <v/>
      </c>
      <c r="T32" s="269" t="str">
        <f ca="1" t="shared" si="2"/>
        <v/>
      </c>
      <c r="U32" s="269" t="str">
        <f ca="1" t="shared" si="3"/>
        <v/>
      </c>
      <c r="V32" s="269">
        <f ca="1" t="shared" si="4"/>
        <v>0</v>
      </c>
      <c r="W32" s="268" t="str">
        <f ca="1" t="shared" si="19"/>
        <v/>
      </c>
      <c r="X32" s="1" t="str">
        <f ca="1" t="shared" si="5"/>
        <v/>
      </c>
      <c r="Y32" s="1" t="str">
        <f ca="1" t="shared" ref="Y32:Z51" si="20">IF($S32="","",INDEX($E$12:$O$73,$S32,Y$10))</f>
        <v/>
      </c>
      <c r="Z32" s="1" t="str">
        <f ca="1" t="shared" si="20"/>
        <v/>
      </c>
      <c r="AA32" s="1" t="str">
        <f ca="1" t="shared" si="7"/>
        <v/>
      </c>
      <c r="AB32" s="1" t="str">
        <f ca="1" t="shared" si="8"/>
        <v/>
      </c>
      <c r="AC32" s="1" t="str">
        <f ca="1" t="shared" si="9"/>
        <v/>
      </c>
      <c r="AD32" s="1" t="str">
        <f ca="1" t="shared" si="10"/>
        <v/>
      </c>
      <c r="AE32" s="1" t="str">
        <f ca="1" t="shared" si="11"/>
        <v/>
      </c>
      <c r="AF32" s="1" t="str">
        <f ca="1" t="shared" ref="AF32:AG51" si="21">IF($S32="","",INDEX($E$12:$O$73,$S32,AF$10))</f>
        <v/>
      </c>
      <c r="AG32" s="1" t="str">
        <f ca="1" t="shared" si="21"/>
        <v/>
      </c>
      <c r="AH32" s="1" t="str">
        <f ca="1">IF(T32="","",IF(ISERROR(INDEX(aRank_2014_N,$S32+1,uxb_works!$B$25)),"",INDEX(aRank_2014_N,$S32+1,uxb_works!$B$25)))</f>
        <v/>
      </c>
      <c r="AI32" s="1"/>
      <c r="AJ32" s="18"/>
      <c r="AK32" s="1"/>
      <c r="AL32" s="277"/>
      <c r="AM32" s="268"/>
      <c r="AN32" s="1"/>
    </row>
    <row r="33" customFormat="1" spans="1:40">
      <c r="A33" s="1">
        <f t="shared" si="17"/>
        <v>22</v>
      </c>
      <c r="B33" s="1" t="str">
        <f>tblCategories!D24</f>
        <v>2.2.2) Water quality</v>
      </c>
      <c r="C33" s="1">
        <f>IF(tblCategories!AC24="",0,tblCategories!AC24)</f>
        <v>0</v>
      </c>
      <c r="D33" s="1">
        <v>1</v>
      </c>
      <c r="E33" s="1" t="str">
        <f ca="1" t="shared" si="13"/>
        <v/>
      </c>
      <c r="F33" s="1"/>
      <c r="G33" s="1" t="str">
        <f ca="1" t="shared" si="14"/>
        <v/>
      </c>
      <c r="H33" s="1"/>
      <c r="I33" s="1" t="str">
        <f ca="1" t="shared" si="15"/>
        <v/>
      </c>
      <c r="J33" s="1"/>
      <c r="K33" s="1" t="str">
        <f ca="1" t="shared" si="16"/>
        <v/>
      </c>
      <c r="L33" s="1"/>
      <c r="M33" s="1">
        <f>CHOOSE($B$7,SUMIF(rScores_2014_O!$B$280:$AY$280,1,rScores_2014_O!$B24:$AY24)/rScores_2014_O!$BA$280,SUMIF(rScores_2014_N!$B$280:$AU$280,1,rScores_2014_N!$B24:$AU24)/rScores_2014_N!$AW$280,SUMIF(rScores_2017!$B$280:$BJ$280,1,rScores_2017!$B24:$BJ24)/rScores_2017!$BL$280)</f>
        <v>80.7033333333333</v>
      </c>
      <c r="N33" s="1"/>
      <c r="O33" s="1"/>
      <c r="P33" s="1"/>
      <c r="Q33" s="1" t="str">
        <f ca="1" t="shared" si="0"/>
        <v/>
      </c>
      <c r="R33" s="1" t="str">
        <f ca="1">IF($C33=0,"",RANK(Q33,Q$12:Q$73,1)+COUNTIF(Q$12:Q33,Q33)-1)</f>
        <v/>
      </c>
      <c r="S33" s="1" t="str">
        <f ca="1" t="shared" si="1"/>
        <v/>
      </c>
      <c r="T33" s="269" t="str">
        <f ca="1" t="shared" si="2"/>
        <v/>
      </c>
      <c r="U33" s="269" t="str">
        <f ca="1" t="shared" si="3"/>
        <v/>
      </c>
      <c r="V33" s="269">
        <f ca="1" t="shared" si="4"/>
        <v>0</v>
      </c>
      <c r="W33" s="268" t="str">
        <f ca="1" t="shared" si="19"/>
        <v/>
      </c>
      <c r="X33" s="1" t="str">
        <f ca="1" t="shared" si="5"/>
        <v/>
      </c>
      <c r="Y33" s="1" t="str">
        <f ca="1" t="shared" si="20"/>
        <v/>
      </c>
      <c r="Z33" s="1" t="str">
        <f ca="1" t="shared" si="20"/>
        <v/>
      </c>
      <c r="AA33" s="1" t="str">
        <f ca="1" t="shared" si="7"/>
        <v/>
      </c>
      <c r="AB33" s="1" t="str">
        <f ca="1" t="shared" si="8"/>
        <v/>
      </c>
      <c r="AC33" s="1" t="str">
        <f ca="1" t="shared" si="9"/>
        <v/>
      </c>
      <c r="AD33" s="1" t="str">
        <f ca="1" t="shared" si="10"/>
        <v/>
      </c>
      <c r="AE33" s="1" t="str">
        <f ca="1" t="shared" si="11"/>
        <v/>
      </c>
      <c r="AF33" s="1" t="str">
        <f ca="1" t="shared" si="21"/>
        <v/>
      </c>
      <c r="AG33" s="1" t="str">
        <f ca="1" t="shared" si="21"/>
        <v/>
      </c>
      <c r="AH33" s="1" t="str">
        <f ca="1">IF(T33="","",IF(ISERROR(INDEX(aRank_2014_N,$S33+1,uxb_works!$B$25)),"",INDEX(aRank_2014_N,$S33+1,uxb_works!$B$25)))</f>
        <v/>
      </c>
      <c r="AI33" s="1"/>
      <c r="AJ33" s="18"/>
      <c r="AK33" s="1"/>
      <c r="AL33" s="277"/>
      <c r="AM33" s="268"/>
      <c r="AN33" s="1"/>
    </row>
    <row r="34" customFormat="1" spans="1:40">
      <c r="A34" s="1">
        <f t="shared" si="17"/>
        <v>23</v>
      </c>
      <c r="B34" s="1" t="str">
        <f>tblCategories!D25</f>
        <v>2.2.3) Life expectancy years</v>
      </c>
      <c r="C34" s="1">
        <f>IF(tblCategories!AC25="",0,tblCategories!AC25)</f>
        <v>0</v>
      </c>
      <c r="D34" s="1">
        <v>1</v>
      </c>
      <c r="E34" s="1" t="str">
        <f ca="1" t="shared" si="13"/>
        <v/>
      </c>
      <c r="F34" s="1"/>
      <c r="G34" s="1" t="str">
        <f ca="1" t="shared" si="14"/>
        <v/>
      </c>
      <c r="H34" s="1"/>
      <c r="I34" s="1" t="str">
        <f ca="1" t="shared" si="15"/>
        <v/>
      </c>
      <c r="J34" s="1"/>
      <c r="K34" s="1" t="str">
        <f ca="1" t="shared" si="16"/>
        <v/>
      </c>
      <c r="L34" s="1"/>
      <c r="M34" s="1">
        <f>CHOOSE($B$7,SUMIF(rScores_2014_O!$B$280:$AY$280,1,rScores_2014_O!$B25:$AY25)/rScores_2014_O!$BA$280,SUMIF(rScores_2014_N!$B$280:$AU$280,1,rScores_2014_N!$B25:$AU25)/rScores_2014_N!$AW$280,SUMIF(rScores_2017!$B$280:$BJ$280,1,rScores_2017!$B25:$BJ25)/rScores_2017!$BL$280)</f>
        <v>73.8416666666667</v>
      </c>
      <c r="N34" s="1"/>
      <c r="O34" s="1"/>
      <c r="P34" s="1"/>
      <c r="Q34" s="1" t="str">
        <f ca="1" t="shared" si="0"/>
        <v/>
      </c>
      <c r="R34" s="1" t="str">
        <f ca="1">IF($C34=0,"",RANK(Q34,Q$12:Q$73,1)+COUNTIF(Q$12:Q34,Q34)-1)</f>
        <v/>
      </c>
      <c r="S34" s="1" t="str">
        <f ca="1" t="shared" si="1"/>
        <v/>
      </c>
      <c r="T34" s="269" t="str">
        <f ca="1" t="shared" si="2"/>
        <v/>
      </c>
      <c r="U34" s="269" t="str">
        <f ca="1" t="shared" si="3"/>
        <v/>
      </c>
      <c r="V34" s="269">
        <f ca="1" t="shared" si="4"/>
        <v>0</v>
      </c>
      <c r="W34" s="268" t="str">
        <f ca="1" t="shared" si="19"/>
        <v/>
      </c>
      <c r="X34" s="1" t="str">
        <f ca="1" t="shared" si="5"/>
        <v/>
      </c>
      <c r="Y34" s="1" t="str">
        <f ca="1" t="shared" si="20"/>
        <v/>
      </c>
      <c r="Z34" s="1" t="str">
        <f ca="1" t="shared" si="20"/>
        <v/>
      </c>
      <c r="AA34" s="1" t="str">
        <f ca="1" t="shared" si="7"/>
        <v/>
      </c>
      <c r="AB34" s="1" t="str">
        <f ca="1" t="shared" si="8"/>
        <v/>
      </c>
      <c r="AC34" s="1" t="str">
        <f ca="1" t="shared" si="9"/>
        <v/>
      </c>
      <c r="AD34" s="1" t="str">
        <f ca="1" t="shared" si="10"/>
        <v/>
      </c>
      <c r="AE34" s="1" t="str">
        <f ca="1" t="shared" si="11"/>
        <v/>
      </c>
      <c r="AF34" s="1" t="str">
        <f ca="1" t="shared" si="21"/>
        <v/>
      </c>
      <c r="AG34" s="1" t="str">
        <f ca="1" t="shared" si="21"/>
        <v/>
      </c>
      <c r="AH34" s="1" t="str">
        <f ca="1">IF(T34="","",IF(ISERROR(INDEX(aRank_2014_N,$S34+1,uxb_works!$B$25)),"",INDEX(aRank_2014_N,$S34+1,uxb_works!$B$25)))</f>
        <v/>
      </c>
      <c r="AI34" s="1"/>
      <c r="AJ34" s="18"/>
      <c r="AK34" s="1"/>
      <c r="AL34" s="277"/>
      <c r="AM34" s="268"/>
      <c r="AN34" s="1"/>
    </row>
    <row r="35" customFormat="1" spans="1:40">
      <c r="A35" s="1">
        <f t="shared" si="17"/>
        <v>24</v>
      </c>
      <c r="B35" s="1" t="str">
        <f>tblCategories!D26</f>
        <v>2.2.4) Infant mortality</v>
      </c>
      <c r="C35" s="1">
        <f>IF(tblCategories!AC26="",0,tblCategories!AC26)</f>
        <v>0</v>
      </c>
      <c r="D35" s="1">
        <v>1</v>
      </c>
      <c r="E35" s="1" t="str">
        <f ca="1" t="shared" si="13"/>
        <v/>
      </c>
      <c r="F35" s="1"/>
      <c r="G35" s="1" t="str">
        <f ca="1" t="shared" si="14"/>
        <v/>
      </c>
      <c r="H35" s="1"/>
      <c r="I35" s="1" t="str">
        <f ca="1" t="shared" si="15"/>
        <v/>
      </c>
      <c r="J35" s="1"/>
      <c r="K35" s="1" t="str">
        <f ca="1" t="shared" si="16"/>
        <v/>
      </c>
      <c r="L35" s="1"/>
      <c r="M35" s="1">
        <f>CHOOSE($B$7,SUMIF(rScores_2014_O!$B$280:$AY$280,1,rScores_2014_O!$B26:$AY26)/rScores_2014_O!$BA$280,SUMIF(rScores_2014_N!$B$280:$AU$280,1,rScores_2014_N!$B26:$AU26)/rScores_2014_N!$AW$280,SUMIF(rScores_2017!$B$280:$BJ$280,1,rScores_2017!$B26:$BJ26)/rScores_2017!$BL$280)</f>
        <v>84.7096666666667</v>
      </c>
      <c r="N35" s="1"/>
      <c r="O35" s="1"/>
      <c r="P35" s="1"/>
      <c r="Q35" s="1" t="str">
        <f ca="1" t="shared" si="0"/>
        <v/>
      </c>
      <c r="R35" s="1" t="str">
        <f ca="1">IF($C35=0,"",RANK(Q35,Q$12:Q$73,1)+COUNTIF(Q$12:Q35,Q35)-1)</f>
        <v/>
      </c>
      <c r="S35" s="1" t="str">
        <f ca="1" t="shared" si="1"/>
        <v/>
      </c>
      <c r="T35" s="269" t="str">
        <f ca="1" t="shared" si="2"/>
        <v/>
      </c>
      <c r="U35" s="269" t="str">
        <f ca="1" t="shared" si="3"/>
        <v/>
      </c>
      <c r="V35" s="269">
        <f ca="1" t="shared" si="4"/>
        <v>0</v>
      </c>
      <c r="W35" s="268" t="str">
        <f ca="1" t="shared" si="19"/>
        <v/>
      </c>
      <c r="X35" s="1" t="str">
        <f ca="1" t="shared" si="5"/>
        <v/>
      </c>
      <c r="Y35" s="1" t="str">
        <f ca="1" t="shared" si="20"/>
        <v/>
      </c>
      <c r="Z35" s="1" t="str">
        <f ca="1" t="shared" si="20"/>
        <v/>
      </c>
      <c r="AA35" s="1" t="str">
        <f ca="1" t="shared" si="7"/>
        <v/>
      </c>
      <c r="AB35" s="1" t="str">
        <f ca="1" t="shared" si="8"/>
        <v/>
      </c>
      <c r="AC35" s="1" t="str">
        <f ca="1" t="shared" si="9"/>
        <v/>
      </c>
      <c r="AD35" s="1" t="str">
        <f ca="1" t="shared" si="10"/>
        <v/>
      </c>
      <c r="AE35" s="1" t="str">
        <f ca="1" t="shared" si="11"/>
        <v/>
      </c>
      <c r="AF35" s="1" t="str">
        <f ca="1" t="shared" si="21"/>
        <v/>
      </c>
      <c r="AG35" s="1" t="str">
        <f ca="1" t="shared" si="21"/>
        <v/>
      </c>
      <c r="AH35" s="1" t="str">
        <f ca="1">IF(T35="","",IF(ISERROR(INDEX(aRank_2014_N,$S35+1,uxb_works!$B$25)),"",INDEX(aRank_2014_N,$S35+1,uxb_works!$B$25)))</f>
        <v/>
      </c>
      <c r="AI35" s="1"/>
      <c r="AJ35" s="18"/>
      <c r="AK35" s="1"/>
      <c r="AL35" s="277"/>
      <c r="AM35" s="268"/>
      <c r="AN35" s="1"/>
    </row>
    <row r="36" customFormat="1" spans="1:40">
      <c r="A36" s="1">
        <f t="shared" si="17"/>
        <v>25</v>
      </c>
      <c r="B36" s="1" t="str">
        <f>tblCategories!D27</f>
        <v>2.2.5) Cancer mortality rate</v>
      </c>
      <c r="C36" s="1">
        <f>IF(tblCategories!AC27="",0,tblCategories!AC27)</f>
        <v>0</v>
      </c>
      <c r="D36" s="1">
        <v>1</v>
      </c>
      <c r="E36" s="1" t="str">
        <f ca="1" t="shared" si="13"/>
        <v/>
      </c>
      <c r="F36" s="1"/>
      <c r="G36" s="1" t="str">
        <f ca="1" t="shared" si="14"/>
        <v/>
      </c>
      <c r="H36" s="1"/>
      <c r="I36" s="1" t="str">
        <f ca="1" t="shared" si="15"/>
        <v/>
      </c>
      <c r="J36" s="1"/>
      <c r="K36" s="1" t="str">
        <f ca="1" t="shared" si="16"/>
        <v/>
      </c>
      <c r="L36" s="1"/>
      <c r="M36" s="1">
        <f>CHOOSE($B$7,SUMIF(rScores_2014_O!$B$280:$AY$280,1,rScores_2014_O!$B27:$AY27)/rScores_2014_O!$BA$280,SUMIF(rScores_2014_N!$B$280:$AU$280,1,rScores_2014_N!$B27:$AU27)/rScores_2014_N!$AW$280,SUMIF(rScores_2017!$B$280:$BJ$280,1,rScores_2017!$B27:$BJ27)/rScores_2017!$BL$280)</f>
        <v>53.453</v>
      </c>
      <c r="N36" s="1"/>
      <c r="O36" s="1"/>
      <c r="P36" s="1"/>
      <c r="Q36" s="1" t="str">
        <f ca="1" t="shared" si="0"/>
        <v/>
      </c>
      <c r="R36" s="1" t="str">
        <f ca="1">IF($C36=0,"",RANK(Q36,Q$12:Q$73,1)+COUNTIF(Q$12:Q36,Q36)-1)</f>
        <v/>
      </c>
      <c r="S36" s="1" t="str">
        <f ca="1" t="shared" si="1"/>
        <v/>
      </c>
      <c r="T36" s="269" t="str">
        <f ca="1" t="shared" si="2"/>
        <v/>
      </c>
      <c r="U36" s="269" t="str">
        <f ca="1" t="shared" si="3"/>
        <v/>
      </c>
      <c r="V36" s="269">
        <f ca="1" t="shared" si="4"/>
        <v>0</v>
      </c>
      <c r="W36" s="268" t="str">
        <f ca="1" t="shared" si="19"/>
        <v/>
      </c>
      <c r="X36" s="1" t="str">
        <f ca="1" t="shared" si="5"/>
        <v/>
      </c>
      <c r="Y36" s="1" t="str">
        <f ca="1" t="shared" si="20"/>
        <v/>
      </c>
      <c r="Z36" s="1" t="str">
        <f ca="1" t="shared" si="20"/>
        <v/>
      </c>
      <c r="AA36" s="1" t="str">
        <f ca="1" t="shared" si="7"/>
        <v/>
      </c>
      <c r="AB36" s="1" t="str">
        <f ca="1" t="shared" si="8"/>
        <v/>
      </c>
      <c r="AC36" s="1" t="str">
        <f ca="1" t="shared" si="9"/>
        <v/>
      </c>
      <c r="AD36" s="1" t="str">
        <f ca="1" t="shared" si="10"/>
        <v/>
      </c>
      <c r="AE36" s="1" t="str">
        <f ca="1" t="shared" si="11"/>
        <v/>
      </c>
      <c r="AF36" s="1" t="str">
        <f ca="1" t="shared" si="21"/>
        <v/>
      </c>
      <c r="AG36" s="1" t="str">
        <f ca="1" t="shared" si="21"/>
        <v/>
      </c>
      <c r="AH36" s="1" t="str">
        <f ca="1">IF(T36="","",IF(ISERROR(INDEX(aRank_2014_N,$S36+1,uxb_works!$B$25)),"",INDEX(aRank_2014_N,$S36+1,uxb_works!$B$25)))</f>
        <v/>
      </c>
      <c r="AI36" s="1"/>
      <c r="AJ36" s="18"/>
      <c r="AK36" s="1"/>
      <c r="AL36" s="277"/>
      <c r="AM36" s="268"/>
      <c r="AN36" s="1"/>
    </row>
    <row r="37" customFormat="1" spans="1:40">
      <c r="A37" s="1">
        <f t="shared" si="17"/>
        <v>26</v>
      </c>
      <c r="B37" s="1" t="str">
        <f>tblCategories!D28</f>
        <v>2.2.6) Number of attacks using biological, chemical and/or radiological weapons</v>
      </c>
      <c r="C37" s="1">
        <f>IF(tblCategories!AC28="",0,tblCategories!AC28)</f>
        <v>0</v>
      </c>
      <c r="D37" s="1">
        <v>1</v>
      </c>
      <c r="E37" s="1" t="str">
        <f ca="1" t="shared" si="13"/>
        <v/>
      </c>
      <c r="F37" s="1"/>
      <c r="G37" s="1" t="str">
        <f ca="1" t="shared" si="14"/>
        <v/>
      </c>
      <c r="H37" s="1"/>
      <c r="I37" s="1" t="str">
        <f ca="1" t="shared" si="15"/>
        <v/>
      </c>
      <c r="J37" s="1"/>
      <c r="K37" s="1" t="str">
        <f ca="1" t="shared" si="16"/>
        <v/>
      </c>
      <c r="L37" s="1"/>
      <c r="M37" s="1">
        <f>CHOOSE($B$7,SUMIF(rScores_2014_O!$B$280:$AY$280,1,rScores_2014_O!$B28:$AY28)/rScores_2014_O!$BA$280,SUMIF(rScores_2014_N!$B$280:$AU$280,1,rScores_2014_N!$B28:$AU28)/rScores_2014_N!$AW$280,SUMIF(rScores_2017!$B$280:$BJ$280,1,rScores_2017!$B28:$BJ28)/rScores_2017!$BL$280)</f>
        <v>94.5833333333333</v>
      </c>
      <c r="N37" s="1"/>
      <c r="O37" s="1"/>
      <c r="P37" s="1"/>
      <c r="Q37" s="1" t="str">
        <f ca="1" t="shared" si="0"/>
        <v/>
      </c>
      <c r="R37" s="1" t="str">
        <f ca="1">IF($C37=0,"",RANK(Q37,Q$12:Q$73,1)+COUNTIF(Q$12:Q37,Q37)-1)</f>
        <v/>
      </c>
      <c r="S37" s="1" t="str">
        <f ca="1" t="shared" si="1"/>
        <v/>
      </c>
      <c r="T37" s="269" t="str">
        <f ca="1" t="shared" si="2"/>
        <v/>
      </c>
      <c r="U37" s="269" t="str">
        <f ca="1" t="shared" si="3"/>
        <v/>
      </c>
      <c r="V37" s="269">
        <f ca="1" t="shared" si="4"/>
        <v>0</v>
      </c>
      <c r="W37" s="268" t="str">
        <f ca="1" t="shared" si="19"/>
        <v/>
      </c>
      <c r="X37" s="1" t="str">
        <f ca="1" t="shared" si="5"/>
        <v/>
      </c>
      <c r="Y37" s="1" t="str">
        <f ca="1" t="shared" si="20"/>
        <v/>
      </c>
      <c r="Z37" s="1" t="str">
        <f ca="1" t="shared" si="20"/>
        <v/>
      </c>
      <c r="AA37" s="1" t="str">
        <f ca="1" t="shared" si="7"/>
        <v/>
      </c>
      <c r="AB37" s="1" t="str">
        <f ca="1" t="shared" si="8"/>
        <v/>
      </c>
      <c r="AC37" s="1" t="str">
        <f ca="1" t="shared" si="9"/>
        <v/>
      </c>
      <c r="AD37" s="1" t="str">
        <f ca="1" t="shared" si="10"/>
        <v/>
      </c>
      <c r="AE37" s="1" t="str">
        <f ca="1" t="shared" si="11"/>
        <v/>
      </c>
      <c r="AF37" s="1" t="str">
        <f ca="1" t="shared" si="21"/>
        <v/>
      </c>
      <c r="AG37" s="1" t="str">
        <f ca="1" t="shared" si="21"/>
        <v/>
      </c>
      <c r="AH37" s="1" t="str">
        <f ca="1">IF(T37="","",IF(ISERROR(INDEX(aRank_2014_N,$S37+1,uxb_works!$B$25)),"",INDEX(aRank_2014_N,$S37+1,uxb_works!$B$25)))</f>
        <v/>
      </c>
      <c r="AI37" s="1"/>
      <c r="AJ37" s="18"/>
      <c r="AK37" s="1"/>
      <c r="AL37" s="277"/>
      <c r="AM37" s="268"/>
      <c r="AN37" s="1"/>
    </row>
    <row r="38" customFormat="1" spans="1:40">
      <c r="A38" s="1">
        <f t="shared" si="17"/>
        <v>27</v>
      </c>
      <c r="B38" s="1" t="str">
        <f>tblCategories!D29</f>
        <v>3) INFRASTRUCTURE SECURITY</v>
      </c>
      <c r="C38" s="1">
        <f>IF(tblCategories!AC29="",0,tblCategories!AC29)</f>
        <v>1</v>
      </c>
      <c r="D38" s="1">
        <v>1</v>
      </c>
      <c r="E38" s="1">
        <f ca="1" t="shared" si="13"/>
        <v>91.3641602398045</v>
      </c>
      <c r="F38" s="1"/>
      <c r="G38" s="1">
        <f ca="1" t="shared" si="14"/>
        <v>91.3641602398045</v>
      </c>
      <c r="H38" s="1"/>
      <c r="I38" s="1" t="e">
        <f ca="1" t="shared" si="15"/>
        <v>#VALUE!</v>
      </c>
      <c r="J38" s="1"/>
      <c r="K38" s="1" t="e">
        <f ca="1" t="shared" si="16"/>
        <v>#VALUE!</v>
      </c>
      <c r="L38" s="1"/>
      <c r="M38" s="1">
        <f>CHOOSE($B$7,SUMIF(rScores_2014_O!$B$280:$AY$280,1,rScores_2014_O!$B29:$AY29)/rScores_2014_O!$BA$280,SUMIF(rScores_2014_N!$B$280:$AU$280,1,rScores_2014_N!$B29:$AU29)/rScores_2014_N!$AW$280,SUMIF(rScores_2017!$B$280:$BJ$280,1,rScores_2017!$B29:$BJ29)/rScores_2017!$BL$280)</f>
        <v>78.2028333333333</v>
      </c>
      <c r="N38" s="1"/>
      <c r="O38" s="1"/>
      <c r="P38" s="1"/>
      <c r="Q38" s="1">
        <f ca="1" t="shared" si="0"/>
        <v>1</v>
      </c>
      <c r="R38" s="1">
        <f ca="1">IF($C38=0,"",RANK(Q38,Q$12:Q$73,1)+COUNTIF(Q$12:Q38,Q38)-1)</f>
        <v>3</v>
      </c>
      <c r="S38" s="1" t="str">
        <f ca="1" t="shared" si="1"/>
        <v/>
      </c>
      <c r="T38" s="269" t="str">
        <f ca="1" t="shared" si="2"/>
        <v/>
      </c>
      <c r="U38" s="269" t="str">
        <f ca="1" t="shared" si="3"/>
        <v/>
      </c>
      <c r="V38" s="269">
        <f ca="1" t="shared" si="4"/>
        <v>0</v>
      </c>
      <c r="W38" s="268" t="str">
        <f ca="1" t="shared" si="19"/>
        <v/>
      </c>
      <c r="X38" s="1" t="str">
        <f ca="1" t="shared" si="5"/>
        <v/>
      </c>
      <c r="Y38" s="1" t="str">
        <f ca="1" t="shared" si="20"/>
        <v/>
      </c>
      <c r="Z38" s="1" t="str">
        <f ca="1" t="shared" si="20"/>
        <v/>
      </c>
      <c r="AA38" s="1" t="str">
        <f ca="1" t="shared" si="7"/>
        <v/>
      </c>
      <c r="AB38" s="1" t="str">
        <f ca="1" t="shared" si="8"/>
        <v/>
      </c>
      <c r="AC38" s="1" t="str">
        <f ca="1" t="shared" si="9"/>
        <v/>
      </c>
      <c r="AD38" s="1" t="str">
        <f ca="1" t="shared" si="10"/>
        <v/>
      </c>
      <c r="AE38" s="1" t="str">
        <f ca="1" t="shared" si="11"/>
        <v/>
      </c>
      <c r="AF38" s="1" t="str">
        <f ca="1" t="shared" si="21"/>
        <v/>
      </c>
      <c r="AG38" s="1" t="str">
        <f ca="1" t="shared" si="21"/>
        <v/>
      </c>
      <c r="AH38" s="1" t="str">
        <f ca="1">IF(T38="","",IF(ISERROR(INDEX(aRank_2014_N,$S38+1,uxb_works!$B$25)),"",INDEX(aRank_2014_N,$S38+1,uxb_works!$B$25)))</f>
        <v/>
      </c>
      <c r="AI38" s="1"/>
      <c r="AJ38" s="18"/>
      <c r="AK38" s="1"/>
      <c r="AL38" s="277"/>
      <c r="AM38" s="268"/>
      <c r="AN38" s="1"/>
    </row>
    <row r="39" customFormat="1" spans="1:40">
      <c r="A39" s="1">
        <f t="shared" si="17"/>
        <v>28</v>
      </c>
      <c r="B39" s="1" t="str">
        <f>tblCategories!D30</f>
        <v>3.1) Infrastructure security (Inputs)</v>
      </c>
      <c r="C39" s="1">
        <f>IF(tblCategories!AC30="",0,tblCategories!AC30)</f>
        <v>0</v>
      </c>
      <c r="D39" s="1">
        <v>1</v>
      </c>
      <c r="E39" s="1" t="str">
        <f ca="1" t="shared" si="13"/>
        <v/>
      </c>
      <c r="F39" s="1"/>
      <c r="G39" s="1" t="str">
        <f ca="1" t="shared" si="14"/>
        <v/>
      </c>
      <c r="H39" s="1"/>
      <c r="I39" s="1" t="str">
        <f ca="1" t="shared" si="15"/>
        <v/>
      </c>
      <c r="J39" s="1"/>
      <c r="K39" s="1" t="str">
        <f ca="1" t="shared" si="16"/>
        <v/>
      </c>
      <c r="L39" s="1"/>
      <c r="M39" s="1">
        <f>CHOOSE($B$7,SUMIF(rScores_2014_O!$B$280:$AY$280,1,rScores_2014_O!$B30:$AY30)/rScores_2014_O!$BA$280,SUMIF(rScores_2014_N!$B$280:$AU$280,1,rScores_2014_N!$B30:$AU30)/rScores_2014_N!$AW$280,SUMIF(rScores_2017!$B$280:$BJ$280,1,rScores_2017!$B30:$BJ30)/rScores_2017!$BL$280)</f>
        <v>73.575</v>
      </c>
      <c r="N39" s="1"/>
      <c r="O39" s="1"/>
      <c r="P39" s="1"/>
      <c r="Q39" s="1" t="str">
        <f ca="1" t="shared" si="0"/>
        <v/>
      </c>
      <c r="R39" s="1" t="str">
        <f ca="1">IF($C39=0,"",RANK(Q39,Q$12:Q$73,1)+COUNTIF(Q$12:Q39,Q39)-1)</f>
        <v/>
      </c>
      <c r="S39" s="1" t="str">
        <f ca="1" t="shared" si="1"/>
        <v/>
      </c>
      <c r="T39" s="269" t="str">
        <f ca="1" t="shared" si="2"/>
        <v/>
      </c>
      <c r="U39" s="269" t="str">
        <f ca="1" t="shared" si="3"/>
        <v/>
      </c>
      <c r="V39" s="269">
        <f ca="1" t="shared" si="4"/>
        <v>0</v>
      </c>
      <c r="W39" s="268" t="str">
        <f ca="1" t="shared" si="19"/>
        <v/>
      </c>
      <c r="X39" s="1" t="str">
        <f ca="1" t="shared" si="5"/>
        <v/>
      </c>
      <c r="Y39" s="1" t="str">
        <f ca="1" t="shared" si="20"/>
        <v/>
      </c>
      <c r="Z39" s="1" t="str">
        <f ca="1" t="shared" si="20"/>
        <v/>
      </c>
      <c r="AA39" s="1" t="str">
        <f ca="1" t="shared" si="7"/>
        <v/>
      </c>
      <c r="AB39" s="1" t="str">
        <f ca="1" t="shared" si="8"/>
        <v/>
      </c>
      <c r="AC39" s="1" t="str">
        <f ca="1" t="shared" si="9"/>
        <v/>
      </c>
      <c r="AD39" s="1" t="str">
        <f ca="1" t="shared" si="10"/>
        <v/>
      </c>
      <c r="AE39" s="1" t="str">
        <f ca="1" t="shared" si="11"/>
        <v/>
      </c>
      <c r="AF39" s="1" t="str">
        <f ca="1" t="shared" si="21"/>
        <v/>
      </c>
      <c r="AG39" s="1" t="str">
        <f ca="1" t="shared" si="21"/>
        <v/>
      </c>
      <c r="AH39" s="1" t="str">
        <f ca="1">IF(T39="","",IF(ISERROR(INDEX(aRank_2014_N,$S39+1,uxb_works!$B$25)),"",INDEX(aRank_2014_N,$S39+1,uxb_works!$B$25)))</f>
        <v/>
      </c>
      <c r="AI39" s="1"/>
      <c r="AJ39" s="18"/>
      <c r="AK39" s="1"/>
      <c r="AL39" s="277"/>
      <c r="AM39" s="268"/>
      <c r="AN39" s="1"/>
    </row>
    <row r="40" customFormat="1" spans="1:40">
      <c r="A40" s="1">
        <f t="shared" si="17"/>
        <v>29</v>
      </c>
      <c r="B40" s="1" t="str">
        <f>tblCategories!D31</f>
        <v>3.1.1) Enforcement of transport safety</v>
      </c>
      <c r="C40" s="1">
        <f>IF(tblCategories!AC31="",0,tblCategories!AC31)</f>
        <v>0</v>
      </c>
      <c r="D40" s="1">
        <v>1</v>
      </c>
      <c r="E40" s="1" t="str">
        <f ca="1" t="shared" si="13"/>
        <v/>
      </c>
      <c r="F40" s="1"/>
      <c r="G40" s="1" t="str">
        <f ca="1" t="shared" si="14"/>
        <v/>
      </c>
      <c r="H40" s="1"/>
      <c r="I40" s="1" t="str">
        <f ca="1" t="shared" si="15"/>
        <v/>
      </c>
      <c r="J40" s="1"/>
      <c r="K40" s="1" t="str">
        <f ca="1" t="shared" si="16"/>
        <v/>
      </c>
      <c r="L40" s="1"/>
      <c r="M40" s="1">
        <f>CHOOSE($B$7,SUMIF(rScores_2014_O!$B$280:$AY$280,1,rScores_2014_O!$B31:$AY31)/rScores_2014_O!$BA$280,SUMIF(rScores_2014_N!$B$280:$AU$280,1,rScores_2014_N!$B31:$AU31)/rScores_2014_N!$AW$280,SUMIF(rScores_2017!$B$280:$BJ$280,1,rScores_2017!$B31:$BJ31)/rScores_2017!$BL$280)</f>
        <v>65.375</v>
      </c>
      <c r="N40" s="1"/>
      <c r="O40" s="1"/>
      <c r="P40" s="1"/>
      <c r="Q40" s="1" t="str">
        <f ca="1" t="shared" si="0"/>
        <v/>
      </c>
      <c r="R40" s="1" t="str">
        <f ca="1">IF($C40=0,"",RANK(Q40,Q$12:Q$73,1)+COUNTIF(Q$12:Q40,Q40)-1)</f>
        <v/>
      </c>
      <c r="S40" s="1" t="str">
        <f ca="1" t="shared" si="1"/>
        <v/>
      </c>
      <c r="T40" s="269" t="str">
        <f ca="1" t="shared" si="2"/>
        <v/>
      </c>
      <c r="U40" s="269" t="str">
        <f ca="1" t="shared" si="3"/>
        <v/>
      </c>
      <c r="V40" s="269">
        <f ca="1" t="shared" si="4"/>
        <v>0</v>
      </c>
      <c r="W40" s="268" t="str">
        <f ca="1" t="shared" si="19"/>
        <v/>
      </c>
      <c r="X40" s="1" t="str">
        <f ca="1" t="shared" si="5"/>
        <v/>
      </c>
      <c r="Y40" s="1" t="str">
        <f ca="1" t="shared" si="20"/>
        <v/>
      </c>
      <c r="Z40" s="1" t="str">
        <f ca="1" t="shared" si="20"/>
        <v/>
      </c>
      <c r="AA40" s="1" t="str">
        <f ca="1" t="shared" si="7"/>
        <v/>
      </c>
      <c r="AB40" s="1" t="str">
        <f ca="1" t="shared" si="8"/>
        <v/>
      </c>
      <c r="AC40" s="1" t="str">
        <f ca="1" t="shared" si="9"/>
        <v/>
      </c>
      <c r="AD40" s="1" t="str">
        <f ca="1" t="shared" si="10"/>
        <v/>
      </c>
      <c r="AE40" s="1" t="str">
        <f ca="1" t="shared" si="11"/>
        <v/>
      </c>
      <c r="AF40" s="1" t="str">
        <f ca="1" t="shared" si="21"/>
        <v/>
      </c>
      <c r="AG40" s="1" t="str">
        <f ca="1" t="shared" si="21"/>
        <v/>
      </c>
      <c r="AH40" s="1" t="str">
        <f ca="1">IF(T40="","",IF(ISERROR(INDEX(aRank_2014_N,$S40+1,uxb_works!$B$25)),"",INDEX(aRank_2014_N,$S40+1,uxb_works!$B$25)))</f>
        <v/>
      </c>
      <c r="AI40" s="1"/>
      <c r="AJ40" s="18"/>
      <c r="AK40" s="1"/>
      <c r="AL40" s="277"/>
      <c r="AM40" s="268"/>
      <c r="AN40" s="1"/>
    </row>
    <row r="41" customFormat="1" spans="1:40">
      <c r="A41" s="1">
        <f t="shared" si="17"/>
        <v>30</v>
      </c>
      <c r="B41" s="1" t="str">
        <f>tblCategories!D32</f>
        <v>3.1.2) Pedestrian friendliness</v>
      </c>
      <c r="C41" s="1">
        <f>IF(tblCategories!AC32="",0,tblCategories!AC32)</f>
        <v>0</v>
      </c>
      <c r="D41" s="1">
        <v>1</v>
      </c>
      <c r="E41" s="1" t="str">
        <f ca="1" t="shared" si="13"/>
        <v/>
      </c>
      <c r="F41" s="1"/>
      <c r="G41" s="1" t="str">
        <f ca="1" t="shared" si="14"/>
        <v/>
      </c>
      <c r="H41" s="1"/>
      <c r="I41" s="1" t="str">
        <f ca="1" t="shared" si="15"/>
        <v/>
      </c>
      <c r="J41" s="1"/>
      <c r="K41" s="1" t="str">
        <f ca="1" t="shared" si="16"/>
        <v/>
      </c>
      <c r="L41" s="1"/>
      <c r="M41" s="1">
        <f>CHOOSE($B$7,SUMIF(rScores_2014_O!$B$280:$AY$280,1,rScores_2014_O!$B32:$AY32)/rScores_2014_O!$BA$280,SUMIF(rScores_2014_N!$B$280:$AU$280,1,rScores_2014_N!$B32:$AU32)/rScores_2014_N!$AW$280,SUMIF(rScores_2017!$B$280:$BJ$280,1,rScores_2017!$B32:$BJ32)/rScores_2017!$BL$280)</f>
        <v>71.6666666666667</v>
      </c>
      <c r="N41" s="1"/>
      <c r="O41" s="1"/>
      <c r="P41" s="1"/>
      <c r="Q41" s="1" t="str">
        <f ca="1" t="shared" si="0"/>
        <v/>
      </c>
      <c r="R41" s="1" t="str">
        <f ca="1">IF($C41=0,"",RANK(Q41,Q$12:Q$73,1)+COUNTIF(Q$12:Q41,Q41)-1)</f>
        <v/>
      </c>
      <c r="S41" s="1" t="str">
        <f ca="1" t="shared" si="1"/>
        <v/>
      </c>
      <c r="T41" s="269" t="str">
        <f ca="1" t="shared" si="2"/>
        <v/>
      </c>
      <c r="U41" s="269" t="str">
        <f ca="1" t="shared" si="3"/>
        <v/>
      </c>
      <c r="V41" s="269">
        <f ca="1" t="shared" si="4"/>
        <v>0</v>
      </c>
      <c r="W41" s="268" t="str">
        <f ca="1" t="shared" si="19"/>
        <v/>
      </c>
      <c r="X41" s="1" t="str">
        <f ca="1" t="shared" si="5"/>
        <v/>
      </c>
      <c r="Y41" s="1" t="str">
        <f ca="1" t="shared" si="20"/>
        <v/>
      </c>
      <c r="Z41" s="1" t="str">
        <f ca="1" t="shared" si="20"/>
        <v/>
      </c>
      <c r="AA41" s="1" t="str">
        <f ca="1" t="shared" si="7"/>
        <v/>
      </c>
      <c r="AB41" s="1" t="str">
        <f ca="1" t="shared" si="8"/>
        <v/>
      </c>
      <c r="AC41" s="1" t="str">
        <f ca="1" t="shared" si="9"/>
        <v/>
      </c>
      <c r="AD41" s="1" t="str">
        <f ca="1" t="shared" si="10"/>
        <v/>
      </c>
      <c r="AE41" s="1" t="str">
        <f ca="1" t="shared" si="11"/>
        <v/>
      </c>
      <c r="AF41" s="1" t="str">
        <f ca="1" t="shared" si="21"/>
        <v/>
      </c>
      <c r="AG41" s="1" t="str">
        <f ca="1" t="shared" si="21"/>
        <v/>
      </c>
      <c r="AH41" s="1" t="str">
        <f ca="1">IF(T41="","",IF(ISERROR(INDEX(aRank_2014_N,$S41+1,uxb_works!$B$25)),"",INDEX(aRank_2014_N,$S41+1,uxb_works!$B$25)))</f>
        <v/>
      </c>
      <c r="AI41" s="1"/>
      <c r="AJ41" s="18"/>
      <c r="AK41" s="1"/>
      <c r="AL41" s="277"/>
      <c r="AM41" s="268"/>
      <c r="AN41" s="1"/>
    </row>
    <row r="42" customFormat="1" spans="1:40">
      <c r="A42" s="1">
        <f t="shared" si="17"/>
        <v>31</v>
      </c>
      <c r="B42" s="1" t="str">
        <f>tblCategories!D33</f>
        <v>3.1.3) Quality of road infrastructure</v>
      </c>
      <c r="C42" s="1">
        <f>IF(tblCategories!AC33="",0,tblCategories!AC33)</f>
        <v>0</v>
      </c>
      <c r="D42" s="1">
        <v>1</v>
      </c>
      <c r="E42" s="1" t="str">
        <f ca="1" t="shared" si="13"/>
        <v/>
      </c>
      <c r="F42" s="1"/>
      <c r="G42" s="1" t="str">
        <f ca="1" t="shared" si="14"/>
        <v/>
      </c>
      <c r="H42" s="1"/>
      <c r="I42" s="1" t="str">
        <f ca="1" t="shared" si="15"/>
        <v/>
      </c>
      <c r="J42" s="1"/>
      <c r="K42" s="1" t="str">
        <f ca="1" t="shared" si="16"/>
        <v/>
      </c>
      <c r="L42" s="1"/>
      <c r="M42" s="1">
        <f>CHOOSE($B$7,SUMIF(rScores_2014_O!$B$280:$AY$280,1,rScores_2014_O!$B33:$AY33)/rScores_2014_O!$BA$280,SUMIF(rScores_2014_N!$B$280:$AU$280,1,rScores_2014_N!$B33:$AU33)/rScores_2014_N!$AW$280,SUMIF(rScores_2017!$B$280:$BJ$280,1,rScores_2017!$B33:$BJ33)/rScores_2017!$BL$280)</f>
        <v>69.1666666666667</v>
      </c>
      <c r="N42" s="1"/>
      <c r="O42" s="1"/>
      <c r="P42" s="1"/>
      <c r="Q42" s="1" t="str">
        <f ca="1" t="shared" si="0"/>
        <v/>
      </c>
      <c r="R42" s="1" t="str">
        <f ca="1">IF($C42=0,"",RANK(Q42,Q$12:Q$73,1)+COUNTIF(Q$12:Q42,Q42)-1)</f>
        <v/>
      </c>
      <c r="S42" s="1" t="str">
        <f ca="1" t="shared" si="1"/>
        <v/>
      </c>
      <c r="T42" s="269" t="str">
        <f ca="1" t="shared" si="2"/>
        <v/>
      </c>
      <c r="U42" s="269" t="str">
        <f ca="1" t="shared" si="3"/>
        <v/>
      </c>
      <c r="V42" s="269">
        <f ca="1" t="shared" si="4"/>
        <v>0</v>
      </c>
      <c r="W42" s="268" t="str">
        <f ca="1" t="shared" si="19"/>
        <v/>
      </c>
      <c r="X42" s="1" t="str">
        <f ca="1" t="shared" si="5"/>
        <v/>
      </c>
      <c r="Y42" s="1" t="str">
        <f ca="1" t="shared" si="20"/>
        <v/>
      </c>
      <c r="Z42" s="1" t="str">
        <f ca="1" t="shared" si="20"/>
        <v/>
      </c>
      <c r="AA42" s="1" t="str">
        <f ca="1" t="shared" si="7"/>
        <v/>
      </c>
      <c r="AB42" s="1" t="str">
        <f ca="1" t="shared" si="8"/>
        <v/>
      </c>
      <c r="AC42" s="1" t="str">
        <f ca="1" t="shared" si="9"/>
        <v/>
      </c>
      <c r="AD42" s="1" t="str">
        <f ca="1" t="shared" si="10"/>
        <v/>
      </c>
      <c r="AE42" s="1" t="str">
        <f ca="1" t="shared" si="11"/>
        <v/>
      </c>
      <c r="AF42" s="1" t="str">
        <f ca="1" t="shared" si="21"/>
        <v/>
      </c>
      <c r="AG42" s="1" t="str">
        <f ca="1" t="shared" si="21"/>
        <v/>
      </c>
      <c r="AH42" s="1" t="str">
        <f ca="1">IF(T42="","",IF(ISERROR(INDEX(aRank_2014_N,$S42+1,uxb_works!$B$25)),"",INDEX(aRank_2014_N,$S42+1,uxb_works!$B$25)))</f>
        <v/>
      </c>
      <c r="AI42" s="1"/>
      <c r="AJ42" s="18"/>
      <c r="AK42" s="1"/>
      <c r="AL42" s="277"/>
      <c r="AM42" s="268"/>
      <c r="AN42" s="1"/>
    </row>
    <row r="43" customFormat="1" spans="1:40">
      <c r="A43" s="1">
        <f t="shared" si="17"/>
        <v>32</v>
      </c>
      <c r="B43" s="1" t="str">
        <f>tblCategories!D34</f>
        <v>3.1.4) Quality of electricity infrastructure</v>
      </c>
      <c r="C43" s="1">
        <f>IF(tblCategories!AC34="",0,tblCategories!AC34)</f>
        <v>0</v>
      </c>
      <c r="D43" s="1">
        <v>1</v>
      </c>
      <c r="E43" s="1" t="str">
        <f ca="1" t="shared" si="13"/>
        <v/>
      </c>
      <c r="F43" s="1"/>
      <c r="G43" s="1" t="str">
        <f ca="1" t="shared" si="14"/>
        <v/>
      </c>
      <c r="H43" s="1"/>
      <c r="I43" s="1" t="str">
        <f ca="1" t="shared" si="15"/>
        <v/>
      </c>
      <c r="J43" s="1"/>
      <c r="K43" s="1" t="str">
        <f ca="1" t="shared" si="16"/>
        <v/>
      </c>
      <c r="L43" s="1"/>
      <c r="M43" s="1">
        <f>CHOOSE($B$7,SUMIF(rScores_2014_O!$B$280:$AY$280,1,rScores_2014_O!$B34:$AY34)/rScores_2014_O!$BA$280,SUMIF(rScores_2014_N!$B$280:$AU$280,1,rScores_2014_N!$B34:$AU34)/rScores_2014_N!$AW$280,SUMIF(rScores_2017!$B$280:$BJ$280,1,rScores_2017!$B34:$BJ34)/rScores_2017!$BL$280)</f>
        <v>85.8333333333333</v>
      </c>
      <c r="N43" s="1"/>
      <c r="O43" s="1"/>
      <c r="P43" s="1"/>
      <c r="Q43" s="1" t="str">
        <f ca="1" t="shared" si="0"/>
        <v/>
      </c>
      <c r="R43" s="1" t="str">
        <f ca="1">IF($C43=0,"",RANK(Q43,Q$12:Q$73,1)+COUNTIF(Q$12:Q43,Q43)-1)</f>
        <v/>
      </c>
      <c r="S43" s="1" t="str">
        <f ca="1" t="shared" si="1"/>
        <v/>
      </c>
      <c r="T43" s="269" t="str">
        <f ca="1" t="shared" si="2"/>
        <v/>
      </c>
      <c r="U43" s="269" t="str">
        <f ca="1" t="shared" si="3"/>
        <v/>
      </c>
      <c r="V43" s="269">
        <f ca="1" t="shared" si="4"/>
        <v>0</v>
      </c>
      <c r="W43" s="268" t="str">
        <f ca="1" t="shared" si="19"/>
        <v/>
      </c>
      <c r="X43" s="1" t="str">
        <f ca="1" t="shared" si="5"/>
        <v/>
      </c>
      <c r="Y43" s="1" t="str">
        <f ca="1" t="shared" si="20"/>
        <v/>
      </c>
      <c r="Z43" s="1" t="str">
        <f ca="1" t="shared" si="20"/>
        <v/>
      </c>
      <c r="AA43" s="1" t="str">
        <f ca="1" t="shared" si="7"/>
        <v/>
      </c>
      <c r="AB43" s="1" t="str">
        <f ca="1" t="shared" si="8"/>
        <v/>
      </c>
      <c r="AC43" s="1" t="str">
        <f ca="1" t="shared" si="9"/>
        <v/>
      </c>
      <c r="AD43" s="1" t="str">
        <f ca="1" t="shared" si="10"/>
        <v/>
      </c>
      <c r="AE43" s="1" t="str">
        <f ca="1" t="shared" si="11"/>
        <v/>
      </c>
      <c r="AF43" s="1" t="str">
        <f ca="1" t="shared" si="21"/>
        <v/>
      </c>
      <c r="AG43" s="1" t="str">
        <f ca="1" t="shared" si="21"/>
        <v/>
      </c>
      <c r="AH43" s="1" t="str">
        <f ca="1">IF(T43="","",IF(ISERROR(INDEX(aRank_2014_N,$S43+1,uxb_works!$B$25)),"",INDEX(aRank_2014_N,$S43+1,uxb_works!$B$25)))</f>
        <v/>
      </c>
      <c r="AI43" s="1"/>
      <c r="AJ43" s="18"/>
      <c r="AK43" s="1"/>
      <c r="AL43" s="277"/>
      <c r="AM43" s="268"/>
      <c r="AN43" s="1"/>
    </row>
    <row r="44" customFormat="1" spans="1:40">
      <c r="A44" s="1">
        <f t="shared" si="17"/>
        <v>33</v>
      </c>
      <c r="B44" s="1" t="str">
        <f>tblCategories!D35</f>
        <v>3.1.5) Disaster management/business continuity plan</v>
      </c>
      <c r="C44" s="1">
        <f>IF(tblCategories!AC35="",0,tblCategories!AC35)</f>
        <v>0</v>
      </c>
      <c r="D44" s="1">
        <v>1</v>
      </c>
      <c r="E44" s="1" t="str">
        <f ca="1" t="shared" si="13"/>
        <v/>
      </c>
      <c r="F44" s="1"/>
      <c r="G44" s="1" t="str">
        <f ca="1" t="shared" si="14"/>
        <v/>
      </c>
      <c r="H44" s="1"/>
      <c r="I44" s="1" t="str">
        <f ca="1" t="shared" si="15"/>
        <v/>
      </c>
      <c r="J44" s="1"/>
      <c r="K44" s="1" t="str">
        <f ca="1" t="shared" si="16"/>
        <v/>
      </c>
      <c r="L44" s="1"/>
      <c r="M44" s="1">
        <f>CHOOSE($B$7,SUMIF(rScores_2014_O!$B$280:$AY$280,1,rScores_2014_O!$B35:$AY35)/rScores_2014_O!$BA$280,SUMIF(rScores_2014_N!$B$280:$AU$280,1,rScores_2014_N!$B35:$AU35)/rScores_2014_N!$AW$280,SUMIF(rScores_2017!$B$280:$BJ$280,1,rScores_2017!$B35:$BJ35)/rScores_2017!$BL$280)</f>
        <v>75.8333333333333</v>
      </c>
      <c r="N44" s="1"/>
      <c r="O44" s="1"/>
      <c r="P44" s="1"/>
      <c r="Q44" s="1" t="str">
        <f ca="1" t="shared" ref="Q44:Q71" si="22">IF($C44=0,"",(INDEX($D$12:$H$73,$A44,Q$10)))</f>
        <v/>
      </c>
      <c r="R44" s="1" t="str">
        <f ca="1">IF($C44=0,"",RANK(Q44,Q$12:Q$73,1)+COUNTIF(Q$12:Q44,Q44)-1)</f>
        <v/>
      </c>
      <c r="S44" s="1" t="str">
        <f ca="1" t="shared" ref="S44:S71" si="23">IF(ISERROR(MATCH($A44,R$12:R$73,0)),"",MATCH($A44,R$12:R$73,0))</f>
        <v/>
      </c>
      <c r="T44" s="269" t="str">
        <f ca="1" t="shared" ref="T44:T71" si="24">IF(S44="","",RANK(Y44,Y$12:Y$73,0))</f>
        <v/>
      </c>
      <c r="U44" s="269" t="str">
        <f ca="1" t="shared" ref="U44:U71" si="25">IF(S44="","",COUNTIF(Y$12:Y$73,Y44))</f>
        <v/>
      </c>
      <c r="V44" s="269">
        <f ca="1" t="shared" ref="V44:V71" si="26">IF(S44="",0,INDEX($D$12:$D$73,S44))</f>
        <v>0</v>
      </c>
      <c r="W44" s="268" t="str">
        <f ca="1" t="shared" si="19"/>
        <v/>
      </c>
      <c r="X44" s="1" t="str">
        <f ca="1" t="shared" ref="X44:X71" si="27">IF($S44="","",INDEX($B$12:$H$73,$S44,X$10))</f>
        <v/>
      </c>
      <c r="Y44" s="1" t="str">
        <f ca="1" t="shared" si="20"/>
        <v/>
      </c>
      <c r="Z44" s="1" t="str">
        <f ca="1" t="shared" si="20"/>
        <v/>
      </c>
      <c r="AA44" s="1" t="str">
        <f ca="1" t="shared" ref="AA44:AA71" si="28">IF($S44="","",INDEX($E$12:$L$73,$S44,AA$10))</f>
        <v/>
      </c>
      <c r="AB44" s="1" t="str">
        <f ca="1" t="shared" ref="AB44:AB71" si="29">IF($S44="","",INDEX($E$12:$O$73,$S44,AB$10))</f>
        <v/>
      </c>
      <c r="AC44" s="1" t="str">
        <f ca="1" t="shared" ref="AC44:AC71" si="30">IF($S44="","",INDEX($E$12:$L$73,$S44,AC$10))</f>
        <v/>
      </c>
      <c r="AD44" s="1" t="str">
        <f ca="1" t="shared" ref="AD44:AD71" si="31">IF($S44="","",INDEX($E$12:$O$73,$S44,AD$10))</f>
        <v/>
      </c>
      <c r="AE44" s="1" t="str">
        <f ca="1" t="shared" ref="AE44:AE71" si="32">IF($S44="","",INDEX($E$12:$L$73,$S44,AE$10))</f>
        <v/>
      </c>
      <c r="AF44" s="1" t="str">
        <f ca="1" t="shared" si="21"/>
        <v/>
      </c>
      <c r="AG44" s="1" t="str">
        <f ca="1" t="shared" si="21"/>
        <v/>
      </c>
      <c r="AH44" s="1" t="str">
        <f ca="1">IF(T44="","",IF(ISERROR(INDEX(aRank_2014_N,$S44+1,uxb_works!$B$25)),"",INDEX(aRank_2014_N,$S44+1,uxb_works!$B$25)))</f>
        <v/>
      </c>
      <c r="AI44" s="1"/>
      <c r="AJ44" s="18"/>
      <c r="AK44" s="1"/>
      <c r="AL44" s="277"/>
      <c r="AM44" s="268"/>
      <c r="AN44" s="1"/>
    </row>
    <row r="45" customFormat="1" spans="1:40">
      <c r="A45" s="1">
        <f t="shared" si="17"/>
        <v>34</v>
      </c>
      <c r="B45" s="1" t="str">
        <f>tblCategories!D36</f>
        <v>3.2) Infrastructure security (Outputs)</v>
      </c>
      <c r="C45" s="1">
        <f>IF(tblCategories!AC36="",0,tblCategories!AC36)</f>
        <v>0</v>
      </c>
      <c r="D45" s="1">
        <v>1</v>
      </c>
      <c r="E45" s="1" t="str">
        <f ca="1" t="shared" si="13"/>
        <v/>
      </c>
      <c r="F45" s="1"/>
      <c r="G45" s="1" t="str">
        <f ca="1" t="shared" si="14"/>
        <v/>
      </c>
      <c r="H45" s="1"/>
      <c r="I45" s="1" t="str">
        <f ca="1" t="shared" si="15"/>
        <v/>
      </c>
      <c r="J45" s="1"/>
      <c r="K45" s="1" t="str">
        <f ca="1" t="shared" si="16"/>
        <v/>
      </c>
      <c r="L45" s="1"/>
      <c r="M45" s="1">
        <f>CHOOSE($B$7,SUMIF(rScores_2014_O!$B$280:$AY$280,1,rScores_2014_O!$B36:$AY36)/rScores_2014_O!$BA$280,SUMIF(rScores_2014_N!$B$280:$AU$280,1,rScores_2014_N!$B36:$AU36)/rScores_2014_N!$AW$280,SUMIF(rScores_2017!$B$280:$BJ$280,1,rScores_2017!$B36:$BJ36)/rScores_2017!$BL$280)</f>
        <v>82.8293333333334</v>
      </c>
      <c r="N45" s="1"/>
      <c r="O45" s="1"/>
      <c r="P45" s="1"/>
      <c r="Q45" s="1" t="str">
        <f ca="1" t="shared" si="22"/>
        <v/>
      </c>
      <c r="R45" s="1" t="str">
        <f ca="1">IF($C45=0,"",RANK(Q45,Q$12:Q$73,1)+COUNTIF(Q$12:Q45,Q45)-1)</f>
        <v/>
      </c>
      <c r="S45" s="1" t="str">
        <f ca="1" t="shared" si="23"/>
        <v/>
      </c>
      <c r="T45" s="269" t="str">
        <f ca="1" t="shared" si="24"/>
        <v/>
      </c>
      <c r="U45" s="269" t="str">
        <f ca="1" t="shared" si="25"/>
        <v/>
      </c>
      <c r="V45" s="269">
        <f ca="1" t="shared" si="26"/>
        <v>0</v>
      </c>
      <c r="W45" s="268" t="str">
        <f ca="1" t="shared" si="19"/>
        <v/>
      </c>
      <c r="X45" s="1" t="str">
        <f ca="1" t="shared" si="27"/>
        <v/>
      </c>
      <c r="Y45" s="1" t="str">
        <f ca="1" t="shared" si="20"/>
        <v/>
      </c>
      <c r="Z45" s="1" t="str">
        <f ca="1" t="shared" si="20"/>
        <v/>
      </c>
      <c r="AA45" s="1" t="str">
        <f ca="1" t="shared" si="28"/>
        <v/>
      </c>
      <c r="AB45" s="1" t="str">
        <f ca="1" t="shared" si="29"/>
        <v/>
      </c>
      <c r="AC45" s="1" t="str">
        <f ca="1" t="shared" si="30"/>
        <v/>
      </c>
      <c r="AD45" s="1" t="str">
        <f ca="1" t="shared" si="31"/>
        <v/>
      </c>
      <c r="AE45" s="1" t="str">
        <f ca="1" t="shared" si="32"/>
        <v/>
      </c>
      <c r="AF45" s="1" t="str">
        <f ca="1" t="shared" si="21"/>
        <v/>
      </c>
      <c r="AG45" s="1" t="str">
        <f ca="1" t="shared" si="21"/>
        <v/>
      </c>
      <c r="AH45" s="1" t="str">
        <f ca="1">IF(T45="","",IF(ISERROR(INDEX(aRank_2014_N,$S45+1,uxb_works!$B$25)),"",INDEX(aRank_2014_N,$S45+1,uxb_works!$B$25)))</f>
        <v/>
      </c>
      <c r="AI45" s="1"/>
      <c r="AJ45" s="18"/>
      <c r="AK45" s="1"/>
      <c r="AL45" s="277"/>
      <c r="AM45" s="268"/>
      <c r="AN45" s="1"/>
    </row>
    <row r="46" customFormat="1" spans="1:40">
      <c r="A46" s="1">
        <f t="shared" si="17"/>
        <v>35</v>
      </c>
      <c r="B46" s="1" t="str">
        <f>tblCategories!D37</f>
        <v>3.2.1) Deaths from natural disaster</v>
      </c>
      <c r="C46" s="1">
        <f>IF(tblCategories!AC37="",0,tblCategories!AC37)</f>
        <v>0</v>
      </c>
      <c r="D46" s="1">
        <v>1</v>
      </c>
      <c r="E46" s="1" t="str">
        <f ca="1" t="shared" si="13"/>
        <v/>
      </c>
      <c r="F46" s="1"/>
      <c r="G46" s="1" t="str">
        <f ca="1" t="shared" si="14"/>
        <v/>
      </c>
      <c r="H46" s="1"/>
      <c r="I46" s="1" t="str">
        <f ca="1" t="shared" si="15"/>
        <v/>
      </c>
      <c r="J46" s="1"/>
      <c r="K46" s="1" t="str">
        <f ca="1" t="shared" si="16"/>
        <v/>
      </c>
      <c r="L46" s="1"/>
      <c r="M46" s="1">
        <f>CHOOSE($B$7,SUMIF(rScores_2014_O!$B$280:$AY$280,1,rScores_2014_O!$B37:$AY37)/rScores_2014_O!$BA$280,SUMIF(rScores_2014_N!$B$280:$AU$280,1,rScores_2014_N!$B37:$AU37)/rScores_2014_N!$AW$280,SUMIF(rScores_2017!$B$280:$BJ$280,1,rScores_2017!$B37:$BJ37)/rScores_2017!$BL$280)</f>
        <v>92.0716666666667</v>
      </c>
      <c r="N46" s="1"/>
      <c r="O46" s="1"/>
      <c r="P46" s="1"/>
      <c r="Q46" s="1" t="str">
        <f ca="1" t="shared" si="22"/>
        <v/>
      </c>
      <c r="R46" s="1" t="str">
        <f ca="1">IF($C46=0,"",RANK(Q46,Q$12:Q$73,1)+COUNTIF(Q$12:Q46,Q46)-1)</f>
        <v/>
      </c>
      <c r="S46" s="1" t="str">
        <f ca="1" t="shared" si="23"/>
        <v/>
      </c>
      <c r="T46" s="269" t="str">
        <f ca="1" t="shared" si="24"/>
        <v/>
      </c>
      <c r="U46" s="269" t="str">
        <f ca="1" t="shared" si="25"/>
        <v/>
      </c>
      <c r="V46" s="269">
        <f ca="1" t="shared" si="26"/>
        <v>0</v>
      </c>
      <c r="W46" s="268" t="str">
        <f ca="1" t="shared" si="19"/>
        <v/>
      </c>
      <c r="X46" s="1" t="str">
        <f ca="1" t="shared" si="27"/>
        <v/>
      </c>
      <c r="Y46" s="1" t="str">
        <f ca="1" t="shared" si="20"/>
        <v/>
      </c>
      <c r="Z46" s="1" t="str">
        <f ca="1" t="shared" si="20"/>
        <v/>
      </c>
      <c r="AA46" s="1" t="str">
        <f ca="1" t="shared" si="28"/>
        <v/>
      </c>
      <c r="AB46" s="1" t="str">
        <f ca="1" t="shared" si="29"/>
        <v/>
      </c>
      <c r="AC46" s="1" t="str">
        <f ca="1" t="shared" si="30"/>
        <v/>
      </c>
      <c r="AD46" s="1" t="str">
        <f ca="1" t="shared" si="31"/>
        <v/>
      </c>
      <c r="AE46" s="1" t="str">
        <f ca="1" t="shared" si="32"/>
        <v/>
      </c>
      <c r="AF46" s="1" t="str">
        <f ca="1" t="shared" si="21"/>
        <v/>
      </c>
      <c r="AG46" s="1" t="str">
        <f ca="1" t="shared" si="21"/>
        <v/>
      </c>
      <c r="AH46" s="1" t="str">
        <f ca="1">IF(T46="","",IF(ISERROR(INDEX(aRank_2014_N,$S46+1,uxb_works!$B$25)),"",INDEX(aRank_2014_N,$S46+1,uxb_works!$B$25)))</f>
        <v/>
      </c>
      <c r="AI46" s="1"/>
      <c r="AJ46" s="18"/>
      <c r="AK46" s="1"/>
      <c r="AL46" s="277"/>
      <c r="AM46" s="268"/>
      <c r="AN46" s="1"/>
    </row>
    <row r="47" customFormat="1" spans="1:40">
      <c r="A47" s="1">
        <f t="shared" si="17"/>
        <v>36</v>
      </c>
      <c r="B47" s="1" t="str">
        <f>tblCategories!D38</f>
        <v>3.2.2) Frequency of vehicular accidents</v>
      </c>
      <c r="C47" s="1">
        <f>IF(tblCategories!AC38="",0,tblCategories!AC38)</f>
        <v>0</v>
      </c>
      <c r="D47" s="1">
        <v>1</v>
      </c>
      <c r="E47" s="1" t="str">
        <f ca="1" t="shared" si="13"/>
        <v/>
      </c>
      <c r="F47" s="1"/>
      <c r="G47" s="1" t="str">
        <f ca="1" t="shared" si="14"/>
        <v/>
      </c>
      <c r="H47" s="1"/>
      <c r="I47" s="1" t="str">
        <f ca="1" t="shared" si="15"/>
        <v/>
      </c>
      <c r="J47" s="1"/>
      <c r="K47" s="1" t="str">
        <f ca="1" t="shared" si="16"/>
        <v/>
      </c>
      <c r="L47" s="1"/>
      <c r="M47" s="1">
        <f>CHOOSE($B$7,SUMIF(rScores_2014_O!$B$280:$AY$280,1,rScores_2014_O!$B38:$AY38)/rScores_2014_O!$BA$280,SUMIF(rScores_2014_N!$B$280:$AU$280,1,rScores_2014_N!$B38:$AU38)/rScores_2014_N!$AW$280,SUMIF(rScores_2017!$B$280:$BJ$280,1,rScores_2017!$B38:$BJ38)/rScores_2017!$BL$280)</f>
        <v>80.9031666666667</v>
      </c>
      <c r="N47" s="1"/>
      <c r="O47" s="1"/>
      <c r="P47" s="1"/>
      <c r="Q47" s="1" t="str">
        <f ca="1" t="shared" si="22"/>
        <v/>
      </c>
      <c r="R47" s="1" t="str">
        <f ca="1">IF($C47=0,"",RANK(Q47,Q$12:Q$73,1)+COUNTIF(Q$12:Q47,Q47)-1)</f>
        <v/>
      </c>
      <c r="S47" s="1" t="str">
        <f ca="1" t="shared" si="23"/>
        <v/>
      </c>
      <c r="T47" s="269" t="str">
        <f ca="1" t="shared" si="24"/>
        <v/>
      </c>
      <c r="U47" s="269" t="str">
        <f ca="1" t="shared" si="25"/>
        <v/>
      </c>
      <c r="V47" s="269">
        <f ca="1" t="shared" si="26"/>
        <v>0</v>
      </c>
      <c r="W47" s="268" t="str">
        <f ca="1" t="shared" si="19"/>
        <v/>
      </c>
      <c r="X47" s="1" t="str">
        <f ca="1" t="shared" si="27"/>
        <v/>
      </c>
      <c r="Y47" s="1" t="str">
        <f ca="1" t="shared" si="20"/>
        <v/>
      </c>
      <c r="Z47" s="1" t="str">
        <f ca="1" t="shared" si="20"/>
        <v/>
      </c>
      <c r="AA47" s="1" t="str">
        <f ca="1" t="shared" si="28"/>
        <v/>
      </c>
      <c r="AB47" s="1" t="str">
        <f ca="1" t="shared" si="29"/>
        <v/>
      </c>
      <c r="AC47" s="1" t="str">
        <f ca="1" t="shared" si="30"/>
        <v/>
      </c>
      <c r="AD47" s="1" t="str">
        <f ca="1" t="shared" si="31"/>
        <v/>
      </c>
      <c r="AE47" s="1" t="str">
        <f ca="1" t="shared" si="32"/>
        <v/>
      </c>
      <c r="AF47" s="1" t="str">
        <f ca="1" t="shared" si="21"/>
        <v/>
      </c>
      <c r="AG47" s="1" t="str">
        <f ca="1" t="shared" si="21"/>
        <v/>
      </c>
      <c r="AH47" s="1" t="str">
        <f ca="1">IF(T47="","",IF(ISERROR(INDEX(aRank_2014_N,$S47+1,uxb_works!$B$25)),"",INDEX(aRank_2014_N,$S47+1,uxb_works!$B$25)))</f>
        <v/>
      </c>
      <c r="AI47" s="1"/>
      <c r="AJ47" s="18"/>
      <c r="AK47" s="1"/>
      <c r="AL47" s="277"/>
      <c r="AM47" s="268"/>
      <c r="AN47" s="1"/>
    </row>
    <row r="48" customFormat="1" spans="1:40">
      <c r="A48" s="1">
        <f t="shared" si="17"/>
        <v>37</v>
      </c>
      <c r="B48" s="1" t="str">
        <f>tblCategories!D39</f>
        <v>3.2.3) Frequency of pedestrian deaths</v>
      </c>
      <c r="C48" s="1">
        <f>IF(tblCategories!AC39="",0,tblCategories!AC39)</f>
        <v>0</v>
      </c>
      <c r="D48" s="1">
        <v>1</v>
      </c>
      <c r="E48" s="1" t="str">
        <f ca="1" t="shared" si="13"/>
        <v/>
      </c>
      <c r="F48" s="1"/>
      <c r="G48" s="1" t="str">
        <f ca="1" t="shared" si="14"/>
        <v/>
      </c>
      <c r="H48" s="1"/>
      <c r="I48" s="1" t="str">
        <f ca="1" t="shared" si="15"/>
        <v/>
      </c>
      <c r="J48" s="1"/>
      <c r="K48" s="1" t="str">
        <f ca="1" t="shared" si="16"/>
        <v/>
      </c>
      <c r="L48" s="1"/>
      <c r="M48" s="1">
        <f>CHOOSE($B$7,SUMIF(rScores_2014_O!$B$280:$AY$280,1,rScores_2014_O!$B39:$AY39)/rScores_2014_O!$BA$280,SUMIF(rScores_2014_N!$B$280:$AU$280,1,rScores_2014_N!$B39:$AU39)/rScores_2014_N!$AW$280,SUMIF(rScores_2017!$B$280:$BJ$280,1,rScores_2017!$B39:$BJ39)/rScores_2017!$BL$280)</f>
        <v>70.7165</v>
      </c>
      <c r="N48" s="1"/>
      <c r="O48" s="1"/>
      <c r="P48" s="1"/>
      <c r="Q48" s="1" t="str">
        <f ca="1" t="shared" si="22"/>
        <v/>
      </c>
      <c r="R48" s="1" t="str">
        <f ca="1">IF($C48=0,"",RANK(Q48,Q$12:Q$73,1)+COUNTIF(Q$12:Q48,Q48)-1)</f>
        <v/>
      </c>
      <c r="S48" s="1" t="str">
        <f ca="1" t="shared" si="23"/>
        <v/>
      </c>
      <c r="T48" s="269" t="str">
        <f ca="1" t="shared" si="24"/>
        <v/>
      </c>
      <c r="U48" s="269" t="str">
        <f ca="1" t="shared" si="25"/>
        <v/>
      </c>
      <c r="V48" s="269">
        <f ca="1" t="shared" si="26"/>
        <v>0</v>
      </c>
      <c r="W48" s="268" t="str">
        <f ca="1" t="shared" si="19"/>
        <v/>
      </c>
      <c r="X48" s="1" t="str">
        <f ca="1" t="shared" si="27"/>
        <v/>
      </c>
      <c r="Y48" s="1" t="str">
        <f ca="1" t="shared" si="20"/>
        <v/>
      </c>
      <c r="Z48" s="1" t="str">
        <f ca="1" t="shared" si="20"/>
        <v/>
      </c>
      <c r="AA48" s="1" t="str">
        <f ca="1" t="shared" si="28"/>
        <v/>
      </c>
      <c r="AB48" s="1" t="str">
        <f ca="1" t="shared" si="29"/>
        <v/>
      </c>
      <c r="AC48" s="1" t="str">
        <f ca="1" t="shared" si="30"/>
        <v/>
      </c>
      <c r="AD48" s="1" t="str">
        <f ca="1" t="shared" si="31"/>
        <v/>
      </c>
      <c r="AE48" s="1" t="str">
        <f ca="1" t="shared" si="32"/>
        <v/>
      </c>
      <c r="AF48" s="1" t="str">
        <f ca="1" t="shared" si="21"/>
        <v/>
      </c>
      <c r="AG48" s="1" t="str">
        <f ca="1" t="shared" si="21"/>
        <v/>
      </c>
      <c r="AH48" s="1" t="str">
        <f ca="1">IF(T48="","",IF(ISERROR(INDEX(aRank_2014_N,$S48+1,uxb_works!$B$25)),"",INDEX(aRank_2014_N,$S48+1,uxb_works!$B$25)))</f>
        <v/>
      </c>
      <c r="AI48" s="1"/>
      <c r="AJ48" s="18"/>
      <c r="AK48" s="1"/>
      <c r="AL48" s="277"/>
      <c r="AM48" s="268"/>
      <c r="AN48" s="1"/>
    </row>
    <row r="49" customFormat="1" spans="1:40">
      <c r="A49" s="1">
        <f t="shared" si="17"/>
        <v>38</v>
      </c>
      <c r="B49" s="1" t="str">
        <f>tblCategories!D40</f>
        <v>3.2.4) Percentage living in slums</v>
      </c>
      <c r="C49" s="1">
        <f>IF(tblCategories!AC40="",0,tblCategories!AC40)</f>
        <v>0</v>
      </c>
      <c r="D49" s="1">
        <v>1</v>
      </c>
      <c r="E49" s="1" t="str">
        <f ca="1" t="shared" si="13"/>
        <v/>
      </c>
      <c r="F49" s="1"/>
      <c r="G49" s="1" t="str">
        <f ca="1" t="shared" si="14"/>
        <v/>
      </c>
      <c r="H49" s="1"/>
      <c r="I49" s="1" t="str">
        <f ca="1" t="shared" si="15"/>
        <v/>
      </c>
      <c r="J49" s="1"/>
      <c r="K49" s="1" t="str">
        <f ca="1" t="shared" si="16"/>
        <v/>
      </c>
      <c r="L49" s="1"/>
      <c r="M49" s="1">
        <f>CHOOSE($B$7,SUMIF(rScores_2014_O!$B$280:$AY$280,1,rScores_2014_O!$B40:$AY40)/rScores_2014_O!$BA$280,SUMIF(rScores_2014_N!$B$280:$AU$280,1,rScores_2014_N!$B40:$AU40)/rScores_2014_N!$AW$280,SUMIF(rScores_2017!$B$280:$BJ$280,1,rScores_2017!$B40:$BJ40)/rScores_2017!$BL$280)</f>
        <v>77.1586666666667</v>
      </c>
      <c r="N49" s="1"/>
      <c r="O49" s="1"/>
      <c r="P49" s="1"/>
      <c r="Q49" s="1" t="str">
        <f ca="1" t="shared" si="22"/>
        <v/>
      </c>
      <c r="R49" s="1" t="str">
        <f ca="1">IF($C49=0,"",RANK(Q49,Q$12:Q$73,1)+COUNTIF(Q$12:Q49,Q49)-1)</f>
        <v/>
      </c>
      <c r="S49" s="1" t="str">
        <f ca="1" t="shared" si="23"/>
        <v/>
      </c>
      <c r="T49" s="269" t="str">
        <f ca="1" t="shared" si="24"/>
        <v/>
      </c>
      <c r="U49" s="269" t="str">
        <f ca="1" t="shared" si="25"/>
        <v/>
      </c>
      <c r="V49" s="269">
        <f ca="1" t="shared" si="26"/>
        <v>0</v>
      </c>
      <c r="W49" s="268" t="str">
        <f ca="1" t="shared" si="19"/>
        <v/>
      </c>
      <c r="X49" s="1" t="str">
        <f ca="1" t="shared" si="27"/>
        <v/>
      </c>
      <c r="Y49" s="1" t="str">
        <f ca="1" t="shared" si="20"/>
        <v/>
      </c>
      <c r="Z49" s="1" t="str">
        <f ca="1" t="shared" si="20"/>
        <v/>
      </c>
      <c r="AA49" s="1" t="str">
        <f ca="1" t="shared" si="28"/>
        <v/>
      </c>
      <c r="AB49" s="1" t="str">
        <f ca="1" t="shared" si="29"/>
        <v/>
      </c>
      <c r="AC49" s="1" t="str">
        <f ca="1" t="shared" si="30"/>
        <v/>
      </c>
      <c r="AD49" s="1" t="str">
        <f ca="1" t="shared" si="31"/>
        <v/>
      </c>
      <c r="AE49" s="1" t="str">
        <f ca="1" t="shared" si="32"/>
        <v/>
      </c>
      <c r="AF49" s="1" t="str">
        <f ca="1" t="shared" si="21"/>
        <v/>
      </c>
      <c r="AG49" s="1" t="str">
        <f ca="1" t="shared" si="21"/>
        <v/>
      </c>
      <c r="AH49" s="1" t="str">
        <f ca="1">IF(T49="","",IF(ISERROR(INDEX(aRank_2014_N,$S49+1,uxb_works!$B$25)),"",INDEX(aRank_2014_N,$S49+1,uxb_works!$B$25)))</f>
        <v/>
      </c>
      <c r="AI49" s="1"/>
      <c r="AJ49" s="18"/>
      <c r="AK49" s="1"/>
      <c r="AL49" s="277"/>
      <c r="AM49" s="268"/>
      <c r="AN49" s="1"/>
    </row>
    <row r="50" customFormat="1" spans="1:40">
      <c r="A50" s="1">
        <f t="shared" si="17"/>
        <v>39</v>
      </c>
      <c r="B50" s="1" t="str">
        <f>tblCategories!D41</f>
        <v>3.2.5) Number of attacks on facilities/infrastructure</v>
      </c>
      <c r="C50" s="1">
        <f>IF(tblCategories!AC41="",0,tblCategories!AC41)</f>
        <v>0</v>
      </c>
      <c r="D50" s="1">
        <v>1</v>
      </c>
      <c r="E50" s="1" t="str">
        <f ca="1" t="shared" si="13"/>
        <v/>
      </c>
      <c r="F50" s="1"/>
      <c r="G50" s="1" t="str">
        <f ca="1" t="shared" si="14"/>
        <v/>
      </c>
      <c r="H50" s="1"/>
      <c r="I50" s="1" t="str">
        <f ca="1" t="shared" si="15"/>
        <v/>
      </c>
      <c r="J50" s="1"/>
      <c r="K50" s="1" t="str">
        <f ca="1" t="shared" si="16"/>
        <v/>
      </c>
      <c r="L50" s="1"/>
      <c r="M50" s="1">
        <f>CHOOSE($B$7,SUMIF(rScores_2014_O!$B$280:$AY$280,1,rScores_2014_O!$B41:$AY41)/rScores_2014_O!$BA$280,SUMIF(rScores_2014_N!$B$280:$AU$280,1,rScores_2014_N!$B41:$AU41)/rScores_2014_N!$AW$280,SUMIF(rScores_2017!$B$280:$BJ$280,1,rScores_2017!$B41:$BJ41)/rScores_2017!$BL$280)</f>
        <v>93.2973333333333</v>
      </c>
      <c r="N50" s="1"/>
      <c r="O50" s="1"/>
      <c r="P50" s="1"/>
      <c r="Q50" s="1" t="str">
        <f ca="1" t="shared" si="22"/>
        <v/>
      </c>
      <c r="R50" s="1" t="str">
        <f ca="1">IF($C50=0,"",RANK(Q50,Q$12:Q$73,1)+COUNTIF(Q$12:Q50,Q50)-1)</f>
        <v/>
      </c>
      <c r="S50" s="1" t="str">
        <f ca="1" t="shared" si="23"/>
        <v/>
      </c>
      <c r="T50" s="269" t="str">
        <f ca="1" t="shared" si="24"/>
        <v/>
      </c>
      <c r="U50" s="269" t="str">
        <f ca="1" t="shared" si="25"/>
        <v/>
      </c>
      <c r="V50" s="269">
        <f ca="1" t="shared" si="26"/>
        <v>0</v>
      </c>
      <c r="W50" s="268" t="str">
        <f ca="1" t="shared" si="19"/>
        <v/>
      </c>
      <c r="X50" s="1" t="str">
        <f ca="1" t="shared" si="27"/>
        <v/>
      </c>
      <c r="Y50" s="1" t="str">
        <f ca="1" t="shared" si="20"/>
        <v/>
      </c>
      <c r="Z50" s="1" t="str">
        <f ca="1" t="shared" si="20"/>
        <v/>
      </c>
      <c r="AA50" s="1" t="str">
        <f ca="1" t="shared" si="28"/>
        <v/>
      </c>
      <c r="AB50" s="1" t="str">
        <f ca="1" t="shared" si="29"/>
        <v/>
      </c>
      <c r="AC50" s="1" t="str">
        <f ca="1" t="shared" si="30"/>
        <v/>
      </c>
      <c r="AD50" s="1" t="str">
        <f ca="1" t="shared" si="31"/>
        <v/>
      </c>
      <c r="AE50" s="1" t="str">
        <f ca="1" t="shared" si="32"/>
        <v/>
      </c>
      <c r="AF50" s="1" t="str">
        <f ca="1" t="shared" si="21"/>
        <v/>
      </c>
      <c r="AG50" s="1" t="str">
        <f ca="1" t="shared" si="21"/>
        <v/>
      </c>
      <c r="AH50" s="1" t="str">
        <f ca="1">IF(T50="","",IF(ISERROR(INDEX(aRank_2014_N,$S50+1,uxb_works!$B$25)),"",INDEX(aRank_2014_N,$S50+1,uxb_works!$B$25)))</f>
        <v/>
      </c>
      <c r="AI50" s="1"/>
      <c r="AJ50" s="18"/>
      <c r="AK50" s="1"/>
      <c r="AL50" s="277"/>
      <c r="AM50" s="268"/>
      <c r="AN50" s="1"/>
    </row>
    <row r="51" customFormat="1" spans="1:40">
      <c r="A51" s="1">
        <f t="shared" si="17"/>
        <v>40</v>
      </c>
      <c r="B51" s="1" t="str">
        <f>tblCategories!D42</f>
        <v>4) PERSONAL SECURITY</v>
      </c>
      <c r="C51" s="1">
        <f>IF(tblCategories!AC42="",0,tblCategories!AC42)</f>
        <v>1</v>
      </c>
      <c r="D51" s="1">
        <v>1</v>
      </c>
      <c r="E51" s="1">
        <f ca="1" t="shared" si="13"/>
        <v>78.9514458295227</v>
      </c>
      <c r="F51" s="1"/>
      <c r="G51" s="1">
        <f ca="1" t="shared" si="14"/>
        <v>78.9514458295227</v>
      </c>
      <c r="H51" s="1"/>
      <c r="I51" s="1" t="e">
        <f ca="1" t="shared" si="15"/>
        <v>#VALUE!</v>
      </c>
      <c r="J51" s="1"/>
      <c r="K51" s="1" t="e">
        <f ca="1" t="shared" si="16"/>
        <v>#VALUE!</v>
      </c>
      <c r="L51" s="1"/>
      <c r="M51" s="1">
        <f>CHOOSE($B$7,SUMIF(rScores_2014_O!$B$280:$AY$280,1,rScores_2014_O!$B42:$AY42)/rScores_2014_O!$BA$280,SUMIF(rScores_2014_N!$B$280:$AU$280,1,rScores_2014_N!$B42:$AU42)/rScores_2014_N!$AW$280,SUMIF(rScores_2017!$B$280:$BJ$280,1,rScores_2017!$B42:$BJ42)/rScores_2017!$BL$280)</f>
        <v>74.4281666666667</v>
      </c>
      <c r="N51" s="1"/>
      <c r="O51" s="1"/>
      <c r="P51" s="1"/>
      <c r="Q51" s="1">
        <f ca="1" t="shared" si="22"/>
        <v>1</v>
      </c>
      <c r="R51" s="1">
        <f ca="1">IF($C51=0,"",RANK(Q51,Q$12:Q$73,1)+COUNTIF(Q$12:Q51,Q51)-1)</f>
        <v>4</v>
      </c>
      <c r="S51" s="1" t="str">
        <f ca="1" t="shared" si="23"/>
        <v/>
      </c>
      <c r="T51" s="269" t="str">
        <f ca="1" t="shared" si="24"/>
        <v/>
      </c>
      <c r="U51" s="269" t="str">
        <f ca="1" t="shared" si="25"/>
        <v/>
      </c>
      <c r="V51" s="269">
        <f ca="1" t="shared" si="26"/>
        <v>0</v>
      </c>
      <c r="W51" s="268" t="str">
        <f ca="1" t="shared" si="19"/>
        <v/>
      </c>
      <c r="X51" s="1" t="str">
        <f ca="1" t="shared" si="27"/>
        <v/>
      </c>
      <c r="Y51" s="1" t="str">
        <f ca="1" t="shared" si="20"/>
        <v/>
      </c>
      <c r="Z51" s="1" t="str">
        <f ca="1" t="shared" si="20"/>
        <v/>
      </c>
      <c r="AA51" s="1" t="str">
        <f ca="1" t="shared" si="28"/>
        <v/>
      </c>
      <c r="AB51" s="1" t="str">
        <f ca="1" t="shared" si="29"/>
        <v/>
      </c>
      <c r="AC51" s="1" t="str">
        <f ca="1" t="shared" si="30"/>
        <v/>
      </c>
      <c r="AD51" s="1" t="str">
        <f ca="1" t="shared" si="31"/>
        <v/>
      </c>
      <c r="AE51" s="1" t="str">
        <f ca="1" t="shared" si="32"/>
        <v/>
      </c>
      <c r="AF51" s="1" t="str">
        <f ca="1" t="shared" si="21"/>
        <v/>
      </c>
      <c r="AG51" s="1" t="str">
        <f ca="1" t="shared" si="21"/>
        <v/>
      </c>
      <c r="AH51" s="1" t="str">
        <f ca="1">IF(T51="","",IF(ISERROR(INDEX(aRank_2014_N,$S51+1,uxb_works!$B$25)),"",INDEX(aRank_2014_N,$S51+1,uxb_works!$B$25)))</f>
        <v/>
      </c>
      <c r="AI51" s="1"/>
      <c r="AJ51" s="18"/>
      <c r="AK51" s="1"/>
      <c r="AL51" s="277"/>
      <c r="AM51" s="268"/>
      <c r="AN51" s="1"/>
    </row>
    <row r="52" customFormat="1" spans="1:40">
      <c r="A52" s="1">
        <f t="shared" si="17"/>
        <v>41</v>
      </c>
      <c r="B52" s="1" t="str">
        <f>tblCategories!D43</f>
        <v>4.1) Personal security (Inputs)</v>
      </c>
      <c r="C52" s="1">
        <f>IF(tblCategories!AC43="",0,tblCategories!AC43)</f>
        <v>0</v>
      </c>
      <c r="D52" s="1">
        <v>1</v>
      </c>
      <c r="E52" s="1" t="str">
        <f ca="1" t="shared" si="13"/>
        <v/>
      </c>
      <c r="F52" s="1"/>
      <c r="G52" s="1" t="str">
        <f ca="1" t="shared" si="14"/>
        <v/>
      </c>
      <c r="H52" s="1"/>
      <c r="I52" s="1" t="str">
        <f ca="1" t="shared" si="15"/>
        <v/>
      </c>
      <c r="J52" s="1"/>
      <c r="K52" s="1" t="str">
        <f ca="1" t="shared" si="16"/>
        <v/>
      </c>
      <c r="L52" s="1"/>
      <c r="M52" s="1">
        <f>CHOOSE($B$7,SUMIF(rScores_2014_O!$B$280:$AY$280,1,rScores_2014_O!$B43:$AY43)/rScores_2014_O!$BA$280,SUMIF(rScores_2014_N!$B$280:$AU$280,1,rScores_2014_N!$B43:$AU43)/rScores_2014_N!$AW$280,SUMIF(rScores_2017!$B$280:$BJ$280,1,rScores_2017!$B43:$BJ43)/rScores_2017!$BL$280)</f>
        <v>76.3648333333333</v>
      </c>
      <c r="N52" s="1"/>
      <c r="O52" s="1"/>
      <c r="P52" s="1"/>
      <c r="Q52" s="1" t="str">
        <f ca="1" t="shared" si="22"/>
        <v/>
      </c>
      <c r="R52" s="1" t="str">
        <f ca="1">IF($C52=0,"",RANK(Q52,Q$12:Q$73,1)+COUNTIF(Q$12:Q52,Q52)-1)</f>
        <v/>
      </c>
      <c r="S52" s="1" t="str">
        <f ca="1" t="shared" si="23"/>
        <v/>
      </c>
      <c r="T52" s="269" t="str">
        <f ca="1" t="shared" si="24"/>
        <v/>
      </c>
      <c r="U52" s="269" t="str">
        <f ca="1" t="shared" si="25"/>
        <v/>
      </c>
      <c r="V52" s="269">
        <f ca="1" t="shared" si="26"/>
        <v>0</v>
      </c>
      <c r="W52" s="268" t="str">
        <f ca="1" t="shared" si="19"/>
        <v/>
      </c>
      <c r="X52" s="1" t="str">
        <f ca="1" t="shared" si="27"/>
        <v/>
      </c>
      <c r="Y52" s="1" t="str">
        <f ca="1" t="shared" ref="Y52:Z71" si="33">IF($S52="","",INDEX($E$12:$O$73,$S52,Y$10))</f>
        <v/>
      </c>
      <c r="Z52" s="1" t="str">
        <f ca="1" t="shared" si="33"/>
        <v/>
      </c>
      <c r="AA52" s="1" t="str">
        <f ca="1" t="shared" si="28"/>
        <v/>
      </c>
      <c r="AB52" s="1" t="str">
        <f ca="1" t="shared" si="29"/>
        <v/>
      </c>
      <c r="AC52" s="1" t="str">
        <f ca="1" t="shared" si="30"/>
        <v/>
      </c>
      <c r="AD52" s="1" t="str">
        <f ca="1" t="shared" si="31"/>
        <v/>
      </c>
      <c r="AE52" s="1" t="str">
        <f ca="1" t="shared" si="32"/>
        <v/>
      </c>
      <c r="AF52" s="1" t="str">
        <f ca="1" t="shared" ref="AF52:AG71" si="34">IF($S52="","",INDEX($E$12:$O$73,$S52,AF$10))</f>
        <v/>
      </c>
      <c r="AG52" s="1" t="str">
        <f ca="1" t="shared" si="34"/>
        <v/>
      </c>
      <c r="AH52" s="1" t="str">
        <f ca="1">IF(T52="","",IF(ISERROR(INDEX(aRank_2014_N,$S52+1,uxb_works!$B$25)),"",INDEX(aRank_2014_N,$S52+1,uxb_works!$B$25)))</f>
        <v/>
      </c>
      <c r="AI52" s="1"/>
      <c r="AJ52" s="18"/>
      <c r="AK52" s="1"/>
      <c r="AL52" s="277"/>
      <c r="AM52" s="268"/>
      <c r="AN52" s="1"/>
    </row>
    <row r="53" customFormat="1" spans="1:40">
      <c r="A53" s="1">
        <f t="shared" si="17"/>
        <v>42</v>
      </c>
      <c r="B53" s="1" t="str">
        <f>tblCategories!D44</f>
        <v>4.1.1) Level of police engagement</v>
      </c>
      <c r="C53" s="1">
        <f>IF(tblCategories!AC44="",0,tblCategories!AC44)</f>
        <v>0</v>
      </c>
      <c r="D53" s="1">
        <v>1</v>
      </c>
      <c r="E53" s="1" t="str">
        <f ca="1" t="shared" si="13"/>
        <v/>
      </c>
      <c r="F53" s="1"/>
      <c r="G53" s="1" t="str">
        <f ca="1" t="shared" si="14"/>
        <v/>
      </c>
      <c r="H53" s="1"/>
      <c r="I53" s="1" t="str">
        <f ca="1" t="shared" si="15"/>
        <v/>
      </c>
      <c r="J53" s="1"/>
      <c r="K53" s="1" t="str">
        <f ca="1" t="shared" si="16"/>
        <v/>
      </c>
      <c r="L53" s="1"/>
      <c r="M53" s="1">
        <f>CHOOSE($B$7,SUMIF(rScores_2014_O!$B$280:$AY$280,1,rScores_2014_O!$B44:$AY44)/rScores_2014_O!$BA$280,SUMIF(rScores_2014_N!$B$280:$AU$280,1,rScores_2014_N!$B44:$AU44)/rScores_2014_N!$AW$280,SUMIF(rScores_2017!$B$280:$BJ$280,1,rScores_2017!$B44:$BJ44)/rScores_2017!$BL$280)</f>
        <v>71.6666666666667</v>
      </c>
      <c r="N53" s="1"/>
      <c r="O53" s="1"/>
      <c r="P53" s="1"/>
      <c r="Q53" s="1" t="str">
        <f ca="1" t="shared" si="22"/>
        <v/>
      </c>
      <c r="R53" s="1" t="str">
        <f ca="1">IF($C53=0,"",RANK(Q53,Q$12:Q$73,1)+COUNTIF(Q$12:Q53,Q53)-1)</f>
        <v/>
      </c>
      <c r="S53" s="1" t="str">
        <f ca="1" t="shared" si="23"/>
        <v/>
      </c>
      <c r="T53" s="269" t="str">
        <f ca="1" t="shared" si="24"/>
        <v/>
      </c>
      <c r="U53" s="269" t="str">
        <f ca="1" t="shared" si="25"/>
        <v/>
      </c>
      <c r="V53" s="269">
        <f ca="1" t="shared" si="26"/>
        <v>0</v>
      </c>
      <c r="W53" s="268" t="str">
        <f ca="1" t="shared" si="19"/>
        <v/>
      </c>
      <c r="X53" s="1" t="str">
        <f ca="1" t="shared" si="27"/>
        <v/>
      </c>
      <c r="Y53" s="1" t="str">
        <f ca="1" t="shared" si="33"/>
        <v/>
      </c>
      <c r="Z53" s="1" t="str">
        <f ca="1" t="shared" si="33"/>
        <v/>
      </c>
      <c r="AA53" s="1" t="str">
        <f ca="1" t="shared" si="28"/>
        <v/>
      </c>
      <c r="AB53" s="1" t="str">
        <f ca="1" t="shared" si="29"/>
        <v/>
      </c>
      <c r="AC53" s="1" t="str">
        <f ca="1" t="shared" si="30"/>
        <v/>
      </c>
      <c r="AD53" s="1" t="str">
        <f ca="1" t="shared" si="31"/>
        <v/>
      </c>
      <c r="AE53" s="1" t="str">
        <f ca="1" t="shared" si="32"/>
        <v/>
      </c>
      <c r="AF53" s="1" t="str">
        <f ca="1" t="shared" si="34"/>
        <v/>
      </c>
      <c r="AG53" s="1" t="str">
        <f ca="1" t="shared" si="34"/>
        <v/>
      </c>
      <c r="AH53" s="1" t="str">
        <f ca="1">IF(T53="","",IF(ISERROR(INDEX(aRank_2014_N,$S53+1,uxb_works!$B$25)),"",INDEX(aRank_2014_N,$S53+1,uxb_works!$B$25)))</f>
        <v/>
      </c>
      <c r="AI53" s="1"/>
      <c r="AJ53" s="18"/>
      <c r="AK53" s="1"/>
      <c r="AL53" s="277"/>
      <c r="AM53" s="268"/>
      <c r="AN53" s="1"/>
    </row>
    <row r="54" customFormat="1" spans="1:40">
      <c r="A54" s="1">
        <f t="shared" si="17"/>
        <v>43</v>
      </c>
      <c r="B54" s="1" t="str">
        <f>tblCategories!D45</f>
        <v>4.1.2) Community-based patrolling</v>
      </c>
      <c r="C54" s="1">
        <f>IF(tblCategories!AC45="",0,tblCategories!AC45)</f>
        <v>0</v>
      </c>
      <c r="D54" s="1">
        <v>1</v>
      </c>
      <c r="E54" s="1" t="str">
        <f ca="1" t="shared" si="13"/>
        <v/>
      </c>
      <c r="F54" s="1"/>
      <c r="G54" s="1" t="str">
        <f ca="1" t="shared" si="14"/>
        <v/>
      </c>
      <c r="H54" s="1"/>
      <c r="I54" s="1" t="str">
        <f ca="1" t="shared" si="15"/>
        <v/>
      </c>
      <c r="J54" s="1"/>
      <c r="K54" s="1" t="str">
        <f ca="1" t="shared" si="16"/>
        <v/>
      </c>
      <c r="L54" s="1"/>
      <c r="M54" s="1">
        <f>CHOOSE($B$7,SUMIF(rScores_2014_O!$B$280:$AY$280,1,rScores_2014_O!$B45:$AY45)/rScores_2014_O!$BA$280,SUMIF(rScores_2014_N!$B$280:$AU$280,1,rScores_2014_N!$B45:$AU45)/rScores_2014_N!$AW$280,SUMIF(rScores_2017!$B$280:$BJ$280,1,rScores_2017!$B45:$BJ45)/rScores_2017!$BL$280)</f>
        <v>88.3333333333333</v>
      </c>
      <c r="N54" s="1"/>
      <c r="O54" s="1"/>
      <c r="P54" s="1"/>
      <c r="Q54" s="1" t="str">
        <f ca="1" t="shared" si="22"/>
        <v/>
      </c>
      <c r="R54" s="1" t="str">
        <f ca="1">IF($C54=0,"",RANK(Q54,Q$12:Q$73,1)+COUNTIF(Q$12:Q54,Q54)-1)</f>
        <v/>
      </c>
      <c r="S54" s="1" t="str">
        <f ca="1" t="shared" si="23"/>
        <v/>
      </c>
      <c r="T54" s="269" t="str">
        <f ca="1" t="shared" si="24"/>
        <v/>
      </c>
      <c r="U54" s="269" t="str">
        <f ca="1" t="shared" si="25"/>
        <v/>
      </c>
      <c r="V54" s="269">
        <f ca="1" t="shared" si="26"/>
        <v>0</v>
      </c>
      <c r="W54" s="268" t="str">
        <f ca="1" t="shared" si="19"/>
        <v/>
      </c>
      <c r="X54" s="1" t="str">
        <f ca="1" t="shared" si="27"/>
        <v/>
      </c>
      <c r="Y54" s="1" t="str">
        <f ca="1" t="shared" si="33"/>
        <v/>
      </c>
      <c r="Z54" s="1" t="str">
        <f ca="1" t="shared" si="33"/>
        <v/>
      </c>
      <c r="AA54" s="1" t="str">
        <f ca="1" t="shared" si="28"/>
        <v/>
      </c>
      <c r="AB54" s="1" t="str">
        <f ca="1" t="shared" si="29"/>
        <v/>
      </c>
      <c r="AC54" s="1" t="str">
        <f ca="1" t="shared" si="30"/>
        <v/>
      </c>
      <c r="AD54" s="1" t="str">
        <f ca="1" t="shared" si="31"/>
        <v/>
      </c>
      <c r="AE54" s="1" t="str">
        <f ca="1" t="shared" si="32"/>
        <v/>
      </c>
      <c r="AF54" s="1" t="str">
        <f ca="1" t="shared" si="34"/>
        <v/>
      </c>
      <c r="AG54" s="1" t="str">
        <f ca="1" t="shared" si="34"/>
        <v/>
      </c>
      <c r="AH54" s="1" t="str">
        <f ca="1">IF(T54="","",IF(ISERROR(INDEX(aRank_2014_N,$S54+1,uxb_works!$B$25)),"",INDEX(aRank_2014_N,$S54+1,uxb_works!$B$25)))</f>
        <v/>
      </c>
      <c r="AI54" s="1"/>
      <c r="AJ54" s="18"/>
      <c r="AK54" s="1"/>
      <c r="AL54" s="277"/>
      <c r="AM54" s="268"/>
      <c r="AN54" s="1"/>
    </row>
    <row r="55" customFormat="1" spans="1:40">
      <c r="A55" s="1">
        <f t="shared" si="17"/>
        <v>44</v>
      </c>
      <c r="B55" s="1" t="str">
        <f>tblCategories!D46</f>
        <v>4.1.3) Available street-level crime data</v>
      </c>
      <c r="C55" s="1">
        <f>IF(tblCategories!AC46="",0,tblCategories!AC46)</f>
        <v>0</v>
      </c>
      <c r="D55" s="1">
        <v>1</v>
      </c>
      <c r="E55" s="1" t="str">
        <f ca="1" t="shared" si="13"/>
        <v/>
      </c>
      <c r="F55" s="1"/>
      <c r="G55" s="1" t="str">
        <f ca="1" t="shared" si="14"/>
        <v/>
      </c>
      <c r="H55" s="1"/>
      <c r="I55" s="1" t="str">
        <f ca="1" t="shared" si="15"/>
        <v/>
      </c>
      <c r="J55" s="1"/>
      <c r="K55" s="1" t="str">
        <f ca="1" t="shared" si="16"/>
        <v/>
      </c>
      <c r="L55" s="1"/>
      <c r="M55" s="1">
        <f>CHOOSE($B$7,SUMIF(rScores_2014_O!$B$280:$AY$280,1,rScores_2014_O!$B46:$AY46)/rScores_2014_O!$BA$280,SUMIF(rScores_2014_N!$B$280:$AU$280,1,rScores_2014_N!$B46:$AU46)/rScores_2014_N!$AW$280,SUMIF(rScores_2017!$B$280:$BJ$280,1,rScores_2017!$B46:$BJ46)/rScores_2017!$BL$280)</f>
        <v>83.3333333333333</v>
      </c>
      <c r="N55" s="1"/>
      <c r="O55" s="1"/>
      <c r="P55" s="1"/>
      <c r="Q55" s="1" t="str">
        <f ca="1" t="shared" si="22"/>
        <v/>
      </c>
      <c r="R55" s="1" t="str">
        <f ca="1">IF($C55=0,"",RANK(Q55,Q$12:Q$73,1)+COUNTIF(Q$12:Q55,Q55)-1)</f>
        <v/>
      </c>
      <c r="S55" s="1" t="str">
        <f ca="1" t="shared" si="23"/>
        <v/>
      </c>
      <c r="T55" s="269" t="str">
        <f ca="1" t="shared" si="24"/>
        <v/>
      </c>
      <c r="U55" s="269" t="str">
        <f ca="1" t="shared" si="25"/>
        <v/>
      </c>
      <c r="V55" s="269">
        <f ca="1" t="shared" si="26"/>
        <v>0</v>
      </c>
      <c r="W55" s="268" t="str">
        <f ca="1" t="shared" si="19"/>
        <v/>
      </c>
      <c r="X55" s="1" t="str">
        <f ca="1" t="shared" si="27"/>
        <v/>
      </c>
      <c r="Y55" s="1" t="str">
        <f ca="1" t="shared" si="33"/>
        <v/>
      </c>
      <c r="Z55" s="1" t="str">
        <f ca="1" t="shared" si="33"/>
        <v/>
      </c>
      <c r="AA55" s="1" t="str">
        <f ca="1" t="shared" si="28"/>
        <v/>
      </c>
      <c r="AB55" s="1" t="str">
        <f ca="1" t="shared" si="29"/>
        <v/>
      </c>
      <c r="AC55" s="1" t="str">
        <f ca="1" t="shared" si="30"/>
        <v/>
      </c>
      <c r="AD55" s="1" t="str">
        <f ca="1" t="shared" si="31"/>
        <v/>
      </c>
      <c r="AE55" s="1" t="str">
        <f ca="1" t="shared" si="32"/>
        <v/>
      </c>
      <c r="AF55" s="1" t="str">
        <f ca="1" t="shared" si="34"/>
        <v/>
      </c>
      <c r="AG55" s="1" t="str">
        <f ca="1" t="shared" si="34"/>
        <v/>
      </c>
      <c r="AH55" s="1" t="str">
        <f ca="1">IF(T55="","",IF(ISERROR(INDEX(aRank_2014_N,$S55+1,uxb_works!$B$25)),"",INDEX(aRank_2014_N,$S55+1,uxb_works!$B$25)))</f>
        <v/>
      </c>
      <c r="AI55" s="1"/>
      <c r="AJ55" s="18"/>
      <c r="AK55" s="1"/>
      <c r="AL55" s="277"/>
      <c r="AM55" s="268"/>
      <c r="AN55" s="1"/>
    </row>
    <row r="56" customFormat="1" spans="1:40">
      <c r="A56" s="1">
        <f t="shared" si="17"/>
        <v>45</v>
      </c>
      <c r="B56" s="1" t="str">
        <f>tblCategories!D47</f>
        <v>4.1.4) Use of data-driven techniques for crime</v>
      </c>
      <c r="C56" s="1">
        <f>IF(tblCategories!AC47="",0,tblCategories!AC47)</f>
        <v>0</v>
      </c>
      <c r="D56" s="1">
        <v>1</v>
      </c>
      <c r="E56" s="1" t="str">
        <f ca="1" t="shared" si="13"/>
        <v/>
      </c>
      <c r="F56" s="1"/>
      <c r="G56" s="1" t="str">
        <f ca="1" t="shared" si="14"/>
        <v/>
      </c>
      <c r="H56" s="1"/>
      <c r="I56" s="1" t="str">
        <f ca="1" t="shared" si="15"/>
        <v/>
      </c>
      <c r="J56" s="1"/>
      <c r="K56" s="1" t="str">
        <f ca="1" t="shared" si="16"/>
        <v/>
      </c>
      <c r="L56" s="1"/>
      <c r="M56" s="1">
        <f>CHOOSE($B$7,SUMIF(rScores_2014_O!$B$280:$AY$280,1,rScores_2014_O!$B47:$AY47)/rScores_2014_O!$BA$280,SUMIF(rScores_2014_N!$B$280:$AU$280,1,rScores_2014_N!$B47:$AU47)/rScores_2014_N!$AW$280,SUMIF(rScores_2017!$B$280:$BJ$280,1,rScores_2017!$B47:$BJ47)/rScores_2017!$BL$280)</f>
        <v>80</v>
      </c>
      <c r="N56" s="1"/>
      <c r="O56" s="1"/>
      <c r="P56" s="1"/>
      <c r="Q56" s="1" t="str">
        <f ca="1" t="shared" si="22"/>
        <v/>
      </c>
      <c r="R56" s="1" t="str">
        <f ca="1">IF($C56=0,"",RANK(Q56,Q$12:Q$73,1)+COUNTIF(Q$12:Q56,Q56)-1)</f>
        <v/>
      </c>
      <c r="S56" s="1" t="str">
        <f ca="1" t="shared" si="23"/>
        <v/>
      </c>
      <c r="T56" s="269" t="str">
        <f ca="1" t="shared" si="24"/>
        <v/>
      </c>
      <c r="U56" s="269" t="str">
        <f ca="1" t="shared" si="25"/>
        <v/>
      </c>
      <c r="V56" s="269">
        <f ca="1" t="shared" si="26"/>
        <v>0</v>
      </c>
      <c r="W56" s="268" t="str">
        <f ca="1" t="shared" si="19"/>
        <v/>
      </c>
      <c r="X56" s="1" t="str">
        <f ca="1" t="shared" si="27"/>
        <v/>
      </c>
      <c r="Y56" s="1" t="str">
        <f ca="1" t="shared" si="33"/>
        <v/>
      </c>
      <c r="Z56" s="1" t="str">
        <f ca="1" t="shared" si="33"/>
        <v/>
      </c>
      <c r="AA56" s="1" t="str">
        <f ca="1" t="shared" si="28"/>
        <v/>
      </c>
      <c r="AB56" s="1" t="str">
        <f ca="1" t="shared" si="29"/>
        <v/>
      </c>
      <c r="AC56" s="1" t="str">
        <f ca="1" t="shared" si="30"/>
        <v/>
      </c>
      <c r="AD56" s="1" t="str">
        <f ca="1" t="shared" si="31"/>
        <v/>
      </c>
      <c r="AE56" s="1" t="str">
        <f ca="1" t="shared" si="32"/>
        <v/>
      </c>
      <c r="AF56" s="1" t="str">
        <f ca="1" t="shared" si="34"/>
        <v/>
      </c>
      <c r="AG56" s="1" t="str">
        <f ca="1" t="shared" si="34"/>
        <v/>
      </c>
      <c r="AH56" s="1" t="str">
        <f ca="1">IF(T56="","",IF(ISERROR(INDEX(aRank_2014_N,$S56+1,uxb_works!$B$25)),"",INDEX(aRank_2014_N,$S56+1,uxb_works!$B$25)))</f>
        <v/>
      </c>
      <c r="AI56" s="1"/>
      <c r="AJ56" s="18"/>
      <c r="AK56" s="1"/>
      <c r="AL56" s="277"/>
      <c r="AM56" s="268"/>
      <c r="AN56" s="1"/>
    </row>
    <row r="57" customFormat="1" spans="1:40">
      <c r="A57" s="1">
        <f t="shared" si="17"/>
        <v>46</v>
      </c>
      <c r="B57" s="1" t="str">
        <f>tblCategories!D48</f>
        <v>4.1.5) Private security measures</v>
      </c>
      <c r="C57" s="1">
        <f>IF(tblCategories!AC48="",0,tblCategories!AC48)</f>
        <v>0</v>
      </c>
      <c r="D57" s="1">
        <v>1</v>
      </c>
      <c r="E57" s="1" t="str">
        <f ca="1" t="shared" si="13"/>
        <v/>
      </c>
      <c r="F57" s="1"/>
      <c r="G57" s="1" t="str">
        <f ca="1" t="shared" si="14"/>
        <v/>
      </c>
      <c r="H57" s="1"/>
      <c r="I57" s="1" t="str">
        <f ca="1" t="shared" si="15"/>
        <v/>
      </c>
      <c r="J57" s="1"/>
      <c r="K57" s="1" t="str">
        <f ca="1" t="shared" si="16"/>
        <v/>
      </c>
      <c r="L57" s="1"/>
      <c r="M57" s="1">
        <f>CHOOSE($B$7,SUMIF(rScores_2014_O!$B$280:$AY$280,1,rScores_2014_O!$B48:$AY48)/rScores_2014_O!$BA$280,SUMIF(rScores_2014_N!$B$280:$AU$280,1,rScores_2014_N!$B48:$AU48)/rScores_2014_N!$AW$280,SUMIF(rScores_2017!$B$280:$BJ$280,1,rScores_2017!$B48:$BJ48)/rScores_2017!$BL$280)</f>
        <v>91.6666666666667</v>
      </c>
      <c r="N57" s="1"/>
      <c r="O57" s="1"/>
      <c r="P57" s="1"/>
      <c r="Q57" s="1" t="str">
        <f ca="1" t="shared" si="22"/>
        <v/>
      </c>
      <c r="R57" s="1" t="str">
        <f ca="1">IF($C57=0,"",RANK(Q57,Q$12:Q$73,1)+COUNTIF(Q$12:Q57,Q57)-1)</f>
        <v/>
      </c>
      <c r="S57" s="1" t="str">
        <f ca="1" t="shared" si="23"/>
        <v/>
      </c>
      <c r="T57" s="269" t="str">
        <f ca="1" t="shared" si="24"/>
        <v/>
      </c>
      <c r="U57" s="269" t="str">
        <f ca="1" t="shared" si="25"/>
        <v/>
      </c>
      <c r="V57" s="269">
        <f ca="1" t="shared" si="26"/>
        <v>0</v>
      </c>
      <c r="W57" s="268" t="str">
        <f ca="1" t="shared" si="19"/>
        <v/>
      </c>
      <c r="X57" s="1" t="str">
        <f ca="1" t="shared" si="27"/>
        <v/>
      </c>
      <c r="Y57" s="1" t="str">
        <f ca="1" t="shared" si="33"/>
        <v/>
      </c>
      <c r="Z57" s="1" t="str">
        <f ca="1" t="shared" si="33"/>
        <v/>
      </c>
      <c r="AA57" s="1" t="str">
        <f ca="1" t="shared" si="28"/>
        <v/>
      </c>
      <c r="AB57" s="1" t="str">
        <f ca="1" t="shared" si="29"/>
        <v/>
      </c>
      <c r="AC57" s="1" t="str">
        <f ca="1" t="shared" si="30"/>
        <v/>
      </c>
      <c r="AD57" s="1" t="str">
        <f ca="1" t="shared" si="31"/>
        <v/>
      </c>
      <c r="AE57" s="1" t="str">
        <f ca="1" t="shared" si="32"/>
        <v/>
      </c>
      <c r="AF57" s="1" t="str">
        <f ca="1" t="shared" si="34"/>
        <v/>
      </c>
      <c r="AG57" s="1" t="str">
        <f ca="1" t="shared" si="34"/>
        <v/>
      </c>
      <c r="AH57" s="1" t="str">
        <f ca="1">IF(T57="","",IF(ISERROR(INDEX(aRank_2014_N,$S57+1,uxb_works!$B$25)),"",INDEX(aRank_2014_N,$S57+1,uxb_works!$B$25)))</f>
        <v/>
      </c>
      <c r="AI57" s="1"/>
      <c r="AJ57" s="18"/>
      <c r="AK57" s="1"/>
      <c r="AL57" s="277"/>
      <c r="AM57" s="268"/>
      <c r="AN57" s="1"/>
    </row>
    <row r="58" customFormat="1" spans="1:40">
      <c r="A58" s="1">
        <f t="shared" si="17"/>
        <v>47</v>
      </c>
      <c r="B58" s="1" t="str">
        <f>tblCategories!D49</f>
        <v>4.1.6) Gun regulation and enforcement</v>
      </c>
      <c r="C58" s="1">
        <f>IF(tblCategories!AC49="",0,tblCategories!AC49)</f>
        <v>0</v>
      </c>
      <c r="D58" s="1">
        <v>1</v>
      </c>
      <c r="E58" s="1" t="str">
        <f ca="1" t="shared" si="13"/>
        <v/>
      </c>
      <c r="F58" s="1"/>
      <c r="G58" s="1" t="str">
        <f ca="1" t="shared" si="14"/>
        <v/>
      </c>
      <c r="H58" s="1"/>
      <c r="I58" s="1" t="str">
        <f ca="1" t="shared" si="15"/>
        <v/>
      </c>
      <c r="J58" s="1"/>
      <c r="K58" s="1" t="str">
        <f ca="1" t="shared" si="16"/>
        <v/>
      </c>
      <c r="L58" s="1"/>
      <c r="M58" s="1">
        <f>CHOOSE($B$7,SUMIF(rScores_2014_O!$B$280:$AY$280,1,rScores_2014_O!$B49:$AY49)/rScores_2014_O!$BA$280,SUMIF(rScores_2014_N!$B$280:$AU$280,1,rScores_2014_N!$B49:$AU49)/rScores_2014_N!$AW$280,SUMIF(rScores_2017!$B$280:$BJ$280,1,rScores_2017!$B49:$BJ49)/rScores_2017!$BL$280)</f>
        <v>56.1376666666667</v>
      </c>
      <c r="N58" s="1"/>
      <c r="O58" s="1"/>
      <c r="P58" s="1"/>
      <c r="Q58" s="1" t="str">
        <f ca="1" t="shared" si="22"/>
        <v/>
      </c>
      <c r="R58" s="1" t="str">
        <f ca="1">IF($C58=0,"",RANK(Q58,Q$12:Q$73,1)+COUNTIF(Q$12:Q58,Q58)-1)</f>
        <v/>
      </c>
      <c r="S58" s="1" t="str">
        <f ca="1" t="shared" si="23"/>
        <v/>
      </c>
      <c r="T58" s="269" t="str">
        <f ca="1" t="shared" si="24"/>
        <v/>
      </c>
      <c r="U58" s="269" t="str">
        <f ca="1" t="shared" si="25"/>
        <v/>
      </c>
      <c r="V58" s="269">
        <f ca="1" t="shared" si="26"/>
        <v>0</v>
      </c>
      <c r="W58" s="268" t="str">
        <f ca="1" t="shared" si="19"/>
        <v/>
      </c>
      <c r="X58" s="1" t="str">
        <f ca="1" t="shared" si="27"/>
        <v/>
      </c>
      <c r="Y58" s="1" t="str">
        <f ca="1" t="shared" si="33"/>
        <v/>
      </c>
      <c r="Z58" s="1" t="str">
        <f ca="1" t="shared" si="33"/>
        <v/>
      </c>
      <c r="AA58" s="1" t="str">
        <f ca="1" t="shared" si="28"/>
        <v/>
      </c>
      <c r="AB58" s="1" t="str">
        <f ca="1" t="shared" si="29"/>
        <v/>
      </c>
      <c r="AC58" s="1" t="str">
        <f ca="1" t="shared" si="30"/>
        <v/>
      </c>
      <c r="AD58" s="1" t="str">
        <f ca="1" t="shared" si="31"/>
        <v/>
      </c>
      <c r="AE58" s="1" t="str">
        <f ca="1" t="shared" si="32"/>
        <v/>
      </c>
      <c r="AF58" s="1" t="str">
        <f ca="1" t="shared" si="34"/>
        <v/>
      </c>
      <c r="AG58" s="1" t="str">
        <f ca="1" t="shared" si="34"/>
        <v/>
      </c>
      <c r="AH58" s="1" t="str">
        <f ca="1">IF(T58="","",IF(ISERROR(INDEX(aRank_2014_N,$S58+1,uxb_works!$B$25)),"",INDEX(aRank_2014_N,$S58+1,uxb_works!$B$25)))</f>
        <v/>
      </c>
      <c r="AI58" s="1"/>
      <c r="AJ58" s="18"/>
      <c r="AK58" s="1"/>
      <c r="AL58" s="277"/>
      <c r="AM58" s="268"/>
      <c r="AN58" s="1"/>
    </row>
    <row r="59" customFormat="1" spans="1:40">
      <c r="A59" s="1">
        <f t="shared" si="17"/>
        <v>48</v>
      </c>
      <c r="B59" s="1" t="str">
        <f>tblCategories!D50</f>
        <v>4.1.7) Political stability risk</v>
      </c>
      <c r="C59" s="1">
        <f>IF(tblCategories!AC50="",0,tblCategories!AC50)</f>
        <v>0</v>
      </c>
      <c r="D59" s="1">
        <v>1</v>
      </c>
      <c r="E59" s="1" t="str">
        <f ca="1" t="shared" si="13"/>
        <v/>
      </c>
      <c r="F59" s="1"/>
      <c r="G59" s="1" t="str">
        <f ca="1" t="shared" si="14"/>
        <v/>
      </c>
      <c r="H59" s="1"/>
      <c r="I59" s="1" t="str">
        <f ca="1" t="shared" si="15"/>
        <v/>
      </c>
      <c r="J59" s="1"/>
      <c r="K59" s="1" t="str">
        <f ca="1" t="shared" si="16"/>
        <v/>
      </c>
      <c r="L59" s="1"/>
      <c r="M59" s="1">
        <f>CHOOSE($B$7,SUMIF(rScores_2014_O!$B$280:$AY$280,1,rScores_2014_O!$B50:$AY50)/rScores_2014_O!$BA$280,SUMIF(rScores_2014_N!$B$280:$AU$280,1,rScores_2014_N!$B50:$AU50)/rScores_2014_N!$AW$280,SUMIF(rScores_2017!$B$280:$BJ$280,1,rScores_2017!$B50:$BJ50)/rScores_2017!$BL$280)</f>
        <v>63.4166666666667</v>
      </c>
      <c r="N59" s="1"/>
      <c r="O59" s="1"/>
      <c r="P59" s="1"/>
      <c r="Q59" s="1" t="str">
        <f ca="1" t="shared" si="22"/>
        <v/>
      </c>
      <c r="R59" s="1" t="str">
        <f ca="1">IF($C59=0,"",RANK(Q59,Q$12:Q$73,1)+COUNTIF(Q$12:Q59,Q59)-1)</f>
        <v/>
      </c>
      <c r="S59" s="1" t="str">
        <f ca="1" t="shared" si="23"/>
        <v/>
      </c>
      <c r="T59" s="269" t="str">
        <f ca="1" t="shared" si="24"/>
        <v/>
      </c>
      <c r="U59" s="269" t="str">
        <f ca="1" t="shared" si="25"/>
        <v/>
      </c>
      <c r="V59" s="269">
        <f ca="1" t="shared" si="26"/>
        <v>0</v>
      </c>
      <c r="W59" s="268" t="str">
        <f ca="1" t="shared" si="19"/>
        <v/>
      </c>
      <c r="X59" s="1" t="str">
        <f ca="1" t="shared" si="27"/>
        <v/>
      </c>
      <c r="Y59" s="1" t="str">
        <f ca="1" t="shared" si="33"/>
        <v/>
      </c>
      <c r="Z59" s="1" t="str">
        <f ca="1" t="shared" si="33"/>
        <v/>
      </c>
      <c r="AA59" s="1" t="str">
        <f ca="1" t="shared" si="28"/>
        <v/>
      </c>
      <c r="AB59" s="1" t="str">
        <f ca="1" t="shared" si="29"/>
        <v/>
      </c>
      <c r="AC59" s="1" t="str">
        <f ca="1" t="shared" si="30"/>
        <v/>
      </c>
      <c r="AD59" s="1" t="str">
        <f ca="1" t="shared" si="31"/>
        <v/>
      </c>
      <c r="AE59" s="1" t="str">
        <f ca="1" t="shared" si="32"/>
        <v/>
      </c>
      <c r="AF59" s="1" t="str">
        <f ca="1" t="shared" si="34"/>
        <v/>
      </c>
      <c r="AG59" s="1" t="str">
        <f ca="1" t="shared" si="34"/>
        <v/>
      </c>
      <c r="AH59" s="1" t="str">
        <f ca="1">IF(T59="","",IF(ISERROR(INDEX(aRank_2014_N,$S59+1,uxb_works!$B$25)),"",INDEX(aRank_2014_N,$S59+1,uxb_works!$B$25)))</f>
        <v/>
      </c>
      <c r="AI59" s="1"/>
      <c r="AJ59" s="18"/>
      <c r="AK59" s="1"/>
      <c r="AL59" s="277"/>
      <c r="AM59" s="268"/>
      <c r="AN59" s="1"/>
    </row>
    <row r="60" customFormat="1" spans="1:40">
      <c r="A60" s="1">
        <f t="shared" si="17"/>
        <v>49</v>
      </c>
      <c r="B60" s="1" t="str">
        <f>tblCategories!D51</f>
        <v>4.2) Personal security (Outputs)</v>
      </c>
      <c r="C60" s="1">
        <f>IF(tblCategories!AC51="",0,tblCategories!AC51)</f>
        <v>0</v>
      </c>
      <c r="D60" s="1">
        <v>1</v>
      </c>
      <c r="E60" s="1" t="str">
        <f ca="1" t="shared" si="13"/>
        <v/>
      </c>
      <c r="F60" s="1"/>
      <c r="G60" s="1" t="str">
        <f ca="1" t="shared" si="14"/>
        <v/>
      </c>
      <c r="H60" s="1"/>
      <c r="I60" s="1" t="str">
        <f ca="1" t="shared" si="15"/>
        <v/>
      </c>
      <c r="J60" s="1"/>
      <c r="K60" s="1" t="str">
        <f ca="1" t="shared" si="16"/>
        <v/>
      </c>
      <c r="L60" s="1"/>
      <c r="M60" s="1">
        <f>CHOOSE($B$7,SUMIF(rScores_2014_O!$B$280:$AY$280,1,rScores_2014_O!$B51:$AY51)/rScores_2014_O!$BA$280,SUMIF(rScores_2014_N!$B$280:$AU$280,1,rScores_2014_N!$B51:$AU51)/rScores_2014_N!$AW$280,SUMIF(rScores_2017!$B$280:$BJ$280,1,rScores_2017!$B51:$BJ51)/rScores_2017!$BL$280)</f>
        <v>72.491</v>
      </c>
      <c r="N60" s="1"/>
      <c r="O60" s="1"/>
      <c r="P60" s="1"/>
      <c r="Q60" s="1" t="str">
        <f ca="1" t="shared" si="22"/>
        <v/>
      </c>
      <c r="R60" s="1" t="str">
        <f ca="1">IF($C60=0,"",RANK(Q60,Q$12:Q$73,1)+COUNTIF(Q$12:Q60,Q60)-1)</f>
        <v/>
      </c>
      <c r="S60" s="1" t="str">
        <f ca="1" t="shared" si="23"/>
        <v/>
      </c>
      <c r="T60" s="269" t="str">
        <f ca="1" t="shared" si="24"/>
        <v/>
      </c>
      <c r="U60" s="269" t="str">
        <f ca="1" t="shared" si="25"/>
        <v/>
      </c>
      <c r="V60" s="269">
        <f ca="1" t="shared" si="26"/>
        <v>0</v>
      </c>
      <c r="W60" s="268" t="str">
        <f ca="1" t="shared" si="19"/>
        <v/>
      </c>
      <c r="X60" s="1" t="str">
        <f ca="1" t="shared" si="27"/>
        <v/>
      </c>
      <c r="Y60" s="1" t="str">
        <f ca="1" t="shared" si="33"/>
        <v/>
      </c>
      <c r="Z60" s="1" t="str">
        <f ca="1" t="shared" si="33"/>
        <v/>
      </c>
      <c r="AA60" s="1" t="str">
        <f ca="1" t="shared" si="28"/>
        <v/>
      </c>
      <c r="AB60" s="1" t="str">
        <f ca="1" t="shared" si="29"/>
        <v/>
      </c>
      <c r="AC60" s="1" t="str">
        <f ca="1" t="shared" si="30"/>
        <v/>
      </c>
      <c r="AD60" s="1" t="str">
        <f ca="1" t="shared" si="31"/>
        <v/>
      </c>
      <c r="AE60" s="1" t="str">
        <f ca="1" t="shared" si="32"/>
        <v/>
      </c>
      <c r="AF60" s="1" t="str">
        <f ca="1" t="shared" si="34"/>
        <v/>
      </c>
      <c r="AG60" s="1" t="str">
        <f ca="1" t="shared" si="34"/>
        <v/>
      </c>
      <c r="AH60" s="1" t="str">
        <f ca="1">IF(T60="","",IF(ISERROR(INDEX(aRank_2014_N,$S60+1,uxb_works!$B$25)),"",INDEX(aRank_2014_N,$S60+1,uxb_works!$B$25)))</f>
        <v/>
      </c>
      <c r="AI60" s="1"/>
      <c r="AJ60" s="18"/>
      <c r="AK60" s="1"/>
      <c r="AL60" s="277"/>
      <c r="AM60" s="268"/>
      <c r="AN60" s="1"/>
    </row>
    <row r="61" customFormat="1" spans="1:40">
      <c r="A61" s="1">
        <f t="shared" si="17"/>
        <v>50</v>
      </c>
      <c r="B61" s="1" t="str">
        <f>tblCategories!D52</f>
        <v>4.2.1) Prevalence of petty crime</v>
      </c>
      <c r="C61" s="1">
        <f>IF(tblCategories!AC52="",0,tblCategories!AC52)</f>
        <v>0</v>
      </c>
      <c r="D61" s="1">
        <v>1</v>
      </c>
      <c r="E61" s="1" t="str">
        <f ca="1" t="shared" si="13"/>
        <v/>
      </c>
      <c r="F61" s="1"/>
      <c r="G61" s="1" t="str">
        <f ca="1" t="shared" si="14"/>
        <v/>
      </c>
      <c r="H61" s="1"/>
      <c r="I61" s="1" t="str">
        <f ca="1" t="shared" si="15"/>
        <v/>
      </c>
      <c r="J61" s="1"/>
      <c r="K61" s="1" t="str">
        <f ca="1" t="shared" si="16"/>
        <v/>
      </c>
      <c r="L61" s="1"/>
      <c r="M61" s="1">
        <f>CHOOSE($B$7,SUMIF(rScores_2014_O!$B$280:$AY$280,1,rScores_2014_O!$B52:$AY52)/rScores_2014_O!$BA$280,SUMIF(rScores_2014_N!$B$280:$AU$280,1,rScores_2014_N!$B52:$AU52)/rScores_2014_N!$AW$280,SUMIF(rScores_2017!$B$280:$BJ$280,1,rScores_2017!$B52:$BJ52)/rScores_2017!$BL$280)</f>
        <v>56.6666666666667</v>
      </c>
      <c r="N61" s="1"/>
      <c r="O61" s="1"/>
      <c r="P61" s="1"/>
      <c r="Q61" s="1" t="str">
        <f ca="1" t="shared" si="22"/>
        <v/>
      </c>
      <c r="R61" s="1" t="str">
        <f ca="1">IF($C61=0,"",RANK(Q61,Q$12:Q$73,1)+COUNTIF(Q$12:Q61,Q61)-1)</f>
        <v/>
      </c>
      <c r="S61" s="1" t="str">
        <f ca="1" t="shared" si="23"/>
        <v/>
      </c>
      <c r="T61" s="269" t="str">
        <f ca="1" t="shared" si="24"/>
        <v/>
      </c>
      <c r="U61" s="269" t="str">
        <f ca="1" t="shared" si="25"/>
        <v/>
      </c>
      <c r="V61" s="269">
        <f ca="1" t="shared" si="26"/>
        <v>0</v>
      </c>
      <c r="W61" s="268" t="str">
        <f ca="1" t="shared" si="19"/>
        <v/>
      </c>
      <c r="X61" s="1" t="str">
        <f ca="1" t="shared" si="27"/>
        <v/>
      </c>
      <c r="Y61" s="1" t="str">
        <f ca="1" t="shared" si="33"/>
        <v/>
      </c>
      <c r="Z61" s="1" t="str">
        <f ca="1" t="shared" si="33"/>
        <v/>
      </c>
      <c r="AA61" s="1" t="str">
        <f ca="1" t="shared" si="28"/>
        <v/>
      </c>
      <c r="AB61" s="1" t="str">
        <f ca="1" t="shared" si="29"/>
        <v/>
      </c>
      <c r="AC61" s="1" t="str">
        <f ca="1" t="shared" si="30"/>
        <v/>
      </c>
      <c r="AD61" s="1" t="str">
        <f ca="1" t="shared" si="31"/>
        <v/>
      </c>
      <c r="AE61" s="1" t="str">
        <f ca="1" t="shared" si="32"/>
        <v/>
      </c>
      <c r="AF61" s="1" t="str">
        <f ca="1" t="shared" si="34"/>
        <v/>
      </c>
      <c r="AG61" s="1" t="str">
        <f ca="1" t="shared" si="34"/>
        <v/>
      </c>
      <c r="AH61" s="1" t="str">
        <f ca="1">IF(T61="","",IF(ISERROR(INDEX(aRank_2014_N,$S61+1,uxb_works!$B$25)),"",INDEX(aRank_2014_N,$S61+1,uxb_works!$B$25)))</f>
        <v/>
      </c>
      <c r="AI61" s="1"/>
      <c r="AJ61" s="18"/>
      <c r="AK61" s="1"/>
      <c r="AL61" s="277"/>
      <c r="AM61" s="268"/>
      <c r="AN61" s="1"/>
    </row>
    <row r="62" customFormat="1" spans="1:40">
      <c r="A62" s="1">
        <f t="shared" si="17"/>
        <v>51</v>
      </c>
      <c r="B62" s="1" t="str">
        <f>tblCategories!D53</f>
        <v>4.2.2) Prevalence of violent crime</v>
      </c>
      <c r="C62" s="1">
        <f>IF(tblCategories!AC53="",0,tblCategories!AC53)</f>
        <v>0</v>
      </c>
      <c r="D62" s="1">
        <v>1</v>
      </c>
      <c r="E62" s="1" t="str">
        <f ca="1" t="shared" si="13"/>
        <v/>
      </c>
      <c r="F62" s="1"/>
      <c r="G62" s="1" t="str">
        <f ca="1" t="shared" si="14"/>
        <v/>
      </c>
      <c r="H62" s="1"/>
      <c r="I62" s="1" t="str">
        <f ca="1" t="shared" si="15"/>
        <v/>
      </c>
      <c r="J62" s="1"/>
      <c r="K62" s="1" t="str">
        <f ca="1" t="shared" si="16"/>
        <v/>
      </c>
      <c r="L62" s="1"/>
      <c r="M62" s="1">
        <f>CHOOSE($B$7,SUMIF(rScores_2014_O!$B$280:$AY$280,1,rScores_2014_O!$B53:$AY53)/rScores_2014_O!$BA$280,SUMIF(rScores_2014_N!$B$280:$AU$280,1,rScores_2014_N!$B53:$AU53)/rScores_2014_N!$AW$280,SUMIF(rScores_2017!$B$280:$BJ$280,1,rScores_2017!$B53:$BJ53)/rScores_2017!$BL$280)</f>
        <v>70.8333333333333</v>
      </c>
      <c r="N62" s="1"/>
      <c r="O62" s="1"/>
      <c r="P62" s="1"/>
      <c r="Q62" s="1" t="str">
        <f ca="1" t="shared" si="22"/>
        <v/>
      </c>
      <c r="R62" s="1" t="str">
        <f ca="1">IF($C62=0,"",RANK(Q62,Q$12:Q$73,1)+COUNTIF(Q$12:Q62,Q62)-1)</f>
        <v/>
      </c>
      <c r="S62" s="1" t="str">
        <f ca="1" t="shared" si="23"/>
        <v/>
      </c>
      <c r="T62" s="269" t="str">
        <f ca="1" t="shared" si="24"/>
        <v/>
      </c>
      <c r="U62" s="269" t="str">
        <f ca="1" t="shared" si="25"/>
        <v/>
      </c>
      <c r="V62" s="269">
        <f ca="1" t="shared" si="26"/>
        <v>0</v>
      </c>
      <c r="W62" s="268" t="str">
        <f ca="1" t="shared" si="19"/>
        <v/>
      </c>
      <c r="X62" s="1" t="str">
        <f ca="1" t="shared" si="27"/>
        <v/>
      </c>
      <c r="Y62" s="1" t="str">
        <f ca="1" t="shared" si="33"/>
        <v/>
      </c>
      <c r="Z62" s="1" t="str">
        <f ca="1" t="shared" si="33"/>
        <v/>
      </c>
      <c r="AA62" s="1" t="str">
        <f ca="1" t="shared" si="28"/>
        <v/>
      </c>
      <c r="AB62" s="1" t="str">
        <f ca="1" t="shared" si="29"/>
        <v/>
      </c>
      <c r="AC62" s="1" t="str">
        <f ca="1" t="shared" si="30"/>
        <v/>
      </c>
      <c r="AD62" s="1" t="str">
        <f ca="1" t="shared" si="31"/>
        <v/>
      </c>
      <c r="AE62" s="1" t="str">
        <f ca="1" t="shared" si="32"/>
        <v/>
      </c>
      <c r="AF62" s="1" t="str">
        <f ca="1" t="shared" si="34"/>
        <v/>
      </c>
      <c r="AG62" s="1" t="str">
        <f ca="1" t="shared" si="34"/>
        <v/>
      </c>
      <c r="AH62" s="1" t="str">
        <f ca="1">IF(T62="","",IF(ISERROR(INDEX(aRank_2014_N,$S62+1,uxb_works!$B$25)),"",INDEX(aRank_2014_N,$S62+1,uxb_works!$B$25)))</f>
        <v/>
      </c>
      <c r="AI62" s="1"/>
      <c r="AJ62" s="18"/>
      <c r="AK62" s="1"/>
      <c r="AL62" s="277"/>
      <c r="AM62" s="268"/>
      <c r="AN62" s="1"/>
    </row>
    <row r="63" customFormat="1" spans="1:40">
      <c r="A63" s="1">
        <f t="shared" si="17"/>
        <v>52</v>
      </c>
      <c r="B63" s="1" t="str">
        <f>tblCategories!D54</f>
        <v>4.2.3) Organised crime</v>
      </c>
      <c r="C63" s="1">
        <f>IF(tblCategories!AC54="",0,tblCategories!AC54)</f>
        <v>0</v>
      </c>
      <c r="D63" s="1">
        <v>1</v>
      </c>
      <c r="E63" s="1" t="str">
        <f ca="1" t="shared" si="13"/>
        <v/>
      </c>
      <c r="F63" s="1"/>
      <c r="G63" s="1" t="str">
        <f ca="1" t="shared" si="14"/>
        <v/>
      </c>
      <c r="H63" s="1"/>
      <c r="I63" s="1" t="str">
        <f ca="1" t="shared" si="15"/>
        <v/>
      </c>
      <c r="J63" s="1"/>
      <c r="K63" s="1" t="str">
        <f ca="1" t="shared" si="16"/>
        <v/>
      </c>
      <c r="L63" s="1"/>
      <c r="M63" s="1">
        <f>CHOOSE($B$7,SUMIF(rScores_2014_O!$B$280:$AY$280,1,rScores_2014_O!$B54:$AY54)/rScores_2014_O!$BA$280,SUMIF(rScores_2014_N!$B$280:$AU$280,1,rScores_2014_N!$B54:$AU54)/rScores_2014_N!$AW$280,SUMIF(rScores_2017!$B$280:$BJ$280,1,rScores_2017!$B54:$BJ54)/rScores_2017!$BL$280)</f>
        <v>59.5833333333333</v>
      </c>
      <c r="N63" s="1"/>
      <c r="O63" s="1"/>
      <c r="P63" s="1"/>
      <c r="Q63" s="1" t="str">
        <f ca="1" t="shared" si="22"/>
        <v/>
      </c>
      <c r="R63" s="1" t="str">
        <f ca="1">IF($C63=0,"",RANK(Q63,Q$12:Q$73,1)+COUNTIF(Q$12:Q63,Q63)-1)</f>
        <v/>
      </c>
      <c r="S63" s="1" t="str">
        <f ca="1" t="shared" si="23"/>
        <v/>
      </c>
      <c r="T63" s="269" t="str">
        <f ca="1" t="shared" si="24"/>
        <v/>
      </c>
      <c r="U63" s="269" t="str">
        <f ca="1" t="shared" si="25"/>
        <v/>
      </c>
      <c r="V63" s="269">
        <f ca="1" t="shared" si="26"/>
        <v>0</v>
      </c>
      <c r="W63" s="268" t="str">
        <f ca="1" t="shared" si="19"/>
        <v/>
      </c>
      <c r="X63" s="1" t="str">
        <f ca="1" t="shared" si="27"/>
        <v/>
      </c>
      <c r="Y63" s="1" t="str">
        <f ca="1" t="shared" si="33"/>
        <v/>
      </c>
      <c r="Z63" s="1" t="str">
        <f ca="1" t="shared" si="33"/>
        <v/>
      </c>
      <c r="AA63" s="1" t="str">
        <f ca="1" t="shared" si="28"/>
        <v/>
      </c>
      <c r="AB63" s="1" t="str">
        <f ca="1" t="shared" si="29"/>
        <v/>
      </c>
      <c r="AC63" s="1" t="str">
        <f ca="1" t="shared" si="30"/>
        <v/>
      </c>
      <c r="AD63" s="1" t="str">
        <f ca="1" t="shared" si="31"/>
        <v/>
      </c>
      <c r="AE63" s="1" t="str">
        <f ca="1" t="shared" si="32"/>
        <v/>
      </c>
      <c r="AF63" s="1" t="str">
        <f ca="1" t="shared" si="34"/>
        <v/>
      </c>
      <c r="AG63" s="1" t="str">
        <f ca="1" t="shared" si="34"/>
        <v/>
      </c>
      <c r="AH63" s="1" t="str">
        <f ca="1">IF(T63="","",IF(ISERROR(INDEX(aRank_2014_N,$S63+1,uxb_works!$B$25)),"",INDEX(aRank_2014_N,$S63+1,uxb_works!$B$25)))</f>
        <v/>
      </c>
      <c r="AI63" s="1"/>
      <c r="AJ63" s="18"/>
      <c r="AK63" s="1"/>
      <c r="AL63" s="277"/>
      <c r="AM63" s="268"/>
      <c r="AN63" s="1"/>
    </row>
    <row r="64" customFormat="1" spans="1:40">
      <c r="A64" s="1">
        <f t="shared" si="17"/>
        <v>53</v>
      </c>
      <c r="B64" s="1" t="str">
        <f>tblCategories!D55</f>
        <v>4.2.4) Level of corruption</v>
      </c>
      <c r="C64" s="1">
        <f>IF(tblCategories!AC55="",0,tblCategories!AC55)</f>
        <v>0</v>
      </c>
      <c r="D64" s="1">
        <v>1</v>
      </c>
      <c r="E64" s="1" t="str">
        <f ca="1" t="shared" si="13"/>
        <v/>
      </c>
      <c r="F64" s="1"/>
      <c r="G64" s="1" t="str">
        <f ca="1" t="shared" si="14"/>
        <v/>
      </c>
      <c r="H64" s="1"/>
      <c r="I64" s="1" t="str">
        <f ca="1" t="shared" si="15"/>
        <v/>
      </c>
      <c r="J64" s="1"/>
      <c r="K64" s="1" t="str">
        <f ca="1" t="shared" si="16"/>
        <v/>
      </c>
      <c r="L64" s="1"/>
      <c r="M64" s="1">
        <f>CHOOSE($B$7,SUMIF(rScores_2014_O!$B$280:$AY$280,1,rScores_2014_O!$B55:$AY55)/rScores_2014_O!$BA$280,SUMIF(rScores_2014_N!$B$280:$AU$280,1,rScores_2014_N!$B55:$AU55)/rScores_2014_N!$AW$280,SUMIF(rScores_2017!$B$280:$BJ$280,1,rScores_2017!$B55:$BJ55)/rScores_2017!$BL$280)</f>
        <v>54.2333333333333</v>
      </c>
      <c r="N64" s="1"/>
      <c r="O64" s="1"/>
      <c r="P64" s="1"/>
      <c r="Q64" s="1" t="str">
        <f ca="1" t="shared" si="22"/>
        <v/>
      </c>
      <c r="R64" s="1" t="str">
        <f ca="1">IF($C64=0,"",RANK(Q64,Q$12:Q$73,1)+COUNTIF(Q$12:Q64,Q64)-1)</f>
        <v/>
      </c>
      <c r="S64" s="1" t="str">
        <f ca="1" t="shared" si="23"/>
        <v/>
      </c>
      <c r="T64" s="269" t="str">
        <f ca="1" t="shared" si="24"/>
        <v/>
      </c>
      <c r="U64" s="269" t="str">
        <f ca="1" t="shared" si="25"/>
        <v/>
      </c>
      <c r="V64" s="269">
        <f ca="1" t="shared" si="26"/>
        <v>0</v>
      </c>
      <c r="W64" s="268" t="str">
        <f ca="1" t="shared" si="19"/>
        <v/>
      </c>
      <c r="X64" s="1" t="str">
        <f ca="1" t="shared" si="27"/>
        <v/>
      </c>
      <c r="Y64" s="1" t="str">
        <f ca="1" t="shared" si="33"/>
        <v/>
      </c>
      <c r="Z64" s="1" t="str">
        <f ca="1" t="shared" si="33"/>
        <v/>
      </c>
      <c r="AA64" s="1" t="str">
        <f ca="1" t="shared" si="28"/>
        <v/>
      </c>
      <c r="AB64" s="1" t="str">
        <f ca="1" t="shared" si="29"/>
        <v/>
      </c>
      <c r="AC64" s="1" t="str">
        <f ca="1" t="shared" si="30"/>
        <v/>
      </c>
      <c r="AD64" s="1" t="str">
        <f ca="1" t="shared" si="31"/>
        <v/>
      </c>
      <c r="AE64" s="1" t="str">
        <f ca="1" t="shared" si="32"/>
        <v/>
      </c>
      <c r="AF64" s="1" t="str">
        <f ca="1" t="shared" si="34"/>
        <v/>
      </c>
      <c r="AG64" s="1" t="str">
        <f ca="1" t="shared" si="34"/>
        <v/>
      </c>
      <c r="AH64" s="1" t="str">
        <f ca="1">IF(T64="","",IF(ISERROR(INDEX(aRank_2014_N,$S64+1,uxb_works!$B$25)),"",INDEX(aRank_2014_N,$S64+1,uxb_works!$B$25)))</f>
        <v/>
      </c>
      <c r="AI64" s="1"/>
      <c r="AJ64" s="18"/>
      <c r="AK64" s="1"/>
      <c r="AL64" s="277"/>
      <c r="AM64" s="268"/>
      <c r="AN64" s="1"/>
    </row>
    <row r="65" customFormat="1" spans="1:40">
      <c r="A65" s="1">
        <f t="shared" si="17"/>
        <v>54</v>
      </c>
      <c r="B65" s="1" t="str">
        <f>tblCategories!D56</f>
        <v>4.2.5) Rate of drug use </v>
      </c>
      <c r="C65" s="1">
        <f>IF(tblCategories!AC56="",0,tblCategories!AC56)</f>
        <v>0</v>
      </c>
      <c r="D65" s="1">
        <v>1</v>
      </c>
      <c r="E65" s="1" t="str">
        <f ca="1" t="shared" si="13"/>
        <v/>
      </c>
      <c r="F65" s="1"/>
      <c r="G65" s="1" t="str">
        <f ca="1" t="shared" si="14"/>
        <v/>
      </c>
      <c r="H65" s="1"/>
      <c r="I65" s="1" t="str">
        <f ca="1" t="shared" si="15"/>
        <v/>
      </c>
      <c r="J65" s="1"/>
      <c r="K65" s="1" t="str">
        <f ca="1" t="shared" si="16"/>
        <v/>
      </c>
      <c r="L65" s="1"/>
      <c r="M65" s="1">
        <f>CHOOSE($B$7,SUMIF(rScores_2014_O!$B$280:$AY$280,1,rScores_2014_O!$B56:$AY56)/rScores_2014_O!$BA$280,SUMIF(rScores_2014_N!$B$280:$AU$280,1,rScores_2014_N!$B56:$AU56)/rScores_2014_N!$AW$280,SUMIF(rScores_2017!$B$280:$BJ$280,1,rScores_2017!$B56:$BJ56)/rScores_2017!$BL$280)</f>
        <v>79.3598333333334</v>
      </c>
      <c r="N65" s="1"/>
      <c r="O65" s="1"/>
      <c r="P65" s="1"/>
      <c r="Q65" s="1" t="str">
        <f ca="1" t="shared" si="22"/>
        <v/>
      </c>
      <c r="R65" s="1" t="str">
        <f ca="1">IF($C65=0,"",RANK(Q65,Q$12:Q$73,1)+COUNTIF(Q$12:Q65,Q65)-1)</f>
        <v/>
      </c>
      <c r="S65" s="1" t="str">
        <f ca="1" t="shared" si="23"/>
        <v/>
      </c>
      <c r="T65" s="269" t="str">
        <f ca="1" t="shared" si="24"/>
        <v/>
      </c>
      <c r="U65" s="269" t="str">
        <f ca="1" t="shared" si="25"/>
        <v/>
      </c>
      <c r="V65" s="269">
        <f ca="1" t="shared" si="26"/>
        <v>0</v>
      </c>
      <c r="W65" s="268" t="str">
        <f ca="1" t="shared" si="19"/>
        <v/>
      </c>
      <c r="X65" s="1" t="str">
        <f ca="1" t="shared" si="27"/>
        <v/>
      </c>
      <c r="Y65" s="1" t="str">
        <f ca="1" t="shared" si="33"/>
        <v/>
      </c>
      <c r="Z65" s="1" t="str">
        <f ca="1" t="shared" si="33"/>
        <v/>
      </c>
      <c r="AA65" s="1" t="str">
        <f ca="1" t="shared" si="28"/>
        <v/>
      </c>
      <c r="AB65" s="1" t="str">
        <f ca="1" t="shared" si="29"/>
        <v/>
      </c>
      <c r="AC65" s="1" t="str">
        <f ca="1" t="shared" si="30"/>
        <v/>
      </c>
      <c r="AD65" s="1" t="str">
        <f ca="1" t="shared" si="31"/>
        <v/>
      </c>
      <c r="AE65" s="1" t="str">
        <f ca="1" t="shared" si="32"/>
        <v/>
      </c>
      <c r="AF65" s="1" t="str">
        <f ca="1" t="shared" si="34"/>
        <v/>
      </c>
      <c r="AG65" s="1" t="str">
        <f ca="1" t="shared" si="34"/>
        <v/>
      </c>
      <c r="AH65" s="1" t="str">
        <f ca="1">IF(T65="","",IF(ISERROR(INDEX(aRank_2014_N,$S65+1,uxb_works!$B$25)),"",INDEX(aRank_2014_N,$S65+1,uxb_works!$B$25)))</f>
        <v/>
      </c>
      <c r="AI65" s="1"/>
      <c r="AJ65" s="18"/>
      <c r="AK65" s="1"/>
      <c r="AL65" s="277"/>
      <c r="AM65" s="268"/>
      <c r="AN65" s="1"/>
    </row>
    <row r="66" customFormat="1" spans="1:40">
      <c r="A66" s="1">
        <f t="shared" si="17"/>
        <v>55</v>
      </c>
      <c r="B66" s="1" t="str">
        <f>tblCategories!D57</f>
        <v>4.2.6) Frequency of terrorist attacks </v>
      </c>
      <c r="C66" s="1">
        <f>IF(tblCategories!AC57="",0,tblCategories!AC57)</f>
        <v>0</v>
      </c>
      <c r="D66" s="1">
        <v>1</v>
      </c>
      <c r="E66" s="1" t="str">
        <f ca="1" t="shared" si="13"/>
        <v/>
      </c>
      <c r="F66" s="1"/>
      <c r="G66" s="1" t="str">
        <f ca="1" t="shared" si="14"/>
        <v/>
      </c>
      <c r="H66" s="1"/>
      <c r="I66" s="1" t="str">
        <f ca="1" t="shared" si="15"/>
        <v/>
      </c>
      <c r="J66" s="1"/>
      <c r="K66" s="1" t="str">
        <f ca="1" t="shared" si="16"/>
        <v/>
      </c>
      <c r="L66" s="1"/>
      <c r="M66" s="1">
        <f>CHOOSE($B$7,SUMIF(rScores_2014_O!$B$280:$AY$280,1,rScores_2014_O!$B57:$AY57)/rScores_2014_O!$BA$280,SUMIF(rScores_2014_N!$B$280:$AU$280,1,rScores_2014_N!$B57:$AU57)/rScores_2014_N!$AW$280,SUMIF(rScores_2017!$B$280:$BJ$280,1,rScores_2017!$B57:$BJ57)/rScores_2017!$BL$280)</f>
        <v>96.5551666666667</v>
      </c>
      <c r="N66" s="1"/>
      <c r="O66" s="1"/>
      <c r="P66" s="1"/>
      <c r="Q66" s="1" t="str">
        <f ca="1" t="shared" si="22"/>
        <v/>
      </c>
      <c r="R66" s="1" t="str">
        <f ca="1">IF($C66=0,"",RANK(Q66,Q$12:Q$73,1)+COUNTIF(Q$12:Q66,Q66)-1)</f>
        <v/>
      </c>
      <c r="S66" s="1" t="str">
        <f ca="1" t="shared" si="23"/>
        <v/>
      </c>
      <c r="T66" s="269" t="str">
        <f ca="1" t="shared" si="24"/>
        <v/>
      </c>
      <c r="U66" s="269" t="str">
        <f ca="1" t="shared" si="25"/>
        <v/>
      </c>
      <c r="V66" s="269">
        <f ca="1" t="shared" si="26"/>
        <v>0</v>
      </c>
      <c r="W66" s="268" t="str">
        <f ca="1" t="shared" si="19"/>
        <v/>
      </c>
      <c r="X66" s="1" t="str">
        <f ca="1" t="shared" si="27"/>
        <v/>
      </c>
      <c r="Y66" s="1" t="str">
        <f ca="1" t="shared" si="33"/>
        <v/>
      </c>
      <c r="Z66" s="1" t="str">
        <f ca="1" t="shared" si="33"/>
        <v/>
      </c>
      <c r="AA66" s="1" t="str">
        <f ca="1" t="shared" si="28"/>
        <v/>
      </c>
      <c r="AB66" s="1" t="str">
        <f ca="1" t="shared" si="29"/>
        <v/>
      </c>
      <c r="AC66" s="1" t="str">
        <f ca="1" t="shared" si="30"/>
        <v/>
      </c>
      <c r="AD66" s="1" t="str">
        <f ca="1" t="shared" si="31"/>
        <v/>
      </c>
      <c r="AE66" s="1" t="str">
        <f ca="1" t="shared" si="32"/>
        <v/>
      </c>
      <c r="AF66" s="1" t="str">
        <f ca="1" t="shared" si="34"/>
        <v/>
      </c>
      <c r="AG66" s="1" t="str">
        <f ca="1" t="shared" si="34"/>
        <v/>
      </c>
      <c r="AH66" s="1" t="str">
        <f ca="1">IF(T66="","",IF(ISERROR(INDEX(aRank_2014_N,$S66+1,uxb_works!$B$25)),"",INDEX(aRank_2014_N,$S66+1,uxb_works!$B$25)))</f>
        <v/>
      </c>
      <c r="AI66" s="1"/>
      <c r="AJ66" s="18"/>
      <c r="AK66" s="1"/>
      <c r="AL66" s="277"/>
      <c r="AM66" s="268"/>
      <c r="AN66" s="1"/>
    </row>
    <row r="67" customFormat="1" spans="1:40">
      <c r="A67" s="1">
        <f t="shared" si="17"/>
        <v>56</v>
      </c>
      <c r="B67" s="1" t="str">
        <f>tblCategories!D58</f>
        <v>4.2.7) Severity of terrorist attacks</v>
      </c>
      <c r="C67" s="1">
        <f>IF(tblCategories!AC58="",0,tblCategories!AC58)</f>
        <v>0</v>
      </c>
      <c r="D67" s="1">
        <v>1</v>
      </c>
      <c r="E67" s="1" t="str">
        <f ca="1" t="shared" si="13"/>
        <v/>
      </c>
      <c r="F67" s="1"/>
      <c r="G67" s="1" t="str">
        <f ca="1" t="shared" si="14"/>
        <v/>
      </c>
      <c r="H67" s="1"/>
      <c r="I67" s="1" t="str">
        <f ca="1" t="shared" si="15"/>
        <v/>
      </c>
      <c r="J67" s="1"/>
      <c r="K67" s="1" t="str">
        <f ca="1" t="shared" si="16"/>
        <v/>
      </c>
      <c r="L67" s="1"/>
      <c r="M67" s="1">
        <f>CHOOSE($B$7,SUMIF(rScores_2014_O!$B$280:$AY$280,1,rScores_2014_O!$B58:$AY58)/rScores_2014_O!$BA$280,SUMIF(rScores_2014_N!$B$280:$AU$280,1,rScores_2014_N!$B58:$AU58)/rScores_2014_N!$AW$280,SUMIF(rScores_2017!$B$280:$BJ$280,1,rScores_2017!$B58:$BJ58)/rScores_2017!$BL$280)</f>
        <v>96.5805</v>
      </c>
      <c r="N67" s="1"/>
      <c r="O67" s="1"/>
      <c r="P67" s="1"/>
      <c r="Q67" s="1" t="str">
        <f ca="1" t="shared" si="22"/>
        <v/>
      </c>
      <c r="R67" s="1" t="str">
        <f ca="1">IF($C67=0,"",RANK(Q67,Q$12:Q$73,1)+COUNTIF(Q$12:Q67,Q67)-1)</f>
        <v/>
      </c>
      <c r="S67" s="1" t="str">
        <f ca="1" t="shared" si="23"/>
        <v/>
      </c>
      <c r="T67" s="269" t="str">
        <f ca="1" t="shared" si="24"/>
        <v/>
      </c>
      <c r="U67" s="269" t="str">
        <f ca="1" t="shared" si="25"/>
        <v/>
      </c>
      <c r="V67" s="269">
        <f ca="1" t="shared" si="26"/>
        <v>0</v>
      </c>
      <c r="W67" s="268" t="str">
        <f ca="1" t="shared" si="19"/>
        <v/>
      </c>
      <c r="X67" s="1" t="str">
        <f ca="1" t="shared" si="27"/>
        <v/>
      </c>
      <c r="Y67" s="1" t="str">
        <f ca="1" t="shared" si="33"/>
        <v/>
      </c>
      <c r="Z67" s="1" t="str">
        <f ca="1" t="shared" si="33"/>
        <v/>
      </c>
      <c r="AA67" s="1" t="str">
        <f ca="1" t="shared" si="28"/>
        <v/>
      </c>
      <c r="AB67" s="1" t="str">
        <f ca="1" t="shared" si="29"/>
        <v/>
      </c>
      <c r="AC67" s="1" t="str">
        <f ca="1" t="shared" si="30"/>
        <v/>
      </c>
      <c r="AD67" s="1" t="str">
        <f ca="1" t="shared" si="31"/>
        <v/>
      </c>
      <c r="AE67" s="1" t="str">
        <f ca="1" t="shared" si="32"/>
        <v/>
      </c>
      <c r="AF67" s="1" t="str">
        <f ca="1" t="shared" si="34"/>
        <v/>
      </c>
      <c r="AG67" s="1" t="str">
        <f ca="1" t="shared" si="34"/>
        <v/>
      </c>
      <c r="AH67" s="1" t="str">
        <f ca="1">IF(T67="","",IF(ISERROR(INDEX(aRank_2014_N,$S67+1,uxb_works!$B$25)),"",INDEX(aRank_2014_N,$S67+1,uxb_works!$B$25)))</f>
        <v/>
      </c>
      <c r="AI67" s="1"/>
      <c r="AJ67" s="18"/>
      <c r="AK67" s="1"/>
      <c r="AL67" s="277"/>
      <c r="AM67" s="268"/>
      <c r="AN67" s="1"/>
    </row>
    <row r="68" customFormat="1" spans="1:40">
      <c r="A68" s="1">
        <f t="shared" si="17"/>
        <v>57</v>
      </c>
      <c r="B68" s="1" t="str">
        <f>tblCategories!D59</f>
        <v>4.2.8) Gender safety</v>
      </c>
      <c r="C68" s="1">
        <f>IF(tblCategories!AC59="",0,tblCategories!AC59)</f>
        <v>0</v>
      </c>
      <c r="D68" s="1">
        <v>1</v>
      </c>
      <c r="E68" s="1" t="str">
        <f ca="1" t="shared" si="13"/>
        <v/>
      </c>
      <c r="F68" s="1"/>
      <c r="G68" s="1" t="str">
        <f ca="1" t="shared" si="14"/>
        <v/>
      </c>
      <c r="H68" s="1"/>
      <c r="I68" s="1" t="str">
        <f ca="1" t="shared" si="15"/>
        <v/>
      </c>
      <c r="J68" s="1"/>
      <c r="K68" s="1" t="str">
        <f ca="1" t="shared" si="16"/>
        <v/>
      </c>
      <c r="L68" s="1"/>
      <c r="M68" s="1">
        <f>CHOOSE($B$7,SUMIF(rScores_2014_O!$B$280:$AY$280,1,rScores_2014_O!$B59:$AY59)/rScores_2014_O!$BA$280,SUMIF(rScores_2014_N!$B$280:$AU$280,1,rScores_2014_N!$B59:$AU59)/rScores_2014_N!$AW$280,SUMIF(rScores_2017!$B$280:$BJ$280,1,rScores_2017!$B59:$BJ59)/rScores_2017!$BL$280)</f>
        <v>81.3371666666667</v>
      </c>
      <c r="N68" s="1"/>
      <c r="O68" s="1"/>
      <c r="P68" s="1"/>
      <c r="Q68" s="1" t="str">
        <f ca="1" t="shared" si="22"/>
        <v/>
      </c>
      <c r="R68" s="1" t="str">
        <f ca="1">IF($C68=0,"",RANK(Q68,Q$12:Q$73,1)+COUNTIF(Q$12:Q68,Q68)-1)</f>
        <v/>
      </c>
      <c r="S68" s="1" t="str">
        <f ca="1" t="shared" si="23"/>
        <v/>
      </c>
      <c r="T68" s="269" t="str">
        <f ca="1" t="shared" si="24"/>
        <v/>
      </c>
      <c r="U68" s="269" t="str">
        <f ca="1" t="shared" si="25"/>
        <v/>
      </c>
      <c r="V68" s="269">
        <f ca="1" t="shared" si="26"/>
        <v>0</v>
      </c>
      <c r="W68" s="268" t="str">
        <f ca="1" t="shared" si="19"/>
        <v/>
      </c>
      <c r="X68" s="1" t="str">
        <f ca="1" t="shared" si="27"/>
        <v/>
      </c>
      <c r="Y68" s="1" t="str">
        <f ca="1" t="shared" si="33"/>
        <v/>
      </c>
      <c r="Z68" s="1" t="str">
        <f ca="1" t="shared" si="33"/>
        <v/>
      </c>
      <c r="AA68" s="1" t="str">
        <f ca="1" t="shared" si="28"/>
        <v/>
      </c>
      <c r="AB68" s="1" t="str">
        <f ca="1" t="shared" si="29"/>
        <v/>
      </c>
      <c r="AC68" s="1" t="str">
        <f ca="1" t="shared" si="30"/>
        <v/>
      </c>
      <c r="AD68" s="1" t="str">
        <f ca="1" t="shared" si="31"/>
        <v/>
      </c>
      <c r="AE68" s="1" t="str">
        <f ca="1" t="shared" si="32"/>
        <v/>
      </c>
      <c r="AF68" s="1" t="str">
        <f ca="1" t="shared" si="34"/>
        <v/>
      </c>
      <c r="AG68" s="1" t="str">
        <f ca="1" t="shared" si="34"/>
        <v/>
      </c>
      <c r="AH68" s="1" t="str">
        <f ca="1">IF(T68="","",IF(ISERROR(INDEX(aRank_2014_N,$S68+1,uxb_works!$B$25)),"",INDEX(aRank_2014_N,$S68+1,uxb_works!$B$25)))</f>
        <v/>
      </c>
      <c r="AI68" s="1"/>
      <c r="AJ68" s="18"/>
      <c r="AK68" s="1"/>
      <c r="AL68" s="277"/>
      <c r="AM68" s="268"/>
      <c r="AN68" s="1"/>
    </row>
    <row r="69" customFormat="1" spans="1:40">
      <c r="A69" s="1">
        <f t="shared" si="17"/>
        <v>58</v>
      </c>
      <c r="B69" s="1" t="str">
        <f>tblCategories!D60</f>
        <v>4.2.9) Perceptions of safety</v>
      </c>
      <c r="C69" s="1">
        <f>IF(tblCategories!AC60="",0,tblCategories!AC60)</f>
        <v>0</v>
      </c>
      <c r="D69" s="1">
        <v>1</v>
      </c>
      <c r="E69" s="1" t="str">
        <f ca="1" t="shared" si="13"/>
        <v/>
      </c>
      <c r="F69" s="1"/>
      <c r="G69" s="1" t="str">
        <f ca="1" t="shared" si="14"/>
        <v/>
      </c>
      <c r="H69" s="1"/>
      <c r="I69" s="1" t="str">
        <f ca="1" t="shared" si="15"/>
        <v/>
      </c>
      <c r="J69" s="1"/>
      <c r="K69" s="1" t="str">
        <f ca="1" t="shared" si="16"/>
        <v/>
      </c>
      <c r="L69" s="1"/>
      <c r="M69" s="1">
        <f>CHOOSE($B$7,SUMIF(rScores_2014_O!$B$280:$AY$280,1,rScores_2014_O!$B60:$AY60)/rScores_2014_O!$BA$280,SUMIF(rScores_2014_N!$B$280:$AU$280,1,rScores_2014_N!$B60:$AU60)/rScores_2014_N!$AW$280,SUMIF(rScores_2017!$B$280:$BJ$280,1,rScores_2017!$B60:$BJ60)/rScores_2017!$BL$280)</f>
        <v>53.0736666666667</v>
      </c>
      <c r="N69" s="1"/>
      <c r="O69" s="1"/>
      <c r="P69" s="1"/>
      <c r="Q69" s="1" t="str">
        <f ca="1" t="shared" si="22"/>
        <v/>
      </c>
      <c r="R69" s="1" t="str">
        <f ca="1">IF($C69=0,"",RANK(Q69,Q$12:Q$73,1)+COUNTIF(Q$12:Q69,Q69)-1)</f>
        <v/>
      </c>
      <c r="S69" s="1" t="str">
        <f ca="1" t="shared" si="23"/>
        <v/>
      </c>
      <c r="T69" s="269" t="str">
        <f ca="1" t="shared" si="24"/>
        <v/>
      </c>
      <c r="U69" s="269" t="str">
        <f ca="1" t="shared" si="25"/>
        <v/>
      </c>
      <c r="V69" s="269">
        <f ca="1" t="shared" si="26"/>
        <v>0</v>
      </c>
      <c r="W69" s="268" t="str">
        <f ca="1" t="shared" si="19"/>
        <v/>
      </c>
      <c r="X69" s="1" t="str">
        <f ca="1" t="shared" si="27"/>
        <v/>
      </c>
      <c r="Y69" s="1" t="str">
        <f ca="1" t="shared" si="33"/>
        <v/>
      </c>
      <c r="Z69" s="1" t="str">
        <f ca="1" t="shared" si="33"/>
        <v/>
      </c>
      <c r="AA69" s="1" t="str">
        <f ca="1" t="shared" si="28"/>
        <v/>
      </c>
      <c r="AB69" s="1" t="str">
        <f ca="1" t="shared" si="29"/>
        <v/>
      </c>
      <c r="AC69" s="1" t="str">
        <f ca="1" t="shared" si="30"/>
        <v/>
      </c>
      <c r="AD69" s="1" t="str">
        <f ca="1" t="shared" si="31"/>
        <v/>
      </c>
      <c r="AE69" s="1" t="str">
        <f ca="1" t="shared" si="32"/>
        <v/>
      </c>
      <c r="AF69" s="1" t="str">
        <f ca="1" t="shared" si="34"/>
        <v/>
      </c>
      <c r="AG69" s="1" t="str">
        <f ca="1" t="shared" si="34"/>
        <v/>
      </c>
      <c r="AH69" s="1" t="str">
        <f ca="1">IF(T69="","",IF(ISERROR(INDEX(aRank_2014_N,$S69+1,uxb_works!$B$25)),"",INDEX(aRank_2014_N,$S69+1,uxb_works!$B$25)))</f>
        <v/>
      </c>
      <c r="AI69" s="1"/>
      <c r="AJ69" s="18"/>
      <c r="AK69" s="1"/>
      <c r="AL69" s="277"/>
      <c r="AM69" s="268"/>
      <c r="AN69" s="1"/>
    </row>
    <row r="70" customFormat="1" spans="1:40">
      <c r="A70" s="1">
        <f t="shared" si="17"/>
        <v>59</v>
      </c>
      <c r="B70" s="1" t="str">
        <f>tblCategories!D61</f>
        <v>4.2.10) Threat of terrorism</v>
      </c>
      <c r="C70" s="1">
        <f>IF(tblCategories!AC61="",0,tblCategories!AC61)</f>
        <v>0</v>
      </c>
      <c r="D70" s="1">
        <v>1</v>
      </c>
      <c r="E70" s="1" t="str">
        <f ca="1" t="shared" si="13"/>
        <v/>
      </c>
      <c r="F70" s="1"/>
      <c r="G70" s="1" t="str">
        <f ca="1" t="shared" si="14"/>
        <v/>
      </c>
      <c r="H70" s="1"/>
      <c r="I70" s="1" t="str">
        <f ca="1" t="shared" si="15"/>
        <v/>
      </c>
      <c r="J70" s="1"/>
      <c r="K70" s="1" t="str">
        <f ca="1" t="shared" si="16"/>
        <v/>
      </c>
      <c r="L70" s="1"/>
      <c r="M70" s="1">
        <f>CHOOSE($B$7,SUMIF(rScores_2014_O!$B$280:$AY$280,1,rScores_2014_O!$B61:$AY61)/rScores_2014_O!$BA$280,SUMIF(rScores_2014_N!$B$280:$AU$280,1,rScores_2014_N!$B61:$AU61)/rScores_2014_N!$AW$280,SUMIF(rScores_2017!$B$280:$BJ$280,1,rScores_2017!$B61:$BJ61)/rScores_2017!$BL$280)</f>
        <v>67.5</v>
      </c>
      <c r="N70" s="1"/>
      <c r="O70" s="1"/>
      <c r="P70" s="1"/>
      <c r="Q70" s="1" t="str">
        <f ca="1" t="shared" si="22"/>
        <v/>
      </c>
      <c r="R70" s="1" t="str">
        <f ca="1">IF($C70=0,"",RANK(Q70,Q$12:Q$73,1)+COUNTIF(Q$12:Q70,Q70)-1)</f>
        <v/>
      </c>
      <c r="S70" s="1" t="str">
        <f ca="1" t="shared" si="23"/>
        <v/>
      </c>
      <c r="T70" s="269" t="str">
        <f ca="1" t="shared" si="24"/>
        <v/>
      </c>
      <c r="U70" s="269" t="str">
        <f ca="1" t="shared" si="25"/>
        <v/>
      </c>
      <c r="V70" s="269">
        <f ca="1" t="shared" si="26"/>
        <v>0</v>
      </c>
      <c r="W70" s="268" t="str">
        <f ca="1" t="shared" si="19"/>
        <v/>
      </c>
      <c r="X70" s="1" t="str">
        <f ca="1" t="shared" si="27"/>
        <v/>
      </c>
      <c r="Y70" s="1" t="str">
        <f ca="1" t="shared" si="33"/>
        <v/>
      </c>
      <c r="Z70" s="1" t="str">
        <f ca="1" t="shared" si="33"/>
        <v/>
      </c>
      <c r="AA70" s="1" t="str">
        <f ca="1" t="shared" si="28"/>
        <v/>
      </c>
      <c r="AB70" s="1" t="str">
        <f ca="1" t="shared" si="29"/>
        <v/>
      </c>
      <c r="AC70" s="1" t="str">
        <f ca="1" t="shared" si="30"/>
        <v/>
      </c>
      <c r="AD70" s="1" t="str">
        <f ca="1" t="shared" si="31"/>
        <v/>
      </c>
      <c r="AE70" s="1" t="str">
        <f ca="1" t="shared" si="32"/>
        <v/>
      </c>
      <c r="AF70" s="1" t="str">
        <f ca="1" t="shared" si="34"/>
        <v/>
      </c>
      <c r="AG70" s="1" t="str">
        <f ca="1" t="shared" si="34"/>
        <v/>
      </c>
      <c r="AH70" s="1" t="str">
        <f ca="1">IF(T70="","",IF(ISERROR(INDEX(aRank_2014_N,$S70+1,uxb_works!$B$25)),"",INDEX(aRank_2014_N,$S70+1,uxb_works!$B$25)))</f>
        <v/>
      </c>
      <c r="AI70" s="1"/>
      <c r="AJ70" s="18"/>
      <c r="AK70" s="1"/>
      <c r="AL70" s="277"/>
      <c r="AM70" s="268"/>
      <c r="AN70" s="1"/>
    </row>
    <row r="71" customFormat="1" spans="1:40">
      <c r="A71" s="1">
        <f t="shared" si="17"/>
        <v>60</v>
      </c>
      <c r="B71" s="1" t="str">
        <f>tblCategories!D62</f>
        <v>4.2.11) Threat of military conflict</v>
      </c>
      <c r="C71" s="1">
        <f>IF(tblCategories!AC62="",0,tblCategories!AC62)</f>
        <v>0</v>
      </c>
      <c r="D71" s="1">
        <v>1</v>
      </c>
      <c r="E71" s="1" t="str">
        <f ca="1" t="shared" si="13"/>
        <v/>
      </c>
      <c r="F71" s="1"/>
      <c r="G71" s="1" t="str">
        <f ca="1" t="shared" si="14"/>
        <v/>
      </c>
      <c r="H71" s="1"/>
      <c r="I71" s="1" t="str">
        <f ca="1" t="shared" si="15"/>
        <v/>
      </c>
      <c r="J71" s="1"/>
      <c r="K71" s="1" t="str">
        <f ca="1" t="shared" si="16"/>
        <v/>
      </c>
      <c r="L71" s="1"/>
      <c r="M71" s="1">
        <f>CHOOSE($B$7,SUMIF(rScores_2014_O!$B$280:$AY$280,1,rScores_2014_O!$B62:$AY62)/rScores_2014_O!$BA$280,SUMIF(rScores_2014_N!$B$280:$AU$280,1,rScores_2014_N!$B62:$AU62)/rScores_2014_N!$AW$280,SUMIF(rScores_2017!$B$280:$BJ$280,1,rScores_2017!$B62:$BJ62)/rScores_2017!$BL$280)</f>
        <v>87.0833333333333</v>
      </c>
      <c r="N71" s="1"/>
      <c r="O71" s="1"/>
      <c r="P71" s="1"/>
      <c r="Q71" s="1" t="str">
        <f ca="1" t="shared" si="22"/>
        <v/>
      </c>
      <c r="R71" s="1" t="str">
        <f ca="1">IF($C71=0,"",RANK(Q71,Q$12:Q$73,1)+COUNTIF(Q$12:Q71,Q71)-1)</f>
        <v/>
      </c>
      <c r="S71" s="1" t="str">
        <f ca="1" t="shared" si="23"/>
        <v/>
      </c>
      <c r="T71" s="269" t="str">
        <f ca="1" t="shared" si="24"/>
        <v/>
      </c>
      <c r="U71" s="269" t="str">
        <f ca="1" t="shared" si="25"/>
        <v/>
      </c>
      <c r="V71" s="269">
        <f ca="1" t="shared" si="26"/>
        <v>0</v>
      </c>
      <c r="W71" s="268" t="str">
        <f ca="1" t="shared" si="19"/>
        <v/>
      </c>
      <c r="X71" s="1" t="str">
        <f ca="1" t="shared" si="27"/>
        <v/>
      </c>
      <c r="Y71" s="1" t="str">
        <f ca="1" t="shared" si="33"/>
        <v/>
      </c>
      <c r="Z71" s="1" t="str">
        <f ca="1" t="shared" si="33"/>
        <v/>
      </c>
      <c r="AA71" s="1" t="str">
        <f ca="1" t="shared" si="28"/>
        <v/>
      </c>
      <c r="AB71" s="1" t="str">
        <f ca="1" t="shared" si="29"/>
        <v/>
      </c>
      <c r="AC71" s="1" t="str">
        <f ca="1" t="shared" si="30"/>
        <v/>
      </c>
      <c r="AD71" s="1" t="str">
        <f ca="1" t="shared" si="31"/>
        <v/>
      </c>
      <c r="AE71" s="1" t="str">
        <f ca="1" t="shared" si="32"/>
        <v/>
      </c>
      <c r="AF71" s="1" t="str">
        <f ca="1" t="shared" si="34"/>
        <v/>
      </c>
      <c r="AG71" s="1" t="str">
        <f ca="1" t="shared" si="34"/>
        <v/>
      </c>
      <c r="AH71" s="1" t="str">
        <f ca="1">IF(T71="","",IF(ISERROR(INDEX(aRank_2014_N,$S71+1,uxb_works!$B$25)),"",INDEX(aRank_2014_N,$S71+1,uxb_works!$B$25)))</f>
        <v/>
      </c>
      <c r="AI71" s="1"/>
      <c r="AJ71" s="18"/>
      <c r="AK71" s="1"/>
      <c r="AL71" s="277"/>
      <c r="AM71" s="268"/>
      <c r="AN71" s="1"/>
    </row>
    <row r="72" customFormat="1" spans="1:40">
      <c r="A72" s="1">
        <f t="shared" si="17"/>
        <v>61</v>
      </c>
      <c r="B72" s="1" t="str">
        <f>tblCategories!D63</f>
        <v>4.2.12) Threat of civil unrest</v>
      </c>
      <c r="C72" s="1">
        <f>IF(tblCategories!AC63="",0,tblCategories!AC63)</f>
        <v>0</v>
      </c>
      <c r="D72" s="1">
        <v>1</v>
      </c>
      <c r="E72" s="1" t="str">
        <f ca="1" t="shared" si="13"/>
        <v/>
      </c>
      <c r="F72" s="1"/>
      <c r="G72" s="1" t="str">
        <f ca="1" t="shared" si="14"/>
        <v/>
      </c>
      <c r="H72" s="1"/>
      <c r="I72" s="1" t="str">
        <f ca="1" t="shared" si="15"/>
        <v/>
      </c>
      <c r="J72" s="1"/>
      <c r="K72" s="1" t="str">
        <f ca="1" t="shared" si="16"/>
        <v/>
      </c>
      <c r="L72" s="1"/>
      <c r="M72" s="1">
        <f>CHOOSE($B$7,SUMIF(rScores_2014_O!$B$280:$AY$280,1,rScores_2014_O!$B63:$AY63)/rScores_2014_O!$BA$280,SUMIF(rScores_2014_N!$B$280:$AU$280,1,rScores_2014_N!$B63:$AU63)/rScores_2014_N!$AW$280,SUMIF(rScores_2017!$B$280:$BJ$280,1,rScores_2017!$B63:$BJ63)/rScores_2017!$BL$280)</f>
        <v>67.0833333333333</v>
      </c>
      <c r="N72" s="1"/>
      <c r="O72" s="1"/>
      <c r="P72" s="1"/>
      <c r="Q72" s="1" t="str">
        <f ca="1" t="shared" ref="Q72" si="35">IF($C72=0,"",(INDEX($D$12:$H$73,$A72,Q$10)))</f>
        <v/>
      </c>
      <c r="R72" s="1" t="str">
        <f ca="1">IF($C72=0,"",RANK(Q72,Q$12:Q$73,1)+COUNTIF(Q$12:Q72,Q72)-1)</f>
        <v/>
      </c>
      <c r="S72" s="1" t="str">
        <f ca="1" t="shared" ref="S72" si="36">IF(ISERROR(MATCH($A72,R$12:R$73,0)),"",MATCH($A72,R$12:R$73,0))</f>
        <v/>
      </c>
      <c r="T72" s="269" t="str">
        <f ca="1" t="shared" ref="T72" si="37">IF(S72="","",RANK(Y72,Y$12:Y$73,0))</f>
        <v/>
      </c>
      <c r="U72" s="269" t="str">
        <f ca="1" t="shared" ref="U72" si="38">IF(S72="","",COUNTIF(Y$12:Y$73,Y72))</f>
        <v/>
      </c>
      <c r="V72" s="269">
        <f ca="1" t="shared" ref="V72" si="39">IF(S72="",0,INDEX($D$12:$D$73,S72))</f>
        <v>0</v>
      </c>
      <c r="W72" s="268" t="str">
        <f ca="1" t="shared" ref="W72" si="40">IF(S72="","",IF(U72&gt;1,CONCATENATE("=",T72),T72))</f>
        <v/>
      </c>
      <c r="X72" s="1" t="str">
        <f ca="1" t="shared" ref="X72" si="41">IF($S72="","",INDEX($B$12:$H$73,$S72,X$10))</f>
        <v/>
      </c>
      <c r="Y72" s="1" t="str">
        <f ca="1" t="shared" ref="Y72:Z72" si="42">IF($S72="","",INDEX($E$12:$O$73,$S72,Y$10))</f>
        <v/>
      </c>
      <c r="Z72" s="1" t="str">
        <f ca="1" t="shared" si="42"/>
        <v/>
      </c>
      <c r="AA72" s="1" t="str">
        <f ca="1" t="shared" ref="AA72" si="43">IF($S72="","",INDEX($E$12:$L$73,$S72,AA$10))</f>
        <v/>
      </c>
      <c r="AB72" s="1" t="str">
        <f ca="1" t="shared" ref="AB72" si="44">IF($S72="","",INDEX($E$12:$O$73,$S72,AB$10))</f>
        <v/>
      </c>
      <c r="AC72" s="1" t="str">
        <f ca="1" t="shared" ref="AC72" si="45">IF($S72="","",INDEX($E$12:$L$73,$S72,AC$10))</f>
        <v/>
      </c>
      <c r="AD72" s="1" t="str">
        <f ca="1" t="shared" ref="AD72" si="46">IF($S72="","",INDEX($E$12:$O$73,$S72,AD$10))</f>
        <v/>
      </c>
      <c r="AE72" s="1" t="str">
        <f ca="1" t="shared" ref="AE72" si="47">IF($S72="","",INDEX($E$12:$L$73,$S72,AE$10))</f>
        <v/>
      </c>
      <c r="AF72" s="1" t="str">
        <f ca="1" t="shared" ref="AF72:AG72" si="48">IF($S72="","",INDEX($E$12:$O$73,$S72,AF$10))</f>
        <v/>
      </c>
      <c r="AG72" s="1" t="str">
        <f ca="1" t="shared" si="48"/>
        <v/>
      </c>
      <c r="AH72" s="1" t="str">
        <f ca="1">IF(T72="","",IF(ISERROR(INDEX(aRank_2014_N,$S72+1,uxb_works!$B$25)),"",INDEX(aRank_2014_N,$S72+1,uxb_works!$B$25)))</f>
        <v/>
      </c>
      <c r="AI72" s="1"/>
      <c r="AJ72" s="18"/>
      <c r="AK72" s="1"/>
      <c r="AL72" s="277"/>
      <c r="AM72" s="268"/>
      <c r="AN72" s="1"/>
    </row>
    <row r="73" customFormat="1" spans="1:40">
      <c r="A73" s="1"/>
      <c r="B73" s="1"/>
      <c r="C73" s="1"/>
      <c r="D73" s="1"/>
      <c r="E73" s="1"/>
      <c r="F73" s="1"/>
      <c r="G73" s="1"/>
      <c r="H73" s="1"/>
      <c r="I73" s="1"/>
      <c r="J73" s="1"/>
      <c r="K73" s="1"/>
      <c r="L73" s="1"/>
      <c r="M73" s="1"/>
      <c r="N73" s="1"/>
      <c r="O73" s="1"/>
      <c r="P73" s="1"/>
      <c r="Q73" s="1"/>
      <c r="R73" s="1"/>
      <c r="S73" s="1"/>
      <c r="T73" s="269"/>
      <c r="U73" s="269"/>
      <c r="V73" s="269"/>
      <c r="W73" s="268"/>
      <c r="X73" s="1"/>
      <c r="Y73" s="1"/>
      <c r="Z73" s="1"/>
      <c r="AA73" s="1"/>
      <c r="AB73" s="1"/>
      <c r="AC73" s="1"/>
      <c r="AD73" s="1"/>
      <c r="AE73" s="1"/>
      <c r="AF73" s="1"/>
      <c r="AG73" s="1"/>
      <c r="AH73" s="1"/>
      <c r="AI73" s="1"/>
      <c r="AJ73" s="18"/>
      <c r="AK73" s="1"/>
      <c r="AL73" s="277"/>
      <c r="AM73" s="268"/>
      <c r="AN73" s="1"/>
    </row>
    <row r="74" customFormat="1" spans="1:9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f>B4</f>
        <v>0</v>
      </c>
      <c r="BG74" s="1">
        <f>B5</f>
        <v>0</v>
      </c>
      <c r="BH74" s="1"/>
      <c r="BI74" s="1"/>
      <c r="BJ74" s="1"/>
      <c r="BK74" s="1"/>
      <c r="BL74" s="1"/>
      <c r="BM74" s="1"/>
      <c r="BN74" s="1"/>
      <c r="BO74" s="1"/>
      <c r="BP74" s="1"/>
      <c r="BQ74" s="1"/>
      <c r="BR74" s="1"/>
      <c r="BS74" s="1"/>
      <c r="BT74" s="1"/>
      <c r="BU74" s="269"/>
      <c r="BV74" s="269"/>
      <c r="BW74" s="269"/>
      <c r="BX74" s="268"/>
      <c r="BY74" s="1"/>
      <c r="BZ74" s="1"/>
      <c r="CA74" s="1"/>
      <c r="CB74" s="1"/>
      <c r="CC74" s="1"/>
      <c r="CD74" s="1"/>
      <c r="CE74" s="1"/>
      <c r="CF74" s="1"/>
      <c r="CG74" s="1"/>
      <c r="CH74" s="1"/>
      <c r="CI74" s="1"/>
      <c r="CJ74" s="1"/>
      <c r="CK74" s="18"/>
      <c r="CL74" s="1"/>
      <c r="CM74" s="277"/>
      <c r="CN74" s="1"/>
      <c r="CO74" s="1"/>
    </row>
    <row r="75" customFormat="1" spans="1:9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269"/>
      <c r="BV75" s="269"/>
      <c r="BW75" s="269"/>
      <c r="BX75" s="268"/>
      <c r="BY75" s="1"/>
      <c r="BZ75" s="1"/>
      <c r="CA75" s="1"/>
      <c r="CB75" s="1"/>
      <c r="CC75" s="1"/>
      <c r="CD75" s="1"/>
      <c r="CE75" s="1"/>
      <c r="CF75" s="1"/>
      <c r="CG75" s="1"/>
      <c r="CH75" s="1"/>
      <c r="CI75" s="1"/>
      <c r="CJ75" s="1"/>
      <c r="CK75" s="18"/>
      <c r="CL75" s="1"/>
      <c r="CM75" s="277"/>
      <c r="CN75" s="1"/>
      <c r="CO75" s="1"/>
    </row>
    <row r="76" spans="41:140">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row>
    <row r="77" spans="41:140">
      <c r="AO77" s="1"/>
      <c r="AP77" s="1"/>
      <c r="AQ77" s="1"/>
      <c r="AR77" s="1"/>
      <c r="AS77" s="1"/>
      <c r="AT77" s="1"/>
      <c r="AU77" s="1"/>
      <c r="AV77" s="1"/>
      <c r="AW77" s="1"/>
      <c r="AX77" s="1"/>
      <c r="AY77" s="1"/>
      <c r="AZ77" s="1"/>
      <c r="BA77" s="1"/>
      <c r="BB77" s="1"/>
      <c r="BC77" s="1"/>
      <c r="BD77" s="1" t="str">
        <f ca="1">H2</f>
        <v>Abu Dhabi</v>
      </c>
      <c r="BE77" s="1" t="str">
        <f ca="1">H3</f>
        <v>Abu Dhabi</v>
      </c>
      <c r="BF77" s="1" t="str">
        <f ca="1">H4</f>
        <v>&lt;none&gt;</v>
      </c>
      <c r="BG77" s="1" t="str">
        <f ca="1">H5</f>
        <v>&lt;none&gt;</v>
      </c>
      <c r="BH77" s="1" t="str">
        <f>IF(B6=12,C6,"Average for "&amp;C6)</f>
        <v>Average for All Regions/Groups</v>
      </c>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row>
    <row r="78" spans="41:140">
      <c r="AO78" s="1"/>
      <c r="AP78" s="1"/>
      <c r="AQ78" s="1"/>
      <c r="AR78" s="1"/>
      <c r="AS78" s="1"/>
      <c r="AT78" s="1"/>
      <c r="AU78" s="1"/>
      <c r="AV78" s="1"/>
      <c r="AW78" s="1"/>
      <c r="AX78" s="1"/>
      <c r="AY78" s="1"/>
      <c r="AZ78" s="1"/>
      <c r="BA78" s="1"/>
      <c r="BB78" s="1">
        <f ca="1">IF(BC78="",0,1)</f>
        <v>1</v>
      </c>
      <c r="BC78" s="1" t="str">
        <f ca="1" t="shared" ref="BC78:BD81" si="49">X12</f>
        <v>1) DIGITAL SECURITY</v>
      </c>
      <c r="BD78" s="1">
        <f ca="1" t="shared" si="49"/>
        <v>68.7742107919604</v>
      </c>
      <c r="BE78" s="1">
        <f ca="1">AA12</f>
        <v>68.7742107919604</v>
      </c>
      <c r="BF78" s="1" t="e">
        <f ca="1">AC12</f>
        <v>#VALUE!</v>
      </c>
      <c r="BG78" s="1" t="e">
        <f ca="1">AE12</f>
        <v>#VALUE!</v>
      </c>
      <c r="BH78" s="1">
        <f ca="1">AG12</f>
        <v>66.1523333333333</v>
      </c>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row>
    <row r="79" spans="41:140">
      <c r="AO79" s="1"/>
      <c r="AP79" s="1"/>
      <c r="AQ79" s="1"/>
      <c r="AR79" s="1"/>
      <c r="AS79" s="1"/>
      <c r="AT79" s="1"/>
      <c r="AU79" s="1"/>
      <c r="AV79" s="1"/>
      <c r="AW79" s="1"/>
      <c r="AX79" s="1"/>
      <c r="AY79" s="1"/>
      <c r="AZ79" s="1"/>
      <c r="BA79" s="1"/>
      <c r="BB79" s="1">
        <f ca="1">IF(BC79="",0,1)</f>
        <v>1</v>
      </c>
      <c r="BC79" s="1" t="str">
        <f ca="1" t="shared" si="49"/>
        <v>2) HEALTH SECURITY</v>
      </c>
      <c r="BD79" s="1">
        <f ca="1" t="shared" si="49"/>
        <v>68.5404322865189</v>
      </c>
      <c r="BE79" s="1">
        <f ca="1">AA13</f>
        <v>68.5404322865189</v>
      </c>
      <c r="BF79" s="1" t="e">
        <f ca="1">AC13</f>
        <v>#VALUE!</v>
      </c>
      <c r="BG79" s="1" t="e">
        <f ca="1">AE13</f>
        <v>#VALUE!</v>
      </c>
      <c r="BH79" s="1">
        <f ca="1">AG13</f>
        <v>69.1868333333333</v>
      </c>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row>
    <row r="80" spans="41:140">
      <c r="AO80" s="1"/>
      <c r="AP80" s="1"/>
      <c r="AQ80" s="1"/>
      <c r="AR80" s="1"/>
      <c r="AS80" s="1"/>
      <c r="AT80" s="1"/>
      <c r="AU80" s="1"/>
      <c r="AV80" s="1"/>
      <c r="AW80" s="1"/>
      <c r="AX80" s="1"/>
      <c r="AY80" s="1"/>
      <c r="AZ80" s="1"/>
      <c r="BA80" s="1"/>
      <c r="BB80" s="1">
        <f ca="1">IF(BC80="",0,1)</f>
        <v>1</v>
      </c>
      <c r="BC80" s="1" t="str">
        <f ca="1" t="shared" si="49"/>
        <v>3) INFRASTRUCTURE SECURITY</v>
      </c>
      <c r="BD80" s="1">
        <f ca="1" t="shared" si="49"/>
        <v>91.3641602398045</v>
      </c>
      <c r="BE80" s="1">
        <f ca="1">AA14</f>
        <v>91.3641602398045</v>
      </c>
      <c r="BF80" s="1" t="e">
        <f ca="1">AC14</f>
        <v>#VALUE!</v>
      </c>
      <c r="BG80" s="1" t="e">
        <f ca="1">AE14</f>
        <v>#VALUE!</v>
      </c>
      <c r="BH80" s="1">
        <f ca="1">AG14</f>
        <v>78.2028333333333</v>
      </c>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row>
    <row r="81" spans="41:140">
      <c r="AO81" s="1"/>
      <c r="AP81" s="1"/>
      <c r="AQ81" s="1"/>
      <c r="AR81" s="1"/>
      <c r="AS81" s="1"/>
      <c r="AT81" s="1"/>
      <c r="AU81" s="1"/>
      <c r="AV81" s="1"/>
      <c r="AW81" s="1"/>
      <c r="AX81" s="1"/>
      <c r="AY81" s="1"/>
      <c r="AZ81" s="1"/>
      <c r="BA81" s="1"/>
      <c r="BB81" s="1">
        <f ca="1">IF(BC81="",0,1)</f>
        <v>1</v>
      </c>
      <c r="BC81" s="1" t="str">
        <f ca="1" t="shared" si="49"/>
        <v>4) PERSONAL SECURITY</v>
      </c>
      <c r="BD81" s="1">
        <f ca="1" t="shared" si="49"/>
        <v>78.9514458295227</v>
      </c>
      <c r="BE81" s="1">
        <f ca="1">AA15</f>
        <v>78.9514458295227</v>
      </c>
      <c r="BF81" s="1" t="e">
        <f ca="1">AC15</f>
        <v>#VALUE!</v>
      </c>
      <c r="BG81" s="1" t="e">
        <f ca="1">AE15</f>
        <v>#VALUE!</v>
      </c>
      <c r="BH81" s="1">
        <f ca="1">AG15</f>
        <v>74.4281666666667</v>
      </c>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row>
    <row r="82" hidden="1" spans="41:140">
      <c r="AO82" s="1"/>
      <c r="AP82" s="1"/>
      <c r="AQ82" s="1"/>
      <c r="AR82" s="1"/>
      <c r="AS82" s="1"/>
      <c r="AT82" s="1"/>
      <c r="AU82" s="1"/>
      <c r="AV82" s="1"/>
      <c r="AW82" s="1"/>
      <c r="AX82" s="1"/>
      <c r="AY82" s="1"/>
      <c r="AZ82" s="1"/>
      <c r="BA82" s="1"/>
      <c r="BB82" s="1">
        <f ca="1" t="shared" ref="BB82:BB88" si="50">IF(BC82="",0,1)</f>
        <v>0</v>
      </c>
      <c r="BC82" s="1" t="str">
        <f ca="1" t="shared" ref="BC82:BC88" si="51">X16</f>
        <v/>
      </c>
      <c r="BD82" s="1" t="str">
        <f ca="1" t="shared" ref="BD82:BD88" si="52">Y16</f>
        <v/>
      </c>
      <c r="BE82" s="1" t="str">
        <f ca="1" t="shared" ref="BE82:BE88" si="53">AA16</f>
        <v/>
      </c>
      <c r="BF82" s="1" t="str">
        <f ca="1" t="shared" ref="BF82:BF88" si="54">AC16</f>
        <v/>
      </c>
      <c r="BG82" s="1" t="str">
        <f ca="1" t="shared" ref="BG82:BG88" si="55">AE16</f>
        <v/>
      </c>
      <c r="BH82" s="1" t="str">
        <f ca="1" t="shared" ref="BH82:BH88" si="56">AG16</f>
        <v/>
      </c>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row>
    <row r="83" hidden="1" spans="41:140">
      <c r="AO83" s="1"/>
      <c r="AP83" s="1"/>
      <c r="AQ83" s="1"/>
      <c r="AR83" s="1"/>
      <c r="AS83" s="1"/>
      <c r="AT83" s="1"/>
      <c r="AU83" s="1"/>
      <c r="AV83" s="1"/>
      <c r="AW83" s="1"/>
      <c r="AX83" s="1"/>
      <c r="AY83" s="1"/>
      <c r="AZ83" s="1"/>
      <c r="BA83" s="1"/>
      <c r="BB83" s="1">
        <f ca="1" t="shared" si="50"/>
        <v>0</v>
      </c>
      <c r="BC83" s="1" t="str">
        <f ca="1" t="shared" si="51"/>
        <v/>
      </c>
      <c r="BD83" s="1" t="str">
        <f ca="1" t="shared" si="52"/>
        <v/>
      </c>
      <c r="BE83" s="1" t="str">
        <f ca="1" t="shared" si="53"/>
        <v/>
      </c>
      <c r="BF83" s="1" t="str">
        <f ca="1" t="shared" si="54"/>
        <v/>
      </c>
      <c r="BG83" s="1" t="str">
        <f ca="1" t="shared" si="55"/>
        <v/>
      </c>
      <c r="BH83" s="1" t="str">
        <f ca="1" t="shared" si="56"/>
        <v/>
      </c>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row>
    <row r="84" hidden="1" spans="41:140">
      <c r="AO84" s="1"/>
      <c r="AP84" s="1"/>
      <c r="AQ84" s="1"/>
      <c r="AR84" s="1"/>
      <c r="AS84" s="1"/>
      <c r="AT84" s="1"/>
      <c r="AU84" s="1"/>
      <c r="AV84" s="1"/>
      <c r="AW84" s="1"/>
      <c r="AX84" s="1"/>
      <c r="AY84" s="1"/>
      <c r="AZ84" s="1"/>
      <c r="BA84" s="1"/>
      <c r="BB84" s="1">
        <f ca="1" t="shared" si="50"/>
        <v>0</v>
      </c>
      <c r="BC84" s="1" t="str">
        <f ca="1" t="shared" si="51"/>
        <v/>
      </c>
      <c r="BD84" s="1" t="str">
        <f ca="1" t="shared" si="52"/>
        <v/>
      </c>
      <c r="BE84" s="1" t="str">
        <f ca="1" t="shared" si="53"/>
        <v/>
      </c>
      <c r="BF84" s="1" t="str">
        <f ca="1" t="shared" si="54"/>
        <v/>
      </c>
      <c r="BG84" s="1" t="str">
        <f ca="1" t="shared" si="55"/>
        <v/>
      </c>
      <c r="BH84" s="1" t="str">
        <f ca="1" t="shared" si="56"/>
        <v/>
      </c>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row>
    <row r="85" hidden="1" spans="41:140">
      <c r="AO85" s="1"/>
      <c r="AP85" s="1"/>
      <c r="AQ85" s="1"/>
      <c r="AR85" s="1"/>
      <c r="AS85" s="1"/>
      <c r="AT85" s="1"/>
      <c r="AU85" s="1"/>
      <c r="AV85" s="1"/>
      <c r="AW85" s="1"/>
      <c r="AX85" s="1"/>
      <c r="AY85" s="1"/>
      <c r="AZ85" s="1"/>
      <c r="BA85" s="1"/>
      <c r="BB85" s="1">
        <f ca="1" t="shared" si="50"/>
        <v>0</v>
      </c>
      <c r="BC85" s="1" t="str">
        <f ca="1" t="shared" si="51"/>
        <v/>
      </c>
      <c r="BD85" s="1" t="str">
        <f ca="1" t="shared" si="52"/>
        <v/>
      </c>
      <c r="BE85" s="1" t="str">
        <f ca="1" t="shared" si="53"/>
        <v/>
      </c>
      <c r="BF85" s="1" t="str">
        <f ca="1" t="shared" si="54"/>
        <v/>
      </c>
      <c r="BG85" s="1" t="str">
        <f ca="1" t="shared" si="55"/>
        <v/>
      </c>
      <c r="BH85" s="1" t="str">
        <f ca="1" t="shared" si="56"/>
        <v/>
      </c>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row>
    <row r="86" hidden="1" spans="41:140">
      <c r="AO86" s="1"/>
      <c r="AP86" s="1"/>
      <c r="AQ86" s="1"/>
      <c r="AR86" s="1"/>
      <c r="AS86" s="1"/>
      <c r="AT86" s="1"/>
      <c r="AU86" s="1"/>
      <c r="AV86" s="1"/>
      <c r="AW86" s="1"/>
      <c r="AX86" s="1"/>
      <c r="AY86" s="1"/>
      <c r="AZ86" s="1"/>
      <c r="BA86" s="1"/>
      <c r="BB86" s="1">
        <f ca="1" t="shared" si="50"/>
        <v>0</v>
      </c>
      <c r="BC86" s="1" t="str">
        <f ca="1" t="shared" si="51"/>
        <v/>
      </c>
      <c r="BD86" s="1" t="str">
        <f ca="1" t="shared" si="52"/>
        <v/>
      </c>
      <c r="BE86" s="1" t="str">
        <f ca="1" t="shared" si="53"/>
        <v/>
      </c>
      <c r="BF86" s="1" t="str">
        <f ca="1" t="shared" si="54"/>
        <v/>
      </c>
      <c r="BG86" s="1" t="str">
        <f ca="1" t="shared" si="55"/>
        <v/>
      </c>
      <c r="BH86" s="1" t="str">
        <f ca="1" t="shared" si="56"/>
        <v/>
      </c>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row>
    <row r="87" hidden="1" spans="41:140">
      <c r="AO87" s="1"/>
      <c r="AP87" s="1"/>
      <c r="AQ87" s="1"/>
      <c r="AR87" s="1"/>
      <c r="AS87" s="1"/>
      <c r="AT87" s="1"/>
      <c r="AU87" s="1"/>
      <c r="AV87" s="1"/>
      <c r="AW87" s="1"/>
      <c r="AX87" s="1"/>
      <c r="AY87" s="1"/>
      <c r="AZ87" s="1"/>
      <c r="BA87" s="1"/>
      <c r="BB87" s="1">
        <f ca="1" t="shared" si="50"/>
        <v>0</v>
      </c>
      <c r="BC87" s="1" t="str">
        <f ca="1" t="shared" si="51"/>
        <v/>
      </c>
      <c r="BD87" s="1" t="str">
        <f ca="1" t="shared" si="52"/>
        <v/>
      </c>
      <c r="BE87" s="1" t="str">
        <f ca="1" t="shared" si="53"/>
        <v/>
      </c>
      <c r="BF87" s="1" t="str">
        <f ca="1" t="shared" si="54"/>
        <v/>
      </c>
      <c r="BG87" s="1" t="str">
        <f ca="1" t="shared" si="55"/>
        <v/>
      </c>
      <c r="BH87" s="1" t="str">
        <f ca="1" t="shared" si="56"/>
        <v/>
      </c>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row>
    <row r="88" hidden="1" spans="41:140">
      <c r="AO88" s="1"/>
      <c r="AP88" s="1"/>
      <c r="AQ88" s="1"/>
      <c r="AR88" s="1"/>
      <c r="AS88" s="1"/>
      <c r="AT88" s="1"/>
      <c r="AU88" s="1"/>
      <c r="AV88" s="1"/>
      <c r="AW88" s="1"/>
      <c r="AX88" s="1"/>
      <c r="AY88" s="1"/>
      <c r="AZ88" s="1"/>
      <c r="BA88" s="1"/>
      <c r="BB88" s="1">
        <f ca="1" t="shared" si="50"/>
        <v>0</v>
      </c>
      <c r="BC88" s="1" t="str">
        <f ca="1" t="shared" si="51"/>
        <v/>
      </c>
      <c r="BD88" s="1" t="str">
        <f ca="1" t="shared" si="52"/>
        <v/>
      </c>
      <c r="BE88" s="1" t="str">
        <f ca="1" t="shared" si="53"/>
        <v/>
      </c>
      <c r="BF88" s="1" t="str">
        <f ca="1" t="shared" si="54"/>
        <v/>
      </c>
      <c r="BG88" s="1" t="str">
        <f ca="1" t="shared" si="55"/>
        <v/>
      </c>
      <c r="BH88" s="1" t="str">
        <f ca="1" t="shared" si="56"/>
        <v/>
      </c>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row>
    <row r="89" spans="41:140">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row>
    <row r="90" spans="41:140">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row>
    <row r="91" spans="41:140">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row>
    <row r="92" spans="41:140">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row>
    <row r="93" spans="41:140">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row>
    <row r="94" spans="41:140">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row>
    <row r="95" spans="41:140">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row>
    <row r="96" spans="41:140">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row>
    <row r="97" spans="41:140">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row>
  </sheetData>
  <pageMargins left="0.551181102362205" right="0.551181102362205" top="0.590551181102362" bottom="0.78740157480315" header="0.511811023622047" footer="0.511811023622047"/>
  <pageSetup paperSize="9" scale="24" orientation="landscape"/>
  <headerFooter alignWithMargins="0">
    <oddHeader>&amp;RSafe Cities Index : 2017</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F24"/>
  <sheetViews>
    <sheetView showRowColHeaders="0" zoomScale="90" zoomScaleNormal="90" workbookViewId="0">
      <selection activeCell="C14" sqref="C14"/>
    </sheetView>
  </sheetViews>
  <sheetFormatPr defaultColWidth="9" defaultRowHeight="15" outlineLevelCol="5"/>
  <cols>
    <col min="1" max="2" width="9.14285714285714"/>
    <col min="3" max="3" width="47.7142857142857" customWidth="1"/>
    <col min="4" max="16384" width="9.14285714285714"/>
  </cols>
  <sheetData>
    <row r="1" spans="1:3">
      <c r="A1" t="str">
        <f>uxb_works!A24</f>
        <v>CITY1_ID</v>
      </c>
      <c r="B1">
        <f>uxb_works!B24</f>
        <v>1</v>
      </c>
      <c r="C1" t="str">
        <f ca="1">uxb_works!C24</f>
        <v>Abu Dhabi</v>
      </c>
    </row>
    <row r="2" spans="1:5">
      <c r="A2" t="str">
        <f>uxb_works!A46</f>
        <v>YEAR_SELECT</v>
      </c>
      <c r="B2">
        <f>uxb_works!B46</f>
        <v>3</v>
      </c>
      <c r="D2" t="s">
        <v>24</v>
      </c>
      <c r="E2" t="s">
        <v>14</v>
      </c>
    </row>
    <row r="3" spans="1:6">
      <c r="A3">
        <f>IF($B$2=1,B3,tblIndiSets!B78)</f>
        <v>1</v>
      </c>
      <c r="B3" s="280">
        <f>tblIndiSets_2014_O!B297</f>
        <v>1</v>
      </c>
      <c r="C3" s="280" t="str">
        <f>tblIndiSets!C78</f>
        <v>OVERALL SCORE</v>
      </c>
      <c r="D3">
        <f>CHOOSE($B$2,INDEX(aScores_2014_O,A3,$B$1),INDEX(aScores_2014_N,A3,$B$1),INDEX(aScores_2017,A3,$B$1))</f>
        <v>76.9075622869516</v>
      </c>
      <c r="E3" t="str">
        <f t="shared" ref="E3:E15" si="0">CHOOSE($B$2,INDEX(aRank_2014_O,A3,$B$1),INDEX(aRank_2014_N,A3,$B$1),INDEX(aRank_2017,A3,$B$1))</f>
        <v>28</v>
      </c>
      <c r="F3">
        <f>tblIndiSets!D78</f>
        <v>0</v>
      </c>
    </row>
    <row r="4" spans="1:6">
      <c r="A4">
        <f>IF($B$2=1,B4,tblIndiSets!B79)</f>
        <v>2</v>
      </c>
      <c r="B4" s="280">
        <f>tblIndiSets_2014_O!B298</f>
        <v>2</v>
      </c>
      <c r="C4" s="280" t="str">
        <f>tblIndiSets!C79</f>
        <v> 1) DIGITAL SECURITY</v>
      </c>
      <c r="D4">
        <f t="shared" ref="D4:D15" si="1">CHOOSE($B$2,INDEX(aScores_2014_O,A4,$B$1),INDEX(aScores_2014_N,A4,$B$1),INDEX(aScores_2017,A4,$B$1))</f>
        <v>68.7742107919604</v>
      </c>
      <c r="E4" t="str">
        <f t="shared" si="0"/>
        <v>28</v>
      </c>
      <c r="F4">
        <f>tblIndiSets!D79</f>
        <v>1</v>
      </c>
    </row>
    <row r="5" spans="1:6">
      <c r="A5">
        <f>IF($B$2=1,B5,tblIndiSets!B80)</f>
        <v>3</v>
      </c>
      <c r="B5" s="280">
        <f>tblIndiSets_2014_O!B299</f>
        <v>3</v>
      </c>
      <c r="C5" s="280" t="str">
        <f>tblIndiSets!C80</f>
        <v>  1.1) Digital security (Inputs)</v>
      </c>
      <c r="D5">
        <f t="shared" si="1"/>
        <v>63.3333333333333</v>
      </c>
      <c r="E5" t="str">
        <f t="shared" si="0"/>
        <v>=29</v>
      </c>
      <c r="F5">
        <f>tblIndiSets!D80</f>
        <v>2</v>
      </c>
    </row>
    <row r="6" spans="1:6">
      <c r="A6">
        <f>IF($B$2=1,B6,tblIndiSets!B81)</f>
        <v>9</v>
      </c>
      <c r="B6" s="280">
        <f>tblIndiSets_2014_O!B300</f>
        <v>9</v>
      </c>
      <c r="C6" s="280" t="str">
        <f>tblIndiSets!C81</f>
        <v>  1.2) Digital security (Outputs)</v>
      </c>
      <c r="D6">
        <f t="shared" si="1"/>
        <v>74.2150882505875</v>
      </c>
      <c r="E6" t="str">
        <f t="shared" si="0"/>
        <v>=16</v>
      </c>
      <c r="F6">
        <f>tblIndiSets!D81</f>
        <v>2</v>
      </c>
    </row>
    <row r="7" spans="1:6">
      <c r="A7">
        <f>IF($B$2=1,B7,tblIndiSets!B82)</f>
        <v>13</v>
      </c>
      <c r="B7" s="280">
        <f>tblIndiSets_2014_O!B301</f>
        <v>13</v>
      </c>
      <c r="C7" s="280" t="str">
        <f>tblIndiSets!C82</f>
        <v> 2) HEALTH SECURITY</v>
      </c>
      <c r="D7">
        <f t="shared" si="1"/>
        <v>68.5404322865189</v>
      </c>
      <c r="E7" t="str">
        <f t="shared" si="0"/>
        <v>33</v>
      </c>
      <c r="F7">
        <f>tblIndiSets!D82</f>
        <v>1</v>
      </c>
    </row>
    <row r="8" spans="1:6">
      <c r="A8">
        <f>IF($B$2=1,B8,tblIndiSets!B83)</f>
        <v>14</v>
      </c>
      <c r="B8" s="280">
        <f>tblIndiSets_2014_O!B302</f>
        <v>14</v>
      </c>
      <c r="C8" s="280" t="str">
        <f>tblIndiSets!C83</f>
        <v>  2.1) Health security (Inputs)</v>
      </c>
      <c r="D8">
        <f t="shared" si="1"/>
        <v>55.909058022829</v>
      </c>
      <c r="E8" t="str">
        <f t="shared" si="0"/>
        <v>37</v>
      </c>
      <c r="F8">
        <f>tblIndiSets!D83</f>
        <v>2</v>
      </c>
    </row>
    <row r="9" spans="1:6">
      <c r="A9">
        <f>IF($B$2=1,B9,tblIndiSets!B84)</f>
        <v>21</v>
      </c>
      <c r="B9" s="280">
        <f>tblIndiSets_2014_O!B303</f>
        <v>21</v>
      </c>
      <c r="C9" s="280" t="str">
        <f>tblIndiSets!C84</f>
        <v>  2.2) Health security (Outputs)</v>
      </c>
      <c r="D9">
        <f t="shared" si="1"/>
        <v>81.1718065502088</v>
      </c>
      <c r="E9" t="str">
        <f t="shared" si="0"/>
        <v>22</v>
      </c>
      <c r="F9">
        <f>tblIndiSets!D84</f>
        <v>2</v>
      </c>
    </row>
    <row r="10" spans="1:6">
      <c r="A10">
        <f>IF($B$2=1,B10,tblIndiSets!B85)</f>
        <v>28</v>
      </c>
      <c r="B10" s="280">
        <f>tblIndiSets_2014_O!B304</f>
        <v>27</v>
      </c>
      <c r="C10" s="280" t="str">
        <f>tblIndiSets!C85</f>
        <v> 3) INFRASTRUCTURE SECURITY</v>
      </c>
      <c r="D10">
        <f t="shared" si="1"/>
        <v>91.3641602398045</v>
      </c>
      <c r="E10" t="str">
        <f t="shared" si="0"/>
        <v>16</v>
      </c>
      <c r="F10">
        <f>tblIndiSets!D85</f>
        <v>1</v>
      </c>
    </row>
    <row r="11" spans="1:6">
      <c r="A11">
        <f>IF($B$2=1,B11,tblIndiSets!B86)</f>
        <v>29</v>
      </c>
      <c r="B11" s="280">
        <f>tblIndiSets_2014_O!B305</f>
        <v>28</v>
      </c>
      <c r="C11" s="280" t="str">
        <f>tblIndiSets!C86</f>
        <v>  3.1) Infrastructure security (Inputs)</v>
      </c>
      <c r="D11">
        <f t="shared" si="1"/>
        <v>90</v>
      </c>
      <c r="E11" t="str">
        <f t="shared" si="0"/>
        <v>23</v>
      </c>
      <c r="F11">
        <f>tblIndiSets!D86</f>
        <v>2</v>
      </c>
    </row>
    <row r="12" spans="1:6">
      <c r="A12">
        <f>IF($B$2=1,B12,tblIndiSets!B87)</f>
        <v>35</v>
      </c>
      <c r="B12" s="280">
        <f>tblIndiSets_2014_O!B306</f>
        <v>34</v>
      </c>
      <c r="C12" s="280" t="str">
        <f>tblIndiSets!C87</f>
        <v>  3.2) Infrastructure security (Outputs)</v>
      </c>
      <c r="D12">
        <f t="shared" si="1"/>
        <v>92.728320479609</v>
      </c>
      <c r="E12" t="str">
        <f t="shared" si="0"/>
        <v>=14</v>
      </c>
      <c r="F12">
        <f>tblIndiSets!D87</f>
        <v>2</v>
      </c>
    </row>
    <row r="13" spans="1:6">
      <c r="A13">
        <f>IF($B$2=1,B13,tblIndiSets!B88)</f>
        <v>41</v>
      </c>
      <c r="B13" s="280">
        <f>tblIndiSets_2014_O!B307</f>
        <v>39</v>
      </c>
      <c r="C13" s="280" t="str">
        <f>tblIndiSets!C88</f>
        <v> 4) PERSONAL SECURITY</v>
      </c>
      <c r="D13">
        <f t="shared" si="1"/>
        <v>78.9514458295227</v>
      </c>
      <c r="E13" t="str">
        <f t="shared" si="0"/>
        <v>29</v>
      </c>
      <c r="F13">
        <f>tblIndiSets!D88</f>
        <v>1</v>
      </c>
    </row>
    <row r="14" spans="1:6">
      <c r="A14">
        <f>IF($B$2=1,B14,tblIndiSets!B89)</f>
        <v>42</v>
      </c>
      <c r="B14" s="280">
        <f>tblIndiSets_2014_O!B308</f>
        <v>40</v>
      </c>
      <c r="C14" s="280" t="str">
        <f>tblIndiSets!C89</f>
        <v>  4.1) Personal security (Inputs)</v>
      </c>
      <c r="D14">
        <f t="shared" si="1"/>
        <v>71.8027210884354</v>
      </c>
      <c r="E14" t="str">
        <f t="shared" si="0"/>
        <v>40</v>
      </c>
      <c r="F14">
        <f>tblIndiSets!D89</f>
        <v>2</v>
      </c>
    </row>
    <row r="15" spans="1:6">
      <c r="A15">
        <f>IF($B$2=1,B15,tblIndiSets!B90)</f>
        <v>50</v>
      </c>
      <c r="B15" s="280">
        <f>tblIndiSets_2014_O!B309</f>
        <v>48</v>
      </c>
      <c r="C15" s="280" t="str">
        <f>tblIndiSets!C90</f>
        <v>  4.2) Personal security (Outputs)</v>
      </c>
      <c r="D15">
        <f t="shared" si="1"/>
        <v>86.10017057061</v>
      </c>
      <c r="E15" t="str">
        <f t="shared" si="0"/>
        <v>10</v>
      </c>
      <c r="F15">
        <f>tblIndiSets!D90</f>
        <v>2</v>
      </c>
    </row>
    <row r="16" spans="2:3">
      <c r="B16" s="280"/>
      <c r="C16" s="280"/>
    </row>
    <row r="17" spans="2:3">
      <c r="B17" s="280"/>
      <c r="C17" s="280"/>
    </row>
    <row r="18" spans="2:3">
      <c r="B18" s="280"/>
      <c r="C18" s="280"/>
    </row>
    <row r="19" spans="2:3">
      <c r="B19" s="280"/>
      <c r="C19" s="280"/>
    </row>
    <row r="20" spans="2:3">
      <c r="B20" s="280"/>
      <c r="C20" s="280"/>
    </row>
    <row r="21" spans="2:3">
      <c r="B21" s="280"/>
      <c r="C21" s="280"/>
    </row>
    <row r="22" spans="2:3">
      <c r="B22" s="280"/>
      <c r="C22" s="280"/>
    </row>
    <row r="23" spans="2:3">
      <c r="B23" s="280"/>
      <c r="C23" s="280"/>
    </row>
    <row r="24" spans="2:3">
      <c r="B24" s="280"/>
      <c r="C24" s="280"/>
    </row>
  </sheetData>
  <pageMargins left="0.551181102362205" right="0.551181102362205" top="0.590551181102362" bottom="0.78740157480315" header="0.511811023622047" footer="0.511811023622047"/>
  <pageSetup paperSize="9" orientation="landscape"/>
  <headerFooter alignWithMargins="0">
    <oddHeader>&amp;RSafe Cities Index : 2017</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FFC000"/>
    <pageSetUpPr fitToPage="1"/>
  </sheetPr>
  <dimension ref="A1:CL87"/>
  <sheetViews>
    <sheetView showRowColHeaders="0" zoomScale="90" zoomScaleNormal="90" topLeftCell="A46" workbookViewId="0">
      <selection activeCell="F6" sqref="F6:F66"/>
    </sheetView>
  </sheetViews>
  <sheetFormatPr defaultColWidth="9" defaultRowHeight="15"/>
  <cols>
    <col min="1" max="9" width="9.14285714285714" style="1"/>
    <col min="10" max="10" width="14.7142857142857" style="1" customWidth="1"/>
    <col min="11" max="11" width="15" style="1" customWidth="1"/>
    <col min="12" max="12" width="15.8571428571429" style="1" customWidth="1"/>
    <col min="13" max="13" width="17.4285714285714" style="1" customWidth="1"/>
    <col min="14" max="14" width="21.7142857142857" style="1" customWidth="1"/>
    <col min="15" max="18" width="9.14285714285714" style="1"/>
    <col min="19" max="19" width="10.5714285714286" style="1" customWidth="1"/>
    <col min="20" max="20" width="21.7142857142857" style="1" customWidth="1"/>
    <col min="21" max="24" width="9.14285714285714" style="1"/>
    <col min="25" max="32" width="10.5714285714286" style="1" customWidth="1"/>
    <col min="33" max="36" width="9.14285714285714" style="1"/>
    <col min="37" max="37" width="3.42857142857143" style="1" customWidth="1"/>
    <col min="38" max="38" width="21.7142857142857" style="1" customWidth="1"/>
    <col min="39" max="42" width="9.14285714285714" style="1"/>
    <col min="43" max="43" width="5.14285714285714" style="1" customWidth="1"/>
    <col min="44" max="44" width="21.7142857142857" style="1" customWidth="1"/>
    <col min="45" max="49" width="9.14285714285714" style="1"/>
    <col min="50" max="50" width="21.7142857142857" style="1" customWidth="1"/>
    <col min="51" max="55" width="9.14285714285714" style="1"/>
    <col min="56" max="56" width="21.7142857142857" style="1" customWidth="1"/>
    <col min="57" max="61" width="9.14285714285714" style="1"/>
    <col min="62" max="62" width="21.7142857142857" style="1" customWidth="1"/>
    <col min="63" max="67" width="9.14285714285714" style="1"/>
    <col min="68" max="68" width="21.7142857142857" style="1" customWidth="1"/>
    <col min="69" max="73" width="9.14285714285714" style="1"/>
    <col min="74" max="74" width="21.7142857142857" style="1" customWidth="1"/>
    <col min="75" max="79" width="9.14285714285714" style="1"/>
    <col min="80" max="80" width="21.7142857142857" style="1" customWidth="1"/>
    <col min="81" max="85" width="9.14285714285714" style="1"/>
    <col min="86" max="86" width="21.7142857142857" style="1" customWidth="1"/>
    <col min="87" max="90" width="9.14285714285714" style="1"/>
    <col min="92" max="92" width="21.7142857142857" customWidth="1"/>
    <col min="98" max="98" width="21.7142857142857" customWidth="1"/>
    <col min="104" max="104" width="21.7142857142857" customWidth="1"/>
    <col min="110" max="110" width="21.7142857142857" customWidth="1"/>
    <col min="116" max="116" width="21.7142857142857" customWidth="1"/>
    <col min="122" max="122" width="21.7142857142857" customWidth="1"/>
    <col min="128" max="128" width="21.7142857142857" customWidth="1"/>
    <col min="134" max="134" width="21.7142857142857" customWidth="1"/>
    <col min="140" max="140" width="21.7142857142857" customWidth="1"/>
    <col min="146" max="146" width="21.7142857142857" customWidth="1"/>
    <col min="152" max="152" width="21.7142857142857" customWidth="1"/>
    <col min="158" max="158" width="21.7142857142857" customWidth="1"/>
    <col min="164" max="164" width="21.7142857142857" customWidth="1"/>
    <col min="170" max="170" width="21.7142857142857" customWidth="1"/>
    <col min="190" max="16384" width="9.14285714285714" style="1"/>
  </cols>
  <sheetData>
    <row r="1" spans="1:2">
      <c r="A1" s="1" t="str">
        <f>uxb_works!A46</f>
        <v>YEAR_SELECT</v>
      </c>
      <c r="B1" s="1">
        <f>uxb_works!B46</f>
        <v>3</v>
      </c>
    </row>
    <row r="2" spans="1:2">
      <c r="A2" s="1" t="str">
        <f>uxb_works!A19</f>
        <v>INDI_ID</v>
      </c>
      <c r="B2" s="1">
        <v>1</v>
      </c>
    </row>
    <row r="3" spans="1:4">
      <c r="A3" s="1" t="str">
        <f>uxb_works!A24</f>
        <v>CITY1_ID</v>
      </c>
      <c r="B3" s="1">
        <f>uxb_works!B24</f>
        <v>1</v>
      </c>
      <c r="C3" s="1" t="str">
        <f ca="1">uxb_works!C24</f>
        <v>Abu Dhabi</v>
      </c>
      <c r="D3" s="1">
        <f>uxb_works!D24</f>
        <v>0</v>
      </c>
    </row>
    <row r="4" spans="1:88">
      <c r="A4" s="1" t="s">
        <v>334</v>
      </c>
      <c r="B4" s="1" t="b">
        <f>IF(X2=1,FALSE,TRUE)</f>
        <v>1</v>
      </c>
      <c r="D4" s="1" t="str">
        <f>uxb_works!A6</f>
        <v>CITY_HIGHLIGHT_DD</v>
      </c>
      <c r="E4" s="1">
        <f>uxb_works!B6</f>
        <v>1</v>
      </c>
      <c r="I4" s="1" t="s">
        <v>323</v>
      </c>
      <c r="J4" s="1">
        <f>uxb_works!B8</f>
        <v>1</v>
      </c>
      <c r="N4" s="1">
        <v>1</v>
      </c>
      <c r="O4" s="1">
        <f>INDEX(iCSCtbl!$A$3:$A$24,iCityScoreCard!N4)</f>
        <v>1</v>
      </c>
      <c r="P4" s="1" t="str">
        <f>INDEX(iCSCtbl!$C$3:$C$24,iCityScoreCard!N4)</f>
        <v>OVERALL SCORE</v>
      </c>
      <c r="T4" s="1">
        <f>N4+1</f>
        <v>2</v>
      </c>
      <c r="U4" s="1">
        <f>INDEX(iCSCtbl!$A$3:$A$24,iCityScoreCard!T4)</f>
        <v>2</v>
      </c>
      <c r="V4" s="1" t="str">
        <f>INDEX(iCSCtbl!$C$3:$C$24,iCityScoreCard!T4)</f>
        <v> 1) DIGITAL SECURITY</v>
      </c>
      <c r="Z4" s="1">
        <f>T4+1</f>
        <v>3</v>
      </c>
      <c r="AA4" s="1">
        <f>INDEX(iCSCtbl!$A$3:$A$24,iCityScoreCard!Z4)</f>
        <v>3</v>
      </c>
      <c r="AB4" s="1" t="str">
        <f>INDEX(iCSCtbl!$C$3:$C$24,iCityScoreCard!Z4)</f>
        <v>  1.1) Digital security (Inputs)</v>
      </c>
      <c r="AF4" s="1">
        <f>Z4+1</f>
        <v>4</v>
      </c>
      <c r="AG4" s="1">
        <f>INDEX(iCSCtbl!$A$3:$A$24,iCityScoreCard!AF4)</f>
        <v>9</v>
      </c>
      <c r="AH4" s="1" t="str">
        <f>INDEX(iCSCtbl!$C$3:$C$24,iCityScoreCard!AF4)</f>
        <v>  1.2) Digital security (Outputs)</v>
      </c>
      <c r="AL4" s="1">
        <f>AF4+1</f>
        <v>5</v>
      </c>
      <c r="AM4" s="1">
        <f>INDEX(iCSCtbl!$A$3:$A$24,iCityScoreCard!AL4)</f>
        <v>13</v>
      </c>
      <c r="AN4" s="1" t="str">
        <f>INDEX(iCSCtbl!$C$3:$C$24,iCityScoreCard!AL4)</f>
        <v> 2) HEALTH SECURITY</v>
      </c>
      <c r="AR4" s="1">
        <f>AL4+1</f>
        <v>6</v>
      </c>
      <c r="AS4" s="1">
        <f>INDEX(iCSCtbl!$A$3:$A$24,iCityScoreCard!AR4)</f>
        <v>14</v>
      </c>
      <c r="AT4" s="1" t="str">
        <f>INDEX(iCSCtbl!$C$3:$C$24,iCityScoreCard!AR4)</f>
        <v>  2.1) Health security (Inputs)</v>
      </c>
      <c r="AX4" s="1">
        <f>AR4+1</f>
        <v>7</v>
      </c>
      <c r="AY4" s="1">
        <f>INDEX(iCSCtbl!$A$3:$A$24,iCityScoreCard!AX4)</f>
        <v>21</v>
      </c>
      <c r="AZ4" s="1" t="str">
        <f>INDEX(iCSCtbl!$C$3:$C$24,iCityScoreCard!AX4)</f>
        <v>  2.2) Health security (Outputs)</v>
      </c>
      <c r="BD4" s="1">
        <f>AX4+1</f>
        <v>8</v>
      </c>
      <c r="BE4" s="1">
        <f>INDEX(iCSCtbl!$A$3:$A$24,iCityScoreCard!BD4)</f>
        <v>28</v>
      </c>
      <c r="BF4" s="1" t="str">
        <f>INDEX(iCSCtbl!$C$3:$C$24,iCityScoreCard!BD4)</f>
        <v> 3) INFRASTRUCTURE SECURITY</v>
      </c>
      <c r="BJ4" s="1">
        <f>BD4+1</f>
        <v>9</v>
      </c>
      <c r="BK4" s="1">
        <f>INDEX(iCSCtbl!$A$3:$A$24,iCityScoreCard!BJ4)</f>
        <v>29</v>
      </c>
      <c r="BL4" s="1" t="str">
        <f>INDEX(iCSCtbl!$C$3:$C$24,iCityScoreCard!BJ4)</f>
        <v>  3.1) Infrastructure security (Inputs)</v>
      </c>
      <c r="BP4" s="1">
        <f>BJ4+1</f>
        <v>10</v>
      </c>
      <c r="BQ4" s="1">
        <f>INDEX(iCSCtbl!$A$3:$A$24,iCityScoreCard!BP4)</f>
        <v>35</v>
      </c>
      <c r="BR4" s="1" t="str">
        <f>INDEX(iCSCtbl!$C$3:$C$24,iCityScoreCard!BP4)</f>
        <v>  3.2) Infrastructure security (Outputs)</v>
      </c>
      <c r="BV4" s="1">
        <f>BP4+1</f>
        <v>11</v>
      </c>
      <c r="BW4" s="1">
        <f>INDEX(iCSCtbl!$A$3:$A$24,iCityScoreCard!BV4)</f>
        <v>41</v>
      </c>
      <c r="BX4" s="1" t="str">
        <f>INDEX(iCSCtbl!$C$3:$C$24,iCityScoreCard!BV4)</f>
        <v> 4) PERSONAL SECURITY</v>
      </c>
      <c r="CB4" s="1">
        <f>BV4+1</f>
        <v>12</v>
      </c>
      <c r="CC4" s="1">
        <f>INDEX(iCSCtbl!$A$3:$A$24,iCityScoreCard!CB4)</f>
        <v>42</v>
      </c>
      <c r="CD4" s="1" t="str">
        <f>INDEX(iCSCtbl!$C$3:$C$24,iCityScoreCard!CB4)</f>
        <v>  4.1) Personal security (Inputs)</v>
      </c>
      <c r="CH4" s="1">
        <f>CB4+1</f>
        <v>13</v>
      </c>
      <c r="CI4" s="1">
        <f>INDEX(iCSCtbl!$A$3:$A$24,iCityScoreCard!CH4)</f>
        <v>50</v>
      </c>
      <c r="CJ4" s="1" t="str">
        <f>INDEX(iCSCtbl!$C$3:$C$24,iCityScoreCard!CH4)</f>
        <v>  4.2) Personal security (Outputs)</v>
      </c>
    </row>
    <row r="5" ht="15.75" spans="4:90">
      <c r="D5" s="1" t="s">
        <v>321</v>
      </c>
      <c r="E5" s="1" t="s">
        <v>338</v>
      </c>
      <c r="F5" s="1" t="s">
        <v>322</v>
      </c>
      <c r="G5" s="1" t="s">
        <v>339</v>
      </c>
      <c r="H5" s="1" t="s">
        <v>340</v>
      </c>
      <c r="I5" s="1" t="s">
        <v>327</v>
      </c>
      <c r="J5" s="1" t="s">
        <v>341</v>
      </c>
      <c r="K5" s="1" t="s">
        <v>328</v>
      </c>
      <c r="O5" s="268" t="s">
        <v>24</v>
      </c>
      <c r="P5" s="1" t="s">
        <v>344</v>
      </c>
      <c r="Q5" s="1" t="s">
        <v>345</v>
      </c>
      <c r="R5" s="1" t="s">
        <v>346</v>
      </c>
      <c r="U5" s="268" t="s">
        <v>24</v>
      </c>
      <c r="V5" s="1" t="s">
        <v>344</v>
      </c>
      <c r="W5" s="1" t="s">
        <v>345</v>
      </c>
      <c r="X5" s="1" t="s">
        <v>346</v>
      </c>
      <c r="AA5" s="268" t="s">
        <v>24</v>
      </c>
      <c r="AB5" s="1" t="s">
        <v>344</v>
      </c>
      <c r="AC5" s="1" t="s">
        <v>345</v>
      </c>
      <c r="AD5" s="1" t="s">
        <v>346</v>
      </c>
      <c r="AG5" s="268" t="s">
        <v>24</v>
      </c>
      <c r="AH5" s="1" t="s">
        <v>344</v>
      </c>
      <c r="AI5" s="1" t="s">
        <v>345</v>
      </c>
      <c r="AJ5" s="1" t="s">
        <v>346</v>
      </c>
      <c r="AM5" s="268" t="s">
        <v>24</v>
      </c>
      <c r="AN5" s="1" t="s">
        <v>344</v>
      </c>
      <c r="AO5" s="1" t="s">
        <v>345</v>
      </c>
      <c r="AP5" s="1" t="s">
        <v>346</v>
      </c>
      <c r="AS5" s="268" t="s">
        <v>24</v>
      </c>
      <c r="AT5" s="1" t="s">
        <v>344</v>
      </c>
      <c r="AU5" s="1" t="s">
        <v>345</v>
      </c>
      <c r="AV5" s="1" t="s">
        <v>346</v>
      </c>
      <c r="AY5" s="268" t="s">
        <v>24</v>
      </c>
      <c r="AZ5" s="1" t="s">
        <v>344</v>
      </c>
      <c r="BA5" s="1" t="s">
        <v>345</v>
      </c>
      <c r="BB5" s="1" t="s">
        <v>346</v>
      </c>
      <c r="BE5" s="268" t="s">
        <v>24</v>
      </c>
      <c r="BF5" s="1" t="s">
        <v>344</v>
      </c>
      <c r="BG5" s="1" t="s">
        <v>345</v>
      </c>
      <c r="BH5" s="1" t="s">
        <v>346</v>
      </c>
      <c r="BK5" s="268" t="s">
        <v>24</v>
      </c>
      <c r="BL5" s="1" t="s">
        <v>344</v>
      </c>
      <c r="BM5" s="1" t="s">
        <v>345</v>
      </c>
      <c r="BN5" s="1" t="s">
        <v>346</v>
      </c>
      <c r="BQ5" s="268" t="s">
        <v>24</v>
      </c>
      <c r="BR5" s="1" t="s">
        <v>344</v>
      </c>
      <c r="BS5" s="1" t="s">
        <v>345</v>
      </c>
      <c r="BT5" s="1" t="s">
        <v>346</v>
      </c>
      <c r="BW5" s="268" t="s">
        <v>24</v>
      </c>
      <c r="BX5" s="1" t="s">
        <v>344</v>
      </c>
      <c r="BY5" s="1" t="s">
        <v>345</v>
      </c>
      <c r="BZ5" s="1" t="s">
        <v>346</v>
      </c>
      <c r="CC5" s="268" t="s">
        <v>24</v>
      </c>
      <c r="CD5" s="1" t="s">
        <v>344</v>
      </c>
      <c r="CE5" s="1" t="s">
        <v>345</v>
      </c>
      <c r="CF5" s="1" t="s">
        <v>346</v>
      </c>
      <c r="CI5" s="268" t="s">
        <v>24</v>
      </c>
      <c r="CJ5" s="1" t="s">
        <v>344</v>
      </c>
      <c r="CK5" s="1" t="s">
        <v>345</v>
      </c>
      <c r="CL5" s="1" t="s">
        <v>346</v>
      </c>
    </row>
    <row r="6" ht="15.75" spans="1:90">
      <c r="A6" s="1">
        <f>tblTerritories!A3</f>
        <v>1</v>
      </c>
      <c r="B6" s="1" t="str">
        <f>tblTerritories!B3</f>
        <v/>
      </c>
      <c r="C6" s="1" t="str">
        <f>tblTerritories!C3</f>
        <v>Abu Dhabi</v>
      </c>
      <c r="D6" s="1" t="str">
        <f>tblTerritories!J3</f>
        <v>Abu Dhabi</v>
      </c>
      <c r="E6" s="1">
        <f>IF(A6=$B$3,1,0)</f>
        <v>1</v>
      </c>
      <c r="F6" s="1">
        <f>IF(tblTerritories!F3="",0,tblTerritories!F3)</f>
        <v>1</v>
      </c>
      <c r="G6" s="1">
        <f t="shared" ref="G6:G37" si="0">IF(F6=0,"",CHOOSE($B$1,ROUND(INDEX(aScores_2014_O,$B$2,$A6),5),ROUND(INDEX(aScores_2014_N,$B$2,$A6),5),ROUND(INDEX(aScores_2017,$B$2,$A6),5)))</f>
        <v>76.90756</v>
      </c>
      <c r="H6" s="1">
        <f>IF(F6=0,"",RANK(G6,G$6:G$66,0)+COUNTIF(G$6:G6,G6)-1)</f>
        <v>28</v>
      </c>
      <c r="I6" s="1">
        <f>IF(F6=0,"",IF(ISERROR(MATCH($A6,H$6:H$66,0)),"",MATCH($A6,H$6:H$66,0)))</f>
        <v>55</v>
      </c>
      <c r="J6" s="1">
        <f>IF(I6="","",1)</f>
        <v>1</v>
      </c>
      <c r="K6" s="269" t="e">
        <f t="shared" ref="K6:K37" si="1">IF(I6="","",RANK(U6,U$6:U$66,0))</f>
        <v>#VALUE!</v>
      </c>
      <c r="L6" s="269">
        <f>IF(I6="","",INDEX($F$6:$F$66,I6))</f>
        <v>1</v>
      </c>
      <c r="M6" s="268" t="e">
        <f>IF(I6="","",IF(OR(K6=K5,K6=K7),CONCATENATE("=",K6),K6))</f>
        <v>#VALUE!</v>
      </c>
      <c r="N6" s="270" t="str">
        <f t="shared" ref="N6:N37" si="2">IF(C6="","",INDEX($C$6:$C$66,$I6))</f>
        <v>Tokyo</v>
      </c>
      <c r="O6" s="271">
        <f t="shared" ref="O6:O37" si="3">IF($C6="","",CHOOSE($B$1,INDEX(aScores_2014_O,O$4,$I6),INDEX(aScores_2014_N,O$4,$I6),INDEX(aScores_2017,O$4,$I6)))</f>
        <v>89.7970622963426</v>
      </c>
      <c r="P6" s="272">
        <f>IF(ISNUMBER(O6),O6,NA())</f>
        <v>89.7970622963426</v>
      </c>
      <c r="Q6" s="272">
        <f t="shared" ref="Q6:Q66" si="4">1</f>
        <v>1</v>
      </c>
      <c r="R6" s="274" t="e">
        <f>IF($L6=2,P6,NA())</f>
        <v>#N/A</v>
      </c>
      <c r="T6" s="270" t="str">
        <f t="shared" ref="T6:T37" si="5">IF(I6="","",INDEX($C$6:$C$66,$I6))</f>
        <v>Tokyo</v>
      </c>
      <c r="U6" s="271">
        <f t="shared" ref="U6:U37" si="6">IF($C6="","",CHOOSE($B$1,INDEX(aScores_2014_O,U$4,$I6),INDEX(aScores_2014_N,U$4,$I6),INDEX(aScores_2017,U$4,$I6)))</f>
        <v>88.4028362502467</v>
      </c>
      <c r="V6" s="272">
        <f>IF(ISNUMBER(U6),U6,NA())</f>
        <v>88.4028362502467</v>
      </c>
      <c r="W6" s="272">
        <f t="shared" ref="W6:W66" si="7">1</f>
        <v>1</v>
      </c>
      <c r="X6" s="274" t="e">
        <f>IF($L6=2,V6,NA())</f>
        <v>#N/A</v>
      </c>
      <c r="Z6" s="270" t="str">
        <f t="shared" ref="Z6:Z37" si="8">IF(U6="","",INDEX($C$6:$C$66,$I6))</f>
        <v>Tokyo</v>
      </c>
      <c r="AA6" s="271">
        <f t="shared" ref="AA6:AA37" si="9">IF($C6="","",CHOOSE($B$1,INDEX(aScores_2014_O,AA$4,$I6),INDEX(aScores_2014_N,AA$4,$I6),INDEX(aScores_2017,AA$4,$I6)))</f>
        <v>88.3333333333333</v>
      </c>
      <c r="AB6" s="272">
        <f>IF(ISNUMBER(AA6),AA6,NA())</f>
        <v>88.3333333333333</v>
      </c>
      <c r="AC6" s="272">
        <v>1</v>
      </c>
      <c r="AD6" s="274" t="e">
        <f>IF($L6=2,AB6,NA())</f>
        <v>#N/A</v>
      </c>
      <c r="AF6" s="270" t="str">
        <f t="shared" ref="AF6:AF37" si="10">IF(AA6="","",INDEX($C$6:$C$66,$I6))</f>
        <v>Tokyo</v>
      </c>
      <c r="AG6" s="271">
        <f t="shared" ref="AG6:AG37" si="11">IF($C6="","",CHOOSE($B$1,INDEX(aScores_2014_O,AG$4,$I6),INDEX(aScores_2014_N,AG$4,$I6),INDEX(aScores_2017,AG$4,$I6)))</f>
        <v>88.47233916716</v>
      </c>
      <c r="AH6" s="272">
        <f>IF(ISNUMBER(AG6),AG6,NA())</f>
        <v>88.47233916716</v>
      </c>
      <c r="AI6" s="272">
        <f t="shared" ref="AI6:AI66" si="12">1</f>
        <v>1</v>
      </c>
      <c r="AJ6" s="274" t="e">
        <f>IF($L6=2,AH6,NA())</f>
        <v>#N/A</v>
      </c>
      <c r="AL6" s="270" t="str">
        <f t="shared" ref="AL6:AL37" si="13">IF(AG6="","",INDEX($C$6:$C$66,$I6))</f>
        <v>Tokyo</v>
      </c>
      <c r="AM6" s="271">
        <f t="shared" ref="AM6:AM37" si="14">IF($C6="","",CHOOSE($B$1,INDEX(aScores_2014_O,AM$4,$I6),INDEX(aScores_2014_N,AM$4,$I6),INDEX(aScores_2017,AM$4,$I6)))</f>
        <v>85.6254192700744</v>
      </c>
      <c r="AN6" s="272">
        <f>IF(ISNUMBER(AM6),AM6,NA())</f>
        <v>85.6254192700744</v>
      </c>
      <c r="AO6" s="272">
        <f t="shared" ref="AO6:AO66" si="15">1</f>
        <v>1</v>
      </c>
      <c r="AP6" s="274" t="e">
        <f>IF($L6=2,AN6,NA())</f>
        <v>#N/A</v>
      </c>
      <c r="AR6" s="270" t="str">
        <f t="shared" ref="AR6:AR37" si="16">IF(AM6="","",INDEX($C$6:$C$66,$I6))</f>
        <v>Tokyo</v>
      </c>
      <c r="AS6" s="271">
        <f t="shared" ref="AS6:AS37" si="17">IF($C6="","",CHOOSE($B$1,INDEX(aScores_2014_O,AS$4,$I6),INDEX(aScores_2014_N,AS$4,$I6),INDEX(aScores_2017,AS$4,$I6)))</f>
        <v>83.362633240243</v>
      </c>
      <c r="AT6" s="272">
        <f>IF(ISNUMBER(AS6),AS6,NA())</f>
        <v>83.362633240243</v>
      </c>
      <c r="AU6" s="272">
        <f t="shared" ref="AU6:AU66" si="18">1</f>
        <v>1</v>
      </c>
      <c r="AV6" s="274" t="e">
        <f>IF($L6=2,AT6,NA())</f>
        <v>#N/A</v>
      </c>
      <c r="AX6" s="270" t="str">
        <f t="shared" ref="AX6:AX37" si="19">IF(AS6="","",INDEX($C$6:$C$66,$I6))</f>
        <v>Tokyo</v>
      </c>
      <c r="AY6" s="271">
        <f t="shared" ref="AY6:AY37" si="20">IF($C6="","",CHOOSE($B$1,INDEX(aScores_2014_O,AY$4,$I6),INDEX(aScores_2014_N,AY$4,$I6),INDEX(aScores_2017,AY$4,$I6)))</f>
        <v>87.8882052999057</v>
      </c>
      <c r="AZ6" s="272">
        <f>IF(ISNUMBER(AY6),AY6,NA())</f>
        <v>87.8882052999057</v>
      </c>
      <c r="BA6" s="272">
        <f t="shared" ref="BA6:BA66" si="21">1</f>
        <v>1</v>
      </c>
      <c r="BB6" s="274" t="e">
        <f>IF($L6=2,AZ6,NA())</f>
        <v>#N/A</v>
      </c>
      <c r="BD6" s="270" t="str">
        <f t="shared" ref="BD6:BD37" si="22">IF(AY6="","",INDEX($C$6:$C$66,$I6))</f>
        <v>Tokyo</v>
      </c>
      <c r="BE6" s="271">
        <f t="shared" ref="BE6:BE37" si="23">IF($C6="","",CHOOSE($B$1,INDEX(aScores_2014_O,BE$4,$I6),INDEX(aScores_2014_N,BE$4,$I6),INDEX(aScores_2017,BE$4,$I6)))</f>
        <v>93.5920142551198</v>
      </c>
      <c r="BF6" s="272">
        <f>IF(ISNUMBER(BE6),BE6,NA())</f>
        <v>93.5920142551198</v>
      </c>
      <c r="BG6" s="272">
        <f t="shared" ref="BG6:BG66" si="24">1</f>
        <v>1</v>
      </c>
      <c r="BH6" s="274" t="e">
        <f>IF($L6=2,BF6,NA())</f>
        <v>#N/A</v>
      </c>
      <c r="BJ6" s="270" t="str">
        <f t="shared" ref="BJ6:BJ37" si="25">IF(BE6="","",INDEX($C$6:$C$66,$I6))</f>
        <v>Tokyo</v>
      </c>
      <c r="BK6" s="271">
        <f t="shared" ref="BK6:BK37" si="26">IF($C6="","",CHOOSE($B$1,INDEX(aScores_2014_O,BK$4,$I6),INDEX(aScores_2014_N,BK$4,$I6),INDEX(aScores_2017,BK$4,$I6)))</f>
        <v>96.5</v>
      </c>
      <c r="BL6" s="272">
        <f>IF(ISNUMBER(BK6),BK6,NA())</f>
        <v>96.5</v>
      </c>
      <c r="BM6" s="272">
        <f t="shared" ref="BM6:BM66" si="27">1</f>
        <v>1</v>
      </c>
      <c r="BN6" s="274" t="e">
        <f>IF($L6=2,BL6,NA())</f>
        <v>#N/A</v>
      </c>
      <c r="BP6" s="270" t="str">
        <f t="shared" ref="BP6:BP37" si="28">IF(BK6="","",INDEX($C$6:$C$66,$I6))</f>
        <v>Tokyo</v>
      </c>
      <c r="BQ6" s="271">
        <f t="shared" ref="BQ6:BQ37" si="29">IF($C6="","",CHOOSE($B$1,INDEX(aScores_2014_O,BQ$4,$I6),INDEX(aScores_2014_N,BQ$4,$I6),INDEX(aScores_2017,BQ$4,$I6)))</f>
        <v>90.6840285102396</v>
      </c>
      <c r="BR6" s="272">
        <f>IF(ISNUMBER(BQ6),BQ6,NA())</f>
        <v>90.6840285102396</v>
      </c>
      <c r="BS6" s="272">
        <f t="shared" ref="BS6:BS66" si="30">1</f>
        <v>1</v>
      </c>
      <c r="BT6" s="274" t="e">
        <f>IF($L6=2,BR6,NA())</f>
        <v>#N/A</v>
      </c>
      <c r="BV6" s="270" t="str">
        <f t="shared" ref="BV6:BV37" si="31">IF(BQ6="","",INDEX($C$6:$C$66,$I6))</f>
        <v>Tokyo</v>
      </c>
      <c r="BW6" s="271">
        <f t="shared" ref="BW6:BW37" si="32">IF($C6="","",CHOOSE($B$1,INDEX(aScores_2014_O,BW$4,$I6),INDEX(aScores_2014_N,BW$4,$I6),INDEX(aScores_2017,BW$4,$I6)))</f>
        <v>91.5679794099298</v>
      </c>
      <c r="BX6" s="272">
        <f>IF(ISNUMBER(BW6),BW6,NA())</f>
        <v>91.5679794099298</v>
      </c>
      <c r="BY6" s="272">
        <f t="shared" ref="BY6:BY66" si="33">1</f>
        <v>1</v>
      </c>
      <c r="BZ6" s="274" t="e">
        <f>IF($L6=2,BX6,NA())</f>
        <v>#N/A</v>
      </c>
      <c r="CB6" s="270" t="str">
        <f t="shared" ref="CB6:CB37" si="34">IF(BW6="","",INDEX($C$6:$C$66,$I6))</f>
        <v>Tokyo</v>
      </c>
      <c r="CC6" s="271">
        <f t="shared" ref="CC6:CC37" si="35">IF($C6="","",CHOOSE($B$1,INDEX(aScores_2014_O,CC$4,$I6),INDEX(aScores_2014_N,CC$4,$I6),INDEX(aScores_2017,CC$4,$I6)))</f>
        <v>95.5895691609977</v>
      </c>
      <c r="CD6" s="272">
        <f>IF(ISNUMBER(CC6),CC6,NA())</f>
        <v>95.5895691609977</v>
      </c>
      <c r="CE6" s="272">
        <f t="shared" ref="CE6:CE66" si="36">1</f>
        <v>1</v>
      </c>
      <c r="CF6" s="274" t="e">
        <f>IF($L6=2,CD6,NA())</f>
        <v>#N/A</v>
      </c>
      <c r="CH6" s="270" t="str">
        <f t="shared" ref="CH6:CH37" si="37">IF(CC6="","",INDEX($C$6:$C$66,$I6))</f>
        <v>Tokyo</v>
      </c>
      <c r="CI6" s="271">
        <f t="shared" ref="CI6:CI37" si="38">IF($C6="","",CHOOSE($B$1,INDEX(aScores_2014_O,CI$4,$I6),INDEX(aScores_2014_N,CI$4,$I6),INDEX(aScores_2017,CI$4,$I6)))</f>
        <v>87.5463896588618</v>
      </c>
      <c r="CJ6" s="272">
        <f>IF(ISNUMBER(CI6),CI6,NA())</f>
        <v>87.5463896588618</v>
      </c>
      <c r="CK6" s="272">
        <f t="shared" ref="CK6:CK66" si="39">1</f>
        <v>1</v>
      </c>
      <c r="CL6" s="274" t="e">
        <f>IF($L6=2,CJ6,NA())</f>
        <v>#N/A</v>
      </c>
    </row>
    <row r="7" ht="15.75" spans="1:90">
      <c r="A7" s="1">
        <f>tblTerritories!A4</f>
        <v>2</v>
      </c>
      <c r="B7" s="1" t="str">
        <f>tblTerritories!B4</f>
        <v/>
      </c>
      <c r="C7" s="1" t="str">
        <f>tblTerritories!C4</f>
        <v>Amsterdam</v>
      </c>
      <c r="D7" s="1" t="str">
        <f>tblTerritories!J4</f>
        <v>Amsterdam</v>
      </c>
      <c r="E7" s="1">
        <f t="shared" ref="E7:E66" si="40">IF(A7=$B$3,1,0)</f>
        <v>0</v>
      </c>
      <c r="F7" s="1">
        <f>IF(tblTerritories!F4="",0,tblTerritories!F4)</f>
        <v>1</v>
      </c>
      <c r="G7" s="1">
        <f t="shared" si="0"/>
        <v>87.26365</v>
      </c>
      <c r="H7" s="1">
        <f>IF(F7=0,"",RANK(G7,G$6:G$66,0)+COUNTIF(G$6:G7,G7)-1)</f>
        <v>6</v>
      </c>
      <c r="I7" s="1">
        <f t="shared" ref="I7:I66" si="41">IF(F7=0,"",IF(ISERROR(MATCH($A7,H$6:H$66,0)),"",MATCH($A7,H$6:H$66,0)))</f>
        <v>50</v>
      </c>
      <c r="J7" s="1">
        <f t="shared" ref="J7:J66" si="42">IF(I7="","",1)</f>
        <v>1</v>
      </c>
      <c r="K7" s="269" t="e">
        <f t="shared" si="1"/>
        <v>#VALUE!</v>
      </c>
      <c r="L7" s="269">
        <f t="shared" ref="L7:L66" si="43">IF(I7="","",INDEX($F$6:$F$66,I7))</f>
        <v>1</v>
      </c>
      <c r="M7" s="268" t="e">
        <f t="shared" ref="M7:M69" si="44">IF(I7="","",IF(OR(K7=K6,K7=K8),CONCATENATE("=",K7),K7))</f>
        <v>#VALUE!</v>
      </c>
      <c r="N7" s="273" t="str">
        <f t="shared" si="2"/>
        <v>Singapore</v>
      </c>
      <c r="O7" s="271">
        <f t="shared" si="3"/>
        <v>89.6376695961923</v>
      </c>
      <c r="P7" s="24">
        <f t="shared" ref="P7:P66" si="45">IF(ISNUMBER(O7),O7,NA())</f>
        <v>89.6376695961923</v>
      </c>
      <c r="Q7" s="24">
        <f t="shared" si="4"/>
        <v>1</v>
      </c>
      <c r="R7" s="275" t="e">
        <f t="shared" ref="R7:R66" si="46">IF($L7=2,P7,NA())</f>
        <v>#N/A</v>
      </c>
      <c r="T7" s="273" t="str">
        <f t="shared" si="5"/>
        <v>Singapore</v>
      </c>
      <c r="U7" s="271">
        <f t="shared" si="6"/>
        <v>86.8384182693428</v>
      </c>
      <c r="V7" s="24">
        <f t="shared" ref="V7:V66" si="47">IF(ISNUMBER(U7),U7,NA())</f>
        <v>86.8384182693428</v>
      </c>
      <c r="W7" s="24">
        <f t="shared" si="7"/>
        <v>1</v>
      </c>
      <c r="X7" s="275" t="e">
        <f t="shared" ref="X7:X66" si="48">IF($L7=2,V7,NA())</f>
        <v>#N/A</v>
      </c>
      <c r="Z7" s="273" t="str">
        <f t="shared" si="8"/>
        <v>Singapore</v>
      </c>
      <c r="AA7" s="271">
        <f t="shared" si="9"/>
        <v>95</v>
      </c>
      <c r="AB7" s="24">
        <f t="shared" ref="AB7:AB66" si="49">IF(ISNUMBER(AA7),AA7,NA())</f>
        <v>95</v>
      </c>
      <c r="AC7" s="272">
        <v>1</v>
      </c>
      <c r="AD7" s="275" t="e">
        <f t="shared" ref="AD7:AD66" si="50">IF($L7=2,AB7,NA())</f>
        <v>#N/A</v>
      </c>
      <c r="AF7" s="273" t="str">
        <f t="shared" si="10"/>
        <v>Singapore</v>
      </c>
      <c r="AG7" s="271">
        <f t="shared" si="11"/>
        <v>78.6768365386855</v>
      </c>
      <c r="AH7" s="24">
        <f t="shared" ref="AH7:AH66" si="51">IF(ISNUMBER(AG7),AG7,NA())</f>
        <v>78.6768365386855</v>
      </c>
      <c r="AI7" s="24">
        <f t="shared" si="12"/>
        <v>1</v>
      </c>
      <c r="AJ7" s="275" t="e">
        <f t="shared" ref="AJ7:AJ66" si="52">IF($L7=2,AH7,NA())</f>
        <v>#N/A</v>
      </c>
      <c r="AL7" s="273" t="str">
        <f t="shared" si="13"/>
        <v>Singapore</v>
      </c>
      <c r="AM7" s="271">
        <f t="shared" si="14"/>
        <v>79.7204264778452</v>
      </c>
      <c r="AN7" s="24">
        <f t="shared" ref="AN7:AN66" si="53">IF(ISNUMBER(AM7),AM7,NA())</f>
        <v>79.7204264778452</v>
      </c>
      <c r="AO7" s="24">
        <f t="shared" si="15"/>
        <v>1</v>
      </c>
      <c r="AP7" s="275" t="e">
        <f t="shared" ref="AP7:AP66" si="54">IF($L7=2,AN7,NA())</f>
        <v>#N/A</v>
      </c>
      <c r="AR7" s="273" t="str">
        <f t="shared" si="16"/>
        <v>Singapore</v>
      </c>
      <c r="AS7" s="271">
        <f t="shared" si="17"/>
        <v>71.2263225473796</v>
      </c>
      <c r="AT7" s="24">
        <f t="shared" ref="AT7:AT66" si="55">IF(ISNUMBER(AS7),AS7,NA())</f>
        <v>71.2263225473796</v>
      </c>
      <c r="AU7" s="24">
        <f t="shared" si="18"/>
        <v>1</v>
      </c>
      <c r="AV7" s="275" t="e">
        <f t="shared" ref="AV7:AV66" si="56">IF($L7=2,AT7,NA())</f>
        <v>#N/A</v>
      </c>
      <c r="AX7" s="273" t="str">
        <f t="shared" si="19"/>
        <v>Singapore</v>
      </c>
      <c r="AY7" s="271">
        <f t="shared" si="20"/>
        <v>88.2145304083107</v>
      </c>
      <c r="AZ7" s="24">
        <f t="shared" ref="AZ7:AZ66" si="57">IF(ISNUMBER(AY7),AY7,NA())</f>
        <v>88.2145304083107</v>
      </c>
      <c r="BA7" s="24">
        <f t="shared" si="21"/>
        <v>1</v>
      </c>
      <c r="BB7" s="275" t="e">
        <f t="shared" ref="BB7:BB66" si="58">IF($L7=2,AZ7,NA())</f>
        <v>#N/A</v>
      </c>
      <c r="BD7" s="273" t="str">
        <f t="shared" si="22"/>
        <v>Singapore</v>
      </c>
      <c r="BE7" s="271">
        <f t="shared" si="23"/>
        <v>97.0468547330032</v>
      </c>
      <c r="BF7" s="24">
        <f t="shared" ref="BF7:BF66" si="59">IF(ISNUMBER(BE7),BE7,NA())</f>
        <v>97.0468547330032</v>
      </c>
      <c r="BG7" s="24">
        <f t="shared" si="24"/>
        <v>1</v>
      </c>
      <c r="BH7" s="275" t="e">
        <f t="shared" ref="BH7:BH66" si="60">IF($L7=2,BF7,NA())</f>
        <v>#N/A</v>
      </c>
      <c r="BJ7" s="273" t="str">
        <f t="shared" si="25"/>
        <v>Singapore</v>
      </c>
      <c r="BK7" s="271">
        <f t="shared" si="26"/>
        <v>96.5</v>
      </c>
      <c r="BL7" s="24">
        <f t="shared" ref="BL7:BL66" si="61">IF(ISNUMBER(BK7),BK7,NA())</f>
        <v>96.5</v>
      </c>
      <c r="BM7" s="24">
        <f t="shared" si="27"/>
        <v>1</v>
      </c>
      <c r="BN7" s="275" t="e">
        <f t="shared" ref="BN7:BN66" si="62">IF($L7=2,BL7,NA())</f>
        <v>#N/A</v>
      </c>
      <c r="BP7" s="273" t="str">
        <f t="shared" si="28"/>
        <v>Singapore</v>
      </c>
      <c r="BQ7" s="271">
        <f t="shared" si="29"/>
        <v>97.5937094660064</v>
      </c>
      <c r="BR7" s="24">
        <f t="shared" ref="BR7:BR66" si="63">IF(ISNUMBER(BQ7),BQ7,NA())</f>
        <v>97.5937094660064</v>
      </c>
      <c r="BS7" s="24">
        <f t="shared" si="30"/>
        <v>1</v>
      </c>
      <c r="BT7" s="275" t="e">
        <f t="shared" ref="BT7:BT66" si="64">IF($L7=2,BR7,NA())</f>
        <v>#N/A</v>
      </c>
      <c r="BV7" s="273" t="str">
        <f t="shared" si="31"/>
        <v>Singapore</v>
      </c>
      <c r="BW7" s="271">
        <f t="shared" si="32"/>
        <v>94.9449789045779</v>
      </c>
      <c r="BX7" s="24">
        <f t="shared" ref="BX7:BX66" si="65">IF(ISNUMBER(BW7),BW7,NA())</f>
        <v>94.9449789045779</v>
      </c>
      <c r="BY7" s="24">
        <f t="shared" si="33"/>
        <v>1</v>
      </c>
      <c r="BZ7" s="275" t="e">
        <f t="shared" ref="BZ7:BZ66" si="66">IF($L7=2,BX7,NA())</f>
        <v>#N/A</v>
      </c>
      <c r="CB7" s="273" t="str">
        <f t="shared" si="34"/>
        <v>Singapore</v>
      </c>
      <c r="CC7" s="271">
        <f t="shared" si="35"/>
        <v>94.875283446712</v>
      </c>
      <c r="CD7" s="24">
        <f t="shared" ref="CD7:CD66" si="67">IF(ISNUMBER(CC7),CC7,NA())</f>
        <v>94.875283446712</v>
      </c>
      <c r="CE7" s="24">
        <f t="shared" si="36"/>
        <v>1</v>
      </c>
      <c r="CF7" s="275" t="e">
        <f t="shared" ref="CF7:CF66" si="68">IF($L7=2,CD7,NA())</f>
        <v>#N/A</v>
      </c>
      <c r="CH7" s="273" t="str">
        <f t="shared" si="37"/>
        <v>Singapore</v>
      </c>
      <c r="CI7" s="271">
        <f t="shared" si="38"/>
        <v>95.0146743624438</v>
      </c>
      <c r="CJ7" s="24">
        <f t="shared" ref="CJ7:CJ66" si="69">IF(ISNUMBER(CI7),CI7,NA())</f>
        <v>95.0146743624438</v>
      </c>
      <c r="CK7" s="24">
        <f t="shared" si="39"/>
        <v>1</v>
      </c>
      <c r="CL7" s="275" t="e">
        <f t="shared" ref="CL7:CL66" si="70">IF($L7=2,CJ7,NA())</f>
        <v>#N/A</v>
      </c>
    </row>
    <row r="8" ht="15.75" spans="1:90">
      <c r="A8" s="1">
        <f>tblTerritories!A5</f>
        <v>3</v>
      </c>
      <c r="B8" s="1" t="str">
        <f>tblTerritories!B5</f>
        <v/>
      </c>
      <c r="C8" s="1" t="str">
        <f>tblTerritories!C5</f>
        <v>Athens</v>
      </c>
      <c r="D8" s="1" t="str">
        <f>tblTerritories!J5</f>
        <v>Athens</v>
      </c>
      <c r="E8" s="1">
        <f t="shared" si="40"/>
        <v>0</v>
      </c>
      <c r="F8" s="1">
        <f>IF(tblTerritories!F5="",0,tblTerritories!F5)</f>
        <v>1</v>
      </c>
      <c r="G8" s="1">
        <f t="shared" si="0"/>
        <v>71.89684</v>
      </c>
      <c r="H8" s="1">
        <f>IF(F8=0,"",RANK(G8,G$6:G$66,0)+COUNTIF(G$6:G8,G8)-1)</f>
        <v>33</v>
      </c>
      <c r="I8" s="1">
        <f t="shared" si="41"/>
        <v>39</v>
      </c>
      <c r="J8" s="1">
        <f t="shared" si="42"/>
        <v>1</v>
      </c>
      <c r="K8" s="269" t="e">
        <f t="shared" si="1"/>
        <v>#VALUE!</v>
      </c>
      <c r="L8" s="269">
        <f t="shared" si="43"/>
        <v>1</v>
      </c>
      <c r="M8" s="268" t="e">
        <f t="shared" si="44"/>
        <v>#VALUE!</v>
      </c>
      <c r="N8" s="273" t="str">
        <f t="shared" si="2"/>
        <v>Osaka</v>
      </c>
      <c r="O8" s="271">
        <f t="shared" si="3"/>
        <v>88.8650564291072</v>
      </c>
      <c r="P8" s="24">
        <f t="shared" si="45"/>
        <v>88.8650564291072</v>
      </c>
      <c r="Q8" s="24">
        <f t="shared" si="4"/>
        <v>1</v>
      </c>
      <c r="R8" s="275" t="e">
        <f t="shared" si="46"/>
        <v>#N/A</v>
      </c>
      <c r="T8" s="273" t="str">
        <f t="shared" si="5"/>
        <v>Osaka</v>
      </c>
      <c r="U8" s="271">
        <f t="shared" si="6"/>
        <v>82.1109532990777</v>
      </c>
      <c r="V8" s="24">
        <f t="shared" si="47"/>
        <v>82.1109532990777</v>
      </c>
      <c r="W8" s="24">
        <f t="shared" si="7"/>
        <v>1</v>
      </c>
      <c r="X8" s="275" t="e">
        <f t="shared" si="48"/>
        <v>#N/A</v>
      </c>
      <c r="Z8" s="273" t="str">
        <f t="shared" si="8"/>
        <v>Osaka</v>
      </c>
      <c r="AA8" s="271">
        <f t="shared" si="9"/>
        <v>78.3333333333333</v>
      </c>
      <c r="AB8" s="24">
        <f t="shared" si="49"/>
        <v>78.3333333333333</v>
      </c>
      <c r="AC8" s="272">
        <v>1</v>
      </c>
      <c r="AD8" s="275" t="e">
        <f t="shared" si="50"/>
        <v>#N/A</v>
      </c>
      <c r="AF8" s="273" t="str">
        <f t="shared" si="10"/>
        <v>Osaka</v>
      </c>
      <c r="AG8" s="271">
        <f t="shared" si="11"/>
        <v>85.8885732648221</v>
      </c>
      <c r="AH8" s="24">
        <f t="shared" si="51"/>
        <v>85.8885732648221</v>
      </c>
      <c r="AI8" s="24">
        <f t="shared" si="12"/>
        <v>1</v>
      </c>
      <c r="AJ8" s="275" t="e">
        <f t="shared" si="52"/>
        <v>#N/A</v>
      </c>
      <c r="AL8" s="273" t="str">
        <f t="shared" si="13"/>
        <v>Osaka</v>
      </c>
      <c r="AM8" s="271">
        <f t="shared" si="14"/>
        <v>87.1482616413409</v>
      </c>
      <c r="AN8" s="24">
        <f t="shared" si="53"/>
        <v>87.1482616413409</v>
      </c>
      <c r="AO8" s="24">
        <f t="shared" si="15"/>
        <v>1</v>
      </c>
      <c r="AP8" s="275" t="e">
        <f t="shared" si="54"/>
        <v>#N/A</v>
      </c>
      <c r="AR8" s="273" t="str">
        <f t="shared" si="16"/>
        <v>Osaka</v>
      </c>
      <c r="AS8" s="271">
        <f t="shared" si="17"/>
        <v>86.898317982776</v>
      </c>
      <c r="AT8" s="24">
        <f t="shared" si="55"/>
        <v>86.898317982776</v>
      </c>
      <c r="AU8" s="24">
        <f t="shared" si="18"/>
        <v>1</v>
      </c>
      <c r="AV8" s="275" t="e">
        <f t="shared" si="56"/>
        <v>#N/A</v>
      </c>
      <c r="AX8" s="273" t="str">
        <f t="shared" si="19"/>
        <v>Osaka</v>
      </c>
      <c r="AY8" s="271">
        <f t="shared" si="20"/>
        <v>87.3982052999057</v>
      </c>
      <c r="AZ8" s="24">
        <f t="shared" si="57"/>
        <v>87.3982052999057</v>
      </c>
      <c r="BA8" s="24">
        <f t="shared" si="21"/>
        <v>1</v>
      </c>
      <c r="BB8" s="275" t="e">
        <f t="shared" si="58"/>
        <v>#N/A</v>
      </c>
      <c r="BD8" s="273" t="str">
        <f t="shared" si="22"/>
        <v>Osaka</v>
      </c>
      <c r="BE8" s="271">
        <f t="shared" si="23"/>
        <v>94.6122129030779</v>
      </c>
      <c r="BF8" s="24">
        <f t="shared" si="59"/>
        <v>94.6122129030779</v>
      </c>
      <c r="BG8" s="24">
        <f t="shared" si="24"/>
        <v>1</v>
      </c>
      <c r="BH8" s="275" t="e">
        <f t="shared" si="60"/>
        <v>#N/A</v>
      </c>
      <c r="BJ8" s="273" t="str">
        <f t="shared" si="25"/>
        <v>Osaka</v>
      </c>
      <c r="BK8" s="271">
        <f t="shared" si="26"/>
        <v>96.5</v>
      </c>
      <c r="BL8" s="24">
        <f t="shared" si="61"/>
        <v>96.5</v>
      </c>
      <c r="BM8" s="24">
        <f t="shared" si="27"/>
        <v>1</v>
      </c>
      <c r="BN8" s="275" t="e">
        <f t="shared" si="62"/>
        <v>#N/A</v>
      </c>
      <c r="BP8" s="273" t="str">
        <f t="shared" si="28"/>
        <v>Osaka</v>
      </c>
      <c r="BQ8" s="271">
        <f t="shared" si="29"/>
        <v>92.7244258061557</v>
      </c>
      <c r="BR8" s="24">
        <f t="shared" si="63"/>
        <v>92.7244258061557</v>
      </c>
      <c r="BS8" s="24">
        <f t="shared" si="30"/>
        <v>1</v>
      </c>
      <c r="BT8" s="275" t="e">
        <f t="shared" si="64"/>
        <v>#N/A</v>
      </c>
      <c r="BV8" s="273" t="str">
        <f t="shared" si="31"/>
        <v>Osaka</v>
      </c>
      <c r="BW8" s="271">
        <f t="shared" si="32"/>
        <v>91.5887978729324</v>
      </c>
      <c r="BX8" s="24">
        <f t="shared" si="65"/>
        <v>91.5887978729324</v>
      </c>
      <c r="BY8" s="24">
        <f t="shared" si="33"/>
        <v>1</v>
      </c>
      <c r="BZ8" s="275" t="e">
        <f t="shared" si="66"/>
        <v>#N/A</v>
      </c>
      <c r="CB8" s="273" t="str">
        <f t="shared" si="34"/>
        <v>Osaka</v>
      </c>
      <c r="CC8" s="271">
        <f t="shared" si="35"/>
        <v>95.5895691609977</v>
      </c>
      <c r="CD8" s="24">
        <f t="shared" si="67"/>
        <v>95.5895691609977</v>
      </c>
      <c r="CE8" s="24">
        <f t="shared" si="36"/>
        <v>1</v>
      </c>
      <c r="CF8" s="275" t="e">
        <f t="shared" si="68"/>
        <v>#N/A</v>
      </c>
      <c r="CH8" s="273" t="str">
        <f t="shared" si="37"/>
        <v>Osaka</v>
      </c>
      <c r="CI8" s="271">
        <f t="shared" si="38"/>
        <v>87.5880265848671</v>
      </c>
      <c r="CJ8" s="24">
        <f t="shared" si="69"/>
        <v>87.5880265848671</v>
      </c>
      <c r="CK8" s="24">
        <f t="shared" si="39"/>
        <v>1</v>
      </c>
      <c r="CL8" s="275" t="e">
        <f t="shared" si="70"/>
        <v>#N/A</v>
      </c>
    </row>
    <row r="9" ht="15.75" spans="1:90">
      <c r="A9" s="1">
        <f>tblTerritories!A6</f>
        <v>4</v>
      </c>
      <c r="B9" s="1" t="str">
        <f>tblTerritories!B6</f>
        <v/>
      </c>
      <c r="C9" s="1" t="str">
        <f>tblTerritories!C6</f>
        <v>Bangkok</v>
      </c>
      <c r="D9" s="1" t="str">
        <f>tblTerritories!J6</f>
        <v>Bangkok</v>
      </c>
      <c r="E9" s="1">
        <f t="shared" si="40"/>
        <v>0</v>
      </c>
      <c r="F9" s="1">
        <f>IF(tblTerritories!F6="",0,tblTerritories!F6)</f>
        <v>1</v>
      </c>
      <c r="G9" s="1">
        <f t="shared" si="0"/>
        <v>60.05265</v>
      </c>
      <c r="H9" s="1">
        <f>IF(F9=0,"",RANK(G9,G$6:G$66,0)+COUNTIF(G$6:G9,G9)-1)</f>
        <v>49</v>
      </c>
      <c r="I9" s="1">
        <f t="shared" si="41"/>
        <v>56</v>
      </c>
      <c r="J9" s="1">
        <f t="shared" si="42"/>
        <v>1</v>
      </c>
      <c r="K9" s="269" t="e">
        <f t="shared" si="1"/>
        <v>#VALUE!</v>
      </c>
      <c r="L9" s="269">
        <f t="shared" si="43"/>
        <v>1</v>
      </c>
      <c r="M9" s="268" t="e">
        <f t="shared" si="44"/>
        <v>#VALUE!</v>
      </c>
      <c r="N9" s="273" t="str">
        <f t="shared" si="2"/>
        <v>Toronto</v>
      </c>
      <c r="O9" s="271">
        <f t="shared" si="3"/>
        <v>87.3597968868532</v>
      </c>
      <c r="P9" s="24">
        <f t="shared" si="45"/>
        <v>87.3597968868532</v>
      </c>
      <c r="Q9" s="24">
        <f t="shared" si="4"/>
        <v>1</v>
      </c>
      <c r="R9" s="275" t="e">
        <f t="shared" si="46"/>
        <v>#N/A</v>
      </c>
      <c r="T9" s="273" t="str">
        <f t="shared" si="5"/>
        <v>Toronto</v>
      </c>
      <c r="U9" s="271">
        <f t="shared" si="6"/>
        <v>85.3315893644284</v>
      </c>
      <c r="V9" s="24">
        <f t="shared" si="47"/>
        <v>85.3315893644284</v>
      </c>
      <c r="W9" s="24">
        <f t="shared" si="7"/>
        <v>1</v>
      </c>
      <c r="X9" s="275" t="e">
        <f t="shared" si="48"/>
        <v>#N/A</v>
      </c>
      <c r="Z9" s="273" t="str">
        <f t="shared" si="8"/>
        <v>Toronto</v>
      </c>
      <c r="AA9" s="271">
        <f t="shared" si="9"/>
        <v>90</v>
      </c>
      <c r="AB9" s="24">
        <f t="shared" si="49"/>
        <v>90</v>
      </c>
      <c r="AC9" s="272">
        <v>1</v>
      </c>
      <c r="AD9" s="275" t="e">
        <f t="shared" si="50"/>
        <v>#N/A</v>
      </c>
      <c r="AF9" s="273" t="str">
        <f t="shared" si="10"/>
        <v>Toronto</v>
      </c>
      <c r="AG9" s="271">
        <f t="shared" si="11"/>
        <v>80.6631787288569</v>
      </c>
      <c r="AH9" s="24">
        <f t="shared" si="51"/>
        <v>80.6631787288569</v>
      </c>
      <c r="AI9" s="24">
        <f t="shared" si="12"/>
        <v>1</v>
      </c>
      <c r="AJ9" s="275" t="e">
        <f t="shared" si="52"/>
        <v>#N/A</v>
      </c>
      <c r="AL9" s="273" t="str">
        <f t="shared" si="13"/>
        <v>Toronto</v>
      </c>
      <c r="AM9" s="271">
        <f t="shared" si="14"/>
        <v>79.8359516843624</v>
      </c>
      <c r="AN9" s="24">
        <f t="shared" si="53"/>
        <v>79.8359516843624</v>
      </c>
      <c r="AO9" s="24">
        <f t="shared" si="15"/>
        <v>1</v>
      </c>
      <c r="AP9" s="275" t="e">
        <f t="shared" si="54"/>
        <v>#N/A</v>
      </c>
      <c r="AR9" s="273" t="str">
        <f t="shared" si="16"/>
        <v>Toronto</v>
      </c>
      <c r="AS9" s="271">
        <f t="shared" si="17"/>
        <v>74.0143932141794</v>
      </c>
      <c r="AT9" s="24">
        <f t="shared" si="55"/>
        <v>74.0143932141794</v>
      </c>
      <c r="AU9" s="24">
        <f t="shared" si="18"/>
        <v>1</v>
      </c>
      <c r="AV9" s="275" t="e">
        <f t="shared" si="56"/>
        <v>#N/A</v>
      </c>
      <c r="AX9" s="273" t="str">
        <f t="shared" si="19"/>
        <v>Toronto</v>
      </c>
      <c r="AY9" s="271">
        <f t="shared" si="20"/>
        <v>85.6575101545455</v>
      </c>
      <c r="AZ9" s="24">
        <f t="shared" si="57"/>
        <v>85.6575101545455</v>
      </c>
      <c r="BA9" s="24">
        <f t="shared" si="21"/>
        <v>1</v>
      </c>
      <c r="BB9" s="275" t="e">
        <f t="shared" si="58"/>
        <v>#N/A</v>
      </c>
      <c r="BD9" s="273" t="str">
        <f t="shared" si="22"/>
        <v>Toronto</v>
      </c>
      <c r="BE9" s="271">
        <f t="shared" si="23"/>
        <v>92.7542869033763</v>
      </c>
      <c r="BF9" s="24">
        <f t="shared" si="59"/>
        <v>92.7542869033763</v>
      </c>
      <c r="BG9" s="24">
        <f t="shared" si="24"/>
        <v>1</v>
      </c>
      <c r="BH9" s="275" t="e">
        <f t="shared" si="60"/>
        <v>#N/A</v>
      </c>
      <c r="BJ9" s="273" t="str">
        <f t="shared" si="25"/>
        <v>Toronto</v>
      </c>
      <c r="BK9" s="271">
        <f t="shared" si="26"/>
        <v>90.5</v>
      </c>
      <c r="BL9" s="24">
        <f t="shared" si="61"/>
        <v>90.5</v>
      </c>
      <c r="BM9" s="24">
        <f t="shared" si="27"/>
        <v>1</v>
      </c>
      <c r="BN9" s="275" t="e">
        <f t="shared" si="62"/>
        <v>#N/A</v>
      </c>
      <c r="BP9" s="273" t="str">
        <f t="shared" si="28"/>
        <v>Toronto</v>
      </c>
      <c r="BQ9" s="271">
        <f t="shared" si="29"/>
        <v>95.0085738067526</v>
      </c>
      <c r="BR9" s="24">
        <f t="shared" si="63"/>
        <v>95.0085738067526</v>
      </c>
      <c r="BS9" s="24">
        <f t="shared" si="30"/>
        <v>1</v>
      </c>
      <c r="BT9" s="275" t="e">
        <f t="shared" si="64"/>
        <v>#N/A</v>
      </c>
      <c r="BV9" s="273" t="str">
        <f t="shared" si="31"/>
        <v>Toronto</v>
      </c>
      <c r="BW9" s="271">
        <f t="shared" si="32"/>
        <v>91.5173595952457</v>
      </c>
      <c r="BX9" s="24">
        <f t="shared" si="65"/>
        <v>91.5173595952457</v>
      </c>
      <c r="BY9" s="24">
        <f t="shared" si="33"/>
        <v>1</v>
      </c>
      <c r="BZ9" s="275" t="e">
        <f t="shared" si="66"/>
        <v>#N/A</v>
      </c>
      <c r="CB9" s="273" t="str">
        <f t="shared" si="34"/>
        <v>Toronto</v>
      </c>
      <c r="CC9" s="271">
        <f t="shared" si="35"/>
        <v>93.6167800453515</v>
      </c>
      <c r="CD9" s="24">
        <f t="shared" si="67"/>
        <v>93.6167800453515</v>
      </c>
      <c r="CE9" s="24">
        <f t="shared" si="36"/>
        <v>1</v>
      </c>
      <c r="CF9" s="275" t="e">
        <f t="shared" si="68"/>
        <v>#N/A</v>
      </c>
      <c r="CH9" s="273" t="str">
        <f t="shared" si="37"/>
        <v>Toronto</v>
      </c>
      <c r="CI9" s="271">
        <f t="shared" si="38"/>
        <v>89.4179391451398</v>
      </c>
      <c r="CJ9" s="24">
        <f t="shared" si="69"/>
        <v>89.4179391451398</v>
      </c>
      <c r="CK9" s="24">
        <f t="shared" si="39"/>
        <v>1</v>
      </c>
      <c r="CL9" s="275" t="e">
        <f t="shared" si="70"/>
        <v>#N/A</v>
      </c>
    </row>
    <row r="10" ht="15.75" spans="1:90">
      <c r="A10" s="1">
        <f>tblTerritories!A7</f>
        <v>5</v>
      </c>
      <c r="B10" s="1" t="str">
        <f>tblTerritories!B7</f>
        <v/>
      </c>
      <c r="C10" s="1" t="str">
        <f>tblTerritories!C7</f>
        <v>Barcelona</v>
      </c>
      <c r="D10" s="1" t="str">
        <f>tblTerritories!J7</f>
        <v>Barcelona</v>
      </c>
      <c r="E10" s="1">
        <f t="shared" si="40"/>
        <v>0</v>
      </c>
      <c r="F10" s="1">
        <f>IF(tblTerritories!F7="",0,tblTerritories!F7)</f>
        <v>1</v>
      </c>
      <c r="G10" s="1">
        <f t="shared" si="0"/>
        <v>83.71461</v>
      </c>
      <c r="H10" s="1">
        <f>IF(F10=0,"",RANK(G10,G$6:G$66,0)+COUNTIF(G$6:G10,G10)-1)</f>
        <v>13</v>
      </c>
      <c r="I10" s="1">
        <f t="shared" si="41"/>
        <v>33</v>
      </c>
      <c r="J10" s="1">
        <f t="shared" si="42"/>
        <v>1</v>
      </c>
      <c r="K10" s="269" t="e">
        <f t="shared" si="1"/>
        <v>#VALUE!</v>
      </c>
      <c r="L10" s="269">
        <f t="shared" si="43"/>
        <v>1</v>
      </c>
      <c r="M10" s="268" t="e">
        <f t="shared" si="44"/>
        <v>#VALUE!</v>
      </c>
      <c r="N10" s="273" t="str">
        <f t="shared" si="2"/>
        <v>Melbourne</v>
      </c>
      <c r="O10" s="271">
        <f t="shared" si="3"/>
        <v>87.3034408940153</v>
      </c>
      <c r="P10" s="24">
        <f t="shared" si="45"/>
        <v>87.3034408940153</v>
      </c>
      <c r="Q10" s="24">
        <f t="shared" si="4"/>
        <v>1</v>
      </c>
      <c r="R10" s="275" t="e">
        <f t="shared" si="46"/>
        <v>#N/A</v>
      </c>
      <c r="T10" s="273" t="str">
        <f t="shared" si="5"/>
        <v>Melbourne</v>
      </c>
      <c r="U10" s="271">
        <f t="shared" si="6"/>
        <v>83.3170628544238</v>
      </c>
      <c r="V10" s="24">
        <f t="shared" si="47"/>
        <v>83.3170628544238</v>
      </c>
      <c r="W10" s="24">
        <f t="shared" si="7"/>
        <v>1</v>
      </c>
      <c r="X10" s="275" t="e">
        <f t="shared" si="48"/>
        <v>#N/A</v>
      </c>
      <c r="Z10" s="273" t="str">
        <f t="shared" si="8"/>
        <v>Melbourne</v>
      </c>
      <c r="AA10" s="271">
        <f t="shared" si="9"/>
        <v>90</v>
      </c>
      <c r="AB10" s="24">
        <f t="shared" si="49"/>
        <v>90</v>
      </c>
      <c r="AC10" s="272">
        <v>1</v>
      </c>
      <c r="AD10" s="275" t="e">
        <f t="shared" si="50"/>
        <v>#N/A</v>
      </c>
      <c r="AF10" s="273" t="str">
        <f t="shared" si="10"/>
        <v>Melbourne</v>
      </c>
      <c r="AG10" s="271">
        <f t="shared" si="11"/>
        <v>76.6341257088476</v>
      </c>
      <c r="AH10" s="24">
        <f t="shared" si="51"/>
        <v>76.6341257088476</v>
      </c>
      <c r="AI10" s="24">
        <f t="shared" si="12"/>
        <v>1</v>
      </c>
      <c r="AJ10" s="275" t="e">
        <f t="shared" si="52"/>
        <v>#N/A</v>
      </c>
      <c r="AL10" s="273" t="str">
        <f t="shared" si="13"/>
        <v>Melbourne</v>
      </c>
      <c r="AM10" s="271">
        <f t="shared" si="14"/>
        <v>81.3391869794216</v>
      </c>
      <c r="AN10" s="24">
        <f t="shared" si="53"/>
        <v>81.3391869794216</v>
      </c>
      <c r="AO10" s="24">
        <f t="shared" si="15"/>
        <v>1</v>
      </c>
      <c r="AP10" s="275" t="e">
        <f t="shared" si="54"/>
        <v>#N/A</v>
      </c>
      <c r="AR10" s="273" t="str">
        <f t="shared" si="16"/>
        <v>Melbourne</v>
      </c>
      <c r="AS10" s="271">
        <f t="shared" si="17"/>
        <v>75.1781169234014</v>
      </c>
      <c r="AT10" s="24">
        <f t="shared" si="55"/>
        <v>75.1781169234014</v>
      </c>
      <c r="AU10" s="24">
        <f t="shared" si="18"/>
        <v>1</v>
      </c>
      <c r="AV10" s="275" t="e">
        <f t="shared" si="56"/>
        <v>#N/A</v>
      </c>
      <c r="AX10" s="273" t="str">
        <f t="shared" si="19"/>
        <v>Melbourne</v>
      </c>
      <c r="AY10" s="271">
        <f t="shared" si="20"/>
        <v>87.5002570354419</v>
      </c>
      <c r="AZ10" s="24">
        <f t="shared" si="57"/>
        <v>87.5002570354419</v>
      </c>
      <c r="BA10" s="24">
        <f t="shared" si="21"/>
        <v>1</v>
      </c>
      <c r="BB10" s="275" t="e">
        <f t="shared" si="58"/>
        <v>#N/A</v>
      </c>
      <c r="BD10" s="273" t="str">
        <f t="shared" si="22"/>
        <v>Melbourne</v>
      </c>
      <c r="BE10" s="271">
        <f t="shared" si="23"/>
        <v>96.0350335712365</v>
      </c>
      <c r="BF10" s="24">
        <f t="shared" si="59"/>
        <v>96.0350335712365</v>
      </c>
      <c r="BG10" s="24">
        <f t="shared" si="24"/>
        <v>1</v>
      </c>
      <c r="BH10" s="275" t="e">
        <f t="shared" si="60"/>
        <v>#N/A</v>
      </c>
      <c r="BJ10" s="273" t="str">
        <f t="shared" si="25"/>
        <v>Melbourne</v>
      </c>
      <c r="BK10" s="271">
        <f t="shared" si="26"/>
        <v>95.5</v>
      </c>
      <c r="BL10" s="24">
        <f t="shared" si="61"/>
        <v>95.5</v>
      </c>
      <c r="BM10" s="24">
        <f t="shared" si="27"/>
        <v>1</v>
      </c>
      <c r="BN10" s="275" t="e">
        <f t="shared" si="62"/>
        <v>#N/A</v>
      </c>
      <c r="BP10" s="273" t="str">
        <f t="shared" si="28"/>
        <v>Melbourne</v>
      </c>
      <c r="BQ10" s="271">
        <f t="shared" si="29"/>
        <v>96.570067142473</v>
      </c>
      <c r="BR10" s="24">
        <f t="shared" si="63"/>
        <v>96.570067142473</v>
      </c>
      <c r="BS10" s="24">
        <f t="shared" si="30"/>
        <v>1</v>
      </c>
      <c r="BT10" s="275" t="e">
        <f t="shared" si="64"/>
        <v>#N/A</v>
      </c>
      <c r="BV10" s="273" t="str">
        <f t="shared" si="31"/>
        <v>Melbourne</v>
      </c>
      <c r="BW10" s="271">
        <f t="shared" si="32"/>
        <v>88.5224801709794</v>
      </c>
      <c r="BX10" s="24">
        <f t="shared" si="65"/>
        <v>88.5224801709794</v>
      </c>
      <c r="BY10" s="24">
        <f t="shared" si="33"/>
        <v>1</v>
      </c>
      <c r="BZ10" s="275" t="e">
        <f t="shared" si="66"/>
        <v>#N/A</v>
      </c>
      <c r="CB10" s="273" t="str">
        <f t="shared" si="34"/>
        <v>Melbourne</v>
      </c>
      <c r="CC10" s="271">
        <f t="shared" si="35"/>
        <v>95.1700680272109</v>
      </c>
      <c r="CD10" s="24">
        <f t="shared" si="67"/>
        <v>95.1700680272109</v>
      </c>
      <c r="CE10" s="24">
        <f t="shared" si="36"/>
        <v>1</v>
      </c>
      <c r="CF10" s="275" t="e">
        <f t="shared" si="68"/>
        <v>#N/A</v>
      </c>
      <c r="CH10" s="273" t="str">
        <f t="shared" si="37"/>
        <v>Melbourne</v>
      </c>
      <c r="CI10" s="271">
        <f t="shared" si="38"/>
        <v>81.8748923147478</v>
      </c>
      <c r="CJ10" s="24">
        <f t="shared" si="69"/>
        <v>81.8748923147478</v>
      </c>
      <c r="CK10" s="24">
        <f t="shared" si="39"/>
        <v>1</v>
      </c>
      <c r="CL10" s="275" t="e">
        <f t="shared" si="70"/>
        <v>#N/A</v>
      </c>
    </row>
    <row r="11" ht="15.75" spans="1:90">
      <c r="A11" s="1">
        <f>tblTerritories!A8</f>
        <v>6</v>
      </c>
      <c r="B11" s="1" t="str">
        <f>tblTerritories!B8</f>
        <v/>
      </c>
      <c r="C11" s="1" t="str">
        <f>tblTerritories!C8</f>
        <v>Beijing</v>
      </c>
      <c r="D11" s="1" t="str">
        <f>tblTerritories!J8</f>
        <v>Beijing</v>
      </c>
      <c r="E11" s="1">
        <f t="shared" si="40"/>
        <v>0</v>
      </c>
      <c r="F11" s="1">
        <f>IF(tblTerritories!F8="",0,tblTerritories!F8)</f>
        <v>1</v>
      </c>
      <c r="G11" s="1">
        <f t="shared" si="0"/>
        <v>72.06487</v>
      </c>
      <c r="H11" s="1">
        <f>IF(F11=0,"",RANK(G11,G$6:G$66,0)+COUNTIF(G$6:G11,G11)-1)</f>
        <v>32</v>
      </c>
      <c r="I11" s="1">
        <f t="shared" si="41"/>
        <v>2</v>
      </c>
      <c r="J11" s="1">
        <f t="shared" si="42"/>
        <v>1</v>
      </c>
      <c r="K11" s="269" t="e">
        <f t="shared" si="1"/>
        <v>#VALUE!</v>
      </c>
      <c r="L11" s="269">
        <f t="shared" si="43"/>
        <v>1</v>
      </c>
      <c r="M11" s="268" t="e">
        <f t="shared" si="44"/>
        <v>#VALUE!</v>
      </c>
      <c r="N11" s="273" t="str">
        <f t="shared" si="2"/>
        <v>Amsterdam</v>
      </c>
      <c r="O11" s="271">
        <f t="shared" si="3"/>
        <v>87.26365184148</v>
      </c>
      <c r="P11" s="24">
        <f t="shared" si="45"/>
        <v>87.26365184148</v>
      </c>
      <c r="Q11" s="24">
        <f t="shared" si="4"/>
        <v>1</v>
      </c>
      <c r="R11" s="275" t="e">
        <f t="shared" si="46"/>
        <v>#N/A</v>
      </c>
      <c r="T11" s="273" t="str">
        <f t="shared" si="5"/>
        <v>Amsterdam</v>
      </c>
      <c r="U11" s="271">
        <f t="shared" si="6"/>
        <v>85.7907100318575</v>
      </c>
      <c r="V11" s="24">
        <f t="shared" si="47"/>
        <v>85.7907100318575</v>
      </c>
      <c r="W11" s="24">
        <f t="shared" si="7"/>
        <v>1</v>
      </c>
      <c r="X11" s="275" t="e">
        <f t="shared" si="48"/>
        <v>#N/A</v>
      </c>
      <c r="Z11" s="273" t="str">
        <f t="shared" si="8"/>
        <v>Amsterdam</v>
      </c>
      <c r="AA11" s="271">
        <f t="shared" si="9"/>
        <v>80</v>
      </c>
      <c r="AB11" s="24">
        <f t="shared" si="49"/>
        <v>80</v>
      </c>
      <c r="AC11" s="272">
        <v>1</v>
      </c>
      <c r="AD11" s="275" t="e">
        <f t="shared" si="50"/>
        <v>#N/A</v>
      </c>
      <c r="AF11" s="273" t="str">
        <f t="shared" si="10"/>
        <v>Amsterdam</v>
      </c>
      <c r="AG11" s="271">
        <f t="shared" si="11"/>
        <v>91.581420063715</v>
      </c>
      <c r="AH11" s="24">
        <f t="shared" si="51"/>
        <v>91.581420063715</v>
      </c>
      <c r="AI11" s="24">
        <f t="shared" si="12"/>
        <v>1</v>
      </c>
      <c r="AJ11" s="275" t="e">
        <f t="shared" si="52"/>
        <v>#N/A</v>
      </c>
      <c r="AL11" s="273" t="str">
        <f t="shared" si="13"/>
        <v>Amsterdam</v>
      </c>
      <c r="AM11" s="271">
        <f t="shared" si="14"/>
        <v>79.7932254038547</v>
      </c>
      <c r="AN11" s="24">
        <f t="shared" si="53"/>
        <v>79.7932254038547</v>
      </c>
      <c r="AO11" s="24">
        <f t="shared" si="15"/>
        <v>1</v>
      </c>
      <c r="AP11" s="275" t="e">
        <f t="shared" si="54"/>
        <v>#N/A</v>
      </c>
      <c r="AR11" s="273" t="str">
        <f t="shared" si="16"/>
        <v>Amsterdam</v>
      </c>
      <c r="AS11" s="271">
        <f t="shared" si="17"/>
        <v>78.9490953407521</v>
      </c>
      <c r="AT11" s="24">
        <f t="shared" si="55"/>
        <v>78.9490953407521</v>
      </c>
      <c r="AU11" s="24">
        <f t="shared" si="18"/>
        <v>1</v>
      </c>
      <c r="AV11" s="275" t="e">
        <f t="shared" si="56"/>
        <v>#N/A</v>
      </c>
      <c r="AX11" s="273" t="str">
        <f t="shared" si="19"/>
        <v>Amsterdam</v>
      </c>
      <c r="AY11" s="271">
        <f t="shared" si="20"/>
        <v>80.6373554669572</v>
      </c>
      <c r="AZ11" s="24">
        <f t="shared" si="57"/>
        <v>80.6373554669572</v>
      </c>
      <c r="BA11" s="24">
        <f t="shared" si="21"/>
        <v>1</v>
      </c>
      <c r="BB11" s="275" t="e">
        <f t="shared" si="58"/>
        <v>#N/A</v>
      </c>
      <c r="BD11" s="273" t="str">
        <f t="shared" si="22"/>
        <v>Amsterdam</v>
      </c>
      <c r="BE11" s="271">
        <f t="shared" si="23"/>
        <v>96.0487020964921</v>
      </c>
      <c r="BF11" s="24">
        <f t="shared" si="59"/>
        <v>96.0487020964921</v>
      </c>
      <c r="BG11" s="24">
        <f t="shared" si="24"/>
        <v>1</v>
      </c>
      <c r="BH11" s="275" t="e">
        <f t="shared" si="60"/>
        <v>#N/A</v>
      </c>
      <c r="BJ11" s="273" t="str">
        <f t="shared" si="25"/>
        <v>Amsterdam</v>
      </c>
      <c r="BK11" s="271">
        <f t="shared" si="26"/>
        <v>94</v>
      </c>
      <c r="BL11" s="24">
        <f t="shared" si="61"/>
        <v>94</v>
      </c>
      <c r="BM11" s="24">
        <f t="shared" si="27"/>
        <v>1</v>
      </c>
      <c r="BN11" s="275" t="e">
        <f t="shared" si="62"/>
        <v>#N/A</v>
      </c>
      <c r="BP11" s="273" t="str">
        <f t="shared" si="28"/>
        <v>Amsterdam</v>
      </c>
      <c r="BQ11" s="271">
        <f t="shared" si="29"/>
        <v>98.0974041929841</v>
      </c>
      <c r="BR11" s="24">
        <f t="shared" si="63"/>
        <v>98.0974041929841</v>
      </c>
      <c r="BS11" s="24">
        <f t="shared" si="30"/>
        <v>1</v>
      </c>
      <c r="BT11" s="275" t="e">
        <f t="shared" si="64"/>
        <v>#N/A</v>
      </c>
      <c r="BV11" s="273" t="str">
        <f t="shared" si="31"/>
        <v>Amsterdam</v>
      </c>
      <c r="BW11" s="271">
        <f t="shared" si="32"/>
        <v>87.4219698337159</v>
      </c>
      <c r="BX11" s="24">
        <f t="shared" si="65"/>
        <v>87.4219698337159</v>
      </c>
      <c r="BY11" s="24">
        <f t="shared" si="33"/>
        <v>1</v>
      </c>
      <c r="BZ11" s="275" t="e">
        <f t="shared" si="66"/>
        <v>#N/A</v>
      </c>
      <c r="CB11" s="273" t="str">
        <f t="shared" si="34"/>
        <v>Amsterdam</v>
      </c>
      <c r="CC11" s="271">
        <f t="shared" si="35"/>
        <v>92.6077097505669</v>
      </c>
      <c r="CD11" s="24">
        <f t="shared" si="67"/>
        <v>92.6077097505669</v>
      </c>
      <c r="CE11" s="24">
        <f t="shared" si="36"/>
        <v>1</v>
      </c>
      <c r="CF11" s="275" t="e">
        <f t="shared" si="68"/>
        <v>#N/A</v>
      </c>
      <c r="CH11" s="273" t="str">
        <f t="shared" si="37"/>
        <v>Amsterdam</v>
      </c>
      <c r="CI11" s="271">
        <f t="shared" si="38"/>
        <v>82.2362299168649</v>
      </c>
      <c r="CJ11" s="24">
        <f t="shared" si="69"/>
        <v>82.2362299168649</v>
      </c>
      <c r="CK11" s="24">
        <f t="shared" si="39"/>
        <v>1</v>
      </c>
      <c r="CL11" s="275" t="e">
        <f t="shared" si="70"/>
        <v>#N/A</v>
      </c>
    </row>
    <row r="12" ht="15.75" spans="1:90">
      <c r="A12" s="1">
        <f>tblTerritories!A9</f>
        <v>7</v>
      </c>
      <c r="B12" s="1" t="str">
        <f>tblTerritories!B9</f>
        <v/>
      </c>
      <c r="C12" s="1" t="str">
        <f>tblTerritories!C9</f>
        <v>Bogota</v>
      </c>
      <c r="D12" s="1" t="str">
        <f>tblTerritories!J9</f>
        <v>Bogota</v>
      </c>
      <c r="E12" s="1">
        <f t="shared" si="40"/>
        <v>0</v>
      </c>
      <c r="F12" s="1">
        <f>IF(tblTerritories!F9="",0,tblTerritories!F9)</f>
        <v>1</v>
      </c>
      <c r="G12" s="1">
        <f t="shared" si="0"/>
        <v>61.35955</v>
      </c>
      <c r="H12" s="1">
        <f>IF(F12=0,"",RANK(G12,G$6:G$66,0)+COUNTIF(G$6:G12,G12)-1)</f>
        <v>46</v>
      </c>
      <c r="I12" s="1">
        <f t="shared" si="41"/>
        <v>52</v>
      </c>
      <c r="J12" s="1">
        <f t="shared" si="42"/>
        <v>1</v>
      </c>
      <c r="K12" s="269" t="e">
        <f t="shared" si="1"/>
        <v>#VALUE!</v>
      </c>
      <c r="L12" s="269">
        <f t="shared" si="43"/>
        <v>1</v>
      </c>
      <c r="M12" s="268" t="e">
        <f t="shared" si="44"/>
        <v>#VALUE!</v>
      </c>
      <c r="N12" s="273" t="str">
        <f t="shared" si="2"/>
        <v>Sydney</v>
      </c>
      <c r="O12" s="271">
        <f t="shared" si="3"/>
        <v>86.7359744709291</v>
      </c>
      <c r="P12" s="24">
        <f t="shared" si="45"/>
        <v>86.7359744709291</v>
      </c>
      <c r="Q12" s="24">
        <f t="shared" si="4"/>
        <v>1</v>
      </c>
      <c r="R12" s="275" t="e">
        <f t="shared" si="46"/>
        <v>#N/A</v>
      </c>
      <c r="T12" s="273" t="str">
        <f t="shared" si="5"/>
        <v>Sydney</v>
      </c>
      <c r="U12" s="271">
        <f t="shared" si="6"/>
        <v>82.9570299008193</v>
      </c>
      <c r="V12" s="24">
        <f t="shared" si="47"/>
        <v>82.9570299008193</v>
      </c>
      <c r="W12" s="24">
        <f t="shared" si="7"/>
        <v>1</v>
      </c>
      <c r="X12" s="275" t="e">
        <f t="shared" si="48"/>
        <v>#N/A</v>
      </c>
      <c r="Z12" s="273" t="str">
        <f t="shared" si="8"/>
        <v>Sydney</v>
      </c>
      <c r="AA12" s="271">
        <f t="shared" si="9"/>
        <v>90</v>
      </c>
      <c r="AB12" s="24">
        <f t="shared" si="49"/>
        <v>90</v>
      </c>
      <c r="AC12" s="272">
        <v>1</v>
      </c>
      <c r="AD12" s="275" t="e">
        <f t="shared" si="50"/>
        <v>#N/A</v>
      </c>
      <c r="AF12" s="273" t="str">
        <f t="shared" si="10"/>
        <v>Sydney</v>
      </c>
      <c r="AG12" s="271">
        <f t="shared" si="11"/>
        <v>75.9140598016387</v>
      </c>
      <c r="AH12" s="24">
        <f t="shared" si="51"/>
        <v>75.9140598016387</v>
      </c>
      <c r="AI12" s="24">
        <f t="shared" si="12"/>
        <v>1</v>
      </c>
      <c r="AJ12" s="275" t="e">
        <f t="shared" si="52"/>
        <v>#N/A</v>
      </c>
      <c r="AL12" s="273" t="str">
        <f t="shared" si="13"/>
        <v>Sydney</v>
      </c>
      <c r="AM12" s="271">
        <f t="shared" si="14"/>
        <v>81.7986033130295</v>
      </c>
      <c r="AN12" s="24">
        <f t="shared" si="53"/>
        <v>81.7986033130295</v>
      </c>
      <c r="AO12" s="24">
        <f t="shared" si="15"/>
        <v>1</v>
      </c>
      <c r="AP12" s="275" t="e">
        <f t="shared" si="54"/>
        <v>#N/A</v>
      </c>
      <c r="AR12" s="273" t="str">
        <f t="shared" si="16"/>
        <v>Sydney</v>
      </c>
      <c r="AS12" s="271">
        <f t="shared" si="17"/>
        <v>75.953310721851</v>
      </c>
      <c r="AT12" s="24">
        <f t="shared" si="55"/>
        <v>75.953310721851</v>
      </c>
      <c r="AU12" s="24">
        <f t="shared" si="18"/>
        <v>1</v>
      </c>
      <c r="AV12" s="275" t="e">
        <f t="shared" si="56"/>
        <v>#N/A</v>
      </c>
      <c r="AX12" s="273" t="str">
        <f t="shared" si="19"/>
        <v>Sydney</v>
      </c>
      <c r="AY12" s="271">
        <f t="shared" si="20"/>
        <v>87.643895904208</v>
      </c>
      <c r="AZ12" s="24">
        <f t="shared" si="57"/>
        <v>87.643895904208</v>
      </c>
      <c r="BA12" s="24">
        <f t="shared" si="21"/>
        <v>1</v>
      </c>
      <c r="BB12" s="275" t="e">
        <f t="shared" si="58"/>
        <v>#N/A</v>
      </c>
      <c r="BD12" s="273" t="str">
        <f t="shared" si="22"/>
        <v>Sydney</v>
      </c>
      <c r="BE12" s="271">
        <f t="shared" si="23"/>
        <v>95.7258767842671</v>
      </c>
      <c r="BF12" s="24">
        <f t="shared" si="59"/>
        <v>95.7258767842671</v>
      </c>
      <c r="BG12" s="24">
        <f t="shared" si="24"/>
        <v>1</v>
      </c>
      <c r="BH12" s="275" t="e">
        <f t="shared" si="60"/>
        <v>#N/A</v>
      </c>
      <c r="BJ12" s="273" t="str">
        <f t="shared" si="25"/>
        <v>Sydney</v>
      </c>
      <c r="BK12" s="271">
        <f t="shared" si="26"/>
        <v>95.5</v>
      </c>
      <c r="BL12" s="24">
        <f t="shared" si="61"/>
        <v>95.5</v>
      </c>
      <c r="BM12" s="24">
        <f t="shared" si="27"/>
        <v>1</v>
      </c>
      <c r="BN12" s="275" t="e">
        <f t="shared" si="62"/>
        <v>#N/A</v>
      </c>
      <c r="BP12" s="273" t="str">
        <f t="shared" si="28"/>
        <v>Sydney</v>
      </c>
      <c r="BQ12" s="271">
        <f t="shared" si="29"/>
        <v>95.9517535685341</v>
      </c>
      <c r="BR12" s="24">
        <f t="shared" si="63"/>
        <v>95.9517535685341</v>
      </c>
      <c r="BS12" s="24">
        <f t="shared" si="30"/>
        <v>1</v>
      </c>
      <c r="BT12" s="275" t="e">
        <f t="shared" si="64"/>
        <v>#N/A</v>
      </c>
      <c r="BV12" s="273" t="str">
        <f t="shared" si="31"/>
        <v>Sydney</v>
      </c>
      <c r="BW12" s="271">
        <f t="shared" si="32"/>
        <v>86.4623878856006</v>
      </c>
      <c r="BX12" s="24">
        <f t="shared" si="65"/>
        <v>86.4623878856006</v>
      </c>
      <c r="BY12" s="24">
        <f t="shared" si="33"/>
        <v>1</v>
      </c>
      <c r="BZ12" s="275" t="e">
        <f t="shared" si="66"/>
        <v>#N/A</v>
      </c>
      <c r="CB12" s="273" t="str">
        <f t="shared" si="34"/>
        <v>Sydney</v>
      </c>
      <c r="CC12" s="271">
        <f t="shared" si="35"/>
        <v>95.1700680272109</v>
      </c>
      <c r="CD12" s="24">
        <f t="shared" si="67"/>
        <v>95.1700680272109</v>
      </c>
      <c r="CE12" s="24">
        <f t="shared" si="36"/>
        <v>1</v>
      </c>
      <c r="CF12" s="275" t="e">
        <f t="shared" si="68"/>
        <v>#N/A</v>
      </c>
      <c r="CH12" s="273" t="str">
        <f t="shared" si="37"/>
        <v>Sydney</v>
      </c>
      <c r="CI12" s="271">
        <f t="shared" si="38"/>
        <v>77.7547077439903</v>
      </c>
      <c r="CJ12" s="24">
        <f t="shared" si="69"/>
        <v>77.7547077439903</v>
      </c>
      <c r="CK12" s="24">
        <f t="shared" si="39"/>
        <v>1</v>
      </c>
      <c r="CL12" s="275" t="e">
        <f t="shared" si="70"/>
        <v>#N/A</v>
      </c>
    </row>
    <row r="13" ht="15.75" spans="1:90">
      <c r="A13" s="1">
        <f>tblTerritories!A10</f>
        <v>8</v>
      </c>
      <c r="B13" s="1" t="str">
        <f>tblTerritories!B10</f>
        <v/>
      </c>
      <c r="C13" s="1" t="str">
        <f>tblTerritories!C10</f>
        <v>Brussels</v>
      </c>
      <c r="D13" s="1" t="str">
        <f>tblTerritories!J10</f>
        <v>Brussels</v>
      </c>
      <c r="E13" s="1">
        <f t="shared" si="40"/>
        <v>0</v>
      </c>
      <c r="F13" s="1">
        <f>IF(tblTerritories!F10="",0,tblTerritories!F10)</f>
        <v>1</v>
      </c>
      <c r="G13" s="1">
        <f t="shared" si="0"/>
        <v>83.00614</v>
      </c>
      <c r="H13" s="1">
        <f>IF(F13=0,"",RANK(G13,G$6:G$66,0)+COUNTIF(G$6:G13,G13)-1)</f>
        <v>17</v>
      </c>
      <c r="I13" s="1">
        <f t="shared" si="41"/>
        <v>51</v>
      </c>
      <c r="J13" s="1">
        <f t="shared" si="42"/>
        <v>1</v>
      </c>
      <c r="K13" s="269" t="e">
        <f t="shared" si="1"/>
        <v>#VALUE!</v>
      </c>
      <c r="L13" s="269">
        <f t="shared" si="43"/>
        <v>1</v>
      </c>
      <c r="M13" s="268" t="e">
        <f t="shared" si="44"/>
        <v>#VALUE!</v>
      </c>
      <c r="N13" s="273" t="str">
        <f t="shared" si="2"/>
        <v>Stockholm</v>
      </c>
      <c r="O13" s="271">
        <f t="shared" si="3"/>
        <v>86.7165220056286</v>
      </c>
      <c r="P13" s="24">
        <f t="shared" si="45"/>
        <v>86.7165220056286</v>
      </c>
      <c r="Q13" s="24">
        <f t="shared" si="4"/>
        <v>1</v>
      </c>
      <c r="R13" s="275" t="e">
        <f t="shared" si="46"/>
        <v>#N/A</v>
      </c>
      <c r="T13" s="273" t="str">
        <f t="shared" si="5"/>
        <v>Stockholm</v>
      </c>
      <c r="U13" s="271">
        <f t="shared" si="6"/>
        <v>82.8067745494823</v>
      </c>
      <c r="V13" s="24">
        <f t="shared" si="47"/>
        <v>82.8067745494823</v>
      </c>
      <c r="W13" s="24">
        <f t="shared" si="7"/>
        <v>1</v>
      </c>
      <c r="X13" s="275" t="e">
        <f t="shared" si="48"/>
        <v>#N/A</v>
      </c>
      <c r="Z13" s="273" t="str">
        <f t="shared" si="8"/>
        <v>Stockholm</v>
      </c>
      <c r="AA13" s="271">
        <f t="shared" si="9"/>
        <v>75</v>
      </c>
      <c r="AB13" s="24">
        <f t="shared" si="49"/>
        <v>75</v>
      </c>
      <c r="AC13" s="272">
        <v>1</v>
      </c>
      <c r="AD13" s="275" t="e">
        <f t="shared" si="50"/>
        <v>#N/A</v>
      </c>
      <c r="AF13" s="273" t="str">
        <f t="shared" si="10"/>
        <v>Stockholm</v>
      </c>
      <c r="AG13" s="271">
        <f t="shared" si="11"/>
        <v>90.6135490989646</v>
      </c>
      <c r="AH13" s="24">
        <f t="shared" si="51"/>
        <v>90.6135490989646</v>
      </c>
      <c r="AI13" s="24">
        <f t="shared" si="12"/>
        <v>1</v>
      </c>
      <c r="AJ13" s="275" t="e">
        <f t="shared" si="52"/>
        <v>#N/A</v>
      </c>
      <c r="AL13" s="273" t="str">
        <f t="shared" si="13"/>
        <v>Stockholm</v>
      </c>
      <c r="AM13" s="271">
        <f t="shared" si="14"/>
        <v>79.9430805624143</v>
      </c>
      <c r="AN13" s="24">
        <f t="shared" si="53"/>
        <v>79.9430805624143</v>
      </c>
      <c r="AO13" s="24">
        <f t="shared" si="15"/>
        <v>1</v>
      </c>
      <c r="AP13" s="275" t="e">
        <f t="shared" si="54"/>
        <v>#N/A</v>
      </c>
      <c r="AR13" s="273" t="str">
        <f t="shared" si="16"/>
        <v>Stockholm</v>
      </c>
      <c r="AS13" s="271">
        <f t="shared" si="17"/>
        <v>71.4680335960549</v>
      </c>
      <c r="AT13" s="24">
        <f t="shared" si="55"/>
        <v>71.4680335960549</v>
      </c>
      <c r="AU13" s="24">
        <f t="shared" si="18"/>
        <v>1</v>
      </c>
      <c r="AV13" s="275" t="e">
        <f t="shared" si="56"/>
        <v>#N/A</v>
      </c>
      <c r="AX13" s="273" t="str">
        <f t="shared" si="19"/>
        <v>Stockholm</v>
      </c>
      <c r="AY13" s="271">
        <f t="shared" si="20"/>
        <v>88.4181275287736</v>
      </c>
      <c r="AZ13" s="24">
        <f t="shared" si="57"/>
        <v>88.4181275287736</v>
      </c>
      <c r="BA13" s="24">
        <f t="shared" si="21"/>
        <v>1</v>
      </c>
      <c r="BB13" s="275" t="e">
        <f t="shared" si="58"/>
        <v>#N/A</v>
      </c>
      <c r="BD13" s="273" t="str">
        <f t="shared" si="22"/>
        <v>Stockholm</v>
      </c>
      <c r="BE13" s="271">
        <f t="shared" si="23"/>
        <v>96.1824658208614</v>
      </c>
      <c r="BF13" s="24">
        <f t="shared" si="59"/>
        <v>96.1824658208614</v>
      </c>
      <c r="BG13" s="24">
        <f t="shared" si="24"/>
        <v>1</v>
      </c>
      <c r="BH13" s="275" t="e">
        <f t="shared" si="60"/>
        <v>#N/A</v>
      </c>
      <c r="BJ13" s="273" t="str">
        <f t="shared" si="25"/>
        <v>Stockholm</v>
      </c>
      <c r="BK13" s="271">
        <f t="shared" si="26"/>
        <v>95</v>
      </c>
      <c r="BL13" s="24">
        <f t="shared" si="61"/>
        <v>95</v>
      </c>
      <c r="BM13" s="24">
        <f t="shared" si="27"/>
        <v>1</v>
      </c>
      <c r="BN13" s="275" t="e">
        <f t="shared" si="62"/>
        <v>#N/A</v>
      </c>
      <c r="BP13" s="273" t="str">
        <f t="shared" si="28"/>
        <v>Stockholm</v>
      </c>
      <c r="BQ13" s="271">
        <f t="shared" si="29"/>
        <v>97.3649316417229</v>
      </c>
      <c r="BR13" s="24">
        <f t="shared" si="63"/>
        <v>97.3649316417229</v>
      </c>
      <c r="BS13" s="24">
        <f t="shared" si="30"/>
        <v>1</v>
      </c>
      <c r="BT13" s="275" t="e">
        <f t="shared" si="64"/>
        <v>#N/A</v>
      </c>
      <c r="BV13" s="273" t="str">
        <f t="shared" si="31"/>
        <v>Stockholm</v>
      </c>
      <c r="BW13" s="271">
        <f t="shared" si="32"/>
        <v>87.9337670897564</v>
      </c>
      <c r="BX13" s="24">
        <f t="shared" si="65"/>
        <v>87.9337670897564</v>
      </c>
      <c r="BY13" s="24">
        <f t="shared" si="33"/>
        <v>1</v>
      </c>
      <c r="BZ13" s="275" t="e">
        <f t="shared" si="66"/>
        <v>#N/A</v>
      </c>
      <c r="CB13" s="273" t="str">
        <f t="shared" si="34"/>
        <v>Stockholm</v>
      </c>
      <c r="CC13" s="271">
        <f t="shared" si="35"/>
        <v>84.5918367346939</v>
      </c>
      <c r="CD13" s="24">
        <f t="shared" si="67"/>
        <v>84.5918367346939</v>
      </c>
      <c r="CE13" s="24">
        <f t="shared" si="36"/>
        <v>1</v>
      </c>
      <c r="CF13" s="275" t="e">
        <f t="shared" si="68"/>
        <v>#N/A</v>
      </c>
      <c r="CH13" s="273" t="str">
        <f t="shared" si="37"/>
        <v>Stockholm</v>
      </c>
      <c r="CI13" s="271">
        <f t="shared" si="38"/>
        <v>91.2756974448189</v>
      </c>
      <c r="CJ13" s="24">
        <f t="shared" si="69"/>
        <v>91.2756974448189</v>
      </c>
      <c r="CK13" s="24">
        <f t="shared" si="39"/>
        <v>1</v>
      </c>
      <c r="CL13" s="275" t="e">
        <f t="shared" si="70"/>
        <v>#N/A</v>
      </c>
    </row>
    <row r="14" ht="15.75" spans="1:90">
      <c r="A14" s="1">
        <f>tblTerritories!A11</f>
        <v>9</v>
      </c>
      <c r="B14" s="1" t="str">
        <f>tblTerritories!B11</f>
        <v/>
      </c>
      <c r="C14" s="1" t="str">
        <f>tblTerritories!C11</f>
        <v>Buenos Aires</v>
      </c>
      <c r="D14" s="1" t="str">
        <f>tblTerritories!J11</f>
        <v>Buenos Aires</v>
      </c>
      <c r="E14" s="1">
        <f t="shared" si="40"/>
        <v>0</v>
      </c>
      <c r="F14" s="1">
        <f>IF(tblTerritories!F11="",0,tblTerritories!F11)</f>
        <v>1</v>
      </c>
      <c r="G14" s="1">
        <f t="shared" si="0"/>
        <v>76.34826</v>
      </c>
      <c r="H14" s="1">
        <f>IF(F14=0,"",RANK(G14,G$6:G$66,0)+COUNTIF(G$6:G14,G14)-1)</f>
        <v>29</v>
      </c>
      <c r="I14" s="1">
        <f t="shared" si="41"/>
        <v>20</v>
      </c>
      <c r="J14" s="1">
        <f t="shared" si="42"/>
        <v>1</v>
      </c>
      <c r="K14" s="269" t="e">
        <f t="shared" si="1"/>
        <v>#VALUE!</v>
      </c>
      <c r="L14" s="269">
        <f t="shared" si="43"/>
        <v>1</v>
      </c>
      <c r="M14" s="268" t="e">
        <f t="shared" si="44"/>
        <v>#VALUE!</v>
      </c>
      <c r="N14" s="273" t="str">
        <f t="shared" si="2"/>
        <v>Hong Kong</v>
      </c>
      <c r="O14" s="271">
        <f t="shared" si="3"/>
        <v>86.2151497119042</v>
      </c>
      <c r="P14" s="24">
        <f t="shared" si="45"/>
        <v>86.2151497119042</v>
      </c>
      <c r="Q14" s="24">
        <f t="shared" si="4"/>
        <v>1</v>
      </c>
      <c r="R14" s="275" t="e">
        <f t="shared" si="46"/>
        <v>#N/A</v>
      </c>
      <c r="T14" s="273" t="str">
        <f t="shared" si="5"/>
        <v>Hong Kong</v>
      </c>
      <c r="U14" s="271">
        <f t="shared" si="6"/>
        <v>85.7743520917716</v>
      </c>
      <c r="V14" s="24">
        <f t="shared" si="47"/>
        <v>85.7743520917716</v>
      </c>
      <c r="W14" s="24">
        <f t="shared" si="7"/>
        <v>1</v>
      </c>
      <c r="X14" s="275" t="e">
        <f t="shared" si="48"/>
        <v>#N/A</v>
      </c>
      <c r="Z14" s="273" t="str">
        <f t="shared" si="8"/>
        <v>Hong Kong</v>
      </c>
      <c r="AA14" s="271">
        <f t="shared" si="9"/>
        <v>100</v>
      </c>
      <c r="AB14" s="24">
        <f t="shared" si="49"/>
        <v>100</v>
      </c>
      <c r="AC14" s="272">
        <v>1</v>
      </c>
      <c r="AD14" s="275" t="e">
        <f t="shared" si="50"/>
        <v>#N/A</v>
      </c>
      <c r="AF14" s="273" t="str">
        <f t="shared" si="10"/>
        <v>Hong Kong</v>
      </c>
      <c r="AG14" s="271">
        <f t="shared" si="11"/>
        <v>71.5487041835432</v>
      </c>
      <c r="AH14" s="24">
        <f t="shared" si="51"/>
        <v>71.5487041835432</v>
      </c>
      <c r="AI14" s="24">
        <f t="shared" si="12"/>
        <v>1</v>
      </c>
      <c r="AJ14" s="275" t="e">
        <f t="shared" si="52"/>
        <v>#N/A</v>
      </c>
      <c r="AL14" s="273" t="str">
        <f t="shared" si="13"/>
        <v>Hong Kong</v>
      </c>
      <c r="AM14" s="271">
        <f t="shared" si="14"/>
        <v>73.2917363465489</v>
      </c>
      <c r="AN14" s="24">
        <f t="shared" si="53"/>
        <v>73.2917363465489</v>
      </c>
      <c r="AO14" s="24">
        <f t="shared" si="15"/>
        <v>1</v>
      </c>
      <c r="AP14" s="275" t="e">
        <f t="shared" si="54"/>
        <v>#N/A</v>
      </c>
      <c r="AR14" s="273" t="str">
        <f t="shared" si="16"/>
        <v>Hong Kong</v>
      </c>
      <c r="AS14" s="271">
        <f t="shared" si="17"/>
        <v>72.8916040804561</v>
      </c>
      <c r="AT14" s="24">
        <f t="shared" si="55"/>
        <v>72.8916040804561</v>
      </c>
      <c r="AU14" s="24">
        <f t="shared" si="18"/>
        <v>1</v>
      </c>
      <c r="AV14" s="275" t="e">
        <f t="shared" si="56"/>
        <v>#N/A</v>
      </c>
      <c r="AX14" s="273" t="str">
        <f t="shared" si="19"/>
        <v>Hong Kong</v>
      </c>
      <c r="AY14" s="271">
        <f t="shared" si="20"/>
        <v>73.6918686126416</v>
      </c>
      <c r="AZ14" s="24">
        <f t="shared" si="57"/>
        <v>73.6918686126416</v>
      </c>
      <c r="BA14" s="24">
        <f t="shared" si="21"/>
        <v>1</v>
      </c>
      <c r="BB14" s="275" t="e">
        <f t="shared" si="58"/>
        <v>#N/A</v>
      </c>
      <c r="BD14" s="273" t="str">
        <f t="shared" si="22"/>
        <v>Hong Kong</v>
      </c>
      <c r="BE14" s="271">
        <f t="shared" si="23"/>
        <v>96.0401670743199</v>
      </c>
      <c r="BF14" s="24">
        <f t="shared" si="59"/>
        <v>96.0401670743199</v>
      </c>
      <c r="BG14" s="24">
        <f t="shared" si="24"/>
        <v>1</v>
      </c>
      <c r="BH14" s="275" t="e">
        <f t="shared" si="60"/>
        <v>#N/A</v>
      </c>
      <c r="BJ14" s="273" t="str">
        <f t="shared" si="25"/>
        <v>Hong Kong</v>
      </c>
      <c r="BK14" s="271">
        <f t="shared" si="26"/>
        <v>95.5</v>
      </c>
      <c r="BL14" s="24">
        <f t="shared" si="61"/>
        <v>95.5</v>
      </c>
      <c r="BM14" s="24">
        <f t="shared" si="27"/>
        <v>1</v>
      </c>
      <c r="BN14" s="275" t="e">
        <f t="shared" si="62"/>
        <v>#N/A</v>
      </c>
      <c r="BP14" s="273" t="str">
        <f t="shared" si="28"/>
        <v>Hong Kong</v>
      </c>
      <c r="BQ14" s="271">
        <f t="shared" si="29"/>
        <v>96.5803341486398</v>
      </c>
      <c r="BR14" s="24">
        <f t="shared" si="63"/>
        <v>96.5803341486398</v>
      </c>
      <c r="BS14" s="24">
        <f t="shared" si="30"/>
        <v>1</v>
      </c>
      <c r="BT14" s="275" t="e">
        <f t="shared" si="64"/>
        <v>#N/A</v>
      </c>
      <c r="BV14" s="273" t="str">
        <f t="shared" si="31"/>
        <v>Hong Kong</v>
      </c>
      <c r="BW14" s="271">
        <f t="shared" si="32"/>
        <v>89.7543433349765</v>
      </c>
      <c r="BX14" s="24">
        <f t="shared" si="65"/>
        <v>89.7543433349765</v>
      </c>
      <c r="BY14" s="24">
        <f t="shared" si="33"/>
        <v>1</v>
      </c>
      <c r="BZ14" s="275" t="e">
        <f t="shared" si="66"/>
        <v>#N/A</v>
      </c>
      <c r="CB14" s="273" t="str">
        <f t="shared" si="34"/>
        <v>Hong Kong</v>
      </c>
      <c r="CC14" s="271">
        <f t="shared" si="35"/>
        <v>92.0181405895692</v>
      </c>
      <c r="CD14" s="24">
        <f t="shared" si="67"/>
        <v>92.0181405895692</v>
      </c>
      <c r="CE14" s="24">
        <f t="shared" si="36"/>
        <v>1</v>
      </c>
      <c r="CF14" s="275" t="e">
        <f t="shared" si="68"/>
        <v>#N/A</v>
      </c>
      <c r="CH14" s="273" t="str">
        <f t="shared" si="37"/>
        <v>Hong Kong</v>
      </c>
      <c r="CI14" s="271">
        <f t="shared" si="38"/>
        <v>87.4905460803838</v>
      </c>
      <c r="CJ14" s="24">
        <f t="shared" si="69"/>
        <v>87.4905460803838</v>
      </c>
      <c r="CK14" s="24">
        <f t="shared" si="39"/>
        <v>1</v>
      </c>
      <c r="CL14" s="275" t="e">
        <f t="shared" si="70"/>
        <v>#N/A</v>
      </c>
    </row>
    <row r="15" ht="15.75" spans="1:90">
      <c r="A15" s="1">
        <f>tblTerritories!A12</f>
        <v>10</v>
      </c>
      <c r="B15" s="1" t="str">
        <f>tblTerritories!B12</f>
        <v/>
      </c>
      <c r="C15" s="1" t="str">
        <f>tblTerritories!C12</f>
        <v>Cairo</v>
      </c>
      <c r="D15" s="1" t="str">
        <f>tblTerritories!J12</f>
        <v>Cairo</v>
      </c>
      <c r="E15" s="1">
        <f t="shared" si="40"/>
        <v>0</v>
      </c>
      <c r="F15" s="1">
        <f>IF(tblTerritories!F12="",0,tblTerritories!F12)</f>
        <v>1</v>
      </c>
      <c r="G15" s="1">
        <f t="shared" si="0"/>
        <v>58.33188</v>
      </c>
      <c r="H15" s="1">
        <f>IF(F15=0,"",RANK(G15,G$6:G$66,0)+COUNTIF(G$6:G15,G15)-1)</f>
        <v>51</v>
      </c>
      <c r="I15" s="1">
        <f t="shared" si="41"/>
        <v>60</v>
      </c>
      <c r="J15" s="1">
        <f t="shared" si="42"/>
        <v>1</v>
      </c>
      <c r="K15" s="269" t="e">
        <f t="shared" si="1"/>
        <v>#VALUE!</v>
      </c>
      <c r="L15" s="269">
        <f t="shared" si="43"/>
        <v>1</v>
      </c>
      <c r="M15" s="268" t="e">
        <f t="shared" si="44"/>
        <v>#VALUE!</v>
      </c>
      <c r="N15" s="273" t="str">
        <f t="shared" si="2"/>
        <v>Zurich</v>
      </c>
      <c r="O15" s="271">
        <f t="shared" si="3"/>
        <v>85.1985461163896</v>
      </c>
      <c r="P15" s="24">
        <f t="shared" si="45"/>
        <v>85.1985461163896</v>
      </c>
      <c r="Q15" s="24">
        <f t="shared" si="4"/>
        <v>1</v>
      </c>
      <c r="R15" s="275" t="e">
        <f t="shared" si="46"/>
        <v>#N/A</v>
      </c>
      <c r="T15" s="273" t="str">
        <f t="shared" si="5"/>
        <v>Zurich</v>
      </c>
      <c r="U15" s="271">
        <f t="shared" si="6"/>
        <v>77.9769813138381</v>
      </c>
      <c r="V15" s="24">
        <f t="shared" si="47"/>
        <v>77.9769813138381</v>
      </c>
      <c r="W15" s="24">
        <f t="shared" si="7"/>
        <v>1</v>
      </c>
      <c r="X15" s="275" t="e">
        <f t="shared" si="48"/>
        <v>#N/A</v>
      </c>
      <c r="Z15" s="273" t="str">
        <f t="shared" si="8"/>
        <v>Zurich</v>
      </c>
      <c r="AA15" s="271">
        <f t="shared" si="9"/>
        <v>75</v>
      </c>
      <c r="AB15" s="24">
        <f t="shared" si="49"/>
        <v>75</v>
      </c>
      <c r="AC15" s="272">
        <v>1</v>
      </c>
      <c r="AD15" s="275" t="e">
        <f t="shared" si="50"/>
        <v>#N/A</v>
      </c>
      <c r="AF15" s="273" t="str">
        <f t="shared" si="10"/>
        <v>Zurich</v>
      </c>
      <c r="AG15" s="271">
        <f t="shared" si="11"/>
        <v>80.9539626276761</v>
      </c>
      <c r="AH15" s="24">
        <f t="shared" si="51"/>
        <v>80.9539626276761</v>
      </c>
      <c r="AI15" s="24">
        <f t="shared" si="12"/>
        <v>1</v>
      </c>
      <c r="AJ15" s="275" t="e">
        <f t="shared" si="52"/>
        <v>#N/A</v>
      </c>
      <c r="AL15" s="273" t="str">
        <f t="shared" si="13"/>
        <v>Zurich</v>
      </c>
      <c r="AM15" s="271">
        <f t="shared" si="14"/>
        <v>83.3857572780462</v>
      </c>
      <c r="AN15" s="24">
        <f t="shared" si="53"/>
        <v>83.3857572780462</v>
      </c>
      <c r="AO15" s="24">
        <f t="shared" si="15"/>
        <v>1</v>
      </c>
      <c r="AP15" s="275" t="e">
        <f t="shared" si="54"/>
        <v>#N/A</v>
      </c>
      <c r="AR15" s="273" t="str">
        <f t="shared" si="16"/>
        <v>Zurich</v>
      </c>
      <c r="AS15" s="271">
        <f t="shared" si="17"/>
        <v>78.9559648583492</v>
      </c>
      <c r="AT15" s="24">
        <f t="shared" si="55"/>
        <v>78.9559648583492</v>
      </c>
      <c r="AU15" s="24">
        <f t="shared" si="18"/>
        <v>1</v>
      </c>
      <c r="AV15" s="275" t="e">
        <f t="shared" si="56"/>
        <v>#N/A</v>
      </c>
      <c r="AX15" s="273" t="str">
        <f t="shared" si="19"/>
        <v>Zurich</v>
      </c>
      <c r="AY15" s="271">
        <f t="shared" si="20"/>
        <v>87.8155496977432</v>
      </c>
      <c r="AZ15" s="24">
        <f t="shared" si="57"/>
        <v>87.8155496977432</v>
      </c>
      <c r="BA15" s="24">
        <f t="shared" si="21"/>
        <v>1</v>
      </c>
      <c r="BB15" s="275" t="e">
        <f t="shared" si="58"/>
        <v>#N/A</v>
      </c>
      <c r="BD15" s="273" t="str">
        <f t="shared" si="22"/>
        <v>Zurich</v>
      </c>
      <c r="BE15" s="271">
        <f t="shared" si="23"/>
        <v>95.7118450134872</v>
      </c>
      <c r="BF15" s="24">
        <f t="shared" si="59"/>
        <v>95.7118450134872</v>
      </c>
      <c r="BG15" s="24">
        <f t="shared" si="24"/>
        <v>1</v>
      </c>
      <c r="BH15" s="275" t="e">
        <f t="shared" si="60"/>
        <v>#N/A</v>
      </c>
      <c r="BJ15" s="273" t="str">
        <f t="shared" si="25"/>
        <v>Zurich</v>
      </c>
      <c r="BK15" s="271">
        <f t="shared" si="26"/>
        <v>95</v>
      </c>
      <c r="BL15" s="24">
        <f t="shared" si="61"/>
        <v>95</v>
      </c>
      <c r="BM15" s="24">
        <f t="shared" si="27"/>
        <v>1</v>
      </c>
      <c r="BN15" s="275" t="e">
        <f t="shared" si="62"/>
        <v>#N/A</v>
      </c>
      <c r="BP15" s="273" t="str">
        <f t="shared" si="28"/>
        <v>Zurich</v>
      </c>
      <c r="BQ15" s="271">
        <f t="shared" si="29"/>
        <v>96.4236900269744</v>
      </c>
      <c r="BR15" s="24">
        <f t="shared" si="63"/>
        <v>96.4236900269744</v>
      </c>
      <c r="BS15" s="24">
        <f t="shared" si="30"/>
        <v>1</v>
      </c>
      <c r="BT15" s="275" t="e">
        <f t="shared" si="64"/>
        <v>#N/A</v>
      </c>
      <c r="BV15" s="273" t="str">
        <f t="shared" si="31"/>
        <v>Zurich</v>
      </c>
      <c r="BW15" s="271">
        <f t="shared" si="32"/>
        <v>83.7196008601868</v>
      </c>
      <c r="BX15" s="24">
        <f t="shared" si="65"/>
        <v>83.7196008601868</v>
      </c>
      <c r="BY15" s="24">
        <f t="shared" si="33"/>
        <v>1</v>
      </c>
      <c r="BZ15" s="275" t="e">
        <f t="shared" si="66"/>
        <v>#N/A</v>
      </c>
      <c r="CB15" s="273" t="str">
        <f t="shared" si="34"/>
        <v>Zurich</v>
      </c>
      <c r="CC15" s="271">
        <f t="shared" si="35"/>
        <v>78.3560090702948</v>
      </c>
      <c r="CD15" s="24">
        <f t="shared" si="67"/>
        <v>78.3560090702948</v>
      </c>
      <c r="CE15" s="24">
        <f t="shared" si="36"/>
        <v>1</v>
      </c>
      <c r="CF15" s="275" t="e">
        <f t="shared" si="68"/>
        <v>#N/A</v>
      </c>
      <c r="CH15" s="273" t="str">
        <f t="shared" si="37"/>
        <v>Zurich</v>
      </c>
      <c r="CI15" s="271">
        <f t="shared" si="38"/>
        <v>89.0831926500788</v>
      </c>
      <c r="CJ15" s="24">
        <f t="shared" si="69"/>
        <v>89.0831926500788</v>
      </c>
      <c r="CK15" s="24">
        <f t="shared" si="39"/>
        <v>1</v>
      </c>
      <c r="CL15" s="275" t="e">
        <f t="shared" si="70"/>
        <v>#N/A</v>
      </c>
    </row>
    <row r="16" ht="15.75" spans="1:90">
      <c r="A16" s="1">
        <f>tblTerritories!A13</f>
        <v>11</v>
      </c>
      <c r="B16" s="1" t="str">
        <f>tblTerritories!B13</f>
        <v/>
      </c>
      <c r="C16" s="1" t="str">
        <f>tblTerritories!C13</f>
        <v>Caracas</v>
      </c>
      <c r="D16" s="1" t="str">
        <f>tblTerritories!J13</f>
        <v>Caracas</v>
      </c>
      <c r="E16" s="1">
        <f t="shared" si="40"/>
        <v>0</v>
      </c>
      <c r="F16" s="1">
        <f>IF(tblTerritories!F13="",0,tblTerritories!F13)</f>
        <v>1</v>
      </c>
      <c r="G16" s="1">
        <f t="shared" si="0"/>
        <v>55.22062</v>
      </c>
      <c r="H16" s="1">
        <f>IF(F16=0,"",RANK(G16,G$6:G$66,0)+COUNTIF(G$6:G16,G16)-1)</f>
        <v>54</v>
      </c>
      <c r="I16" s="1">
        <f t="shared" si="41"/>
        <v>18</v>
      </c>
      <c r="J16" s="1">
        <f t="shared" si="42"/>
        <v>1</v>
      </c>
      <c r="K16" s="269" t="e">
        <f t="shared" si="1"/>
        <v>#VALUE!</v>
      </c>
      <c r="L16" s="269">
        <f t="shared" si="43"/>
        <v>1</v>
      </c>
      <c r="M16" s="268" t="e">
        <f t="shared" si="44"/>
        <v>#VALUE!</v>
      </c>
      <c r="N16" s="273" t="str">
        <f t="shared" si="2"/>
        <v>Frankfurt</v>
      </c>
      <c r="O16" s="271">
        <f t="shared" si="3"/>
        <v>84.856365317326</v>
      </c>
      <c r="P16" s="24">
        <f t="shared" si="45"/>
        <v>84.856365317326</v>
      </c>
      <c r="Q16" s="24">
        <f t="shared" si="4"/>
        <v>1</v>
      </c>
      <c r="R16" s="275" t="e">
        <f t="shared" si="46"/>
        <v>#N/A</v>
      </c>
      <c r="T16" s="273" t="str">
        <f t="shared" si="5"/>
        <v>Frankfurt</v>
      </c>
      <c r="U16" s="271">
        <f t="shared" si="6"/>
        <v>80.5004352163057</v>
      </c>
      <c r="V16" s="24">
        <f t="shared" si="47"/>
        <v>80.5004352163057</v>
      </c>
      <c r="W16" s="24">
        <f t="shared" si="7"/>
        <v>1</v>
      </c>
      <c r="X16" s="275" t="e">
        <f t="shared" si="48"/>
        <v>#N/A</v>
      </c>
      <c r="Z16" s="273" t="str">
        <f t="shared" si="8"/>
        <v>Frankfurt</v>
      </c>
      <c r="AA16" s="271">
        <f t="shared" si="9"/>
        <v>80</v>
      </c>
      <c r="AB16" s="24">
        <f t="shared" si="49"/>
        <v>80</v>
      </c>
      <c r="AC16" s="272">
        <v>1</v>
      </c>
      <c r="AD16" s="275" t="e">
        <f t="shared" si="50"/>
        <v>#N/A</v>
      </c>
      <c r="AF16" s="273" t="str">
        <f t="shared" si="10"/>
        <v>Frankfurt</v>
      </c>
      <c r="AG16" s="271">
        <f t="shared" si="11"/>
        <v>81.0008704326114</v>
      </c>
      <c r="AH16" s="24">
        <f t="shared" si="51"/>
        <v>81.0008704326114</v>
      </c>
      <c r="AI16" s="24">
        <f t="shared" si="12"/>
        <v>1</v>
      </c>
      <c r="AJ16" s="275" t="e">
        <f t="shared" si="52"/>
        <v>#N/A</v>
      </c>
      <c r="AL16" s="273" t="str">
        <f t="shared" si="13"/>
        <v>Frankfurt</v>
      </c>
      <c r="AM16" s="271">
        <f t="shared" si="14"/>
        <v>84.0633016902858</v>
      </c>
      <c r="AN16" s="24">
        <f t="shared" si="53"/>
        <v>84.0633016902858</v>
      </c>
      <c r="AO16" s="24">
        <f t="shared" si="15"/>
        <v>1</v>
      </c>
      <c r="AP16" s="275" t="e">
        <f t="shared" si="54"/>
        <v>#N/A</v>
      </c>
      <c r="AR16" s="273" t="str">
        <f t="shared" si="16"/>
        <v>Frankfurt</v>
      </c>
      <c r="AS16" s="271">
        <f t="shared" si="17"/>
        <v>84.1613461233051</v>
      </c>
      <c r="AT16" s="24">
        <f t="shared" si="55"/>
        <v>84.1613461233051</v>
      </c>
      <c r="AU16" s="24">
        <f t="shared" si="18"/>
        <v>1</v>
      </c>
      <c r="AV16" s="275" t="e">
        <f t="shared" si="56"/>
        <v>#N/A</v>
      </c>
      <c r="AX16" s="273" t="str">
        <f t="shared" si="19"/>
        <v>Frankfurt</v>
      </c>
      <c r="AY16" s="271">
        <f t="shared" si="20"/>
        <v>83.9652572572665</v>
      </c>
      <c r="AZ16" s="24">
        <f t="shared" si="57"/>
        <v>83.9652572572665</v>
      </c>
      <c r="BA16" s="24">
        <f t="shared" si="21"/>
        <v>1</v>
      </c>
      <c r="BB16" s="275" t="e">
        <f t="shared" si="58"/>
        <v>#N/A</v>
      </c>
      <c r="BD16" s="273" t="str">
        <f t="shared" si="22"/>
        <v>Frankfurt</v>
      </c>
      <c r="BE16" s="271">
        <f t="shared" si="23"/>
        <v>88.1584769903501</v>
      </c>
      <c r="BF16" s="24">
        <f t="shared" si="59"/>
        <v>88.1584769903501</v>
      </c>
      <c r="BG16" s="24">
        <f t="shared" si="24"/>
        <v>1</v>
      </c>
      <c r="BH16" s="275" t="e">
        <f t="shared" si="60"/>
        <v>#N/A</v>
      </c>
      <c r="BJ16" s="273" t="str">
        <f t="shared" si="25"/>
        <v>Frankfurt</v>
      </c>
      <c r="BK16" s="271">
        <f t="shared" si="26"/>
        <v>95</v>
      </c>
      <c r="BL16" s="24">
        <f t="shared" si="61"/>
        <v>95</v>
      </c>
      <c r="BM16" s="24">
        <f t="shared" si="27"/>
        <v>1</v>
      </c>
      <c r="BN16" s="275" t="e">
        <f t="shared" si="62"/>
        <v>#N/A</v>
      </c>
      <c r="BP16" s="273" t="str">
        <f t="shared" si="28"/>
        <v>Frankfurt</v>
      </c>
      <c r="BQ16" s="271">
        <f t="shared" si="29"/>
        <v>81.3169539807002</v>
      </c>
      <c r="BR16" s="24">
        <f t="shared" si="63"/>
        <v>81.3169539807002</v>
      </c>
      <c r="BS16" s="24">
        <f t="shared" si="30"/>
        <v>1</v>
      </c>
      <c r="BT16" s="275" t="e">
        <f t="shared" si="64"/>
        <v>#N/A</v>
      </c>
      <c r="BV16" s="273" t="str">
        <f t="shared" si="31"/>
        <v>Frankfurt</v>
      </c>
      <c r="BW16" s="271">
        <f t="shared" si="32"/>
        <v>86.7032473723624</v>
      </c>
      <c r="BX16" s="24">
        <f t="shared" si="65"/>
        <v>86.7032473723624</v>
      </c>
      <c r="BY16" s="24">
        <f t="shared" si="33"/>
        <v>1</v>
      </c>
      <c r="BZ16" s="275" t="e">
        <f t="shared" si="66"/>
        <v>#N/A</v>
      </c>
      <c r="CB16" s="273" t="str">
        <f t="shared" si="34"/>
        <v>Frankfurt</v>
      </c>
      <c r="CC16" s="271">
        <f t="shared" si="35"/>
        <v>91.734693877551</v>
      </c>
      <c r="CD16" s="24">
        <f t="shared" si="67"/>
        <v>91.734693877551</v>
      </c>
      <c r="CE16" s="24">
        <f t="shared" si="36"/>
        <v>1</v>
      </c>
      <c r="CF16" s="275" t="e">
        <f t="shared" si="68"/>
        <v>#N/A</v>
      </c>
      <c r="CH16" s="273" t="str">
        <f t="shared" si="37"/>
        <v>Frankfurt</v>
      </c>
      <c r="CI16" s="271">
        <f t="shared" si="38"/>
        <v>81.6718008671738</v>
      </c>
      <c r="CJ16" s="24">
        <f t="shared" si="69"/>
        <v>81.6718008671738</v>
      </c>
      <c r="CK16" s="24">
        <f t="shared" si="39"/>
        <v>1</v>
      </c>
      <c r="CL16" s="275" t="e">
        <f t="shared" si="70"/>
        <v>#N/A</v>
      </c>
    </row>
    <row r="17" ht="15.75" spans="1:90">
      <c r="A17" s="1">
        <f>tblTerritories!A14</f>
        <v>12</v>
      </c>
      <c r="B17" s="1" t="str">
        <f>tblTerritories!B14</f>
        <v/>
      </c>
      <c r="C17" s="1" t="str">
        <f>tblTerritories!C14</f>
        <v>Casablanca</v>
      </c>
      <c r="D17" s="1" t="str">
        <f>tblTerritories!J14</f>
        <v>Casablanca</v>
      </c>
      <c r="E17" s="1">
        <f t="shared" si="40"/>
        <v>0</v>
      </c>
      <c r="F17" s="1">
        <f>IF(tblTerritories!F14="",0,tblTerritories!F14)</f>
        <v>1</v>
      </c>
      <c r="G17" s="1">
        <f t="shared" si="0"/>
        <v>61.19832</v>
      </c>
      <c r="H17" s="1">
        <f>IF(F17=0,"",RANK(G17,G$6:G$66,0)+COUNTIF(G$6:G17,G17)-1)</f>
        <v>48</v>
      </c>
      <c r="I17" s="1">
        <f t="shared" si="41"/>
        <v>31</v>
      </c>
      <c r="J17" s="1">
        <f t="shared" si="42"/>
        <v>1</v>
      </c>
      <c r="K17" s="269" t="e">
        <f t="shared" si="1"/>
        <v>#VALUE!</v>
      </c>
      <c r="L17" s="269">
        <f t="shared" si="43"/>
        <v>1</v>
      </c>
      <c r="M17" s="268" t="e">
        <f t="shared" si="44"/>
        <v>#VALUE!</v>
      </c>
      <c r="N17" s="273" t="str">
        <f t="shared" si="2"/>
        <v>Madrid</v>
      </c>
      <c r="O17" s="271">
        <f t="shared" si="3"/>
        <v>83.8763007180121</v>
      </c>
      <c r="P17" s="24">
        <f t="shared" si="45"/>
        <v>83.8763007180121</v>
      </c>
      <c r="Q17" s="24">
        <f t="shared" si="4"/>
        <v>1</v>
      </c>
      <c r="R17" s="275" t="e">
        <f t="shared" si="46"/>
        <v>#N/A</v>
      </c>
      <c r="T17" s="273" t="str">
        <f t="shared" si="5"/>
        <v>Madrid</v>
      </c>
      <c r="U17" s="271">
        <f t="shared" si="6"/>
        <v>74.4414672324979</v>
      </c>
      <c r="V17" s="24">
        <f t="shared" si="47"/>
        <v>74.4414672324979</v>
      </c>
      <c r="W17" s="24">
        <f t="shared" si="7"/>
        <v>1</v>
      </c>
      <c r="X17" s="275" t="e">
        <f t="shared" si="48"/>
        <v>#N/A</v>
      </c>
      <c r="Z17" s="273" t="str">
        <f t="shared" si="8"/>
        <v>Madrid</v>
      </c>
      <c r="AA17" s="271">
        <f t="shared" si="9"/>
        <v>80</v>
      </c>
      <c r="AB17" s="24">
        <f t="shared" si="49"/>
        <v>80</v>
      </c>
      <c r="AC17" s="272">
        <v>1</v>
      </c>
      <c r="AD17" s="275" t="e">
        <f t="shared" si="50"/>
        <v>#N/A</v>
      </c>
      <c r="AF17" s="273" t="str">
        <f t="shared" si="10"/>
        <v>Madrid</v>
      </c>
      <c r="AG17" s="271">
        <f t="shared" si="11"/>
        <v>68.8829344649958</v>
      </c>
      <c r="AH17" s="24">
        <f t="shared" si="51"/>
        <v>68.8829344649958</v>
      </c>
      <c r="AI17" s="24">
        <f t="shared" si="12"/>
        <v>1</v>
      </c>
      <c r="AJ17" s="275" t="e">
        <f t="shared" si="52"/>
        <v>#N/A</v>
      </c>
      <c r="AL17" s="273" t="str">
        <f t="shared" si="13"/>
        <v>Madrid</v>
      </c>
      <c r="AM17" s="271">
        <f t="shared" si="14"/>
        <v>78.6915054456037</v>
      </c>
      <c r="AN17" s="24">
        <f t="shared" si="53"/>
        <v>78.6915054456037</v>
      </c>
      <c r="AO17" s="24">
        <f t="shared" si="15"/>
        <v>1</v>
      </c>
      <c r="AP17" s="275" t="e">
        <f t="shared" si="54"/>
        <v>#N/A</v>
      </c>
      <c r="AR17" s="273" t="str">
        <f t="shared" si="16"/>
        <v>Madrid</v>
      </c>
      <c r="AS17" s="271">
        <f t="shared" si="17"/>
        <v>71.7760894328803</v>
      </c>
      <c r="AT17" s="24">
        <f t="shared" si="55"/>
        <v>71.7760894328803</v>
      </c>
      <c r="AU17" s="24">
        <f t="shared" si="18"/>
        <v>1</v>
      </c>
      <c r="AV17" s="275" t="e">
        <f t="shared" si="56"/>
        <v>#N/A</v>
      </c>
      <c r="AX17" s="273" t="str">
        <f t="shared" si="19"/>
        <v>Madrid</v>
      </c>
      <c r="AY17" s="271">
        <f t="shared" si="20"/>
        <v>85.6069214583271</v>
      </c>
      <c r="AZ17" s="24">
        <f t="shared" si="57"/>
        <v>85.6069214583271</v>
      </c>
      <c r="BA17" s="24">
        <f t="shared" si="21"/>
        <v>1</v>
      </c>
      <c r="BB17" s="275" t="e">
        <f t="shared" si="58"/>
        <v>#N/A</v>
      </c>
      <c r="BD17" s="273" t="str">
        <f t="shared" si="22"/>
        <v>Madrid</v>
      </c>
      <c r="BE17" s="271">
        <f t="shared" si="23"/>
        <v>96.7641371581147</v>
      </c>
      <c r="BF17" s="24">
        <f t="shared" si="59"/>
        <v>96.7641371581147</v>
      </c>
      <c r="BG17" s="24">
        <f t="shared" si="24"/>
        <v>1</v>
      </c>
      <c r="BH17" s="275" t="e">
        <f t="shared" si="60"/>
        <v>#N/A</v>
      </c>
      <c r="BJ17" s="273" t="str">
        <f t="shared" si="25"/>
        <v>Madrid</v>
      </c>
      <c r="BK17" s="271">
        <f t="shared" si="26"/>
        <v>96.5</v>
      </c>
      <c r="BL17" s="24">
        <f t="shared" si="61"/>
        <v>96.5</v>
      </c>
      <c r="BM17" s="24">
        <f t="shared" si="27"/>
        <v>1</v>
      </c>
      <c r="BN17" s="275" t="e">
        <f t="shared" si="62"/>
        <v>#N/A</v>
      </c>
      <c r="BP17" s="273" t="str">
        <f t="shared" si="28"/>
        <v>Madrid</v>
      </c>
      <c r="BQ17" s="271">
        <f t="shared" si="29"/>
        <v>97.0282743162295</v>
      </c>
      <c r="BR17" s="24">
        <f t="shared" si="63"/>
        <v>97.0282743162295</v>
      </c>
      <c r="BS17" s="24">
        <f t="shared" si="30"/>
        <v>1</v>
      </c>
      <c r="BT17" s="275" t="e">
        <f t="shared" si="64"/>
        <v>#N/A</v>
      </c>
      <c r="BV17" s="273" t="str">
        <f t="shared" si="31"/>
        <v>Madrid</v>
      </c>
      <c r="BW17" s="271">
        <f t="shared" si="32"/>
        <v>85.608093035832</v>
      </c>
      <c r="BX17" s="24">
        <f t="shared" si="65"/>
        <v>85.608093035832</v>
      </c>
      <c r="BY17" s="24">
        <f t="shared" si="33"/>
        <v>1</v>
      </c>
      <c r="BZ17" s="275" t="e">
        <f t="shared" si="66"/>
        <v>#N/A</v>
      </c>
      <c r="CB17" s="273" t="str">
        <f t="shared" si="34"/>
        <v>Madrid</v>
      </c>
      <c r="CC17" s="271">
        <f t="shared" si="35"/>
        <v>90.952380952381</v>
      </c>
      <c r="CD17" s="24">
        <f t="shared" si="67"/>
        <v>90.952380952381</v>
      </c>
      <c r="CE17" s="24">
        <f t="shared" si="36"/>
        <v>1</v>
      </c>
      <c r="CF17" s="275" t="e">
        <f t="shared" si="68"/>
        <v>#N/A</v>
      </c>
      <c r="CH17" s="273" t="str">
        <f t="shared" si="37"/>
        <v>Madrid</v>
      </c>
      <c r="CI17" s="271">
        <f t="shared" si="38"/>
        <v>80.2638051192829</v>
      </c>
      <c r="CJ17" s="24">
        <f t="shared" si="69"/>
        <v>80.2638051192829</v>
      </c>
      <c r="CK17" s="24">
        <f t="shared" si="39"/>
        <v>1</v>
      </c>
      <c r="CL17" s="275" t="e">
        <f t="shared" si="70"/>
        <v>#N/A</v>
      </c>
    </row>
    <row r="18" ht="15.75" spans="1:90">
      <c r="A18" s="1">
        <f>tblTerritories!A15</f>
        <v>13</v>
      </c>
      <c r="B18" s="1" t="str">
        <f>tblTerritories!B15</f>
        <v/>
      </c>
      <c r="C18" s="1" t="str">
        <f>tblTerritories!C15</f>
        <v>Chicago</v>
      </c>
      <c r="D18" s="1" t="str">
        <f>tblTerritories!J15</f>
        <v>Chicago</v>
      </c>
      <c r="E18" s="1">
        <f t="shared" si="40"/>
        <v>0</v>
      </c>
      <c r="F18" s="1">
        <f>IF(tblTerritories!F15="",0,tblTerritories!F15)</f>
        <v>1</v>
      </c>
      <c r="G18" s="1">
        <f t="shared" si="0"/>
        <v>82.20844</v>
      </c>
      <c r="H18" s="1">
        <f>IF(F18=0,"",RANK(G18,G$6:G$66,0)+COUNTIF(G$6:G18,G18)-1)</f>
        <v>19</v>
      </c>
      <c r="I18" s="1">
        <f t="shared" si="41"/>
        <v>5</v>
      </c>
      <c r="J18" s="1">
        <f t="shared" si="42"/>
        <v>1</v>
      </c>
      <c r="K18" s="269" t="e">
        <f t="shared" si="1"/>
        <v>#VALUE!</v>
      </c>
      <c r="L18" s="269">
        <f t="shared" si="43"/>
        <v>1</v>
      </c>
      <c r="M18" s="268" t="e">
        <f t="shared" si="44"/>
        <v>#VALUE!</v>
      </c>
      <c r="N18" s="273" t="str">
        <f t="shared" si="2"/>
        <v>Barcelona</v>
      </c>
      <c r="O18" s="271">
        <f t="shared" si="3"/>
        <v>83.7146072727325</v>
      </c>
      <c r="P18" s="24">
        <f t="shared" si="45"/>
        <v>83.7146072727325</v>
      </c>
      <c r="Q18" s="24">
        <f t="shared" si="4"/>
        <v>1</v>
      </c>
      <c r="R18" s="275" t="e">
        <f t="shared" si="46"/>
        <v>#N/A</v>
      </c>
      <c r="T18" s="273" t="str">
        <f t="shared" si="5"/>
        <v>Barcelona</v>
      </c>
      <c r="U18" s="271">
        <f t="shared" si="6"/>
        <v>74.4414672324979</v>
      </c>
      <c r="V18" s="24">
        <f t="shared" si="47"/>
        <v>74.4414672324979</v>
      </c>
      <c r="W18" s="24">
        <f t="shared" si="7"/>
        <v>1</v>
      </c>
      <c r="X18" s="275" t="e">
        <f t="shared" si="48"/>
        <v>#N/A</v>
      </c>
      <c r="Z18" s="273" t="str">
        <f t="shared" si="8"/>
        <v>Barcelona</v>
      </c>
      <c r="AA18" s="271">
        <f t="shared" si="9"/>
        <v>80</v>
      </c>
      <c r="AB18" s="24">
        <f t="shared" si="49"/>
        <v>80</v>
      </c>
      <c r="AC18" s="272">
        <v>1</v>
      </c>
      <c r="AD18" s="275" t="e">
        <f t="shared" si="50"/>
        <v>#N/A</v>
      </c>
      <c r="AF18" s="273" t="str">
        <f t="shared" si="10"/>
        <v>Barcelona</v>
      </c>
      <c r="AG18" s="271">
        <f t="shared" si="11"/>
        <v>68.8829344649958</v>
      </c>
      <c r="AH18" s="24">
        <f t="shared" si="51"/>
        <v>68.8829344649958</v>
      </c>
      <c r="AI18" s="24">
        <f t="shared" si="12"/>
        <v>1</v>
      </c>
      <c r="AJ18" s="275" t="e">
        <f t="shared" si="52"/>
        <v>#N/A</v>
      </c>
      <c r="AL18" s="273" t="str">
        <f t="shared" si="13"/>
        <v>Barcelona</v>
      </c>
      <c r="AM18" s="271">
        <f t="shared" si="14"/>
        <v>78.5411276097704</v>
      </c>
      <c r="AN18" s="24">
        <f t="shared" si="53"/>
        <v>78.5411276097704</v>
      </c>
      <c r="AO18" s="24">
        <f t="shared" si="15"/>
        <v>1</v>
      </c>
      <c r="AP18" s="275" t="e">
        <f t="shared" si="54"/>
        <v>#N/A</v>
      </c>
      <c r="AR18" s="273" t="str">
        <f t="shared" si="16"/>
        <v>Barcelona</v>
      </c>
      <c r="AS18" s="271">
        <f t="shared" si="17"/>
        <v>73.8594227662136</v>
      </c>
      <c r="AT18" s="24">
        <f t="shared" si="55"/>
        <v>73.8594227662136</v>
      </c>
      <c r="AU18" s="24">
        <f t="shared" si="18"/>
        <v>1</v>
      </c>
      <c r="AV18" s="275" t="e">
        <f t="shared" si="56"/>
        <v>#N/A</v>
      </c>
      <c r="AX18" s="273" t="str">
        <f t="shared" si="19"/>
        <v>Barcelona</v>
      </c>
      <c r="AY18" s="271">
        <f t="shared" si="20"/>
        <v>83.2228324533271</v>
      </c>
      <c r="AZ18" s="24">
        <f t="shared" si="57"/>
        <v>83.2228324533271</v>
      </c>
      <c r="BA18" s="24">
        <f t="shared" si="21"/>
        <v>1</v>
      </c>
      <c r="BB18" s="275" t="e">
        <f t="shared" si="58"/>
        <v>#N/A</v>
      </c>
      <c r="BD18" s="273" t="str">
        <f t="shared" si="22"/>
        <v>Barcelona</v>
      </c>
      <c r="BE18" s="271">
        <f t="shared" si="23"/>
        <v>96.5932931771737</v>
      </c>
      <c r="BF18" s="24">
        <f t="shared" si="59"/>
        <v>96.5932931771737</v>
      </c>
      <c r="BG18" s="24">
        <f t="shared" si="24"/>
        <v>1</v>
      </c>
      <c r="BH18" s="275" t="e">
        <f t="shared" si="60"/>
        <v>#N/A</v>
      </c>
      <c r="BJ18" s="273" t="str">
        <f t="shared" si="25"/>
        <v>Barcelona</v>
      </c>
      <c r="BK18" s="271">
        <f t="shared" si="26"/>
        <v>96.5</v>
      </c>
      <c r="BL18" s="24">
        <f t="shared" si="61"/>
        <v>96.5</v>
      </c>
      <c r="BM18" s="24">
        <f t="shared" si="27"/>
        <v>1</v>
      </c>
      <c r="BN18" s="275" t="e">
        <f t="shared" si="62"/>
        <v>#N/A</v>
      </c>
      <c r="BP18" s="273" t="str">
        <f t="shared" si="28"/>
        <v>Barcelona</v>
      </c>
      <c r="BQ18" s="271">
        <f t="shared" si="29"/>
        <v>96.6865863543474</v>
      </c>
      <c r="BR18" s="24">
        <f t="shared" si="63"/>
        <v>96.6865863543474</v>
      </c>
      <c r="BS18" s="24">
        <f t="shared" si="30"/>
        <v>1</v>
      </c>
      <c r="BT18" s="275" t="e">
        <f t="shared" si="64"/>
        <v>#N/A</v>
      </c>
      <c r="BV18" s="273" t="str">
        <f t="shared" si="31"/>
        <v>Barcelona</v>
      </c>
      <c r="BW18" s="271">
        <f t="shared" si="32"/>
        <v>85.2825410714879</v>
      </c>
      <c r="BX18" s="24">
        <f t="shared" si="65"/>
        <v>85.2825410714879</v>
      </c>
      <c r="BY18" s="24">
        <f t="shared" si="33"/>
        <v>1</v>
      </c>
      <c r="BZ18" s="275" t="e">
        <f t="shared" si="66"/>
        <v>#N/A</v>
      </c>
      <c r="CB18" s="273" t="str">
        <f t="shared" si="34"/>
        <v>Barcelona</v>
      </c>
      <c r="CC18" s="271">
        <f t="shared" si="35"/>
        <v>90.952380952381</v>
      </c>
      <c r="CD18" s="24">
        <f t="shared" si="67"/>
        <v>90.952380952381</v>
      </c>
      <c r="CE18" s="24">
        <f t="shared" si="36"/>
        <v>1</v>
      </c>
      <c r="CF18" s="275" t="e">
        <f t="shared" si="68"/>
        <v>#N/A</v>
      </c>
      <c r="CH18" s="273" t="str">
        <f t="shared" si="37"/>
        <v>Barcelona</v>
      </c>
      <c r="CI18" s="271">
        <f t="shared" si="38"/>
        <v>79.6127011905947</v>
      </c>
      <c r="CJ18" s="24">
        <f t="shared" si="69"/>
        <v>79.6127011905947</v>
      </c>
      <c r="CK18" s="24">
        <f t="shared" si="39"/>
        <v>1</v>
      </c>
      <c r="CL18" s="275" t="e">
        <f t="shared" si="70"/>
        <v>#N/A</v>
      </c>
    </row>
    <row r="19" ht="15.75" spans="1:90">
      <c r="A19" s="1">
        <f>tblTerritories!A16</f>
        <v>14</v>
      </c>
      <c r="B19" s="1" t="str">
        <f>tblTerritories!B16</f>
        <v/>
      </c>
      <c r="C19" s="1" t="str">
        <f>tblTerritories!C16</f>
        <v>Dallas</v>
      </c>
      <c r="D19" s="1" t="str">
        <f>tblTerritories!J16</f>
        <v>Dallas</v>
      </c>
      <c r="E19" s="1">
        <f t="shared" si="40"/>
        <v>0</v>
      </c>
      <c r="F19" s="1">
        <f>IF(tblTerritories!F16="",0,tblTerritories!F16)</f>
        <v>1</v>
      </c>
      <c r="G19" s="1">
        <f t="shared" si="0"/>
        <v>78.72792</v>
      </c>
      <c r="H19" s="1">
        <f>IF(F19=0,"",RANK(G19,G$6:G$66,0)+COUNTIF(G$6:G19,G19)-1)</f>
        <v>26</v>
      </c>
      <c r="I19" s="1">
        <f t="shared" si="41"/>
        <v>48</v>
      </c>
      <c r="J19" s="1">
        <f t="shared" si="42"/>
        <v>1</v>
      </c>
      <c r="K19" s="269" t="e">
        <f t="shared" si="1"/>
        <v>#VALUE!</v>
      </c>
      <c r="L19" s="269">
        <f t="shared" si="43"/>
        <v>1</v>
      </c>
      <c r="M19" s="268" t="e">
        <f t="shared" si="44"/>
        <v>#VALUE!</v>
      </c>
      <c r="N19" s="273" t="str">
        <f t="shared" si="2"/>
        <v>Seoul</v>
      </c>
      <c r="O19" s="271">
        <f t="shared" si="3"/>
        <v>83.6051084788302</v>
      </c>
      <c r="P19" s="24">
        <f t="shared" si="45"/>
        <v>83.6051084788302</v>
      </c>
      <c r="Q19" s="24">
        <f t="shared" si="4"/>
        <v>1</v>
      </c>
      <c r="R19" s="275" t="e">
        <f t="shared" si="46"/>
        <v>#N/A</v>
      </c>
      <c r="T19" s="273" t="str">
        <f t="shared" si="5"/>
        <v>Seoul</v>
      </c>
      <c r="U19" s="271">
        <f t="shared" si="6"/>
        <v>78.4243335201438</v>
      </c>
      <c r="V19" s="24">
        <f t="shared" si="47"/>
        <v>78.4243335201438</v>
      </c>
      <c r="W19" s="24">
        <f t="shared" si="7"/>
        <v>1</v>
      </c>
      <c r="X19" s="275" t="e">
        <f t="shared" si="48"/>
        <v>#N/A</v>
      </c>
      <c r="Z19" s="273" t="str">
        <f t="shared" si="8"/>
        <v>Seoul</v>
      </c>
      <c r="AA19" s="271">
        <f t="shared" si="9"/>
        <v>66.6666666666667</v>
      </c>
      <c r="AB19" s="24">
        <f t="shared" si="49"/>
        <v>66.6666666666667</v>
      </c>
      <c r="AC19" s="272">
        <v>1</v>
      </c>
      <c r="AD19" s="275" t="e">
        <f t="shared" si="50"/>
        <v>#N/A</v>
      </c>
      <c r="AF19" s="273" t="str">
        <f t="shared" si="10"/>
        <v>Seoul</v>
      </c>
      <c r="AG19" s="271">
        <f t="shared" si="11"/>
        <v>90.1820003736209</v>
      </c>
      <c r="AH19" s="24">
        <f t="shared" si="51"/>
        <v>90.1820003736209</v>
      </c>
      <c r="AI19" s="24">
        <f t="shared" si="12"/>
        <v>1</v>
      </c>
      <c r="AJ19" s="275" t="e">
        <f t="shared" si="52"/>
        <v>#N/A</v>
      </c>
      <c r="AL19" s="273" t="str">
        <f t="shared" si="13"/>
        <v>Seoul</v>
      </c>
      <c r="AM19" s="271">
        <f t="shared" si="14"/>
        <v>82.7224155922812</v>
      </c>
      <c r="AN19" s="24">
        <f t="shared" si="53"/>
        <v>82.7224155922812</v>
      </c>
      <c r="AO19" s="24">
        <f t="shared" si="15"/>
        <v>1</v>
      </c>
      <c r="AP19" s="275" t="e">
        <f t="shared" si="54"/>
        <v>#N/A</v>
      </c>
      <c r="AR19" s="273" t="str">
        <f t="shared" si="16"/>
        <v>Seoul</v>
      </c>
      <c r="AS19" s="271">
        <f t="shared" si="17"/>
        <v>80.3904175006326</v>
      </c>
      <c r="AT19" s="24">
        <f t="shared" si="55"/>
        <v>80.3904175006326</v>
      </c>
      <c r="AU19" s="24">
        <f t="shared" si="18"/>
        <v>1</v>
      </c>
      <c r="AV19" s="275" t="e">
        <f t="shared" si="56"/>
        <v>#N/A</v>
      </c>
      <c r="AX19" s="273" t="str">
        <f t="shared" si="19"/>
        <v>Seoul</v>
      </c>
      <c r="AY19" s="271">
        <f t="shared" si="20"/>
        <v>85.0544136839298</v>
      </c>
      <c r="AZ19" s="24">
        <f t="shared" si="57"/>
        <v>85.0544136839298</v>
      </c>
      <c r="BA19" s="24">
        <f t="shared" si="21"/>
        <v>1</v>
      </c>
      <c r="BB19" s="275" t="e">
        <f t="shared" si="58"/>
        <v>#N/A</v>
      </c>
      <c r="BD19" s="273" t="str">
        <f t="shared" si="22"/>
        <v>Seoul</v>
      </c>
      <c r="BE19" s="271">
        <f t="shared" si="23"/>
        <v>87.933656523691</v>
      </c>
      <c r="BF19" s="24">
        <f t="shared" si="59"/>
        <v>87.933656523691</v>
      </c>
      <c r="BG19" s="24">
        <f t="shared" si="24"/>
        <v>1</v>
      </c>
      <c r="BH19" s="275" t="e">
        <f t="shared" si="60"/>
        <v>#N/A</v>
      </c>
      <c r="BJ19" s="273" t="str">
        <f t="shared" si="25"/>
        <v>Seoul</v>
      </c>
      <c r="BK19" s="271">
        <f t="shared" si="26"/>
        <v>89.5</v>
      </c>
      <c r="BL19" s="24">
        <f t="shared" si="61"/>
        <v>89.5</v>
      </c>
      <c r="BM19" s="24">
        <f t="shared" si="27"/>
        <v>1</v>
      </c>
      <c r="BN19" s="275" t="e">
        <f t="shared" si="62"/>
        <v>#N/A</v>
      </c>
      <c r="BP19" s="273" t="str">
        <f t="shared" si="28"/>
        <v>Seoul</v>
      </c>
      <c r="BQ19" s="271">
        <f t="shared" si="29"/>
        <v>86.3673130473819</v>
      </c>
      <c r="BR19" s="24">
        <f t="shared" si="63"/>
        <v>86.3673130473819</v>
      </c>
      <c r="BS19" s="24">
        <f t="shared" si="30"/>
        <v>1</v>
      </c>
      <c r="BT19" s="275" t="e">
        <f t="shared" si="64"/>
        <v>#N/A</v>
      </c>
      <c r="BV19" s="273" t="str">
        <f t="shared" si="31"/>
        <v>Seoul</v>
      </c>
      <c r="BW19" s="271">
        <f t="shared" si="32"/>
        <v>85.3400282792049</v>
      </c>
      <c r="BX19" s="24">
        <f t="shared" si="65"/>
        <v>85.3400282792049</v>
      </c>
      <c r="BY19" s="24">
        <f t="shared" si="33"/>
        <v>1</v>
      </c>
      <c r="BZ19" s="275" t="e">
        <f t="shared" si="66"/>
        <v>#N/A</v>
      </c>
      <c r="CB19" s="273" t="str">
        <f t="shared" si="34"/>
        <v>Seoul</v>
      </c>
      <c r="CC19" s="271">
        <f t="shared" si="35"/>
        <v>90.1700680272109</v>
      </c>
      <c r="CD19" s="24">
        <f t="shared" si="67"/>
        <v>90.1700680272109</v>
      </c>
      <c r="CE19" s="24">
        <f t="shared" si="36"/>
        <v>1</v>
      </c>
      <c r="CF19" s="275" t="e">
        <f t="shared" si="68"/>
        <v>#N/A</v>
      </c>
      <c r="CH19" s="273" t="str">
        <f t="shared" si="37"/>
        <v>Seoul</v>
      </c>
      <c r="CI19" s="271">
        <f t="shared" si="38"/>
        <v>80.5099885311989</v>
      </c>
      <c r="CJ19" s="24">
        <f t="shared" si="69"/>
        <v>80.5099885311989</v>
      </c>
      <c r="CK19" s="24">
        <f t="shared" si="39"/>
        <v>1</v>
      </c>
      <c r="CL19" s="275" t="e">
        <f t="shared" si="70"/>
        <v>#N/A</v>
      </c>
    </row>
    <row r="20" ht="15.75" spans="1:90">
      <c r="A20" s="1">
        <f>tblTerritories!A17</f>
        <v>15</v>
      </c>
      <c r="B20" s="1" t="str">
        <f>tblTerritories!B17</f>
        <v/>
      </c>
      <c r="C20" s="1" t="str">
        <f>tblTerritories!C17</f>
        <v>Delhi</v>
      </c>
      <c r="D20" s="1" t="str">
        <f>tblTerritories!J17</f>
        <v>Delhi</v>
      </c>
      <c r="E20" s="1">
        <f t="shared" si="40"/>
        <v>0</v>
      </c>
      <c r="F20" s="1">
        <f>IF(tblTerritories!F17="",0,tblTerritories!F17)</f>
        <v>1</v>
      </c>
      <c r="G20" s="1">
        <f t="shared" si="0"/>
        <v>62.3377</v>
      </c>
      <c r="H20" s="1">
        <f>IF(F20=0,"",RANK(G20,G$6:G$66,0)+COUNTIF(G$6:G20,G20)-1)</f>
        <v>43</v>
      </c>
      <c r="I20" s="1">
        <f t="shared" si="41"/>
        <v>45</v>
      </c>
      <c r="J20" s="1">
        <f t="shared" si="42"/>
        <v>1</v>
      </c>
      <c r="K20" s="269" t="e">
        <f t="shared" si="1"/>
        <v>#VALUE!</v>
      </c>
      <c r="L20" s="269">
        <f t="shared" si="43"/>
        <v>1</v>
      </c>
      <c r="M20" s="268" t="e">
        <f t="shared" si="44"/>
        <v>#VALUE!</v>
      </c>
      <c r="N20" s="273" t="str">
        <f t="shared" si="2"/>
        <v>San Francisco</v>
      </c>
      <c r="O20" s="271">
        <f t="shared" si="3"/>
        <v>83.5529579436713</v>
      </c>
      <c r="P20" s="24">
        <f t="shared" si="45"/>
        <v>83.5529579436713</v>
      </c>
      <c r="Q20" s="24">
        <f t="shared" si="4"/>
        <v>1</v>
      </c>
      <c r="R20" s="275" t="e">
        <f t="shared" si="46"/>
        <v>#N/A</v>
      </c>
      <c r="T20" s="273" t="str">
        <f t="shared" si="5"/>
        <v>San Francisco</v>
      </c>
      <c r="U20" s="271">
        <f t="shared" si="6"/>
        <v>85.1197099930515</v>
      </c>
      <c r="V20" s="24">
        <f t="shared" si="47"/>
        <v>85.1197099930515</v>
      </c>
      <c r="W20" s="24">
        <f t="shared" si="7"/>
        <v>1</v>
      </c>
      <c r="X20" s="275" t="e">
        <f t="shared" si="48"/>
        <v>#N/A</v>
      </c>
      <c r="Z20" s="273" t="str">
        <f t="shared" si="8"/>
        <v>San Francisco</v>
      </c>
      <c r="AA20" s="271">
        <f t="shared" si="9"/>
        <v>100</v>
      </c>
      <c r="AB20" s="24">
        <f t="shared" si="49"/>
        <v>100</v>
      </c>
      <c r="AC20" s="272">
        <v>1</v>
      </c>
      <c r="AD20" s="275" t="e">
        <f t="shared" si="50"/>
        <v>#N/A</v>
      </c>
      <c r="AF20" s="273" t="str">
        <f t="shared" si="10"/>
        <v>San Francisco</v>
      </c>
      <c r="AG20" s="271">
        <f t="shared" si="11"/>
        <v>70.2394199861029</v>
      </c>
      <c r="AH20" s="24">
        <f t="shared" si="51"/>
        <v>70.2394199861029</v>
      </c>
      <c r="AI20" s="24">
        <f t="shared" si="12"/>
        <v>1</v>
      </c>
      <c r="AJ20" s="275" t="e">
        <f t="shared" si="52"/>
        <v>#N/A</v>
      </c>
      <c r="AL20" s="273" t="str">
        <f t="shared" si="13"/>
        <v>San Francisco</v>
      </c>
      <c r="AM20" s="271">
        <f t="shared" si="14"/>
        <v>74.1470061961219</v>
      </c>
      <c r="AN20" s="24">
        <f t="shared" si="53"/>
        <v>74.1470061961219</v>
      </c>
      <c r="AO20" s="24">
        <f t="shared" si="15"/>
        <v>1</v>
      </c>
      <c r="AP20" s="275" t="e">
        <f t="shared" si="54"/>
        <v>#N/A</v>
      </c>
      <c r="AR20" s="273" t="str">
        <f t="shared" si="16"/>
        <v>San Francisco</v>
      </c>
      <c r="AS20" s="271">
        <f t="shared" si="17"/>
        <v>69.019125234351</v>
      </c>
      <c r="AT20" s="24">
        <f t="shared" si="55"/>
        <v>69.019125234351</v>
      </c>
      <c r="AU20" s="24">
        <f t="shared" si="18"/>
        <v>1</v>
      </c>
      <c r="AV20" s="275" t="e">
        <f t="shared" si="56"/>
        <v>#N/A</v>
      </c>
      <c r="AX20" s="273" t="str">
        <f t="shared" si="19"/>
        <v>San Francisco</v>
      </c>
      <c r="AY20" s="271">
        <f t="shared" si="20"/>
        <v>79.2748871578928</v>
      </c>
      <c r="AZ20" s="24">
        <f t="shared" si="57"/>
        <v>79.2748871578928</v>
      </c>
      <c r="BA20" s="24">
        <f t="shared" si="21"/>
        <v>1</v>
      </c>
      <c r="BB20" s="275" t="e">
        <f t="shared" si="58"/>
        <v>#N/A</v>
      </c>
      <c r="BD20" s="273" t="str">
        <f t="shared" si="22"/>
        <v>San Francisco</v>
      </c>
      <c r="BE20" s="271">
        <f t="shared" si="23"/>
        <v>91.2085493589534</v>
      </c>
      <c r="BF20" s="24">
        <f t="shared" si="59"/>
        <v>91.2085493589534</v>
      </c>
      <c r="BG20" s="24">
        <f t="shared" si="24"/>
        <v>1</v>
      </c>
      <c r="BH20" s="275" t="e">
        <f t="shared" si="60"/>
        <v>#N/A</v>
      </c>
      <c r="BJ20" s="273" t="str">
        <f t="shared" si="25"/>
        <v>San Francisco</v>
      </c>
      <c r="BK20" s="271">
        <f t="shared" si="26"/>
        <v>90.5</v>
      </c>
      <c r="BL20" s="24">
        <f t="shared" si="61"/>
        <v>90.5</v>
      </c>
      <c r="BM20" s="24">
        <f t="shared" si="27"/>
        <v>1</v>
      </c>
      <c r="BN20" s="275" t="e">
        <f t="shared" si="62"/>
        <v>#N/A</v>
      </c>
      <c r="BP20" s="273" t="str">
        <f t="shared" si="28"/>
        <v>San Francisco</v>
      </c>
      <c r="BQ20" s="271">
        <f t="shared" si="29"/>
        <v>91.9170987179069</v>
      </c>
      <c r="BR20" s="24">
        <f t="shared" si="63"/>
        <v>91.9170987179069</v>
      </c>
      <c r="BS20" s="24">
        <f t="shared" si="30"/>
        <v>1</v>
      </c>
      <c r="BT20" s="275" t="e">
        <f t="shared" si="64"/>
        <v>#N/A</v>
      </c>
      <c r="BV20" s="273" t="str">
        <f t="shared" si="31"/>
        <v>San Francisco</v>
      </c>
      <c r="BW20" s="271">
        <f t="shared" si="32"/>
        <v>83.7365662265586</v>
      </c>
      <c r="BX20" s="24">
        <f t="shared" si="65"/>
        <v>83.7365662265586</v>
      </c>
      <c r="BY20" s="24">
        <f t="shared" si="33"/>
        <v>1</v>
      </c>
      <c r="BZ20" s="275" t="e">
        <f t="shared" si="66"/>
        <v>#N/A</v>
      </c>
      <c r="CB20" s="273" t="str">
        <f t="shared" si="34"/>
        <v>San Francisco</v>
      </c>
      <c r="CC20" s="271">
        <f t="shared" si="35"/>
        <v>89.546485260771</v>
      </c>
      <c r="CD20" s="24">
        <f t="shared" si="67"/>
        <v>89.546485260771</v>
      </c>
      <c r="CE20" s="24">
        <f t="shared" si="36"/>
        <v>1</v>
      </c>
      <c r="CF20" s="275" t="e">
        <f t="shared" si="68"/>
        <v>#N/A</v>
      </c>
      <c r="CH20" s="273" t="str">
        <f t="shared" si="37"/>
        <v>San Francisco</v>
      </c>
      <c r="CI20" s="271">
        <f t="shared" si="38"/>
        <v>77.9266471923461</v>
      </c>
      <c r="CJ20" s="24">
        <f t="shared" si="69"/>
        <v>77.9266471923461</v>
      </c>
      <c r="CK20" s="24">
        <f t="shared" si="39"/>
        <v>1</v>
      </c>
      <c r="CL20" s="275" t="e">
        <f t="shared" si="70"/>
        <v>#N/A</v>
      </c>
    </row>
    <row r="21" ht="15.75" spans="1:90">
      <c r="A21" s="1">
        <f>tblTerritories!A18</f>
        <v>16</v>
      </c>
      <c r="B21" s="1" t="str">
        <f>tblTerritories!B18</f>
        <v/>
      </c>
      <c r="C21" s="1" t="str">
        <f>tblTerritories!C18</f>
        <v>Dhaka</v>
      </c>
      <c r="D21" s="1" t="str">
        <f>tblTerritories!J18</f>
        <v>Dhaka</v>
      </c>
      <c r="E21" s="1">
        <f t="shared" si="40"/>
        <v>0</v>
      </c>
      <c r="F21" s="1">
        <f>IF(tblTerritories!F18="",0,tblTerritories!F18)</f>
        <v>1</v>
      </c>
      <c r="G21" s="1">
        <f t="shared" si="0"/>
        <v>47.37255</v>
      </c>
      <c r="H21" s="1">
        <f>IF(F21=0,"",RANK(G21,G$6:G$66,0)+COUNTIF(G$6:G21,G21)-1)</f>
        <v>58</v>
      </c>
      <c r="I21" s="1">
        <f t="shared" si="41"/>
        <v>58</v>
      </c>
      <c r="J21" s="1">
        <f t="shared" si="42"/>
        <v>1</v>
      </c>
      <c r="K21" s="269" t="e">
        <f t="shared" si="1"/>
        <v>#VALUE!</v>
      </c>
      <c r="L21" s="269">
        <f t="shared" si="43"/>
        <v>1</v>
      </c>
      <c r="M21" s="268" t="e">
        <f t="shared" si="44"/>
        <v>#VALUE!</v>
      </c>
      <c r="N21" s="273" t="str">
        <f t="shared" si="2"/>
        <v>Wellington</v>
      </c>
      <c r="O21" s="271">
        <f t="shared" si="3"/>
        <v>83.1809690089348</v>
      </c>
      <c r="P21" s="24">
        <f t="shared" si="45"/>
        <v>83.1809690089348</v>
      </c>
      <c r="Q21" s="24">
        <f t="shared" si="4"/>
        <v>1</v>
      </c>
      <c r="R21" s="275" t="e">
        <f t="shared" si="46"/>
        <v>#N/A</v>
      </c>
      <c r="T21" s="273" t="str">
        <f t="shared" si="5"/>
        <v>Wellington</v>
      </c>
      <c r="U21" s="271">
        <f t="shared" si="6"/>
        <v>74.8010213712539</v>
      </c>
      <c r="V21" s="24">
        <f t="shared" si="47"/>
        <v>74.8010213712539</v>
      </c>
      <c r="W21" s="24">
        <f t="shared" si="7"/>
        <v>1</v>
      </c>
      <c r="X21" s="275" t="e">
        <f t="shared" si="48"/>
        <v>#N/A</v>
      </c>
      <c r="Z21" s="273" t="str">
        <f t="shared" si="8"/>
        <v>Wellington</v>
      </c>
      <c r="AA21" s="271">
        <f t="shared" si="9"/>
        <v>68.3333333333333</v>
      </c>
      <c r="AB21" s="24">
        <f t="shared" si="49"/>
        <v>68.3333333333333</v>
      </c>
      <c r="AC21" s="272">
        <v>1</v>
      </c>
      <c r="AD21" s="275" t="e">
        <f t="shared" si="50"/>
        <v>#N/A</v>
      </c>
      <c r="AF21" s="273" t="str">
        <f t="shared" si="10"/>
        <v>Wellington</v>
      </c>
      <c r="AG21" s="271">
        <f t="shared" si="11"/>
        <v>81.2687094091745</v>
      </c>
      <c r="AH21" s="24">
        <f t="shared" si="51"/>
        <v>81.2687094091745</v>
      </c>
      <c r="AI21" s="24">
        <f t="shared" si="12"/>
        <v>1</v>
      </c>
      <c r="AJ21" s="275" t="e">
        <f t="shared" si="52"/>
        <v>#N/A</v>
      </c>
      <c r="AL21" s="273" t="str">
        <f t="shared" si="13"/>
        <v>Wellington</v>
      </c>
      <c r="AM21" s="271">
        <f t="shared" si="14"/>
        <v>69.5127604898796</v>
      </c>
      <c r="AN21" s="24">
        <f t="shared" si="53"/>
        <v>69.5127604898796</v>
      </c>
      <c r="AO21" s="24">
        <f t="shared" si="15"/>
        <v>1</v>
      </c>
      <c r="AP21" s="275" t="e">
        <f t="shared" si="54"/>
        <v>#N/A</v>
      </c>
      <c r="AR21" s="273" t="str">
        <f t="shared" si="16"/>
        <v>Wellington</v>
      </c>
      <c r="AS21" s="271">
        <f t="shared" si="17"/>
        <v>69.5056233240216</v>
      </c>
      <c r="AT21" s="24">
        <f t="shared" si="55"/>
        <v>69.5056233240216</v>
      </c>
      <c r="AU21" s="24">
        <f t="shared" si="18"/>
        <v>1</v>
      </c>
      <c r="AV21" s="275" t="e">
        <f t="shared" si="56"/>
        <v>#N/A</v>
      </c>
      <c r="AX21" s="273" t="str">
        <f t="shared" si="19"/>
        <v>Wellington</v>
      </c>
      <c r="AY21" s="271">
        <f t="shared" si="20"/>
        <v>69.5198976557376</v>
      </c>
      <c r="AZ21" s="24">
        <f t="shared" si="57"/>
        <v>69.5198976557376</v>
      </c>
      <c r="BA21" s="24">
        <f t="shared" si="21"/>
        <v>1</v>
      </c>
      <c r="BB21" s="275" t="e">
        <f t="shared" si="58"/>
        <v>#N/A</v>
      </c>
      <c r="BD21" s="273" t="str">
        <f t="shared" si="22"/>
        <v>Wellington</v>
      </c>
      <c r="BE21" s="271">
        <f t="shared" si="23"/>
        <v>96.132600317862</v>
      </c>
      <c r="BF21" s="24">
        <f t="shared" si="59"/>
        <v>96.132600317862</v>
      </c>
      <c r="BG21" s="24">
        <f t="shared" si="24"/>
        <v>1</v>
      </c>
      <c r="BH21" s="275" t="e">
        <f t="shared" si="60"/>
        <v>#N/A</v>
      </c>
      <c r="BJ21" s="273" t="str">
        <f t="shared" si="25"/>
        <v>Wellington</v>
      </c>
      <c r="BK21" s="271">
        <f t="shared" si="26"/>
        <v>97.5</v>
      </c>
      <c r="BL21" s="24">
        <f t="shared" si="61"/>
        <v>97.5</v>
      </c>
      <c r="BM21" s="24">
        <f t="shared" si="27"/>
        <v>1</v>
      </c>
      <c r="BN21" s="275" t="e">
        <f t="shared" si="62"/>
        <v>#N/A</v>
      </c>
      <c r="BP21" s="273" t="str">
        <f t="shared" si="28"/>
        <v>Wellington</v>
      </c>
      <c r="BQ21" s="271">
        <f t="shared" si="29"/>
        <v>94.7652006357239</v>
      </c>
      <c r="BR21" s="24">
        <f t="shared" si="63"/>
        <v>94.7652006357239</v>
      </c>
      <c r="BS21" s="24">
        <f t="shared" si="30"/>
        <v>1</v>
      </c>
      <c r="BT21" s="275" t="e">
        <f t="shared" si="64"/>
        <v>#N/A</v>
      </c>
      <c r="BV21" s="273" t="str">
        <f t="shared" si="31"/>
        <v>Wellington</v>
      </c>
      <c r="BW21" s="271">
        <f t="shared" si="32"/>
        <v>92.2774938567438</v>
      </c>
      <c r="BX21" s="24">
        <f t="shared" si="65"/>
        <v>92.2774938567438</v>
      </c>
      <c r="BY21" s="24">
        <f t="shared" si="33"/>
        <v>1</v>
      </c>
      <c r="BZ21" s="275" t="e">
        <f t="shared" si="66"/>
        <v>#N/A</v>
      </c>
      <c r="CB21" s="273" t="str">
        <f t="shared" si="34"/>
        <v>Wellington</v>
      </c>
      <c r="CC21" s="271">
        <f t="shared" si="35"/>
        <v>94.4557823129252</v>
      </c>
      <c r="CD21" s="24">
        <f t="shared" si="67"/>
        <v>94.4557823129252</v>
      </c>
      <c r="CE21" s="24">
        <f t="shared" si="36"/>
        <v>1</v>
      </c>
      <c r="CF21" s="275" t="e">
        <f t="shared" si="68"/>
        <v>#N/A</v>
      </c>
      <c r="CH21" s="273" t="str">
        <f t="shared" si="37"/>
        <v>Wellington</v>
      </c>
      <c r="CI21" s="271">
        <f t="shared" si="38"/>
        <v>90.0992054005624</v>
      </c>
      <c r="CJ21" s="24">
        <f t="shared" si="69"/>
        <v>90.0992054005624</v>
      </c>
      <c r="CK21" s="24">
        <f t="shared" si="39"/>
        <v>1</v>
      </c>
      <c r="CL21" s="275" t="e">
        <f t="shared" si="70"/>
        <v>#N/A</v>
      </c>
    </row>
    <row r="22" ht="15.75" spans="1:90">
      <c r="A22" s="1">
        <f>tblTerritories!A19</f>
        <v>17</v>
      </c>
      <c r="B22" s="1" t="str">
        <f>tblTerritories!B19</f>
        <v/>
      </c>
      <c r="C22" s="1" t="str">
        <f>tblTerritories!C19</f>
        <v>Doha</v>
      </c>
      <c r="D22" s="1" t="str">
        <f>tblTerritories!J19</f>
        <v>Doha</v>
      </c>
      <c r="E22" s="1">
        <f t="shared" si="40"/>
        <v>0</v>
      </c>
      <c r="F22" s="1">
        <f>IF(tblTerritories!F19="",0,tblTerritories!F19)</f>
        <v>1</v>
      </c>
      <c r="G22" s="1">
        <f t="shared" si="0"/>
        <v>73.59416</v>
      </c>
      <c r="H22" s="1">
        <f>IF(F22=0,"",RANK(G22,G$6:G$66,0)+COUNTIF(G$6:G22,G22)-1)</f>
        <v>30</v>
      </c>
      <c r="I22" s="1">
        <f t="shared" si="41"/>
        <v>8</v>
      </c>
      <c r="J22" s="1">
        <f t="shared" si="42"/>
        <v>1</v>
      </c>
      <c r="K22" s="269" t="e">
        <f t="shared" si="1"/>
        <v>#VALUE!</v>
      </c>
      <c r="L22" s="269">
        <f t="shared" si="43"/>
        <v>1</v>
      </c>
      <c r="M22" s="268" t="e">
        <f t="shared" si="44"/>
        <v>#VALUE!</v>
      </c>
      <c r="N22" s="273" t="str">
        <f t="shared" si="2"/>
        <v>Brussels</v>
      </c>
      <c r="O22" s="271">
        <f t="shared" si="3"/>
        <v>83.0061449550164</v>
      </c>
      <c r="P22" s="24">
        <f t="shared" si="45"/>
        <v>83.0061449550164</v>
      </c>
      <c r="Q22" s="24">
        <f t="shared" si="4"/>
        <v>1</v>
      </c>
      <c r="R22" s="275" t="e">
        <f t="shared" si="46"/>
        <v>#N/A</v>
      </c>
      <c r="T22" s="273" t="str">
        <f t="shared" si="5"/>
        <v>Brussels</v>
      </c>
      <c r="U22" s="271">
        <f t="shared" si="6"/>
        <v>79.9631601574826</v>
      </c>
      <c r="V22" s="24">
        <f t="shared" si="47"/>
        <v>79.9631601574826</v>
      </c>
      <c r="W22" s="24">
        <f t="shared" si="7"/>
        <v>1</v>
      </c>
      <c r="X22" s="275" t="e">
        <f t="shared" si="48"/>
        <v>#N/A</v>
      </c>
      <c r="Z22" s="273" t="str">
        <f t="shared" si="8"/>
        <v>Brussels</v>
      </c>
      <c r="AA22" s="271">
        <f t="shared" si="9"/>
        <v>80</v>
      </c>
      <c r="AB22" s="24">
        <f t="shared" si="49"/>
        <v>80</v>
      </c>
      <c r="AC22" s="272">
        <v>1</v>
      </c>
      <c r="AD22" s="275" t="e">
        <f t="shared" si="50"/>
        <v>#N/A</v>
      </c>
      <c r="AF22" s="273" t="str">
        <f t="shared" si="10"/>
        <v>Brussels</v>
      </c>
      <c r="AG22" s="271">
        <f t="shared" si="11"/>
        <v>79.9263203149653</v>
      </c>
      <c r="AH22" s="24">
        <f t="shared" si="51"/>
        <v>79.9263203149653</v>
      </c>
      <c r="AI22" s="24">
        <f t="shared" si="12"/>
        <v>1</v>
      </c>
      <c r="AJ22" s="275" t="e">
        <f t="shared" si="52"/>
        <v>#N/A</v>
      </c>
      <c r="AL22" s="273" t="str">
        <f t="shared" si="13"/>
        <v>Brussels</v>
      </c>
      <c r="AM22" s="271">
        <f t="shared" si="14"/>
        <v>81.4126196569291</v>
      </c>
      <c r="AN22" s="24">
        <f t="shared" si="53"/>
        <v>81.4126196569291</v>
      </c>
      <c r="AO22" s="24">
        <f t="shared" si="15"/>
        <v>1</v>
      </c>
      <c r="AP22" s="275" t="e">
        <f t="shared" si="54"/>
        <v>#N/A</v>
      </c>
      <c r="AR22" s="273" t="str">
        <f t="shared" si="16"/>
        <v>Brussels</v>
      </c>
      <c r="AS22" s="271">
        <f t="shared" si="17"/>
        <v>80.6628407448346</v>
      </c>
      <c r="AT22" s="24">
        <f t="shared" si="55"/>
        <v>80.6628407448346</v>
      </c>
      <c r="AU22" s="24">
        <f t="shared" si="18"/>
        <v>1</v>
      </c>
      <c r="AV22" s="275" t="e">
        <f t="shared" si="56"/>
        <v>#N/A</v>
      </c>
      <c r="AX22" s="273" t="str">
        <f t="shared" si="19"/>
        <v>Brussels</v>
      </c>
      <c r="AY22" s="271">
        <f t="shared" si="20"/>
        <v>82.1623985690235</v>
      </c>
      <c r="AZ22" s="24">
        <f t="shared" si="57"/>
        <v>82.1623985690235</v>
      </c>
      <c r="BA22" s="24">
        <f t="shared" si="21"/>
        <v>1</v>
      </c>
      <c r="BB22" s="275" t="e">
        <f t="shared" si="58"/>
        <v>#N/A</v>
      </c>
      <c r="BD22" s="273" t="str">
        <f t="shared" si="22"/>
        <v>Brussels</v>
      </c>
      <c r="BE22" s="271">
        <f t="shared" si="23"/>
        <v>88.5618810078511</v>
      </c>
      <c r="BF22" s="24">
        <f t="shared" si="59"/>
        <v>88.5618810078511</v>
      </c>
      <c r="BG22" s="24">
        <f t="shared" si="24"/>
        <v>1</v>
      </c>
      <c r="BH22" s="275" t="e">
        <f t="shared" si="60"/>
        <v>#N/A</v>
      </c>
      <c r="BJ22" s="273" t="str">
        <f t="shared" si="25"/>
        <v>Brussels</v>
      </c>
      <c r="BK22" s="271">
        <f t="shared" si="26"/>
        <v>88.5</v>
      </c>
      <c r="BL22" s="24">
        <f t="shared" si="61"/>
        <v>88.5</v>
      </c>
      <c r="BM22" s="24">
        <f t="shared" si="27"/>
        <v>1</v>
      </c>
      <c r="BN22" s="275" t="e">
        <f t="shared" si="62"/>
        <v>#N/A</v>
      </c>
      <c r="BP22" s="273" t="str">
        <f t="shared" si="28"/>
        <v>Brussels</v>
      </c>
      <c r="BQ22" s="271">
        <f t="shared" si="29"/>
        <v>88.6237620157022</v>
      </c>
      <c r="BR22" s="24">
        <f t="shared" si="63"/>
        <v>88.6237620157022</v>
      </c>
      <c r="BS22" s="24">
        <f t="shared" si="30"/>
        <v>1</v>
      </c>
      <c r="BT22" s="275" t="e">
        <f t="shared" si="64"/>
        <v>#N/A</v>
      </c>
      <c r="BV22" s="273" t="str">
        <f t="shared" si="31"/>
        <v>Brussels</v>
      </c>
      <c r="BW22" s="271">
        <f t="shared" si="32"/>
        <v>82.0869189978028</v>
      </c>
      <c r="BX22" s="24">
        <f t="shared" si="65"/>
        <v>82.0869189978028</v>
      </c>
      <c r="BY22" s="24">
        <f t="shared" si="33"/>
        <v>1</v>
      </c>
      <c r="BZ22" s="275" t="e">
        <f t="shared" si="66"/>
        <v>#N/A</v>
      </c>
      <c r="CB22" s="273" t="str">
        <f t="shared" si="34"/>
        <v>Brussels</v>
      </c>
      <c r="CC22" s="271">
        <f t="shared" si="35"/>
        <v>83.390022675737</v>
      </c>
      <c r="CD22" s="24">
        <f t="shared" si="67"/>
        <v>83.390022675737</v>
      </c>
      <c r="CE22" s="24">
        <f t="shared" si="36"/>
        <v>1</v>
      </c>
      <c r="CF22" s="275" t="e">
        <f t="shared" si="68"/>
        <v>#N/A</v>
      </c>
      <c r="CH22" s="273" t="str">
        <f t="shared" si="37"/>
        <v>Brussels</v>
      </c>
      <c r="CI22" s="271">
        <f t="shared" si="38"/>
        <v>80.7838153198686</v>
      </c>
      <c r="CJ22" s="24">
        <f t="shared" si="69"/>
        <v>80.7838153198686</v>
      </c>
      <c r="CK22" s="24">
        <f t="shared" si="39"/>
        <v>1</v>
      </c>
      <c r="CL22" s="275" t="e">
        <f t="shared" si="70"/>
        <v>#N/A</v>
      </c>
    </row>
    <row r="23" ht="15.75" spans="1:90">
      <c r="A23" s="1">
        <f>tblTerritories!A20</f>
        <v>18</v>
      </c>
      <c r="B23" s="1" t="str">
        <f>tblTerritories!B20</f>
        <v/>
      </c>
      <c r="C23" s="1" t="str">
        <f>tblTerritories!C20</f>
        <v>Frankfurt</v>
      </c>
      <c r="D23" s="1" t="str">
        <f>tblTerritories!J20</f>
        <v>Frankfurt</v>
      </c>
      <c r="E23" s="1">
        <f t="shared" si="40"/>
        <v>0</v>
      </c>
      <c r="F23" s="1">
        <f>IF(tblTerritories!F20="",0,tblTerritories!F20)</f>
        <v>1</v>
      </c>
      <c r="G23" s="1">
        <f t="shared" si="0"/>
        <v>84.85637</v>
      </c>
      <c r="H23" s="1">
        <f>IF(F23=0,"",RANK(G23,G$6:G$66,0)+COUNTIF(G$6:G23,G23)-1)</f>
        <v>11</v>
      </c>
      <c r="I23" s="1">
        <f t="shared" si="41"/>
        <v>30</v>
      </c>
      <c r="J23" s="1">
        <f t="shared" si="42"/>
        <v>1</v>
      </c>
      <c r="K23" s="269" t="e">
        <f t="shared" si="1"/>
        <v>#VALUE!</v>
      </c>
      <c r="L23" s="269">
        <f t="shared" si="43"/>
        <v>1</v>
      </c>
      <c r="M23" s="268" t="e">
        <f t="shared" si="44"/>
        <v>#VALUE!</v>
      </c>
      <c r="N23" s="273" t="str">
        <f t="shared" si="2"/>
        <v>Los Angeles</v>
      </c>
      <c r="O23" s="271">
        <f t="shared" si="3"/>
        <v>82.2630741993645</v>
      </c>
      <c r="P23" s="24">
        <f t="shared" si="45"/>
        <v>82.2630741993645</v>
      </c>
      <c r="Q23" s="24">
        <f t="shared" si="4"/>
        <v>1</v>
      </c>
      <c r="R23" s="275" t="e">
        <f t="shared" si="46"/>
        <v>#N/A</v>
      </c>
      <c r="T23" s="273" t="str">
        <f t="shared" si="5"/>
        <v>Los Angeles</v>
      </c>
      <c r="U23" s="271">
        <f t="shared" si="6"/>
        <v>85.1197099930515</v>
      </c>
      <c r="V23" s="24">
        <f t="shared" si="47"/>
        <v>85.1197099930515</v>
      </c>
      <c r="W23" s="24">
        <f t="shared" si="7"/>
        <v>1</v>
      </c>
      <c r="X23" s="275" t="e">
        <f t="shared" si="48"/>
        <v>#N/A</v>
      </c>
      <c r="Z23" s="273" t="str">
        <f t="shared" si="8"/>
        <v>Los Angeles</v>
      </c>
      <c r="AA23" s="271">
        <f t="shared" si="9"/>
        <v>100</v>
      </c>
      <c r="AB23" s="24">
        <f t="shared" si="49"/>
        <v>100</v>
      </c>
      <c r="AC23" s="272">
        <v>1</v>
      </c>
      <c r="AD23" s="275" t="e">
        <f t="shared" si="50"/>
        <v>#N/A</v>
      </c>
      <c r="AF23" s="273" t="str">
        <f t="shared" si="10"/>
        <v>Los Angeles</v>
      </c>
      <c r="AG23" s="271">
        <f t="shared" si="11"/>
        <v>70.2394199861029</v>
      </c>
      <c r="AH23" s="24">
        <f t="shared" si="51"/>
        <v>70.2394199861029</v>
      </c>
      <c r="AI23" s="24">
        <f t="shared" si="12"/>
        <v>1</v>
      </c>
      <c r="AJ23" s="275" t="e">
        <f t="shared" si="52"/>
        <v>#N/A</v>
      </c>
      <c r="AL23" s="273" t="str">
        <f t="shared" si="13"/>
        <v>Los Angeles</v>
      </c>
      <c r="AM23" s="271">
        <f t="shared" si="14"/>
        <v>72.2636540212726</v>
      </c>
      <c r="AN23" s="24">
        <f t="shared" si="53"/>
        <v>72.2636540212726</v>
      </c>
      <c r="AO23" s="24">
        <f t="shared" si="15"/>
        <v>1</v>
      </c>
      <c r="AP23" s="275" t="e">
        <f t="shared" si="54"/>
        <v>#N/A</v>
      </c>
      <c r="AR23" s="273" t="str">
        <f t="shared" si="16"/>
        <v>Los Angeles</v>
      </c>
      <c r="AS23" s="271">
        <f t="shared" si="17"/>
        <v>69.7943190328006</v>
      </c>
      <c r="AT23" s="24">
        <f t="shared" si="55"/>
        <v>69.7943190328006</v>
      </c>
      <c r="AU23" s="24">
        <f t="shared" si="18"/>
        <v>1</v>
      </c>
      <c r="AV23" s="275" t="e">
        <f t="shared" si="56"/>
        <v>#N/A</v>
      </c>
      <c r="AX23" s="273" t="str">
        <f t="shared" si="19"/>
        <v>Los Angeles</v>
      </c>
      <c r="AY23" s="271">
        <f t="shared" si="20"/>
        <v>74.7329890097446</v>
      </c>
      <c r="AZ23" s="24">
        <f t="shared" si="57"/>
        <v>74.7329890097446</v>
      </c>
      <c r="BA23" s="24">
        <f t="shared" si="21"/>
        <v>1</v>
      </c>
      <c r="BB23" s="275" t="e">
        <f t="shared" si="58"/>
        <v>#N/A</v>
      </c>
      <c r="BD23" s="273" t="str">
        <f t="shared" si="22"/>
        <v>Los Angeles</v>
      </c>
      <c r="BE23" s="271">
        <f t="shared" si="23"/>
        <v>88.2653941225815</v>
      </c>
      <c r="BF23" s="24">
        <f t="shared" si="59"/>
        <v>88.2653941225815</v>
      </c>
      <c r="BG23" s="24">
        <f t="shared" si="24"/>
        <v>1</v>
      </c>
      <c r="BH23" s="275" t="e">
        <f t="shared" si="60"/>
        <v>#N/A</v>
      </c>
      <c r="BJ23" s="273" t="str">
        <f t="shared" si="25"/>
        <v>Los Angeles</v>
      </c>
      <c r="BK23" s="271">
        <f t="shared" si="26"/>
        <v>90.5</v>
      </c>
      <c r="BL23" s="24">
        <f t="shared" si="61"/>
        <v>90.5</v>
      </c>
      <c r="BM23" s="24">
        <f t="shared" si="27"/>
        <v>1</v>
      </c>
      <c r="BN23" s="275" t="e">
        <f t="shared" si="62"/>
        <v>#N/A</v>
      </c>
      <c r="BP23" s="273" t="str">
        <f t="shared" si="28"/>
        <v>Los Angeles</v>
      </c>
      <c r="BQ23" s="271">
        <f t="shared" si="29"/>
        <v>86.0307882451631</v>
      </c>
      <c r="BR23" s="24">
        <f t="shared" si="63"/>
        <v>86.0307882451631</v>
      </c>
      <c r="BS23" s="24">
        <f t="shared" si="30"/>
        <v>1</v>
      </c>
      <c r="BT23" s="275" t="e">
        <f t="shared" si="64"/>
        <v>#N/A</v>
      </c>
      <c r="BV23" s="273" t="str">
        <f t="shared" si="31"/>
        <v>Los Angeles</v>
      </c>
      <c r="BW23" s="271">
        <f t="shared" si="32"/>
        <v>83.4035386605523</v>
      </c>
      <c r="BX23" s="24">
        <f t="shared" si="65"/>
        <v>83.4035386605523</v>
      </c>
      <c r="BY23" s="24">
        <f t="shared" si="33"/>
        <v>1</v>
      </c>
      <c r="BZ23" s="275" t="e">
        <f t="shared" si="66"/>
        <v>#N/A</v>
      </c>
      <c r="CB23" s="273" t="str">
        <f t="shared" si="34"/>
        <v>Los Angeles</v>
      </c>
      <c r="CC23" s="271">
        <f t="shared" si="35"/>
        <v>89.546485260771</v>
      </c>
      <c r="CD23" s="24">
        <f t="shared" si="67"/>
        <v>89.546485260771</v>
      </c>
      <c r="CE23" s="24">
        <f t="shared" si="36"/>
        <v>1</v>
      </c>
      <c r="CF23" s="275" t="e">
        <f t="shared" si="68"/>
        <v>#N/A</v>
      </c>
      <c r="CH23" s="273" t="str">
        <f t="shared" si="37"/>
        <v>Los Angeles</v>
      </c>
      <c r="CI23" s="271">
        <f t="shared" si="38"/>
        <v>77.2605920603337</v>
      </c>
      <c r="CJ23" s="24">
        <f t="shared" si="69"/>
        <v>77.2605920603337</v>
      </c>
      <c r="CK23" s="24">
        <f t="shared" si="39"/>
        <v>1</v>
      </c>
      <c r="CL23" s="275" t="e">
        <f t="shared" si="70"/>
        <v>#N/A</v>
      </c>
    </row>
    <row r="24" ht="15.75" spans="1:90">
      <c r="A24" s="1">
        <f>tblTerritories!A21</f>
        <v>19</v>
      </c>
      <c r="B24" s="1" t="str">
        <f>tblTerritories!B21</f>
        <v/>
      </c>
      <c r="C24" s="1" t="str">
        <f>tblTerritories!C21</f>
        <v>Ho Chi Minh City</v>
      </c>
      <c r="D24" s="1" t="str">
        <f>tblTerritories!J21</f>
        <v>Ho Chi Minh City</v>
      </c>
      <c r="E24" s="1">
        <f t="shared" si="40"/>
        <v>0</v>
      </c>
      <c r="F24" s="1">
        <f>IF(tblTerritories!F21="",0,tblTerritories!F21)</f>
        <v>1</v>
      </c>
      <c r="G24" s="1">
        <f t="shared" si="0"/>
        <v>54.33231</v>
      </c>
      <c r="H24" s="1">
        <f>IF(F24=0,"",RANK(G24,G$6:G$66,0)+COUNTIF(G$6:G24,G24)-1)</f>
        <v>56</v>
      </c>
      <c r="I24" s="1">
        <f t="shared" si="41"/>
        <v>13</v>
      </c>
      <c r="J24" s="1">
        <f t="shared" si="42"/>
        <v>1</v>
      </c>
      <c r="K24" s="269" t="e">
        <f t="shared" si="1"/>
        <v>#VALUE!</v>
      </c>
      <c r="L24" s="269">
        <f t="shared" si="43"/>
        <v>1</v>
      </c>
      <c r="M24" s="268" t="e">
        <f t="shared" si="44"/>
        <v>#VALUE!</v>
      </c>
      <c r="N24" s="273" t="str">
        <f t="shared" si="2"/>
        <v>Chicago</v>
      </c>
      <c r="O24" s="271">
        <f t="shared" si="3"/>
        <v>82.2084414540222</v>
      </c>
      <c r="P24" s="24">
        <f t="shared" si="45"/>
        <v>82.2084414540222</v>
      </c>
      <c r="Q24" s="24">
        <f t="shared" si="4"/>
        <v>1</v>
      </c>
      <c r="R24" s="275" t="e">
        <f t="shared" si="46"/>
        <v>#N/A</v>
      </c>
      <c r="T24" s="273" t="str">
        <f t="shared" si="5"/>
        <v>Chicago</v>
      </c>
      <c r="U24" s="271">
        <f t="shared" si="6"/>
        <v>86.7504474887893</v>
      </c>
      <c r="V24" s="24">
        <f t="shared" si="47"/>
        <v>86.7504474887893</v>
      </c>
      <c r="W24" s="24">
        <f t="shared" si="7"/>
        <v>1</v>
      </c>
      <c r="X24" s="275" t="e">
        <f t="shared" si="48"/>
        <v>#N/A</v>
      </c>
      <c r="Z24" s="273" t="str">
        <f t="shared" si="8"/>
        <v>Chicago</v>
      </c>
      <c r="AA24" s="271">
        <f t="shared" si="9"/>
        <v>100</v>
      </c>
      <c r="AB24" s="24">
        <f t="shared" si="49"/>
        <v>100</v>
      </c>
      <c r="AC24" s="272">
        <v>1</v>
      </c>
      <c r="AD24" s="275" t="e">
        <f t="shared" si="50"/>
        <v>#N/A</v>
      </c>
      <c r="AF24" s="273" t="str">
        <f t="shared" si="10"/>
        <v>Chicago</v>
      </c>
      <c r="AG24" s="271">
        <f t="shared" si="11"/>
        <v>73.5008949775786</v>
      </c>
      <c r="AH24" s="24">
        <f t="shared" si="51"/>
        <v>73.5008949775786</v>
      </c>
      <c r="AI24" s="24">
        <f t="shared" si="12"/>
        <v>1</v>
      </c>
      <c r="AJ24" s="275" t="e">
        <f t="shared" si="52"/>
        <v>#N/A</v>
      </c>
      <c r="AL24" s="273" t="str">
        <f t="shared" si="13"/>
        <v>Chicago</v>
      </c>
      <c r="AM24" s="271">
        <f t="shared" si="14"/>
        <v>71.7808287167097</v>
      </c>
      <c r="AN24" s="24">
        <f t="shared" si="53"/>
        <v>71.7808287167097</v>
      </c>
      <c r="AO24" s="24">
        <f t="shared" si="15"/>
        <v>1</v>
      </c>
      <c r="AP24" s="275" t="e">
        <f t="shared" si="54"/>
        <v>#N/A</v>
      </c>
      <c r="AR24" s="273" t="str">
        <f t="shared" si="16"/>
        <v>Chicago</v>
      </c>
      <c r="AS24" s="271">
        <f t="shared" si="17"/>
        <v>70.1642895040257</v>
      </c>
      <c r="AT24" s="24">
        <f t="shared" si="55"/>
        <v>70.1642895040257</v>
      </c>
      <c r="AU24" s="24">
        <f t="shared" si="18"/>
        <v>1</v>
      </c>
      <c r="AV24" s="275" t="e">
        <f t="shared" si="56"/>
        <v>#N/A</v>
      </c>
      <c r="AX24" s="273" t="str">
        <f t="shared" si="19"/>
        <v>Chicago</v>
      </c>
      <c r="AY24" s="271">
        <f t="shared" si="20"/>
        <v>73.3973679293937</v>
      </c>
      <c r="AZ24" s="24">
        <f t="shared" si="57"/>
        <v>73.3973679293937</v>
      </c>
      <c r="BA24" s="24">
        <f t="shared" si="21"/>
        <v>1</v>
      </c>
      <c r="BB24" s="275" t="e">
        <f t="shared" si="58"/>
        <v>#N/A</v>
      </c>
      <c r="BD24" s="273" t="str">
        <f t="shared" si="22"/>
        <v>Chicago</v>
      </c>
      <c r="BE24" s="271">
        <f t="shared" si="23"/>
        <v>87.4662031145375</v>
      </c>
      <c r="BF24" s="24">
        <f t="shared" si="59"/>
        <v>87.4662031145375</v>
      </c>
      <c r="BG24" s="24">
        <f t="shared" si="24"/>
        <v>1</v>
      </c>
      <c r="BH24" s="275" t="e">
        <f t="shared" si="60"/>
        <v>#N/A</v>
      </c>
      <c r="BJ24" s="273" t="str">
        <f t="shared" si="25"/>
        <v>Chicago</v>
      </c>
      <c r="BK24" s="271">
        <f t="shared" si="26"/>
        <v>90.5</v>
      </c>
      <c r="BL24" s="24">
        <f t="shared" si="61"/>
        <v>90.5</v>
      </c>
      <c r="BM24" s="24">
        <f t="shared" si="27"/>
        <v>1</v>
      </c>
      <c r="BN24" s="275" t="e">
        <f t="shared" si="62"/>
        <v>#N/A</v>
      </c>
      <c r="BP24" s="273" t="str">
        <f t="shared" si="28"/>
        <v>Chicago</v>
      </c>
      <c r="BQ24" s="271">
        <f t="shared" si="29"/>
        <v>84.4324062290751</v>
      </c>
      <c r="BR24" s="24">
        <f t="shared" si="63"/>
        <v>84.4324062290751</v>
      </c>
      <c r="BS24" s="24">
        <f t="shared" si="30"/>
        <v>1</v>
      </c>
      <c r="BT24" s="275" t="e">
        <f t="shared" si="64"/>
        <v>#N/A</v>
      </c>
      <c r="BV24" s="273" t="str">
        <f t="shared" si="31"/>
        <v>Chicago</v>
      </c>
      <c r="BW24" s="271">
        <f t="shared" si="32"/>
        <v>82.8362864960522</v>
      </c>
      <c r="BX24" s="24">
        <f t="shared" si="65"/>
        <v>82.8362864960522</v>
      </c>
      <c r="BY24" s="24">
        <f t="shared" si="33"/>
        <v>1</v>
      </c>
      <c r="BZ24" s="275" t="e">
        <f t="shared" si="66"/>
        <v>#N/A</v>
      </c>
      <c r="CB24" s="273" t="str">
        <f t="shared" si="34"/>
        <v>Chicago</v>
      </c>
      <c r="CC24" s="271">
        <f t="shared" si="35"/>
        <v>88.7528344671202</v>
      </c>
      <c r="CD24" s="24">
        <f t="shared" si="67"/>
        <v>88.7528344671202</v>
      </c>
      <c r="CE24" s="24">
        <f t="shared" si="36"/>
        <v>1</v>
      </c>
      <c r="CF24" s="275" t="e">
        <f t="shared" si="68"/>
        <v>#N/A</v>
      </c>
      <c r="CH24" s="273" t="str">
        <f t="shared" si="37"/>
        <v>Chicago</v>
      </c>
      <c r="CI24" s="271">
        <f t="shared" si="38"/>
        <v>76.9197385249842</v>
      </c>
      <c r="CJ24" s="24">
        <f t="shared" si="69"/>
        <v>76.9197385249842</v>
      </c>
      <c r="CK24" s="24">
        <f t="shared" si="39"/>
        <v>1</v>
      </c>
      <c r="CL24" s="275" t="e">
        <f t="shared" si="70"/>
        <v>#N/A</v>
      </c>
    </row>
    <row r="25" ht="15.75" spans="1:90">
      <c r="A25" s="1">
        <f>tblTerritories!A22</f>
        <v>20</v>
      </c>
      <c r="B25" s="1" t="str">
        <f>tblTerritories!B22</f>
        <v/>
      </c>
      <c r="C25" s="1" t="str">
        <f>tblTerritories!C22</f>
        <v>Hong Kong</v>
      </c>
      <c r="D25" s="1" t="str">
        <f>tblTerritories!J22</f>
        <v>Hong Kong</v>
      </c>
      <c r="E25" s="1">
        <f t="shared" si="40"/>
        <v>0</v>
      </c>
      <c r="F25" s="1">
        <f>IF(tblTerritories!F22="",0,tblTerritories!F22)</f>
        <v>1</v>
      </c>
      <c r="G25" s="1">
        <f t="shared" si="0"/>
        <v>86.21515</v>
      </c>
      <c r="H25" s="1">
        <f>IF(F25=0,"",RANK(G25,G$6:G$66,0)+COUNTIF(G$6:G25,G25)-1)</f>
        <v>9</v>
      </c>
      <c r="I25" s="1">
        <f t="shared" si="41"/>
        <v>29</v>
      </c>
      <c r="J25" s="1">
        <f t="shared" si="42"/>
        <v>1</v>
      </c>
      <c r="K25" s="269" t="e">
        <f t="shared" si="1"/>
        <v>#VALUE!</v>
      </c>
      <c r="L25" s="269">
        <f t="shared" si="43"/>
        <v>1</v>
      </c>
      <c r="M25" s="268" t="e">
        <f t="shared" si="44"/>
        <v>#VALUE!</v>
      </c>
      <c r="N25" s="273" t="str">
        <f t="shared" si="2"/>
        <v>London</v>
      </c>
      <c r="O25" s="271">
        <f t="shared" si="3"/>
        <v>82.0960116014609</v>
      </c>
      <c r="P25" s="24">
        <f t="shared" si="45"/>
        <v>82.0960116014609</v>
      </c>
      <c r="Q25" s="24">
        <f t="shared" si="4"/>
        <v>1</v>
      </c>
      <c r="R25" s="275" t="e">
        <f t="shared" si="46"/>
        <v>#N/A</v>
      </c>
      <c r="T25" s="273" t="str">
        <f t="shared" si="5"/>
        <v>London</v>
      </c>
      <c r="U25" s="271">
        <f t="shared" si="6"/>
        <v>73.3635081842551</v>
      </c>
      <c r="V25" s="24">
        <f t="shared" si="47"/>
        <v>73.3635081842551</v>
      </c>
      <c r="W25" s="24">
        <f t="shared" si="7"/>
        <v>1</v>
      </c>
      <c r="X25" s="275" t="e">
        <f t="shared" si="48"/>
        <v>#N/A</v>
      </c>
      <c r="Z25" s="273" t="str">
        <f t="shared" si="8"/>
        <v>London</v>
      </c>
      <c r="AA25" s="271">
        <f t="shared" si="9"/>
        <v>80</v>
      </c>
      <c r="AB25" s="24">
        <f t="shared" si="49"/>
        <v>80</v>
      </c>
      <c r="AC25" s="272">
        <v>1</v>
      </c>
      <c r="AD25" s="275" t="e">
        <f t="shared" si="50"/>
        <v>#N/A</v>
      </c>
      <c r="AF25" s="273" t="str">
        <f t="shared" si="10"/>
        <v>London</v>
      </c>
      <c r="AG25" s="271">
        <f t="shared" si="11"/>
        <v>66.7270163685102</v>
      </c>
      <c r="AH25" s="24">
        <f t="shared" si="51"/>
        <v>66.7270163685102</v>
      </c>
      <c r="AI25" s="24">
        <f t="shared" si="12"/>
        <v>1</v>
      </c>
      <c r="AJ25" s="275" t="e">
        <f t="shared" si="52"/>
        <v>#N/A</v>
      </c>
      <c r="AL25" s="273" t="str">
        <f t="shared" si="13"/>
        <v>London</v>
      </c>
      <c r="AM25" s="271">
        <f t="shared" si="14"/>
        <v>76.0642876445033</v>
      </c>
      <c r="AN25" s="24">
        <f t="shared" si="53"/>
        <v>76.0642876445033</v>
      </c>
      <c r="AO25" s="24">
        <f t="shared" si="15"/>
        <v>1</v>
      </c>
      <c r="AP25" s="275" t="e">
        <f t="shared" si="54"/>
        <v>#N/A</v>
      </c>
      <c r="AR25" s="273" t="str">
        <f t="shared" si="16"/>
        <v>London</v>
      </c>
      <c r="AS25" s="271">
        <f t="shared" si="17"/>
        <v>68.7409713070388</v>
      </c>
      <c r="AT25" s="24">
        <f t="shared" si="55"/>
        <v>68.7409713070388</v>
      </c>
      <c r="AU25" s="24">
        <f t="shared" si="18"/>
        <v>1</v>
      </c>
      <c r="AV25" s="275" t="e">
        <f t="shared" si="56"/>
        <v>#N/A</v>
      </c>
      <c r="AX25" s="273" t="str">
        <f t="shared" si="19"/>
        <v>London</v>
      </c>
      <c r="AY25" s="271">
        <f t="shared" si="20"/>
        <v>83.3876039819678</v>
      </c>
      <c r="AZ25" s="24">
        <f t="shared" si="57"/>
        <v>83.3876039819678</v>
      </c>
      <c r="BA25" s="24">
        <f t="shared" si="21"/>
        <v>1</v>
      </c>
      <c r="BB25" s="275" t="e">
        <f t="shared" si="58"/>
        <v>#N/A</v>
      </c>
      <c r="BD25" s="273" t="str">
        <f t="shared" si="22"/>
        <v>London</v>
      </c>
      <c r="BE25" s="271">
        <f t="shared" si="23"/>
        <v>93.4394058871563</v>
      </c>
      <c r="BF25" s="24">
        <f t="shared" si="59"/>
        <v>93.4394058871563</v>
      </c>
      <c r="BG25" s="24">
        <f t="shared" si="24"/>
        <v>1</v>
      </c>
      <c r="BH25" s="275" t="e">
        <f t="shared" si="60"/>
        <v>#N/A</v>
      </c>
      <c r="BJ25" s="273" t="str">
        <f t="shared" si="25"/>
        <v>London</v>
      </c>
      <c r="BK25" s="271">
        <f t="shared" si="26"/>
        <v>92.5</v>
      </c>
      <c r="BL25" s="24">
        <f t="shared" si="61"/>
        <v>92.5</v>
      </c>
      <c r="BM25" s="24">
        <f t="shared" si="27"/>
        <v>1</v>
      </c>
      <c r="BN25" s="275" t="e">
        <f t="shared" si="62"/>
        <v>#N/A</v>
      </c>
      <c r="BP25" s="273" t="str">
        <f t="shared" si="28"/>
        <v>London</v>
      </c>
      <c r="BQ25" s="271">
        <f t="shared" si="29"/>
        <v>94.3788117743126</v>
      </c>
      <c r="BR25" s="24">
        <f t="shared" si="63"/>
        <v>94.3788117743126</v>
      </c>
      <c r="BS25" s="24">
        <f t="shared" si="30"/>
        <v>1</v>
      </c>
      <c r="BT25" s="275" t="e">
        <f t="shared" si="64"/>
        <v>#N/A</v>
      </c>
      <c r="BV25" s="273" t="str">
        <f t="shared" si="31"/>
        <v>London</v>
      </c>
      <c r="BW25" s="271">
        <f t="shared" si="32"/>
        <v>85.5168446899291</v>
      </c>
      <c r="BX25" s="24">
        <f t="shared" si="65"/>
        <v>85.5168446899291</v>
      </c>
      <c r="BY25" s="24">
        <f t="shared" si="33"/>
        <v>1</v>
      </c>
      <c r="BZ25" s="275" t="e">
        <f t="shared" si="66"/>
        <v>#N/A</v>
      </c>
      <c r="CB25" s="273" t="str">
        <f t="shared" si="34"/>
        <v>London</v>
      </c>
      <c r="CC25" s="271">
        <f t="shared" si="35"/>
        <v>94.1609977324263</v>
      </c>
      <c r="CD25" s="24">
        <f t="shared" si="67"/>
        <v>94.1609977324263</v>
      </c>
      <c r="CE25" s="24">
        <f t="shared" si="36"/>
        <v>1</v>
      </c>
      <c r="CF25" s="275" t="e">
        <f t="shared" si="68"/>
        <v>#N/A</v>
      </c>
      <c r="CH25" s="273" t="str">
        <f t="shared" si="37"/>
        <v>London</v>
      </c>
      <c r="CI25" s="271">
        <f t="shared" si="38"/>
        <v>76.872691647432</v>
      </c>
      <c r="CJ25" s="24">
        <f t="shared" si="69"/>
        <v>76.872691647432</v>
      </c>
      <c r="CK25" s="24">
        <f t="shared" si="39"/>
        <v>1</v>
      </c>
      <c r="CL25" s="275" t="e">
        <f t="shared" si="70"/>
        <v>#N/A</v>
      </c>
    </row>
    <row r="26" ht="15.75" spans="1:90">
      <c r="A26" s="1">
        <f>tblTerritories!A23</f>
        <v>21</v>
      </c>
      <c r="B26" s="1" t="str">
        <f>tblTerritories!B23</f>
        <v/>
      </c>
      <c r="C26" s="1" t="str">
        <f>tblTerritories!C23</f>
        <v>Istanbul</v>
      </c>
      <c r="D26" s="1" t="str">
        <f>tblTerritories!J23</f>
        <v>Istanbul</v>
      </c>
      <c r="E26" s="1">
        <f t="shared" si="40"/>
        <v>0</v>
      </c>
      <c r="F26" s="1">
        <f>IF(tblTerritories!F23="",0,tblTerritories!F23)</f>
        <v>1</v>
      </c>
      <c r="G26" s="1">
        <f t="shared" si="0"/>
        <v>65.2336</v>
      </c>
      <c r="H26" s="1">
        <f>IF(F26=0,"",RANK(G26,G$6:G$66,0)+COUNTIF(G$6:G26,G26)-1)</f>
        <v>40</v>
      </c>
      <c r="I26" s="1">
        <f t="shared" si="41"/>
        <v>38</v>
      </c>
      <c r="J26" s="1">
        <f t="shared" si="42"/>
        <v>1</v>
      </c>
      <c r="K26" s="269" t="e">
        <f t="shared" si="1"/>
        <v>#VALUE!</v>
      </c>
      <c r="L26" s="269">
        <f t="shared" si="43"/>
        <v>1</v>
      </c>
      <c r="M26" s="268" t="e">
        <f t="shared" si="44"/>
        <v>#VALUE!</v>
      </c>
      <c r="N26" s="273" t="str">
        <f t="shared" si="2"/>
        <v>New York</v>
      </c>
      <c r="O26" s="271">
        <f t="shared" si="3"/>
        <v>81.0121651371737</v>
      </c>
      <c r="P26" s="24">
        <f t="shared" si="45"/>
        <v>81.0121651371737</v>
      </c>
      <c r="Q26" s="24">
        <f t="shared" si="4"/>
        <v>1</v>
      </c>
      <c r="R26" s="275" t="e">
        <f t="shared" si="46"/>
        <v>#N/A</v>
      </c>
      <c r="T26" s="273" t="str">
        <f t="shared" si="5"/>
        <v>New York</v>
      </c>
      <c r="U26" s="271">
        <f t="shared" si="6"/>
        <v>84.950282720767</v>
      </c>
      <c r="V26" s="24">
        <f t="shared" si="47"/>
        <v>84.950282720767</v>
      </c>
      <c r="W26" s="24">
        <f t="shared" si="7"/>
        <v>1</v>
      </c>
      <c r="X26" s="275" t="e">
        <f t="shared" si="48"/>
        <v>#N/A</v>
      </c>
      <c r="Z26" s="273" t="str">
        <f t="shared" si="8"/>
        <v>New York</v>
      </c>
      <c r="AA26" s="271">
        <f t="shared" si="9"/>
        <v>100</v>
      </c>
      <c r="AB26" s="24">
        <f t="shared" si="49"/>
        <v>100</v>
      </c>
      <c r="AC26" s="272">
        <v>1</v>
      </c>
      <c r="AD26" s="275" t="e">
        <f t="shared" si="50"/>
        <v>#N/A</v>
      </c>
      <c r="AF26" s="273" t="str">
        <f t="shared" si="10"/>
        <v>New York</v>
      </c>
      <c r="AG26" s="271">
        <f t="shared" si="11"/>
        <v>69.900565441534</v>
      </c>
      <c r="AH26" s="24">
        <f t="shared" si="51"/>
        <v>69.900565441534</v>
      </c>
      <c r="AI26" s="24">
        <f t="shared" si="12"/>
        <v>1</v>
      </c>
      <c r="AJ26" s="275" t="e">
        <f t="shared" si="52"/>
        <v>#N/A</v>
      </c>
      <c r="AL26" s="273" t="str">
        <f t="shared" si="13"/>
        <v>New York</v>
      </c>
      <c r="AM26" s="271">
        <f t="shared" si="14"/>
        <v>69.7300246464941</v>
      </c>
      <c r="AN26" s="24">
        <f t="shared" si="53"/>
        <v>69.7300246464941</v>
      </c>
      <c r="AO26" s="24">
        <f t="shared" si="15"/>
        <v>1</v>
      </c>
      <c r="AP26" s="275" t="e">
        <f t="shared" si="54"/>
        <v>#N/A</v>
      </c>
      <c r="AR26" s="273" t="str">
        <f t="shared" si="16"/>
        <v>New York</v>
      </c>
      <c r="AS26" s="271">
        <f t="shared" si="17"/>
        <v>72.8691930212223</v>
      </c>
      <c r="AT26" s="24">
        <f t="shared" si="55"/>
        <v>72.8691930212223</v>
      </c>
      <c r="AU26" s="24">
        <f t="shared" si="18"/>
        <v>1</v>
      </c>
      <c r="AV26" s="275" t="e">
        <f t="shared" si="56"/>
        <v>#N/A</v>
      </c>
      <c r="AX26" s="273" t="str">
        <f t="shared" si="19"/>
        <v>New York</v>
      </c>
      <c r="AY26" s="271">
        <f t="shared" si="20"/>
        <v>66.5908562717659</v>
      </c>
      <c r="AZ26" s="24">
        <f t="shared" si="57"/>
        <v>66.5908562717659</v>
      </c>
      <c r="BA26" s="24">
        <f t="shared" si="21"/>
        <v>1</v>
      </c>
      <c r="BB26" s="275" t="e">
        <f t="shared" si="58"/>
        <v>#N/A</v>
      </c>
      <c r="BD26" s="273" t="str">
        <f t="shared" si="22"/>
        <v>New York</v>
      </c>
      <c r="BE26" s="271">
        <f t="shared" si="23"/>
        <v>88.3905540917254</v>
      </c>
      <c r="BF26" s="24">
        <f t="shared" si="59"/>
        <v>88.3905540917254</v>
      </c>
      <c r="BG26" s="24">
        <f t="shared" si="24"/>
        <v>1</v>
      </c>
      <c r="BH26" s="275" t="e">
        <f t="shared" si="60"/>
        <v>#N/A</v>
      </c>
      <c r="BJ26" s="273" t="str">
        <f t="shared" si="25"/>
        <v>New York</v>
      </c>
      <c r="BK26" s="271">
        <f t="shared" si="26"/>
        <v>90.5</v>
      </c>
      <c r="BL26" s="24">
        <f t="shared" si="61"/>
        <v>90.5</v>
      </c>
      <c r="BM26" s="24">
        <f t="shared" si="27"/>
        <v>1</v>
      </c>
      <c r="BN26" s="275" t="e">
        <f t="shared" si="62"/>
        <v>#N/A</v>
      </c>
      <c r="BP26" s="273" t="str">
        <f t="shared" si="28"/>
        <v>New York</v>
      </c>
      <c r="BQ26" s="271">
        <f t="shared" si="29"/>
        <v>86.2811081834508</v>
      </c>
      <c r="BR26" s="24">
        <f t="shared" si="63"/>
        <v>86.2811081834508</v>
      </c>
      <c r="BS26" s="24">
        <f t="shared" si="30"/>
        <v>1</v>
      </c>
      <c r="BT26" s="275" t="e">
        <f t="shared" si="64"/>
        <v>#N/A</v>
      </c>
      <c r="BV26" s="273" t="str">
        <f t="shared" si="31"/>
        <v>New York</v>
      </c>
      <c r="BW26" s="271">
        <f t="shared" si="32"/>
        <v>80.9777990897082</v>
      </c>
      <c r="BX26" s="24">
        <f t="shared" si="65"/>
        <v>80.9777990897082</v>
      </c>
      <c r="BY26" s="24">
        <f t="shared" si="33"/>
        <v>1</v>
      </c>
      <c r="BZ26" s="275" t="e">
        <f t="shared" si="66"/>
        <v>#N/A</v>
      </c>
      <c r="CB26" s="273" t="str">
        <f t="shared" si="34"/>
        <v>New York</v>
      </c>
      <c r="CC26" s="271">
        <f t="shared" si="35"/>
        <v>87.8458049886622</v>
      </c>
      <c r="CD26" s="24">
        <f t="shared" si="67"/>
        <v>87.8458049886622</v>
      </c>
      <c r="CE26" s="24">
        <f t="shared" si="36"/>
        <v>1</v>
      </c>
      <c r="CF26" s="275" t="e">
        <f t="shared" si="68"/>
        <v>#N/A</v>
      </c>
      <c r="CH26" s="273" t="str">
        <f t="shared" si="37"/>
        <v>New York</v>
      </c>
      <c r="CI26" s="271">
        <f t="shared" si="38"/>
        <v>74.1097931907543</v>
      </c>
      <c r="CJ26" s="24">
        <f t="shared" si="69"/>
        <v>74.1097931907543</v>
      </c>
      <c r="CK26" s="24">
        <f t="shared" si="39"/>
        <v>1</v>
      </c>
      <c r="CL26" s="275" t="e">
        <f t="shared" si="70"/>
        <v>#N/A</v>
      </c>
    </row>
    <row r="27" ht="15.75" spans="1:90">
      <c r="A27" s="1">
        <f>tblTerritories!A24</f>
        <v>22</v>
      </c>
      <c r="B27" s="1" t="str">
        <f>tblTerritories!B24</f>
        <v/>
      </c>
      <c r="C27" s="1" t="str">
        <f>tblTerritories!C24</f>
        <v>Jakarta</v>
      </c>
      <c r="D27" s="1" t="str">
        <f>tblTerritories!J24</f>
        <v>Jakarta</v>
      </c>
      <c r="E27" s="1">
        <f t="shared" si="40"/>
        <v>0</v>
      </c>
      <c r="F27" s="1">
        <f>IF(tblTerritories!F24="",0,tblTerritories!F24)</f>
        <v>1</v>
      </c>
      <c r="G27" s="1">
        <f t="shared" si="0"/>
        <v>53.39263</v>
      </c>
      <c r="H27" s="1">
        <f>IF(F27=0,"",RANK(G27,G$6:G$66,0)+COUNTIF(G$6:G27,G27)-1)</f>
        <v>57</v>
      </c>
      <c r="I27" s="1">
        <f t="shared" si="41"/>
        <v>53</v>
      </c>
      <c r="J27" s="1">
        <f t="shared" si="42"/>
        <v>1</v>
      </c>
      <c r="K27" s="269" t="e">
        <f t="shared" si="1"/>
        <v>#VALUE!</v>
      </c>
      <c r="L27" s="269">
        <f t="shared" si="43"/>
        <v>1</v>
      </c>
      <c r="M27" s="268" t="e">
        <f t="shared" si="44"/>
        <v>#VALUE!</v>
      </c>
      <c r="N27" s="273" t="str">
        <f t="shared" si="2"/>
        <v>Taipei</v>
      </c>
      <c r="O27" s="271">
        <f t="shared" si="3"/>
        <v>80.7020484094921</v>
      </c>
      <c r="P27" s="24">
        <f t="shared" si="45"/>
        <v>80.7020484094921</v>
      </c>
      <c r="Q27" s="24">
        <f t="shared" si="4"/>
        <v>1</v>
      </c>
      <c r="R27" s="275" t="e">
        <f t="shared" si="46"/>
        <v>#N/A</v>
      </c>
      <c r="T27" s="273" t="str">
        <f t="shared" si="5"/>
        <v>Taipei</v>
      </c>
      <c r="U27" s="271">
        <f t="shared" si="6"/>
        <v>65.9772772917516</v>
      </c>
      <c r="V27" s="24">
        <f t="shared" si="47"/>
        <v>65.9772772917516</v>
      </c>
      <c r="W27" s="24">
        <f t="shared" si="7"/>
        <v>1</v>
      </c>
      <c r="X27" s="275" t="e">
        <f t="shared" si="48"/>
        <v>#N/A</v>
      </c>
      <c r="Z27" s="273" t="str">
        <f t="shared" si="8"/>
        <v>Taipei</v>
      </c>
      <c r="AA27" s="271">
        <f t="shared" si="9"/>
        <v>88.3333333333333</v>
      </c>
      <c r="AB27" s="24">
        <f t="shared" si="49"/>
        <v>88.3333333333333</v>
      </c>
      <c r="AC27" s="272">
        <v>1</v>
      </c>
      <c r="AD27" s="275" t="e">
        <f t="shared" si="50"/>
        <v>#N/A</v>
      </c>
      <c r="AF27" s="273" t="str">
        <f t="shared" si="10"/>
        <v>Taipei</v>
      </c>
      <c r="AG27" s="271">
        <f t="shared" si="11"/>
        <v>43.6212212501698</v>
      </c>
      <c r="AH27" s="24">
        <f t="shared" si="51"/>
        <v>43.6212212501698</v>
      </c>
      <c r="AI27" s="24">
        <f t="shared" si="12"/>
        <v>1</v>
      </c>
      <c r="AJ27" s="275" t="e">
        <f t="shared" si="52"/>
        <v>#N/A</v>
      </c>
      <c r="AL27" s="273" t="str">
        <f t="shared" si="13"/>
        <v>Taipei</v>
      </c>
      <c r="AM27" s="271">
        <f t="shared" si="14"/>
        <v>79.2262317869643</v>
      </c>
      <c r="AN27" s="24">
        <f t="shared" si="53"/>
        <v>79.2262317869643</v>
      </c>
      <c r="AO27" s="24">
        <f t="shared" si="15"/>
        <v>1</v>
      </c>
      <c r="AP27" s="275" t="e">
        <f t="shared" si="54"/>
        <v>#N/A</v>
      </c>
      <c r="AR27" s="273" t="str">
        <f t="shared" si="16"/>
        <v>Taipei</v>
      </c>
      <c r="AS27" s="271">
        <f t="shared" si="17"/>
        <v>76.2388327805633</v>
      </c>
      <c r="AT27" s="24">
        <f t="shared" si="55"/>
        <v>76.2388327805633</v>
      </c>
      <c r="AU27" s="24">
        <f t="shared" si="18"/>
        <v>1</v>
      </c>
      <c r="AV27" s="275" t="e">
        <f t="shared" si="56"/>
        <v>#N/A</v>
      </c>
      <c r="AX27" s="273" t="str">
        <f t="shared" si="19"/>
        <v>Taipei</v>
      </c>
      <c r="AY27" s="271">
        <f t="shared" si="20"/>
        <v>82.2136307933653</v>
      </c>
      <c r="AZ27" s="24">
        <f t="shared" si="57"/>
        <v>82.2136307933653</v>
      </c>
      <c r="BA27" s="24">
        <f t="shared" si="21"/>
        <v>1</v>
      </c>
      <c r="BB27" s="275" t="e">
        <f t="shared" si="58"/>
        <v>#N/A</v>
      </c>
      <c r="BD27" s="273" t="str">
        <f t="shared" si="22"/>
        <v>Taipei</v>
      </c>
      <c r="BE27" s="271">
        <f t="shared" si="23"/>
        <v>87.586180456734</v>
      </c>
      <c r="BF27" s="24">
        <f t="shared" si="59"/>
        <v>87.586180456734</v>
      </c>
      <c r="BG27" s="24">
        <f t="shared" si="24"/>
        <v>1</v>
      </c>
      <c r="BH27" s="275" t="e">
        <f t="shared" si="60"/>
        <v>#N/A</v>
      </c>
      <c r="BJ27" s="273" t="str">
        <f t="shared" si="25"/>
        <v>Taipei</v>
      </c>
      <c r="BK27" s="271">
        <f t="shared" si="26"/>
        <v>80.5</v>
      </c>
      <c r="BL27" s="24">
        <f t="shared" si="61"/>
        <v>80.5</v>
      </c>
      <c r="BM27" s="24">
        <f t="shared" si="27"/>
        <v>1</v>
      </c>
      <c r="BN27" s="275" t="e">
        <f t="shared" si="62"/>
        <v>#N/A</v>
      </c>
      <c r="BP27" s="273" t="str">
        <f t="shared" si="28"/>
        <v>Taipei</v>
      </c>
      <c r="BQ27" s="271">
        <f t="shared" si="29"/>
        <v>94.6723609134681</v>
      </c>
      <c r="BR27" s="24">
        <f t="shared" si="63"/>
        <v>94.6723609134681</v>
      </c>
      <c r="BS27" s="24">
        <f t="shared" si="30"/>
        <v>1</v>
      </c>
      <c r="BT27" s="275" t="e">
        <f t="shared" si="64"/>
        <v>#N/A</v>
      </c>
      <c r="BV27" s="273" t="str">
        <f t="shared" si="31"/>
        <v>Taipei</v>
      </c>
      <c r="BW27" s="271">
        <f t="shared" si="32"/>
        <v>90.0185041025186</v>
      </c>
      <c r="BX27" s="24">
        <f t="shared" si="65"/>
        <v>90.0185041025186</v>
      </c>
      <c r="BY27" s="24">
        <f t="shared" si="33"/>
        <v>1</v>
      </c>
      <c r="BZ27" s="275" t="e">
        <f t="shared" si="66"/>
        <v>#N/A</v>
      </c>
      <c r="CB27" s="273" t="str">
        <f t="shared" si="34"/>
        <v>Taipei</v>
      </c>
      <c r="CC27" s="271">
        <f t="shared" si="35"/>
        <v>93.8662131519275</v>
      </c>
      <c r="CD27" s="24">
        <f t="shared" si="67"/>
        <v>93.8662131519275</v>
      </c>
      <c r="CE27" s="24">
        <f t="shared" si="36"/>
        <v>1</v>
      </c>
      <c r="CF27" s="275" t="e">
        <f t="shared" si="68"/>
        <v>#N/A</v>
      </c>
      <c r="CH27" s="273" t="str">
        <f t="shared" si="37"/>
        <v>Taipei</v>
      </c>
      <c r="CI27" s="271">
        <f t="shared" si="38"/>
        <v>86.1707950531097</v>
      </c>
      <c r="CJ27" s="24">
        <f t="shared" si="69"/>
        <v>86.1707950531097</v>
      </c>
      <c r="CK27" s="24">
        <f t="shared" si="39"/>
        <v>1</v>
      </c>
      <c r="CL27" s="275" t="e">
        <f t="shared" si="70"/>
        <v>#N/A</v>
      </c>
    </row>
    <row r="28" ht="15.75" spans="1:90">
      <c r="A28" s="1">
        <f>tblTerritories!A25</f>
        <v>23</v>
      </c>
      <c r="B28" s="1" t="str">
        <f>tblTerritories!B25</f>
        <v/>
      </c>
      <c r="C28" s="1" t="str">
        <f>tblTerritories!C25</f>
        <v>Jeddah</v>
      </c>
      <c r="D28" s="1" t="str">
        <f>tblTerritories!J25</f>
        <v>Jeddah</v>
      </c>
      <c r="E28" s="1">
        <f t="shared" si="40"/>
        <v>0</v>
      </c>
      <c r="F28" s="1">
        <f>IF(tblTerritories!F25="",0,tblTerritories!F25)</f>
        <v>1</v>
      </c>
      <c r="G28" s="1">
        <f t="shared" si="0"/>
        <v>62.80276</v>
      </c>
      <c r="H28" s="1">
        <f>IF(F28=0,"",RANK(G28,G$6:G$66,0)+COUNTIF(G$6:G28,G28)-1)</f>
        <v>42</v>
      </c>
      <c r="I28" s="1">
        <f t="shared" si="41"/>
        <v>57</v>
      </c>
      <c r="J28" s="1">
        <f t="shared" si="42"/>
        <v>1</v>
      </c>
      <c r="K28" s="269" t="e">
        <f t="shared" si="1"/>
        <v>#VALUE!</v>
      </c>
      <c r="L28" s="269">
        <f t="shared" si="43"/>
        <v>1</v>
      </c>
      <c r="M28" s="268" t="e">
        <f t="shared" si="44"/>
        <v>#VALUE!</v>
      </c>
      <c r="N28" s="273" t="str">
        <f t="shared" si="2"/>
        <v>Washington DC</v>
      </c>
      <c r="O28" s="271">
        <f t="shared" si="3"/>
        <v>80.366206891911</v>
      </c>
      <c r="P28" s="24">
        <f t="shared" si="45"/>
        <v>80.366206891911</v>
      </c>
      <c r="Q28" s="24">
        <f t="shared" si="4"/>
        <v>1</v>
      </c>
      <c r="R28" s="275" t="e">
        <f t="shared" si="46"/>
        <v>#N/A</v>
      </c>
      <c r="T28" s="273" t="str">
        <f t="shared" si="5"/>
        <v>Washington DC</v>
      </c>
      <c r="U28" s="271">
        <f t="shared" si="6"/>
        <v>80.8821327183315</v>
      </c>
      <c r="V28" s="24">
        <f t="shared" si="47"/>
        <v>80.8821327183315</v>
      </c>
      <c r="W28" s="24">
        <f t="shared" si="7"/>
        <v>1</v>
      </c>
      <c r="X28" s="275" t="e">
        <f t="shared" si="48"/>
        <v>#N/A</v>
      </c>
      <c r="Z28" s="273" t="str">
        <f t="shared" si="8"/>
        <v>Washington DC</v>
      </c>
      <c r="AA28" s="271">
        <f t="shared" si="9"/>
        <v>90</v>
      </c>
      <c r="AB28" s="24">
        <f t="shared" si="49"/>
        <v>90</v>
      </c>
      <c r="AC28" s="272">
        <v>1</v>
      </c>
      <c r="AD28" s="275" t="e">
        <f t="shared" si="50"/>
        <v>#N/A</v>
      </c>
      <c r="AF28" s="273" t="str">
        <f t="shared" si="10"/>
        <v>Washington DC</v>
      </c>
      <c r="AG28" s="271">
        <f t="shared" si="11"/>
        <v>71.764265436663</v>
      </c>
      <c r="AH28" s="24">
        <f t="shared" si="51"/>
        <v>71.764265436663</v>
      </c>
      <c r="AI28" s="24">
        <f t="shared" si="12"/>
        <v>1</v>
      </c>
      <c r="AJ28" s="275" t="e">
        <f t="shared" si="52"/>
        <v>#N/A</v>
      </c>
      <c r="AL28" s="273" t="str">
        <f t="shared" si="13"/>
        <v>Washington DC</v>
      </c>
      <c r="AM28" s="271">
        <f t="shared" si="14"/>
        <v>73.3784180107914</v>
      </c>
      <c r="AN28" s="24">
        <f t="shared" si="53"/>
        <v>73.3784180107914</v>
      </c>
      <c r="AO28" s="24">
        <f t="shared" si="15"/>
        <v>1</v>
      </c>
      <c r="AP28" s="275" t="e">
        <f t="shared" si="54"/>
        <v>#N/A</v>
      </c>
      <c r="AR28" s="273" t="str">
        <f t="shared" si="16"/>
        <v>Washington DC</v>
      </c>
      <c r="AS28" s="271">
        <f t="shared" si="17"/>
        <v>82.2262611235088</v>
      </c>
      <c r="AT28" s="24">
        <f t="shared" si="55"/>
        <v>82.2262611235088</v>
      </c>
      <c r="AU28" s="24">
        <f t="shared" si="18"/>
        <v>1</v>
      </c>
      <c r="AV28" s="275" t="e">
        <f t="shared" si="56"/>
        <v>#N/A</v>
      </c>
      <c r="AX28" s="273" t="str">
        <f t="shared" si="19"/>
        <v>Washington DC</v>
      </c>
      <c r="AY28" s="271">
        <f t="shared" si="20"/>
        <v>64.5305748980739</v>
      </c>
      <c r="AZ28" s="24">
        <f t="shared" si="57"/>
        <v>64.5305748980739</v>
      </c>
      <c r="BA28" s="24">
        <f t="shared" si="21"/>
        <v>1</v>
      </c>
      <c r="BB28" s="275" t="e">
        <f t="shared" si="58"/>
        <v>#N/A</v>
      </c>
      <c r="BD28" s="273" t="str">
        <f t="shared" si="22"/>
        <v>Washington DC</v>
      </c>
      <c r="BE28" s="271">
        <f t="shared" si="23"/>
        <v>82.3799009185844</v>
      </c>
      <c r="BF28" s="24">
        <f t="shared" si="59"/>
        <v>82.3799009185844</v>
      </c>
      <c r="BG28" s="24">
        <f t="shared" si="24"/>
        <v>1</v>
      </c>
      <c r="BH28" s="275" t="e">
        <f t="shared" si="60"/>
        <v>#N/A</v>
      </c>
      <c r="BJ28" s="273" t="str">
        <f t="shared" si="25"/>
        <v>Washington DC</v>
      </c>
      <c r="BK28" s="271">
        <f t="shared" si="26"/>
        <v>90.5</v>
      </c>
      <c r="BL28" s="24">
        <f t="shared" si="61"/>
        <v>90.5</v>
      </c>
      <c r="BM28" s="24">
        <f t="shared" si="27"/>
        <v>1</v>
      </c>
      <c r="BN28" s="275" t="e">
        <f t="shared" si="62"/>
        <v>#N/A</v>
      </c>
      <c r="BP28" s="273" t="str">
        <f t="shared" si="28"/>
        <v>Washington DC</v>
      </c>
      <c r="BQ28" s="271">
        <f t="shared" si="29"/>
        <v>74.2598018371689</v>
      </c>
      <c r="BR28" s="24">
        <f t="shared" si="63"/>
        <v>74.2598018371689</v>
      </c>
      <c r="BS28" s="24">
        <f t="shared" si="30"/>
        <v>1</v>
      </c>
      <c r="BT28" s="275" t="e">
        <f t="shared" si="64"/>
        <v>#N/A</v>
      </c>
      <c r="BV28" s="273" t="str">
        <f t="shared" si="31"/>
        <v>Washington DC</v>
      </c>
      <c r="BW28" s="271">
        <f t="shared" si="32"/>
        <v>84.8243759199369</v>
      </c>
      <c r="BX28" s="24">
        <f t="shared" si="65"/>
        <v>84.8243759199369</v>
      </c>
      <c r="BY28" s="24">
        <f t="shared" si="33"/>
        <v>1</v>
      </c>
      <c r="BZ28" s="275" t="e">
        <f t="shared" si="66"/>
        <v>#N/A</v>
      </c>
      <c r="CB28" s="273" t="str">
        <f t="shared" si="34"/>
        <v>Washington DC</v>
      </c>
      <c r="CC28" s="271">
        <f t="shared" si="35"/>
        <v>93.7414965986395</v>
      </c>
      <c r="CD28" s="24">
        <f t="shared" si="67"/>
        <v>93.7414965986395</v>
      </c>
      <c r="CE28" s="24">
        <f t="shared" si="36"/>
        <v>1</v>
      </c>
      <c r="CF28" s="275" t="e">
        <f t="shared" si="68"/>
        <v>#N/A</v>
      </c>
      <c r="CH28" s="273" t="str">
        <f t="shared" si="37"/>
        <v>Washington DC</v>
      </c>
      <c r="CI28" s="271">
        <f t="shared" si="38"/>
        <v>75.9072552412343</v>
      </c>
      <c r="CJ28" s="24">
        <f t="shared" si="69"/>
        <v>75.9072552412343</v>
      </c>
      <c r="CK28" s="24">
        <f t="shared" si="39"/>
        <v>1</v>
      </c>
      <c r="CL28" s="275" t="e">
        <f t="shared" si="70"/>
        <v>#N/A</v>
      </c>
    </row>
    <row r="29" ht="15.75" spans="1:90">
      <c r="A29" s="1">
        <f>tblTerritories!A26</f>
        <v>24</v>
      </c>
      <c r="B29" s="1" t="str">
        <f>tblTerritories!B26</f>
        <v/>
      </c>
      <c r="C29" s="1" t="str">
        <f>tblTerritories!C26</f>
        <v>Johannesburg</v>
      </c>
      <c r="D29" s="1" t="str">
        <f>tblTerritories!J26</f>
        <v>Johannesburg</v>
      </c>
      <c r="E29" s="1">
        <f t="shared" si="40"/>
        <v>0</v>
      </c>
      <c r="F29" s="1">
        <f>IF(tblTerritories!F26="",0,tblTerritories!F26)</f>
        <v>1</v>
      </c>
      <c r="G29" s="1">
        <f t="shared" si="0"/>
        <v>59.17427</v>
      </c>
      <c r="H29" s="1">
        <f>IF(F29=0,"",RANK(G29,G$6:G$66,0)+COUNTIF(G$6:G29,G29)-1)</f>
        <v>50</v>
      </c>
      <c r="I29" s="1">
        <f t="shared" si="41"/>
        <v>40</v>
      </c>
      <c r="J29" s="1">
        <f t="shared" si="42"/>
        <v>1</v>
      </c>
      <c r="K29" s="269" t="e">
        <f t="shared" si="1"/>
        <v>#VALUE!</v>
      </c>
      <c r="L29" s="269">
        <f t="shared" si="43"/>
        <v>1</v>
      </c>
      <c r="M29" s="268" t="e">
        <f t="shared" si="44"/>
        <v>#VALUE!</v>
      </c>
      <c r="N29" s="273" t="str">
        <f t="shared" si="2"/>
        <v>Paris</v>
      </c>
      <c r="O29" s="271">
        <f t="shared" si="3"/>
        <v>79.7132878977853</v>
      </c>
      <c r="P29" s="24">
        <f t="shared" si="45"/>
        <v>79.7132878977853</v>
      </c>
      <c r="Q29" s="24">
        <f t="shared" si="4"/>
        <v>1</v>
      </c>
      <c r="R29" s="275" t="e">
        <f t="shared" si="46"/>
        <v>#N/A</v>
      </c>
      <c r="T29" s="273" t="str">
        <f t="shared" si="5"/>
        <v>Paris</v>
      </c>
      <c r="U29" s="271">
        <f t="shared" si="6"/>
        <v>70.3734320124007</v>
      </c>
      <c r="V29" s="24">
        <f t="shared" si="47"/>
        <v>70.3734320124007</v>
      </c>
      <c r="W29" s="24">
        <f t="shared" si="7"/>
        <v>1</v>
      </c>
      <c r="X29" s="275" t="e">
        <f t="shared" si="48"/>
        <v>#N/A</v>
      </c>
      <c r="Z29" s="273" t="str">
        <f t="shared" si="8"/>
        <v>Paris</v>
      </c>
      <c r="AA29" s="271">
        <f t="shared" si="9"/>
        <v>73.3333333333333</v>
      </c>
      <c r="AB29" s="24">
        <f t="shared" si="49"/>
        <v>73.3333333333333</v>
      </c>
      <c r="AC29" s="272">
        <v>1</v>
      </c>
      <c r="AD29" s="275" t="e">
        <f t="shared" si="50"/>
        <v>#N/A</v>
      </c>
      <c r="AF29" s="273" t="str">
        <f t="shared" si="10"/>
        <v>Paris</v>
      </c>
      <c r="AG29" s="271">
        <f t="shared" si="11"/>
        <v>67.4135306914681</v>
      </c>
      <c r="AH29" s="24">
        <f t="shared" si="51"/>
        <v>67.4135306914681</v>
      </c>
      <c r="AI29" s="24">
        <f t="shared" si="12"/>
        <v>1</v>
      </c>
      <c r="AJ29" s="275" t="e">
        <f t="shared" si="52"/>
        <v>#N/A</v>
      </c>
      <c r="AL29" s="273" t="str">
        <f t="shared" si="13"/>
        <v>Paris</v>
      </c>
      <c r="AM29" s="271">
        <f t="shared" si="14"/>
        <v>81.3513942026754</v>
      </c>
      <c r="AN29" s="24">
        <f t="shared" si="53"/>
        <v>81.3513942026754</v>
      </c>
      <c r="AO29" s="24">
        <f t="shared" si="15"/>
        <v>1</v>
      </c>
      <c r="AP29" s="275" t="e">
        <f t="shared" si="54"/>
        <v>#N/A</v>
      </c>
      <c r="AR29" s="273" t="str">
        <f t="shared" si="16"/>
        <v>Paris</v>
      </c>
      <c r="AS29" s="271">
        <f t="shared" si="17"/>
        <v>81.0396404923111</v>
      </c>
      <c r="AT29" s="24">
        <f t="shared" si="55"/>
        <v>81.0396404923111</v>
      </c>
      <c r="AU29" s="24">
        <f t="shared" si="18"/>
        <v>1</v>
      </c>
      <c r="AV29" s="275" t="e">
        <f t="shared" si="56"/>
        <v>#N/A</v>
      </c>
      <c r="AX29" s="273" t="str">
        <f t="shared" si="19"/>
        <v>Paris</v>
      </c>
      <c r="AY29" s="271">
        <f t="shared" si="20"/>
        <v>81.6631479130396</v>
      </c>
      <c r="AZ29" s="24">
        <f t="shared" si="57"/>
        <v>81.6631479130396</v>
      </c>
      <c r="BA29" s="24">
        <f t="shared" si="21"/>
        <v>1</v>
      </c>
      <c r="BB29" s="275" t="e">
        <f t="shared" si="58"/>
        <v>#N/A</v>
      </c>
      <c r="BD29" s="273" t="str">
        <f t="shared" si="22"/>
        <v>Paris</v>
      </c>
      <c r="BE29" s="271">
        <f t="shared" si="23"/>
        <v>89.9016034450361</v>
      </c>
      <c r="BF29" s="24">
        <f t="shared" si="59"/>
        <v>89.9016034450361</v>
      </c>
      <c r="BG29" s="24">
        <f t="shared" si="24"/>
        <v>1</v>
      </c>
      <c r="BH29" s="275" t="e">
        <f t="shared" si="60"/>
        <v>#N/A</v>
      </c>
      <c r="BJ29" s="273" t="str">
        <f t="shared" si="25"/>
        <v>Paris</v>
      </c>
      <c r="BK29" s="271">
        <f t="shared" si="26"/>
        <v>92.5</v>
      </c>
      <c r="BL29" s="24">
        <f t="shared" si="61"/>
        <v>92.5</v>
      </c>
      <c r="BM29" s="24">
        <f t="shared" si="27"/>
        <v>1</v>
      </c>
      <c r="BN29" s="275" t="e">
        <f t="shared" si="62"/>
        <v>#N/A</v>
      </c>
      <c r="BP29" s="273" t="str">
        <f t="shared" si="28"/>
        <v>Paris</v>
      </c>
      <c r="BQ29" s="271">
        <f t="shared" si="29"/>
        <v>87.3032068900721</v>
      </c>
      <c r="BR29" s="24">
        <f t="shared" si="63"/>
        <v>87.3032068900721</v>
      </c>
      <c r="BS29" s="24">
        <f t="shared" si="30"/>
        <v>1</v>
      </c>
      <c r="BT29" s="275" t="e">
        <f t="shared" si="64"/>
        <v>#N/A</v>
      </c>
      <c r="BV29" s="273" t="str">
        <f t="shared" si="31"/>
        <v>Paris</v>
      </c>
      <c r="BW29" s="271">
        <f t="shared" si="32"/>
        <v>77.226721931029</v>
      </c>
      <c r="BX29" s="24">
        <f t="shared" si="65"/>
        <v>77.226721931029</v>
      </c>
      <c r="BY29" s="24">
        <f t="shared" si="33"/>
        <v>1</v>
      </c>
      <c r="BZ29" s="275" t="e">
        <f t="shared" si="66"/>
        <v>#N/A</v>
      </c>
      <c r="CB29" s="273" t="str">
        <f t="shared" si="34"/>
        <v>Paris</v>
      </c>
      <c r="CC29" s="271">
        <f t="shared" si="35"/>
        <v>79.920634920635</v>
      </c>
      <c r="CD29" s="24">
        <f t="shared" si="67"/>
        <v>79.920634920635</v>
      </c>
      <c r="CE29" s="24">
        <f t="shared" si="36"/>
        <v>1</v>
      </c>
      <c r="CF29" s="275" t="e">
        <f t="shared" si="68"/>
        <v>#N/A</v>
      </c>
      <c r="CH29" s="273" t="str">
        <f t="shared" si="37"/>
        <v>Paris</v>
      </c>
      <c r="CI29" s="271">
        <f t="shared" si="38"/>
        <v>74.5328089414231</v>
      </c>
      <c r="CJ29" s="24">
        <f t="shared" si="69"/>
        <v>74.5328089414231</v>
      </c>
      <c r="CK29" s="24">
        <f t="shared" si="39"/>
        <v>1</v>
      </c>
      <c r="CL29" s="275" t="e">
        <f t="shared" si="70"/>
        <v>#N/A</v>
      </c>
    </row>
    <row r="30" ht="15.75" spans="1:90">
      <c r="A30" s="1">
        <f>tblTerritories!A27</f>
        <v>25</v>
      </c>
      <c r="B30" s="1" t="str">
        <f>tblTerritories!B27</f>
        <v/>
      </c>
      <c r="C30" s="1" t="str">
        <f>tblTerritories!C27</f>
        <v>Karachi</v>
      </c>
      <c r="D30" s="1" t="str">
        <f>tblTerritories!J27</f>
        <v>Karachi</v>
      </c>
      <c r="E30" s="1">
        <f t="shared" si="40"/>
        <v>0</v>
      </c>
      <c r="F30" s="1">
        <f>IF(tblTerritories!F27="",0,tblTerritories!F27)</f>
        <v>1</v>
      </c>
      <c r="G30" s="1">
        <f t="shared" si="0"/>
        <v>38.77378</v>
      </c>
      <c r="H30" s="1">
        <f>IF(F30=0,"",RANK(G30,G$6:G$66,0)+COUNTIF(G$6:G30,G30)-1)</f>
        <v>60</v>
      </c>
      <c r="I30" s="1">
        <f t="shared" si="41"/>
        <v>35</v>
      </c>
      <c r="J30" s="1">
        <f t="shared" si="42"/>
        <v>1</v>
      </c>
      <c r="K30" s="269" t="e">
        <f t="shared" si="1"/>
        <v>#VALUE!</v>
      </c>
      <c r="L30" s="269">
        <f t="shared" si="43"/>
        <v>1</v>
      </c>
      <c r="M30" s="268" t="e">
        <f t="shared" si="44"/>
        <v>#VALUE!</v>
      </c>
      <c r="N30" s="273" t="str">
        <f t="shared" si="2"/>
        <v>Milan</v>
      </c>
      <c r="O30" s="271">
        <f t="shared" si="3"/>
        <v>79.3002825401348</v>
      </c>
      <c r="P30" s="24">
        <f t="shared" si="45"/>
        <v>79.3002825401348</v>
      </c>
      <c r="Q30" s="24">
        <f t="shared" si="4"/>
        <v>1</v>
      </c>
      <c r="R30" s="275" t="e">
        <f t="shared" si="46"/>
        <v>#N/A</v>
      </c>
      <c r="T30" s="273" t="str">
        <f t="shared" si="5"/>
        <v>Milan</v>
      </c>
      <c r="U30" s="271">
        <f t="shared" si="6"/>
        <v>73.2896559159726</v>
      </c>
      <c r="V30" s="24">
        <f t="shared" si="47"/>
        <v>73.2896559159726</v>
      </c>
      <c r="W30" s="24">
        <f t="shared" si="7"/>
        <v>1</v>
      </c>
      <c r="X30" s="275" t="e">
        <f t="shared" si="48"/>
        <v>#N/A</v>
      </c>
      <c r="Z30" s="273" t="str">
        <f t="shared" si="8"/>
        <v>Milan</v>
      </c>
      <c r="AA30" s="271">
        <f t="shared" si="9"/>
        <v>83.3333333333333</v>
      </c>
      <c r="AB30" s="24">
        <f t="shared" si="49"/>
        <v>83.3333333333333</v>
      </c>
      <c r="AC30" s="272">
        <v>1</v>
      </c>
      <c r="AD30" s="275" t="e">
        <f t="shared" si="50"/>
        <v>#N/A</v>
      </c>
      <c r="AF30" s="273" t="str">
        <f t="shared" si="10"/>
        <v>Milan</v>
      </c>
      <c r="AG30" s="271">
        <f t="shared" si="11"/>
        <v>63.245978498612</v>
      </c>
      <c r="AH30" s="24">
        <f t="shared" si="51"/>
        <v>63.245978498612</v>
      </c>
      <c r="AI30" s="24">
        <f t="shared" si="12"/>
        <v>1</v>
      </c>
      <c r="AJ30" s="275" t="e">
        <f t="shared" si="52"/>
        <v>#N/A</v>
      </c>
      <c r="AL30" s="273" t="str">
        <f t="shared" si="13"/>
        <v>Milan</v>
      </c>
      <c r="AM30" s="271">
        <f t="shared" si="14"/>
        <v>76.7221090946216</v>
      </c>
      <c r="AN30" s="24">
        <f t="shared" si="53"/>
        <v>76.7221090946216</v>
      </c>
      <c r="AO30" s="24">
        <f t="shared" si="15"/>
        <v>1</v>
      </c>
      <c r="AP30" s="275" t="e">
        <f t="shared" si="54"/>
        <v>#N/A</v>
      </c>
      <c r="AR30" s="273" t="str">
        <f t="shared" si="16"/>
        <v>Milan</v>
      </c>
      <c r="AS30" s="271">
        <f t="shared" si="17"/>
        <v>70.7468664432695</v>
      </c>
      <c r="AT30" s="24">
        <f t="shared" si="55"/>
        <v>70.7468664432695</v>
      </c>
      <c r="AU30" s="24">
        <f t="shared" si="18"/>
        <v>1</v>
      </c>
      <c r="AV30" s="275" t="e">
        <f t="shared" si="56"/>
        <v>#N/A</v>
      </c>
      <c r="AX30" s="273" t="str">
        <f t="shared" si="19"/>
        <v>Milan</v>
      </c>
      <c r="AY30" s="271">
        <f t="shared" si="20"/>
        <v>82.6973517459736</v>
      </c>
      <c r="AZ30" s="24">
        <f t="shared" si="57"/>
        <v>82.6973517459736</v>
      </c>
      <c r="BA30" s="24">
        <f t="shared" si="21"/>
        <v>1</v>
      </c>
      <c r="BB30" s="275" t="e">
        <f t="shared" si="58"/>
        <v>#N/A</v>
      </c>
      <c r="BD30" s="273" t="str">
        <f t="shared" si="22"/>
        <v>Milan</v>
      </c>
      <c r="BE30" s="271">
        <f t="shared" si="23"/>
        <v>90.3577176509129</v>
      </c>
      <c r="BF30" s="24">
        <f t="shared" si="59"/>
        <v>90.3577176509129</v>
      </c>
      <c r="BG30" s="24">
        <f t="shared" si="24"/>
        <v>1</v>
      </c>
      <c r="BH30" s="275" t="e">
        <f t="shared" si="60"/>
        <v>#N/A</v>
      </c>
      <c r="BJ30" s="273" t="str">
        <f t="shared" si="25"/>
        <v>Milan</v>
      </c>
      <c r="BK30" s="271">
        <f t="shared" si="26"/>
        <v>89.5</v>
      </c>
      <c r="BL30" s="24">
        <f t="shared" si="61"/>
        <v>89.5</v>
      </c>
      <c r="BM30" s="24">
        <f t="shared" si="27"/>
        <v>1</v>
      </c>
      <c r="BN30" s="275" t="e">
        <f t="shared" si="62"/>
        <v>#N/A</v>
      </c>
      <c r="BP30" s="273" t="str">
        <f t="shared" si="28"/>
        <v>Milan</v>
      </c>
      <c r="BQ30" s="271">
        <f t="shared" si="29"/>
        <v>91.2154353018258</v>
      </c>
      <c r="BR30" s="24">
        <f t="shared" si="63"/>
        <v>91.2154353018258</v>
      </c>
      <c r="BS30" s="24">
        <f t="shared" si="30"/>
        <v>1</v>
      </c>
      <c r="BT30" s="275" t="e">
        <f t="shared" si="64"/>
        <v>#N/A</v>
      </c>
      <c r="BV30" s="273" t="str">
        <f t="shared" si="31"/>
        <v>Milan</v>
      </c>
      <c r="BW30" s="271">
        <f t="shared" si="32"/>
        <v>76.8316474990319</v>
      </c>
      <c r="BX30" s="24">
        <f t="shared" si="65"/>
        <v>76.8316474990319</v>
      </c>
      <c r="BY30" s="24">
        <f t="shared" si="33"/>
        <v>1</v>
      </c>
      <c r="BZ30" s="275" t="e">
        <f t="shared" si="66"/>
        <v>#N/A</v>
      </c>
      <c r="CB30" s="273" t="str">
        <f t="shared" si="34"/>
        <v>Milan</v>
      </c>
      <c r="CC30" s="271">
        <f t="shared" si="35"/>
        <v>80.1133786848073</v>
      </c>
      <c r="CD30" s="24">
        <f t="shared" si="67"/>
        <v>80.1133786848073</v>
      </c>
      <c r="CE30" s="24">
        <f t="shared" si="36"/>
        <v>1</v>
      </c>
      <c r="CF30" s="275" t="e">
        <f t="shared" si="68"/>
        <v>#N/A</v>
      </c>
      <c r="CH30" s="273" t="str">
        <f t="shared" si="37"/>
        <v>Milan</v>
      </c>
      <c r="CI30" s="271">
        <f t="shared" si="38"/>
        <v>73.5499163132566</v>
      </c>
      <c r="CJ30" s="24">
        <f t="shared" si="69"/>
        <v>73.5499163132566</v>
      </c>
      <c r="CK30" s="24">
        <f t="shared" si="39"/>
        <v>1</v>
      </c>
      <c r="CL30" s="275" t="e">
        <f t="shared" si="70"/>
        <v>#N/A</v>
      </c>
    </row>
    <row r="31" ht="15.75" spans="1:90">
      <c r="A31" s="1">
        <f>tblTerritories!A28</f>
        <v>26</v>
      </c>
      <c r="B31" s="1" t="str">
        <f>tblTerritories!B28</f>
        <v/>
      </c>
      <c r="C31" s="1" t="str">
        <f>tblTerritories!C28</f>
        <v>Kuala Lumpur</v>
      </c>
      <c r="D31" s="1" t="str">
        <f>tblTerritories!J28</f>
        <v>Kuala Lumpur</v>
      </c>
      <c r="E31" s="1">
        <f t="shared" si="40"/>
        <v>0</v>
      </c>
      <c r="F31" s="1">
        <f>IF(tblTerritories!F28="",0,tblTerritories!F28)</f>
        <v>1</v>
      </c>
      <c r="G31" s="1">
        <f t="shared" si="0"/>
        <v>73.11277</v>
      </c>
      <c r="H31" s="1">
        <f>IF(F31=0,"",RANK(G31,G$6:G$66,0)+COUNTIF(G$6:G31,G31)-1)</f>
        <v>31</v>
      </c>
      <c r="I31" s="1">
        <f t="shared" si="41"/>
        <v>14</v>
      </c>
      <c r="J31" s="1">
        <f t="shared" si="42"/>
        <v>1</v>
      </c>
      <c r="K31" s="269" t="e">
        <f t="shared" si="1"/>
        <v>#VALUE!</v>
      </c>
      <c r="L31" s="269">
        <f t="shared" si="43"/>
        <v>1</v>
      </c>
      <c r="M31" s="268" t="e">
        <f t="shared" si="44"/>
        <v>#VALUE!</v>
      </c>
      <c r="N31" s="273" t="str">
        <f t="shared" si="2"/>
        <v>Dallas</v>
      </c>
      <c r="O31" s="271">
        <f t="shared" si="3"/>
        <v>78.72792026883</v>
      </c>
      <c r="P31" s="24">
        <f t="shared" si="45"/>
        <v>78.72792026883</v>
      </c>
      <c r="Q31" s="24">
        <f t="shared" si="4"/>
        <v>1</v>
      </c>
      <c r="R31" s="275" t="e">
        <f t="shared" si="46"/>
        <v>#N/A</v>
      </c>
      <c r="T31" s="273" t="str">
        <f t="shared" si="5"/>
        <v>Dallas</v>
      </c>
      <c r="U31" s="271">
        <f t="shared" si="6"/>
        <v>84.6537849942692</v>
      </c>
      <c r="V31" s="24">
        <f t="shared" si="47"/>
        <v>84.6537849942692</v>
      </c>
      <c r="W31" s="24">
        <f t="shared" si="7"/>
        <v>1</v>
      </c>
      <c r="X31" s="275" t="e">
        <f t="shared" si="48"/>
        <v>#N/A</v>
      </c>
      <c r="Z31" s="273" t="str">
        <f t="shared" si="8"/>
        <v>Dallas</v>
      </c>
      <c r="AA31" s="271">
        <f t="shared" si="9"/>
        <v>100</v>
      </c>
      <c r="AB31" s="24">
        <f t="shared" si="49"/>
        <v>100</v>
      </c>
      <c r="AC31" s="272">
        <v>1</v>
      </c>
      <c r="AD31" s="275" t="e">
        <f t="shared" si="50"/>
        <v>#N/A</v>
      </c>
      <c r="AF31" s="273" t="str">
        <f t="shared" si="10"/>
        <v>Dallas</v>
      </c>
      <c r="AG31" s="271">
        <f t="shared" si="11"/>
        <v>69.3075699885384</v>
      </c>
      <c r="AH31" s="24">
        <f t="shared" si="51"/>
        <v>69.3075699885384</v>
      </c>
      <c r="AI31" s="24">
        <f t="shared" si="12"/>
        <v>1</v>
      </c>
      <c r="AJ31" s="275" t="e">
        <f t="shared" si="52"/>
        <v>#N/A</v>
      </c>
      <c r="AL31" s="273" t="str">
        <f t="shared" si="13"/>
        <v>Dallas</v>
      </c>
      <c r="AM31" s="271">
        <f t="shared" si="14"/>
        <v>70.2733087872303</v>
      </c>
      <c r="AN31" s="24">
        <f t="shared" si="53"/>
        <v>70.2733087872303</v>
      </c>
      <c r="AO31" s="24">
        <f t="shared" si="15"/>
        <v>1</v>
      </c>
      <c r="AP31" s="275" t="e">
        <f t="shared" si="54"/>
        <v>#N/A</v>
      </c>
      <c r="AR31" s="273" t="str">
        <f t="shared" si="16"/>
        <v>Dallas</v>
      </c>
      <c r="AS31" s="271">
        <f t="shared" si="17"/>
        <v>64.8946930166738</v>
      </c>
      <c r="AT31" s="24">
        <f t="shared" si="55"/>
        <v>64.8946930166738</v>
      </c>
      <c r="AU31" s="24">
        <f t="shared" si="18"/>
        <v>1</v>
      </c>
      <c r="AV31" s="275" t="e">
        <f t="shared" si="56"/>
        <v>#N/A</v>
      </c>
      <c r="AX31" s="273" t="str">
        <f t="shared" si="19"/>
        <v>Dallas</v>
      </c>
      <c r="AY31" s="271">
        <f t="shared" si="20"/>
        <v>75.6519245577867</v>
      </c>
      <c r="AZ31" s="24">
        <f t="shared" si="57"/>
        <v>75.6519245577867</v>
      </c>
      <c r="BA31" s="24">
        <f t="shared" si="21"/>
        <v>1</v>
      </c>
      <c r="BB31" s="275" t="e">
        <f t="shared" si="58"/>
        <v>#N/A</v>
      </c>
      <c r="BD31" s="273" t="str">
        <f t="shared" si="22"/>
        <v>Dallas</v>
      </c>
      <c r="BE31" s="271">
        <f t="shared" si="23"/>
        <v>79.2281408050174</v>
      </c>
      <c r="BF31" s="24">
        <f t="shared" si="59"/>
        <v>79.2281408050174</v>
      </c>
      <c r="BG31" s="24">
        <f t="shared" si="24"/>
        <v>1</v>
      </c>
      <c r="BH31" s="275" t="e">
        <f t="shared" si="60"/>
        <v>#N/A</v>
      </c>
      <c r="BJ31" s="273" t="str">
        <f t="shared" si="25"/>
        <v>Dallas</v>
      </c>
      <c r="BK31" s="271">
        <f t="shared" si="26"/>
        <v>80.5</v>
      </c>
      <c r="BL31" s="24">
        <f t="shared" si="61"/>
        <v>80.5</v>
      </c>
      <c r="BM31" s="24">
        <f t="shared" si="27"/>
        <v>1</v>
      </c>
      <c r="BN31" s="275" t="e">
        <f t="shared" si="62"/>
        <v>#N/A</v>
      </c>
      <c r="BP31" s="273" t="str">
        <f t="shared" si="28"/>
        <v>Dallas</v>
      </c>
      <c r="BQ31" s="271">
        <f t="shared" si="29"/>
        <v>77.9562816100348</v>
      </c>
      <c r="BR31" s="24">
        <f t="shared" si="63"/>
        <v>77.9562816100348</v>
      </c>
      <c r="BS31" s="24">
        <f t="shared" si="30"/>
        <v>1</v>
      </c>
      <c r="BT31" s="275" t="e">
        <f t="shared" si="64"/>
        <v>#N/A</v>
      </c>
      <c r="BV31" s="273" t="str">
        <f t="shared" si="31"/>
        <v>Dallas</v>
      </c>
      <c r="BW31" s="271">
        <f t="shared" si="32"/>
        <v>80.7564464888033</v>
      </c>
      <c r="BX31" s="24">
        <f t="shared" si="65"/>
        <v>80.7564464888033</v>
      </c>
      <c r="BY31" s="24">
        <f t="shared" si="33"/>
        <v>1</v>
      </c>
      <c r="BZ31" s="275" t="e">
        <f t="shared" si="66"/>
        <v>#N/A</v>
      </c>
      <c r="CB31" s="273" t="str">
        <f t="shared" si="34"/>
        <v>Dallas</v>
      </c>
      <c r="CC31" s="271">
        <f t="shared" si="35"/>
        <v>82.8571428571429</v>
      </c>
      <c r="CD31" s="24">
        <f t="shared" si="67"/>
        <v>82.8571428571429</v>
      </c>
      <c r="CE31" s="24">
        <f t="shared" si="36"/>
        <v>1</v>
      </c>
      <c r="CF31" s="275" t="e">
        <f t="shared" si="68"/>
        <v>#N/A</v>
      </c>
      <c r="CH31" s="273" t="str">
        <f t="shared" si="37"/>
        <v>Dallas</v>
      </c>
      <c r="CI31" s="271">
        <f t="shared" si="38"/>
        <v>78.6557501204637</v>
      </c>
      <c r="CJ31" s="24">
        <f t="shared" si="69"/>
        <v>78.6557501204637</v>
      </c>
      <c r="CK31" s="24">
        <f t="shared" si="39"/>
        <v>1</v>
      </c>
      <c r="CL31" s="275" t="e">
        <f t="shared" si="70"/>
        <v>#N/A</v>
      </c>
    </row>
    <row r="32" ht="15.75" spans="1:90">
      <c r="A32" s="1">
        <f>tblTerritories!A29</f>
        <v>27</v>
      </c>
      <c r="B32" s="1" t="str">
        <f>tblTerritories!B29</f>
        <v/>
      </c>
      <c r="C32" s="1" t="str">
        <f>tblTerritories!C29</f>
        <v>Kuwait City</v>
      </c>
      <c r="D32" s="1" t="str">
        <f>tblTerritories!J29</f>
        <v>Kuwait City</v>
      </c>
      <c r="E32" s="1">
        <f t="shared" si="40"/>
        <v>0</v>
      </c>
      <c r="F32" s="1">
        <f>IF(tblTerritories!F29="",0,tblTerritories!F29)</f>
        <v>1</v>
      </c>
      <c r="G32" s="1">
        <f t="shared" si="0"/>
        <v>67.61379</v>
      </c>
      <c r="H32" s="1">
        <f>IF(F32=0,"",RANK(G32,G$6:G$66,0)+COUNTIF(G$6:G32,G32)-1)</f>
        <v>36</v>
      </c>
      <c r="I32" s="1">
        <f t="shared" si="41"/>
        <v>44</v>
      </c>
      <c r="J32" s="1">
        <f t="shared" si="42"/>
        <v>1</v>
      </c>
      <c r="K32" s="269" t="e">
        <f t="shared" si="1"/>
        <v>#VALUE!</v>
      </c>
      <c r="L32" s="269">
        <f t="shared" si="43"/>
        <v>1</v>
      </c>
      <c r="M32" s="268" t="e">
        <f t="shared" si="44"/>
        <v>#VALUE!</v>
      </c>
      <c r="N32" s="273" t="str">
        <f t="shared" si="2"/>
        <v>Rome</v>
      </c>
      <c r="O32" s="271">
        <f t="shared" si="3"/>
        <v>78.6744389612512</v>
      </c>
      <c r="P32" s="24">
        <f t="shared" si="45"/>
        <v>78.6744389612512</v>
      </c>
      <c r="Q32" s="24">
        <f t="shared" si="4"/>
        <v>1</v>
      </c>
      <c r="R32" s="275" t="e">
        <f t="shared" si="46"/>
        <v>#N/A</v>
      </c>
      <c r="T32" s="273" t="str">
        <f t="shared" si="5"/>
        <v>Rome</v>
      </c>
      <c r="U32" s="271">
        <f t="shared" si="6"/>
        <v>71.622989249306</v>
      </c>
      <c r="V32" s="24">
        <f t="shared" si="47"/>
        <v>71.622989249306</v>
      </c>
      <c r="W32" s="24">
        <f t="shared" si="7"/>
        <v>1</v>
      </c>
      <c r="X32" s="275" t="e">
        <f t="shared" si="48"/>
        <v>#N/A</v>
      </c>
      <c r="Z32" s="273" t="str">
        <f t="shared" si="8"/>
        <v>Rome</v>
      </c>
      <c r="AA32" s="271">
        <f t="shared" si="9"/>
        <v>80</v>
      </c>
      <c r="AB32" s="24">
        <f t="shared" si="49"/>
        <v>80</v>
      </c>
      <c r="AC32" s="272">
        <v>1</v>
      </c>
      <c r="AD32" s="275" t="e">
        <f t="shared" si="50"/>
        <v>#N/A</v>
      </c>
      <c r="AF32" s="273" t="str">
        <f t="shared" si="10"/>
        <v>Rome</v>
      </c>
      <c r="AG32" s="271">
        <f t="shared" si="11"/>
        <v>63.245978498612</v>
      </c>
      <c r="AH32" s="24">
        <f t="shared" si="51"/>
        <v>63.245978498612</v>
      </c>
      <c r="AI32" s="24">
        <f t="shared" si="12"/>
        <v>1</v>
      </c>
      <c r="AJ32" s="275" t="e">
        <f t="shared" si="52"/>
        <v>#N/A</v>
      </c>
      <c r="AL32" s="273" t="str">
        <f t="shared" si="13"/>
        <v>Rome</v>
      </c>
      <c r="AM32" s="271">
        <f t="shared" si="14"/>
        <v>76.3781291129955</v>
      </c>
      <c r="AN32" s="24">
        <f t="shared" si="53"/>
        <v>76.3781291129955</v>
      </c>
      <c r="AO32" s="24">
        <f t="shared" si="15"/>
        <v>1</v>
      </c>
      <c r="AP32" s="275" t="e">
        <f t="shared" si="54"/>
        <v>#N/A</v>
      </c>
      <c r="AR32" s="273" t="str">
        <f t="shared" si="16"/>
        <v>Rome</v>
      </c>
      <c r="AS32" s="271">
        <f t="shared" si="17"/>
        <v>68.4212850479207</v>
      </c>
      <c r="AT32" s="24">
        <f t="shared" si="55"/>
        <v>68.4212850479207</v>
      </c>
      <c r="AU32" s="24">
        <f t="shared" si="18"/>
        <v>1</v>
      </c>
      <c r="AV32" s="275" t="e">
        <f t="shared" si="56"/>
        <v>#N/A</v>
      </c>
      <c r="AX32" s="273" t="str">
        <f t="shared" si="19"/>
        <v>Rome</v>
      </c>
      <c r="AY32" s="271">
        <f t="shared" si="20"/>
        <v>84.3349731780704</v>
      </c>
      <c r="AZ32" s="24">
        <f t="shared" si="57"/>
        <v>84.3349731780704</v>
      </c>
      <c r="BA32" s="24">
        <f t="shared" si="21"/>
        <v>1</v>
      </c>
      <c r="BB32" s="275" t="e">
        <f t="shared" si="58"/>
        <v>#N/A</v>
      </c>
      <c r="BD32" s="273" t="str">
        <f t="shared" si="22"/>
        <v>Rome</v>
      </c>
      <c r="BE32" s="271">
        <f t="shared" si="23"/>
        <v>92.3052195815775</v>
      </c>
      <c r="BF32" s="24">
        <f t="shared" si="59"/>
        <v>92.3052195815775</v>
      </c>
      <c r="BG32" s="24">
        <f t="shared" si="24"/>
        <v>1</v>
      </c>
      <c r="BH32" s="275" t="e">
        <f t="shared" si="60"/>
        <v>#N/A</v>
      </c>
      <c r="BJ32" s="273" t="str">
        <f t="shared" si="25"/>
        <v>Rome</v>
      </c>
      <c r="BK32" s="271">
        <f t="shared" si="26"/>
        <v>94.5</v>
      </c>
      <c r="BL32" s="24">
        <f t="shared" si="61"/>
        <v>94.5</v>
      </c>
      <c r="BM32" s="24">
        <f t="shared" si="27"/>
        <v>1</v>
      </c>
      <c r="BN32" s="275" t="e">
        <f t="shared" si="62"/>
        <v>#N/A</v>
      </c>
      <c r="BP32" s="273" t="str">
        <f t="shared" si="28"/>
        <v>Rome</v>
      </c>
      <c r="BQ32" s="271">
        <f t="shared" si="29"/>
        <v>90.110439163155</v>
      </c>
      <c r="BR32" s="24">
        <f t="shared" si="63"/>
        <v>90.110439163155</v>
      </c>
      <c r="BS32" s="24">
        <f t="shared" si="30"/>
        <v>1</v>
      </c>
      <c r="BT32" s="275" t="e">
        <f t="shared" si="64"/>
        <v>#N/A</v>
      </c>
      <c r="BV32" s="273" t="str">
        <f t="shared" si="31"/>
        <v>Rome</v>
      </c>
      <c r="BW32" s="271">
        <f t="shared" si="32"/>
        <v>74.3914179011257</v>
      </c>
      <c r="BX32" s="24">
        <f t="shared" si="65"/>
        <v>74.3914179011257</v>
      </c>
      <c r="BY32" s="24">
        <f t="shared" si="33"/>
        <v>1</v>
      </c>
      <c r="BZ32" s="275" t="e">
        <f t="shared" si="66"/>
        <v>#N/A</v>
      </c>
      <c r="CB32" s="273" t="str">
        <f t="shared" si="34"/>
        <v>Rome</v>
      </c>
      <c r="CC32" s="271">
        <f t="shared" si="35"/>
        <v>80.1133786848073</v>
      </c>
      <c r="CD32" s="24">
        <f t="shared" si="67"/>
        <v>80.1133786848073</v>
      </c>
      <c r="CE32" s="24">
        <f t="shared" si="36"/>
        <v>1</v>
      </c>
      <c r="CF32" s="275" t="e">
        <f t="shared" si="68"/>
        <v>#N/A</v>
      </c>
      <c r="CH32" s="273" t="str">
        <f t="shared" si="37"/>
        <v>Rome</v>
      </c>
      <c r="CI32" s="271">
        <f t="shared" si="38"/>
        <v>68.6694571174441</v>
      </c>
      <c r="CJ32" s="24">
        <f t="shared" si="69"/>
        <v>68.6694571174441</v>
      </c>
      <c r="CK32" s="24">
        <f t="shared" si="39"/>
        <v>1</v>
      </c>
      <c r="CL32" s="275" t="e">
        <f t="shared" si="70"/>
        <v>#N/A</v>
      </c>
    </row>
    <row r="33" ht="15.75" spans="1:90">
      <c r="A33" s="1">
        <f>tblTerritories!A30</f>
        <v>28</v>
      </c>
      <c r="B33" s="1" t="str">
        <f>tblTerritories!B30</f>
        <v/>
      </c>
      <c r="C33" s="1" t="str">
        <f>tblTerritories!C30</f>
        <v>Lima</v>
      </c>
      <c r="D33" s="1" t="str">
        <f>tblTerritories!J30</f>
        <v>Lima</v>
      </c>
      <c r="E33" s="1">
        <f t="shared" si="40"/>
        <v>0</v>
      </c>
      <c r="F33" s="1">
        <f>IF(tblTerritories!F30="",0,tblTerritories!F30)</f>
        <v>1</v>
      </c>
      <c r="G33" s="1">
        <f t="shared" si="0"/>
        <v>61.8984</v>
      </c>
      <c r="H33" s="1">
        <f>IF(F33=0,"",RANK(G33,G$6:G$66,0)+COUNTIF(G$6:G33,G33)-1)</f>
        <v>44</v>
      </c>
      <c r="I33" s="1">
        <f t="shared" si="41"/>
        <v>1</v>
      </c>
      <c r="J33" s="1">
        <f t="shared" si="42"/>
        <v>1</v>
      </c>
      <c r="K33" s="269" t="e">
        <f t="shared" si="1"/>
        <v>#VALUE!</v>
      </c>
      <c r="L33" s="269">
        <f t="shared" si="43"/>
        <v>1</v>
      </c>
      <c r="M33" s="268" t="e">
        <f t="shared" si="44"/>
        <v>#VALUE!</v>
      </c>
      <c r="N33" s="273" t="str">
        <f t="shared" si="2"/>
        <v>Abu Dhabi</v>
      </c>
      <c r="O33" s="271">
        <f t="shared" si="3"/>
        <v>76.9075622869516</v>
      </c>
      <c r="P33" s="24">
        <f t="shared" si="45"/>
        <v>76.9075622869516</v>
      </c>
      <c r="Q33" s="24">
        <f t="shared" si="4"/>
        <v>1</v>
      </c>
      <c r="R33" s="275" t="e">
        <f t="shared" si="46"/>
        <v>#N/A</v>
      </c>
      <c r="T33" s="273" t="str">
        <f t="shared" si="5"/>
        <v>Abu Dhabi</v>
      </c>
      <c r="U33" s="271">
        <f t="shared" si="6"/>
        <v>68.7742107919604</v>
      </c>
      <c r="V33" s="24">
        <f t="shared" si="47"/>
        <v>68.7742107919604</v>
      </c>
      <c r="W33" s="24">
        <f t="shared" si="7"/>
        <v>1</v>
      </c>
      <c r="X33" s="275" t="e">
        <f t="shared" si="48"/>
        <v>#N/A</v>
      </c>
      <c r="Z33" s="273" t="str">
        <f t="shared" si="8"/>
        <v>Abu Dhabi</v>
      </c>
      <c r="AA33" s="271">
        <f t="shared" si="9"/>
        <v>63.3333333333333</v>
      </c>
      <c r="AB33" s="24">
        <f t="shared" si="49"/>
        <v>63.3333333333333</v>
      </c>
      <c r="AC33" s="272">
        <v>1</v>
      </c>
      <c r="AD33" s="275" t="e">
        <f t="shared" si="50"/>
        <v>#N/A</v>
      </c>
      <c r="AF33" s="273" t="str">
        <f t="shared" si="10"/>
        <v>Abu Dhabi</v>
      </c>
      <c r="AG33" s="271">
        <f t="shared" si="11"/>
        <v>74.2150882505875</v>
      </c>
      <c r="AH33" s="24">
        <f t="shared" si="51"/>
        <v>74.2150882505875</v>
      </c>
      <c r="AI33" s="24">
        <f t="shared" si="12"/>
        <v>1</v>
      </c>
      <c r="AJ33" s="275" t="e">
        <f t="shared" si="52"/>
        <v>#N/A</v>
      </c>
      <c r="AL33" s="273" t="str">
        <f t="shared" si="13"/>
        <v>Abu Dhabi</v>
      </c>
      <c r="AM33" s="271">
        <f t="shared" si="14"/>
        <v>68.5404322865189</v>
      </c>
      <c r="AN33" s="24">
        <f t="shared" si="53"/>
        <v>68.5404322865189</v>
      </c>
      <c r="AO33" s="24">
        <f t="shared" si="15"/>
        <v>1</v>
      </c>
      <c r="AP33" s="275" t="e">
        <f t="shared" si="54"/>
        <v>#N/A</v>
      </c>
      <c r="AR33" s="273" t="str">
        <f t="shared" si="16"/>
        <v>Abu Dhabi</v>
      </c>
      <c r="AS33" s="271">
        <f t="shared" si="17"/>
        <v>55.909058022829</v>
      </c>
      <c r="AT33" s="24">
        <f t="shared" si="55"/>
        <v>55.909058022829</v>
      </c>
      <c r="AU33" s="24">
        <f t="shared" si="18"/>
        <v>1</v>
      </c>
      <c r="AV33" s="275" t="e">
        <f t="shared" si="56"/>
        <v>#N/A</v>
      </c>
      <c r="AX33" s="273" t="str">
        <f t="shared" si="19"/>
        <v>Abu Dhabi</v>
      </c>
      <c r="AY33" s="271">
        <f t="shared" si="20"/>
        <v>81.1718065502088</v>
      </c>
      <c r="AZ33" s="24">
        <f t="shared" si="57"/>
        <v>81.1718065502088</v>
      </c>
      <c r="BA33" s="24">
        <f t="shared" si="21"/>
        <v>1</v>
      </c>
      <c r="BB33" s="275" t="e">
        <f t="shared" si="58"/>
        <v>#N/A</v>
      </c>
      <c r="BD33" s="273" t="str">
        <f t="shared" si="22"/>
        <v>Abu Dhabi</v>
      </c>
      <c r="BE33" s="271">
        <f t="shared" si="23"/>
        <v>91.3641602398045</v>
      </c>
      <c r="BF33" s="24">
        <f t="shared" si="59"/>
        <v>91.3641602398045</v>
      </c>
      <c r="BG33" s="24">
        <f t="shared" si="24"/>
        <v>1</v>
      </c>
      <c r="BH33" s="275" t="e">
        <f t="shared" si="60"/>
        <v>#N/A</v>
      </c>
      <c r="BJ33" s="273" t="str">
        <f t="shared" si="25"/>
        <v>Abu Dhabi</v>
      </c>
      <c r="BK33" s="271">
        <f t="shared" si="26"/>
        <v>90</v>
      </c>
      <c r="BL33" s="24">
        <f t="shared" si="61"/>
        <v>90</v>
      </c>
      <c r="BM33" s="24">
        <f t="shared" si="27"/>
        <v>1</v>
      </c>
      <c r="BN33" s="275" t="e">
        <f t="shared" si="62"/>
        <v>#N/A</v>
      </c>
      <c r="BP33" s="273" t="str">
        <f t="shared" si="28"/>
        <v>Abu Dhabi</v>
      </c>
      <c r="BQ33" s="271">
        <f t="shared" si="29"/>
        <v>92.728320479609</v>
      </c>
      <c r="BR33" s="24">
        <f t="shared" si="63"/>
        <v>92.728320479609</v>
      </c>
      <c r="BS33" s="24">
        <f t="shared" si="30"/>
        <v>1</v>
      </c>
      <c r="BT33" s="275" t="e">
        <f t="shared" si="64"/>
        <v>#N/A</v>
      </c>
      <c r="BV33" s="273" t="str">
        <f t="shared" si="31"/>
        <v>Abu Dhabi</v>
      </c>
      <c r="BW33" s="271">
        <f t="shared" si="32"/>
        <v>78.9514458295227</v>
      </c>
      <c r="BX33" s="24">
        <f t="shared" si="65"/>
        <v>78.9514458295227</v>
      </c>
      <c r="BY33" s="24">
        <f t="shared" si="33"/>
        <v>1</v>
      </c>
      <c r="BZ33" s="275" t="e">
        <f t="shared" si="66"/>
        <v>#N/A</v>
      </c>
      <c r="CB33" s="273" t="str">
        <f t="shared" si="34"/>
        <v>Abu Dhabi</v>
      </c>
      <c r="CC33" s="271">
        <f t="shared" si="35"/>
        <v>71.8027210884354</v>
      </c>
      <c r="CD33" s="24">
        <f t="shared" si="67"/>
        <v>71.8027210884354</v>
      </c>
      <c r="CE33" s="24">
        <f t="shared" si="36"/>
        <v>1</v>
      </c>
      <c r="CF33" s="275" t="e">
        <f t="shared" si="68"/>
        <v>#N/A</v>
      </c>
      <c r="CH33" s="273" t="str">
        <f t="shared" si="37"/>
        <v>Abu Dhabi</v>
      </c>
      <c r="CI33" s="271">
        <f t="shared" si="38"/>
        <v>86.10017057061</v>
      </c>
      <c r="CJ33" s="24">
        <f t="shared" si="69"/>
        <v>86.10017057061</v>
      </c>
      <c r="CK33" s="24">
        <f t="shared" si="39"/>
        <v>1</v>
      </c>
      <c r="CL33" s="275" t="e">
        <f t="shared" si="70"/>
        <v>#N/A</v>
      </c>
    </row>
    <row r="34" ht="15.75" spans="1:90">
      <c r="A34" s="1">
        <f>tblTerritories!A31</f>
        <v>29</v>
      </c>
      <c r="B34" s="1" t="str">
        <f>tblTerritories!B31</f>
        <v/>
      </c>
      <c r="C34" s="1" t="str">
        <f>tblTerritories!C31</f>
        <v>London</v>
      </c>
      <c r="D34" s="1" t="str">
        <f>tblTerritories!J31</f>
        <v>London</v>
      </c>
      <c r="E34" s="1">
        <f t="shared" si="40"/>
        <v>0</v>
      </c>
      <c r="F34" s="1">
        <f>IF(tblTerritories!F31="",0,tblTerritories!F31)</f>
        <v>1</v>
      </c>
      <c r="G34" s="1">
        <f t="shared" si="0"/>
        <v>82.09601</v>
      </c>
      <c r="H34" s="1">
        <f>IF(F34=0,"",RANK(G34,G$6:G$66,0)+COUNTIF(G$6:G34,G34)-1)</f>
        <v>20</v>
      </c>
      <c r="I34" s="1">
        <f t="shared" si="41"/>
        <v>9</v>
      </c>
      <c r="J34" s="1">
        <f t="shared" si="42"/>
        <v>1</v>
      </c>
      <c r="K34" s="269" t="e">
        <f t="shared" si="1"/>
        <v>#VALUE!</v>
      </c>
      <c r="L34" s="269">
        <f t="shared" si="43"/>
        <v>1</v>
      </c>
      <c r="M34" s="268" t="e">
        <f t="shared" si="44"/>
        <v>#VALUE!</v>
      </c>
      <c r="N34" s="273" t="str">
        <f t="shared" si="2"/>
        <v>Buenos Aires</v>
      </c>
      <c r="O34" s="271">
        <f t="shared" si="3"/>
        <v>76.3482567325707</v>
      </c>
      <c r="P34" s="24">
        <f t="shared" si="45"/>
        <v>76.3482567325707</v>
      </c>
      <c r="Q34" s="24">
        <f t="shared" si="4"/>
        <v>1</v>
      </c>
      <c r="R34" s="275" t="e">
        <f t="shared" si="46"/>
        <v>#N/A</v>
      </c>
      <c r="T34" s="273" t="str">
        <f t="shared" si="5"/>
        <v>Buenos Aires</v>
      </c>
      <c r="U34" s="271">
        <f t="shared" si="6"/>
        <v>74.1430026566381</v>
      </c>
      <c r="V34" s="24">
        <f t="shared" si="47"/>
        <v>74.1430026566381</v>
      </c>
      <c r="W34" s="24">
        <f t="shared" si="7"/>
        <v>1</v>
      </c>
      <c r="X34" s="275" t="e">
        <f t="shared" si="48"/>
        <v>#N/A</v>
      </c>
      <c r="Z34" s="273" t="str">
        <f t="shared" si="8"/>
        <v>Buenos Aires</v>
      </c>
      <c r="AA34" s="271">
        <f t="shared" si="9"/>
        <v>66.6666666666667</v>
      </c>
      <c r="AB34" s="24">
        <f t="shared" si="49"/>
        <v>66.6666666666667</v>
      </c>
      <c r="AC34" s="272">
        <v>1</v>
      </c>
      <c r="AD34" s="275" t="e">
        <f t="shared" si="50"/>
        <v>#N/A</v>
      </c>
      <c r="AF34" s="273" t="str">
        <f t="shared" si="10"/>
        <v>Buenos Aires</v>
      </c>
      <c r="AG34" s="271">
        <f t="shared" si="11"/>
        <v>81.6193386466095</v>
      </c>
      <c r="AH34" s="24">
        <f t="shared" si="51"/>
        <v>81.6193386466095</v>
      </c>
      <c r="AI34" s="24">
        <f t="shared" si="12"/>
        <v>1</v>
      </c>
      <c r="AJ34" s="275" t="e">
        <f t="shared" si="52"/>
        <v>#N/A</v>
      </c>
      <c r="AL34" s="273" t="str">
        <f t="shared" si="13"/>
        <v>Buenos Aires</v>
      </c>
      <c r="AM34" s="271">
        <f t="shared" si="14"/>
        <v>74.8441020956128</v>
      </c>
      <c r="AN34" s="24">
        <f t="shared" si="53"/>
        <v>74.8441020956128</v>
      </c>
      <c r="AO34" s="24">
        <f t="shared" si="15"/>
        <v>1</v>
      </c>
      <c r="AP34" s="275" t="e">
        <f t="shared" si="54"/>
        <v>#N/A</v>
      </c>
      <c r="AR34" s="273" t="str">
        <f t="shared" si="16"/>
        <v>Buenos Aires</v>
      </c>
      <c r="AS34" s="271">
        <f t="shared" si="17"/>
        <v>73.199281005837</v>
      </c>
      <c r="AT34" s="24">
        <f t="shared" si="55"/>
        <v>73.199281005837</v>
      </c>
      <c r="AU34" s="24">
        <f t="shared" si="18"/>
        <v>1</v>
      </c>
      <c r="AV34" s="275" t="e">
        <f t="shared" si="56"/>
        <v>#N/A</v>
      </c>
      <c r="AX34" s="273" t="str">
        <f t="shared" si="19"/>
        <v>Buenos Aires</v>
      </c>
      <c r="AY34" s="271">
        <f t="shared" si="20"/>
        <v>76.4889231853885</v>
      </c>
      <c r="AZ34" s="24">
        <f t="shared" si="57"/>
        <v>76.4889231853885</v>
      </c>
      <c r="BA34" s="24">
        <f t="shared" si="21"/>
        <v>1</v>
      </c>
      <c r="BB34" s="275" t="e">
        <f t="shared" si="58"/>
        <v>#N/A</v>
      </c>
      <c r="BD34" s="273" t="str">
        <f t="shared" si="22"/>
        <v>Buenos Aires</v>
      </c>
      <c r="BE34" s="271">
        <f t="shared" si="23"/>
        <v>87.992217350021</v>
      </c>
      <c r="BF34" s="24">
        <f t="shared" si="59"/>
        <v>87.992217350021</v>
      </c>
      <c r="BG34" s="24">
        <f t="shared" si="24"/>
        <v>1</v>
      </c>
      <c r="BH34" s="275" t="e">
        <f t="shared" si="60"/>
        <v>#N/A</v>
      </c>
      <c r="BJ34" s="273" t="str">
        <f t="shared" si="25"/>
        <v>Buenos Aires</v>
      </c>
      <c r="BK34" s="271">
        <f t="shared" si="26"/>
        <v>87.5</v>
      </c>
      <c r="BL34" s="24">
        <f t="shared" si="61"/>
        <v>87.5</v>
      </c>
      <c r="BM34" s="24">
        <f t="shared" si="27"/>
        <v>1</v>
      </c>
      <c r="BN34" s="275" t="e">
        <f t="shared" si="62"/>
        <v>#N/A</v>
      </c>
      <c r="BP34" s="273" t="str">
        <f t="shared" si="28"/>
        <v>Buenos Aires</v>
      </c>
      <c r="BQ34" s="271">
        <f t="shared" si="29"/>
        <v>88.4844347000419</v>
      </c>
      <c r="BR34" s="24">
        <f t="shared" si="63"/>
        <v>88.4844347000419</v>
      </c>
      <c r="BS34" s="24">
        <f t="shared" si="30"/>
        <v>1</v>
      </c>
      <c r="BT34" s="275" t="e">
        <f t="shared" si="64"/>
        <v>#N/A</v>
      </c>
      <c r="BV34" s="273" t="str">
        <f t="shared" si="31"/>
        <v>Buenos Aires</v>
      </c>
      <c r="BW34" s="271">
        <f t="shared" si="32"/>
        <v>68.413704828011</v>
      </c>
      <c r="BX34" s="24">
        <f t="shared" si="65"/>
        <v>68.413704828011</v>
      </c>
      <c r="BY34" s="24">
        <f t="shared" si="33"/>
        <v>1</v>
      </c>
      <c r="BZ34" s="275" t="e">
        <f t="shared" si="66"/>
        <v>#N/A</v>
      </c>
      <c r="CB34" s="273" t="str">
        <f t="shared" si="34"/>
        <v>Buenos Aires</v>
      </c>
      <c r="CC34" s="271">
        <f t="shared" si="35"/>
        <v>68.3219954648526</v>
      </c>
      <c r="CD34" s="24">
        <f t="shared" si="67"/>
        <v>68.3219954648526</v>
      </c>
      <c r="CE34" s="24">
        <f t="shared" si="36"/>
        <v>1</v>
      </c>
      <c r="CF34" s="275" t="e">
        <f t="shared" si="68"/>
        <v>#N/A</v>
      </c>
      <c r="CH34" s="273" t="str">
        <f t="shared" si="37"/>
        <v>Buenos Aires</v>
      </c>
      <c r="CI34" s="271">
        <f t="shared" si="38"/>
        <v>68.5054141911695</v>
      </c>
      <c r="CJ34" s="24">
        <f t="shared" si="69"/>
        <v>68.5054141911695</v>
      </c>
      <c r="CK34" s="24">
        <f t="shared" si="39"/>
        <v>1</v>
      </c>
      <c r="CL34" s="275" t="e">
        <f t="shared" si="70"/>
        <v>#N/A</v>
      </c>
    </row>
    <row r="35" ht="15.75" spans="1:90">
      <c r="A35" s="1">
        <f>tblTerritories!A32</f>
        <v>30</v>
      </c>
      <c r="B35" s="1" t="str">
        <f>tblTerritories!B32</f>
        <v/>
      </c>
      <c r="C35" s="1" t="str">
        <f>tblTerritories!C32</f>
        <v>Los Angeles</v>
      </c>
      <c r="D35" s="1" t="str">
        <f>tblTerritories!J32</f>
        <v>Los Angeles</v>
      </c>
      <c r="E35" s="1">
        <f t="shared" si="40"/>
        <v>0</v>
      </c>
      <c r="F35" s="1">
        <f>IF(tblTerritories!F32="",0,tblTerritories!F32)</f>
        <v>1</v>
      </c>
      <c r="G35" s="1">
        <f t="shared" si="0"/>
        <v>82.26307</v>
      </c>
      <c r="H35" s="1">
        <f>IF(F35=0,"",RANK(G35,G$6:G$66,0)+COUNTIF(G$6:G35,G35)-1)</f>
        <v>18</v>
      </c>
      <c r="I35" s="1">
        <f t="shared" si="41"/>
        <v>17</v>
      </c>
      <c r="J35" s="1">
        <f t="shared" si="42"/>
        <v>1</v>
      </c>
      <c r="K35" s="269" t="e">
        <f t="shared" si="1"/>
        <v>#VALUE!</v>
      </c>
      <c r="L35" s="269">
        <f t="shared" si="43"/>
        <v>1</v>
      </c>
      <c r="M35" s="268" t="e">
        <f t="shared" si="44"/>
        <v>#VALUE!</v>
      </c>
      <c r="N35" s="273" t="str">
        <f t="shared" si="2"/>
        <v>Doha</v>
      </c>
      <c r="O35" s="271">
        <f t="shared" si="3"/>
        <v>73.5941578880355</v>
      </c>
      <c r="P35" s="24">
        <f t="shared" si="45"/>
        <v>73.5941578880355</v>
      </c>
      <c r="Q35" s="24">
        <f t="shared" si="4"/>
        <v>1</v>
      </c>
      <c r="R35" s="275" t="e">
        <f t="shared" si="46"/>
        <v>#N/A</v>
      </c>
      <c r="T35" s="273" t="str">
        <f t="shared" si="5"/>
        <v>Doha</v>
      </c>
      <c r="U35" s="271">
        <f t="shared" si="6"/>
        <v>64.0183809238191</v>
      </c>
      <c r="V35" s="24">
        <f t="shared" si="47"/>
        <v>64.0183809238191</v>
      </c>
      <c r="W35" s="24">
        <f t="shared" si="7"/>
        <v>1</v>
      </c>
      <c r="X35" s="275" t="e">
        <f t="shared" si="48"/>
        <v>#N/A</v>
      </c>
      <c r="Z35" s="273" t="str">
        <f t="shared" si="8"/>
        <v>Doha</v>
      </c>
      <c r="AA35" s="271">
        <f t="shared" si="9"/>
        <v>58.3333333333333</v>
      </c>
      <c r="AB35" s="24">
        <f t="shared" si="49"/>
        <v>58.3333333333333</v>
      </c>
      <c r="AC35" s="272">
        <v>1</v>
      </c>
      <c r="AD35" s="275" t="e">
        <f t="shared" si="50"/>
        <v>#N/A</v>
      </c>
      <c r="AF35" s="273" t="str">
        <f t="shared" si="10"/>
        <v>Doha</v>
      </c>
      <c r="AG35" s="271">
        <f t="shared" si="11"/>
        <v>69.7034285143048</v>
      </c>
      <c r="AH35" s="24">
        <f t="shared" si="51"/>
        <v>69.7034285143048</v>
      </c>
      <c r="AI35" s="24">
        <f t="shared" si="12"/>
        <v>1</v>
      </c>
      <c r="AJ35" s="275" t="e">
        <f t="shared" si="52"/>
        <v>#N/A</v>
      </c>
      <c r="AL35" s="273" t="str">
        <f t="shared" si="13"/>
        <v>Doha</v>
      </c>
      <c r="AM35" s="271">
        <f t="shared" si="14"/>
        <v>62.6022311014463</v>
      </c>
      <c r="AN35" s="24">
        <f t="shared" si="53"/>
        <v>62.6022311014463</v>
      </c>
      <c r="AO35" s="24">
        <f t="shared" si="15"/>
        <v>1</v>
      </c>
      <c r="AP35" s="275" t="e">
        <f t="shared" si="54"/>
        <v>#N/A</v>
      </c>
      <c r="AR35" s="273" t="str">
        <f t="shared" si="16"/>
        <v>Doha</v>
      </c>
      <c r="AS35" s="271">
        <f t="shared" si="17"/>
        <v>50.1266823396416</v>
      </c>
      <c r="AT35" s="24">
        <f t="shared" si="55"/>
        <v>50.1266823396416</v>
      </c>
      <c r="AU35" s="24">
        <f t="shared" si="18"/>
        <v>1</v>
      </c>
      <c r="AV35" s="275" t="e">
        <f t="shared" si="56"/>
        <v>#N/A</v>
      </c>
      <c r="AX35" s="273" t="str">
        <f t="shared" si="19"/>
        <v>Doha</v>
      </c>
      <c r="AY35" s="271">
        <f t="shared" si="20"/>
        <v>75.077779863251</v>
      </c>
      <c r="AZ35" s="24">
        <f t="shared" si="57"/>
        <v>75.077779863251</v>
      </c>
      <c r="BA35" s="24">
        <f t="shared" si="21"/>
        <v>1</v>
      </c>
      <c r="BB35" s="275" t="e">
        <f t="shared" si="58"/>
        <v>#N/A</v>
      </c>
      <c r="BD35" s="273" t="str">
        <f t="shared" si="22"/>
        <v>Doha</v>
      </c>
      <c r="BE35" s="271">
        <f t="shared" si="23"/>
        <v>81.7204033378227</v>
      </c>
      <c r="BF35" s="24">
        <f t="shared" si="59"/>
        <v>81.7204033378227</v>
      </c>
      <c r="BG35" s="24">
        <f t="shared" si="24"/>
        <v>1</v>
      </c>
      <c r="BH35" s="275" t="e">
        <f t="shared" si="60"/>
        <v>#N/A</v>
      </c>
      <c r="BJ35" s="273" t="str">
        <f t="shared" si="25"/>
        <v>Doha</v>
      </c>
      <c r="BK35" s="271">
        <f t="shared" si="26"/>
        <v>75.5</v>
      </c>
      <c r="BL35" s="24">
        <f t="shared" si="61"/>
        <v>75.5</v>
      </c>
      <c r="BM35" s="24">
        <f t="shared" si="27"/>
        <v>1</v>
      </c>
      <c r="BN35" s="275" t="e">
        <f t="shared" si="62"/>
        <v>#N/A</v>
      </c>
      <c r="BP35" s="273" t="str">
        <f t="shared" si="28"/>
        <v>Doha</v>
      </c>
      <c r="BQ35" s="271">
        <f t="shared" si="29"/>
        <v>87.9408066756454</v>
      </c>
      <c r="BR35" s="24">
        <f t="shared" si="63"/>
        <v>87.9408066756454</v>
      </c>
      <c r="BS35" s="24">
        <f t="shared" si="30"/>
        <v>1</v>
      </c>
      <c r="BT35" s="275" t="e">
        <f t="shared" si="64"/>
        <v>#N/A</v>
      </c>
      <c r="BV35" s="273" t="str">
        <f t="shared" si="31"/>
        <v>Doha</v>
      </c>
      <c r="BW35" s="271">
        <f t="shared" si="32"/>
        <v>86.0356161890541</v>
      </c>
      <c r="BX35" s="24">
        <f t="shared" si="65"/>
        <v>86.0356161890541</v>
      </c>
      <c r="BY35" s="24">
        <f t="shared" si="33"/>
        <v>1</v>
      </c>
      <c r="BZ35" s="275" t="e">
        <f t="shared" si="66"/>
        <v>#N/A</v>
      </c>
      <c r="CB35" s="273" t="str">
        <f t="shared" si="34"/>
        <v>Doha</v>
      </c>
      <c r="CC35" s="271">
        <f t="shared" si="35"/>
        <v>88.6167800453515</v>
      </c>
      <c r="CD35" s="24">
        <f t="shared" si="67"/>
        <v>88.6167800453515</v>
      </c>
      <c r="CE35" s="24">
        <f t="shared" si="36"/>
        <v>1</v>
      </c>
      <c r="CF35" s="275" t="e">
        <f t="shared" si="68"/>
        <v>#N/A</v>
      </c>
      <c r="CH35" s="273" t="str">
        <f t="shared" si="37"/>
        <v>Doha</v>
      </c>
      <c r="CI35" s="271">
        <f t="shared" si="38"/>
        <v>83.4544523327568</v>
      </c>
      <c r="CJ35" s="24">
        <f t="shared" si="69"/>
        <v>83.4544523327568</v>
      </c>
      <c r="CK35" s="24">
        <f t="shared" si="39"/>
        <v>1</v>
      </c>
      <c r="CL35" s="275" t="e">
        <f t="shared" si="70"/>
        <v>#N/A</v>
      </c>
    </row>
    <row r="36" ht="15.75" spans="1:90">
      <c r="A36" s="1">
        <f>tblTerritories!A33</f>
        <v>31</v>
      </c>
      <c r="B36" s="1" t="str">
        <f>tblTerritories!B33</f>
        <v/>
      </c>
      <c r="C36" s="1" t="str">
        <f>tblTerritories!C33</f>
        <v>Madrid</v>
      </c>
      <c r="D36" s="1" t="str">
        <f>tblTerritories!J33</f>
        <v>Madrid</v>
      </c>
      <c r="E36" s="1">
        <f t="shared" si="40"/>
        <v>0</v>
      </c>
      <c r="F36" s="1">
        <f>IF(tblTerritories!F33="",0,tblTerritories!F33)</f>
        <v>1</v>
      </c>
      <c r="G36" s="1">
        <f t="shared" si="0"/>
        <v>83.8763</v>
      </c>
      <c r="H36" s="1">
        <f>IF(F36=0,"",RANK(G36,G$6:G$66,0)+COUNTIF(G$6:G36,G36)-1)</f>
        <v>12</v>
      </c>
      <c r="I36" s="1">
        <f t="shared" si="41"/>
        <v>26</v>
      </c>
      <c r="J36" s="1">
        <f t="shared" si="42"/>
        <v>1</v>
      </c>
      <c r="K36" s="269" t="e">
        <f t="shared" si="1"/>
        <v>#VALUE!</v>
      </c>
      <c r="L36" s="269">
        <f t="shared" si="43"/>
        <v>1</v>
      </c>
      <c r="M36" s="268" t="e">
        <f t="shared" si="44"/>
        <v>#VALUE!</v>
      </c>
      <c r="N36" s="273" t="str">
        <f t="shared" si="2"/>
        <v>Kuala Lumpur</v>
      </c>
      <c r="O36" s="271">
        <f t="shared" si="3"/>
        <v>73.1127713624099</v>
      </c>
      <c r="P36" s="24">
        <f t="shared" si="45"/>
        <v>73.1127713624099</v>
      </c>
      <c r="Q36" s="24">
        <f t="shared" si="4"/>
        <v>1</v>
      </c>
      <c r="R36" s="275" t="e">
        <f t="shared" si="46"/>
        <v>#N/A</v>
      </c>
      <c r="T36" s="273" t="str">
        <f t="shared" si="5"/>
        <v>Kuala Lumpur</v>
      </c>
      <c r="U36" s="271">
        <f t="shared" si="6"/>
        <v>66.1672147239068</v>
      </c>
      <c r="V36" s="24">
        <f t="shared" si="47"/>
        <v>66.1672147239068</v>
      </c>
      <c r="W36" s="24">
        <f t="shared" si="7"/>
        <v>1</v>
      </c>
      <c r="X36" s="275" t="e">
        <f t="shared" si="48"/>
        <v>#N/A</v>
      </c>
      <c r="Z36" s="273" t="str">
        <f t="shared" si="8"/>
        <v>Kuala Lumpur</v>
      </c>
      <c r="AA36" s="271">
        <f t="shared" si="9"/>
        <v>58.3333333333333</v>
      </c>
      <c r="AB36" s="24">
        <f t="shared" si="49"/>
        <v>58.3333333333333</v>
      </c>
      <c r="AC36" s="272">
        <v>1</v>
      </c>
      <c r="AD36" s="275" t="e">
        <f t="shared" si="50"/>
        <v>#N/A</v>
      </c>
      <c r="AF36" s="273" t="str">
        <f t="shared" si="10"/>
        <v>Kuala Lumpur</v>
      </c>
      <c r="AG36" s="271">
        <f t="shared" si="11"/>
        <v>74.0010961144802</v>
      </c>
      <c r="AH36" s="24">
        <f t="shared" si="51"/>
        <v>74.0010961144802</v>
      </c>
      <c r="AI36" s="24">
        <f t="shared" si="12"/>
        <v>1</v>
      </c>
      <c r="AJ36" s="275" t="e">
        <f t="shared" si="52"/>
        <v>#N/A</v>
      </c>
      <c r="AL36" s="273" t="str">
        <f t="shared" si="13"/>
        <v>Kuala Lumpur</v>
      </c>
      <c r="AM36" s="271">
        <f t="shared" si="14"/>
        <v>67.1493273990489</v>
      </c>
      <c r="AN36" s="24">
        <f t="shared" si="53"/>
        <v>67.1493273990489</v>
      </c>
      <c r="AO36" s="24">
        <f t="shared" si="15"/>
        <v>1</v>
      </c>
      <c r="AP36" s="275" t="e">
        <f t="shared" si="54"/>
        <v>#N/A</v>
      </c>
      <c r="AR36" s="273" t="str">
        <f t="shared" si="16"/>
        <v>Kuala Lumpur</v>
      </c>
      <c r="AS36" s="271">
        <f t="shared" si="17"/>
        <v>54.1709826029143</v>
      </c>
      <c r="AT36" s="24">
        <f t="shared" si="55"/>
        <v>54.1709826029143</v>
      </c>
      <c r="AU36" s="24">
        <f t="shared" si="18"/>
        <v>1</v>
      </c>
      <c r="AV36" s="275" t="e">
        <f t="shared" si="56"/>
        <v>#N/A</v>
      </c>
      <c r="AX36" s="273" t="str">
        <f t="shared" si="19"/>
        <v>Kuala Lumpur</v>
      </c>
      <c r="AY36" s="271">
        <f t="shared" si="20"/>
        <v>80.1276721951836</v>
      </c>
      <c r="AZ36" s="24">
        <f t="shared" si="57"/>
        <v>80.1276721951836</v>
      </c>
      <c r="BA36" s="24">
        <f t="shared" si="21"/>
        <v>1</v>
      </c>
      <c r="BB36" s="275" t="e">
        <f t="shared" si="58"/>
        <v>#N/A</v>
      </c>
      <c r="BD36" s="273" t="str">
        <f t="shared" si="22"/>
        <v>Kuala Lumpur</v>
      </c>
      <c r="BE36" s="271">
        <f t="shared" si="23"/>
        <v>78.1190759836028</v>
      </c>
      <c r="BF36" s="24">
        <f t="shared" si="59"/>
        <v>78.1190759836028</v>
      </c>
      <c r="BG36" s="24">
        <f t="shared" si="24"/>
        <v>1</v>
      </c>
      <c r="BH36" s="275" t="e">
        <f t="shared" si="60"/>
        <v>#N/A</v>
      </c>
      <c r="BJ36" s="273" t="str">
        <f t="shared" si="25"/>
        <v>Kuala Lumpur</v>
      </c>
      <c r="BK36" s="271">
        <f t="shared" si="26"/>
        <v>70</v>
      </c>
      <c r="BL36" s="24">
        <f t="shared" si="61"/>
        <v>70</v>
      </c>
      <c r="BM36" s="24">
        <f t="shared" si="27"/>
        <v>1</v>
      </c>
      <c r="BN36" s="275" t="e">
        <f t="shared" si="62"/>
        <v>#N/A</v>
      </c>
      <c r="BP36" s="273" t="str">
        <f t="shared" si="28"/>
        <v>Kuala Lumpur</v>
      </c>
      <c r="BQ36" s="271">
        <f t="shared" si="29"/>
        <v>86.2381519672056</v>
      </c>
      <c r="BR36" s="24">
        <f t="shared" si="63"/>
        <v>86.2381519672056</v>
      </c>
      <c r="BS36" s="24">
        <f t="shared" si="30"/>
        <v>1</v>
      </c>
      <c r="BT36" s="275" t="e">
        <f t="shared" si="64"/>
        <v>#N/A</v>
      </c>
      <c r="BV36" s="273" t="str">
        <f t="shared" si="31"/>
        <v>Kuala Lumpur</v>
      </c>
      <c r="BW36" s="271">
        <f t="shared" si="32"/>
        <v>81.0154673430812</v>
      </c>
      <c r="BX36" s="24">
        <f t="shared" si="65"/>
        <v>81.0154673430812</v>
      </c>
      <c r="BY36" s="24">
        <f t="shared" si="33"/>
        <v>1</v>
      </c>
      <c r="BZ36" s="275" t="e">
        <f t="shared" si="66"/>
        <v>#N/A</v>
      </c>
      <c r="CB36" s="273" t="str">
        <f t="shared" si="34"/>
        <v>Kuala Lumpur</v>
      </c>
      <c r="CC36" s="271">
        <f t="shared" si="35"/>
        <v>84.4557823129252</v>
      </c>
      <c r="CD36" s="24">
        <f t="shared" si="67"/>
        <v>84.4557823129252</v>
      </c>
      <c r="CE36" s="24">
        <f t="shared" si="36"/>
        <v>1</v>
      </c>
      <c r="CF36" s="275" t="e">
        <f t="shared" si="68"/>
        <v>#N/A</v>
      </c>
      <c r="CH36" s="273" t="str">
        <f t="shared" si="37"/>
        <v>Kuala Lumpur</v>
      </c>
      <c r="CI36" s="271">
        <f t="shared" si="38"/>
        <v>77.5751523732371</v>
      </c>
      <c r="CJ36" s="24">
        <f t="shared" si="69"/>
        <v>77.5751523732371</v>
      </c>
      <c r="CK36" s="24">
        <f t="shared" si="39"/>
        <v>1</v>
      </c>
      <c r="CL36" s="275" t="e">
        <f t="shared" si="70"/>
        <v>#N/A</v>
      </c>
    </row>
    <row r="37" ht="15.75" spans="1:90">
      <c r="A37" s="1">
        <f>tblTerritories!A34</f>
        <v>32</v>
      </c>
      <c r="B37" s="1" t="str">
        <f>tblTerritories!B34</f>
        <v/>
      </c>
      <c r="C37" s="1" t="str">
        <f>tblTerritories!C34</f>
        <v>Manila</v>
      </c>
      <c r="D37" s="1" t="str">
        <f>tblTerritories!J34</f>
        <v>Manila</v>
      </c>
      <c r="E37" s="1">
        <f t="shared" si="40"/>
        <v>0</v>
      </c>
      <c r="F37" s="1">
        <f>IF(tblTerritories!F34="",0,tblTerritories!F34)</f>
        <v>1</v>
      </c>
      <c r="G37" s="1">
        <f t="shared" si="0"/>
        <v>54.86124</v>
      </c>
      <c r="H37" s="1">
        <f>IF(F37=0,"",RANK(G37,G$6:G$66,0)+COUNTIF(G$6:G37,G37)-1)</f>
        <v>55</v>
      </c>
      <c r="I37" s="1">
        <f t="shared" si="41"/>
        <v>6</v>
      </c>
      <c r="J37" s="1">
        <f t="shared" si="42"/>
        <v>1</v>
      </c>
      <c r="K37" s="269" t="e">
        <f t="shared" si="1"/>
        <v>#VALUE!</v>
      </c>
      <c r="L37" s="269">
        <f t="shared" si="43"/>
        <v>1</v>
      </c>
      <c r="M37" s="268" t="e">
        <f t="shared" si="44"/>
        <v>#VALUE!</v>
      </c>
      <c r="N37" s="273" t="str">
        <f t="shared" si="2"/>
        <v>Beijing</v>
      </c>
      <c r="O37" s="271">
        <f t="shared" si="3"/>
        <v>72.0648727049485</v>
      </c>
      <c r="P37" s="24">
        <f t="shared" si="45"/>
        <v>72.0648727049485</v>
      </c>
      <c r="Q37" s="24">
        <f t="shared" si="4"/>
        <v>1</v>
      </c>
      <c r="R37" s="275" t="e">
        <f t="shared" si="46"/>
        <v>#N/A</v>
      </c>
      <c r="T37" s="273" t="str">
        <f t="shared" si="5"/>
        <v>Beijing</v>
      </c>
      <c r="U37" s="271">
        <f t="shared" si="6"/>
        <v>65.3762531165856</v>
      </c>
      <c r="V37" s="24">
        <f t="shared" si="47"/>
        <v>65.3762531165856</v>
      </c>
      <c r="W37" s="24">
        <f t="shared" si="7"/>
        <v>1</v>
      </c>
      <c r="X37" s="275" t="e">
        <f t="shared" si="48"/>
        <v>#N/A</v>
      </c>
      <c r="Z37" s="273" t="str">
        <f t="shared" si="8"/>
        <v>Beijing</v>
      </c>
      <c r="AA37" s="271">
        <f t="shared" si="9"/>
        <v>63.3333333333333</v>
      </c>
      <c r="AB37" s="24">
        <f t="shared" si="49"/>
        <v>63.3333333333333</v>
      </c>
      <c r="AC37" s="272">
        <v>1</v>
      </c>
      <c r="AD37" s="275" t="e">
        <f t="shared" si="50"/>
        <v>#N/A</v>
      </c>
      <c r="AF37" s="273" t="str">
        <f t="shared" si="10"/>
        <v>Beijing</v>
      </c>
      <c r="AG37" s="271">
        <f t="shared" si="11"/>
        <v>67.4191728998378</v>
      </c>
      <c r="AH37" s="24">
        <f t="shared" si="51"/>
        <v>67.4191728998378</v>
      </c>
      <c r="AI37" s="24">
        <f t="shared" si="12"/>
        <v>1</v>
      </c>
      <c r="AJ37" s="275" t="e">
        <f t="shared" si="52"/>
        <v>#N/A</v>
      </c>
      <c r="AL37" s="273" t="str">
        <f t="shared" si="13"/>
        <v>Beijing</v>
      </c>
      <c r="AM37" s="271">
        <f t="shared" si="14"/>
        <v>67.6294169135286</v>
      </c>
      <c r="AN37" s="24">
        <f t="shared" si="53"/>
        <v>67.6294169135286</v>
      </c>
      <c r="AO37" s="24">
        <f t="shared" si="15"/>
        <v>1</v>
      </c>
      <c r="AP37" s="275" t="e">
        <f t="shared" si="54"/>
        <v>#N/A</v>
      </c>
      <c r="AR37" s="273" t="str">
        <f t="shared" si="16"/>
        <v>Beijing</v>
      </c>
      <c r="AS37" s="271">
        <f t="shared" si="17"/>
        <v>69.4909260892918</v>
      </c>
      <c r="AT37" s="24">
        <f t="shared" si="55"/>
        <v>69.4909260892918</v>
      </c>
      <c r="AU37" s="24">
        <f t="shared" si="18"/>
        <v>1</v>
      </c>
      <c r="AV37" s="275" t="e">
        <f t="shared" si="56"/>
        <v>#N/A</v>
      </c>
      <c r="AX37" s="273" t="str">
        <f t="shared" si="19"/>
        <v>Beijing</v>
      </c>
      <c r="AY37" s="271">
        <f t="shared" si="20"/>
        <v>65.7679077377655</v>
      </c>
      <c r="AZ37" s="24">
        <f t="shared" si="57"/>
        <v>65.7679077377655</v>
      </c>
      <c r="BA37" s="24">
        <f t="shared" si="21"/>
        <v>1</v>
      </c>
      <c r="BB37" s="275" t="e">
        <f t="shared" si="58"/>
        <v>#N/A</v>
      </c>
      <c r="BD37" s="273" t="str">
        <f t="shared" si="22"/>
        <v>Beijing</v>
      </c>
      <c r="BE37" s="271">
        <f t="shared" si="23"/>
        <v>74.4895357167155</v>
      </c>
      <c r="BF37" s="24">
        <f t="shared" si="59"/>
        <v>74.4895357167155</v>
      </c>
      <c r="BG37" s="24">
        <f t="shared" si="24"/>
        <v>1</v>
      </c>
      <c r="BH37" s="275" t="e">
        <f t="shared" si="60"/>
        <v>#N/A</v>
      </c>
      <c r="BJ37" s="273" t="str">
        <f t="shared" si="25"/>
        <v>Beijing</v>
      </c>
      <c r="BK37" s="271">
        <f t="shared" si="26"/>
        <v>70.5</v>
      </c>
      <c r="BL37" s="24">
        <f t="shared" si="61"/>
        <v>70.5</v>
      </c>
      <c r="BM37" s="24">
        <f t="shared" si="27"/>
        <v>1</v>
      </c>
      <c r="BN37" s="275" t="e">
        <f t="shared" si="62"/>
        <v>#N/A</v>
      </c>
      <c r="BP37" s="273" t="str">
        <f t="shared" si="28"/>
        <v>Beijing</v>
      </c>
      <c r="BQ37" s="271">
        <f t="shared" si="29"/>
        <v>78.479071433431</v>
      </c>
      <c r="BR37" s="24">
        <f t="shared" si="63"/>
        <v>78.479071433431</v>
      </c>
      <c r="BS37" s="24">
        <f t="shared" si="30"/>
        <v>1</v>
      </c>
      <c r="BT37" s="275" t="e">
        <f t="shared" si="64"/>
        <v>#N/A</v>
      </c>
      <c r="BV37" s="273" t="str">
        <f t="shared" si="31"/>
        <v>Beijing</v>
      </c>
      <c r="BW37" s="271">
        <f t="shared" si="32"/>
        <v>80.7642850729642</v>
      </c>
      <c r="BX37" s="24">
        <f t="shared" si="65"/>
        <v>80.7642850729642</v>
      </c>
      <c r="BY37" s="24">
        <f t="shared" si="33"/>
        <v>1</v>
      </c>
      <c r="BZ37" s="275" t="e">
        <f t="shared" si="66"/>
        <v>#N/A</v>
      </c>
      <c r="CB37" s="273" t="str">
        <f t="shared" si="34"/>
        <v>Beijing</v>
      </c>
      <c r="CC37" s="271">
        <f t="shared" si="35"/>
        <v>85</v>
      </c>
      <c r="CD37" s="24">
        <f t="shared" si="67"/>
        <v>85</v>
      </c>
      <c r="CE37" s="24">
        <f t="shared" si="36"/>
        <v>1</v>
      </c>
      <c r="CF37" s="275" t="e">
        <f t="shared" si="68"/>
        <v>#N/A</v>
      </c>
      <c r="CH37" s="273" t="str">
        <f t="shared" si="37"/>
        <v>Beijing</v>
      </c>
      <c r="CI37" s="271">
        <f t="shared" si="38"/>
        <v>76.5285701459284</v>
      </c>
      <c r="CJ37" s="24">
        <f t="shared" si="69"/>
        <v>76.5285701459284</v>
      </c>
      <c r="CK37" s="24">
        <f t="shared" si="39"/>
        <v>1</v>
      </c>
      <c r="CL37" s="275" t="e">
        <f t="shared" si="70"/>
        <v>#N/A</v>
      </c>
    </row>
    <row r="38" ht="15.75" spans="1:90">
      <c r="A38" s="1">
        <f>tblTerritories!A35</f>
        <v>33</v>
      </c>
      <c r="B38" s="1" t="str">
        <f>tblTerritories!B35</f>
        <v/>
      </c>
      <c r="C38" s="1" t="str">
        <f>tblTerritories!C35</f>
        <v>Melbourne</v>
      </c>
      <c r="D38" s="1" t="str">
        <f>tblTerritories!J35</f>
        <v>Melbourne</v>
      </c>
      <c r="E38" s="1">
        <f t="shared" si="40"/>
        <v>0</v>
      </c>
      <c r="F38" s="1">
        <f>IF(tblTerritories!F35="",0,tblTerritories!F35)</f>
        <v>1</v>
      </c>
      <c r="G38" s="1">
        <f t="shared" ref="G38:G66" si="71">IF(F38=0,"",CHOOSE($B$1,ROUND(INDEX(aScores_2014_O,$B$2,$A38),5),ROUND(INDEX(aScores_2014_N,$B$2,$A38),5),ROUND(INDEX(aScores_2017,$B$2,$A38),5)))</f>
        <v>87.30344</v>
      </c>
      <c r="H38" s="1">
        <f>IF(F38=0,"",RANK(G38,G$6:G$66,0)+COUNTIF(G$6:G38,G38)-1)</f>
        <v>5</v>
      </c>
      <c r="I38" s="1">
        <f t="shared" si="41"/>
        <v>3</v>
      </c>
      <c r="J38" s="1">
        <f t="shared" si="42"/>
        <v>1</v>
      </c>
      <c r="K38" s="269" t="e">
        <f t="shared" ref="K38:K66" si="72">IF(I38="","",RANK(U38,U$6:U$66,0))</f>
        <v>#VALUE!</v>
      </c>
      <c r="L38" s="269">
        <f t="shared" si="43"/>
        <v>1</v>
      </c>
      <c r="M38" s="268" t="e">
        <f t="shared" si="44"/>
        <v>#VALUE!</v>
      </c>
      <c r="N38" s="273" t="str">
        <f t="shared" ref="N38:N66" si="73">IF(C38="","",INDEX($C$6:$C$66,$I38))</f>
        <v>Athens</v>
      </c>
      <c r="O38" s="271">
        <f t="shared" ref="O38:O66" si="74">IF($C38="","",CHOOSE($B$1,INDEX(aScores_2014_O,O$4,$I38),INDEX(aScores_2014_N,O$4,$I38),INDEX(aScores_2017,O$4,$I38)))</f>
        <v>71.8968367863189</v>
      </c>
      <c r="P38" s="24">
        <f t="shared" si="45"/>
        <v>71.8968367863189</v>
      </c>
      <c r="Q38" s="24">
        <f t="shared" si="4"/>
        <v>1</v>
      </c>
      <c r="R38" s="275" t="e">
        <f t="shared" si="46"/>
        <v>#N/A</v>
      </c>
      <c r="T38" s="273" t="str">
        <f t="shared" ref="T38:T66" si="75">IF(I38="","",INDEX($C$6:$C$66,$I38))</f>
        <v>Athens</v>
      </c>
      <c r="U38" s="271">
        <f t="shared" ref="U38:U66" si="76">IF($C38="","",CHOOSE($B$1,INDEX(aScores_2014_O,U$4,$I38),INDEX(aScores_2014_N,U$4,$I38),INDEX(aScores_2017,U$4,$I38)))</f>
        <v>61.9382321111273</v>
      </c>
      <c r="V38" s="24">
        <f t="shared" si="47"/>
        <v>61.9382321111273</v>
      </c>
      <c r="W38" s="24">
        <f t="shared" si="7"/>
        <v>1</v>
      </c>
      <c r="X38" s="275" t="e">
        <f t="shared" si="48"/>
        <v>#N/A</v>
      </c>
      <c r="Z38" s="273" t="str">
        <f t="shared" ref="Z38:Z66" si="77">IF(U38="","",INDEX($C$6:$C$66,$I38))</f>
        <v>Athens</v>
      </c>
      <c r="AA38" s="271">
        <f t="shared" ref="AA38:AA66" si="78">IF($C38="","",CHOOSE($B$1,INDEX(aScores_2014_O,AA$4,$I38),INDEX(aScores_2014_N,AA$4,$I38),INDEX(aScores_2017,AA$4,$I38)))</f>
        <v>60</v>
      </c>
      <c r="AB38" s="24">
        <f t="shared" si="49"/>
        <v>60</v>
      </c>
      <c r="AC38" s="272">
        <v>1</v>
      </c>
      <c r="AD38" s="275" t="e">
        <f t="shared" si="50"/>
        <v>#N/A</v>
      </c>
      <c r="AF38" s="273" t="str">
        <f t="shared" ref="AF38:AF66" si="79">IF(AA38="","",INDEX($C$6:$C$66,$I38))</f>
        <v>Athens</v>
      </c>
      <c r="AG38" s="271">
        <f t="shared" ref="AG38:AG66" si="80">IF($C38="","",CHOOSE($B$1,INDEX(aScores_2014_O,AG$4,$I38),INDEX(aScores_2014_N,AG$4,$I38),INDEX(aScores_2017,AG$4,$I38)))</f>
        <v>63.8764642222547</v>
      </c>
      <c r="AH38" s="24">
        <f t="shared" si="51"/>
        <v>63.8764642222547</v>
      </c>
      <c r="AI38" s="24">
        <f t="shared" si="12"/>
        <v>1</v>
      </c>
      <c r="AJ38" s="275" t="e">
        <f t="shared" si="52"/>
        <v>#N/A</v>
      </c>
      <c r="AL38" s="273" t="str">
        <f t="shared" ref="AL38:AL66" si="81">IF(AG38="","",INDEX($C$6:$C$66,$I38))</f>
        <v>Athens</v>
      </c>
      <c r="AM38" s="271">
        <f t="shared" ref="AM38:AM66" si="82">IF($C38="","",CHOOSE($B$1,INDEX(aScores_2014_O,AM$4,$I38),INDEX(aScores_2014_N,AM$4,$I38),INDEX(aScores_2017,AM$4,$I38)))</f>
        <v>74.5716076702999</v>
      </c>
      <c r="AN38" s="24">
        <f t="shared" si="53"/>
        <v>74.5716076702999</v>
      </c>
      <c r="AO38" s="24">
        <f t="shared" si="15"/>
        <v>1</v>
      </c>
      <c r="AP38" s="275" t="e">
        <f t="shared" si="54"/>
        <v>#N/A</v>
      </c>
      <c r="AR38" s="273" t="str">
        <f t="shared" ref="AR38:AR66" si="83">IF(AM38="","",INDEX($C$6:$C$66,$I38))</f>
        <v>Athens</v>
      </c>
      <c r="AS38" s="271">
        <f t="shared" ref="AS38:AS66" si="84">IF($C38="","",CHOOSE($B$1,INDEX(aScores_2014_O,AS$4,$I38),INDEX(aScores_2014_N,AS$4,$I38),INDEX(aScores_2017,AS$4,$I38)))</f>
        <v>64.9250190551349</v>
      </c>
      <c r="AT38" s="24">
        <f t="shared" si="55"/>
        <v>64.9250190551349</v>
      </c>
      <c r="AU38" s="24">
        <f t="shared" si="18"/>
        <v>1</v>
      </c>
      <c r="AV38" s="275" t="e">
        <f t="shared" si="56"/>
        <v>#N/A</v>
      </c>
      <c r="AX38" s="273" t="str">
        <f t="shared" ref="AX38:AX66" si="85">IF(AS38="","",INDEX($C$6:$C$66,$I38))</f>
        <v>Athens</v>
      </c>
      <c r="AY38" s="271">
        <f t="shared" ref="AY38:AY66" si="86">IF($C38="","",CHOOSE($B$1,INDEX(aScores_2014_O,AY$4,$I38),INDEX(aScores_2014_N,AY$4,$I38),INDEX(aScores_2017,AY$4,$I38)))</f>
        <v>84.2181962854649</v>
      </c>
      <c r="AZ38" s="24">
        <f t="shared" si="57"/>
        <v>84.2181962854649</v>
      </c>
      <c r="BA38" s="24">
        <f t="shared" si="21"/>
        <v>1</v>
      </c>
      <c r="BB38" s="275" t="e">
        <f t="shared" si="58"/>
        <v>#N/A</v>
      </c>
      <c r="BD38" s="273" t="str">
        <f t="shared" ref="BD38:BD66" si="87">IF(AY38="","",INDEX($C$6:$C$66,$I38))</f>
        <v>Athens</v>
      </c>
      <c r="BE38" s="271">
        <f t="shared" ref="BE38:BE66" si="88">IF($C38="","",CHOOSE($B$1,INDEX(aScores_2014_O,BE$4,$I38),INDEX(aScores_2014_N,BE$4,$I38),INDEX(aScores_2017,BE$4,$I38)))</f>
        <v>82.0450727670822</v>
      </c>
      <c r="BF38" s="24">
        <f t="shared" si="59"/>
        <v>82.0450727670822</v>
      </c>
      <c r="BG38" s="24">
        <f t="shared" si="24"/>
        <v>1</v>
      </c>
      <c r="BH38" s="275" t="e">
        <f t="shared" si="60"/>
        <v>#N/A</v>
      </c>
      <c r="BJ38" s="273" t="str">
        <f t="shared" ref="BJ38:BJ66" si="89">IF(BE38="","",INDEX($C$6:$C$66,$I38))</f>
        <v>Athens</v>
      </c>
      <c r="BK38" s="271">
        <f t="shared" ref="BK38:BK66" si="90">IF($C38="","",CHOOSE($B$1,INDEX(aScores_2014_O,BK$4,$I38),INDEX(aScores_2014_N,BK$4,$I38),INDEX(aScores_2017,BK$4,$I38)))</f>
        <v>72</v>
      </c>
      <c r="BL38" s="24">
        <f t="shared" si="61"/>
        <v>72</v>
      </c>
      <c r="BM38" s="24">
        <f t="shared" si="27"/>
        <v>1</v>
      </c>
      <c r="BN38" s="275" t="e">
        <f t="shared" si="62"/>
        <v>#N/A</v>
      </c>
      <c r="BP38" s="273" t="str">
        <f t="shared" ref="BP38:BP66" si="91">IF(BK38="","",INDEX($C$6:$C$66,$I38))</f>
        <v>Athens</v>
      </c>
      <c r="BQ38" s="271">
        <f t="shared" ref="BQ38:BQ66" si="92">IF($C38="","",CHOOSE($B$1,INDEX(aScores_2014_O,BQ$4,$I38),INDEX(aScores_2014_N,BQ$4,$I38),INDEX(aScores_2017,BQ$4,$I38)))</f>
        <v>92.0901455341645</v>
      </c>
      <c r="BR38" s="24">
        <f t="shared" si="63"/>
        <v>92.0901455341645</v>
      </c>
      <c r="BS38" s="24">
        <f t="shared" si="30"/>
        <v>1</v>
      </c>
      <c r="BT38" s="275" t="e">
        <f t="shared" si="64"/>
        <v>#N/A</v>
      </c>
      <c r="BV38" s="273" t="str">
        <f t="shared" ref="BV38:BV66" si="93">IF(BQ38="","",INDEX($C$6:$C$66,$I38))</f>
        <v>Athens</v>
      </c>
      <c r="BW38" s="271">
        <f t="shared" ref="BW38:BW66" si="94">IF($C38="","",CHOOSE($B$1,INDEX(aScores_2014_O,BW$4,$I38),INDEX(aScores_2014_N,BW$4,$I38),INDEX(aScores_2017,BW$4,$I38)))</f>
        <v>69.0324345967662</v>
      </c>
      <c r="BX38" s="24">
        <f t="shared" si="65"/>
        <v>69.0324345967662</v>
      </c>
      <c r="BY38" s="24">
        <f t="shared" si="33"/>
        <v>1</v>
      </c>
      <c r="BZ38" s="275" t="e">
        <f t="shared" si="66"/>
        <v>#N/A</v>
      </c>
      <c r="CB38" s="273" t="str">
        <f t="shared" ref="CB38:CB66" si="95">IF(BW38="","",INDEX($C$6:$C$66,$I38))</f>
        <v>Athens</v>
      </c>
      <c r="CC38" s="271">
        <f t="shared" ref="CC38:CC66" si="96">IF($C38="","",CHOOSE($B$1,INDEX(aScores_2014_O,CC$4,$I38),INDEX(aScores_2014_N,CC$4,$I38),INDEX(aScores_2017,CC$4,$I38)))</f>
        <v>64.5351473922903</v>
      </c>
      <c r="CD38" s="24">
        <f t="shared" si="67"/>
        <v>64.5351473922903</v>
      </c>
      <c r="CE38" s="24">
        <f t="shared" si="36"/>
        <v>1</v>
      </c>
      <c r="CF38" s="275" t="e">
        <f t="shared" si="68"/>
        <v>#N/A</v>
      </c>
      <c r="CH38" s="273" t="str">
        <f t="shared" ref="CH38:CH66" si="97">IF(CC38="","",INDEX($C$6:$C$66,$I38))</f>
        <v>Athens</v>
      </c>
      <c r="CI38" s="271">
        <f t="shared" ref="CI38:CI66" si="98">IF($C38="","",CHOOSE($B$1,INDEX(aScores_2014_O,CI$4,$I38),INDEX(aScores_2014_N,CI$4,$I38),INDEX(aScores_2017,CI$4,$I38)))</f>
        <v>73.5297218012422</v>
      </c>
      <c r="CJ38" s="24">
        <f t="shared" si="69"/>
        <v>73.5297218012422</v>
      </c>
      <c r="CK38" s="24">
        <f t="shared" si="39"/>
        <v>1</v>
      </c>
      <c r="CL38" s="275" t="e">
        <f t="shared" si="70"/>
        <v>#N/A</v>
      </c>
    </row>
    <row r="39" ht="15.75" spans="1:90">
      <c r="A39" s="1">
        <f>tblTerritories!A36</f>
        <v>34</v>
      </c>
      <c r="B39" s="1" t="str">
        <f>tblTerritories!B36</f>
        <v/>
      </c>
      <c r="C39" s="1" t="str">
        <f>tblTerritories!C36</f>
        <v>Mexico City</v>
      </c>
      <c r="D39" s="1" t="str">
        <f>tblTerritories!J36</f>
        <v>Mexico City</v>
      </c>
      <c r="E39" s="1">
        <f t="shared" si="40"/>
        <v>0</v>
      </c>
      <c r="F39" s="1">
        <f>IF(tblTerritories!F36="",0,tblTerritories!F36)</f>
        <v>1</v>
      </c>
      <c r="G39" s="1">
        <f t="shared" si="71"/>
        <v>65.51926</v>
      </c>
      <c r="H39" s="1">
        <f>IF(F39=0,"",RANK(G39,G$6:G$66,0)+COUNTIF(G$6:G39,G39)-1)</f>
        <v>39</v>
      </c>
      <c r="I39" s="1">
        <f t="shared" si="41"/>
        <v>49</v>
      </c>
      <c r="J39" s="1">
        <f t="shared" si="42"/>
        <v>1</v>
      </c>
      <c r="K39" s="269" t="e">
        <f t="shared" si="72"/>
        <v>#VALUE!</v>
      </c>
      <c r="L39" s="269">
        <f t="shared" si="43"/>
        <v>1</v>
      </c>
      <c r="M39" s="268" t="e">
        <f t="shared" si="44"/>
        <v>#VALUE!</v>
      </c>
      <c r="N39" s="273" t="str">
        <f t="shared" si="73"/>
        <v>Shanghai</v>
      </c>
      <c r="O39" s="271">
        <f t="shared" si="74"/>
        <v>70.9283922590062</v>
      </c>
      <c r="P39" s="24">
        <f t="shared" si="45"/>
        <v>70.9283922590062</v>
      </c>
      <c r="Q39" s="24">
        <f t="shared" si="4"/>
        <v>1</v>
      </c>
      <c r="R39" s="275" t="e">
        <f t="shared" si="46"/>
        <v>#N/A</v>
      </c>
      <c r="T39" s="273" t="str">
        <f t="shared" si="75"/>
        <v>Shanghai</v>
      </c>
      <c r="U39" s="271">
        <f t="shared" si="76"/>
        <v>59.4232247099855</v>
      </c>
      <c r="V39" s="24">
        <f t="shared" si="47"/>
        <v>59.4232247099855</v>
      </c>
      <c r="W39" s="24">
        <f t="shared" si="7"/>
        <v>1</v>
      </c>
      <c r="X39" s="275" t="e">
        <f t="shared" si="48"/>
        <v>#N/A</v>
      </c>
      <c r="Z39" s="273" t="str">
        <f t="shared" si="77"/>
        <v>Shanghai</v>
      </c>
      <c r="AA39" s="271">
        <f t="shared" si="78"/>
        <v>53.3333333333333</v>
      </c>
      <c r="AB39" s="24">
        <f t="shared" si="49"/>
        <v>53.3333333333333</v>
      </c>
      <c r="AC39" s="272">
        <v>1</v>
      </c>
      <c r="AD39" s="275" t="e">
        <f t="shared" si="50"/>
        <v>#N/A</v>
      </c>
      <c r="AF39" s="273" t="str">
        <f t="shared" si="79"/>
        <v>Shanghai</v>
      </c>
      <c r="AG39" s="271">
        <f t="shared" si="80"/>
        <v>65.5131160866378</v>
      </c>
      <c r="AH39" s="24">
        <f t="shared" si="51"/>
        <v>65.5131160866378</v>
      </c>
      <c r="AI39" s="24">
        <f t="shared" si="12"/>
        <v>1</v>
      </c>
      <c r="AJ39" s="275" t="e">
        <f t="shared" si="52"/>
        <v>#N/A</v>
      </c>
      <c r="AL39" s="273" t="str">
        <f t="shared" si="81"/>
        <v>Shanghai</v>
      </c>
      <c r="AM39" s="271">
        <f t="shared" si="82"/>
        <v>69.9217059101635</v>
      </c>
      <c r="AN39" s="24">
        <f t="shared" si="53"/>
        <v>69.9217059101635</v>
      </c>
      <c r="AO39" s="24">
        <f t="shared" si="15"/>
        <v>1</v>
      </c>
      <c r="AP39" s="275" t="e">
        <f t="shared" si="54"/>
        <v>#N/A</v>
      </c>
      <c r="AR39" s="273" t="str">
        <f t="shared" si="83"/>
        <v>Shanghai</v>
      </c>
      <c r="AS39" s="271">
        <f t="shared" si="84"/>
        <v>66.3188159299108</v>
      </c>
      <c r="AT39" s="24">
        <f t="shared" si="55"/>
        <v>66.3188159299108</v>
      </c>
      <c r="AU39" s="24">
        <f t="shared" si="18"/>
        <v>1</v>
      </c>
      <c r="AV39" s="275" t="e">
        <f t="shared" si="56"/>
        <v>#N/A</v>
      </c>
      <c r="AX39" s="273" t="str">
        <f t="shared" si="85"/>
        <v>Shanghai</v>
      </c>
      <c r="AY39" s="271">
        <f t="shared" si="86"/>
        <v>73.5245958904163</v>
      </c>
      <c r="AZ39" s="24">
        <f t="shared" si="57"/>
        <v>73.5245958904163</v>
      </c>
      <c r="BA39" s="24">
        <f t="shared" si="21"/>
        <v>1</v>
      </c>
      <c r="BB39" s="275" t="e">
        <f t="shared" si="58"/>
        <v>#N/A</v>
      </c>
      <c r="BD39" s="273" t="str">
        <f t="shared" si="87"/>
        <v>Shanghai</v>
      </c>
      <c r="BE39" s="271">
        <f t="shared" si="88"/>
        <v>74.3020368488188</v>
      </c>
      <c r="BF39" s="24">
        <f t="shared" si="59"/>
        <v>74.3020368488188</v>
      </c>
      <c r="BG39" s="24">
        <f t="shared" si="24"/>
        <v>1</v>
      </c>
      <c r="BH39" s="275" t="e">
        <f t="shared" si="60"/>
        <v>#N/A</v>
      </c>
      <c r="BJ39" s="273" t="str">
        <f t="shared" si="89"/>
        <v>Shanghai</v>
      </c>
      <c r="BK39" s="271">
        <f t="shared" si="90"/>
        <v>70.5</v>
      </c>
      <c r="BL39" s="24">
        <f t="shared" si="61"/>
        <v>70.5</v>
      </c>
      <c r="BM39" s="24">
        <f t="shared" si="27"/>
        <v>1</v>
      </c>
      <c r="BN39" s="275" t="e">
        <f t="shared" si="62"/>
        <v>#N/A</v>
      </c>
      <c r="BP39" s="273" t="str">
        <f t="shared" si="91"/>
        <v>Shanghai</v>
      </c>
      <c r="BQ39" s="271">
        <f t="shared" si="92"/>
        <v>78.1040736976377</v>
      </c>
      <c r="BR39" s="24">
        <f t="shared" si="63"/>
        <v>78.1040736976377</v>
      </c>
      <c r="BS39" s="24">
        <f t="shared" si="30"/>
        <v>1</v>
      </c>
      <c r="BT39" s="275" t="e">
        <f t="shared" si="64"/>
        <v>#N/A</v>
      </c>
      <c r="BV39" s="273" t="str">
        <f t="shared" si="93"/>
        <v>Shanghai</v>
      </c>
      <c r="BW39" s="271">
        <f t="shared" si="94"/>
        <v>80.0666015670571</v>
      </c>
      <c r="BX39" s="24">
        <f t="shared" si="65"/>
        <v>80.0666015670571</v>
      </c>
      <c r="BY39" s="24">
        <f t="shared" si="33"/>
        <v>1</v>
      </c>
      <c r="BZ39" s="275" t="e">
        <f t="shared" si="66"/>
        <v>#N/A</v>
      </c>
      <c r="CB39" s="273" t="str">
        <f t="shared" si="95"/>
        <v>Shanghai</v>
      </c>
      <c r="CC39" s="271">
        <f t="shared" si="96"/>
        <v>85</v>
      </c>
      <c r="CD39" s="24">
        <f t="shared" si="67"/>
        <v>85</v>
      </c>
      <c r="CE39" s="24">
        <f t="shared" si="36"/>
        <v>1</v>
      </c>
      <c r="CF39" s="275" t="e">
        <f t="shared" si="68"/>
        <v>#N/A</v>
      </c>
      <c r="CH39" s="273" t="str">
        <f t="shared" si="97"/>
        <v>Shanghai</v>
      </c>
      <c r="CI39" s="271">
        <f t="shared" si="98"/>
        <v>75.1332031341141</v>
      </c>
      <c r="CJ39" s="24">
        <f t="shared" si="69"/>
        <v>75.1332031341141</v>
      </c>
      <c r="CK39" s="24">
        <f t="shared" si="39"/>
        <v>1</v>
      </c>
      <c r="CL39" s="275" t="e">
        <f t="shared" si="70"/>
        <v>#N/A</v>
      </c>
    </row>
    <row r="40" ht="15.75" spans="1:90">
      <c r="A40" s="1">
        <f>tblTerritories!A37</f>
        <v>35</v>
      </c>
      <c r="B40" s="1" t="str">
        <f>tblTerritories!B37</f>
        <v/>
      </c>
      <c r="C40" s="1" t="str">
        <f>tblTerritories!C37</f>
        <v>Milan</v>
      </c>
      <c r="D40" s="1" t="str">
        <f>tblTerritories!J37</f>
        <v>Milan</v>
      </c>
      <c r="E40" s="1">
        <f t="shared" si="40"/>
        <v>0</v>
      </c>
      <c r="F40" s="1">
        <f>IF(tblTerritories!F37="",0,tblTerritories!F37)</f>
        <v>1</v>
      </c>
      <c r="G40" s="1">
        <f t="shared" si="71"/>
        <v>79.30028</v>
      </c>
      <c r="H40" s="1">
        <f>IF(F40=0,"",RANK(G40,G$6:G$66,0)+COUNTIF(G$6:G40,G40)-1)</f>
        <v>25</v>
      </c>
      <c r="I40" s="1">
        <f t="shared" si="41"/>
        <v>46</v>
      </c>
      <c r="J40" s="1">
        <f t="shared" si="42"/>
        <v>1</v>
      </c>
      <c r="K40" s="269" t="e">
        <f t="shared" si="72"/>
        <v>#VALUE!</v>
      </c>
      <c r="L40" s="269">
        <f t="shared" si="43"/>
        <v>1</v>
      </c>
      <c r="M40" s="268" t="e">
        <f t="shared" si="44"/>
        <v>#VALUE!</v>
      </c>
      <c r="N40" s="273" t="str">
        <f t="shared" si="73"/>
        <v>Santiago</v>
      </c>
      <c r="O40" s="271">
        <f t="shared" si="74"/>
        <v>70.0251545363467</v>
      </c>
      <c r="P40" s="24">
        <f t="shared" si="45"/>
        <v>70.0251545363467</v>
      </c>
      <c r="Q40" s="24">
        <f t="shared" si="4"/>
        <v>1</v>
      </c>
      <c r="R40" s="275" t="e">
        <f t="shared" si="46"/>
        <v>#N/A</v>
      </c>
      <c r="T40" s="273" t="str">
        <f t="shared" si="75"/>
        <v>Santiago</v>
      </c>
      <c r="U40" s="271">
        <f t="shared" si="76"/>
        <v>60.5656964837487</v>
      </c>
      <c r="V40" s="24">
        <f t="shared" si="47"/>
        <v>60.5656964837487</v>
      </c>
      <c r="W40" s="24">
        <f t="shared" si="7"/>
        <v>1</v>
      </c>
      <c r="X40" s="275" t="e">
        <f t="shared" si="48"/>
        <v>#N/A</v>
      </c>
      <c r="Z40" s="273" t="str">
        <f t="shared" si="77"/>
        <v>Santiago</v>
      </c>
      <c r="AA40" s="271">
        <f t="shared" si="78"/>
        <v>58.3333333333333</v>
      </c>
      <c r="AB40" s="24">
        <f t="shared" si="49"/>
        <v>58.3333333333333</v>
      </c>
      <c r="AC40" s="272">
        <v>1</v>
      </c>
      <c r="AD40" s="275" t="e">
        <f t="shared" si="50"/>
        <v>#N/A</v>
      </c>
      <c r="AF40" s="273" t="str">
        <f t="shared" si="79"/>
        <v>Santiago</v>
      </c>
      <c r="AG40" s="271">
        <f t="shared" si="80"/>
        <v>62.7980596341641</v>
      </c>
      <c r="AH40" s="24">
        <f t="shared" si="51"/>
        <v>62.7980596341641</v>
      </c>
      <c r="AI40" s="24">
        <f t="shared" si="12"/>
        <v>1</v>
      </c>
      <c r="AJ40" s="275" t="e">
        <f t="shared" si="52"/>
        <v>#N/A</v>
      </c>
      <c r="AL40" s="273" t="str">
        <f t="shared" si="81"/>
        <v>Santiago</v>
      </c>
      <c r="AM40" s="271">
        <f t="shared" si="82"/>
        <v>67.1662319709746</v>
      </c>
      <c r="AN40" s="24">
        <f t="shared" si="53"/>
        <v>67.1662319709746</v>
      </c>
      <c r="AO40" s="24">
        <f t="shared" si="15"/>
        <v>1</v>
      </c>
      <c r="AP40" s="275" t="e">
        <f t="shared" si="54"/>
        <v>#N/A</v>
      </c>
      <c r="AR40" s="273" t="str">
        <f t="shared" si="83"/>
        <v>Santiago</v>
      </c>
      <c r="AS40" s="271">
        <f t="shared" si="84"/>
        <v>52.8502114247849</v>
      </c>
      <c r="AT40" s="24">
        <f t="shared" si="55"/>
        <v>52.8502114247849</v>
      </c>
      <c r="AU40" s="24">
        <f t="shared" si="18"/>
        <v>1</v>
      </c>
      <c r="AV40" s="275" t="e">
        <f t="shared" si="56"/>
        <v>#N/A</v>
      </c>
      <c r="AX40" s="273" t="str">
        <f t="shared" si="85"/>
        <v>Santiago</v>
      </c>
      <c r="AY40" s="271">
        <f t="shared" si="86"/>
        <v>81.4822525171642</v>
      </c>
      <c r="AZ40" s="24">
        <f t="shared" si="57"/>
        <v>81.4822525171642</v>
      </c>
      <c r="BA40" s="24">
        <f t="shared" si="21"/>
        <v>1</v>
      </c>
      <c r="BB40" s="275" t="e">
        <f t="shared" si="58"/>
        <v>#N/A</v>
      </c>
      <c r="BD40" s="273" t="str">
        <f t="shared" si="87"/>
        <v>Santiago</v>
      </c>
      <c r="BE40" s="271">
        <f t="shared" si="88"/>
        <v>81.3495769804108</v>
      </c>
      <c r="BF40" s="24">
        <f t="shared" si="59"/>
        <v>81.3495769804108</v>
      </c>
      <c r="BG40" s="24">
        <f t="shared" si="24"/>
        <v>1</v>
      </c>
      <c r="BH40" s="275" t="e">
        <f t="shared" si="60"/>
        <v>#N/A</v>
      </c>
      <c r="BJ40" s="273" t="str">
        <f t="shared" si="89"/>
        <v>Santiago</v>
      </c>
      <c r="BK40" s="271">
        <f t="shared" si="90"/>
        <v>84</v>
      </c>
      <c r="BL40" s="24">
        <f t="shared" si="61"/>
        <v>84</v>
      </c>
      <c r="BM40" s="24">
        <f t="shared" si="27"/>
        <v>1</v>
      </c>
      <c r="BN40" s="275" t="e">
        <f t="shared" si="62"/>
        <v>#N/A</v>
      </c>
      <c r="BP40" s="273" t="str">
        <f t="shared" si="91"/>
        <v>Santiago</v>
      </c>
      <c r="BQ40" s="271">
        <f t="shared" si="92"/>
        <v>78.6991539608217</v>
      </c>
      <c r="BR40" s="24">
        <f t="shared" si="63"/>
        <v>78.6991539608217</v>
      </c>
      <c r="BS40" s="24">
        <f t="shared" si="30"/>
        <v>1</v>
      </c>
      <c r="BT40" s="275" t="e">
        <f t="shared" si="64"/>
        <v>#N/A</v>
      </c>
      <c r="BV40" s="273" t="str">
        <f t="shared" si="93"/>
        <v>Santiago</v>
      </c>
      <c r="BW40" s="271">
        <f t="shared" si="94"/>
        <v>71.0191127102526</v>
      </c>
      <c r="BX40" s="24">
        <f t="shared" si="65"/>
        <v>71.0191127102526</v>
      </c>
      <c r="BY40" s="24">
        <f t="shared" si="33"/>
        <v>1</v>
      </c>
      <c r="BZ40" s="275" t="e">
        <f t="shared" si="66"/>
        <v>#N/A</v>
      </c>
      <c r="CB40" s="273" t="str">
        <f t="shared" si="95"/>
        <v>Santiago</v>
      </c>
      <c r="CC40" s="271">
        <f t="shared" si="96"/>
        <v>66.1904761904762</v>
      </c>
      <c r="CD40" s="24">
        <f t="shared" si="67"/>
        <v>66.1904761904762</v>
      </c>
      <c r="CE40" s="24">
        <f t="shared" si="36"/>
        <v>1</v>
      </c>
      <c r="CF40" s="275" t="e">
        <f t="shared" si="68"/>
        <v>#N/A</v>
      </c>
      <c r="CH40" s="273" t="str">
        <f t="shared" si="97"/>
        <v>Santiago</v>
      </c>
      <c r="CI40" s="271">
        <f t="shared" si="98"/>
        <v>75.847749230029</v>
      </c>
      <c r="CJ40" s="24">
        <f t="shared" si="69"/>
        <v>75.847749230029</v>
      </c>
      <c r="CK40" s="24">
        <f t="shared" si="39"/>
        <v>1</v>
      </c>
      <c r="CL40" s="275" t="e">
        <f t="shared" si="70"/>
        <v>#N/A</v>
      </c>
    </row>
    <row r="41" ht="15.75" spans="1:90">
      <c r="A41" s="1">
        <f>tblTerritories!A38</f>
        <v>36</v>
      </c>
      <c r="B41" s="1" t="str">
        <f>tblTerritories!B38</f>
        <v/>
      </c>
      <c r="C41" s="1" t="str">
        <f>tblTerritories!C38</f>
        <v>Moscow</v>
      </c>
      <c r="D41" s="1" t="str">
        <f>tblTerritories!J38</f>
        <v>Moscow</v>
      </c>
      <c r="E41" s="1">
        <f t="shared" si="40"/>
        <v>0</v>
      </c>
      <c r="F41" s="1">
        <f>IF(tblTerritories!F38="",0,tblTerritories!F38)</f>
        <v>1</v>
      </c>
      <c r="G41" s="1">
        <f t="shared" si="71"/>
        <v>63.99407</v>
      </c>
      <c r="H41" s="1">
        <f>IF(F41=0,"",RANK(G41,G$6:G$66,0)+COUNTIF(G$6:G41,G41)-1)</f>
        <v>41</v>
      </c>
      <c r="I41" s="1">
        <f t="shared" si="41"/>
        <v>27</v>
      </c>
      <c r="J41" s="1">
        <f t="shared" si="42"/>
        <v>1</v>
      </c>
      <c r="K41" s="269" t="e">
        <f t="shared" si="72"/>
        <v>#VALUE!</v>
      </c>
      <c r="L41" s="269">
        <f t="shared" si="43"/>
        <v>1</v>
      </c>
      <c r="M41" s="268" t="e">
        <f t="shared" si="44"/>
        <v>#VALUE!</v>
      </c>
      <c r="N41" s="273" t="str">
        <f t="shared" si="73"/>
        <v>Kuwait City</v>
      </c>
      <c r="O41" s="271">
        <f t="shared" si="74"/>
        <v>67.6137892324585</v>
      </c>
      <c r="P41" s="24">
        <f t="shared" si="45"/>
        <v>67.6137892324585</v>
      </c>
      <c r="Q41" s="24">
        <f t="shared" si="4"/>
        <v>1</v>
      </c>
      <c r="R41" s="275" t="e">
        <f t="shared" si="46"/>
        <v>#N/A</v>
      </c>
      <c r="T41" s="273" t="str">
        <f t="shared" si="75"/>
        <v>Kuwait City</v>
      </c>
      <c r="U41" s="271">
        <f t="shared" si="76"/>
        <v>60.1666930894403</v>
      </c>
      <c r="V41" s="24">
        <f t="shared" si="47"/>
        <v>60.1666930894403</v>
      </c>
      <c r="W41" s="24">
        <f t="shared" si="7"/>
        <v>1</v>
      </c>
      <c r="X41" s="275" t="e">
        <f t="shared" si="48"/>
        <v>#N/A</v>
      </c>
      <c r="Z41" s="273" t="str">
        <f t="shared" si="77"/>
        <v>Kuwait City</v>
      </c>
      <c r="AA41" s="271">
        <f t="shared" si="78"/>
        <v>41.6666666666667</v>
      </c>
      <c r="AB41" s="24">
        <f t="shared" si="49"/>
        <v>41.6666666666667</v>
      </c>
      <c r="AC41" s="272">
        <v>1</v>
      </c>
      <c r="AD41" s="275" t="e">
        <f t="shared" si="50"/>
        <v>#N/A</v>
      </c>
      <c r="AF41" s="273" t="str">
        <f t="shared" si="79"/>
        <v>Kuwait City</v>
      </c>
      <c r="AG41" s="271">
        <f t="shared" si="80"/>
        <v>78.6667195122139</v>
      </c>
      <c r="AH41" s="24">
        <f t="shared" si="51"/>
        <v>78.6667195122139</v>
      </c>
      <c r="AI41" s="24">
        <f t="shared" si="12"/>
        <v>1</v>
      </c>
      <c r="AJ41" s="275" t="e">
        <f t="shared" si="52"/>
        <v>#N/A</v>
      </c>
      <c r="AL41" s="273" t="str">
        <f t="shared" si="81"/>
        <v>Kuwait City</v>
      </c>
      <c r="AM41" s="271">
        <f t="shared" si="82"/>
        <v>63.8103578590452</v>
      </c>
      <c r="AN41" s="24">
        <f t="shared" si="53"/>
        <v>63.8103578590452</v>
      </c>
      <c r="AO41" s="24">
        <f t="shared" si="15"/>
        <v>1</v>
      </c>
      <c r="AP41" s="275" t="e">
        <f t="shared" si="54"/>
        <v>#N/A</v>
      </c>
      <c r="AR41" s="273" t="str">
        <f t="shared" si="83"/>
        <v>Kuwait City</v>
      </c>
      <c r="AS41" s="271">
        <f t="shared" si="84"/>
        <v>50.8562276538544</v>
      </c>
      <c r="AT41" s="24">
        <f t="shared" si="55"/>
        <v>50.8562276538544</v>
      </c>
      <c r="AU41" s="24">
        <f t="shared" si="18"/>
        <v>1</v>
      </c>
      <c r="AV41" s="275" t="e">
        <f t="shared" si="56"/>
        <v>#N/A</v>
      </c>
      <c r="AX41" s="273" t="str">
        <f t="shared" si="85"/>
        <v>Kuwait City</v>
      </c>
      <c r="AY41" s="271">
        <f t="shared" si="86"/>
        <v>76.7644880642359</v>
      </c>
      <c r="AZ41" s="24">
        <f t="shared" si="57"/>
        <v>76.7644880642359</v>
      </c>
      <c r="BA41" s="24">
        <f t="shared" si="21"/>
        <v>1</v>
      </c>
      <c r="BB41" s="275" t="e">
        <f t="shared" si="58"/>
        <v>#N/A</v>
      </c>
      <c r="BD41" s="273" t="str">
        <f t="shared" si="87"/>
        <v>Kuwait City</v>
      </c>
      <c r="BE41" s="271">
        <f t="shared" si="88"/>
        <v>71.6585348410983</v>
      </c>
      <c r="BF41" s="24">
        <f t="shared" si="59"/>
        <v>71.6585348410983</v>
      </c>
      <c r="BG41" s="24">
        <f t="shared" si="24"/>
        <v>1</v>
      </c>
      <c r="BH41" s="275" t="e">
        <f t="shared" si="60"/>
        <v>#N/A</v>
      </c>
      <c r="BJ41" s="273" t="str">
        <f t="shared" si="89"/>
        <v>Kuwait City</v>
      </c>
      <c r="BK41" s="271">
        <f t="shared" si="90"/>
        <v>72.5</v>
      </c>
      <c r="BL41" s="24">
        <f t="shared" si="61"/>
        <v>72.5</v>
      </c>
      <c r="BM41" s="24">
        <f t="shared" si="27"/>
        <v>1</v>
      </c>
      <c r="BN41" s="275" t="e">
        <f t="shared" si="62"/>
        <v>#N/A</v>
      </c>
      <c r="BP41" s="273" t="str">
        <f t="shared" si="91"/>
        <v>Kuwait City</v>
      </c>
      <c r="BQ41" s="271">
        <f t="shared" si="92"/>
        <v>70.8170696821966</v>
      </c>
      <c r="BR41" s="24">
        <f t="shared" si="63"/>
        <v>70.8170696821966</v>
      </c>
      <c r="BS41" s="24">
        <f t="shared" si="30"/>
        <v>1</v>
      </c>
      <c r="BT41" s="275" t="e">
        <f t="shared" si="64"/>
        <v>#N/A</v>
      </c>
      <c r="BV41" s="273" t="str">
        <f t="shared" si="93"/>
        <v>Kuwait City</v>
      </c>
      <c r="BW41" s="271">
        <f t="shared" si="94"/>
        <v>74.8195711402502</v>
      </c>
      <c r="BX41" s="24">
        <f t="shared" si="65"/>
        <v>74.8195711402502</v>
      </c>
      <c r="BY41" s="24">
        <f t="shared" si="33"/>
        <v>1</v>
      </c>
      <c r="BZ41" s="275" t="e">
        <f t="shared" si="66"/>
        <v>#N/A</v>
      </c>
      <c r="CB41" s="273" t="str">
        <f t="shared" si="95"/>
        <v>Kuwait City</v>
      </c>
      <c r="CC41" s="271">
        <f t="shared" si="96"/>
        <v>69.4331065759637</v>
      </c>
      <c r="CD41" s="24">
        <f t="shared" si="67"/>
        <v>69.4331065759637</v>
      </c>
      <c r="CE41" s="24">
        <f t="shared" si="36"/>
        <v>1</v>
      </c>
      <c r="CF41" s="275" t="e">
        <f t="shared" si="68"/>
        <v>#N/A</v>
      </c>
      <c r="CH41" s="273" t="str">
        <f t="shared" si="97"/>
        <v>Kuwait City</v>
      </c>
      <c r="CI41" s="271">
        <f t="shared" si="98"/>
        <v>80.2060357045367</v>
      </c>
      <c r="CJ41" s="24">
        <f t="shared" si="69"/>
        <v>80.2060357045367</v>
      </c>
      <c r="CK41" s="24">
        <f t="shared" si="39"/>
        <v>1</v>
      </c>
      <c r="CL41" s="275" t="e">
        <f t="shared" si="70"/>
        <v>#N/A</v>
      </c>
    </row>
    <row r="42" ht="15.75" spans="1:90">
      <c r="A42" s="1">
        <f>tblTerritories!A39</f>
        <v>37</v>
      </c>
      <c r="B42" s="1" t="str">
        <f>tblTerritories!B39</f>
        <v/>
      </c>
      <c r="C42" s="1" t="str">
        <f>tblTerritories!C39</f>
        <v>Mumbai</v>
      </c>
      <c r="D42" s="1" t="str">
        <f>tblTerritories!J39</f>
        <v>Mumbai</v>
      </c>
      <c r="E42" s="1">
        <f t="shared" si="40"/>
        <v>0</v>
      </c>
      <c r="F42" s="1">
        <f>IF(tblTerritories!F39="",0,tblTerritories!F39)</f>
        <v>1</v>
      </c>
      <c r="G42" s="1">
        <f t="shared" si="71"/>
        <v>61.84006</v>
      </c>
      <c r="H42" s="1">
        <f>IF(F42=0,"",RANK(G42,G$6:G$66,0)+COUNTIF(G$6:G42,G42)-1)</f>
        <v>45</v>
      </c>
      <c r="I42" s="1">
        <f t="shared" si="41"/>
        <v>42</v>
      </c>
      <c r="J42" s="1">
        <f t="shared" si="42"/>
        <v>1</v>
      </c>
      <c r="K42" s="269" t="e">
        <f t="shared" si="72"/>
        <v>#VALUE!</v>
      </c>
      <c r="L42" s="269">
        <f t="shared" si="43"/>
        <v>1</v>
      </c>
      <c r="M42" s="268" t="e">
        <f t="shared" si="44"/>
        <v>#VALUE!</v>
      </c>
      <c r="N42" s="273" t="str">
        <f t="shared" si="73"/>
        <v>Rio de Janeiro</v>
      </c>
      <c r="O42" s="271">
        <f t="shared" si="74"/>
        <v>66.5377458964152</v>
      </c>
      <c r="P42" s="24">
        <f t="shared" si="45"/>
        <v>66.5377458964152</v>
      </c>
      <c r="Q42" s="24">
        <f t="shared" si="4"/>
        <v>1</v>
      </c>
      <c r="R42" s="275" t="e">
        <f t="shared" si="46"/>
        <v>#N/A</v>
      </c>
      <c r="T42" s="273" t="str">
        <f t="shared" si="75"/>
        <v>Rio de Janeiro</v>
      </c>
      <c r="U42" s="271">
        <f t="shared" si="76"/>
        <v>51.9624025868378</v>
      </c>
      <c r="V42" s="24">
        <f t="shared" si="47"/>
        <v>51.9624025868378</v>
      </c>
      <c r="W42" s="24">
        <f t="shared" si="7"/>
        <v>1</v>
      </c>
      <c r="X42" s="275" t="e">
        <f t="shared" si="48"/>
        <v>#N/A</v>
      </c>
      <c r="Z42" s="273" t="str">
        <f t="shared" si="77"/>
        <v>Rio de Janeiro</v>
      </c>
      <c r="AA42" s="271">
        <f t="shared" si="78"/>
        <v>43.3333333333333</v>
      </c>
      <c r="AB42" s="24">
        <f t="shared" si="49"/>
        <v>43.3333333333333</v>
      </c>
      <c r="AC42" s="272">
        <v>1</v>
      </c>
      <c r="AD42" s="275" t="e">
        <f t="shared" si="50"/>
        <v>#N/A</v>
      </c>
      <c r="AF42" s="273" t="str">
        <f t="shared" si="79"/>
        <v>Rio de Janeiro</v>
      </c>
      <c r="AG42" s="271">
        <f t="shared" si="80"/>
        <v>60.5914718403423</v>
      </c>
      <c r="AH42" s="24">
        <f t="shared" si="51"/>
        <v>60.5914718403423</v>
      </c>
      <c r="AI42" s="24">
        <f t="shared" si="12"/>
        <v>1</v>
      </c>
      <c r="AJ42" s="275" t="e">
        <f t="shared" si="52"/>
        <v>#N/A</v>
      </c>
      <c r="AL42" s="273" t="str">
        <f t="shared" si="81"/>
        <v>Rio de Janeiro</v>
      </c>
      <c r="AM42" s="271">
        <f t="shared" si="82"/>
        <v>64.8041839567064</v>
      </c>
      <c r="AN42" s="24">
        <f t="shared" si="53"/>
        <v>64.8041839567064</v>
      </c>
      <c r="AO42" s="24">
        <f t="shared" si="15"/>
        <v>1</v>
      </c>
      <c r="AP42" s="275" t="e">
        <f t="shared" si="54"/>
        <v>#N/A</v>
      </c>
      <c r="AR42" s="273" t="str">
        <f t="shared" si="83"/>
        <v>Rio de Janeiro</v>
      </c>
      <c r="AS42" s="271">
        <f t="shared" si="84"/>
        <v>55.4654213174176</v>
      </c>
      <c r="AT42" s="24">
        <f t="shared" si="55"/>
        <v>55.4654213174176</v>
      </c>
      <c r="AU42" s="24">
        <f t="shared" si="18"/>
        <v>1</v>
      </c>
      <c r="AV42" s="275" t="e">
        <f t="shared" si="56"/>
        <v>#N/A</v>
      </c>
      <c r="AX42" s="273" t="str">
        <f t="shared" si="85"/>
        <v>Rio de Janeiro</v>
      </c>
      <c r="AY42" s="271">
        <f t="shared" si="86"/>
        <v>74.1429465959952</v>
      </c>
      <c r="AZ42" s="24">
        <f t="shared" si="57"/>
        <v>74.1429465959952</v>
      </c>
      <c r="BA42" s="24">
        <f t="shared" si="21"/>
        <v>1</v>
      </c>
      <c r="BB42" s="275" t="e">
        <f t="shared" si="58"/>
        <v>#N/A</v>
      </c>
      <c r="BD42" s="273" t="str">
        <f t="shared" si="87"/>
        <v>Rio de Janeiro</v>
      </c>
      <c r="BE42" s="271">
        <f t="shared" si="88"/>
        <v>79.5340170368527</v>
      </c>
      <c r="BF42" s="24">
        <f t="shared" si="59"/>
        <v>79.5340170368527</v>
      </c>
      <c r="BG42" s="24">
        <f t="shared" si="24"/>
        <v>1</v>
      </c>
      <c r="BH42" s="275" t="e">
        <f t="shared" si="60"/>
        <v>#N/A</v>
      </c>
      <c r="BJ42" s="273" t="str">
        <f t="shared" si="89"/>
        <v>Rio de Janeiro</v>
      </c>
      <c r="BK42" s="271">
        <f t="shared" si="90"/>
        <v>79</v>
      </c>
      <c r="BL42" s="24">
        <f t="shared" si="61"/>
        <v>79</v>
      </c>
      <c r="BM42" s="24">
        <f t="shared" si="27"/>
        <v>1</v>
      </c>
      <c r="BN42" s="275" t="e">
        <f t="shared" si="62"/>
        <v>#N/A</v>
      </c>
      <c r="BP42" s="273" t="str">
        <f t="shared" si="91"/>
        <v>Rio de Janeiro</v>
      </c>
      <c r="BQ42" s="271">
        <f t="shared" si="92"/>
        <v>80.0680340737054</v>
      </c>
      <c r="BR42" s="24">
        <f t="shared" si="63"/>
        <v>80.0680340737054</v>
      </c>
      <c r="BS42" s="24">
        <f t="shared" si="30"/>
        <v>1</v>
      </c>
      <c r="BT42" s="275" t="e">
        <f t="shared" si="64"/>
        <v>#N/A</v>
      </c>
      <c r="BV42" s="273" t="str">
        <f t="shared" si="93"/>
        <v>Rio de Janeiro</v>
      </c>
      <c r="BW42" s="271">
        <f t="shared" si="94"/>
        <v>69.8503800052639</v>
      </c>
      <c r="BX42" s="24">
        <f t="shared" si="65"/>
        <v>69.8503800052639</v>
      </c>
      <c r="BY42" s="24">
        <f t="shared" si="33"/>
        <v>1</v>
      </c>
      <c r="BZ42" s="275" t="e">
        <f t="shared" si="66"/>
        <v>#N/A</v>
      </c>
      <c r="CB42" s="273" t="str">
        <f t="shared" si="95"/>
        <v>Rio de Janeiro</v>
      </c>
      <c r="CC42" s="271">
        <f t="shared" si="96"/>
        <v>80.3401360544218</v>
      </c>
      <c r="CD42" s="24">
        <f t="shared" si="67"/>
        <v>80.3401360544218</v>
      </c>
      <c r="CE42" s="24">
        <f t="shared" si="36"/>
        <v>1</v>
      </c>
      <c r="CF42" s="275" t="e">
        <f t="shared" si="68"/>
        <v>#N/A</v>
      </c>
      <c r="CH42" s="273" t="str">
        <f t="shared" si="97"/>
        <v>Rio de Janeiro</v>
      </c>
      <c r="CI42" s="271">
        <f t="shared" si="98"/>
        <v>59.360623956106</v>
      </c>
      <c r="CJ42" s="24">
        <f t="shared" si="69"/>
        <v>59.360623956106</v>
      </c>
      <c r="CK42" s="24">
        <f t="shared" si="39"/>
        <v>1</v>
      </c>
      <c r="CL42" s="275" t="e">
        <f t="shared" si="70"/>
        <v>#N/A</v>
      </c>
    </row>
    <row r="43" ht="15.75" spans="1:90">
      <c r="A43" s="1">
        <f>tblTerritories!A40</f>
        <v>38</v>
      </c>
      <c r="B43" s="1" t="str">
        <f>tblTerritories!B40</f>
        <v/>
      </c>
      <c r="C43" s="1" t="str">
        <f>tblTerritories!C40</f>
        <v>New York</v>
      </c>
      <c r="D43" s="1" t="str">
        <f>tblTerritories!J40</f>
        <v>New York</v>
      </c>
      <c r="E43" s="1">
        <f t="shared" si="40"/>
        <v>0</v>
      </c>
      <c r="F43" s="1">
        <f>IF(tblTerritories!F40="",0,tblTerritories!F40)</f>
        <v>1</v>
      </c>
      <c r="G43" s="1">
        <f t="shared" si="71"/>
        <v>81.01217</v>
      </c>
      <c r="H43" s="1">
        <f>IF(F43=0,"",RANK(G43,G$6:G$66,0)+COUNTIF(G$6:G43,G43)-1)</f>
        <v>21</v>
      </c>
      <c r="I43" s="1">
        <f t="shared" si="41"/>
        <v>47</v>
      </c>
      <c r="J43" s="1">
        <f t="shared" si="42"/>
        <v>1</v>
      </c>
      <c r="K43" s="269" t="e">
        <f t="shared" si="72"/>
        <v>#VALUE!</v>
      </c>
      <c r="L43" s="269">
        <f t="shared" si="43"/>
        <v>1</v>
      </c>
      <c r="M43" s="268" t="e">
        <f t="shared" si="44"/>
        <v>#VALUE!</v>
      </c>
      <c r="N43" s="273" t="str">
        <f t="shared" si="73"/>
        <v>Sao Paulo</v>
      </c>
      <c r="O43" s="271">
        <f t="shared" si="74"/>
        <v>66.3048271427125</v>
      </c>
      <c r="P43" s="24">
        <f t="shared" si="45"/>
        <v>66.3048271427125</v>
      </c>
      <c r="Q43" s="24">
        <f t="shared" si="4"/>
        <v>1</v>
      </c>
      <c r="R43" s="275" t="e">
        <f t="shared" si="46"/>
        <v>#N/A</v>
      </c>
      <c r="T43" s="273" t="str">
        <f t="shared" si="75"/>
        <v>Sao Paulo</v>
      </c>
      <c r="U43" s="271">
        <f t="shared" si="76"/>
        <v>51.9624025868378</v>
      </c>
      <c r="V43" s="24">
        <f t="shared" si="47"/>
        <v>51.9624025868378</v>
      </c>
      <c r="W43" s="24">
        <f t="shared" si="7"/>
        <v>1</v>
      </c>
      <c r="X43" s="275" t="e">
        <f t="shared" si="48"/>
        <v>#N/A</v>
      </c>
      <c r="Z43" s="273" t="str">
        <f t="shared" si="77"/>
        <v>Sao Paulo</v>
      </c>
      <c r="AA43" s="271">
        <f t="shared" si="78"/>
        <v>43.3333333333333</v>
      </c>
      <c r="AB43" s="24">
        <f t="shared" si="49"/>
        <v>43.3333333333333</v>
      </c>
      <c r="AC43" s="272">
        <v>1</v>
      </c>
      <c r="AD43" s="275" t="e">
        <f t="shared" si="50"/>
        <v>#N/A</v>
      </c>
      <c r="AF43" s="273" t="str">
        <f t="shared" si="79"/>
        <v>Sao Paulo</v>
      </c>
      <c r="AG43" s="271">
        <f t="shared" si="80"/>
        <v>60.5914718403423</v>
      </c>
      <c r="AH43" s="24">
        <f t="shared" si="51"/>
        <v>60.5914718403423</v>
      </c>
      <c r="AI43" s="24">
        <f t="shared" si="12"/>
        <v>1</v>
      </c>
      <c r="AJ43" s="275" t="e">
        <f t="shared" si="52"/>
        <v>#N/A</v>
      </c>
      <c r="AL43" s="273" t="str">
        <f t="shared" si="81"/>
        <v>Sao Paulo</v>
      </c>
      <c r="AM43" s="271">
        <f t="shared" si="82"/>
        <v>63.7395189240267</v>
      </c>
      <c r="AN43" s="24">
        <f t="shared" si="53"/>
        <v>63.7395189240267</v>
      </c>
      <c r="AO43" s="24">
        <f t="shared" si="15"/>
        <v>1</v>
      </c>
      <c r="AP43" s="275" t="e">
        <f t="shared" si="54"/>
        <v>#N/A</v>
      </c>
      <c r="AR43" s="273" t="str">
        <f t="shared" si="83"/>
        <v>Sao Paulo</v>
      </c>
      <c r="AS43" s="271">
        <f t="shared" si="84"/>
        <v>56.5765324285288</v>
      </c>
      <c r="AT43" s="24">
        <f t="shared" si="55"/>
        <v>56.5765324285288</v>
      </c>
      <c r="AU43" s="24">
        <f t="shared" si="18"/>
        <v>1</v>
      </c>
      <c r="AV43" s="275" t="e">
        <f t="shared" si="56"/>
        <v>#N/A</v>
      </c>
      <c r="AX43" s="273" t="str">
        <f t="shared" si="85"/>
        <v>Sao Paulo</v>
      </c>
      <c r="AY43" s="271">
        <f t="shared" si="86"/>
        <v>70.9025054195246</v>
      </c>
      <c r="AZ43" s="24">
        <f t="shared" si="57"/>
        <v>70.9025054195246</v>
      </c>
      <c r="BA43" s="24">
        <f t="shared" si="21"/>
        <v>1</v>
      </c>
      <c r="BB43" s="275" t="e">
        <f t="shared" si="58"/>
        <v>#N/A</v>
      </c>
      <c r="BD43" s="273" t="str">
        <f t="shared" si="87"/>
        <v>Sao Paulo</v>
      </c>
      <c r="BE43" s="271">
        <f t="shared" si="88"/>
        <v>79.4362885203413</v>
      </c>
      <c r="BF43" s="24">
        <f t="shared" si="59"/>
        <v>79.4362885203413</v>
      </c>
      <c r="BG43" s="24">
        <f t="shared" si="24"/>
        <v>1</v>
      </c>
      <c r="BH43" s="275" t="e">
        <f t="shared" si="60"/>
        <v>#N/A</v>
      </c>
      <c r="BJ43" s="273" t="str">
        <f t="shared" si="89"/>
        <v>Sao Paulo</v>
      </c>
      <c r="BK43" s="271">
        <f t="shared" si="90"/>
        <v>79</v>
      </c>
      <c r="BL43" s="24">
        <f t="shared" si="61"/>
        <v>79</v>
      </c>
      <c r="BM43" s="24">
        <f t="shared" si="27"/>
        <v>1</v>
      </c>
      <c r="BN43" s="275" t="e">
        <f t="shared" si="62"/>
        <v>#N/A</v>
      </c>
      <c r="BP43" s="273" t="str">
        <f t="shared" si="91"/>
        <v>Sao Paulo</v>
      </c>
      <c r="BQ43" s="271">
        <f t="shared" si="92"/>
        <v>79.8725770406825</v>
      </c>
      <c r="BR43" s="24">
        <f t="shared" si="63"/>
        <v>79.8725770406825</v>
      </c>
      <c r="BS43" s="24">
        <f t="shared" si="30"/>
        <v>1</v>
      </c>
      <c r="BT43" s="275" t="e">
        <f t="shared" si="64"/>
        <v>#N/A</v>
      </c>
      <c r="BV43" s="273" t="str">
        <f t="shared" si="93"/>
        <v>Sao Paulo</v>
      </c>
      <c r="BW43" s="271">
        <f t="shared" si="94"/>
        <v>70.0810985396441</v>
      </c>
      <c r="BX43" s="24">
        <f t="shared" si="65"/>
        <v>70.0810985396441</v>
      </c>
      <c r="BY43" s="24">
        <f t="shared" si="33"/>
        <v>1</v>
      </c>
      <c r="BZ43" s="275" t="e">
        <f t="shared" si="66"/>
        <v>#N/A</v>
      </c>
      <c r="CB43" s="273" t="str">
        <f t="shared" si="95"/>
        <v>Sao Paulo</v>
      </c>
      <c r="CC43" s="271">
        <f t="shared" si="96"/>
        <v>80.3401360544218</v>
      </c>
      <c r="CD43" s="24">
        <f t="shared" si="67"/>
        <v>80.3401360544218</v>
      </c>
      <c r="CE43" s="24">
        <f t="shared" si="36"/>
        <v>1</v>
      </c>
      <c r="CF43" s="275" t="e">
        <f t="shared" si="68"/>
        <v>#N/A</v>
      </c>
      <c r="CH43" s="273" t="str">
        <f t="shared" si="97"/>
        <v>Sao Paulo</v>
      </c>
      <c r="CI43" s="271">
        <f t="shared" si="98"/>
        <v>59.8220610248664</v>
      </c>
      <c r="CJ43" s="24">
        <f t="shared" si="69"/>
        <v>59.8220610248664</v>
      </c>
      <c r="CK43" s="24">
        <f t="shared" si="39"/>
        <v>1</v>
      </c>
      <c r="CL43" s="275" t="e">
        <f t="shared" si="70"/>
        <v>#N/A</v>
      </c>
    </row>
    <row r="44" ht="15.75" spans="1:90">
      <c r="A44" s="1">
        <f>tblTerritories!A41</f>
        <v>39</v>
      </c>
      <c r="B44" s="1" t="str">
        <f>tblTerritories!B41</f>
        <v/>
      </c>
      <c r="C44" s="1" t="str">
        <f>tblTerritories!C41</f>
        <v>Osaka</v>
      </c>
      <c r="D44" s="1" t="str">
        <f>tblTerritories!J41</f>
        <v>Osaka</v>
      </c>
      <c r="E44" s="1">
        <f t="shared" si="40"/>
        <v>0</v>
      </c>
      <c r="F44" s="1">
        <f>IF(tblTerritories!F41="",0,tblTerritories!F41)</f>
        <v>1</v>
      </c>
      <c r="G44" s="1">
        <f t="shared" si="71"/>
        <v>88.86506</v>
      </c>
      <c r="H44" s="1">
        <f>IF(F44=0,"",RANK(G44,G$6:G$66,0)+COUNTIF(G$6:G44,G44)-1)</f>
        <v>3</v>
      </c>
      <c r="I44" s="1">
        <f t="shared" si="41"/>
        <v>34</v>
      </c>
      <c r="J44" s="1">
        <f t="shared" si="42"/>
        <v>1</v>
      </c>
      <c r="K44" s="269" t="e">
        <f t="shared" si="72"/>
        <v>#VALUE!</v>
      </c>
      <c r="L44" s="269">
        <f t="shared" si="43"/>
        <v>1</v>
      </c>
      <c r="M44" s="268" t="e">
        <f t="shared" si="44"/>
        <v>#VALUE!</v>
      </c>
      <c r="N44" s="273" t="str">
        <f t="shared" si="73"/>
        <v>Mexico City</v>
      </c>
      <c r="O44" s="271">
        <f t="shared" si="74"/>
        <v>65.5192607721301</v>
      </c>
      <c r="P44" s="24">
        <f t="shared" si="45"/>
        <v>65.5192607721301</v>
      </c>
      <c r="Q44" s="24">
        <f t="shared" si="4"/>
        <v>1</v>
      </c>
      <c r="R44" s="275" t="e">
        <f t="shared" si="46"/>
        <v>#N/A</v>
      </c>
      <c r="T44" s="273" t="str">
        <f t="shared" si="75"/>
        <v>Mexico City</v>
      </c>
      <c r="U44" s="271">
        <f t="shared" si="76"/>
        <v>53.6903313839784</v>
      </c>
      <c r="V44" s="24">
        <f t="shared" si="47"/>
        <v>53.6903313839784</v>
      </c>
      <c r="W44" s="24">
        <f t="shared" si="7"/>
        <v>1</v>
      </c>
      <c r="X44" s="275" t="e">
        <f t="shared" si="48"/>
        <v>#N/A</v>
      </c>
      <c r="Z44" s="273" t="str">
        <f t="shared" si="77"/>
        <v>Mexico City</v>
      </c>
      <c r="AA44" s="271">
        <f t="shared" si="78"/>
        <v>58.3333333333333</v>
      </c>
      <c r="AB44" s="24">
        <f t="shared" si="49"/>
        <v>58.3333333333333</v>
      </c>
      <c r="AC44" s="272">
        <v>1</v>
      </c>
      <c r="AD44" s="275" t="e">
        <f t="shared" si="50"/>
        <v>#N/A</v>
      </c>
      <c r="AF44" s="273" t="str">
        <f t="shared" si="79"/>
        <v>Mexico City</v>
      </c>
      <c r="AG44" s="271">
        <f t="shared" si="80"/>
        <v>49.0473294346234</v>
      </c>
      <c r="AH44" s="24">
        <f t="shared" si="51"/>
        <v>49.0473294346234</v>
      </c>
      <c r="AI44" s="24">
        <f t="shared" si="12"/>
        <v>1</v>
      </c>
      <c r="AJ44" s="275" t="e">
        <f t="shared" si="52"/>
        <v>#N/A</v>
      </c>
      <c r="AL44" s="273" t="str">
        <f t="shared" si="81"/>
        <v>Mexico City</v>
      </c>
      <c r="AM44" s="271">
        <f t="shared" si="82"/>
        <v>70.7886932164127</v>
      </c>
      <c r="AN44" s="24">
        <f t="shared" si="53"/>
        <v>70.7886932164127</v>
      </c>
      <c r="AO44" s="24">
        <f t="shared" si="15"/>
        <v>1</v>
      </c>
      <c r="AP44" s="275" t="e">
        <f t="shared" si="54"/>
        <v>#N/A</v>
      </c>
      <c r="AR44" s="273" t="str">
        <f t="shared" si="83"/>
        <v>Mexico City</v>
      </c>
      <c r="AS44" s="271">
        <f t="shared" si="84"/>
        <v>58.9227066230165</v>
      </c>
      <c r="AT44" s="24">
        <f t="shared" si="55"/>
        <v>58.9227066230165</v>
      </c>
      <c r="AU44" s="24">
        <f t="shared" si="18"/>
        <v>1</v>
      </c>
      <c r="AV44" s="275" t="e">
        <f t="shared" si="56"/>
        <v>#N/A</v>
      </c>
      <c r="AX44" s="273" t="str">
        <f t="shared" si="85"/>
        <v>Mexico City</v>
      </c>
      <c r="AY44" s="271">
        <f t="shared" si="86"/>
        <v>82.6546798098089</v>
      </c>
      <c r="AZ44" s="24">
        <f t="shared" si="57"/>
        <v>82.6546798098089</v>
      </c>
      <c r="BA44" s="24">
        <f t="shared" si="21"/>
        <v>1</v>
      </c>
      <c r="BB44" s="275" t="e">
        <f t="shared" si="58"/>
        <v>#N/A</v>
      </c>
      <c r="BD44" s="273" t="str">
        <f t="shared" si="87"/>
        <v>Mexico City</v>
      </c>
      <c r="BE44" s="271">
        <f t="shared" si="88"/>
        <v>72.9768510140906</v>
      </c>
      <c r="BF44" s="24">
        <f t="shared" si="59"/>
        <v>72.9768510140906</v>
      </c>
      <c r="BG44" s="24">
        <f t="shared" si="24"/>
        <v>1</v>
      </c>
      <c r="BH44" s="275" t="e">
        <f t="shared" si="60"/>
        <v>#N/A</v>
      </c>
      <c r="BJ44" s="273" t="str">
        <f t="shared" si="89"/>
        <v>Mexico City</v>
      </c>
      <c r="BK44" s="271">
        <f t="shared" si="90"/>
        <v>63.5</v>
      </c>
      <c r="BL44" s="24">
        <f t="shared" si="61"/>
        <v>63.5</v>
      </c>
      <c r="BM44" s="24">
        <f t="shared" si="27"/>
        <v>1</v>
      </c>
      <c r="BN44" s="275" t="e">
        <f t="shared" si="62"/>
        <v>#N/A</v>
      </c>
      <c r="BP44" s="273" t="str">
        <f t="shared" si="91"/>
        <v>Mexico City</v>
      </c>
      <c r="BQ44" s="271">
        <f t="shared" si="92"/>
        <v>82.4537020281811</v>
      </c>
      <c r="BR44" s="24">
        <f t="shared" si="63"/>
        <v>82.4537020281811</v>
      </c>
      <c r="BS44" s="24">
        <f t="shared" si="30"/>
        <v>1</v>
      </c>
      <c r="BT44" s="275" t="e">
        <f t="shared" si="64"/>
        <v>#N/A</v>
      </c>
      <c r="BV44" s="273" t="str">
        <f t="shared" si="93"/>
        <v>Mexico City</v>
      </c>
      <c r="BW44" s="271">
        <f t="shared" si="94"/>
        <v>64.6211674740388</v>
      </c>
      <c r="BX44" s="24">
        <f t="shared" si="65"/>
        <v>64.6211674740388</v>
      </c>
      <c r="BY44" s="24">
        <f t="shared" si="33"/>
        <v>1</v>
      </c>
      <c r="BZ44" s="275" t="e">
        <f t="shared" si="66"/>
        <v>#N/A</v>
      </c>
      <c r="CB44" s="273" t="str">
        <f t="shared" si="95"/>
        <v>Mexico City</v>
      </c>
      <c r="CC44" s="271">
        <f t="shared" si="96"/>
        <v>78.0045351473923</v>
      </c>
      <c r="CD44" s="24">
        <f t="shared" si="67"/>
        <v>78.0045351473923</v>
      </c>
      <c r="CE44" s="24">
        <f t="shared" si="36"/>
        <v>1</v>
      </c>
      <c r="CF44" s="275" t="e">
        <f t="shared" si="68"/>
        <v>#N/A</v>
      </c>
      <c r="CH44" s="273" t="str">
        <f t="shared" si="97"/>
        <v>Mexico City</v>
      </c>
      <c r="CI44" s="271">
        <f t="shared" si="98"/>
        <v>51.2377998006852</v>
      </c>
      <c r="CJ44" s="24">
        <f t="shared" si="69"/>
        <v>51.2377998006852</v>
      </c>
      <c r="CK44" s="24">
        <f t="shared" si="39"/>
        <v>1</v>
      </c>
      <c r="CL44" s="275" t="e">
        <f t="shared" si="70"/>
        <v>#N/A</v>
      </c>
    </row>
    <row r="45" ht="15.75" spans="1:90">
      <c r="A45" s="1">
        <f>tblTerritories!A42</f>
        <v>40</v>
      </c>
      <c r="B45" s="1" t="str">
        <f>tblTerritories!B42</f>
        <v/>
      </c>
      <c r="C45" s="1" t="str">
        <f>tblTerritories!C42</f>
        <v>Paris</v>
      </c>
      <c r="D45" s="1" t="str">
        <f>tblTerritories!J42</f>
        <v>Paris</v>
      </c>
      <c r="E45" s="1">
        <f t="shared" si="40"/>
        <v>0</v>
      </c>
      <c r="F45" s="1">
        <f>IF(tblTerritories!F42="",0,tblTerritories!F42)</f>
        <v>1</v>
      </c>
      <c r="G45" s="1">
        <f t="shared" si="71"/>
        <v>79.71329</v>
      </c>
      <c r="H45" s="1">
        <f>IF(F45=0,"",RANK(G45,G$6:G$66,0)+COUNTIF(G$6:G45,G45)-1)</f>
        <v>24</v>
      </c>
      <c r="I45" s="1">
        <f t="shared" si="41"/>
        <v>21</v>
      </c>
      <c r="J45" s="1">
        <f t="shared" si="42"/>
        <v>1</v>
      </c>
      <c r="K45" s="269" t="e">
        <f t="shared" si="72"/>
        <v>#VALUE!</v>
      </c>
      <c r="L45" s="269">
        <f t="shared" si="43"/>
        <v>1</v>
      </c>
      <c r="M45" s="268" t="e">
        <f t="shared" si="44"/>
        <v>#VALUE!</v>
      </c>
      <c r="N45" s="273" t="str">
        <f t="shared" si="73"/>
        <v>Istanbul</v>
      </c>
      <c r="O45" s="271">
        <f t="shared" si="74"/>
        <v>65.2335954830484</v>
      </c>
      <c r="P45" s="24">
        <f t="shared" si="45"/>
        <v>65.2335954830484</v>
      </c>
      <c r="Q45" s="24">
        <f t="shared" si="4"/>
        <v>1</v>
      </c>
      <c r="R45" s="275" t="e">
        <f t="shared" si="46"/>
        <v>#N/A</v>
      </c>
      <c r="T45" s="273" t="str">
        <f t="shared" si="75"/>
        <v>Istanbul</v>
      </c>
      <c r="U45" s="271">
        <f t="shared" si="76"/>
        <v>61.7064558654502</v>
      </c>
      <c r="V45" s="24">
        <f t="shared" si="47"/>
        <v>61.7064558654502</v>
      </c>
      <c r="W45" s="24">
        <f t="shared" si="7"/>
        <v>1</v>
      </c>
      <c r="X45" s="275" t="e">
        <f t="shared" si="48"/>
        <v>#N/A</v>
      </c>
      <c r="Z45" s="273" t="str">
        <f t="shared" si="77"/>
        <v>Istanbul</v>
      </c>
      <c r="AA45" s="271">
        <f t="shared" si="78"/>
        <v>60</v>
      </c>
      <c r="AB45" s="24">
        <f t="shared" si="49"/>
        <v>60</v>
      </c>
      <c r="AC45" s="272">
        <v>1</v>
      </c>
      <c r="AD45" s="275" t="e">
        <f t="shared" si="50"/>
        <v>#N/A</v>
      </c>
      <c r="AF45" s="273" t="str">
        <f t="shared" si="79"/>
        <v>Istanbul</v>
      </c>
      <c r="AG45" s="271">
        <f t="shared" si="80"/>
        <v>63.4129117309004</v>
      </c>
      <c r="AH45" s="24">
        <f t="shared" si="51"/>
        <v>63.4129117309004</v>
      </c>
      <c r="AI45" s="24">
        <f t="shared" si="12"/>
        <v>1</v>
      </c>
      <c r="AJ45" s="275" t="e">
        <f t="shared" si="52"/>
        <v>#N/A</v>
      </c>
      <c r="AL45" s="273" t="str">
        <f t="shared" si="81"/>
        <v>Istanbul</v>
      </c>
      <c r="AM45" s="271">
        <f t="shared" si="82"/>
        <v>62.5983055141362</v>
      </c>
      <c r="AN45" s="24">
        <f t="shared" si="53"/>
        <v>62.5983055141362</v>
      </c>
      <c r="AO45" s="24">
        <f t="shared" si="15"/>
        <v>1</v>
      </c>
      <c r="AP45" s="275" t="e">
        <f t="shared" si="54"/>
        <v>#N/A</v>
      </c>
      <c r="AR45" s="273" t="str">
        <f t="shared" si="83"/>
        <v>Istanbul</v>
      </c>
      <c r="AS45" s="271">
        <f t="shared" si="84"/>
        <v>53.4329949341218</v>
      </c>
      <c r="AT45" s="24">
        <f t="shared" si="55"/>
        <v>53.4329949341218</v>
      </c>
      <c r="AU45" s="24">
        <f t="shared" si="18"/>
        <v>1</v>
      </c>
      <c r="AV45" s="275" t="e">
        <f t="shared" si="56"/>
        <v>#N/A</v>
      </c>
      <c r="AX45" s="273" t="str">
        <f t="shared" si="85"/>
        <v>Istanbul</v>
      </c>
      <c r="AY45" s="271">
        <f t="shared" si="86"/>
        <v>71.7636160941507</v>
      </c>
      <c r="AZ45" s="24">
        <f t="shared" si="57"/>
        <v>71.7636160941507</v>
      </c>
      <c r="BA45" s="24">
        <f t="shared" si="21"/>
        <v>1</v>
      </c>
      <c r="BB45" s="275" t="e">
        <f t="shared" si="58"/>
        <v>#N/A</v>
      </c>
      <c r="BD45" s="273" t="str">
        <f t="shared" si="87"/>
        <v>Istanbul</v>
      </c>
      <c r="BE45" s="271">
        <f t="shared" si="88"/>
        <v>70.7912962945649</v>
      </c>
      <c r="BF45" s="24">
        <f t="shared" si="59"/>
        <v>70.7912962945649</v>
      </c>
      <c r="BG45" s="24">
        <f t="shared" si="24"/>
        <v>1</v>
      </c>
      <c r="BH45" s="275" t="e">
        <f t="shared" si="60"/>
        <v>#N/A</v>
      </c>
      <c r="BJ45" s="273" t="str">
        <f t="shared" si="89"/>
        <v>Istanbul</v>
      </c>
      <c r="BK45" s="271">
        <f t="shared" si="90"/>
        <v>66</v>
      </c>
      <c r="BL45" s="24">
        <f t="shared" si="61"/>
        <v>66</v>
      </c>
      <c r="BM45" s="24">
        <f t="shared" si="27"/>
        <v>1</v>
      </c>
      <c r="BN45" s="275" t="e">
        <f t="shared" si="62"/>
        <v>#N/A</v>
      </c>
      <c r="BP45" s="273" t="str">
        <f t="shared" si="91"/>
        <v>Istanbul</v>
      </c>
      <c r="BQ45" s="271">
        <f t="shared" si="92"/>
        <v>75.5825925891299</v>
      </c>
      <c r="BR45" s="24">
        <f t="shared" si="63"/>
        <v>75.5825925891299</v>
      </c>
      <c r="BS45" s="24">
        <f t="shared" si="30"/>
        <v>1</v>
      </c>
      <c r="BT45" s="275" t="e">
        <f t="shared" si="64"/>
        <v>#N/A</v>
      </c>
      <c r="BV45" s="273" t="str">
        <f t="shared" si="93"/>
        <v>Istanbul</v>
      </c>
      <c r="BW45" s="271">
        <f t="shared" si="94"/>
        <v>65.8383242580421</v>
      </c>
      <c r="BX45" s="24">
        <f t="shared" si="65"/>
        <v>65.8383242580421</v>
      </c>
      <c r="BY45" s="24">
        <f t="shared" si="33"/>
        <v>1</v>
      </c>
      <c r="BZ45" s="275" t="e">
        <f t="shared" si="66"/>
        <v>#N/A</v>
      </c>
      <c r="CB45" s="273" t="str">
        <f t="shared" si="95"/>
        <v>Istanbul</v>
      </c>
      <c r="CC45" s="271">
        <f t="shared" si="96"/>
        <v>71.7800453514739</v>
      </c>
      <c r="CD45" s="24">
        <f t="shared" si="67"/>
        <v>71.7800453514739</v>
      </c>
      <c r="CE45" s="24">
        <f t="shared" si="36"/>
        <v>1</v>
      </c>
      <c r="CF45" s="275" t="e">
        <f t="shared" si="68"/>
        <v>#N/A</v>
      </c>
      <c r="CH45" s="273" t="str">
        <f t="shared" si="97"/>
        <v>Istanbul</v>
      </c>
      <c r="CI45" s="271">
        <f t="shared" si="98"/>
        <v>59.8966031646102</v>
      </c>
      <c r="CJ45" s="24">
        <f t="shared" si="69"/>
        <v>59.8966031646102</v>
      </c>
      <c r="CK45" s="24">
        <f t="shared" si="39"/>
        <v>1</v>
      </c>
      <c r="CL45" s="275" t="e">
        <f t="shared" si="70"/>
        <v>#N/A</v>
      </c>
    </row>
    <row r="46" ht="15.75" spans="1:90">
      <c r="A46" s="1">
        <f>tblTerritories!A43</f>
        <v>41</v>
      </c>
      <c r="B46" s="1" t="str">
        <f>tblTerritories!B43</f>
        <v/>
      </c>
      <c r="C46" s="1" t="str">
        <f>tblTerritories!C43</f>
        <v>Quito</v>
      </c>
      <c r="D46" s="1" t="str">
        <f>tblTerritories!J43</f>
        <v>Quito</v>
      </c>
      <c r="E46" s="1">
        <f t="shared" si="40"/>
        <v>0</v>
      </c>
      <c r="F46" s="1">
        <f>IF(tblTerritories!F43="",0,tblTerritories!F43)</f>
        <v>1</v>
      </c>
      <c r="G46" s="1">
        <f t="shared" si="71"/>
        <v>56.38759</v>
      </c>
      <c r="H46" s="1">
        <f>IF(F46=0,"",RANK(G46,G$6:G$66,0)+COUNTIF(G$6:G46,G46)-1)</f>
        <v>53</v>
      </c>
      <c r="I46" s="1">
        <f t="shared" si="41"/>
        <v>36</v>
      </c>
      <c r="J46" s="1">
        <f t="shared" si="42"/>
        <v>1</v>
      </c>
      <c r="K46" s="269" t="e">
        <f t="shared" si="72"/>
        <v>#VALUE!</v>
      </c>
      <c r="L46" s="269">
        <f t="shared" si="43"/>
        <v>1</v>
      </c>
      <c r="M46" s="268" t="e">
        <f t="shared" si="44"/>
        <v>#VALUE!</v>
      </c>
      <c r="N46" s="273" t="str">
        <f t="shared" si="73"/>
        <v>Moscow</v>
      </c>
      <c r="O46" s="271">
        <f t="shared" si="74"/>
        <v>63.9940668909029</v>
      </c>
      <c r="P46" s="24">
        <f t="shared" si="45"/>
        <v>63.9940668909029</v>
      </c>
      <c r="Q46" s="24">
        <f t="shared" si="4"/>
        <v>1</v>
      </c>
      <c r="R46" s="275" t="e">
        <f t="shared" si="46"/>
        <v>#N/A</v>
      </c>
      <c r="T46" s="273" t="str">
        <f t="shared" si="75"/>
        <v>Moscow</v>
      </c>
      <c r="U46" s="271">
        <f t="shared" si="76"/>
        <v>49.027957899833</v>
      </c>
      <c r="V46" s="24">
        <f t="shared" si="47"/>
        <v>49.027957899833</v>
      </c>
      <c r="W46" s="24">
        <f t="shared" si="7"/>
        <v>1</v>
      </c>
      <c r="X46" s="275" t="e">
        <f t="shared" si="48"/>
        <v>#N/A</v>
      </c>
      <c r="Z46" s="273" t="str">
        <f t="shared" si="77"/>
        <v>Moscow</v>
      </c>
      <c r="AA46" s="271">
        <f t="shared" si="78"/>
        <v>41.6666666666667</v>
      </c>
      <c r="AB46" s="24">
        <f t="shared" si="49"/>
        <v>41.6666666666667</v>
      </c>
      <c r="AC46" s="272">
        <v>1</v>
      </c>
      <c r="AD46" s="275" t="e">
        <f t="shared" si="50"/>
        <v>#N/A</v>
      </c>
      <c r="AF46" s="273" t="str">
        <f t="shared" si="79"/>
        <v>Moscow</v>
      </c>
      <c r="AG46" s="271">
        <f t="shared" si="80"/>
        <v>56.3892491329993</v>
      </c>
      <c r="AH46" s="24">
        <f t="shared" si="51"/>
        <v>56.3892491329993</v>
      </c>
      <c r="AI46" s="24">
        <f t="shared" si="12"/>
        <v>1</v>
      </c>
      <c r="AJ46" s="275" t="e">
        <f t="shared" si="52"/>
        <v>#N/A</v>
      </c>
      <c r="AL46" s="273" t="str">
        <f t="shared" si="81"/>
        <v>Moscow</v>
      </c>
      <c r="AM46" s="271">
        <f t="shared" si="82"/>
        <v>72.5922613624171</v>
      </c>
      <c r="AN46" s="24">
        <f t="shared" si="53"/>
        <v>72.5922613624171</v>
      </c>
      <c r="AO46" s="24">
        <f t="shared" si="15"/>
        <v>1</v>
      </c>
      <c r="AP46" s="275" t="e">
        <f t="shared" si="54"/>
        <v>#N/A</v>
      </c>
      <c r="AR46" s="273" t="str">
        <f t="shared" si="83"/>
        <v>Moscow</v>
      </c>
      <c r="AS46" s="271">
        <f t="shared" si="84"/>
        <v>74.0238227958988</v>
      </c>
      <c r="AT46" s="24">
        <f t="shared" si="55"/>
        <v>74.0238227958988</v>
      </c>
      <c r="AU46" s="24">
        <f t="shared" si="18"/>
        <v>1</v>
      </c>
      <c r="AV46" s="275" t="e">
        <f t="shared" si="56"/>
        <v>#N/A</v>
      </c>
      <c r="AX46" s="273" t="str">
        <f t="shared" si="85"/>
        <v>Moscow</v>
      </c>
      <c r="AY46" s="271">
        <f t="shared" si="86"/>
        <v>71.1606999289354</v>
      </c>
      <c r="AZ46" s="24">
        <f t="shared" si="57"/>
        <v>71.1606999289354</v>
      </c>
      <c r="BA46" s="24">
        <f t="shared" si="21"/>
        <v>1</v>
      </c>
      <c r="BB46" s="275" t="e">
        <f t="shared" si="58"/>
        <v>#N/A</v>
      </c>
      <c r="BD46" s="273" t="str">
        <f t="shared" si="87"/>
        <v>Moscow</v>
      </c>
      <c r="BE46" s="271">
        <f t="shared" si="88"/>
        <v>76.3566505829332</v>
      </c>
      <c r="BF46" s="24">
        <f t="shared" si="59"/>
        <v>76.3566505829332</v>
      </c>
      <c r="BG46" s="24">
        <f t="shared" si="24"/>
        <v>1</v>
      </c>
      <c r="BH46" s="275" t="e">
        <f t="shared" si="60"/>
        <v>#N/A</v>
      </c>
      <c r="BJ46" s="273" t="str">
        <f t="shared" si="89"/>
        <v>Moscow</v>
      </c>
      <c r="BK46" s="271">
        <f t="shared" si="90"/>
        <v>83.5</v>
      </c>
      <c r="BL46" s="24">
        <f t="shared" si="61"/>
        <v>83.5</v>
      </c>
      <c r="BM46" s="24">
        <f t="shared" si="27"/>
        <v>1</v>
      </c>
      <c r="BN46" s="275" t="e">
        <f t="shared" si="62"/>
        <v>#N/A</v>
      </c>
      <c r="BP46" s="273" t="str">
        <f t="shared" si="91"/>
        <v>Moscow</v>
      </c>
      <c r="BQ46" s="271">
        <f t="shared" si="92"/>
        <v>69.2133011658664</v>
      </c>
      <c r="BR46" s="24">
        <f t="shared" si="63"/>
        <v>69.2133011658664</v>
      </c>
      <c r="BS46" s="24">
        <f t="shared" si="30"/>
        <v>1</v>
      </c>
      <c r="BT46" s="275" t="e">
        <f t="shared" si="64"/>
        <v>#N/A</v>
      </c>
      <c r="BV46" s="273" t="str">
        <f t="shared" si="93"/>
        <v>Moscow</v>
      </c>
      <c r="BW46" s="271">
        <f t="shared" si="94"/>
        <v>57.9993977184282</v>
      </c>
      <c r="BX46" s="24">
        <f t="shared" si="65"/>
        <v>57.9993977184282</v>
      </c>
      <c r="BY46" s="24">
        <f t="shared" si="33"/>
        <v>1</v>
      </c>
      <c r="BZ46" s="275" t="e">
        <f t="shared" si="66"/>
        <v>#N/A</v>
      </c>
      <c r="CB46" s="273" t="str">
        <f t="shared" si="95"/>
        <v>Moscow</v>
      </c>
      <c r="CC46" s="271">
        <f t="shared" si="96"/>
        <v>56.9614512471655</v>
      </c>
      <c r="CD46" s="24">
        <f t="shared" si="67"/>
        <v>56.9614512471655</v>
      </c>
      <c r="CE46" s="24">
        <f t="shared" si="36"/>
        <v>1</v>
      </c>
      <c r="CF46" s="275" t="e">
        <f t="shared" si="68"/>
        <v>#N/A</v>
      </c>
      <c r="CH46" s="273" t="str">
        <f t="shared" si="97"/>
        <v>Moscow</v>
      </c>
      <c r="CI46" s="271">
        <f t="shared" si="98"/>
        <v>59.0373441896908</v>
      </c>
      <c r="CJ46" s="24">
        <f t="shared" si="69"/>
        <v>59.0373441896908</v>
      </c>
      <c r="CK46" s="24">
        <f t="shared" si="39"/>
        <v>1</v>
      </c>
      <c r="CL46" s="275" t="e">
        <f t="shared" si="70"/>
        <v>#N/A</v>
      </c>
    </row>
    <row r="47" ht="15.75" spans="1:90">
      <c r="A47" s="1">
        <f>tblTerritories!A44</f>
        <v>42</v>
      </c>
      <c r="B47" s="1" t="str">
        <f>tblTerritories!B44</f>
        <v/>
      </c>
      <c r="C47" s="1" t="str">
        <f>tblTerritories!C44</f>
        <v>Rio de Janeiro</v>
      </c>
      <c r="D47" s="1" t="str">
        <f>tblTerritories!J44</f>
        <v>Rio de Janeiro</v>
      </c>
      <c r="E47" s="1">
        <f t="shared" si="40"/>
        <v>0</v>
      </c>
      <c r="F47" s="1">
        <f>IF(tblTerritories!F44="",0,tblTerritories!F44)</f>
        <v>1</v>
      </c>
      <c r="G47" s="1">
        <f t="shared" si="71"/>
        <v>66.53775</v>
      </c>
      <c r="H47" s="1">
        <f>IF(F47=0,"",RANK(G47,G$6:G$66,0)+COUNTIF(G$6:G47,G47)-1)</f>
        <v>37</v>
      </c>
      <c r="I47" s="1">
        <f t="shared" si="41"/>
        <v>23</v>
      </c>
      <c r="J47" s="1">
        <f t="shared" si="42"/>
        <v>1</v>
      </c>
      <c r="K47" s="269" t="e">
        <f t="shared" si="72"/>
        <v>#VALUE!</v>
      </c>
      <c r="L47" s="269">
        <f t="shared" si="43"/>
        <v>1</v>
      </c>
      <c r="M47" s="268" t="e">
        <f t="shared" si="44"/>
        <v>#VALUE!</v>
      </c>
      <c r="N47" s="273" t="str">
        <f t="shared" si="73"/>
        <v>Jeddah</v>
      </c>
      <c r="O47" s="271">
        <f t="shared" si="74"/>
        <v>62.8027593796319</v>
      </c>
      <c r="P47" s="24">
        <f t="shared" si="45"/>
        <v>62.8027593796319</v>
      </c>
      <c r="Q47" s="24">
        <f t="shared" si="4"/>
        <v>1</v>
      </c>
      <c r="R47" s="275" t="e">
        <f t="shared" si="46"/>
        <v>#N/A</v>
      </c>
      <c r="T47" s="273" t="str">
        <f t="shared" si="75"/>
        <v>Jeddah</v>
      </c>
      <c r="U47" s="271">
        <f t="shared" si="76"/>
        <v>65.8605869387246</v>
      </c>
      <c r="V47" s="24">
        <f t="shared" si="47"/>
        <v>65.8605869387246</v>
      </c>
      <c r="W47" s="24">
        <f t="shared" si="7"/>
        <v>1</v>
      </c>
      <c r="X47" s="275" t="e">
        <f t="shared" si="48"/>
        <v>#N/A</v>
      </c>
      <c r="Z47" s="273" t="str">
        <f t="shared" si="77"/>
        <v>Jeddah</v>
      </c>
      <c r="AA47" s="271">
        <f t="shared" si="78"/>
        <v>58.3333333333333</v>
      </c>
      <c r="AB47" s="24">
        <f t="shared" si="49"/>
        <v>58.3333333333333</v>
      </c>
      <c r="AC47" s="272">
        <v>1</v>
      </c>
      <c r="AD47" s="275" t="e">
        <f t="shared" si="50"/>
        <v>#N/A</v>
      </c>
      <c r="AF47" s="273" t="str">
        <f t="shared" si="79"/>
        <v>Jeddah</v>
      </c>
      <c r="AG47" s="271">
        <f t="shared" si="80"/>
        <v>73.3878405441158</v>
      </c>
      <c r="AH47" s="24">
        <f t="shared" si="51"/>
        <v>73.3878405441158</v>
      </c>
      <c r="AI47" s="24">
        <f t="shared" si="12"/>
        <v>1</v>
      </c>
      <c r="AJ47" s="275" t="e">
        <f t="shared" si="52"/>
        <v>#N/A</v>
      </c>
      <c r="AL47" s="273" t="str">
        <f t="shared" si="81"/>
        <v>Jeddah</v>
      </c>
      <c r="AM47" s="271">
        <f t="shared" si="82"/>
        <v>63.5595116955628</v>
      </c>
      <c r="AN47" s="24">
        <f t="shared" si="53"/>
        <v>63.5595116955628</v>
      </c>
      <c r="AO47" s="24">
        <f t="shared" si="15"/>
        <v>1</v>
      </c>
      <c r="AP47" s="275" t="e">
        <f t="shared" si="54"/>
        <v>#N/A</v>
      </c>
      <c r="AR47" s="273" t="str">
        <f t="shared" si="83"/>
        <v>Jeddah</v>
      </c>
      <c r="AS47" s="271">
        <f t="shared" si="84"/>
        <v>50.2155614882312</v>
      </c>
      <c r="AT47" s="24">
        <f t="shared" si="55"/>
        <v>50.2155614882312</v>
      </c>
      <c r="AU47" s="24">
        <f t="shared" si="18"/>
        <v>1</v>
      </c>
      <c r="AV47" s="275" t="e">
        <f t="shared" si="56"/>
        <v>#N/A</v>
      </c>
      <c r="AX47" s="273" t="str">
        <f t="shared" si="85"/>
        <v>Jeddah</v>
      </c>
      <c r="AY47" s="271">
        <f t="shared" si="86"/>
        <v>76.9034619028943</v>
      </c>
      <c r="AZ47" s="24">
        <f t="shared" si="57"/>
        <v>76.9034619028943</v>
      </c>
      <c r="BA47" s="24">
        <f t="shared" si="21"/>
        <v>1</v>
      </c>
      <c r="BB47" s="275" t="e">
        <f t="shared" si="58"/>
        <v>#N/A</v>
      </c>
      <c r="BD47" s="273" t="str">
        <f t="shared" si="87"/>
        <v>Jeddah</v>
      </c>
      <c r="BE47" s="271">
        <f t="shared" si="88"/>
        <v>61.7422079955886</v>
      </c>
      <c r="BF47" s="24">
        <f t="shared" si="59"/>
        <v>61.7422079955886</v>
      </c>
      <c r="BG47" s="24">
        <f t="shared" si="24"/>
        <v>1</v>
      </c>
      <c r="BH47" s="275" t="e">
        <f t="shared" si="60"/>
        <v>#N/A</v>
      </c>
      <c r="BJ47" s="273" t="str">
        <f t="shared" si="89"/>
        <v>Jeddah</v>
      </c>
      <c r="BK47" s="271">
        <f t="shared" si="90"/>
        <v>47</v>
      </c>
      <c r="BL47" s="24">
        <f t="shared" si="61"/>
        <v>47</v>
      </c>
      <c r="BM47" s="24">
        <f t="shared" si="27"/>
        <v>1</v>
      </c>
      <c r="BN47" s="275" t="e">
        <f t="shared" si="62"/>
        <v>#N/A</v>
      </c>
      <c r="BP47" s="273" t="str">
        <f t="shared" si="91"/>
        <v>Jeddah</v>
      </c>
      <c r="BQ47" s="271">
        <f t="shared" si="92"/>
        <v>76.4844159911773</v>
      </c>
      <c r="BR47" s="24">
        <f t="shared" si="63"/>
        <v>76.4844159911773</v>
      </c>
      <c r="BS47" s="24">
        <f t="shared" si="30"/>
        <v>1</v>
      </c>
      <c r="BT47" s="275" t="e">
        <f t="shared" si="64"/>
        <v>#N/A</v>
      </c>
      <c r="BV47" s="273" t="str">
        <f t="shared" si="93"/>
        <v>Jeddah</v>
      </c>
      <c r="BW47" s="271">
        <f t="shared" si="94"/>
        <v>60.0487308886517</v>
      </c>
      <c r="BX47" s="24">
        <f t="shared" si="65"/>
        <v>60.0487308886517</v>
      </c>
      <c r="BY47" s="24">
        <f t="shared" si="33"/>
        <v>1</v>
      </c>
      <c r="BZ47" s="275" t="e">
        <f t="shared" si="66"/>
        <v>#N/A</v>
      </c>
      <c r="CB47" s="273" t="str">
        <f t="shared" si="95"/>
        <v>Jeddah</v>
      </c>
      <c r="CC47" s="271">
        <f t="shared" si="96"/>
        <v>42.8231292517007</v>
      </c>
      <c r="CD47" s="24">
        <f t="shared" si="67"/>
        <v>42.8231292517007</v>
      </c>
      <c r="CE47" s="24">
        <f t="shared" si="36"/>
        <v>1</v>
      </c>
      <c r="CF47" s="275" t="e">
        <f t="shared" si="68"/>
        <v>#N/A</v>
      </c>
      <c r="CH47" s="273" t="str">
        <f t="shared" si="97"/>
        <v>Jeddah</v>
      </c>
      <c r="CI47" s="271">
        <f t="shared" si="98"/>
        <v>77.2743325256026</v>
      </c>
      <c r="CJ47" s="24">
        <f t="shared" si="69"/>
        <v>77.2743325256026</v>
      </c>
      <c r="CK47" s="24">
        <f t="shared" si="39"/>
        <v>1</v>
      </c>
      <c r="CL47" s="275" t="e">
        <f t="shared" si="70"/>
        <v>#N/A</v>
      </c>
    </row>
    <row r="48" ht="15.75" spans="1:90">
      <c r="A48" s="1">
        <f>tblTerritories!A45</f>
        <v>43</v>
      </c>
      <c r="B48" s="1" t="str">
        <f>tblTerritories!B45</f>
        <v/>
      </c>
      <c r="C48" s="1" t="str">
        <f>tblTerritories!C45</f>
        <v>Riyadh</v>
      </c>
      <c r="D48" s="1" t="str">
        <f>tblTerritories!J45</f>
        <v>Riyadh</v>
      </c>
      <c r="E48" s="1">
        <f t="shared" si="40"/>
        <v>0</v>
      </c>
      <c r="F48" s="1">
        <f>IF(tblTerritories!F45="",0,tblTerritories!F45)</f>
        <v>1</v>
      </c>
      <c r="G48" s="1">
        <f t="shared" si="71"/>
        <v>61.22744</v>
      </c>
      <c r="H48" s="1">
        <f>IF(F48=0,"",RANK(G48,G$6:G$66,0)+COUNTIF(G$6:G48,G48)-1)</f>
        <v>47</v>
      </c>
      <c r="I48" s="1">
        <f t="shared" si="41"/>
        <v>15</v>
      </c>
      <c r="J48" s="1">
        <f t="shared" si="42"/>
        <v>1</v>
      </c>
      <c r="K48" s="269" t="e">
        <f t="shared" si="72"/>
        <v>#VALUE!</v>
      </c>
      <c r="L48" s="269">
        <f t="shared" si="43"/>
        <v>1</v>
      </c>
      <c r="M48" s="268" t="e">
        <f t="shared" si="44"/>
        <v>#VALUE!</v>
      </c>
      <c r="N48" s="273" t="str">
        <f t="shared" si="73"/>
        <v>Delhi</v>
      </c>
      <c r="O48" s="271">
        <f t="shared" si="74"/>
        <v>62.3376987406359</v>
      </c>
      <c r="P48" s="24">
        <f t="shared" si="45"/>
        <v>62.3376987406359</v>
      </c>
      <c r="Q48" s="24">
        <f t="shared" si="4"/>
        <v>1</v>
      </c>
      <c r="R48" s="275" t="e">
        <f t="shared" si="46"/>
        <v>#N/A</v>
      </c>
      <c r="T48" s="273" t="str">
        <f t="shared" si="75"/>
        <v>Delhi</v>
      </c>
      <c r="U48" s="271">
        <f t="shared" si="76"/>
        <v>54.6055882755424</v>
      </c>
      <c r="V48" s="24">
        <f t="shared" si="47"/>
        <v>54.6055882755424</v>
      </c>
      <c r="W48" s="24">
        <f t="shared" si="7"/>
        <v>1</v>
      </c>
      <c r="X48" s="275" t="e">
        <f t="shared" si="48"/>
        <v>#N/A</v>
      </c>
      <c r="Z48" s="273" t="str">
        <f t="shared" si="77"/>
        <v>Delhi</v>
      </c>
      <c r="AA48" s="271">
        <f t="shared" si="78"/>
        <v>63.3333333333333</v>
      </c>
      <c r="AB48" s="24">
        <f t="shared" si="49"/>
        <v>63.3333333333333</v>
      </c>
      <c r="AC48" s="272">
        <v>1</v>
      </c>
      <c r="AD48" s="275" t="e">
        <f t="shared" si="50"/>
        <v>#N/A</v>
      </c>
      <c r="AF48" s="273" t="str">
        <f t="shared" si="79"/>
        <v>Delhi</v>
      </c>
      <c r="AG48" s="271">
        <f t="shared" si="80"/>
        <v>45.8778432177515</v>
      </c>
      <c r="AH48" s="24">
        <f t="shared" si="51"/>
        <v>45.8778432177515</v>
      </c>
      <c r="AI48" s="24">
        <f t="shared" si="12"/>
        <v>1</v>
      </c>
      <c r="AJ48" s="275" t="e">
        <f t="shared" si="52"/>
        <v>#N/A</v>
      </c>
      <c r="AL48" s="273" t="str">
        <f t="shared" si="81"/>
        <v>Delhi</v>
      </c>
      <c r="AM48" s="271">
        <f t="shared" si="82"/>
        <v>59.6494460841144</v>
      </c>
      <c r="AN48" s="24">
        <f t="shared" si="53"/>
        <v>59.6494460841144</v>
      </c>
      <c r="AO48" s="24">
        <f t="shared" si="15"/>
        <v>1</v>
      </c>
      <c r="AP48" s="275" t="e">
        <f t="shared" si="54"/>
        <v>#N/A</v>
      </c>
      <c r="AR48" s="273" t="str">
        <f t="shared" si="83"/>
        <v>Delhi</v>
      </c>
      <c r="AS48" s="271">
        <f t="shared" si="84"/>
        <v>57.2648415184866</v>
      </c>
      <c r="AT48" s="24">
        <f t="shared" si="55"/>
        <v>57.2648415184866</v>
      </c>
      <c r="AU48" s="24">
        <f t="shared" si="18"/>
        <v>1</v>
      </c>
      <c r="AV48" s="275" t="e">
        <f t="shared" si="56"/>
        <v>#N/A</v>
      </c>
      <c r="AX48" s="273" t="str">
        <f t="shared" si="85"/>
        <v>Delhi</v>
      </c>
      <c r="AY48" s="271">
        <f t="shared" si="86"/>
        <v>62.0340506497421</v>
      </c>
      <c r="AZ48" s="24">
        <f t="shared" si="57"/>
        <v>62.0340506497421</v>
      </c>
      <c r="BA48" s="24">
        <f t="shared" si="21"/>
        <v>1</v>
      </c>
      <c r="BB48" s="275" t="e">
        <f t="shared" si="58"/>
        <v>#N/A</v>
      </c>
      <c r="BD48" s="273" t="str">
        <f t="shared" si="87"/>
        <v>Delhi</v>
      </c>
      <c r="BE48" s="271">
        <f t="shared" si="88"/>
        <v>58.4862536094941</v>
      </c>
      <c r="BF48" s="24">
        <f t="shared" si="59"/>
        <v>58.4862536094941</v>
      </c>
      <c r="BG48" s="24">
        <f t="shared" si="24"/>
        <v>1</v>
      </c>
      <c r="BH48" s="275" t="e">
        <f t="shared" si="60"/>
        <v>#N/A</v>
      </c>
      <c r="BJ48" s="273" t="str">
        <f t="shared" si="89"/>
        <v>Delhi</v>
      </c>
      <c r="BK48" s="271">
        <f t="shared" si="90"/>
        <v>37.5</v>
      </c>
      <c r="BL48" s="24">
        <f t="shared" si="61"/>
        <v>37.5</v>
      </c>
      <c r="BM48" s="24">
        <f t="shared" si="27"/>
        <v>1</v>
      </c>
      <c r="BN48" s="275" t="e">
        <f t="shared" si="62"/>
        <v>#N/A</v>
      </c>
      <c r="BP48" s="273" t="str">
        <f t="shared" si="91"/>
        <v>Delhi</v>
      </c>
      <c r="BQ48" s="271">
        <f t="shared" si="92"/>
        <v>79.4725072189882</v>
      </c>
      <c r="BR48" s="24">
        <f t="shared" si="63"/>
        <v>79.4725072189882</v>
      </c>
      <c r="BS48" s="24">
        <f t="shared" si="30"/>
        <v>1</v>
      </c>
      <c r="BT48" s="275" t="e">
        <f t="shared" si="64"/>
        <v>#N/A</v>
      </c>
      <c r="BV48" s="273" t="str">
        <f t="shared" si="93"/>
        <v>Delhi</v>
      </c>
      <c r="BW48" s="271">
        <f t="shared" si="94"/>
        <v>76.6095069933926</v>
      </c>
      <c r="BX48" s="24">
        <f t="shared" si="65"/>
        <v>76.6095069933926</v>
      </c>
      <c r="BY48" s="24">
        <f t="shared" si="33"/>
        <v>1</v>
      </c>
      <c r="BZ48" s="275" t="e">
        <f t="shared" si="66"/>
        <v>#N/A</v>
      </c>
      <c r="CB48" s="273" t="str">
        <f t="shared" si="95"/>
        <v>Delhi</v>
      </c>
      <c r="CC48" s="271">
        <f t="shared" si="96"/>
        <v>89.172335600907</v>
      </c>
      <c r="CD48" s="24">
        <f t="shared" si="67"/>
        <v>89.172335600907</v>
      </c>
      <c r="CE48" s="24">
        <f t="shared" si="36"/>
        <v>1</v>
      </c>
      <c r="CF48" s="275" t="e">
        <f t="shared" si="68"/>
        <v>#N/A</v>
      </c>
      <c r="CH48" s="273" t="str">
        <f t="shared" si="97"/>
        <v>Delhi</v>
      </c>
      <c r="CI48" s="271">
        <f t="shared" si="98"/>
        <v>64.0466783858782</v>
      </c>
      <c r="CJ48" s="24">
        <f t="shared" si="69"/>
        <v>64.0466783858782</v>
      </c>
      <c r="CK48" s="24">
        <f t="shared" si="39"/>
        <v>1</v>
      </c>
      <c r="CL48" s="275" t="e">
        <f t="shared" si="70"/>
        <v>#N/A</v>
      </c>
    </row>
    <row r="49" ht="15.75" spans="1:90">
      <c r="A49" s="1">
        <f>tblTerritories!A46</f>
        <v>44</v>
      </c>
      <c r="B49" s="1" t="str">
        <f>tblTerritories!B46</f>
        <v/>
      </c>
      <c r="C49" s="1" t="str">
        <f>tblTerritories!C46</f>
        <v>Rome</v>
      </c>
      <c r="D49" s="1" t="str">
        <f>tblTerritories!J46</f>
        <v>Rome</v>
      </c>
      <c r="E49" s="1">
        <f t="shared" si="40"/>
        <v>0</v>
      </c>
      <c r="F49" s="1">
        <f>IF(tblTerritories!F46="",0,tblTerritories!F46)</f>
        <v>1</v>
      </c>
      <c r="G49" s="1">
        <f t="shared" si="71"/>
        <v>78.67444</v>
      </c>
      <c r="H49" s="1">
        <f>IF(F49=0,"",RANK(G49,G$6:G$66,0)+COUNTIF(G$6:G49,G49)-1)</f>
        <v>27</v>
      </c>
      <c r="I49" s="1">
        <f t="shared" si="41"/>
        <v>28</v>
      </c>
      <c r="J49" s="1">
        <f t="shared" si="42"/>
        <v>1</v>
      </c>
      <c r="K49" s="269" t="e">
        <f t="shared" si="72"/>
        <v>#VALUE!</v>
      </c>
      <c r="L49" s="269">
        <f t="shared" si="43"/>
        <v>1</v>
      </c>
      <c r="M49" s="268" t="e">
        <f t="shared" si="44"/>
        <v>#VALUE!</v>
      </c>
      <c r="N49" s="273" t="str">
        <f t="shared" si="73"/>
        <v>Lima</v>
      </c>
      <c r="O49" s="271">
        <f t="shared" si="74"/>
        <v>61.8984041015981</v>
      </c>
      <c r="P49" s="24">
        <f t="shared" si="45"/>
        <v>61.8984041015981</v>
      </c>
      <c r="Q49" s="24">
        <f t="shared" si="4"/>
        <v>1</v>
      </c>
      <c r="R49" s="275" t="e">
        <f t="shared" si="46"/>
        <v>#N/A</v>
      </c>
      <c r="T49" s="273" t="str">
        <f t="shared" si="75"/>
        <v>Lima</v>
      </c>
      <c r="U49" s="271">
        <f t="shared" si="76"/>
        <v>59.7789450610891</v>
      </c>
      <c r="V49" s="24">
        <f t="shared" si="47"/>
        <v>59.7789450610891</v>
      </c>
      <c r="W49" s="24">
        <f t="shared" si="7"/>
        <v>1</v>
      </c>
      <c r="X49" s="275" t="e">
        <f t="shared" si="48"/>
        <v>#N/A</v>
      </c>
      <c r="Z49" s="273" t="str">
        <f t="shared" si="77"/>
        <v>Lima</v>
      </c>
      <c r="AA49" s="271">
        <f t="shared" si="78"/>
        <v>58.3333333333333</v>
      </c>
      <c r="AB49" s="24">
        <f t="shared" si="49"/>
        <v>58.3333333333333</v>
      </c>
      <c r="AC49" s="272">
        <v>1</v>
      </c>
      <c r="AD49" s="275" t="e">
        <f t="shared" si="50"/>
        <v>#N/A</v>
      </c>
      <c r="AF49" s="273" t="str">
        <f t="shared" si="79"/>
        <v>Lima</v>
      </c>
      <c r="AG49" s="271">
        <f t="shared" si="80"/>
        <v>61.2245567888449</v>
      </c>
      <c r="AH49" s="24">
        <f t="shared" si="51"/>
        <v>61.2245567888449</v>
      </c>
      <c r="AI49" s="24">
        <f t="shared" si="12"/>
        <v>1</v>
      </c>
      <c r="AJ49" s="275" t="e">
        <f t="shared" si="52"/>
        <v>#N/A</v>
      </c>
      <c r="AL49" s="273" t="str">
        <f t="shared" si="81"/>
        <v>Lima</v>
      </c>
      <c r="AM49" s="271">
        <f t="shared" si="82"/>
        <v>62.4800665576582</v>
      </c>
      <c r="AN49" s="24">
        <f t="shared" si="53"/>
        <v>62.4800665576582</v>
      </c>
      <c r="AO49" s="24">
        <f t="shared" si="15"/>
        <v>1</v>
      </c>
      <c r="AP49" s="275" t="e">
        <f t="shared" si="54"/>
        <v>#N/A</v>
      </c>
      <c r="AR49" s="273" t="str">
        <f t="shared" si="83"/>
        <v>Lima</v>
      </c>
      <c r="AS49" s="271">
        <f t="shared" si="84"/>
        <v>55.056674171826</v>
      </c>
      <c r="AT49" s="24">
        <f t="shared" si="55"/>
        <v>55.056674171826</v>
      </c>
      <c r="AU49" s="24">
        <f t="shared" si="18"/>
        <v>1</v>
      </c>
      <c r="AV49" s="275" t="e">
        <f t="shared" si="56"/>
        <v>#N/A</v>
      </c>
      <c r="AX49" s="273" t="str">
        <f t="shared" si="85"/>
        <v>Lima</v>
      </c>
      <c r="AY49" s="271">
        <f t="shared" si="86"/>
        <v>69.9034589434905</v>
      </c>
      <c r="AZ49" s="24">
        <f t="shared" si="57"/>
        <v>69.9034589434905</v>
      </c>
      <c r="BA49" s="24">
        <f t="shared" si="21"/>
        <v>1</v>
      </c>
      <c r="BB49" s="275" t="e">
        <f t="shared" si="58"/>
        <v>#N/A</v>
      </c>
      <c r="BD49" s="273" t="str">
        <f t="shared" si="87"/>
        <v>Lima</v>
      </c>
      <c r="BE49" s="271">
        <f t="shared" si="88"/>
        <v>64.468667825633</v>
      </c>
      <c r="BF49" s="24">
        <f t="shared" si="59"/>
        <v>64.468667825633</v>
      </c>
      <c r="BG49" s="24">
        <f t="shared" si="24"/>
        <v>1</v>
      </c>
      <c r="BH49" s="275" t="e">
        <f t="shared" si="60"/>
        <v>#N/A</v>
      </c>
      <c r="BJ49" s="273" t="str">
        <f t="shared" si="89"/>
        <v>Lima</v>
      </c>
      <c r="BK49" s="271">
        <f t="shared" si="90"/>
        <v>57.5</v>
      </c>
      <c r="BL49" s="24">
        <f t="shared" si="61"/>
        <v>57.5</v>
      </c>
      <c r="BM49" s="24">
        <f t="shared" si="27"/>
        <v>1</v>
      </c>
      <c r="BN49" s="275" t="e">
        <f t="shared" si="62"/>
        <v>#N/A</v>
      </c>
      <c r="BP49" s="273" t="str">
        <f t="shared" si="91"/>
        <v>Lima</v>
      </c>
      <c r="BQ49" s="271">
        <f t="shared" si="92"/>
        <v>71.4373356512661</v>
      </c>
      <c r="BR49" s="24">
        <f t="shared" si="63"/>
        <v>71.4373356512661</v>
      </c>
      <c r="BS49" s="24">
        <f t="shared" si="30"/>
        <v>1</v>
      </c>
      <c r="BT49" s="275" t="e">
        <f t="shared" si="64"/>
        <v>#N/A</v>
      </c>
      <c r="BV49" s="273" t="str">
        <f t="shared" si="93"/>
        <v>Lima</v>
      </c>
      <c r="BW49" s="271">
        <f t="shared" si="94"/>
        <v>60.8659369620119</v>
      </c>
      <c r="BX49" s="24">
        <f t="shared" si="65"/>
        <v>60.8659369620119</v>
      </c>
      <c r="BY49" s="24">
        <f t="shared" si="33"/>
        <v>1</v>
      </c>
      <c r="BZ49" s="275" t="e">
        <f t="shared" si="66"/>
        <v>#N/A</v>
      </c>
      <c r="CB49" s="273" t="str">
        <f t="shared" si="95"/>
        <v>Lima</v>
      </c>
      <c r="CC49" s="271">
        <f t="shared" si="96"/>
        <v>61.0997732426304</v>
      </c>
      <c r="CD49" s="24">
        <f t="shared" si="67"/>
        <v>61.0997732426304</v>
      </c>
      <c r="CE49" s="24">
        <f t="shared" si="36"/>
        <v>1</v>
      </c>
      <c r="CF49" s="275" t="e">
        <f t="shared" si="68"/>
        <v>#N/A</v>
      </c>
      <c r="CH49" s="273" t="str">
        <f t="shared" si="97"/>
        <v>Lima</v>
      </c>
      <c r="CI49" s="271">
        <f t="shared" si="98"/>
        <v>60.6321006813934</v>
      </c>
      <c r="CJ49" s="24">
        <f t="shared" si="69"/>
        <v>60.6321006813934</v>
      </c>
      <c r="CK49" s="24">
        <f t="shared" si="39"/>
        <v>1</v>
      </c>
      <c r="CL49" s="275" t="e">
        <f t="shared" si="70"/>
        <v>#N/A</v>
      </c>
    </row>
    <row r="50" ht="15.75" spans="1:90">
      <c r="A50" s="1">
        <f>tblTerritories!A47</f>
        <v>45</v>
      </c>
      <c r="B50" s="1" t="str">
        <f>tblTerritories!B47</f>
        <v/>
      </c>
      <c r="C50" s="1" t="str">
        <f>tblTerritories!C47</f>
        <v>San Francisco</v>
      </c>
      <c r="D50" s="1" t="str">
        <f>tblTerritories!J47</f>
        <v>San Francisco</v>
      </c>
      <c r="E50" s="1">
        <f t="shared" si="40"/>
        <v>0</v>
      </c>
      <c r="F50" s="1">
        <f>IF(tblTerritories!F47="",0,tblTerritories!F47)</f>
        <v>1</v>
      </c>
      <c r="G50" s="1">
        <f t="shared" si="71"/>
        <v>83.55296</v>
      </c>
      <c r="H50" s="1">
        <f>IF(F50=0,"",RANK(G50,G$6:G$66,0)+COUNTIF(G$6:G50,G50)-1)</f>
        <v>15</v>
      </c>
      <c r="I50" s="1">
        <f t="shared" si="41"/>
        <v>37</v>
      </c>
      <c r="J50" s="1">
        <f t="shared" si="42"/>
        <v>1</v>
      </c>
      <c r="K50" s="269" t="e">
        <f t="shared" si="72"/>
        <v>#VALUE!</v>
      </c>
      <c r="L50" s="269">
        <f t="shared" si="43"/>
        <v>1</v>
      </c>
      <c r="M50" s="268" t="e">
        <f t="shared" si="44"/>
        <v>#VALUE!</v>
      </c>
      <c r="N50" s="273" t="str">
        <f t="shared" si="73"/>
        <v>Mumbai</v>
      </c>
      <c r="O50" s="271">
        <f t="shared" si="74"/>
        <v>61.8400556388434</v>
      </c>
      <c r="P50" s="24">
        <f t="shared" si="45"/>
        <v>61.8400556388434</v>
      </c>
      <c r="Q50" s="24">
        <f t="shared" si="4"/>
        <v>1</v>
      </c>
      <c r="R50" s="275" t="e">
        <f t="shared" si="46"/>
        <v>#N/A</v>
      </c>
      <c r="T50" s="273" t="str">
        <f t="shared" si="75"/>
        <v>Mumbai</v>
      </c>
      <c r="U50" s="271">
        <f t="shared" si="76"/>
        <v>54.6055882755424</v>
      </c>
      <c r="V50" s="24">
        <f t="shared" si="47"/>
        <v>54.6055882755424</v>
      </c>
      <c r="W50" s="24">
        <f t="shared" si="7"/>
        <v>1</v>
      </c>
      <c r="X50" s="275" t="e">
        <f t="shared" si="48"/>
        <v>#N/A</v>
      </c>
      <c r="Z50" s="273" t="str">
        <f t="shared" si="77"/>
        <v>Mumbai</v>
      </c>
      <c r="AA50" s="271">
        <f t="shared" si="78"/>
        <v>63.3333333333333</v>
      </c>
      <c r="AB50" s="24">
        <f t="shared" si="49"/>
        <v>63.3333333333333</v>
      </c>
      <c r="AC50" s="272">
        <v>1</v>
      </c>
      <c r="AD50" s="275" t="e">
        <f t="shared" si="50"/>
        <v>#N/A</v>
      </c>
      <c r="AF50" s="273" t="str">
        <f t="shared" si="79"/>
        <v>Mumbai</v>
      </c>
      <c r="AG50" s="271">
        <f t="shared" si="80"/>
        <v>45.8778432177515</v>
      </c>
      <c r="AH50" s="24">
        <f t="shared" si="51"/>
        <v>45.8778432177515</v>
      </c>
      <c r="AI50" s="24">
        <f t="shared" si="12"/>
        <v>1</v>
      </c>
      <c r="AJ50" s="275" t="e">
        <f t="shared" si="52"/>
        <v>#N/A</v>
      </c>
      <c r="AL50" s="273" t="str">
        <f t="shared" si="81"/>
        <v>Mumbai</v>
      </c>
      <c r="AM50" s="271">
        <f t="shared" si="82"/>
        <v>55.7426683048991</v>
      </c>
      <c r="AN50" s="24">
        <f t="shared" si="53"/>
        <v>55.7426683048991</v>
      </c>
      <c r="AO50" s="24">
        <f t="shared" si="15"/>
        <v>1</v>
      </c>
      <c r="AP50" s="275" t="e">
        <f t="shared" si="54"/>
        <v>#N/A</v>
      </c>
      <c r="AR50" s="273" t="str">
        <f t="shared" si="83"/>
        <v>Mumbai</v>
      </c>
      <c r="AS50" s="271">
        <f t="shared" si="84"/>
        <v>45.3321028271603</v>
      </c>
      <c r="AT50" s="24">
        <f t="shared" si="55"/>
        <v>45.3321028271603</v>
      </c>
      <c r="AU50" s="24">
        <f t="shared" si="18"/>
        <v>1</v>
      </c>
      <c r="AV50" s="275" t="e">
        <f t="shared" si="56"/>
        <v>#N/A</v>
      </c>
      <c r="AX50" s="273" t="str">
        <f t="shared" si="85"/>
        <v>Mumbai</v>
      </c>
      <c r="AY50" s="271">
        <f t="shared" si="86"/>
        <v>66.153233782638</v>
      </c>
      <c r="AZ50" s="24">
        <f t="shared" si="57"/>
        <v>66.153233782638</v>
      </c>
      <c r="BA50" s="24">
        <f t="shared" si="21"/>
        <v>1</v>
      </c>
      <c r="BB50" s="275" t="e">
        <f t="shared" si="58"/>
        <v>#N/A</v>
      </c>
      <c r="BD50" s="273" t="str">
        <f t="shared" si="87"/>
        <v>Mumbai</v>
      </c>
      <c r="BE50" s="271">
        <f t="shared" si="88"/>
        <v>59.1170075735975</v>
      </c>
      <c r="BF50" s="24">
        <f t="shared" si="59"/>
        <v>59.1170075735975</v>
      </c>
      <c r="BG50" s="24">
        <f t="shared" si="24"/>
        <v>1</v>
      </c>
      <c r="BH50" s="275" t="e">
        <f t="shared" si="60"/>
        <v>#N/A</v>
      </c>
      <c r="BJ50" s="273" t="str">
        <f t="shared" si="89"/>
        <v>Mumbai</v>
      </c>
      <c r="BK50" s="271">
        <f t="shared" si="90"/>
        <v>32.5</v>
      </c>
      <c r="BL50" s="24">
        <f t="shared" si="61"/>
        <v>32.5</v>
      </c>
      <c r="BM50" s="24">
        <f t="shared" si="27"/>
        <v>1</v>
      </c>
      <c r="BN50" s="275" t="e">
        <f t="shared" si="62"/>
        <v>#N/A</v>
      </c>
      <c r="BP50" s="273" t="str">
        <f t="shared" si="91"/>
        <v>Mumbai</v>
      </c>
      <c r="BQ50" s="271">
        <f t="shared" si="92"/>
        <v>85.7340151471951</v>
      </c>
      <c r="BR50" s="24">
        <f t="shared" si="63"/>
        <v>85.7340151471951</v>
      </c>
      <c r="BS50" s="24">
        <f t="shared" si="30"/>
        <v>1</v>
      </c>
      <c r="BT50" s="275" t="e">
        <f t="shared" si="64"/>
        <v>#N/A</v>
      </c>
      <c r="BV50" s="273" t="str">
        <f t="shared" si="93"/>
        <v>Mumbai</v>
      </c>
      <c r="BW50" s="271">
        <f t="shared" si="94"/>
        <v>77.8949584013347</v>
      </c>
      <c r="BX50" s="24">
        <f t="shared" si="65"/>
        <v>77.8949584013347</v>
      </c>
      <c r="BY50" s="24">
        <f t="shared" si="33"/>
        <v>1</v>
      </c>
      <c r="BZ50" s="275" t="e">
        <f t="shared" si="66"/>
        <v>#N/A</v>
      </c>
      <c r="CB50" s="273" t="str">
        <f t="shared" si="95"/>
        <v>Mumbai</v>
      </c>
      <c r="CC50" s="271">
        <f t="shared" si="96"/>
        <v>89.172335600907</v>
      </c>
      <c r="CD50" s="24">
        <f t="shared" si="67"/>
        <v>89.172335600907</v>
      </c>
      <c r="CE50" s="24">
        <f t="shared" si="36"/>
        <v>1</v>
      </c>
      <c r="CF50" s="275" t="e">
        <f t="shared" si="68"/>
        <v>#N/A</v>
      </c>
      <c r="CH50" s="273" t="str">
        <f t="shared" si="97"/>
        <v>Mumbai</v>
      </c>
      <c r="CI50" s="271">
        <f t="shared" si="98"/>
        <v>66.6175812017623</v>
      </c>
      <c r="CJ50" s="24">
        <f t="shared" si="69"/>
        <v>66.6175812017623</v>
      </c>
      <c r="CK50" s="24">
        <f t="shared" si="39"/>
        <v>1</v>
      </c>
      <c r="CL50" s="275" t="e">
        <f t="shared" si="70"/>
        <v>#N/A</v>
      </c>
    </row>
    <row r="51" ht="15.75" spans="1:90">
      <c r="A51" s="1">
        <f>tblTerritories!A48</f>
        <v>46</v>
      </c>
      <c r="B51" s="1" t="str">
        <f>tblTerritories!B48</f>
        <v/>
      </c>
      <c r="C51" s="1" t="str">
        <f>tblTerritories!C48</f>
        <v>Santiago</v>
      </c>
      <c r="D51" s="1" t="str">
        <f>tblTerritories!J48</f>
        <v>Santiago</v>
      </c>
      <c r="E51" s="1">
        <f t="shared" si="40"/>
        <v>0</v>
      </c>
      <c r="F51" s="1">
        <f>IF(tblTerritories!F48="",0,tblTerritories!F48)</f>
        <v>1</v>
      </c>
      <c r="G51" s="1">
        <f t="shared" si="71"/>
        <v>70.02515</v>
      </c>
      <c r="H51" s="1">
        <f>IF(F51=0,"",RANK(G51,G$6:G$66,0)+COUNTIF(G$6:G51,G51)-1)</f>
        <v>35</v>
      </c>
      <c r="I51" s="1">
        <f t="shared" si="41"/>
        <v>7</v>
      </c>
      <c r="J51" s="1">
        <f t="shared" si="42"/>
        <v>1</v>
      </c>
      <c r="K51" s="269" t="e">
        <f t="shared" si="72"/>
        <v>#VALUE!</v>
      </c>
      <c r="L51" s="269">
        <f t="shared" si="43"/>
        <v>1</v>
      </c>
      <c r="M51" s="268" t="e">
        <f t="shared" si="44"/>
        <v>#VALUE!</v>
      </c>
      <c r="N51" s="273" t="str">
        <f t="shared" si="73"/>
        <v>Bogota</v>
      </c>
      <c r="O51" s="271">
        <f t="shared" si="74"/>
        <v>61.3595461626815</v>
      </c>
      <c r="P51" s="24">
        <f t="shared" si="45"/>
        <v>61.3595461626815</v>
      </c>
      <c r="Q51" s="24">
        <f t="shared" si="4"/>
        <v>1</v>
      </c>
      <c r="R51" s="275" t="e">
        <f t="shared" si="46"/>
        <v>#N/A</v>
      </c>
      <c r="T51" s="273" t="str">
        <f t="shared" si="75"/>
        <v>Bogota</v>
      </c>
      <c r="U51" s="271">
        <f t="shared" si="76"/>
        <v>54.6226799469689</v>
      </c>
      <c r="V51" s="24">
        <f t="shared" si="47"/>
        <v>54.6226799469689</v>
      </c>
      <c r="W51" s="24">
        <f t="shared" si="7"/>
        <v>1</v>
      </c>
      <c r="X51" s="275" t="e">
        <f t="shared" si="48"/>
        <v>#N/A</v>
      </c>
      <c r="Z51" s="273" t="str">
        <f t="shared" si="77"/>
        <v>Bogota</v>
      </c>
      <c r="AA51" s="271">
        <f t="shared" si="78"/>
        <v>41.6666666666667</v>
      </c>
      <c r="AB51" s="24">
        <f t="shared" si="49"/>
        <v>41.6666666666667</v>
      </c>
      <c r="AC51" s="272">
        <v>1</v>
      </c>
      <c r="AD51" s="275" t="e">
        <f t="shared" si="50"/>
        <v>#N/A</v>
      </c>
      <c r="AF51" s="273" t="str">
        <f t="shared" si="79"/>
        <v>Bogota</v>
      </c>
      <c r="AG51" s="271">
        <f t="shared" si="80"/>
        <v>67.5786932272712</v>
      </c>
      <c r="AH51" s="24">
        <f t="shared" si="51"/>
        <v>67.5786932272712</v>
      </c>
      <c r="AI51" s="24">
        <f t="shared" si="12"/>
        <v>1</v>
      </c>
      <c r="AJ51" s="275" t="e">
        <f t="shared" si="52"/>
        <v>#N/A</v>
      </c>
      <c r="AL51" s="273" t="str">
        <f t="shared" si="81"/>
        <v>Bogota</v>
      </c>
      <c r="AM51" s="271">
        <f t="shared" si="82"/>
        <v>65.3739668546807</v>
      </c>
      <c r="AN51" s="24">
        <f t="shared" si="53"/>
        <v>65.3739668546807</v>
      </c>
      <c r="AO51" s="24">
        <f t="shared" si="15"/>
        <v>1</v>
      </c>
      <c r="AP51" s="275" t="e">
        <f t="shared" si="54"/>
        <v>#N/A</v>
      </c>
      <c r="AR51" s="273" t="str">
        <f t="shared" si="83"/>
        <v>Bogota</v>
      </c>
      <c r="AS51" s="271">
        <f t="shared" si="84"/>
        <v>53.2468341093019</v>
      </c>
      <c r="AT51" s="24">
        <f t="shared" si="55"/>
        <v>53.2468341093019</v>
      </c>
      <c r="AU51" s="24">
        <f t="shared" si="18"/>
        <v>1</v>
      </c>
      <c r="AV51" s="275" t="e">
        <f t="shared" si="56"/>
        <v>#N/A</v>
      </c>
      <c r="AX51" s="273" t="str">
        <f t="shared" si="85"/>
        <v>Bogota</v>
      </c>
      <c r="AY51" s="271">
        <f t="shared" si="86"/>
        <v>77.5010996000594</v>
      </c>
      <c r="AZ51" s="24">
        <f t="shared" si="57"/>
        <v>77.5010996000594</v>
      </c>
      <c r="BA51" s="24">
        <f t="shared" si="21"/>
        <v>1</v>
      </c>
      <c r="BB51" s="275" t="e">
        <f t="shared" si="58"/>
        <v>#N/A</v>
      </c>
      <c r="BD51" s="273" t="str">
        <f t="shared" si="87"/>
        <v>Bogota</v>
      </c>
      <c r="BE51" s="271">
        <f t="shared" si="88"/>
        <v>69.7850257376166</v>
      </c>
      <c r="BF51" s="24">
        <f t="shared" si="59"/>
        <v>69.7850257376166</v>
      </c>
      <c r="BG51" s="24">
        <f t="shared" si="24"/>
        <v>1</v>
      </c>
      <c r="BH51" s="275" t="e">
        <f t="shared" si="60"/>
        <v>#N/A</v>
      </c>
      <c r="BJ51" s="273" t="str">
        <f t="shared" si="89"/>
        <v>Bogota</v>
      </c>
      <c r="BK51" s="271">
        <f t="shared" si="90"/>
        <v>63</v>
      </c>
      <c r="BL51" s="24">
        <f t="shared" si="61"/>
        <v>63</v>
      </c>
      <c r="BM51" s="24">
        <f t="shared" si="27"/>
        <v>1</v>
      </c>
      <c r="BN51" s="275" t="e">
        <f t="shared" si="62"/>
        <v>#N/A</v>
      </c>
      <c r="BP51" s="273" t="str">
        <f t="shared" si="91"/>
        <v>Bogota</v>
      </c>
      <c r="BQ51" s="271">
        <f t="shared" si="92"/>
        <v>76.5700514752331</v>
      </c>
      <c r="BR51" s="24">
        <f t="shared" si="63"/>
        <v>76.5700514752331</v>
      </c>
      <c r="BS51" s="24">
        <f t="shared" si="30"/>
        <v>1</v>
      </c>
      <c r="BT51" s="275" t="e">
        <f t="shared" si="64"/>
        <v>#N/A</v>
      </c>
      <c r="BV51" s="273" t="str">
        <f t="shared" si="93"/>
        <v>Bogota</v>
      </c>
      <c r="BW51" s="271">
        <f t="shared" si="94"/>
        <v>55.6565121114598</v>
      </c>
      <c r="BX51" s="24">
        <f t="shared" si="65"/>
        <v>55.6565121114598</v>
      </c>
      <c r="BY51" s="24">
        <f t="shared" si="33"/>
        <v>1</v>
      </c>
      <c r="BZ51" s="275" t="e">
        <f t="shared" si="66"/>
        <v>#N/A</v>
      </c>
      <c r="CB51" s="273" t="str">
        <f t="shared" si="95"/>
        <v>Bogota</v>
      </c>
      <c r="CC51" s="271">
        <f t="shared" si="96"/>
        <v>65.1814058956916</v>
      </c>
      <c r="CD51" s="24">
        <f t="shared" si="67"/>
        <v>65.1814058956916</v>
      </c>
      <c r="CE51" s="24">
        <f t="shared" si="36"/>
        <v>1</v>
      </c>
      <c r="CF51" s="275" t="e">
        <f t="shared" si="68"/>
        <v>#N/A</v>
      </c>
      <c r="CH51" s="273" t="str">
        <f t="shared" si="97"/>
        <v>Bogota</v>
      </c>
      <c r="CI51" s="271">
        <f t="shared" si="98"/>
        <v>46.1316183272281</v>
      </c>
      <c r="CJ51" s="24">
        <f t="shared" si="69"/>
        <v>46.1316183272281</v>
      </c>
      <c r="CK51" s="24">
        <f t="shared" si="39"/>
        <v>1</v>
      </c>
      <c r="CL51" s="275" t="e">
        <f t="shared" si="70"/>
        <v>#N/A</v>
      </c>
    </row>
    <row r="52" ht="15.75" spans="1:90">
      <c r="A52" s="1">
        <f>tblTerritories!A49</f>
        <v>47</v>
      </c>
      <c r="B52" s="1" t="str">
        <f>tblTerritories!B49</f>
        <v/>
      </c>
      <c r="C52" s="1" t="str">
        <f>tblTerritories!C49</f>
        <v>Sao Paulo</v>
      </c>
      <c r="D52" s="1" t="str">
        <f>tblTerritories!J49</f>
        <v>Sao Paulo</v>
      </c>
      <c r="E52" s="1">
        <f t="shared" si="40"/>
        <v>0</v>
      </c>
      <c r="F52" s="1">
        <f>IF(tblTerritories!F49="",0,tblTerritories!F49)</f>
        <v>1</v>
      </c>
      <c r="G52" s="1">
        <f t="shared" si="71"/>
        <v>66.30483</v>
      </c>
      <c r="H52" s="1">
        <f>IF(F52=0,"",RANK(G52,G$6:G$66,0)+COUNTIF(G$6:G52,G52)-1)</f>
        <v>38</v>
      </c>
      <c r="I52" s="1">
        <f t="shared" si="41"/>
        <v>43</v>
      </c>
      <c r="J52" s="1">
        <f t="shared" si="42"/>
        <v>1</v>
      </c>
      <c r="K52" s="269" t="e">
        <f t="shared" si="72"/>
        <v>#VALUE!</v>
      </c>
      <c r="L52" s="269">
        <f t="shared" si="43"/>
        <v>1</v>
      </c>
      <c r="M52" s="268" t="e">
        <f t="shared" si="44"/>
        <v>#VALUE!</v>
      </c>
      <c r="N52" s="273" t="str">
        <f t="shared" si="73"/>
        <v>Riyadh</v>
      </c>
      <c r="O52" s="271">
        <f t="shared" si="74"/>
        <v>61.2274416918829</v>
      </c>
      <c r="P52" s="24">
        <f t="shared" si="45"/>
        <v>61.2274416918829</v>
      </c>
      <c r="Q52" s="24">
        <f t="shared" si="4"/>
        <v>1</v>
      </c>
      <c r="R52" s="275" t="e">
        <f t="shared" si="46"/>
        <v>#N/A</v>
      </c>
      <c r="T52" s="273" t="str">
        <f t="shared" si="75"/>
        <v>Riyadh</v>
      </c>
      <c r="U52" s="271">
        <f t="shared" si="76"/>
        <v>60.8605869387246</v>
      </c>
      <c r="V52" s="24">
        <f t="shared" si="47"/>
        <v>60.8605869387246</v>
      </c>
      <c r="W52" s="24">
        <f t="shared" si="7"/>
        <v>1</v>
      </c>
      <c r="X52" s="275" t="e">
        <f t="shared" si="48"/>
        <v>#N/A</v>
      </c>
      <c r="Z52" s="273" t="str">
        <f t="shared" si="77"/>
        <v>Riyadh</v>
      </c>
      <c r="AA52" s="271">
        <f t="shared" si="78"/>
        <v>48.3333333333333</v>
      </c>
      <c r="AB52" s="24">
        <f t="shared" si="49"/>
        <v>48.3333333333333</v>
      </c>
      <c r="AC52" s="272">
        <v>1</v>
      </c>
      <c r="AD52" s="275" t="e">
        <f t="shared" si="50"/>
        <v>#N/A</v>
      </c>
      <c r="AF52" s="273" t="str">
        <f t="shared" si="79"/>
        <v>Riyadh</v>
      </c>
      <c r="AG52" s="271">
        <f t="shared" si="80"/>
        <v>73.3878405441158</v>
      </c>
      <c r="AH52" s="24">
        <f t="shared" si="51"/>
        <v>73.3878405441158</v>
      </c>
      <c r="AI52" s="24">
        <f t="shared" si="12"/>
        <v>1</v>
      </c>
      <c r="AJ52" s="275" t="e">
        <f t="shared" si="52"/>
        <v>#N/A</v>
      </c>
      <c r="AL52" s="273" t="str">
        <f t="shared" si="81"/>
        <v>Riyadh</v>
      </c>
      <c r="AM52" s="271">
        <f t="shared" si="82"/>
        <v>66.1348096614954</v>
      </c>
      <c r="AN52" s="24">
        <f t="shared" si="53"/>
        <v>66.1348096614954</v>
      </c>
      <c r="AO52" s="24">
        <f t="shared" si="15"/>
        <v>1</v>
      </c>
      <c r="AP52" s="275" t="e">
        <f t="shared" si="54"/>
        <v>#N/A</v>
      </c>
      <c r="AR52" s="273" t="str">
        <f t="shared" si="83"/>
        <v>Riyadh</v>
      </c>
      <c r="AS52" s="271">
        <f t="shared" si="84"/>
        <v>51.4107841184679</v>
      </c>
      <c r="AT52" s="24">
        <f t="shared" si="55"/>
        <v>51.4107841184679</v>
      </c>
      <c r="AU52" s="24">
        <f t="shared" si="18"/>
        <v>1</v>
      </c>
      <c r="AV52" s="275" t="e">
        <f t="shared" si="56"/>
        <v>#N/A</v>
      </c>
      <c r="AX52" s="273" t="str">
        <f t="shared" si="85"/>
        <v>Riyadh</v>
      </c>
      <c r="AY52" s="271">
        <f t="shared" si="86"/>
        <v>80.8588352045229</v>
      </c>
      <c r="AZ52" s="24">
        <f t="shared" si="57"/>
        <v>80.8588352045229</v>
      </c>
      <c r="BA52" s="24">
        <f t="shared" si="21"/>
        <v>1</v>
      </c>
      <c r="BB52" s="275" t="e">
        <f t="shared" si="58"/>
        <v>#N/A</v>
      </c>
      <c r="BD52" s="273" t="str">
        <f t="shared" si="87"/>
        <v>Riyadh</v>
      </c>
      <c r="BE52" s="271">
        <f t="shared" si="88"/>
        <v>56.8775341607706</v>
      </c>
      <c r="BF52" s="24">
        <f t="shared" si="59"/>
        <v>56.8775341607706</v>
      </c>
      <c r="BG52" s="24">
        <f t="shared" si="24"/>
        <v>1</v>
      </c>
      <c r="BH52" s="275" t="e">
        <f t="shared" si="60"/>
        <v>#N/A</v>
      </c>
      <c r="BJ52" s="273" t="str">
        <f t="shared" si="89"/>
        <v>Riyadh</v>
      </c>
      <c r="BK52" s="271">
        <f t="shared" si="90"/>
        <v>37</v>
      </c>
      <c r="BL52" s="24">
        <f t="shared" si="61"/>
        <v>37</v>
      </c>
      <c r="BM52" s="24">
        <f t="shared" si="27"/>
        <v>1</v>
      </c>
      <c r="BN52" s="275" t="e">
        <f t="shared" si="62"/>
        <v>#N/A</v>
      </c>
      <c r="BP52" s="273" t="str">
        <f t="shared" si="91"/>
        <v>Riyadh</v>
      </c>
      <c r="BQ52" s="271">
        <f t="shared" si="92"/>
        <v>76.7550683215412</v>
      </c>
      <c r="BR52" s="24">
        <f t="shared" si="63"/>
        <v>76.7550683215412</v>
      </c>
      <c r="BS52" s="24">
        <f t="shared" si="30"/>
        <v>1</v>
      </c>
      <c r="BT52" s="275" t="e">
        <f t="shared" si="64"/>
        <v>#N/A</v>
      </c>
      <c r="BV52" s="273" t="str">
        <f t="shared" si="93"/>
        <v>Riyadh</v>
      </c>
      <c r="BW52" s="271">
        <f t="shared" si="94"/>
        <v>61.0368360065409</v>
      </c>
      <c r="BX52" s="24">
        <f t="shared" si="65"/>
        <v>61.0368360065409</v>
      </c>
      <c r="BY52" s="24">
        <f t="shared" si="33"/>
        <v>1</v>
      </c>
      <c r="BZ52" s="275" t="e">
        <f t="shared" si="66"/>
        <v>#N/A</v>
      </c>
      <c r="CB52" s="273" t="str">
        <f t="shared" si="95"/>
        <v>Riyadh</v>
      </c>
      <c r="CC52" s="271">
        <f t="shared" si="96"/>
        <v>42.8231292517007</v>
      </c>
      <c r="CD52" s="24">
        <f t="shared" si="67"/>
        <v>42.8231292517007</v>
      </c>
      <c r="CE52" s="24">
        <f t="shared" si="36"/>
        <v>1</v>
      </c>
      <c r="CF52" s="275" t="e">
        <f t="shared" si="68"/>
        <v>#N/A</v>
      </c>
      <c r="CH52" s="273" t="str">
        <f t="shared" si="97"/>
        <v>Riyadh</v>
      </c>
      <c r="CI52" s="271">
        <f t="shared" si="98"/>
        <v>79.2505427613812</v>
      </c>
      <c r="CJ52" s="24">
        <f t="shared" si="69"/>
        <v>79.2505427613812</v>
      </c>
      <c r="CK52" s="24">
        <f t="shared" si="39"/>
        <v>1</v>
      </c>
      <c r="CL52" s="275" t="e">
        <f t="shared" si="70"/>
        <v>#N/A</v>
      </c>
    </row>
    <row r="53" ht="15.75" spans="1:90">
      <c r="A53" s="1">
        <f>tblTerritories!A50</f>
        <v>48</v>
      </c>
      <c r="B53" s="1" t="str">
        <f>tblTerritories!B50</f>
        <v/>
      </c>
      <c r="C53" s="1" t="str">
        <f>tblTerritories!C50</f>
        <v>Seoul</v>
      </c>
      <c r="D53" s="1" t="str">
        <f>tblTerritories!J50</f>
        <v>Seoul</v>
      </c>
      <c r="E53" s="1">
        <f t="shared" si="40"/>
        <v>0</v>
      </c>
      <c r="F53" s="1">
        <f>IF(tblTerritories!F50="",0,tblTerritories!F50)</f>
        <v>1</v>
      </c>
      <c r="G53" s="1">
        <f t="shared" si="71"/>
        <v>83.60511</v>
      </c>
      <c r="H53" s="1">
        <f>IF(F53=0,"",RANK(G53,G$6:G$66,0)+COUNTIF(G$6:G53,G53)-1)</f>
        <v>14</v>
      </c>
      <c r="I53" s="1">
        <f t="shared" si="41"/>
        <v>12</v>
      </c>
      <c r="J53" s="1">
        <f t="shared" si="42"/>
        <v>1</v>
      </c>
      <c r="K53" s="269" t="e">
        <f t="shared" si="72"/>
        <v>#VALUE!</v>
      </c>
      <c r="L53" s="269">
        <f t="shared" si="43"/>
        <v>1</v>
      </c>
      <c r="M53" s="268" t="e">
        <f t="shared" si="44"/>
        <v>#VALUE!</v>
      </c>
      <c r="N53" s="273" t="str">
        <f t="shared" si="73"/>
        <v>Casablanca</v>
      </c>
      <c r="O53" s="271">
        <f t="shared" si="74"/>
        <v>61.1983208612297</v>
      </c>
      <c r="P53" s="24">
        <f t="shared" si="45"/>
        <v>61.1983208612297</v>
      </c>
      <c r="Q53" s="24">
        <f t="shared" si="4"/>
        <v>1</v>
      </c>
      <c r="R53" s="275" t="e">
        <f t="shared" si="46"/>
        <v>#N/A</v>
      </c>
      <c r="T53" s="273" t="str">
        <f t="shared" si="75"/>
        <v>Casablanca</v>
      </c>
      <c r="U53" s="271">
        <f t="shared" si="76"/>
        <v>57.3722783097088</v>
      </c>
      <c r="V53" s="24">
        <f t="shared" si="47"/>
        <v>57.3722783097088</v>
      </c>
      <c r="W53" s="24">
        <f t="shared" si="7"/>
        <v>1</v>
      </c>
      <c r="X53" s="275" t="e">
        <f t="shared" si="48"/>
        <v>#N/A</v>
      </c>
      <c r="Z53" s="273" t="str">
        <f t="shared" si="77"/>
        <v>Casablanca</v>
      </c>
      <c r="AA53" s="271">
        <f t="shared" si="78"/>
        <v>46.6666666666667</v>
      </c>
      <c r="AB53" s="24">
        <f t="shared" si="49"/>
        <v>46.6666666666667</v>
      </c>
      <c r="AC53" s="272">
        <v>1</v>
      </c>
      <c r="AD53" s="275" t="e">
        <f t="shared" si="50"/>
        <v>#N/A</v>
      </c>
      <c r="AF53" s="273" t="str">
        <f t="shared" si="79"/>
        <v>Casablanca</v>
      </c>
      <c r="AG53" s="271">
        <f t="shared" si="80"/>
        <v>68.077889952751</v>
      </c>
      <c r="AH53" s="24">
        <f t="shared" si="51"/>
        <v>68.077889952751</v>
      </c>
      <c r="AI53" s="24">
        <f t="shared" si="12"/>
        <v>1</v>
      </c>
      <c r="AJ53" s="275" t="e">
        <f t="shared" si="52"/>
        <v>#N/A</v>
      </c>
      <c r="AL53" s="273" t="str">
        <f t="shared" si="81"/>
        <v>Casablanca</v>
      </c>
      <c r="AM53" s="271">
        <f t="shared" si="82"/>
        <v>58.5216055295972</v>
      </c>
      <c r="AN53" s="24">
        <f t="shared" si="53"/>
        <v>58.5216055295972</v>
      </c>
      <c r="AO53" s="24">
        <f t="shared" si="15"/>
        <v>1</v>
      </c>
      <c r="AP53" s="275" t="e">
        <f t="shared" si="54"/>
        <v>#N/A</v>
      </c>
      <c r="AR53" s="273" t="str">
        <f t="shared" si="83"/>
        <v>Casablanca</v>
      </c>
      <c r="AS53" s="271">
        <f t="shared" si="84"/>
        <v>43.2719596563894</v>
      </c>
      <c r="AT53" s="24">
        <f t="shared" si="55"/>
        <v>43.2719596563894</v>
      </c>
      <c r="AU53" s="24">
        <f t="shared" si="18"/>
        <v>1</v>
      </c>
      <c r="AV53" s="275" t="e">
        <f t="shared" si="56"/>
        <v>#N/A</v>
      </c>
      <c r="AX53" s="273" t="str">
        <f t="shared" si="85"/>
        <v>Casablanca</v>
      </c>
      <c r="AY53" s="271">
        <f t="shared" si="86"/>
        <v>73.7712514028051</v>
      </c>
      <c r="AZ53" s="24">
        <f t="shared" si="57"/>
        <v>73.7712514028051</v>
      </c>
      <c r="BA53" s="24">
        <f t="shared" si="21"/>
        <v>1</v>
      </c>
      <c r="BB53" s="275" t="e">
        <f t="shared" si="58"/>
        <v>#N/A</v>
      </c>
      <c r="BD53" s="273" t="str">
        <f t="shared" si="87"/>
        <v>Casablanca</v>
      </c>
      <c r="BE53" s="271">
        <f t="shared" si="88"/>
        <v>66.2715702654957</v>
      </c>
      <c r="BF53" s="24">
        <f t="shared" si="59"/>
        <v>66.2715702654957</v>
      </c>
      <c r="BG53" s="24">
        <f t="shared" si="24"/>
        <v>1</v>
      </c>
      <c r="BH53" s="275" t="e">
        <f t="shared" si="60"/>
        <v>#N/A</v>
      </c>
      <c r="BJ53" s="273" t="str">
        <f t="shared" si="89"/>
        <v>Casablanca</v>
      </c>
      <c r="BK53" s="271">
        <f t="shared" si="90"/>
        <v>51.5</v>
      </c>
      <c r="BL53" s="24">
        <f t="shared" si="61"/>
        <v>51.5</v>
      </c>
      <c r="BM53" s="24">
        <f t="shared" si="27"/>
        <v>1</v>
      </c>
      <c r="BN53" s="275" t="e">
        <f t="shared" si="62"/>
        <v>#N/A</v>
      </c>
      <c r="BP53" s="273" t="str">
        <f t="shared" si="91"/>
        <v>Casablanca</v>
      </c>
      <c r="BQ53" s="271">
        <f t="shared" si="92"/>
        <v>81.0431405309914</v>
      </c>
      <c r="BR53" s="24">
        <f t="shared" si="63"/>
        <v>81.0431405309914</v>
      </c>
      <c r="BS53" s="24">
        <f t="shared" si="30"/>
        <v>1</v>
      </c>
      <c r="BT53" s="275" t="e">
        <f t="shared" si="64"/>
        <v>#N/A</v>
      </c>
      <c r="BV53" s="273" t="str">
        <f t="shared" si="93"/>
        <v>Casablanca</v>
      </c>
      <c r="BW53" s="271">
        <f t="shared" si="94"/>
        <v>62.6278293401172</v>
      </c>
      <c r="BX53" s="24">
        <f t="shared" si="65"/>
        <v>62.6278293401172</v>
      </c>
      <c r="BY53" s="24">
        <f t="shared" si="33"/>
        <v>1</v>
      </c>
      <c r="BZ53" s="275" t="e">
        <f t="shared" si="66"/>
        <v>#N/A</v>
      </c>
      <c r="CB53" s="273" t="str">
        <f t="shared" si="95"/>
        <v>Casablanca</v>
      </c>
      <c r="CC53" s="271">
        <f t="shared" si="96"/>
        <v>57.1882086167801</v>
      </c>
      <c r="CD53" s="24">
        <f t="shared" si="67"/>
        <v>57.1882086167801</v>
      </c>
      <c r="CE53" s="24">
        <f t="shared" si="36"/>
        <v>1</v>
      </c>
      <c r="CF53" s="275" t="e">
        <f t="shared" si="68"/>
        <v>#N/A</v>
      </c>
      <c r="CH53" s="273" t="str">
        <f t="shared" si="97"/>
        <v>Casablanca</v>
      </c>
      <c r="CI53" s="271">
        <f t="shared" si="98"/>
        <v>68.0674500634544</v>
      </c>
      <c r="CJ53" s="24">
        <f t="shared" si="69"/>
        <v>68.0674500634544</v>
      </c>
      <c r="CK53" s="24">
        <f t="shared" si="39"/>
        <v>1</v>
      </c>
      <c r="CL53" s="275" t="e">
        <f t="shared" si="70"/>
        <v>#N/A</v>
      </c>
    </row>
    <row r="54" ht="15.75" spans="1:90">
      <c r="A54" s="1">
        <f>tblTerritories!A51</f>
        <v>49</v>
      </c>
      <c r="B54" s="1" t="str">
        <f>tblTerritories!B51</f>
        <v/>
      </c>
      <c r="C54" s="1" t="str">
        <f>tblTerritories!C51</f>
        <v>Shanghai</v>
      </c>
      <c r="D54" s="1" t="str">
        <f>tblTerritories!J51</f>
        <v>Shanghai</v>
      </c>
      <c r="E54" s="1">
        <f t="shared" si="40"/>
        <v>0</v>
      </c>
      <c r="F54" s="1">
        <f>IF(tblTerritories!F51="",0,tblTerritories!F51)</f>
        <v>1</v>
      </c>
      <c r="G54" s="1">
        <f t="shared" si="71"/>
        <v>70.92839</v>
      </c>
      <c r="H54" s="1">
        <f>IF(F54=0,"",RANK(G54,G$6:G$66,0)+COUNTIF(G$6:G54,G54)-1)</f>
        <v>34</v>
      </c>
      <c r="I54" s="1">
        <f t="shared" si="41"/>
        <v>4</v>
      </c>
      <c r="J54" s="1">
        <f t="shared" si="42"/>
        <v>1</v>
      </c>
      <c r="K54" s="269" t="e">
        <f t="shared" si="72"/>
        <v>#VALUE!</v>
      </c>
      <c r="L54" s="269">
        <f t="shared" si="43"/>
        <v>1</v>
      </c>
      <c r="M54" s="268" t="e">
        <f t="shared" si="44"/>
        <v>#VALUE!</v>
      </c>
      <c r="N54" s="273" t="str">
        <f t="shared" si="73"/>
        <v>Bangkok</v>
      </c>
      <c r="O54" s="271">
        <f t="shared" si="74"/>
        <v>60.0526481789</v>
      </c>
      <c r="P54" s="24">
        <f t="shared" si="45"/>
        <v>60.0526481789</v>
      </c>
      <c r="Q54" s="24">
        <f t="shared" si="4"/>
        <v>1</v>
      </c>
      <c r="R54" s="275" t="e">
        <f t="shared" si="46"/>
        <v>#N/A</v>
      </c>
      <c r="T54" s="273" t="str">
        <f t="shared" si="75"/>
        <v>Bangkok</v>
      </c>
      <c r="U54" s="271">
        <f t="shared" si="76"/>
        <v>44.4431229517073</v>
      </c>
      <c r="V54" s="24">
        <f t="shared" si="47"/>
        <v>44.4431229517073</v>
      </c>
      <c r="W54" s="24">
        <f t="shared" si="7"/>
        <v>1</v>
      </c>
      <c r="X54" s="275" t="e">
        <f t="shared" si="48"/>
        <v>#N/A</v>
      </c>
      <c r="Z54" s="273" t="str">
        <f t="shared" si="77"/>
        <v>Bangkok</v>
      </c>
      <c r="AA54" s="271">
        <f t="shared" si="78"/>
        <v>28.3333333333333</v>
      </c>
      <c r="AB54" s="24">
        <f t="shared" si="49"/>
        <v>28.3333333333333</v>
      </c>
      <c r="AC54" s="272">
        <v>1</v>
      </c>
      <c r="AD54" s="275" t="e">
        <f t="shared" si="50"/>
        <v>#N/A</v>
      </c>
      <c r="AF54" s="273" t="str">
        <f t="shared" si="79"/>
        <v>Bangkok</v>
      </c>
      <c r="AG54" s="271">
        <f t="shared" si="80"/>
        <v>60.5529125700813</v>
      </c>
      <c r="AH54" s="24">
        <f t="shared" si="51"/>
        <v>60.5529125700813</v>
      </c>
      <c r="AI54" s="24">
        <f t="shared" si="12"/>
        <v>1</v>
      </c>
      <c r="AJ54" s="275" t="e">
        <f t="shared" si="52"/>
        <v>#N/A</v>
      </c>
      <c r="AL54" s="273" t="str">
        <f t="shared" si="81"/>
        <v>Bangkok</v>
      </c>
      <c r="AM54" s="271">
        <f t="shared" si="82"/>
        <v>66.6373895667999</v>
      </c>
      <c r="AN54" s="24">
        <f t="shared" si="53"/>
        <v>66.6373895667999</v>
      </c>
      <c r="AO54" s="24">
        <f t="shared" si="15"/>
        <v>1</v>
      </c>
      <c r="AP54" s="275" t="e">
        <f t="shared" si="54"/>
        <v>#N/A</v>
      </c>
      <c r="AR54" s="273" t="str">
        <f t="shared" si="83"/>
        <v>Bangkok</v>
      </c>
      <c r="AS54" s="271">
        <f t="shared" si="84"/>
        <v>55.2751432727975</v>
      </c>
      <c r="AT54" s="24">
        <f t="shared" si="55"/>
        <v>55.2751432727975</v>
      </c>
      <c r="AU54" s="24">
        <f t="shared" si="18"/>
        <v>1</v>
      </c>
      <c r="AV54" s="275" t="e">
        <f t="shared" si="56"/>
        <v>#N/A</v>
      </c>
      <c r="AX54" s="273" t="str">
        <f t="shared" si="85"/>
        <v>Bangkok</v>
      </c>
      <c r="AY54" s="271">
        <f t="shared" si="86"/>
        <v>77.9996358608022</v>
      </c>
      <c r="AZ54" s="24">
        <f t="shared" si="57"/>
        <v>77.9996358608022</v>
      </c>
      <c r="BA54" s="24">
        <f t="shared" si="21"/>
        <v>1</v>
      </c>
      <c r="BB54" s="275" t="e">
        <f t="shared" si="58"/>
        <v>#N/A</v>
      </c>
      <c r="BD54" s="273" t="str">
        <f t="shared" si="87"/>
        <v>Bangkok</v>
      </c>
      <c r="BE54" s="271">
        <f t="shared" si="88"/>
        <v>68.3322310976069</v>
      </c>
      <c r="BF54" s="24">
        <f t="shared" si="59"/>
        <v>68.3322310976069</v>
      </c>
      <c r="BG54" s="24">
        <f t="shared" si="24"/>
        <v>1</v>
      </c>
      <c r="BH54" s="275" t="e">
        <f t="shared" si="60"/>
        <v>#N/A</v>
      </c>
      <c r="BJ54" s="273" t="str">
        <f t="shared" si="89"/>
        <v>Bangkok</v>
      </c>
      <c r="BK54" s="271">
        <f t="shared" si="90"/>
        <v>60.5</v>
      </c>
      <c r="BL54" s="24">
        <f t="shared" si="61"/>
        <v>60.5</v>
      </c>
      <c r="BM54" s="24">
        <f t="shared" si="27"/>
        <v>1</v>
      </c>
      <c r="BN54" s="275" t="e">
        <f t="shared" si="62"/>
        <v>#N/A</v>
      </c>
      <c r="BP54" s="273" t="str">
        <f t="shared" si="91"/>
        <v>Bangkok</v>
      </c>
      <c r="BQ54" s="271">
        <f t="shared" si="92"/>
        <v>76.1644621952138</v>
      </c>
      <c r="BR54" s="24">
        <f t="shared" si="63"/>
        <v>76.1644621952138</v>
      </c>
      <c r="BS54" s="24">
        <f t="shared" si="30"/>
        <v>1</v>
      </c>
      <c r="BT54" s="275" t="e">
        <f t="shared" si="64"/>
        <v>#N/A</v>
      </c>
      <c r="BV54" s="273" t="str">
        <f t="shared" si="93"/>
        <v>Bangkok</v>
      </c>
      <c r="BW54" s="271">
        <f t="shared" si="94"/>
        <v>60.7978490994858</v>
      </c>
      <c r="BX54" s="24">
        <f t="shared" si="65"/>
        <v>60.7978490994858</v>
      </c>
      <c r="BY54" s="24">
        <f t="shared" si="33"/>
        <v>1</v>
      </c>
      <c r="BZ54" s="275" t="e">
        <f t="shared" si="66"/>
        <v>#N/A</v>
      </c>
      <c r="CB54" s="273" t="str">
        <f t="shared" si="95"/>
        <v>Bangkok</v>
      </c>
      <c r="CC54" s="271">
        <f t="shared" si="96"/>
        <v>61.6099773242631</v>
      </c>
      <c r="CD54" s="24">
        <f t="shared" si="67"/>
        <v>61.6099773242631</v>
      </c>
      <c r="CE54" s="24">
        <f t="shared" si="36"/>
        <v>1</v>
      </c>
      <c r="CF54" s="275" t="e">
        <f t="shared" si="68"/>
        <v>#N/A</v>
      </c>
      <c r="CH54" s="273" t="str">
        <f t="shared" si="97"/>
        <v>Bangkok</v>
      </c>
      <c r="CI54" s="271">
        <f t="shared" si="98"/>
        <v>59.9857208747085</v>
      </c>
      <c r="CJ54" s="24">
        <f t="shared" si="69"/>
        <v>59.9857208747085</v>
      </c>
      <c r="CK54" s="24">
        <f t="shared" si="39"/>
        <v>1</v>
      </c>
      <c r="CL54" s="275" t="e">
        <f t="shared" si="70"/>
        <v>#N/A</v>
      </c>
    </row>
    <row r="55" ht="15.75" spans="1:90">
      <c r="A55" s="1">
        <f>tblTerritories!A52</f>
        <v>50</v>
      </c>
      <c r="B55" s="1" t="str">
        <f>tblTerritories!B52</f>
        <v/>
      </c>
      <c r="C55" s="1" t="str">
        <f>tblTerritories!C52</f>
        <v>Singapore</v>
      </c>
      <c r="D55" s="1" t="str">
        <f>tblTerritories!J52</f>
        <v>Singapore</v>
      </c>
      <c r="E55" s="1">
        <f t="shared" si="40"/>
        <v>0</v>
      </c>
      <c r="F55" s="1">
        <f>IF(tblTerritories!F52="",0,tblTerritories!F52)</f>
        <v>1</v>
      </c>
      <c r="G55" s="1">
        <f t="shared" si="71"/>
        <v>89.63767</v>
      </c>
      <c r="H55" s="1">
        <f>IF(F55=0,"",RANK(G55,G$6:G$66,0)+COUNTIF(G$6:G55,G55)-1)</f>
        <v>2</v>
      </c>
      <c r="I55" s="1">
        <f t="shared" si="41"/>
        <v>24</v>
      </c>
      <c r="J55" s="1">
        <f t="shared" si="42"/>
        <v>1</v>
      </c>
      <c r="K55" s="269" t="e">
        <f t="shared" si="72"/>
        <v>#VALUE!</v>
      </c>
      <c r="L55" s="269">
        <f t="shared" si="43"/>
        <v>1</v>
      </c>
      <c r="M55" s="268" t="e">
        <f t="shared" si="44"/>
        <v>#VALUE!</v>
      </c>
      <c r="N55" s="273" t="str">
        <f t="shared" si="73"/>
        <v>Johannesburg</v>
      </c>
      <c r="O55" s="271">
        <f t="shared" si="74"/>
        <v>59.1742659320692</v>
      </c>
      <c r="P55" s="24">
        <f t="shared" si="45"/>
        <v>59.1742659320692</v>
      </c>
      <c r="Q55" s="24">
        <f t="shared" si="4"/>
        <v>1</v>
      </c>
      <c r="R55" s="275" t="e">
        <f t="shared" si="46"/>
        <v>#N/A</v>
      </c>
      <c r="T55" s="273" t="str">
        <f t="shared" si="75"/>
        <v>Johannesburg</v>
      </c>
      <c r="U55" s="271">
        <f t="shared" si="76"/>
        <v>66.2779167150079</v>
      </c>
      <c r="V55" s="24">
        <f t="shared" si="47"/>
        <v>66.2779167150079</v>
      </c>
      <c r="W55" s="24">
        <f t="shared" si="7"/>
        <v>1</v>
      </c>
      <c r="X55" s="275" t="e">
        <f t="shared" si="48"/>
        <v>#N/A</v>
      </c>
      <c r="Z55" s="273" t="str">
        <f t="shared" si="77"/>
        <v>Johannesburg</v>
      </c>
      <c r="AA55" s="271">
        <f t="shared" si="78"/>
        <v>58.3333333333333</v>
      </c>
      <c r="AB55" s="24">
        <f t="shared" si="49"/>
        <v>58.3333333333333</v>
      </c>
      <c r="AC55" s="272">
        <v>1</v>
      </c>
      <c r="AD55" s="275" t="e">
        <f t="shared" si="50"/>
        <v>#N/A</v>
      </c>
      <c r="AF55" s="273" t="str">
        <f t="shared" si="79"/>
        <v>Johannesburg</v>
      </c>
      <c r="AG55" s="271">
        <f t="shared" si="80"/>
        <v>74.2225000966826</v>
      </c>
      <c r="AH55" s="24">
        <f t="shared" si="51"/>
        <v>74.2225000966826</v>
      </c>
      <c r="AI55" s="24">
        <f t="shared" si="12"/>
        <v>1</v>
      </c>
      <c r="AJ55" s="275" t="e">
        <f t="shared" si="52"/>
        <v>#N/A</v>
      </c>
      <c r="AL55" s="273" t="str">
        <f t="shared" si="81"/>
        <v>Johannesburg</v>
      </c>
      <c r="AM55" s="271">
        <f t="shared" si="82"/>
        <v>57.7085752751893</v>
      </c>
      <c r="AN55" s="24">
        <f t="shared" si="53"/>
        <v>57.7085752751893</v>
      </c>
      <c r="AO55" s="24">
        <f t="shared" si="15"/>
        <v>1</v>
      </c>
      <c r="AP55" s="275" t="e">
        <f t="shared" si="54"/>
        <v>#N/A</v>
      </c>
      <c r="AR55" s="273" t="str">
        <f t="shared" si="83"/>
        <v>Johannesburg</v>
      </c>
      <c r="AS55" s="271">
        <f t="shared" si="84"/>
        <v>56.1681196644119</v>
      </c>
      <c r="AT55" s="24">
        <f t="shared" si="55"/>
        <v>56.1681196644119</v>
      </c>
      <c r="AU55" s="24">
        <f t="shared" si="18"/>
        <v>1</v>
      </c>
      <c r="AV55" s="275" t="e">
        <f t="shared" si="56"/>
        <v>#N/A</v>
      </c>
      <c r="AX55" s="273" t="str">
        <f t="shared" si="85"/>
        <v>Johannesburg</v>
      </c>
      <c r="AY55" s="271">
        <f t="shared" si="86"/>
        <v>59.2490308859667</v>
      </c>
      <c r="AZ55" s="24">
        <f t="shared" si="57"/>
        <v>59.2490308859667</v>
      </c>
      <c r="BA55" s="24">
        <f t="shared" si="21"/>
        <v>1</v>
      </c>
      <c r="BB55" s="275" t="e">
        <f t="shared" si="58"/>
        <v>#N/A</v>
      </c>
      <c r="BD55" s="273" t="str">
        <f t="shared" si="87"/>
        <v>Johannesburg</v>
      </c>
      <c r="BE55" s="271">
        <f t="shared" si="88"/>
        <v>55.058886033288</v>
      </c>
      <c r="BF55" s="24">
        <f t="shared" si="59"/>
        <v>55.058886033288</v>
      </c>
      <c r="BG55" s="24">
        <f t="shared" si="24"/>
        <v>1</v>
      </c>
      <c r="BH55" s="275" t="e">
        <f t="shared" si="60"/>
        <v>#N/A</v>
      </c>
      <c r="BJ55" s="273" t="str">
        <f t="shared" si="89"/>
        <v>Johannesburg</v>
      </c>
      <c r="BK55" s="271">
        <f t="shared" si="90"/>
        <v>52</v>
      </c>
      <c r="BL55" s="24">
        <f t="shared" si="61"/>
        <v>52</v>
      </c>
      <c r="BM55" s="24">
        <f t="shared" si="27"/>
        <v>1</v>
      </c>
      <c r="BN55" s="275" t="e">
        <f t="shared" si="62"/>
        <v>#N/A</v>
      </c>
      <c r="BP55" s="273" t="str">
        <f t="shared" si="91"/>
        <v>Johannesburg</v>
      </c>
      <c r="BQ55" s="271">
        <f t="shared" si="92"/>
        <v>58.117772066576</v>
      </c>
      <c r="BR55" s="24">
        <f t="shared" si="63"/>
        <v>58.117772066576</v>
      </c>
      <c r="BS55" s="24">
        <f t="shared" si="30"/>
        <v>1</v>
      </c>
      <c r="BT55" s="275" t="e">
        <f t="shared" si="64"/>
        <v>#N/A</v>
      </c>
      <c r="BV55" s="273" t="str">
        <f t="shared" si="93"/>
        <v>Johannesburg</v>
      </c>
      <c r="BW55" s="271">
        <f t="shared" si="94"/>
        <v>57.6516857047917</v>
      </c>
      <c r="BX55" s="24">
        <f t="shared" si="65"/>
        <v>57.6516857047917</v>
      </c>
      <c r="BY55" s="24">
        <f t="shared" si="33"/>
        <v>1</v>
      </c>
      <c r="BZ55" s="275" t="e">
        <f t="shared" si="66"/>
        <v>#N/A</v>
      </c>
      <c r="CB55" s="273" t="str">
        <f t="shared" si="95"/>
        <v>Johannesburg</v>
      </c>
      <c r="CC55" s="271">
        <f t="shared" si="96"/>
        <v>61.0997732426304</v>
      </c>
      <c r="CD55" s="24">
        <f t="shared" si="67"/>
        <v>61.0997732426304</v>
      </c>
      <c r="CE55" s="24">
        <f t="shared" si="36"/>
        <v>1</v>
      </c>
      <c r="CF55" s="275" t="e">
        <f t="shared" si="68"/>
        <v>#N/A</v>
      </c>
      <c r="CH55" s="273" t="str">
        <f t="shared" si="97"/>
        <v>Johannesburg</v>
      </c>
      <c r="CI55" s="271">
        <f t="shared" si="98"/>
        <v>54.203598166953</v>
      </c>
      <c r="CJ55" s="24">
        <f t="shared" si="69"/>
        <v>54.203598166953</v>
      </c>
      <c r="CK55" s="24">
        <f t="shared" si="39"/>
        <v>1</v>
      </c>
      <c r="CL55" s="275" t="e">
        <f t="shared" si="70"/>
        <v>#N/A</v>
      </c>
    </row>
    <row r="56" ht="15.75" spans="1:90">
      <c r="A56" s="1">
        <f>tblTerritories!A53</f>
        <v>51</v>
      </c>
      <c r="B56" s="1" t="str">
        <f>tblTerritories!B53</f>
        <v/>
      </c>
      <c r="C56" s="1" t="str">
        <f>tblTerritories!C53</f>
        <v>Stockholm</v>
      </c>
      <c r="D56" s="1" t="str">
        <f>tblTerritories!J53</f>
        <v>Stockholm</v>
      </c>
      <c r="E56" s="1">
        <f t="shared" si="40"/>
        <v>0</v>
      </c>
      <c r="F56" s="1">
        <f>IF(tblTerritories!F53="",0,tblTerritories!F53)</f>
        <v>1</v>
      </c>
      <c r="G56" s="1">
        <f t="shared" si="71"/>
        <v>86.71652</v>
      </c>
      <c r="H56" s="1">
        <f>IF(F56=0,"",RANK(G56,G$6:G$66,0)+COUNTIF(G$6:G56,G56)-1)</f>
        <v>8</v>
      </c>
      <c r="I56" s="1">
        <f t="shared" si="41"/>
        <v>10</v>
      </c>
      <c r="J56" s="1">
        <f t="shared" si="42"/>
        <v>1</v>
      </c>
      <c r="K56" s="269" t="e">
        <f t="shared" si="72"/>
        <v>#VALUE!</v>
      </c>
      <c r="L56" s="269">
        <f t="shared" si="43"/>
        <v>1</v>
      </c>
      <c r="M56" s="268" t="e">
        <f t="shared" si="44"/>
        <v>#VALUE!</v>
      </c>
      <c r="N56" s="273" t="str">
        <f t="shared" si="73"/>
        <v>Cairo</v>
      </c>
      <c r="O56" s="271">
        <f t="shared" si="74"/>
        <v>58.3318815508511</v>
      </c>
      <c r="P56" s="24">
        <f t="shared" si="45"/>
        <v>58.3318815508511</v>
      </c>
      <c r="Q56" s="24">
        <f t="shared" si="4"/>
        <v>1</v>
      </c>
      <c r="R56" s="275" t="e">
        <f t="shared" si="46"/>
        <v>#N/A</v>
      </c>
      <c r="T56" s="273" t="str">
        <f t="shared" si="75"/>
        <v>Cairo</v>
      </c>
      <c r="U56" s="271">
        <f t="shared" si="76"/>
        <v>43.2931861492557</v>
      </c>
      <c r="V56" s="24">
        <f t="shared" si="47"/>
        <v>43.2931861492557</v>
      </c>
      <c r="W56" s="24">
        <f t="shared" si="7"/>
        <v>1</v>
      </c>
      <c r="X56" s="275" t="e">
        <f t="shared" si="48"/>
        <v>#N/A</v>
      </c>
      <c r="Z56" s="273" t="str">
        <f t="shared" si="77"/>
        <v>Cairo</v>
      </c>
      <c r="AA56" s="271">
        <f t="shared" si="78"/>
        <v>26.6666666666667</v>
      </c>
      <c r="AB56" s="24">
        <f t="shared" si="49"/>
        <v>26.6666666666667</v>
      </c>
      <c r="AC56" s="272">
        <v>1</v>
      </c>
      <c r="AD56" s="275" t="e">
        <f t="shared" si="50"/>
        <v>#N/A</v>
      </c>
      <c r="AF56" s="273" t="str">
        <f t="shared" si="79"/>
        <v>Cairo</v>
      </c>
      <c r="AG56" s="271">
        <f t="shared" si="80"/>
        <v>59.9197056318446</v>
      </c>
      <c r="AH56" s="24">
        <f t="shared" si="51"/>
        <v>59.9197056318446</v>
      </c>
      <c r="AI56" s="24">
        <f t="shared" si="12"/>
        <v>1</v>
      </c>
      <c r="AJ56" s="275" t="e">
        <f t="shared" si="52"/>
        <v>#N/A</v>
      </c>
      <c r="AL56" s="273" t="str">
        <f t="shared" si="81"/>
        <v>Cairo</v>
      </c>
      <c r="AM56" s="271">
        <f t="shared" si="82"/>
        <v>52.2806390395639</v>
      </c>
      <c r="AN56" s="24">
        <f t="shared" si="53"/>
        <v>52.2806390395639</v>
      </c>
      <c r="AO56" s="24">
        <f t="shared" si="15"/>
        <v>1</v>
      </c>
      <c r="AP56" s="275" t="e">
        <f t="shared" si="54"/>
        <v>#N/A</v>
      </c>
      <c r="AR56" s="273" t="str">
        <f t="shared" si="83"/>
        <v>Cairo</v>
      </c>
      <c r="AS56" s="271">
        <f t="shared" si="84"/>
        <v>42.3683923150598</v>
      </c>
      <c r="AT56" s="24">
        <f t="shared" si="55"/>
        <v>42.3683923150598</v>
      </c>
      <c r="AU56" s="24">
        <f t="shared" si="18"/>
        <v>1</v>
      </c>
      <c r="AV56" s="275" t="e">
        <f t="shared" si="56"/>
        <v>#N/A</v>
      </c>
      <c r="AX56" s="273" t="str">
        <f t="shared" si="85"/>
        <v>Cairo</v>
      </c>
      <c r="AY56" s="271">
        <f t="shared" si="86"/>
        <v>62.192885764068</v>
      </c>
      <c r="AZ56" s="24">
        <f t="shared" si="57"/>
        <v>62.192885764068</v>
      </c>
      <c r="BA56" s="24">
        <f t="shared" si="21"/>
        <v>1</v>
      </c>
      <c r="BB56" s="275" t="e">
        <f t="shared" si="58"/>
        <v>#N/A</v>
      </c>
      <c r="BD56" s="273" t="str">
        <f t="shared" si="87"/>
        <v>Cairo</v>
      </c>
      <c r="BE56" s="271">
        <f t="shared" si="88"/>
        <v>68.0018524380856</v>
      </c>
      <c r="BF56" s="24">
        <f t="shared" si="59"/>
        <v>68.0018524380856</v>
      </c>
      <c r="BG56" s="24">
        <f t="shared" si="24"/>
        <v>1</v>
      </c>
      <c r="BH56" s="275" t="e">
        <f t="shared" si="60"/>
        <v>#N/A</v>
      </c>
      <c r="BJ56" s="273" t="str">
        <f t="shared" si="89"/>
        <v>Cairo</v>
      </c>
      <c r="BK56" s="271">
        <f t="shared" si="90"/>
        <v>57</v>
      </c>
      <c r="BL56" s="24">
        <f t="shared" si="61"/>
        <v>57</v>
      </c>
      <c r="BM56" s="24">
        <f t="shared" si="27"/>
        <v>1</v>
      </c>
      <c r="BN56" s="275" t="e">
        <f t="shared" si="62"/>
        <v>#N/A</v>
      </c>
      <c r="BP56" s="273" t="str">
        <f t="shared" si="91"/>
        <v>Cairo</v>
      </c>
      <c r="BQ56" s="271">
        <f t="shared" si="92"/>
        <v>79.0037048761712</v>
      </c>
      <c r="BR56" s="24">
        <f t="shared" si="63"/>
        <v>79.0037048761712</v>
      </c>
      <c r="BS56" s="24">
        <f t="shared" si="30"/>
        <v>1</v>
      </c>
      <c r="BT56" s="275" t="e">
        <f t="shared" si="64"/>
        <v>#N/A</v>
      </c>
      <c r="BV56" s="273" t="str">
        <f t="shared" si="93"/>
        <v>Cairo</v>
      </c>
      <c r="BW56" s="271">
        <f t="shared" si="94"/>
        <v>69.7518485764992</v>
      </c>
      <c r="BX56" s="24">
        <f t="shared" si="65"/>
        <v>69.7518485764992</v>
      </c>
      <c r="BY56" s="24">
        <f t="shared" si="33"/>
        <v>1</v>
      </c>
      <c r="BZ56" s="275" t="e">
        <f t="shared" si="66"/>
        <v>#N/A</v>
      </c>
      <c r="CB56" s="273" t="str">
        <f t="shared" si="95"/>
        <v>Cairo</v>
      </c>
      <c r="CC56" s="271">
        <f t="shared" si="96"/>
        <v>77.3242630385488</v>
      </c>
      <c r="CD56" s="24">
        <f t="shared" si="67"/>
        <v>77.3242630385488</v>
      </c>
      <c r="CE56" s="24">
        <f t="shared" si="36"/>
        <v>1</v>
      </c>
      <c r="CF56" s="275" t="e">
        <f t="shared" si="68"/>
        <v>#N/A</v>
      </c>
      <c r="CH56" s="273" t="str">
        <f t="shared" si="97"/>
        <v>Cairo</v>
      </c>
      <c r="CI56" s="271">
        <f t="shared" si="98"/>
        <v>62.1794341144497</v>
      </c>
      <c r="CJ56" s="24">
        <f t="shared" si="69"/>
        <v>62.1794341144497</v>
      </c>
      <c r="CK56" s="24">
        <f t="shared" si="39"/>
        <v>1</v>
      </c>
      <c r="CL56" s="275" t="e">
        <f t="shared" si="70"/>
        <v>#N/A</v>
      </c>
    </row>
    <row r="57" ht="15.75" spans="1:90">
      <c r="A57" s="1">
        <f>tblTerritories!A54</f>
        <v>52</v>
      </c>
      <c r="B57" s="1" t="str">
        <f>tblTerritories!B54</f>
        <v/>
      </c>
      <c r="C57" s="1" t="str">
        <f>tblTerritories!C54</f>
        <v>Sydney</v>
      </c>
      <c r="D57" s="1" t="str">
        <f>tblTerritories!J54</f>
        <v>Sydney</v>
      </c>
      <c r="E57" s="1">
        <f t="shared" si="40"/>
        <v>0</v>
      </c>
      <c r="F57" s="1">
        <f>IF(tblTerritories!F54="",0,tblTerritories!F54)</f>
        <v>1</v>
      </c>
      <c r="G57" s="1">
        <f t="shared" si="71"/>
        <v>86.73597</v>
      </c>
      <c r="H57" s="1">
        <f>IF(F57=0,"",RANK(G57,G$6:G$66,0)+COUNTIF(G$6:G57,G57)-1)</f>
        <v>7</v>
      </c>
      <c r="I57" s="1">
        <f t="shared" si="41"/>
        <v>54</v>
      </c>
      <c r="J57" s="1">
        <f t="shared" si="42"/>
        <v>1</v>
      </c>
      <c r="K57" s="269" t="e">
        <f t="shared" si="72"/>
        <v>#VALUE!</v>
      </c>
      <c r="L57" s="269">
        <f t="shared" si="43"/>
        <v>1</v>
      </c>
      <c r="M57" s="268" t="e">
        <f t="shared" si="44"/>
        <v>#VALUE!</v>
      </c>
      <c r="N57" s="273" t="str">
        <f t="shared" si="73"/>
        <v>Tehran</v>
      </c>
      <c r="O57" s="271">
        <f t="shared" si="74"/>
        <v>56.4934110813736</v>
      </c>
      <c r="P57" s="24">
        <f t="shared" si="45"/>
        <v>56.4934110813736</v>
      </c>
      <c r="Q57" s="24">
        <f t="shared" si="4"/>
        <v>1</v>
      </c>
      <c r="R57" s="275" t="e">
        <f t="shared" si="46"/>
        <v>#N/A</v>
      </c>
      <c r="T57" s="273" t="str">
        <f t="shared" si="75"/>
        <v>Tehran</v>
      </c>
      <c r="U57" s="271">
        <f t="shared" si="76"/>
        <v>39.8848690612455</v>
      </c>
      <c r="V57" s="24">
        <f t="shared" si="47"/>
        <v>39.8848690612455</v>
      </c>
      <c r="W57" s="24">
        <f t="shared" si="7"/>
        <v>1</v>
      </c>
      <c r="X57" s="275" t="e">
        <f t="shared" si="48"/>
        <v>#N/A</v>
      </c>
      <c r="Z57" s="273" t="str">
        <f t="shared" si="77"/>
        <v>Tehran</v>
      </c>
      <c r="AA57" s="271">
        <f t="shared" si="78"/>
        <v>16.6666666666667</v>
      </c>
      <c r="AB57" s="24">
        <f t="shared" si="49"/>
        <v>16.6666666666667</v>
      </c>
      <c r="AC57" s="272">
        <v>1</v>
      </c>
      <c r="AD57" s="275" t="e">
        <f t="shared" si="50"/>
        <v>#N/A</v>
      </c>
      <c r="AF57" s="273" t="str">
        <f t="shared" si="79"/>
        <v>Tehran</v>
      </c>
      <c r="AG57" s="271">
        <f t="shared" si="80"/>
        <v>63.1030714558244</v>
      </c>
      <c r="AH57" s="24">
        <f t="shared" si="51"/>
        <v>63.1030714558244</v>
      </c>
      <c r="AI57" s="24">
        <f t="shared" si="12"/>
        <v>1</v>
      </c>
      <c r="AJ57" s="275" t="e">
        <f t="shared" si="52"/>
        <v>#N/A</v>
      </c>
      <c r="AL57" s="273" t="str">
        <f t="shared" si="81"/>
        <v>Tehran</v>
      </c>
      <c r="AM57" s="271">
        <f t="shared" si="82"/>
        <v>62.962229439847</v>
      </c>
      <c r="AN57" s="24">
        <f t="shared" si="53"/>
        <v>62.962229439847</v>
      </c>
      <c r="AO57" s="24">
        <f t="shared" si="15"/>
        <v>1</v>
      </c>
      <c r="AP57" s="275" t="e">
        <f t="shared" si="54"/>
        <v>#N/A</v>
      </c>
      <c r="AR57" s="273" t="str">
        <f t="shared" si="83"/>
        <v>Tehran</v>
      </c>
      <c r="AS57" s="271">
        <f t="shared" si="84"/>
        <v>48.7357546453666</v>
      </c>
      <c r="AT57" s="24">
        <f t="shared" si="55"/>
        <v>48.7357546453666</v>
      </c>
      <c r="AU57" s="24">
        <f t="shared" si="18"/>
        <v>1</v>
      </c>
      <c r="AV57" s="275" t="e">
        <f t="shared" si="56"/>
        <v>#N/A</v>
      </c>
      <c r="AX57" s="273" t="str">
        <f t="shared" si="85"/>
        <v>Tehran</v>
      </c>
      <c r="AY57" s="271">
        <f t="shared" si="86"/>
        <v>77.1887042343273</v>
      </c>
      <c r="AZ57" s="24">
        <f t="shared" si="57"/>
        <v>77.1887042343273</v>
      </c>
      <c r="BA57" s="24">
        <f t="shared" si="21"/>
        <v>1</v>
      </c>
      <c r="BB57" s="275" t="e">
        <f t="shared" si="58"/>
        <v>#N/A</v>
      </c>
      <c r="BD57" s="273" t="str">
        <f t="shared" si="87"/>
        <v>Tehran</v>
      </c>
      <c r="BE57" s="271">
        <f t="shared" si="88"/>
        <v>63.9497260688569</v>
      </c>
      <c r="BF57" s="24">
        <f t="shared" si="59"/>
        <v>63.9497260688569</v>
      </c>
      <c r="BG57" s="24">
        <f t="shared" si="24"/>
        <v>1</v>
      </c>
      <c r="BH57" s="275" t="e">
        <f t="shared" si="60"/>
        <v>#N/A</v>
      </c>
      <c r="BJ57" s="273" t="str">
        <f t="shared" si="89"/>
        <v>Tehran</v>
      </c>
      <c r="BK57" s="271">
        <f t="shared" si="90"/>
        <v>68.5</v>
      </c>
      <c r="BL57" s="24">
        <f t="shared" si="61"/>
        <v>68.5</v>
      </c>
      <c r="BM57" s="24">
        <f t="shared" si="27"/>
        <v>1</v>
      </c>
      <c r="BN57" s="275" t="e">
        <f t="shared" si="62"/>
        <v>#N/A</v>
      </c>
      <c r="BP57" s="273" t="str">
        <f t="shared" si="91"/>
        <v>Tehran</v>
      </c>
      <c r="BQ57" s="271">
        <f t="shared" si="92"/>
        <v>59.3994521377138</v>
      </c>
      <c r="BR57" s="24">
        <f t="shared" si="63"/>
        <v>59.3994521377138</v>
      </c>
      <c r="BS57" s="24">
        <f t="shared" si="30"/>
        <v>1</v>
      </c>
      <c r="BT57" s="275" t="e">
        <f t="shared" si="64"/>
        <v>#N/A</v>
      </c>
      <c r="BV57" s="273" t="str">
        <f t="shared" si="93"/>
        <v>Tehran</v>
      </c>
      <c r="BW57" s="271">
        <f t="shared" si="94"/>
        <v>59.1768197555451</v>
      </c>
      <c r="BX57" s="24">
        <f t="shared" si="65"/>
        <v>59.1768197555451</v>
      </c>
      <c r="BY57" s="24">
        <f t="shared" si="33"/>
        <v>1</v>
      </c>
      <c r="BZ57" s="275" t="e">
        <f t="shared" si="66"/>
        <v>#N/A</v>
      </c>
      <c r="CB57" s="273" t="str">
        <f t="shared" si="95"/>
        <v>Tehran</v>
      </c>
      <c r="CC57" s="271">
        <f t="shared" si="96"/>
        <v>47.2562358276644</v>
      </c>
      <c r="CD57" s="24">
        <f t="shared" si="67"/>
        <v>47.2562358276644</v>
      </c>
      <c r="CE57" s="24">
        <f t="shared" si="36"/>
        <v>1</v>
      </c>
      <c r="CF57" s="275" t="e">
        <f t="shared" si="68"/>
        <v>#N/A</v>
      </c>
      <c r="CH57" s="273" t="str">
        <f t="shared" si="97"/>
        <v>Tehran</v>
      </c>
      <c r="CI57" s="271">
        <f t="shared" si="98"/>
        <v>71.0974036834257</v>
      </c>
      <c r="CJ57" s="24">
        <f t="shared" si="69"/>
        <v>71.0974036834257</v>
      </c>
      <c r="CK57" s="24">
        <f t="shared" si="39"/>
        <v>1</v>
      </c>
      <c r="CL57" s="275" t="e">
        <f t="shared" si="70"/>
        <v>#N/A</v>
      </c>
    </row>
    <row r="58" ht="15.75" spans="1:90">
      <c r="A58" s="1">
        <f>tblTerritories!A55</f>
        <v>53</v>
      </c>
      <c r="B58" s="1" t="str">
        <f>tblTerritories!B55</f>
        <v/>
      </c>
      <c r="C58" s="1" t="str">
        <f>tblTerritories!C55</f>
        <v>Taipei</v>
      </c>
      <c r="D58" s="1" t="str">
        <f>tblTerritories!J55</f>
        <v>Taipei</v>
      </c>
      <c r="E58" s="1">
        <f t="shared" si="40"/>
        <v>0</v>
      </c>
      <c r="F58" s="1">
        <f>IF(tblTerritories!F55="",0,tblTerritories!F55)</f>
        <v>1</v>
      </c>
      <c r="G58" s="1">
        <f t="shared" si="71"/>
        <v>80.70205</v>
      </c>
      <c r="H58" s="1">
        <f>IF(F58=0,"",RANK(G58,G$6:G$66,0)+COUNTIF(G$6:G58,G58)-1)</f>
        <v>22</v>
      </c>
      <c r="I58" s="1">
        <f t="shared" si="41"/>
        <v>41</v>
      </c>
      <c r="J58" s="1">
        <f t="shared" si="42"/>
        <v>1</v>
      </c>
      <c r="K58" s="269" t="e">
        <f t="shared" si="72"/>
        <v>#VALUE!</v>
      </c>
      <c r="L58" s="269">
        <f t="shared" si="43"/>
        <v>1</v>
      </c>
      <c r="M58" s="268" t="e">
        <f t="shared" si="44"/>
        <v>#VALUE!</v>
      </c>
      <c r="N58" s="273" t="str">
        <f t="shared" si="73"/>
        <v>Quito</v>
      </c>
      <c r="O58" s="271">
        <f t="shared" si="74"/>
        <v>56.3875885986625</v>
      </c>
      <c r="P58" s="24">
        <f t="shared" si="45"/>
        <v>56.3875885986625</v>
      </c>
      <c r="Q58" s="24">
        <f t="shared" si="4"/>
        <v>1</v>
      </c>
      <c r="R58" s="275" t="e">
        <f t="shared" si="46"/>
        <v>#N/A</v>
      </c>
      <c r="T58" s="273" t="str">
        <f t="shared" si="75"/>
        <v>Quito</v>
      </c>
      <c r="U58" s="271">
        <f t="shared" si="76"/>
        <v>60.6484476838798</v>
      </c>
      <c r="V58" s="24">
        <f t="shared" si="47"/>
        <v>60.6484476838798</v>
      </c>
      <c r="W58" s="24">
        <f t="shared" si="7"/>
        <v>1</v>
      </c>
      <c r="X58" s="275" t="e">
        <f t="shared" si="48"/>
        <v>#N/A</v>
      </c>
      <c r="Z58" s="273" t="str">
        <f t="shared" si="77"/>
        <v>Quito</v>
      </c>
      <c r="AA58" s="271">
        <f t="shared" si="78"/>
        <v>48.3333333333333</v>
      </c>
      <c r="AB58" s="24">
        <f t="shared" si="49"/>
        <v>48.3333333333333</v>
      </c>
      <c r="AC58" s="272">
        <v>1</v>
      </c>
      <c r="AD58" s="275" t="e">
        <f t="shared" si="50"/>
        <v>#N/A</v>
      </c>
      <c r="AF58" s="273" t="str">
        <f t="shared" si="79"/>
        <v>Quito</v>
      </c>
      <c r="AG58" s="271">
        <f t="shared" si="80"/>
        <v>72.9635620344263</v>
      </c>
      <c r="AH58" s="24">
        <f t="shared" si="51"/>
        <v>72.9635620344263</v>
      </c>
      <c r="AI58" s="24">
        <f t="shared" si="12"/>
        <v>1</v>
      </c>
      <c r="AJ58" s="275" t="e">
        <f t="shared" si="52"/>
        <v>#N/A</v>
      </c>
      <c r="AL58" s="273" t="str">
        <f t="shared" si="81"/>
        <v>Quito</v>
      </c>
      <c r="AM58" s="271">
        <f t="shared" si="82"/>
        <v>57.464131117582</v>
      </c>
      <c r="AN58" s="24">
        <f t="shared" si="53"/>
        <v>57.464131117582</v>
      </c>
      <c r="AO58" s="24">
        <f t="shared" si="15"/>
        <v>1</v>
      </c>
      <c r="AP58" s="275" t="e">
        <f t="shared" si="54"/>
        <v>#N/A</v>
      </c>
      <c r="AR58" s="273" t="str">
        <f t="shared" si="83"/>
        <v>Quito</v>
      </c>
      <c r="AS58" s="271">
        <f t="shared" si="84"/>
        <v>39.9681840680895</v>
      </c>
      <c r="AT58" s="24">
        <f t="shared" si="55"/>
        <v>39.9681840680895</v>
      </c>
      <c r="AU58" s="24">
        <f t="shared" si="18"/>
        <v>1</v>
      </c>
      <c r="AV58" s="275" t="e">
        <f t="shared" si="56"/>
        <v>#N/A</v>
      </c>
      <c r="AX58" s="273" t="str">
        <f t="shared" si="85"/>
        <v>Quito</v>
      </c>
      <c r="AY58" s="271">
        <f t="shared" si="86"/>
        <v>74.9600781670746</v>
      </c>
      <c r="AZ58" s="24">
        <f t="shared" si="57"/>
        <v>74.9600781670746</v>
      </c>
      <c r="BA58" s="24">
        <f t="shared" si="21"/>
        <v>1</v>
      </c>
      <c r="BB58" s="275" t="e">
        <f t="shared" si="58"/>
        <v>#N/A</v>
      </c>
      <c r="BD58" s="273" t="str">
        <f t="shared" si="87"/>
        <v>Quito</v>
      </c>
      <c r="BE58" s="271">
        <f t="shared" si="88"/>
        <v>52.027548819922</v>
      </c>
      <c r="BF58" s="24">
        <f t="shared" si="59"/>
        <v>52.027548819922</v>
      </c>
      <c r="BG58" s="24">
        <f t="shared" si="24"/>
        <v>1</v>
      </c>
      <c r="BH58" s="275" t="e">
        <f t="shared" si="60"/>
        <v>#N/A</v>
      </c>
      <c r="BJ58" s="273" t="str">
        <f t="shared" si="89"/>
        <v>Quito</v>
      </c>
      <c r="BK58" s="271">
        <f t="shared" si="90"/>
        <v>41</v>
      </c>
      <c r="BL58" s="24">
        <f t="shared" si="61"/>
        <v>41</v>
      </c>
      <c r="BM58" s="24">
        <f t="shared" si="27"/>
        <v>1</v>
      </c>
      <c r="BN58" s="275" t="e">
        <f t="shared" si="62"/>
        <v>#N/A</v>
      </c>
      <c r="BP58" s="273" t="str">
        <f t="shared" si="91"/>
        <v>Quito</v>
      </c>
      <c r="BQ58" s="271">
        <f t="shared" si="92"/>
        <v>63.0550976398439</v>
      </c>
      <c r="BR58" s="24">
        <f t="shared" si="63"/>
        <v>63.0550976398439</v>
      </c>
      <c r="BS58" s="24">
        <f t="shared" si="30"/>
        <v>1</v>
      </c>
      <c r="BT58" s="275" t="e">
        <f t="shared" si="64"/>
        <v>#N/A</v>
      </c>
      <c r="BV58" s="273" t="str">
        <f t="shared" si="93"/>
        <v>Quito</v>
      </c>
      <c r="BW58" s="271">
        <f t="shared" si="94"/>
        <v>55.4102267732664</v>
      </c>
      <c r="BX58" s="24">
        <f t="shared" si="65"/>
        <v>55.4102267732664</v>
      </c>
      <c r="BY58" s="24">
        <f t="shared" si="33"/>
        <v>1</v>
      </c>
      <c r="BZ58" s="275" t="e">
        <f t="shared" si="66"/>
        <v>#N/A</v>
      </c>
      <c r="CB58" s="273" t="str">
        <f t="shared" si="95"/>
        <v>Quito</v>
      </c>
      <c r="CC58" s="271">
        <f t="shared" si="96"/>
        <v>48.7528344671202</v>
      </c>
      <c r="CD58" s="24">
        <f t="shared" si="67"/>
        <v>48.7528344671202</v>
      </c>
      <c r="CE58" s="24">
        <f t="shared" si="36"/>
        <v>1</v>
      </c>
      <c r="CF58" s="275" t="e">
        <f t="shared" si="68"/>
        <v>#N/A</v>
      </c>
      <c r="CH58" s="273" t="str">
        <f t="shared" si="97"/>
        <v>Quito</v>
      </c>
      <c r="CI58" s="271">
        <f t="shared" si="98"/>
        <v>62.0676190794125</v>
      </c>
      <c r="CJ58" s="24">
        <f t="shared" si="69"/>
        <v>62.0676190794125</v>
      </c>
      <c r="CK58" s="24">
        <f t="shared" si="39"/>
        <v>1</v>
      </c>
      <c r="CL58" s="275" t="e">
        <f t="shared" si="70"/>
        <v>#N/A</v>
      </c>
    </row>
    <row r="59" ht="15.75" spans="1:90">
      <c r="A59" s="1">
        <f>tblTerritories!A56</f>
        <v>54</v>
      </c>
      <c r="B59" s="1" t="str">
        <f>tblTerritories!B56</f>
        <v/>
      </c>
      <c r="C59" s="1" t="str">
        <f>tblTerritories!C56</f>
        <v>Tehran</v>
      </c>
      <c r="D59" s="1" t="str">
        <f>tblTerritories!J56</f>
        <v>Tehran</v>
      </c>
      <c r="E59" s="1">
        <f t="shared" si="40"/>
        <v>0</v>
      </c>
      <c r="F59" s="1">
        <f>IF(tblTerritories!F56="",0,tblTerritories!F56)</f>
        <v>1</v>
      </c>
      <c r="G59" s="1">
        <f t="shared" si="71"/>
        <v>56.49341</v>
      </c>
      <c r="H59" s="1">
        <f>IF(F59=0,"",RANK(G59,G$6:G$66,0)+COUNTIF(G$6:G59,G59)-1)</f>
        <v>52</v>
      </c>
      <c r="I59" s="1">
        <f t="shared" si="41"/>
        <v>11</v>
      </c>
      <c r="J59" s="1">
        <f t="shared" si="42"/>
        <v>1</v>
      </c>
      <c r="K59" s="269" t="e">
        <f t="shared" si="72"/>
        <v>#VALUE!</v>
      </c>
      <c r="L59" s="269">
        <f t="shared" si="43"/>
        <v>1</v>
      </c>
      <c r="M59" s="268" t="e">
        <f t="shared" si="44"/>
        <v>#VALUE!</v>
      </c>
      <c r="N59" s="273" t="str">
        <f t="shared" si="73"/>
        <v>Caracas</v>
      </c>
      <c r="O59" s="271">
        <f t="shared" si="74"/>
        <v>55.2206246013062</v>
      </c>
      <c r="P59" s="24">
        <f t="shared" si="45"/>
        <v>55.2206246013062</v>
      </c>
      <c r="Q59" s="24">
        <f t="shared" si="4"/>
        <v>1</v>
      </c>
      <c r="R59" s="275" t="e">
        <f t="shared" si="46"/>
        <v>#N/A</v>
      </c>
      <c r="T59" s="273" t="str">
        <f t="shared" si="75"/>
        <v>Caracas</v>
      </c>
      <c r="U59" s="271">
        <f t="shared" si="76"/>
        <v>58.3865648608426</v>
      </c>
      <c r="V59" s="24">
        <f t="shared" si="47"/>
        <v>58.3865648608426</v>
      </c>
      <c r="W59" s="24">
        <f t="shared" si="7"/>
        <v>1</v>
      </c>
      <c r="X59" s="275" t="e">
        <f t="shared" si="48"/>
        <v>#N/A</v>
      </c>
      <c r="Z59" s="273" t="str">
        <f t="shared" si="77"/>
        <v>Caracas</v>
      </c>
      <c r="AA59" s="271">
        <f t="shared" si="78"/>
        <v>46.6666666666667</v>
      </c>
      <c r="AB59" s="24">
        <f t="shared" si="49"/>
        <v>46.6666666666667</v>
      </c>
      <c r="AC59" s="272">
        <v>1</v>
      </c>
      <c r="AD59" s="275" t="e">
        <f t="shared" si="50"/>
        <v>#N/A</v>
      </c>
      <c r="AF59" s="273" t="str">
        <f t="shared" si="79"/>
        <v>Caracas</v>
      </c>
      <c r="AG59" s="271">
        <f t="shared" si="80"/>
        <v>70.1064630550185</v>
      </c>
      <c r="AH59" s="24">
        <f t="shared" si="51"/>
        <v>70.1064630550185</v>
      </c>
      <c r="AI59" s="24">
        <f t="shared" si="12"/>
        <v>1</v>
      </c>
      <c r="AJ59" s="275" t="e">
        <f t="shared" si="52"/>
        <v>#N/A</v>
      </c>
      <c r="AL59" s="273" t="str">
        <f t="shared" si="81"/>
        <v>Caracas</v>
      </c>
      <c r="AM59" s="271">
        <f t="shared" si="82"/>
        <v>56.7224351756007</v>
      </c>
      <c r="AN59" s="24">
        <f t="shared" si="53"/>
        <v>56.7224351756007</v>
      </c>
      <c r="AO59" s="24">
        <f t="shared" si="15"/>
        <v>1</v>
      </c>
      <c r="AP59" s="275" t="e">
        <f t="shared" si="54"/>
        <v>#N/A</v>
      </c>
      <c r="AR59" s="273" t="str">
        <f t="shared" si="83"/>
        <v>Caracas</v>
      </c>
      <c r="AS59" s="271">
        <f t="shared" si="84"/>
        <v>39.2820646609329</v>
      </c>
      <c r="AT59" s="24">
        <f t="shared" si="55"/>
        <v>39.2820646609329</v>
      </c>
      <c r="AU59" s="24">
        <f t="shared" si="18"/>
        <v>1</v>
      </c>
      <c r="AV59" s="275" t="e">
        <f t="shared" si="56"/>
        <v>#N/A</v>
      </c>
      <c r="AX59" s="273" t="str">
        <f t="shared" si="85"/>
        <v>Caracas</v>
      </c>
      <c r="AY59" s="271">
        <f t="shared" si="86"/>
        <v>74.1628056902685</v>
      </c>
      <c r="AZ59" s="24">
        <f t="shared" si="57"/>
        <v>74.1628056902685</v>
      </c>
      <c r="BA59" s="24">
        <f t="shared" si="21"/>
        <v>1</v>
      </c>
      <c r="BB59" s="275" t="e">
        <f t="shared" si="58"/>
        <v>#N/A</v>
      </c>
      <c r="BD59" s="273" t="str">
        <f t="shared" si="87"/>
        <v>Caracas</v>
      </c>
      <c r="BE59" s="271">
        <f t="shared" si="88"/>
        <v>58.417287888492</v>
      </c>
      <c r="BF59" s="24">
        <f t="shared" si="59"/>
        <v>58.417287888492</v>
      </c>
      <c r="BG59" s="24">
        <f t="shared" si="24"/>
        <v>1</v>
      </c>
      <c r="BH59" s="275" t="e">
        <f t="shared" si="60"/>
        <v>#N/A</v>
      </c>
      <c r="BJ59" s="273" t="str">
        <f t="shared" si="89"/>
        <v>Caracas</v>
      </c>
      <c r="BK59" s="271">
        <f t="shared" si="90"/>
        <v>38</v>
      </c>
      <c r="BL59" s="24">
        <f t="shared" si="61"/>
        <v>38</v>
      </c>
      <c r="BM59" s="24">
        <f t="shared" si="27"/>
        <v>1</v>
      </c>
      <c r="BN59" s="275" t="e">
        <f t="shared" si="62"/>
        <v>#N/A</v>
      </c>
      <c r="BP59" s="273" t="str">
        <f t="shared" si="91"/>
        <v>Caracas</v>
      </c>
      <c r="BQ59" s="271">
        <f t="shared" si="92"/>
        <v>78.8345757769841</v>
      </c>
      <c r="BR59" s="24">
        <f t="shared" si="63"/>
        <v>78.8345757769841</v>
      </c>
      <c r="BS59" s="24">
        <f t="shared" si="30"/>
        <v>1</v>
      </c>
      <c r="BT59" s="275" t="e">
        <f t="shared" si="64"/>
        <v>#N/A</v>
      </c>
      <c r="BV59" s="273" t="str">
        <f t="shared" si="93"/>
        <v>Caracas</v>
      </c>
      <c r="BW59" s="271">
        <f t="shared" si="94"/>
        <v>47.3562104802896</v>
      </c>
      <c r="BX59" s="24">
        <f t="shared" si="65"/>
        <v>47.3562104802896</v>
      </c>
      <c r="BY59" s="24">
        <f t="shared" si="33"/>
        <v>1</v>
      </c>
      <c r="BZ59" s="275" t="e">
        <f t="shared" si="66"/>
        <v>#N/A</v>
      </c>
      <c r="CB59" s="273" t="str">
        <f t="shared" si="95"/>
        <v>Caracas</v>
      </c>
      <c r="CC59" s="271">
        <f t="shared" si="96"/>
        <v>52.2108843537415</v>
      </c>
      <c r="CD59" s="24">
        <f t="shared" si="67"/>
        <v>52.2108843537415</v>
      </c>
      <c r="CE59" s="24">
        <f t="shared" si="36"/>
        <v>1</v>
      </c>
      <c r="CF59" s="275" t="e">
        <f t="shared" si="68"/>
        <v>#N/A</v>
      </c>
      <c r="CH59" s="273" t="str">
        <f t="shared" si="97"/>
        <v>Caracas</v>
      </c>
      <c r="CI59" s="271">
        <f t="shared" si="98"/>
        <v>42.5015366068378</v>
      </c>
      <c r="CJ59" s="24">
        <f t="shared" si="69"/>
        <v>42.5015366068378</v>
      </c>
      <c r="CK59" s="24">
        <f t="shared" si="39"/>
        <v>1</v>
      </c>
      <c r="CL59" s="275" t="e">
        <f t="shared" si="70"/>
        <v>#N/A</v>
      </c>
    </row>
    <row r="60" ht="15.75" spans="1:90">
      <c r="A60" s="1">
        <f>tblTerritories!A57</f>
        <v>55</v>
      </c>
      <c r="B60" s="1" t="str">
        <f>tblTerritories!B57</f>
        <v/>
      </c>
      <c r="C60" s="1" t="str">
        <f>tblTerritories!C57</f>
        <v>Tokyo</v>
      </c>
      <c r="D60" s="1" t="str">
        <f>tblTerritories!J57</f>
        <v>Tokyo</v>
      </c>
      <c r="E60" s="1">
        <f t="shared" si="40"/>
        <v>0</v>
      </c>
      <c r="F60" s="1">
        <f>IF(tblTerritories!F57="",0,tblTerritories!F57)</f>
        <v>1</v>
      </c>
      <c r="G60" s="1">
        <f t="shared" si="71"/>
        <v>89.79706</v>
      </c>
      <c r="H60" s="1">
        <f>IF(F60=0,"",RANK(G60,G$6:G$66,0)+COUNTIF(G$6:G60,G60)-1)</f>
        <v>1</v>
      </c>
      <c r="I60" s="1">
        <f t="shared" si="41"/>
        <v>32</v>
      </c>
      <c r="J60" s="1">
        <f t="shared" si="42"/>
        <v>1</v>
      </c>
      <c r="K60" s="269" t="e">
        <f t="shared" si="72"/>
        <v>#VALUE!</v>
      </c>
      <c r="L60" s="269">
        <f t="shared" si="43"/>
        <v>1</v>
      </c>
      <c r="M60" s="268" t="e">
        <f t="shared" si="44"/>
        <v>#VALUE!</v>
      </c>
      <c r="N60" s="273" t="str">
        <f t="shared" si="73"/>
        <v>Manila</v>
      </c>
      <c r="O60" s="271">
        <f t="shared" si="74"/>
        <v>54.8612405257348</v>
      </c>
      <c r="P60" s="24">
        <f t="shared" si="45"/>
        <v>54.8612405257348</v>
      </c>
      <c r="Q60" s="24">
        <f t="shared" si="4"/>
        <v>1</v>
      </c>
      <c r="R60" s="275" t="e">
        <f t="shared" si="46"/>
        <v>#N/A</v>
      </c>
      <c r="T60" s="273" t="str">
        <f t="shared" si="75"/>
        <v>Manila</v>
      </c>
      <c r="U60" s="271">
        <f t="shared" si="76"/>
        <v>36.6091842915087</v>
      </c>
      <c r="V60" s="24">
        <f t="shared" si="47"/>
        <v>36.6091842915087</v>
      </c>
      <c r="W60" s="24">
        <f t="shared" si="7"/>
        <v>1</v>
      </c>
      <c r="X60" s="275" t="e">
        <f t="shared" si="48"/>
        <v>#N/A</v>
      </c>
      <c r="Z60" s="273" t="str">
        <f t="shared" si="77"/>
        <v>Manila</v>
      </c>
      <c r="AA60" s="271">
        <f t="shared" si="78"/>
        <v>31.6666666666667</v>
      </c>
      <c r="AB60" s="24">
        <f t="shared" si="49"/>
        <v>31.6666666666667</v>
      </c>
      <c r="AC60" s="272">
        <v>1</v>
      </c>
      <c r="AD60" s="275" t="e">
        <f t="shared" si="50"/>
        <v>#N/A</v>
      </c>
      <c r="AF60" s="273" t="str">
        <f t="shared" si="79"/>
        <v>Manila</v>
      </c>
      <c r="AG60" s="271">
        <f t="shared" si="80"/>
        <v>41.5517019163507</v>
      </c>
      <c r="AH60" s="24">
        <f t="shared" si="51"/>
        <v>41.5517019163507</v>
      </c>
      <c r="AI60" s="24">
        <f t="shared" si="12"/>
        <v>1</v>
      </c>
      <c r="AJ60" s="275" t="e">
        <f t="shared" si="52"/>
        <v>#N/A</v>
      </c>
      <c r="AL60" s="273" t="str">
        <f t="shared" si="81"/>
        <v>Manila</v>
      </c>
      <c r="AM60" s="271">
        <f t="shared" si="82"/>
        <v>60.1191675579554</v>
      </c>
      <c r="AN60" s="24">
        <f t="shared" si="53"/>
        <v>60.1191675579554</v>
      </c>
      <c r="AO60" s="24">
        <f t="shared" si="15"/>
        <v>1</v>
      </c>
      <c r="AP60" s="275" t="e">
        <f t="shared" si="54"/>
        <v>#N/A</v>
      </c>
      <c r="AR60" s="273" t="str">
        <f t="shared" si="83"/>
        <v>Manila</v>
      </c>
      <c r="AS60" s="271">
        <f t="shared" si="84"/>
        <v>45.8735524568811</v>
      </c>
      <c r="AT60" s="24">
        <f t="shared" si="55"/>
        <v>45.8735524568811</v>
      </c>
      <c r="AU60" s="24">
        <f t="shared" si="18"/>
        <v>1</v>
      </c>
      <c r="AV60" s="275" t="e">
        <f t="shared" si="56"/>
        <v>#N/A</v>
      </c>
      <c r="AX60" s="273" t="str">
        <f t="shared" si="85"/>
        <v>Manila</v>
      </c>
      <c r="AY60" s="271">
        <f t="shared" si="86"/>
        <v>74.3647826590297</v>
      </c>
      <c r="AZ60" s="24">
        <f t="shared" si="57"/>
        <v>74.3647826590297</v>
      </c>
      <c r="BA60" s="24">
        <f t="shared" si="21"/>
        <v>1</v>
      </c>
      <c r="BB60" s="275" t="e">
        <f t="shared" si="58"/>
        <v>#N/A</v>
      </c>
      <c r="BD60" s="273" t="str">
        <f t="shared" si="87"/>
        <v>Manila</v>
      </c>
      <c r="BE60" s="271">
        <f t="shared" si="88"/>
        <v>52.8899109711199</v>
      </c>
      <c r="BF60" s="24">
        <f t="shared" si="59"/>
        <v>52.8899109711199</v>
      </c>
      <c r="BG60" s="24">
        <f t="shared" si="24"/>
        <v>1</v>
      </c>
      <c r="BH60" s="275" t="e">
        <f t="shared" si="60"/>
        <v>#N/A</v>
      </c>
      <c r="BJ60" s="273" t="str">
        <f t="shared" si="89"/>
        <v>Manila</v>
      </c>
      <c r="BK60" s="271">
        <f t="shared" si="90"/>
        <v>48.5</v>
      </c>
      <c r="BL60" s="24">
        <f t="shared" si="61"/>
        <v>48.5</v>
      </c>
      <c r="BM60" s="24">
        <f t="shared" si="27"/>
        <v>1</v>
      </c>
      <c r="BN60" s="275" t="e">
        <f t="shared" si="62"/>
        <v>#N/A</v>
      </c>
      <c r="BP60" s="273" t="str">
        <f t="shared" si="91"/>
        <v>Manila</v>
      </c>
      <c r="BQ60" s="271">
        <f t="shared" si="92"/>
        <v>57.2798219422398</v>
      </c>
      <c r="BR60" s="24">
        <f t="shared" si="63"/>
        <v>57.2798219422398</v>
      </c>
      <c r="BS60" s="24">
        <f t="shared" si="30"/>
        <v>1</v>
      </c>
      <c r="BT60" s="275" t="e">
        <f t="shared" si="64"/>
        <v>#N/A</v>
      </c>
      <c r="BV60" s="273" t="str">
        <f t="shared" si="93"/>
        <v>Manila</v>
      </c>
      <c r="BW60" s="271">
        <f t="shared" si="94"/>
        <v>69.8266992823552</v>
      </c>
      <c r="BX60" s="24">
        <f t="shared" si="65"/>
        <v>69.8266992823552</v>
      </c>
      <c r="BY60" s="24">
        <f t="shared" si="33"/>
        <v>1</v>
      </c>
      <c r="BZ60" s="275" t="e">
        <f t="shared" si="66"/>
        <v>#N/A</v>
      </c>
      <c r="CB60" s="273" t="str">
        <f t="shared" si="95"/>
        <v>Manila</v>
      </c>
      <c r="CC60" s="271">
        <f t="shared" si="96"/>
        <v>75.9637188208617</v>
      </c>
      <c r="CD60" s="24">
        <f t="shared" si="67"/>
        <v>75.9637188208617</v>
      </c>
      <c r="CE60" s="24">
        <f t="shared" si="36"/>
        <v>1</v>
      </c>
      <c r="CF60" s="275" t="e">
        <f t="shared" si="68"/>
        <v>#N/A</v>
      </c>
      <c r="CH60" s="273" t="str">
        <f t="shared" si="97"/>
        <v>Manila</v>
      </c>
      <c r="CI60" s="271">
        <f t="shared" si="98"/>
        <v>63.6896797438487</v>
      </c>
      <c r="CJ60" s="24">
        <f t="shared" si="69"/>
        <v>63.6896797438487</v>
      </c>
      <c r="CK60" s="24">
        <f t="shared" si="39"/>
        <v>1</v>
      </c>
      <c r="CL60" s="275" t="e">
        <f t="shared" si="70"/>
        <v>#N/A</v>
      </c>
    </row>
    <row r="61" ht="15.75" spans="1:90">
      <c r="A61" s="1">
        <f>tblTerritories!A58</f>
        <v>56</v>
      </c>
      <c r="B61" s="1" t="str">
        <f>tblTerritories!B58</f>
        <v/>
      </c>
      <c r="C61" s="1" t="str">
        <f>tblTerritories!C58</f>
        <v>Toronto</v>
      </c>
      <c r="D61" s="1" t="str">
        <f>tblTerritories!J58</f>
        <v>Toronto</v>
      </c>
      <c r="E61" s="1">
        <f t="shared" si="40"/>
        <v>0</v>
      </c>
      <c r="F61" s="1">
        <f>IF(tblTerritories!F58="",0,tblTerritories!F58)</f>
        <v>1</v>
      </c>
      <c r="G61" s="1">
        <f t="shared" si="71"/>
        <v>87.3598</v>
      </c>
      <c r="H61" s="1">
        <f>IF(F61=0,"",RANK(G61,G$6:G$66,0)+COUNTIF(G$6:G61,G61)-1)</f>
        <v>4</v>
      </c>
      <c r="I61" s="1">
        <f t="shared" si="41"/>
        <v>19</v>
      </c>
      <c r="J61" s="1">
        <f t="shared" si="42"/>
        <v>1</v>
      </c>
      <c r="K61" s="269" t="e">
        <f t="shared" si="72"/>
        <v>#VALUE!</v>
      </c>
      <c r="L61" s="269">
        <f t="shared" si="43"/>
        <v>1</v>
      </c>
      <c r="M61" s="268" t="e">
        <f t="shared" si="44"/>
        <v>#VALUE!</v>
      </c>
      <c r="N61" s="273" t="str">
        <f t="shared" si="73"/>
        <v>Ho Chi Minh City</v>
      </c>
      <c r="O61" s="271">
        <f t="shared" si="74"/>
        <v>54.3323116699598</v>
      </c>
      <c r="P61" s="24">
        <f t="shared" si="45"/>
        <v>54.3323116699598</v>
      </c>
      <c r="Q61" s="24">
        <f t="shared" si="4"/>
        <v>1</v>
      </c>
      <c r="R61" s="275" t="e">
        <f t="shared" si="46"/>
        <v>#N/A</v>
      </c>
      <c r="T61" s="273" t="str">
        <f t="shared" si="75"/>
        <v>Ho Chi Minh City</v>
      </c>
      <c r="U61" s="271">
        <f t="shared" si="76"/>
        <v>39.7822330091035</v>
      </c>
      <c r="V61" s="24">
        <f t="shared" si="47"/>
        <v>39.7822330091035</v>
      </c>
      <c r="W61" s="24">
        <f t="shared" si="7"/>
        <v>1</v>
      </c>
      <c r="X61" s="275" t="e">
        <f t="shared" si="48"/>
        <v>#N/A</v>
      </c>
      <c r="Z61" s="273" t="str">
        <f t="shared" si="77"/>
        <v>Ho Chi Minh City</v>
      </c>
      <c r="AA61" s="271">
        <f t="shared" si="78"/>
        <v>21.6666666666667</v>
      </c>
      <c r="AB61" s="24">
        <f t="shared" si="49"/>
        <v>21.6666666666667</v>
      </c>
      <c r="AC61" s="272">
        <v>1</v>
      </c>
      <c r="AD61" s="275" t="e">
        <f t="shared" si="50"/>
        <v>#N/A</v>
      </c>
      <c r="AF61" s="273" t="str">
        <f t="shared" si="79"/>
        <v>Ho Chi Minh City</v>
      </c>
      <c r="AG61" s="271">
        <f t="shared" si="80"/>
        <v>57.8977993515404</v>
      </c>
      <c r="AH61" s="24">
        <f t="shared" si="51"/>
        <v>57.8977993515404</v>
      </c>
      <c r="AI61" s="24">
        <f t="shared" si="12"/>
        <v>1</v>
      </c>
      <c r="AJ61" s="275" t="e">
        <f t="shared" si="52"/>
        <v>#N/A</v>
      </c>
      <c r="AL61" s="273" t="str">
        <f t="shared" si="81"/>
        <v>Ho Chi Minh City</v>
      </c>
      <c r="AM61" s="271">
        <f t="shared" si="82"/>
        <v>61.287417956729</v>
      </c>
      <c r="AN61" s="24">
        <f t="shared" si="53"/>
        <v>61.287417956729</v>
      </c>
      <c r="AO61" s="24">
        <f t="shared" si="15"/>
        <v>1</v>
      </c>
      <c r="AP61" s="275" t="e">
        <f t="shared" si="54"/>
        <v>#N/A</v>
      </c>
      <c r="AR61" s="273" t="str">
        <f t="shared" si="83"/>
        <v>Ho Chi Minh City</v>
      </c>
      <c r="AS61" s="271">
        <f t="shared" si="84"/>
        <v>47.7723947866165</v>
      </c>
      <c r="AT61" s="24">
        <f t="shared" si="55"/>
        <v>47.7723947866165</v>
      </c>
      <c r="AU61" s="24">
        <f t="shared" si="18"/>
        <v>1</v>
      </c>
      <c r="AV61" s="275" t="e">
        <f t="shared" si="56"/>
        <v>#N/A</v>
      </c>
      <c r="AX61" s="273" t="str">
        <f t="shared" si="85"/>
        <v>Ho Chi Minh City</v>
      </c>
      <c r="AY61" s="271">
        <f t="shared" si="86"/>
        <v>74.8024411268416</v>
      </c>
      <c r="AZ61" s="24">
        <f t="shared" si="57"/>
        <v>74.8024411268416</v>
      </c>
      <c r="BA61" s="24">
        <f t="shared" si="21"/>
        <v>1</v>
      </c>
      <c r="BB61" s="275" t="e">
        <f t="shared" si="58"/>
        <v>#N/A</v>
      </c>
      <c r="BD61" s="273" t="str">
        <f t="shared" si="87"/>
        <v>Ho Chi Minh City</v>
      </c>
      <c r="BE61" s="271">
        <f t="shared" si="88"/>
        <v>65.7276199587451</v>
      </c>
      <c r="BF61" s="24">
        <f t="shared" si="59"/>
        <v>65.7276199587451</v>
      </c>
      <c r="BG61" s="24">
        <f t="shared" si="24"/>
        <v>1</v>
      </c>
      <c r="BH61" s="275" t="e">
        <f t="shared" si="60"/>
        <v>#N/A</v>
      </c>
      <c r="BJ61" s="273" t="str">
        <f t="shared" si="89"/>
        <v>Ho Chi Minh City</v>
      </c>
      <c r="BK61" s="271">
        <f t="shared" si="90"/>
        <v>43</v>
      </c>
      <c r="BL61" s="24">
        <f t="shared" si="61"/>
        <v>43</v>
      </c>
      <c r="BM61" s="24">
        <f t="shared" si="27"/>
        <v>1</v>
      </c>
      <c r="BN61" s="275" t="e">
        <f t="shared" si="62"/>
        <v>#N/A</v>
      </c>
      <c r="BP61" s="273" t="str">
        <f t="shared" si="91"/>
        <v>Ho Chi Minh City</v>
      </c>
      <c r="BQ61" s="271">
        <f t="shared" si="92"/>
        <v>88.4552399174901</v>
      </c>
      <c r="BR61" s="24">
        <f t="shared" si="63"/>
        <v>88.4552399174901</v>
      </c>
      <c r="BS61" s="24">
        <f t="shared" si="30"/>
        <v>1</v>
      </c>
      <c r="BT61" s="275" t="e">
        <f t="shared" si="64"/>
        <v>#N/A</v>
      </c>
      <c r="BV61" s="273" t="str">
        <f t="shared" si="93"/>
        <v>Ho Chi Minh City</v>
      </c>
      <c r="BW61" s="271">
        <f t="shared" si="94"/>
        <v>50.5319757552615</v>
      </c>
      <c r="BX61" s="24">
        <f t="shared" si="65"/>
        <v>50.5319757552615</v>
      </c>
      <c r="BY61" s="24">
        <f t="shared" si="33"/>
        <v>1</v>
      </c>
      <c r="BZ61" s="275" t="e">
        <f t="shared" si="66"/>
        <v>#N/A</v>
      </c>
      <c r="CB61" s="273" t="str">
        <f t="shared" si="95"/>
        <v>Ho Chi Minh City</v>
      </c>
      <c r="CC61" s="271">
        <f t="shared" si="96"/>
        <v>35</v>
      </c>
      <c r="CD61" s="24">
        <f t="shared" si="67"/>
        <v>35</v>
      </c>
      <c r="CE61" s="24">
        <f t="shared" si="36"/>
        <v>1</v>
      </c>
      <c r="CF61" s="275" t="e">
        <f t="shared" si="68"/>
        <v>#N/A</v>
      </c>
      <c r="CH61" s="273" t="str">
        <f t="shared" si="97"/>
        <v>Ho Chi Minh City</v>
      </c>
      <c r="CI61" s="271">
        <f t="shared" si="98"/>
        <v>66.063951510523</v>
      </c>
      <c r="CJ61" s="24">
        <f t="shared" si="69"/>
        <v>66.063951510523</v>
      </c>
      <c r="CK61" s="24">
        <f t="shared" si="39"/>
        <v>1</v>
      </c>
      <c r="CL61" s="275" t="e">
        <f t="shared" si="70"/>
        <v>#N/A</v>
      </c>
    </row>
    <row r="62" ht="15.75" spans="1:90">
      <c r="A62" s="1">
        <f>tblTerritories!A59</f>
        <v>57</v>
      </c>
      <c r="B62" s="1" t="str">
        <f>tblTerritories!B59</f>
        <v/>
      </c>
      <c r="C62" s="1" t="str">
        <f>tblTerritories!C59</f>
        <v>Washington DC</v>
      </c>
      <c r="D62" s="1" t="str">
        <f>tblTerritories!J59</f>
        <v>Washington DC</v>
      </c>
      <c r="E62" s="1">
        <f t="shared" si="40"/>
        <v>0</v>
      </c>
      <c r="F62" s="1">
        <f>IF(tblTerritories!F59="",0,tblTerritories!F59)</f>
        <v>1</v>
      </c>
      <c r="G62" s="1">
        <f t="shared" si="71"/>
        <v>80.36621</v>
      </c>
      <c r="H62" s="1">
        <f>IF(F62=0,"",RANK(G62,G$6:G$66,0)+COUNTIF(G$6:G62,G62)-1)</f>
        <v>23</v>
      </c>
      <c r="I62" s="1">
        <f t="shared" si="41"/>
        <v>22</v>
      </c>
      <c r="J62" s="1">
        <f t="shared" si="42"/>
        <v>1</v>
      </c>
      <c r="K62" s="269" t="e">
        <f t="shared" si="72"/>
        <v>#VALUE!</v>
      </c>
      <c r="L62" s="269">
        <f t="shared" si="43"/>
        <v>1</v>
      </c>
      <c r="M62" s="268" t="e">
        <f t="shared" si="44"/>
        <v>#VALUE!</v>
      </c>
      <c r="N62" s="273" t="str">
        <f t="shared" si="73"/>
        <v>Jakarta</v>
      </c>
      <c r="O62" s="271">
        <f t="shared" si="74"/>
        <v>53.392628751357</v>
      </c>
      <c r="P62" s="24">
        <f t="shared" si="45"/>
        <v>53.392628751357</v>
      </c>
      <c r="Q62" s="24">
        <f t="shared" si="4"/>
        <v>1</v>
      </c>
      <c r="R62" s="275" t="e">
        <f t="shared" si="46"/>
        <v>#N/A</v>
      </c>
      <c r="T62" s="273" t="str">
        <f t="shared" si="75"/>
        <v>Jakarta</v>
      </c>
      <c r="U62" s="271">
        <f t="shared" si="76"/>
        <v>36.6044906087199</v>
      </c>
      <c r="V62" s="24">
        <f t="shared" si="47"/>
        <v>36.6044906087199</v>
      </c>
      <c r="W62" s="24">
        <f t="shared" si="7"/>
        <v>1</v>
      </c>
      <c r="X62" s="275" t="e">
        <f t="shared" si="48"/>
        <v>#N/A</v>
      </c>
      <c r="Z62" s="273" t="str">
        <f t="shared" si="77"/>
        <v>Jakarta</v>
      </c>
      <c r="AA62" s="271">
        <f t="shared" si="78"/>
        <v>28.3333333333333</v>
      </c>
      <c r="AB62" s="24">
        <f t="shared" si="49"/>
        <v>28.3333333333333</v>
      </c>
      <c r="AC62" s="272">
        <v>1</v>
      </c>
      <c r="AD62" s="275" t="e">
        <f t="shared" si="50"/>
        <v>#N/A</v>
      </c>
      <c r="AF62" s="273" t="str">
        <f t="shared" si="79"/>
        <v>Jakarta</v>
      </c>
      <c r="AG62" s="271">
        <f t="shared" si="80"/>
        <v>44.8756478841065</v>
      </c>
      <c r="AH62" s="24">
        <f t="shared" si="51"/>
        <v>44.8756478841065</v>
      </c>
      <c r="AI62" s="24">
        <f t="shared" si="12"/>
        <v>1</v>
      </c>
      <c r="AJ62" s="275" t="e">
        <f t="shared" si="52"/>
        <v>#N/A</v>
      </c>
      <c r="AL62" s="273" t="str">
        <f t="shared" si="81"/>
        <v>Jakarta</v>
      </c>
      <c r="AM62" s="271">
        <f t="shared" si="82"/>
        <v>54.4048711125749</v>
      </c>
      <c r="AN62" s="24">
        <f t="shared" si="53"/>
        <v>54.4048711125749</v>
      </c>
      <c r="AO62" s="24">
        <f t="shared" si="15"/>
        <v>1</v>
      </c>
      <c r="AP62" s="275" t="e">
        <f t="shared" si="54"/>
        <v>#N/A</v>
      </c>
      <c r="AR62" s="273" t="str">
        <f t="shared" si="83"/>
        <v>Jakarta</v>
      </c>
      <c r="AS62" s="271">
        <f t="shared" si="84"/>
        <v>39.7552494248035</v>
      </c>
      <c r="AT62" s="24">
        <f t="shared" si="55"/>
        <v>39.7552494248035</v>
      </c>
      <c r="AU62" s="24">
        <f t="shared" si="18"/>
        <v>1</v>
      </c>
      <c r="AV62" s="275" t="e">
        <f t="shared" si="56"/>
        <v>#N/A</v>
      </c>
      <c r="AX62" s="273" t="str">
        <f t="shared" si="85"/>
        <v>Jakarta</v>
      </c>
      <c r="AY62" s="271">
        <f t="shared" si="86"/>
        <v>69.0544928003463</v>
      </c>
      <c r="AZ62" s="24">
        <f t="shared" si="57"/>
        <v>69.0544928003463</v>
      </c>
      <c r="BA62" s="24">
        <f t="shared" si="21"/>
        <v>1</v>
      </c>
      <c r="BB62" s="275" t="e">
        <f t="shared" si="58"/>
        <v>#N/A</v>
      </c>
      <c r="BD62" s="273" t="str">
        <f t="shared" si="87"/>
        <v>Jakarta</v>
      </c>
      <c r="BE62" s="271">
        <f t="shared" si="88"/>
        <v>63.3189954694381</v>
      </c>
      <c r="BF62" s="24">
        <f t="shared" si="59"/>
        <v>63.3189954694381</v>
      </c>
      <c r="BG62" s="24">
        <f t="shared" si="24"/>
        <v>1</v>
      </c>
      <c r="BH62" s="275" t="e">
        <f t="shared" si="60"/>
        <v>#N/A</v>
      </c>
      <c r="BJ62" s="273" t="str">
        <f t="shared" si="89"/>
        <v>Jakarta</v>
      </c>
      <c r="BK62" s="271">
        <f t="shared" si="90"/>
        <v>43</v>
      </c>
      <c r="BL62" s="24">
        <f t="shared" si="61"/>
        <v>43</v>
      </c>
      <c r="BM62" s="24">
        <f t="shared" si="27"/>
        <v>1</v>
      </c>
      <c r="BN62" s="275" t="e">
        <f t="shared" si="62"/>
        <v>#N/A</v>
      </c>
      <c r="BP62" s="273" t="str">
        <f t="shared" si="91"/>
        <v>Jakarta</v>
      </c>
      <c r="BQ62" s="271">
        <f t="shared" si="92"/>
        <v>83.6379909388761</v>
      </c>
      <c r="BR62" s="24">
        <f t="shared" si="63"/>
        <v>83.6379909388761</v>
      </c>
      <c r="BS62" s="24">
        <f t="shared" si="30"/>
        <v>1</v>
      </c>
      <c r="BT62" s="275" t="e">
        <f t="shared" si="64"/>
        <v>#N/A</v>
      </c>
      <c r="BV62" s="273" t="str">
        <f t="shared" si="93"/>
        <v>Jakarta</v>
      </c>
      <c r="BW62" s="271">
        <f t="shared" si="94"/>
        <v>59.2421578146951</v>
      </c>
      <c r="BX62" s="24">
        <f t="shared" si="65"/>
        <v>59.2421578146951</v>
      </c>
      <c r="BY62" s="24">
        <f t="shared" si="33"/>
        <v>1</v>
      </c>
      <c r="BZ62" s="275" t="e">
        <f t="shared" si="66"/>
        <v>#N/A</v>
      </c>
      <c r="CB62" s="273" t="str">
        <f t="shared" si="95"/>
        <v>Jakarta</v>
      </c>
      <c r="CC62" s="271">
        <f t="shared" si="96"/>
        <v>54.9433106575964</v>
      </c>
      <c r="CD62" s="24">
        <f t="shared" si="67"/>
        <v>54.9433106575964</v>
      </c>
      <c r="CE62" s="24">
        <f t="shared" si="36"/>
        <v>1</v>
      </c>
      <c r="CF62" s="275" t="e">
        <f t="shared" si="68"/>
        <v>#N/A</v>
      </c>
      <c r="CH62" s="273" t="str">
        <f t="shared" si="97"/>
        <v>Jakarta</v>
      </c>
      <c r="CI62" s="271">
        <f t="shared" si="98"/>
        <v>63.5410049717938</v>
      </c>
      <c r="CJ62" s="24">
        <f t="shared" si="69"/>
        <v>63.5410049717938</v>
      </c>
      <c r="CK62" s="24">
        <f t="shared" si="39"/>
        <v>1</v>
      </c>
      <c r="CL62" s="275" t="e">
        <f t="shared" si="70"/>
        <v>#N/A</v>
      </c>
    </row>
    <row r="63" ht="15.75" spans="1:90">
      <c r="A63" s="1">
        <f>tblTerritories!A60</f>
        <v>58</v>
      </c>
      <c r="B63" s="1" t="str">
        <f>tblTerritories!B60</f>
        <v/>
      </c>
      <c r="C63" s="1" t="str">
        <f>tblTerritories!C60</f>
        <v>Wellington</v>
      </c>
      <c r="D63" s="1" t="str">
        <f>tblTerritories!J60</f>
        <v>Wellington</v>
      </c>
      <c r="E63" s="1">
        <f t="shared" si="40"/>
        <v>0</v>
      </c>
      <c r="F63" s="1">
        <f>IF(tblTerritories!F60="",0,tblTerritories!F60)</f>
        <v>1</v>
      </c>
      <c r="G63" s="1">
        <f t="shared" si="71"/>
        <v>83.18097</v>
      </c>
      <c r="H63" s="1">
        <f>IF(F63=0,"",RANK(G63,G$6:G$66,0)+COUNTIF(G$6:G63,G63)-1)</f>
        <v>16</v>
      </c>
      <c r="I63" s="1">
        <f t="shared" si="41"/>
        <v>16</v>
      </c>
      <c r="J63" s="1">
        <f t="shared" si="42"/>
        <v>1</v>
      </c>
      <c r="K63" s="269" t="e">
        <f t="shared" si="72"/>
        <v>#VALUE!</v>
      </c>
      <c r="L63" s="269">
        <f t="shared" si="43"/>
        <v>1</v>
      </c>
      <c r="M63" s="268" t="e">
        <f t="shared" si="44"/>
        <v>#VALUE!</v>
      </c>
      <c r="N63" s="273" t="str">
        <f t="shared" si="73"/>
        <v>Dhaka</v>
      </c>
      <c r="O63" s="271">
        <f t="shared" si="74"/>
        <v>47.3725540843484</v>
      </c>
      <c r="P63" s="24">
        <f t="shared" si="45"/>
        <v>47.3725540843484</v>
      </c>
      <c r="Q63" s="24">
        <f t="shared" si="4"/>
        <v>1</v>
      </c>
      <c r="R63" s="275" t="e">
        <f t="shared" si="46"/>
        <v>#N/A</v>
      </c>
      <c r="T63" s="273" t="str">
        <f t="shared" si="75"/>
        <v>Dhaka</v>
      </c>
      <c r="U63" s="271">
        <f t="shared" si="76"/>
        <v>38.3333333333333</v>
      </c>
      <c r="V63" s="24">
        <f t="shared" si="47"/>
        <v>38.3333333333333</v>
      </c>
      <c r="W63" s="24">
        <f t="shared" si="7"/>
        <v>1</v>
      </c>
      <c r="X63" s="275" t="e">
        <f t="shared" si="48"/>
        <v>#N/A</v>
      </c>
      <c r="Z63" s="273" t="str">
        <f t="shared" si="77"/>
        <v>Dhaka</v>
      </c>
      <c r="AA63" s="271">
        <f t="shared" si="78"/>
        <v>26.6666666666667</v>
      </c>
      <c r="AB63" s="24">
        <f t="shared" si="49"/>
        <v>26.6666666666667</v>
      </c>
      <c r="AC63" s="272">
        <v>1</v>
      </c>
      <c r="AD63" s="275" t="e">
        <f t="shared" si="50"/>
        <v>#N/A</v>
      </c>
      <c r="AF63" s="273" t="str">
        <f t="shared" si="79"/>
        <v>Dhaka</v>
      </c>
      <c r="AG63" s="271">
        <f t="shared" si="80"/>
        <v>50</v>
      </c>
      <c r="AH63" s="24">
        <f t="shared" si="51"/>
        <v>50</v>
      </c>
      <c r="AI63" s="24">
        <f t="shared" si="12"/>
        <v>1</v>
      </c>
      <c r="AJ63" s="275" t="e">
        <f t="shared" si="52"/>
        <v>#N/A</v>
      </c>
      <c r="AL63" s="273" t="str">
        <f t="shared" si="81"/>
        <v>Dhaka</v>
      </c>
      <c r="AM63" s="271">
        <f t="shared" si="82"/>
        <v>45.5859282500325</v>
      </c>
      <c r="AN63" s="24">
        <f t="shared" si="53"/>
        <v>45.5859282500325</v>
      </c>
      <c r="AO63" s="24">
        <f t="shared" si="15"/>
        <v>1</v>
      </c>
      <c r="AP63" s="275" t="e">
        <f t="shared" si="54"/>
        <v>#N/A</v>
      </c>
      <c r="AR63" s="273" t="str">
        <f t="shared" si="83"/>
        <v>Dhaka</v>
      </c>
      <c r="AS63" s="271">
        <f t="shared" si="84"/>
        <v>28.6196079891908</v>
      </c>
      <c r="AT63" s="24">
        <f t="shared" si="55"/>
        <v>28.6196079891908</v>
      </c>
      <c r="AU63" s="24">
        <f t="shared" si="18"/>
        <v>1</v>
      </c>
      <c r="AV63" s="275" t="e">
        <f t="shared" si="56"/>
        <v>#N/A</v>
      </c>
      <c r="AX63" s="273" t="str">
        <f t="shared" si="85"/>
        <v>Dhaka</v>
      </c>
      <c r="AY63" s="271">
        <f t="shared" si="86"/>
        <v>62.5522485108742</v>
      </c>
      <c r="AZ63" s="24">
        <f t="shared" si="57"/>
        <v>62.5522485108742</v>
      </c>
      <c r="BA63" s="24">
        <f t="shared" si="21"/>
        <v>1</v>
      </c>
      <c r="BB63" s="275" t="e">
        <f t="shared" si="58"/>
        <v>#N/A</v>
      </c>
      <c r="BD63" s="273" t="str">
        <f t="shared" si="87"/>
        <v>Dhaka</v>
      </c>
      <c r="BE63" s="271">
        <f t="shared" si="88"/>
        <v>38.4188834103654</v>
      </c>
      <c r="BF63" s="24">
        <f t="shared" si="59"/>
        <v>38.4188834103654</v>
      </c>
      <c r="BG63" s="24">
        <f t="shared" si="24"/>
        <v>1</v>
      </c>
      <c r="BH63" s="275" t="e">
        <f t="shared" si="60"/>
        <v>#N/A</v>
      </c>
      <c r="BJ63" s="273" t="str">
        <f t="shared" si="89"/>
        <v>Dhaka</v>
      </c>
      <c r="BK63" s="271">
        <f t="shared" si="90"/>
        <v>21</v>
      </c>
      <c r="BL63" s="24">
        <f t="shared" si="61"/>
        <v>21</v>
      </c>
      <c r="BM63" s="24">
        <f t="shared" si="27"/>
        <v>1</v>
      </c>
      <c r="BN63" s="275" t="e">
        <f t="shared" si="62"/>
        <v>#N/A</v>
      </c>
      <c r="BP63" s="273" t="str">
        <f t="shared" si="91"/>
        <v>Dhaka</v>
      </c>
      <c r="BQ63" s="271">
        <f t="shared" si="92"/>
        <v>55.8377668207307</v>
      </c>
      <c r="BR63" s="24">
        <f t="shared" si="63"/>
        <v>55.8377668207307</v>
      </c>
      <c r="BS63" s="24">
        <f t="shared" si="30"/>
        <v>1</v>
      </c>
      <c r="BT63" s="275" t="e">
        <f t="shared" si="64"/>
        <v>#N/A</v>
      </c>
      <c r="BV63" s="273" t="str">
        <f t="shared" si="93"/>
        <v>Dhaka</v>
      </c>
      <c r="BW63" s="271">
        <f t="shared" si="94"/>
        <v>67.1520713436624</v>
      </c>
      <c r="BX63" s="24">
        <f t="shared" si="65"/>
        <v>67.1520713436624</v>
      </c>
      <c r="BY63" s="24">
        <f t="shared" si="33"/>
        <v>1</v>
      </c>
      <c r="BZ63" s="275" t="e">
        <f t="shared" si="66"/>
        <v>#N/A</v>
      </c>
      <c r="CB63" s="273" t="str">
        <f t="shared" si="95"/>
        <v>Dhaka</v>
      </c>
      <c r="CC63" s="271">
        <f t="shared" si="96"/>
        <v>74.4557823129252</v>
      </c>
      <c r="CD63" s="24">
        <f t="shared" si="67"/>
        <v>74.4557823129252</v>
      </c>
      <c r="CE63" s="24">
        <f t="shared" si="36"/>
        <v>1</v>
      </c>
      <c r="CF63" s="275" t="e">
        <f t="shared" si="68"/>
        <v>#N/A</v>
      </c>
      <c r="CH63" s="273" t="str">
        <f t="shared" si="97"/>
        <v>Dhaka</v>
      </c>
      <c r="CI63" s="271">
        <f t="shared" si="98"/>
        <v>59.8483603743997</v>
      </c>
      <c r="CJ63" s="24">
        <f t="shared" si="69"/>
        <v>59.8483603743997</v>
      </c>
      <c r="CK63" s="24">
        <f t="shared" si="39"/>
        <v>1</v>
      </c>
      <c r="CL63" s="275" t="e">
        <f t="shared" si="70"/>
        <v>#N/A</v>
      </c>
    </row>
    <row r="64" ht="15.75" spans="1:90">
      <c r="A64" s="1">
        <f>tblTerritories!A61</f>
        <v>59</v>
      </c>
      <c r="B64" s="1" t="str">
        <f>tblTerritories!B61</f>
        <v/>
      </c>
      <c r="C64" s="1" t="str">
        <f>tblTerritories!C61</f>
        <v>Yangon</v>
      </c>
      <c r="D64" s="1" t="str">
        <f>tblTerritories!J61</f>
        <v>Yangon</v>
      </c>
      <c r="E64" s="1">
        <f t="shared" si="40"/>
        <v>0</v>
      </c>
      <c r="F64" s="1">
        <f>IF(tblTerritories!F61="",0,tblTerritories!F61)</f>
        <v>1</v>
      </c>
      <c r="G64" s="1">
        <f t="shared" si="71"/>
        <v>46.46621</v>
      </c>
      <c r="H64" s="1">
        <f>IF(F64=0,"",RANK(G64,G$6:G$66,0)+COUNTIF(G$6:G64,G64)-1)</f>
        <v>59</v>
      </c>
      <c r="I64" s="1">
        <f t="shared" si="41"/>
        <v>59</v>
      </c>
      <c r="J64" s="1">
        <f t="shared" si="42"/>
        <v>1</v>
      </c>
      <c r="K64" s="269" t="e">
        <f t="shared" si="72"/>
        <v>#VALUE!</v>
      </c>
      <c r="L64" s="269">
        <f t="shared" si="43"/>
        <v>1</v>
      </c>
      <c r="M64" s="268" t="e">
        <f t="shared" si="44"/>
        <v>#VALUE!</v>
      </c>
      <c r="N64" s="273" t="str">
        <f t="shared" si="73"/>
        <v>Yangon</v>
      </c>
      <c r="O64" s="271">
        <f t="shared" si="74"/>
        <v>46.4662143998747</v>
      </c>
      <c r="P64" s="24">
        <f t="shared" si="45"/>
        <v>46.4662143998747</v>
      </c>
      <c r="Q64" s="24">
        <f t="shared" si="4"/>
        <v>1</v>
      </c>
      <c r="R64" s="275" t="e">
        <f t="shared" si="46"/>
        <v>#N/A</v>
      </c>
      <c r="T64" s="273" t="str">
        <f t="shared" si="75"/>
        <v>Yangon</v>
      </c>
      <c r="U64" s="271">
        <f t="shared" si="76"/>
        <v>39.0672022686312</v>
      </c>
      <c r="V64" s="24">
        <f t="shared" si="47"/>
        <v>39.0672022686312</v>
      </c>
      <c r="W64" s="24">
        <f t="shared" si="7"/>
        <v>1</v>
      </c>
      <c r="X64" s="275" t="e">
        <f t="shared" si="48"/>
        <v>#N/A</v>
      </c>
      <c r="Z64" s="273" t="str">
        <f t="shared" si="77"/>
        <v>Yangon</v>
      </c>
      <c r="AA64" s="271">
        <f t="shared" si="78"/>
        <v>16.6666666666667</v>
      </c>
      <c r="AB64" s="24">
        <f t="shared" si="49"/>
        <v>16.6666666666667</v>
      </c>
      <c r="AC64" s="272">
        <v>1</v>
      </c>
      <c r="AD64" s="275" t="e">
        <f t="shared" si="50"/>
        <v>#N/A</v>
      </c>
      <c r="AF64" s="273" t="str">
        <f t="shared" si="79"/>
        <v>Yangon</v>
      </c>
      <c r="AG64" s="271">
        <f t="shared" si="80"/>
        <v>61.4677378705957</v>
      </c>
      <c r="AH64" s="24">
        <f t="shared" si="51"/>
        <v>61.4677378705957</v>
      </c>
      <c r="AI64" s="24">
        <f t="shared" si="12"/>
        <v>1</v>
      </c>
      <c r="AJ64" s="275" t="e">
        <f t="shared" si="52"/>
        <v>#N/A</v>
      </c>
      <c r="AL64" s="273" t="str">
        <f t="shared" si="81"/>
        <v>Yangon</v>
      </c>
      <c r="AM64" s="271">
        <f t="shared" si="82"/>
        <v>45.7892310322449</v>
      </c>
      <c r="AN64" s="24">
        <f t="shared" si="53"/>
        <v>45.7892310322449</v>
      </c>
      <c r="AO64" s="24">
        <f t="shared" si="15"/>
        <v>1</v>
      </c>
      <c r="AP64" s="275" t="e">
        <f t="shared" si="54"/>
        <v>#N/A</v>
      </c>
      <c r="AR64" s="273" t="str">
        <f t="shared" si="83"/>
        <v>Yangon</v>
      </c>
      <c r="AS64" s="271">
        <f t="shared" si="84"/>
        <v>35.8823904298325</v>
      </c>
      <c r="AT64" s="24">
        <f t="shared" si="55"/>
        <v>35.8823904298325</v>
      </c>
      <c r="AU64" s="24">
        <f t="shared" si="18"/>
        <v>1</v>
      </c>
      <c r="AV64" s="275" t="e">
        <f t="shared" si="56"/>
        <v>#N/A</v>
      </c>
      <c r="AX64" s="273" t="str">
        <f t="shared" si="85"/>
        <v>Yangon</v>
      </c>
      <c r="AY64" s="271">
        <f t="shared" si="86"/>
        <v>55.6960716346574</v>
      </c>
      <c r="AZ64" s="24">
        <f t="shared" si="57"/>
        <v>55.6960716346574</v>
      </c>
      <c r="BA64" s="24">
        <f t="shared" si="21"/>
        <v>1</v>
      </c>
      <c r="BB64" s="275" t="e">
        <f t="shared" si="58"/>
        <v>#N/A</v>
      </c>
      <c r="BD64" s="273" t="str">
        <f t="shared" si="87"/>
        <v>Yangon</v>
      </c>
      <c r="BE64" s="271">
        <f t="shared" si="88"/>
        <v>48.5783090960745</v>
      </c>
      <c r="BF64" s="24">
        <f t="shared" si="59"/>
        <v>48.5783090960745</v>
      </c>
      <c r="BG64" s="24">
        <f t="shared" si="24"/>
        <v>1</v>
      </c>
      <c r="BH64" s="275" t="e">
        <f t="shared" si="60"/>
        <v>#N/A</v>
      </c>
      <c r="BJ64" s="273" t="str">
        <f t="shared" si="89"/>
        <v>Yangon</v>
      </c>
      <c r="BK64" s="271">
        <f t="shared" si="90"/>
        <v>30</v>
      </c>
      <c r="BL64" s="24">
        <f t="shared" si="61"/>
        <v>30</v>
      </c>
      <c r="BM64" s="24">
        <f t="shared" si="27"/>
        <v>1</v>
      </c>
      <c r="BN64" s="275" t="e">
        <f t="shared" si="62"/>
        <v>#N/A</v>
      </c>
      <c r="BP64" s="273" t="str">
        <f t="shared" si="91"/>
        <v>Yangon</v>
      </c>
      <c r="BQ64" s="271">
        <f t="shared" si="92"/>
        <v>67.156618192149</v>
      </c>
      <c r="BR64" s="24">
        <f t="shared" si="63"/>
        <v>67.156618192149</v>
      </c>
      <c r="BS64" s="24">
        <f t="shared" si="30"/>
        <v>1</v>
      </c>
      <c r="BT64" s="275" t="e">
        <f t="shared" si="64"/>
        <v>#N/A</v>
      </c>
      <c r="BV64" s="273" t="str">
        <f t="shared" si="93"/>
        <v>Yangon</v>
      </c>
      <c r="BW64" s="271">
        <f t="shared" si="94"/>
        <v>52.4301152025482</v>
      </c>
      <c r="BX64" s="24">
        <f t="shared" si="65"/>
        <v>52.4301152025482</v>
      </c>
      <c r="BY64" s="24">
        <f t="shared" si="33"/>
        <v>1</v>
      </c>
      <c r="BZ64" s="275" t="e">
        <f t="shared" si="66"/>
        <v>#N/A</v>
      </c>
      <c r="CB64" s="273" t="str">
        <f t="shared" si="95"/>
        <v>Yangon</v>
      </c>
      <c r="CC64" s="271">
        <f t="shared" si="96"/>
        <v>38.3219954648526</v>
      </c>
      <c r="CD64" s="24">
        <f t="shared" si="67"/>
        <v>38.3219954648526</v>
      </c>
      <c r="CE64" s="24">
        <f t="shared" si="36"/>
        <v>1</v>
      </c>
      <c r="CF64" s="275" t="e">
        <f t="shared" si="68"/>
        <v>#N/A</v>
      </c>
      <c r="CH64" s="273" t="str">
        <f t="shared" si="97"/>
        <v>Yangon</v>
      </c>
      <c r="CI64" s="271">
        <f t="shared" si="98"/>
        <v>66.5382349402438</v>
      </c>
      <c r="CJ64" s="24">
        <f t="shared" si="69"/>
        <v>66.5382349402438</v>
      </c>
      <c r="CK64" s="24">
        <f t="shared" si="39"/>
        <v>1</v>
      </c>
      <c r="CL64" s="275" t="e">
        <f t="shared" si="70"/>
        <v>#N/A</v>
      </c>
    </row>
    <row r="65" ht="15.75" spans="1:90">
      <c r="A65" s="1">
        <f>tblTerritories!A62</f>
        <v>60</v>
      </c>
      <c r="B65" s="1" t="str">
        <f>tblTerritories!B62</f>
        <v/>
      </c>
      <c r="C65" s="1" t="str">
        <f>tblTerritories!C62</f>
        <v>Zurich</v>
      </c>
      <c r="D65" s="1" t="str">
        <f>tblTerritories!J62</f>
        <v>Zurich</v>
      </c>
      <c r="E65" s="1">
        <f t="shared" si="40"/>
        <v>0</v>
      </c>
      <c r="F65" s="1">
        <f>IF(tblTerritories!F62="",0,tblTerritories!F62)</f>
        <v>1</v>
      </c>
      <c r="G65" s="1">
        <f t="shared" si="71"/>
        <v>85.19855</v>
      </c>
      <c r="H65" s="1">
        <f>IF(F65=0,"",RANK(G65,G$6:G$66,0)+COUNTIF(G$6:G65,G65)-1)</f>
        <v>10</v>
      </c>
      <c r="I65" s="1">
        <f t="shared" si="41"/>
        <v>25</v>
      </c>
      <c r="J65" s="1">
        <f t="shared" si="42"/>
        <v>1</v>
      </c>
      <c r="K65" s="269" t="e">
        <f t="shared" si="72"/>
        <v>#VALUE!</v>
      </c>
      <c r="L65" s="269">
        <f t="shared" si="43"/>
        <v>1</v>
      </c>
      <c r="M65" s="268" t="e">
        <f t="shared" si="44"/>
        <v>#VALUE!</v>
      </c>
      <c r="N65" s="273" t="str">
        <f t="shared" si="73"/>
        <v>Karachi</v>
      </c>
      <c r="O65" s="271">
        <f t="shared" si="74"/>
        <v>38.7737795060127</v>
      </c>
      <c r="P65" s="24">
        <f t="shared" si="45"/>
        <v>38.7737795060127</v>
      </c>
      <c r="Q65" s="24">
        <f t="shared" si="4"/>
        <v>1</v>
      </c>
      <c r="R65" s="275" t="e">
        <f t="shared" si="46"/>
        <v>#N/A</v>
      </c>
      <c r="T65" s="273" t="str">
        <f t="shared" si="75"/>
        <v>Karachi</v>
      </c>
      <c r="U65" s="271">
        <f t="shared" si="76"/>
        <v>43.2175596978271</v>
      </c>
      <c r="V65" s="24">
        <f t="shared" si="47"/>
        <v>43.2175596978271</v>
      </c>
      <c r="W65" s="24">
        <f t="shared" si="7"/>
        <v>1</v>
      </c>
      <c r="X65" s="275" t="e">
        <f t="shared" si="48"/>
        <v>#N/A</v>
      </c>
      <c r="Z65" s="273" t="str">
        <f t="shared" si="77"/>
        <v>Karachi</v>
      </c>
      <c r="AA65" s="271">
        <f t="shared" si="78"/>
        <v>35</v>
      </c>
      <c r="AB65" s="24">
        <f t="shared" si="49"/>
        <v>35</v>
      </c>
      <c r="AC65" s="272">
        <v>1</v>
      </c>
      <c r="AD65" s="275" t="e">
        <f t="shared" si="50"/>
        <v>#N/A</v>
      </c>
      <c r="AF65" s="273" t="str">
        <f t="shared" si="79"/>
        <v>Karachi</v>
      </c>
      <c r="AG65" s="271">
        <f t="shared" si="80"/>
        <v>51.4351193956541</v>
      </c>
      <c r="AH65" s="24">
        <f t="shared" si="51"/>
        <v>51.4351193956541</v>
      </c>
      <c r="AI65" s="24">
        <f t="shared" si="12"/>
        <v>1</v>
      </c>
      <c r="AJ65" s="275" t="e">
        <f t="shared" si="52"/>
        <v>#N/A</v>
      </c>
      <c r="AL65" s="273" t="str">
        <f t="shared" si="81"/>
        <v>Karachi</v>
      </c>
      <c r="AM65" s="271">
        <f t="shared" si="82"/>
        <v>39.9212106600053</v>
      </c>
      <c r="AN65" s="24">
        <f t="shared" si="53"/>
        <v>39.9212106600053</v>
      </c>
      <c r="AO65" s="24">
        <f t="shared" si="15"/>
        <v>1</v>
      </c>
      <c r="AP65" s="275" t="e">
        <f t="shared" si="54"/>
        <v>#N/A</v>
      </c>
      <c r="AR65" s="273" t="str">
        <f t="shared" si="83"/>
        <v>Karachi</v>
      </c>
      <c r="AS65" s="271">
        <f t="shared" si="84"/>
        <v>31.691486179433</v>
      </c>
      <c r="AT65" s="24">
        <f t="shared" si="55"/>
        <v>31.691486179433</v>
      </c>
      <c r="AU65" s="24">
        <f t="shared" si="18"/>
        <v>1</v>
      </c>
      <c r="AV65" s="275" t="e">
        <f t="shared" si="56"/>
        <v>#N/A</v>
      </c>
      <c r="AX65" s="273" t="str">
        <f t="shared" si="85"/>
        <v>Karachi</v>
      </c>
      <c r="AY65" s="271">
        <f t="shared" si="86"/>
        <v>48.1509351405775</v>
      </c>
      <c r="AZ65" s="24">
        <f t="shared" si="57"/>
        <v>48.1509351405775</v>
      </c>
      <c r="BA65" s="24">
        <f t="shared" si="21"/>
        <v>1</v>
      </c>
      <c r="BB65" s="275" t="e">
        <f t="shared" si="58"/>
        <v>#N/A</v>
      </c>
      <c r="BD65" s="273" t="str">
        <f t="shared" si="87"/>
        <v>Karachi</v>
      </c>
      <c r="BE65" s="271">
        <f t="shared" si="88"/>
        <v>40.1112106909003</v>
      </c>
      <c r="BF65" s="24">
        <f t="shared" si="59"/>
        <v>40.1112106909003</v>
      </c>
      <c r="BG65" s="24">
        <f t="shared" si="24"/>
        <v>1</v>
      </c>
      <c r="BH65" s="275" t="e">
        <f t="shared" si="60"/>
        <v>#N/A</v>
      </c>
      <c r="BJ65" s="273" t="str">
        <f t="shared" si="89"/>
        <v>Karachi</v>
      </c>
      <c r="BK65" s="271">
        <f t="shared" si="90"/>
        <v>26</v>
      </c>
      <c r="BL65" s="24">
        <f t="shared" si="61"/>
        <v>26</v>
      </c>
      <c r="BM65" s="24">
        <f t="shared" si="27"/>
        <v>1</v>
      </c>
      <c r="BN65" s="275" t="e">
        <f t="shared" si="62"/>
        <v>#N/A</v>
      </c>
      <c r="BP65" s="273" t="str">
        <f t="shared" si="91"/>
        <v>Karachi</v>
      </c>
      <c r="BQ65" s="271">
        <f t="shared" si="92"/>
        <v>54.2224213818006</v>
      </c>
      <c r="BR65" s="24">
        <f t="shared" si="63"/>
        <v>54.2224213818006</v>
      </c>
      <c r="BS65" s="24">
        <f t="shared" si="30"/>
        <v>1</v>
      </c>
      <c r="BT65" s="275" t="e">
        <f t="shared" si="64"/>
        <v>#N/A</v>
      </c>
      <c r="BV65" s="273" t="str">
        <f t="shared" si="93"/>
        <v>Karachi</v>
      </c>
      <c r="BW65" s="271">
        <f t="shared" si="94"/>
        <v>31.8451369753181</v>
      </c>
      <c r="BX65" s="24">
        <f t="shared" si="65"/>
        <v>31.8451369753181</v>
      </c>
      <c r="BY65" s="24">
        <f t="shared" si="33"/>
        <v>1</v>
      </c>
      <c r="BZ65" s="275" t="e">
        <f t="shared" si="66"/>
        <v>#N/A</v>
      </c>
      <c r="CB65" s="273" t="str">
        <f t="shared" si="95"/>
        <v>Karachi</v>
      </c>
      <c r="CC65" s="271">
        <f t="shared" si="96"/>
        <v>37.0068027210884</v>
      </c>
      <c r="CD65" s="24">
        <f t="shared" si="67"/>
        <v>37.0068027210884</v>
      </c>
      <c r="CE65" s="24">
        <f t="shared" si="36"/>
        <v>1</v>
      </c>
      <c r="CF65" s="275" t="e">
        <f t="shared" si="68"/>
        <v>#N/A</v>
      </c>
      <c r="CH65" s="273" t="str">
        <f t="shared" si="97"/>
        <v>Karachi</v>
      </c>
      <c r="CI65" s="271">
        <f t="shared" si="98"/>
        <v>26.6834712295477</v>
      </c>
      <c r="CJ65" s="24">
        <f t="shared" si="69"/>
        <v>26.6834712295477</v>
      </c>
      <c r="CK65" s="24">
        <f t="shared" si="39"/>
        <v>1</v>
      </c>
      <c r="CL65" s="275" t="e">
        <f t="shared" si="70"/>
        <v>#N/A</v>
      </c>
    </row>
    <row r="66" spans="1:90">
      <c r="A66" s="1">
        <f>tblTerritories!A63</f>
        <v>61</v>
      </c>
      <c r="B66" s="1" t="str">
        <f>tblTerritories!B63</f>
        <v/>
      </c>
      <c r="C66" s="1" t="str">
        <f>tblTerritories!C63</f>
        <v>Kyoto</v>
      </c>
      <c r="D66" s="1" t="str">
        <f>tblTerritories!J63</f>
        <v>Kyoto</v>
      </c>
      <c r="E66" s="1">
        <f t="shared" si="40"/>
        <v>0</v>
      </c>
      <c r="F66" s="1">
        <f>IF(tblTerritories!F63="",0,tblTerritories!F63)</f>
        <v>0</v>
      </c>
      <c r="G66" s="1" t="str">
        <f t="shared" si="71"/>
        <v/>
      </c>
      <c r="H66" s="1" t="str">
        <f>IF(F66=0,"",RANK(G66,G$6:G$66,0)+COUNTIF(G$6:G66,G66)-1)</f>
        <v/>
      </c>
      <c r="I66" s="1" t="str">
        <f t="shared" si="41"/>
        <v/>
      </c>
      <c r="J66" s="1" t="str">
        <f t="shared" si="42"/>
        <v/>
      </c>
      <c r="K66" s="269" t="str">
        <f t="shared" si="72"/>
        <v/>
      </c>
      <c r="L66" s="269" t="str">
        <f t="shared" si="43"/>
        <v/>
      </c>
      <c r="M66" s="268" t="str">
        <f t="shared" si="44"/>
        <v/>
      </c>
      <c r="N66" s="273" t="e">
        <f t="shared" si="73"/>
        <v>#VALUE!</v>
      </c>
      <c r="O66" s="271" t="e">
        <f t="shared" si="74"/>
        <v>#VALUE!</v>
      </c>
      <c r="P66" s="24" t="e">
        <f t="shared" si="45"/>
        <v>#N/A</v>
      </c>
      <c r="Q66" s="24">
        <f t="shared" si="4"/>
        <v>1</v>
      </c>
      <c r="R66" s="275" t="e">
        <f t="shared" si="46"/>
        <v>#N/A</v>
      </c>
      <c r="T66" s="273" t="str">
        <f t="shared" si="75"/>
        <v/>
      </c>
      <c r="U66" s="271" t="e">
        <f t="shared" si="76"/>
        <v>#VALUE!</v>
      </c>
      <c r="V66" s="24" t="e">
        <f t="shared" si="47"/>
        <v>#N/A</v>
      </c>
      <c r="W66" s="24">
        <f t="shared" si="7"/>
        <v>1</v>
      </c>
      <c r="X66" s="275" t="e">
        <f t="shared" si="48"/>
        <v>#N/A</v>
      </c>
      <c r="Z66" s="273" t="e">
        <f t="shared" si="77"/>
        <v>#VALUE!</v>
      </c>
      <c r="AA66" s="271" t="e">
        <f t="shared" si="78"/>
        <v>#VALUE!</v>
      </c>
      <c r="AB66" s="24" t="e">
        <f t="shared" si="49"/>
        <v>#N/A</v>
      </c>
      <c r="AC66" s="272">
        <v>1</v>
      </c>
      <c r="AD66" s="275" t="e">
        <f t="shared" si="50"/>
        <v>#N/A</v>
      </c>
      <c r="AF66" s="273" t="e">
        <f t="shared" si="79"/>
        <v>#VALUE!</v>
      </c>
      <c r="AG66" s="271" t="e">
        <f t="shared" si="80"/>
        <v>#VALUE!</v>
      </c>
      <c r="AH66" s="24" t="e">
        <f t="shared" si="51"/>
        <v>#N/A</v>
      </c>
      <c r="AI66" s="24">
        <f t="shared" si="12"/>
        <v>1</v>
      </c>
      <c r="AJ66" s="275" t="e">
        <f t="shared" si="52"/>
        <v>#N/A</v>
      </c>
      <c r="AL66" s="273" t="e">
        <f t="shared" si="81"/>
        <v>#VALUE!</v>
      </c>
      <c r="AM66" s="271" t="e">
        <f t="shared" si="82"/>
        <v>#VALUE!</v>
      </c>
      <c r="AN66" s="24" t="e">
        <f t="shared" si="53"/>
        <v>#N/A</v>
      </c>
      <c r="AO66" s="24">
        <f t="shared" si="15"/>
        <v>1</v>
      </c>
      <c r="AP66" s="275" t="e">
        <f t="shared" si="54"/>
        <v>#N/A</v>
      </c>
      <c r="AR66" s="273" t="e">
        <f t="shared" si="83"/>
        <v>#VALUE!</v>
      </c>
      <c r="AS66" s="271" t="e">
        <f t="shared" si="84"/>
        <v>#VALUE!</v>
      </c>
      <c r="AT66" s="24" t="e">
        <f t="shared" si="55"/>
        <v>#N/A</v>
      </c>
      <c r="AU66" s="24">
        <f t="shared" si="18"/>
        <v>1</v>
      </c>
      <c r="AV66" s="275" t="e">
        <f t="shared" si="56"/>
        <v>#N/A</v>
      </c>
      <c r="AX66" s="273" t="e">
        <f t="shared" si="85"/>
        <v>#VALUE!</v>
      </c>
      <c r="AY66" s="271" t="e">
        <f t="shared" si="86"/>
        <v>#VALUE!</v>
      </c>
      <c r="AZ66" s="24" t="e">
        <f t="shared" si="57"/>
        <v>#N/A</v>
      </c>
      <c r="BA66" s="24">
        <f t="shared" si="21"/>
        <v>1</v>
      </c>
      <c r="BB66" s="275" t="e">
        <f t="shared" si="58"/>
        <v>#N/A</v>
      </c>
      <c r="BD66" s="273" t="e">
        <f t="shared" si="87"/>
        <v>#VALUE!</v>
      </c>
      <c r="BE66" s="271" t="e">
        <f t="shared" si="88"/>
        <v>#VALUE!</v>
      </c>
      <c r="BF66" s="24" t="e">
        <f t="shared" si="59"/>
        <v>#N/A</v>
      </c>
      <c r="BG66" s="24">
        <f t="shared" si="24"/>
        <v>1</v>
      </c>
      <c r="BH66" s="275" t="e">
        <f t="shared" si="60"/>
        <v>#N/A</v>
      </c>
      <c r="BJ66" s="273" t="e">
        <f t="shared" si="89"/>
        <v>#VALUE!</v>
      </c>
      <c r="BK66" s="271" t="e">
        <f t="shared" si="90"/>
        <v>#VALUE!</v>
      </c>
      <c r="BL66" s="24" t="e">
        <f t="shared" si="61"/>
        <v>#N/A</v>
      </c>
      <c r="BM66" s="24">
        <f t="shared" si="27"/>
        <v>1</v>
      </c>
      <c r="BN66" s="275" t="e">
        <f t="shared" si="62"/>
        <v>#N/A</v>
      </c>
      <c r="BP66" s="273" t="e">
        <f t="shared" si="91"/>
        <v>#VALUE!</v>
      </c>
      <c r="BQ66" s="271" t="e">
        <f t="shared" si="92"/>
        <v>#VALUE!</v>
      </c>
      <c r="BR66" s="24" t="e">
        <f t="shared" si="63"/>
        <v>#N/A</v>
      </c>
      <c r="BS66" s="24">
        <f t="shared" si="30"/>
        <v>1</v>
      </c>
      <c r="BT66" s="275" t="e">
        <f t="shared" si="64"/>
        <v>#N/A</v>
      </c>
      <c r="BV66" s="273" t="e">
        <f t="shared" si="93"/>
        <v>#VALUE!</v>
      </c>
      <c r="BW66" s="271" t="e">
        <f t="shared" si="94"/>
        <v>#VALUE!</v>
      </c>
      <c r="BX66" s="24" t="e">
        <f t="shared" si="65"/>
        <v>#N/A</v>
      </c>
      <c r="BY66" s="24">
        <f t="shared" si="33"/>
        <v>1</v>
      </c>
      <c r="BZ66" s="275" t="e">
        <f t="shared" si="66"/>
        <v>#N/A</v>
      </c>
      <c r="CB66" s="273" t="e">
        <f t="shared" si="95"/>
        <v>#VALUE!</v>
      </c>
      <c r="CC66" s="271" t="e">
        <f t="shared" si="96"/>
        <v>#VALUE!</v>
      </c>
      <c r="CD66" s="24" t="e">
        <f t="shared" si="67"/>
        <v>#N/A</v>
      </c>
      <c r="CE66" s="24">
        <f t="shared" si="36"/>
        <v>1</v>
      </c>
      <c r="CF66" s="275" t="e">
        <f t="shared" si="68"/>
        <v>#N/A</v>
      </c>
      <c r="CH66" s="273" t="e">
        <f t="shared" si="97"/>
        <v>#VALUE!</v>
      </c>
      <c r="CI66" s="271" t="e">
        <f t="shared" si="98"/>
        <v>#VALUE!</v>
      </c>
      <c r="CJ66" s="24" t="e">
        <f t="shared" si="69"/>
        <v>#N/A</v>
      </c>
      <c r="CK66" s="24">
        <f t="shared" si="39"/>
        <v>1</v>
      </c>
      <c r="CL66" s="275" t="e">
        <f t="shared" si="70"/>
        <v>#N/A</v>
      </c>
    </row>
    <row r="67" spans="11:90">
      <c r="K67" s="269"/>
      <c r="L67" s="269"/>
      <c r="M67" s="268" t="str">
        <f t="shared" si="44"/>
        <v/>
      </c>
      <c r="N67" s="273"/>
      <c r="O67" s="271"/>
      <c r="P67" s="24"/>
      <c r="Q67" s="24"/>
      <c r="R67" s="275"/>
      <c r="T67" s="273"/>
      <c r="U67" s="271"/>
      <c r="V67" s="24"/>
      <c r="W67" s="24"/>
      <c r="X67" s="275"/>
      <c r="Z67" s="273"/>
      <c r="AA67" s="271"/>
      <c r="AB67" s="24"/>
      <c r="AC67" s="24"/>
      <c r="AD67" s="275"/>
      <c r="AF67" s="273"/>
      <c r="AG67" s="271"/>
      <c r="AH67" s="24"/>
      <c r="AI67" s="24"/>
      <c r="AJ67" s="275"/>
      <c r="AL67" s="273"/>
      <c r="AM67" s="271"/>
      <c r="AN67" s="24"/>
      <c r="AO67" s="24"/>
      <c r="AP67" s="275"/>
      <c r="AR67" s="273"/>
      <c r="AS67" s="271"/>
      <c r="AT67" s="24"/>
      <c r="AU67" s="24"/>
      <c r="AV67" s="275"/>
      <c r="AX67" s="273"/>
      <c r="AY67" s="271"/>
      <c r="AZ67" s="24"/>
      <c r="BA67" s="24"/>
      <c r="BB67" s="275"/>
      <c r="BD67" s="273"/>
      <c r="BE67" s="271"/>
      <c r="BF67" s="24"/>
      <c r="BG67" s="24"/>
      <c r="BH67" s="275"/>
      <c r="BJ67" s="273"/>
      <c r="BK67" s="271"/>
      <c r="BL67" s="24"/>
      <c r="BM67" s="24"/>
      <c r="BN67" s="275"/>
      <c r="BP67" s="273"/>
      <c r="BQ67" s="271"/>
      <c r="BR67" s="24"/>
      <c r="BS67" s="24"/>
      <c r="BT67" s="275"/>
      <c r="BV67" s="273"/>
      <c r="BW67" s="271"/>
      <c r="BX67" s="24"/>
      <c r="BY67" s="24"/>
      <c r="BZ67" s="275"/>
      <c r="CB67" s="273"/>
      <c r="CC67" s="271"/>
      <c r="CD67" s="24"/>
      <c r="CE67" s="24"/>
      <c r="CF67" s="275"/>
      <c r="CH67" s="273"/>
      <c r="CI67" s="271"/>
      <c r="CJ67" s="24"/>
      <c r="CK67" s="24"/>
      <c r="CL67" s="275"/>
    </row>
    <row r="68" spans="1:90">
      <c r="A68" s="1" t="s">
        <v>349</v>
      </c>
      <c r="B68" s="1" t="str">
        <f>uxb_works!C8</f>
        <v>&lt;none&gt;</v>
      </c>
      <c r="K68" s="269"/>
      <c r="L68" s="269"/>
      <c r="M68" s="268" t="str">
        <f t="shared" si="44"/>
        <v/>
      </c>
      <c r="N68" s="273"/>
      <c r="O68" s="271"/>
      <c r="P68" s="24"/>
      <c r="Q68" s="24"/>
      <c r="R68" s="275"/>
      <c r="T68" s="273"/>
      <c r="U68" s="271"/>
      <c r="V68" s="24"/>
      <c r="W68" s="24"/>
      <c r="X68" s="275"/>
      <c r="Z68" s="273"/>
      <c r="AA68" s="271"/>
      <c r="AB68" s="24"/>
      <c r="AC68" s="24"/>
      <c r="AD68" s="275"/>
      <c r="AF68" s="273"/>
      <c r="AG68" s="271"/>
      <c r="AH68" s="24"/>
      <c r="AI68" s="24"/>
      <c r="AJ68" s="275"/>
      <c r="AL68" s="273"/>
      <c r="AM68" s="271"/>
      <c r="AN68" s="24"/>
      <c r="AO68" s="24"/>
      <c r="AP68" s="275"/>
      <c r="AR68" s="273"/>
      <c r="AS68" s="271"/>
      <c r="AT68" s="24"/>
      <c r="AU68" s="24"/>
      <c r="AV68" s="275"/>
      <c r="AX68" s="273"/>
      <c r="AY68" s="271"/>
      <c r="AZ68" s="24"/>
      <c r="BA68" s="24"/>
      <c r="BB68" s="275"/>
      <c r="BD68" s="273"/>
      <c r="BE68" s="271"/>
      <c r="BF68" s="24"/>
      <c r="BG68" s="24"/>
      <c r="BH68" s="275"/>
      <c r="BJ68" s="273"/>
      <c r="BK68" s="271"/>
      <c r="BL68" s="24"/>
      <c r="BM68" s="24"/>
      <c r="BN68" s="275"/>
      <c r="BP68" s="273"/>
      <c r="BQ68" s="271"/>
      <c r="BR68" s="24"/>
      <c r="BS68" s="24"/>
      <c r="BT68" s="275"/>
      <c r="BV68" s="273"/>
      <c r="BW68" s="271"/>
      <c r="BX68" s="24"/>
      <c r="BY68" s="24"/>
      <c r="BZ68" s="275"/>
      <c r="CB68" s="273"/>
      <c r="CC68" s="271"/>
      <c r="CD68" s="24"/>
      <c r="CE68" s="24"/>
      <c r="CF68" s="275"/>
      <c r="CH68" s="273"/>
      <c r="CI68" s="271"/>
      <c r="CJ68" s="24"/>
      <c r="CK68" s="24"/>
      <c r="CL68" s="275"/>
    </row>
    <row r="69" spans="1:90">
      <c r="A69" s="1" t="s">
        <v>7</v>
      </c>
      <c r="M69" s="268" t="str">
        <f t="shared" si="44"/>
        <v/>
      </c>
      <c r="N69" s="273"/>
      <c r="O69" s="24"/>
      <c r="P69" s="24"/>
      <c r="Q69" s="24"/>
      <c r="R69" s="275"/>
      <c r="T69" s="273"/>
      <c r="U69" s="24"/>
      <c r="V69" s="24"/>
      <c r="W69" s="24"/>
      <c r="X69" s="275"/>
      <c r="Z69" s="273"/>
      <c r="AA69" s="24"/>
      <c r="AB69" s="24"/>
      <c r="AC69" s="24"/>
      <c r="AD69" s="275"/>
      <c r="AF69" s="273"/>
      <c r="AG69" s="24"/>
      <c r="AH69" s="24"/>
      <c r="AI69" s="24"/>
      <c r="AJ69" s="275"/>
      <c r="AL69" s="273"/>
      <c r="AM69" s="24"/>
      <c r="AN69" s="24"/>
      <c r="AO69" s="24"/>
      <c r="AP69" s="275"/>
      <c r="AR69" s="273"/>
      <c r="AS69" s="24"/>
      <c r="AT69" s="24"/>
      <c r="AU69" s="24"/>
      <c r="AV69" s="275"/>
      <c r="AX69" s="273"/>
      <c r="AY69" s="24"/>
      <c r="AZ69" s="24"/>
      <c r="BA69" s="24"/>
      <c r="BB69" s="275"/>
      <c r="BD69" s="273"/>
      <c r="BE69" s="24"/>
      <c r="BF69" s="24"/>
      <c r="BG69" s="24"/>
      <c r="BH69" s="275"/>
      <c r="BJ69" s="273"/>
      <c r="BK69" s="24"/>
      <c r="BL69" s="24"/>
      <c r="BM69" s="24"/>
      <c r="BN69" s="275"/>
      <c r="BP69" s="273"/>
      <c r="BQ69" s="24"/>
      <c r="BR69" s="24"/>
      <c r="BS69" s="24"/>
      <c r="BT69" s="275"/>
      <c r="BV69" s="273"/>
      <c r="BW69" s="24"/>
      <c r="BX69" s="24"/>
      <c r="BY69" s="24"/>
      <c r="BZ69" s="275"/>
      <c r="CB69" s="273"/>
      <c r="CC69" s="24"/>
      <c r="CD69" s="24"/>
      <c r="CE69" s="24"/>
      <c r="CF69" s="275"/>
      <c r="CH69" s="273"/>
      <c r="CI69" s="24"/>
      <c r="CJ69" s="24"/>
      <c r="CK69" s="24"/>
      <c r="CL69" s="275"/>
    </row>
    <row r="70" ht="15.75" spans="14:90">
      <c r="N70" s="1">
        <v>1</v>
      </c>
      <c r="O70" s="276">
        <f ca="1">INDEX(O6:O66,MATCH(uxb_works!$C$24,iCityScoreCard!N6:N66,0))</f>
        <v>76.9075622869516</v>
      </c>
      <c r="P70" s="276"/>
      <c r="Q70" s="276"/>
      <c r="R70" s="278"/>
      <c r="T70" s="1">
        <v>1</v>
      </c>
      <c r="U70" s="276">
        <f ca="1">INDEX(U6:U66,MATCH(uxb_works!$C$24,iCityScoreCard!T6:T66,0))</f>
        <v>68.7742107919604</v>
      </c>
      <c r="V70" s="276"/>
      <c r="W70" s="276"/>
      <c r="X70" s="278"/>
      <c r="Z70" s="279">
        <f>T70</f>
        <v>1</v>
      </c>
      <c r="AA70" s="276">
        <f ca="1">INDEX(AA6:AA66,MATCH(uxb_works!$C$24,iCityScoreCard!Z6:Z66,0))</f>
        <v>63.3333333333333</v>
      </c>
      <c r="AB70" s="276"/>
      <c r="AC70" s="276"/>
      <c r="AD70" s="278"/>
      <c r="AF70" s="279">
        <f>Z70</f>
        <v>1</v>
      </c>
      <c r="AG70" s="276">
        <f ca="1">INDEX(AG6:AG66,MATCH(uxb_works!$C$24,iCityScoreCard!AF6:AF66,0))</f>
        <v>74.2150882505875</v>
      </c>
      <c r="AH70" s="276"/>
      <c r="AI70" s="276"/>
      <c r="AJ70" s="278"/>
      <c r="AL70" s="279">
        <f>AF70</f>
        <v>1</v>
      </c>
      <c r="AM70" s="276">
        <f ca="1">INDEX(AM6:AM66,MATCH(uxb_works!$C$24,iCityScoreCard!AL6:AL66,0))</f>
        <v>68.5404322865189</v>
      </c>
      <c r="AN70" s="276"/>
      <c r="AO70" s="276"/>
      <c r="AP70" s="278"/>
      <c r="AR70" s="279">
        <f>AL70</f>
        <v>1</v>
      </c>
      <c r="AS70" s="276">
        <f ca="1">INDEX(AS6:AS66,MATCH(uxb_works!$C$24,iCityScoreCard!AR6:AR66,0))</f>
        <v>55.909058022829</v>
      </c>
      <c r="AT70" s="276"/>
      <c r="AU70" s="276"/>
      <c r="AV70" s="278"/>
      <c r="AX70" s="279">
        <f>AR70</f>
        <v>1</v>
      </c>
      <c r="AY70" s="276">
        <f ca="1">INDEX(AY6:AY66,MATCH(uxb_works!$C$24,iCityScoreCard!AX6:AX66,0))</f>
        <v>81.1718065502088</v>
      </c>
      <c r="AZ70" s="276"/>
      <c r="BA70" s="276"/>
      <c r="BB70" s="278"/>
      <c r="BD70" s="279">
        <f>AX70</f>
        <v>1</v>
      </c>
      <c r="BE70" s="276">
        <f ca="1">INDEX(BE6:BE66,MATCH(uxb_works!$C$24,iCityScoreCard!BD6:BD66,0))</f>
        <v>91.3641602398045</v>
      </c>
      <c r="BF70" s="276"/>
      <c r="BG70" s="276"/>
      <c r="BH70" s="278"/>
      <c r="BJ70" s="279">
        <f>BD70</f>
        <v>1</v>
      </c>
      <c r="BK70" s="276">
        <f ca="1">INDEX(BK6:BK66,MATCH(uxb_works!$C$24,iCityScoreCard!BJ6:BJ66,0))</f>
        <v>90</v>
      </c>
      <c r="BL70" s="276"/>
      <c r="BM70" s="276"/>
      <c r="BN70" s="278"/>
      <c r="BP70" s="279">
        <f>BJ70</f>
        <v>1</v>
      </c>
      <c r="BQ70" s="276">
        <f ca="1">INDEX(BQ6:BQ66,MATCH(uxb_works!$C$24,iCityScoreCard!BP6:BP66,0))</f>
        <v>92.728320479609</v>
      </c>
      <c r="BR70" s="276"/>
      <c r="BS70" s="276"/>
      <c r="BT70" s="278"/>
      <c r="BV70" s="279">
        <f>BP70</f>
        <v>1</v>
      </c>
      <c r="BW70" s="276">
        <f ca="1">INDEX(BW6:BW66,MATCH(uxb_works!$C$24,iCityScoreCard!BV6:BV66,0))</f>
        <v>78.9514458295227</v>
      </c>
      <c r="BX70" s="276"/>
      <c r="BY70" s="276"/>
      <c r="BZ70" s="278"/>
      <c r="CB70" s="279">
        <f>BV70</f>
        <v>1</v>
      </c>
      <c r="CC70" s="276">
        <f ca="1">INDEX(CC6:CC66,MATCH(uxb_works!$C$24,iCityScoreCard!CB6:CB66,0))</f>
        <v>71.8027210884354</v>
      </c>
      <c r="CD70" s="276"/>
      <c r="CE70" s="276"/>
      <c r="CF70" s="278"/>
      <c r="CH70" s="279">
        <f>CB70</f>
        <v>1</v>
      </c>
      <c r="CI70" s="276">
        <f ca="1">INDEX(CI6:CI66,MATCH(uxb_works!$C$24,iCityScoreCard!CH6:CH66,0))</f>
        <v>86.10017057061</v>
      </c>
      <c r="CJ70" s="276"/>
      <c r="CK70" s="276"/>
      <c r="CL70" s="278"/>
    </row>
    <row r="77" spans="15:87">
      <c r="O77" s="277"/>
      <c r="U77" s="277"/>
      <c r="AA77" s="277"/>
      <c r="AG77" s="277"/>
      <c r="AM77" s="277"/>
      <c r="AS77" s="277"/>
      <c r="AY77" s="277"/>
      <c r="BE77" s="277"/>
      <c r="BK77" s="277"/>
      <c r="BQ77" s="277"/>
      <c r="BW77" s="277"/>
      <c r="CC77" s="277"/>
      <c r="CI77" s="277"/>
    </row>
    <row r="78" spans="15:87">
      <c r="O78" s="277"/>
      <c r="U78" s="277"/>
      <c r="AA78" s="277"/>
      <c r="AG78" s="277"/>
      <c r="AM78" s="277"/>
      <c r="AS78" s="277"/>
      <c r="AY78" s="277"/>
      <c r="BE78" s="277"/>
      <c r="BK78" s="277"/>
      <c r="BQ78" s="277"/>
      <c r="BW78" s="277"/>
      <c r="CC78" s="277"/>
      <c r="CI78" s="277"/>
    </row>
    <row r="79" spans="15:87">
      <c r="O79" s="277"/>
      <c r="U79" s="277"/>
      <c r="AA79" s="277"/>
      <c r="AG79" s="277"/>
      <c r="AM79" s="277"/>
      <c r="AS79" s="277"/>
      <c r="AY79" s="277"/>
      <c r="BE79" s="277"/>
      <c r="BK79" s="277"/>
      <c r="BQ79" s="277"/>
      <c r="BW79" s="277"/>
      <c r="CC79" s="277"/>
      <c r="CI79" s="277"/>
    </row>
    <row r="80" spans="15:87">
      <c r="O80" s="277"/>
      <c r="U80" s="277"/>
      <c r="AA80" s="277"/>
      <c r="AG80" s="277"/>
      <c r="AM80" s="277"/>
      <c r="AS80" s="277"/>
      <c r="AY80" s="277"/>
      <c r="BE80" s="277"/>
      <c r="BK80" s="277"/>
      <c r="BQ80" s="277"/>
      <c r="BW80" s="277"/>
      <c r="CC80" s="277"/>
      <c r="CI80" s="277"/>
    </row>
    <row r="81" spans="15:87">
      <c r="O81" s="277"/>
      <c r="U81" s="277"/>
      <c r="AA81" s="277"/>
      <c r="AG81" s="277"/>
      <c r="AM81" s="277"/>
      <c r="AS81" s="277"/>
      <c r="AY81" s="277"/>
      <c r="BE81" s="277"/>
      <c r="BK81" s="277"/>
      <c r="BQ81" s="277"/>
      <c r="BW81" s="277"/>
      <c r="CC81" s="277"/>
      <c r="CI81" s="277"/>
    </row>
    <row r="82" spans="15:87">
      <c r="O82" s="277"/>
      <c r="U82" s="277"/>
      <c r="AA82" s="277"/>
      <c r="AG82" s="277"/>
      <c r="AM82" s="277"/>
      <c r="AS82" s="277"/>
      <c r="AY82" s="277"/>
      <c r="BE82" s="277"/>
      <c r="BK82" s="277"/>
      <c r="BQ82" s="277"/>
      <c r="BW82" s="277"/>
      <c r="CC82" s="277"/>
      <c r="CI82" s="277"/>
    </row>
    <row r="83" spans="15:87">
      <c r="O83" s="277"/>
      <c r="U83" s="277"/>
      <c r="AA83" s="277"/>
      <c r="AG83" s="277"/>
      <c r="AM83" s="277"/>
      <c r="AS83" s="277"/>
      <c r="AY83" s="277"/>
      <c r="BE83" s="277"/>
      <c r="BK83" s="277"/>
      <c r="BQ83" s="277"/>
      <c r="BW83" s="277"/>
      <c r="CC83" s="277"/>
      <c r="CI83" s="277"/>
    </row>
    <row r="84" spans="15:87">
      <c r="O84" s="277"/>
      <c r="U84" s="277"/>
      <c r="AA84" s="277"/>
      <c r="AG84" s="277"/>
      <c r="AM84" s="277"/>
      <c r="AS84" s="277"/>
      <c r="AY84" s="277"/>
      <c r="BE84" s="277"/>
      <c r="BK84" s="277"/>
      <c r="BQ84" s="277"/>
      <c r="BW84" s="277"/>
      <c r="CC84" s="277"/>
      <c r="CI84" s="277"/>
    </row>
    <row r="85" spans="15:87">
      <c r="O85" s="277"/>
      <c r="U85" s="277"/>
      <c r="AA85" s="277"/>
      <c r="AG85" s="277"/>
      <c r="AM85" s="277"/>
      <c r="AS85" s="277"/>
      <c r="AY85" s="277"/>
      <c r="BE85" s="277"/>
      <c r="BK85" s="277"/>
      <c r="BQ85" s="277"/>
      <c r="BW85" s="277"/>
      <c r="CC85" s="277"/>
      <c r="CI85" s="277"/>
    </row>
    <row r="86" spans="15:87">
      <c r="O86" s="277"/>
      <c r="U86" s="277"/>
      <c r="AA86" s="277"/>
      <c r="AG86" s="277"/>
      <c r="AM86" s="277"/>
      <c r="AS86" s="277"/>
      <c r="AY86" s="277"/>
      <c r="BE86" s="277"/>
      <c r="BK86" s="277"/>
      <c r="BQ86" s="277"/>
      <c r="BW86" s="277"/>
      <c r="CC86" s="277"/>
      <c r="CI86" s="277"/>
    </row>
    <row r="87" spans="15:87">
      <c r="O87" s="277"/>
      <c r="U87" s="277"/>
      <c r="AA87" s="277"/>
      <c r="AG87" s="277"/>
      <c r="AM87" s="277"/>
      <c r="AS87" s="277"/>
      <c r="AY87" s="277"/>
      <c r="BE87" s="277"/>
      <c r="BK87" s="277"/>
      <c r="BQ87" s="277"/>
      <c r="BW87" s="277"/>
      <c r="CC87" s="277"/>
      <c r="CI87" s="277"/>
    </row>
  </sheetData>
  <pageMargins left="0.551181102362205" right="0.551181102362205" top="0.590551181102362" bottom="0.78740157480315" header="0.511811023622047" footer="0.511811023622047"/>
  <pageSetup paperSize="9" scale="13" orientation="landscape"/>
  <headerFooter alignWithMargins="0">
    <oddHeader>&amp;RSafe Cities Index : 2017</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C000"/>
    <pageSetUpPr fitToPage="1"/>
  </sheetPr>
  <dimension ref="A1:AD57"/>
  <sheetViews>
    <sheetView showRowColHeaders="0" zoomScale="90" zoomScaleNormal="90" workbookViewId="0">
      <pane ySplit="1" topLeftCell="A29" activePane="bottomLeft" state="frozen"/>
      <selection/>
      <selection pane="bottomLeft" activeCell="H50" sqref="H50"/>
    </sheetView>
  </sheetViews>
  <sheetFormatPr defaultColWidth="9" defaultRowHeight="15"/>
  <cols>
    <col min="1" max="1" width="5.14285714285714" style="240" customWidth="1"/>
    <col min="2" max="2" width="12.4285714285714" style="240" customWidth="1"/>
    <col min="3" max="3" width="15.4285714285714" style="240" customWidth="1"/>
    <col min="4" max="4" width="3.85714285714286" style="240" customWidth="1"/>
    <col min="5" max="5" width="4.14285714285714" style="240" customWidth="1"/>
    <col min="6" max="6" width="8" style="241" customWidth="1"/>
    <col min="7" max="7" width="16.1428571428571" style="240" customWidth="1"/>
    <col min="8" max="8" width="39.2857142857143" style="240" customWidth="1"/>
    <col min="9" max="9" width="38" style="240" customWidth="1"/>
    <col min="10" max="10" width="25.2857142857143" style="240" customWidth="1"/>
    <col min="11" max="11" width="7.14285714285714" style="240" customWidth="1"/>
    <col min="12" max="12" width="13" style="240" customWidth="1"/>
    <col min="13" max="16" width="9.14285714285714" style="240"/>
    <col min="17" max="17" width="3.71428571428571" style="240" customWidth="1"/>
    <col min="18" max="18" width="3.85714285714286" style="240" customWidth="1"/>
    <col min="19" max="19" width="6.71428571428571" style="240" customWidth="1"/>
    <col min="20" max="20" width="4.14285714285714" style="240" customWidth="1"/>
    <col min="21" max="23" width="9.14285714285714" style="242"/>
    <col min="24" max="24" width="9.14285714285714" style="240"/>
    <col min="25" max="25" width="9.14285714285714" style="243"/>
    <col min="26" max="26" width="40.1428571428571" style="243" customWidth="1"/>
    <col min="27" max="27" width="9.14285714285714" style="243"/>
    <col min="28" max="30" width="9.14285714285714" style="244"/>
    <col min="31" max="16384" width="9.14285714285714" style="216"/>
  </cols>
  <sheetData>
    <row r="1" s="219" customFormat="1" ht="11.25" spans="1:30">
      <c r="A1" s="245" t="s">
        <v>420</v>
      </c>
      <c r="B1" s="245" t="s">
        <v>421</v>
      </c>
      <c r="C1" s="245" t="s">
        <v>422</v>
      </c>
      <c r="D1" s="245" t="s">
        <v>423</v>
      </c>
      <c r="E1" s="245" t="s">
        <v>424</v>
      </c>
      <c r="F1" s="246" t="s">
        <v>425</v>
      </c>
      <c r="G1" s="245" t="s">
        <v>426</v>
      </c>
      <c r="H1" s="245" t="s">
        <v>427</v>
      </c>
      <c r="I1" s="245" t="s">
        <v>428</v>
      </c>
      <c r="J1" s="245" t="s">
        <v>429</v>
      </c>
      <c r="K1" s="245"/>
      <c r="L1" s="245" t="s">
        <v>430</v>
      </c>
      <c r="M1" s="245" t="s">
        <v>431</v>
      </c>
      <c r="N1" s="245" t="s">
        <v>432</v>
      </c>
      <c r="O1" s="245" t="s">
        <v>433</v>
      </c>
      <c r="P1" s="245" t="s">
        <v>434</v>
      </c>
      <c r="Q1" s="245" t="s">
        <v>413</v>
      </c>
      <c r="R1" s="245" t="s">
        <v>76</v>
      </c>
      <c r="S1" s="245" t="s">
        <v>435</v>
      </c>
      <c r="T1" s="245" t="s">
        <v>436</v>
      </c>
      <c r="U1" s="245" t="s">
        <v>437</v>
      </c>
      <c r="V1" s="245" t="s">
        <v>438</v>
      </c>
      <c r="W1" s="245" t="s">
        <v>439</v>
      </c>
      <c r="X1" s="245" t="s">
        <v>440</v>
      </c>
      <c r="Y1" s="261"/>
      <c r="Z1" s="261" t="s">
        <v>441</v>
      </c>
      <c r="AA1" s="261"/>
      <c r="AB1" s="261" t="s">
        <v>442</v>
      </c>
      <c r="AC1" s="261" t="s">
        <v>443</v>
      </c>
      <c r="AD1" s="261" t="s">
        <v>444</v>
      </c>
    </row>
    <row r="2" s="237" customFormat="1" ht="12.75" customHeight="1" spans="1:30">
      <c r="A2" s="221">
        <v>1</v>
      </c>
      <c r="B2" s="221" t="s">
        <v>445</v>
      </c>
      <c r="C2" s="221"/>
      <c r="D2" s="221">
        <v>0</v>
      </c>
      <c r="E2" s="221">
        <v>0</v>
      </c>
      <c r="F2" s="247">
        <v>0</v>
      </c>
      <c r="G2" s="221" t="s">
        <v>27</v>
      </c>
      <c r="H2" s="221" t="str">
        <f>IF(uxb_works!$B$49,"WEIGHTED SUM OF THE OUTPUT/INPUT RATIOS","OVERALL SCORE")</f>
        <v>OVERALL SCORE</v>
      </c>
      <c r="I2" s="221" t="str">
        <f>IF(uxb_works!$B$49,V2,U2)</f>
        <v>Weighted sum of the category scores;
1) Knowledge-skill base
2) Creative destruction
3) Appropriate institutions
4) Innovation</v>
      </c>
      <c r="J2" s="221" t="str">
        <f>IF(uxb_works!$B$49,"Ratio of weighted sum of output categories over input category score","Weighted sum of the category scores")</f>
        <v>Weighted sum of the category scores</v>
      </c>
      <c r="K2" s="221"/>
      <c r="L2" s="221"/>
      <c r="M2" s="221">
        <v>1</v>
      </c>
      <c r="N2" s="221">
        <v>0</v>
      </c>
      <c r="O2" s="221"/>
      <c r="P2" s="221"/>
      <c r="Q2" s="221"/>
      <c r="R2" s="221"/>
      <c r="S2" s="221"/>
      <c r="T2" s="259">
        <v>2</v>
      </c>
      <c r="U2" s="260" t="s">
        <v>446</v>
      </c>
      <c r="V2" s="260" t="s">
        <v>447</v>
      </c>
      <c r="W2" s="221"/>
      <c r="X2" s="221"/>
      <c r="Y2" s="262"/>
      <c r="Z2" s="263" t="str">
        <f>G2</f>
        <v>OVERALL SCORE</v>
      </c>
      <c r="AA2" s="263" t="str">
        <f>Z2</f>
        <v>OVERALL SCORE</v>
      </c>
      <c r="AB2" s="263" t="str">
        <f>IF(T2="","0.0",CHOOSE(T2+1,"#,0","#,0.0","#,0.00","#,0.000"))</f>
        <v>#,0.00</v>
      </c>
      <c r="AC2" s="263" t="e">
        <v>#N/A</v>
      </c>
      <c r="AD2" s="263"/>
    </row>
    <row r="3" s="238" customFormat="1" ht="17.25" customHeight="1" spans="1:30">
      <c r="A3" s="222">
        <f>A2+1</f>
        <v>2</v>
      </c>
      <c r="B3" s="222" t="s">
        <v>448</v>
      </c>
      <c r="C3" s="222" t="s">
        <v>445</v>
      </c>
      <c r="D3" s="222">
        <v>1</v>
      </c>
      <c r="E3" s="222">
        <v>0</v>
      </c>
      <c r="F3" s="248">
        <v>1</v>
      </c>
      <c r="G3" s="222" t="s">
        <v>449</v>
      </c>
      <c r="H3" s="222" t="str">
        <f>IF(uxb_works!$B$49,"RATIO of OUTPUT/INPUT (DIGITAL SECURITY)","DIGITAL SECURITY")</f>
        <v>DIGITAL SECURITY</v>
      </c>
      <c r="I3" s="253" t="s">
        <v>450</v>
      </c>
      <c r="J3" s="254" t="s">
        <v>451</v>
      </c>
      <c r="K3" s="222"/>
      <c r="L3" s="222"/>
      <c r="M3" s="222">
        <v>1</v>
      </c>
      <c r="N3" s="222">
        <v>0</v>
      </c>
      <c r="O3" s="222"/>
      <c r="P3" s="222"/>
      <c r="Q3" s="222"/>
      <c r="R3" s="222"/>
      <c r="S3" s="222"/>
      <c r="T3" s="259">
        <v>1</v>
      </c>
      <c r="U3" s="222"/>
      <c r="V3" s="222"/>
      <c r="W3" s="222"/>
      <c r="X3" s="222"/>
      <c r="Y3" s="264"/>
      <c r="Z3" s="265" t="str">
        <f t="shared" ref="Z3:Z57" si="0">IF($F3&lt;&gt;"",CONCATENATE($F3,") ",$H3),$H3)</f>
        <v>1) DIGITAL SECURITY</v>
      </c>
      <c r="AA3" s="264" t="str">
        <f>$Z$2</f>
        <v>OVERALL SCORE</v>
      </c>
      <c r="AB3" s="265" t="str">
        <f t="shared" ref="AB3:AB57" si="1">IF(T3="","0.0",CHOOSE(T3+1,"#,0","#,0.0","#,0.00","#,0.000"))</f>
        <v>#,0.0</v>
      </c>
      <c r="AC3" s="265">
        <v>1</v>
      </c>
      <c r="AD3" s="265">
        <f t="shared" ref="AD3:AD34" si="2">AC3/SUMIF(C$3:C$57,$C3,AC$3:AC$57)</f>
        <v>0.25</v>
      </c>
    </row>
    <row r="4" s="217" customFormat="1" ht="17.25" customHeight="1" spans="1:30">
      <c r="A4" s="218">
        <f t="shared" ref="A4:A57" si="3">A3+1</f>
        <v>3</v>
      </c>
      <c r="B4" s="218" t="s">
        <v>452</v>
      </c>
      <c r="C4" s="218" t="s">
        <v>448</v>
      </c>
      <c r="D4" s="218">
        <v>2</v>
      </c>
      <c r="E4" s="218">
        <v>0</v>
      </c>
      <c r="F4" s="249">
        <v>1.1</v>
      </c>
      <c r="G4" s="218" t="s">
        <v>453</v>
      </c>
      <c r="H4" s="218" t="s">
        <v>454</v>
      </c>
      <c r="I4" s="255" t="s">
        <v>455</v>
      </c>
      <c r="J4" s="255" t="s">
        <v>456</v>
      </c>
      <c r="K4" s="218"/>
      <c r="L4" s="218"/>
      <c r="M4" s="218">
        <v>1</v>
      </c>
      <c r="N4" s="218">
        <v>0</v>
      </c>
      <c r="O4" s="218"/>
      <c r="P4" s="218"/>
      <c r="Q4" s="218"/>
      <c r="R4" s="218"/>
      <c r="S4" s="218"/>
      <c r="T4" s="259">
        <v>1</v>
      </c>
      <c r="U4" s="218"/>
      <c r="V4" s="218"/>
      <c r="W4" s="218"/>
      <c r="X4" s="218" t="s">
        <v>457</v>
      </c>
      <c r="Y4" s="264"/>
      <c r="Z4" s="266" t="str">
        <f t="shared" si="0"/>
        <v>1.1) Digital Security (Inputs)</v>
      </c>
      <c r="AA4" s="264" t="str">
        <f>$Z$3</f>
        <v>1) DIGITAL SECURITY</v>
      </c>
      <c r="AB4" s="266" t="str">
        <f t="shared" si="1"/>
        <v>#,0.0</v>
      </c>
      <c r="AC4" s="266">
        <v>1</v>
      </c>
      <c r="AD4" s="266">
        <f t="shared" si="2"/>
        <v>0.5</v>
      </c>
    </row>
    <row r="5" s="239" customFormat="1" ht="18" customHeight="1" spans="1:30">
      <c r="A5" s="220">
        <f t="shared" si="3"/>
        <v>4</v>
      </c>
      <c r="B5" s="220" t="s">
        <v>458</v>
      </c>
      <c r="C5" s="220" t="s">
        <v>452</v>
      </c>
      <c r="D5" s="220">
        <v>3</v>
      </c>
      <c r="E5" s="220">
        <v>0</v>
      </c>
      <c r="F5" s="250" t="s">
        <v>459</v>
      </c>
      <c r="G5" s="220" t="s">
        <v>97</v>
      </c>
      <c r="H5" s="251" t="s">
        <v>460</v>
      </c>
      <c r="I5" s="220" t="s">
        <v>461</v>
      </c>
      <c r="J5" s="220" t="s">
        <v>462</v>
      </c>
      <c r="K5" s="220"/>
      <c r="L5" s="251"/>
      <c r="M5" s="220">
        <v>3</v>
      </c>
      <c r="N5" s="220">
        <v>1</v>
      </c>
      <c r="O5" s="220"/>
      <c r="P5" s="220"/>
      <c r="Q5" s="220">
        <v>0</v>
      </c>
      <c r="R5" s="220">
        <v>5</v>
      </c>
      <c r="S5" s="220"/>
      <c r="T5" s="259">
        <v>0</v>
      </c>
      <c r="U5" s="220"/>
      <c r="V5" s="220"/>
      <c r="W5" s="220"/>
      <c r="X5" s="220"/>
      <c r="Y5" s="264"/>
      <c r="Z5" s="267" t="str">
        <f t="shared" si="0"/>
        <v>1.1.1) Privacy policy</v>
      </c>
      <c r="AA5" s="264" t="str">
        <f t="shared" ref="AA5:AA9" si="4">$Z$4</f>
        <v>1.1) Digital Security (Inputs)</v>
      </c>
      <c r="AB5" s="267" t="str">
        <f t="shared" si="1"/>
        <v>#,0</v>
      </c>
      <c r="AC5" s="267">
        <v>1</v>
      </c>
      <c r="AD5" s="267">
        <f t="shared" si="2"/>
        <v>0.2</v>
      </c>
    </row>
    <row r="6" s="239" customFormat="1" spans="1:30">
      <c r="A6" s="220">
        <f t="shared" si="3"/>
        <v>5</v>
      </c>
      <c r="B6" s="220" t="s">
        <v>463</v>
      </c>
      <c r="C6" s="220" t="s">
        <v>452</v>
      </c>
      <c r="D6" s="220">
        <v>3</v>
      </c>
      <c r="E6" s="220">
        <v>0</v>
      </c>
      <c r="F6" s="250" t="s">
        <v>464</v>
      </c>
      <c r="G6" s="220" t="s">
        <v>97</v>
      </c>
      <c r="H6" s="251" t="s">
        <v>465</v>
      </c>
      <c r="I6" s="220" t="s">
        <v>466</v>
      </c>
      <c r="J6" s="220" t="s">
        <v>467</v>
      </c>
      <c r="K6" s="220"/>
      <c r="L6" s="251"/>
      <c r="M6" s="220">
        <v>3</v>
      </c>
      <c r="N6" s="220">
        <v>0</v>
      </c>
      <c r="O6" s="220"/>
      <c r="P6" s="220"/>
      <c r="Q6" s="220">
        <v>0</v>
      </c>
      <c r="R6" s="220">
        <v>3</v>
      </c>
      <c r="S6" s="220"/>
      <c r="T6" s="259">
        <v>0</v>
      </c>
      <c r="U6" s="220"/>
      <c r="V6" s="220"/>
      <c r="W6" s="220"/>
      <c r="X6" s="220"/>
      <c r="Y6" s="264"/>
      <c r="Z6" s="267" t="str">
        <f t="shared" si="0"/>
        <v>1.1.2) Citizen awareness of digital threats</v>
      </c>
      <c r="AA6" s="264" t="str">
        <f t="shared" si="4"/>
        <v>1.1) Digital Security (Inputs)</v>
      </c>
      <c r="AB6" s="267" t="str">
        <f t="shared" si="1"/>
        <v>#,0</v>
      </c>
      <c r="AC6" s="267">
        <v>1</v>
      </c>
      <c r="AD6" s="267">
        <f t="shared" si="2"/>
        <v>0.2</v>
      </c>
    </row>
    <row r="7" s="239" customFormat="1" spans="1:30">
      <c r="A7" s="220">
        <f t="shared" si="3"/>
        <v>6</v>
      </c>
      <c r="B7" s="220" t="s">
        <v>468</v>
      </c>
      <c r="C7" s="220" t="s">
        <v>452</v>
      </c>
      <c r="D7" s="220">
        <v>3</v>
      </c>
      <c r="E7" s="220">
        <v>0</v>
      </c>
      <c r="F7" s="250" t="s">
        <v>469</v>
      </c>
      <c r="G7" s="220" t="s">
        <v>97</v>
      </c>
      <c r="H7" s="251" t="s">
        <v>470</v>
      </c>
      <c r="I7" s="220" t="s">
        <v>471</v>
      </c>
      <c r="J7" s="220" t="s">
        <v>472</v>
      </c>
      <c r="K7" s="220"/>
      <c r="L7" s="251"/>
      <c r="M7" s="220">
        <v>3</v>
      </c>
      <c r="N7" s="220">
        <v>0</v>
      </c>
      <c r="O7" s="220"/>
      <c r="P7" s="220"/>
      <c r="Q7" s="220">
        <v>0</v>
      </c>
      <c r="R7" s="220">
        <v>2</v>
      </c>
      <c r="S7" s="220"/>
      <c r="T7" s="259">
        <v>0</v>
      </c>
      <c r="U7" s="220"/>
      <c r="V7" s="220"/>
      <c r="W7" s="220"/>
      <c r="X7" s="220"/>
      <c r="Y7" s="264"/>
      <c r="Z7" s="267" t="str">
        <f t="shared" si="0"/>
        <v>1.1.3) Public-private partnerships</v>
      </c>
      <c r="AA7" s="264" t="str">
        <f t="shared" si="4"/>
        <v>1.1) Digital Security (Inputs)</v>
      </c>
      <c r="AB7" s="267" t="str">
        <f t="shared" si="1"/>
        <v>#,0</v>
      </c>
      <c r="AC7" s="267">
        <v>1</v>
      </c>
      <c r="AD7" s="267">
        <f t="shared" si="2"/>
        <v>0.2</v>
      </c>
    </row>
    <row r="8" s="239" customFormat="1" spans="1:30">
      <c r="A8" s="220">
        <f t="shared" si="3"/>
        <v>7</v>
      </c>
      <c r="B8" s="220" t="s">
        <v>473</v>
      </c>
      <c r="C8" s="220" t="s">
        <v>452</v>
      </c>
      <c r="D8" s="220">
        <v>3</v>
      </c>
      <c r="E8" s="220">
        <v>0</v>
      </c>
      <c r="F8" s="250" t="s">
        <v>474</v>
      </c>
      <c r="G8" s="220" t="s">
        <v>97</v>
      </c>
      <c r="H8" s="251" t="s">
        <v>475</v>
      </c>
      <c r="I8" s="220" t="s">
        <v>476</v>
      </c>
      <c r="J8" s="220" t="s">
        <v>477</v>
      </c>
      <c r="K8" s="220"/>
      <c r="L8" s="251"/>
      <c r="M8" s="220">
        <v>3</v>
      </c>
      <c r="N8" s="220">
        <v>0</v>
      </c>
      <c r="O8" s="220"/>
      <c r="P8" s="220"/>
      <c r="Q8" s="220">
        <v>0</v>
      </c>
      <c r="R8" s="220">
        <v>100</v>
      </c>
      <c r="S8" s="220"/>
      <c r="T8" s="259">
        <v>0</v>
      </c>
      <c r="U8" s="220"/>
      <c r="V8" s="220"/>
      <c r="W8" s="220"/>
      <c r="X8" s="220"/>
      <c r="Y8" s="264"/>
      <c r="Z8" s="267" t="str">
        <f t="shared" si="0"/>
        <v>1.1.4) Level of technology employed</v>
      </c>
      <c r="AA8" s="264" t="str">
        <f t="shared" si="4"/>
        <v>1.1) Digital Security (Inputs)</v>
      </c>
      <c r="AB8" s="267" t="str">
        <f t="shared" si="1"/>
        <v>#,0</v>
      </c>
      <c r="AC8" s="267">
        <v>1</v>
      </c>
      <c r="AD8" s="267">
        <f t="shared" si="2"/>
        <v>0.2</v>
      </c>
    </row>
    <row r="9" s="239" customFormat="1" spans="1:30">
      <c r="A9" s="220">
        <f t="shared" si="3"/>
        <v>8</v>
      </c>
      <c r="B9" s="220" t="s">
        <v>478</v>
      </c>
      <c r="C9" s="220" t="s">
        <v>452</v>
      </c>
      <c r="D9" s="220">
        <v>3</v>
      </c>
      <c r="E9" s="220">
        <v>0</v>
      </c>
      <c r="F9" s="250" t="s">
        <v>479</v>
      </c>
      <c r="G9" s="220" t="s">
        <v>97</v>
      </c>
      <c r="H9" s="251" t="s">
        <v>480</v>
      </c>
      <c r="I9" s="220" t="s">
        <v>481</v>
      </c>
      <c r="J9" s="220" t="s">
        <v>472</v>
      </c>
      <c r="K9" s="220"/>
      <c r="L9" s="251"/>
      <c r="M9" s="220">
        <v>3</v>
      </c>
      <c r="N9" s="220">
        <v>0</v>
      </c>
      <c r="O9" s="220"/>
      <c r="P9" s="220"/>
      <c r="Q9" s="220">
        <v>0</v>
      </c>
      <c r="R9" s="220">
        <v>2</v>
      </c>
      <c r="S9" s="220"/>
      <c r="T9" s="259">
        <v>0</v>
      </c>
      <c r="U9" s="220"/>
      <c r="V9" s="220"/>
      <c r="W9" s="220"/>
      <c r="X9" s="220"/>
      <c r="Y9" s="264"/>
      <c r="Z9" s="267" t="str">
        <f t="shared" si="0"/>
        <v>1.1.5) Dedicated cyber security teams</v>
      </c>
      <c r="AA9" s="264" t="str">
        <f t="shared" si="4"/>
        <v>1.1) Digital Security (Inputs)</v>
      </c>
      <c r="AB9" s="267" t="str">
        <f t="shared" si="1"/>
        <v>#,0</v>
      </c>
      <c r="AC9" s="267">
        <v>1</v>
      </c>
      <c r="AD9" s="267">
        <f t="shared" si="2"/>
        <v>0.2</v>
      </c>
    </row>
    <row r="10" s="217" customFormat="1" ht="17.25" customHeight="1" spans="1:30">
      <c r="A10" s="218">
        <f t="shared" si="3"/>
        <v>9</v>
      </c>
      <c r="B10" s="218" t="s">
        <v>482</v>
      </c>
      <c r="C10" s="218" t="s">
        <v>448</v>
      </c>
      <c r="D10" s="218">
        <v>2</v>
      </c>
      <c r="E10" s="218">
        <v>0</v>
      </c>
      <c r="F10" s="249">
        <v>1.2</v>
      </c>
      <c r="G10" s="218" t="s">
        <v>483</v>
      </c>
      <c r="H10" s="218" t="s">
        <v>484</v>
      </c>
      <c r="I10" s="255" t="s">
        <v>485</v>
      </c>
      <c r="J10" s="255" t="s">
        <v>456</v>
      </c>
      <c r="K10" s="218"/>
      <c r="L10" s="218"/>
      <c r="M10" s="218">
        <v>1</v>
      </c>
      <c r="N10" s="218">
        <v>0</v>
      </c>
      <c r="O10" s="218"/>
      <c r="P10" s="218"/>
      <c r="Q10" s="218"/>
      <c r="R10" s="218"/>
      <c r="S10" s="218"/>
      <c r="T10" s="259">
        <v>1</v>
      </c>
      <c r="U10" s="218"/>
      <c r="V10" s="218"/>
      <c r="W10" s="218"/>
      <c r="X10" s="218"/>
      <c r="Y10" s="264"/>
      <c r="Z10" s="266" t="str">
        <f t="shared" si="0"/>
        <v>1.2) Digital Security (Outputs)</v>
      </c>
      <c r="AA10" s="264" t="str">
        <f>$Z$3</f>
        <v>1) DIGITAL SECURITY</v>
      </c>
      <c r="AB10" s="266" t="str">
        <f t="shared" si="1"/>
        <v>#,0.0</v>
      </c>
      <c r="AC10" s="266">
        <v>1</v>
      </c>
      <c r="AD10" s="266">
        <f t="shared" si="2"/>
        <v>0.5</v>
      </c>
    </row>
    <row r="11" s="220" customFormat="1" spans="1:30">
      <c r="A11" s="220">
        <f t="shared" si="3"/>
        <v>10</v>
      </c>
      <c r="B11" s="220" t="s">
        <v>486</v>
      </c>
      <c r="C11" s="220" t="s">
        <v>482</v>
      </c>
      <c r="D11" s="220">
        <v>3</v>
      </c>
      <c r="E11" s="220">
        <v>0</v>
      </c>
      <c r="F11" s="250" t="s">
        <v>487</v>
      </c>
      <c r="G11" s="220" t="s">
        <v>97</v>
      </c>
      <c r="H11" s="251" t="s">
        <v>488</v>
      </c>
      <c r="I11" s="256" t="s">
        <v>489</v>
      </c>
      <c r="J11" s="256" t="s">
        <v>490</v>
      </c>
      <c r="L11" s="251"/>
      <c r="M11" s="220">
        <v>2</v>
      </c>
      <c r="N11" s="220">
        <v>1</v>
      </c>
      <c r="T11" s="259">
        <v>0</v>
      </c>
      <c r="Y11" s="264"/>
      <c r="Z11" s="267" t="str">
        <f t="shared" si="0"/>
        <v>1.2.1) Frequency of identity theft</v>
      </c>
      <c r="AA11" s="264" t="str">
        <f>$Z$10</f>
        <v>1.2) Digital Security (Outputs)</v>
      </c>
      <c r="AB11" s="267" t="str">
        <f t="shared" si="1"/>
        <v>#,0</v>
      </c>
      <c r="AC11" s="267">
        <v>1</v>
      </c>
      <c r="AD11" s="267">
        <f t="shared" si="2"/>
        <v>0.333333333333333</v>
      </c>
    </row>
    <row r="12" s="220" customFormat="1" spans="1:30">
      <c r="A12" s="220">
        <f t="shared" si="3"/>
        <v>11</v>
      </c>
      <c r="B12" s="220" t="s">
        <v>491</v>
      </c>
      <c r="C12" s="220" t="s">
        <v>482</v>
      </c>
      <c r="D12" s="220">
        <v>3</v>
      </c>
      <c r="E12" s="220">
        <v>0</v>
      </c>
      <c r="F12" s="250" t="s">
        <v>492</v>
      </c>
      <c r="G12" s="220" t="s">
        <v>97</v>
      </c>
      <c r="H12" s="252" t="s">
        <v>493</v>
      </c>
      <c r="I12" s="256" t="s">
        <v>494</v>
      </c>
      <c r="J12" s="256" t="s">
        <v>494</v>
      </c>
      <c r="L12" s="251"/>
      <c r="M12" s="220">
        <v>3</v>
      </c>
      <c r="N12" s="220">
        <v>1</v>
      </c>
      <c r="Q12" s="220">
        <v>1</v>
      </c>
      <c r="R12" s="220">
        <v>5</v>
      </c>
      <c r="T12" s="259">
        <v>1</v>
      </c>
      <c r="Y12" s="264"/>
      <c r="Z12" s="267" t="str">
        <f t="shared" si="0"/>
        <v>1.2.2) Percentage of computers infected</v>
      </c>
      <c r="AA12" s="264" t="str">
        <f>$Z$10</f>
        <v>1.2) Digital Security (Outputs)</v>
      </c>
      <c r="AB12" s="267" t="str">
        <f t="shared" si="1"/>
        <v>#,0.0</v>
      </c>
      <c r="AC12" s="267">
        <v>1</v>
      </c>
      <c r="AD12" s="267">
        <f t="shared" si="2"/>
        <v>0.333333333333333</v>
      </c>
    </row>
    <row r="13" s="220" customFormat="1" spans="1:30">
      <c r="A13" s="220">
        <f t="shared" si="3"/>
        <v>12</v>
      </c>
      <c r="B13" s="220" t="s">
        <v>495</v>
      </c>
      <c r="C13" s="220" t="s">
        <v>482</v>
      </c>
      <c r="D13" s="220">
        <v>3</v>
      </c>
      <c r="E13" s="220">
        <v>0</v>
      </c>
      <c r="F13" s="250" t="s">
        <v>496</v>
      </c>
      <c r="G13" s="220" t="s">
        <v>97</v>
      </c>
      <c r="H13" s="251" t="s">
        <v>497</v>
      </c>
      <c r="I13" s="220" t="s">
        <v>498</v>
      </c>
      <c r="J13" s="220" t="s">
        <v>490</v>
      </c>
      <c r="L13" s="251"/>
      <c r="M13" s="220">
        <v>2</v>
      </c>
      <c r="N13" s="220">
        <v>0</v>
      </c>
      <c r="T13" s="259">
        <v>1</v>
      </c>
      <c r="Y13" s="264"/>
      <c r="Z13" s="267" t="str">
        <f t="shared" si="0"/>
        <v>1.2.3) Percent with internet access</v>
      </c>
      <c r="AA13" s="264" t="str">
        <f>$Z$10</f>
        <v>1.2) Digital Security (Outputs)</v>
      </c>
      <c r="AB13" s="267" t="str">
        <f t="shared" si="1"/>
        <v>#,0.0</v>
      </c>
      <c r="AC13" s="267">
        <v>1</v>
      </c>
      <c r="AD13" s="267">
        <f t="shared" si="2"/>
        <v>0.333333333333333</v>
      </c>
    </row>
    <row r="14" s="238" customFormat="1" ht="17.25" customHeight="1" spans="1:30">
      <c r="A14" s="222">
        <f t="shared" si="3"/>
        <v>13</v>
      </c>
      <c r="B14" s="222" t="s">
        <v>499</v>
      </c>
      <c r="C14" s="222" t="s">
        <v>445</v>
      </c>
      <c r="D14" s="222">
        <v>1</v>
      </c>
      <c r="E14" s="222">
        <v>0</v>
      </c>
      <c r="F14" s="248">
        <v>2</v>
      </c>
      <c r="G14" s="222" t="s">
        <v>449</v>
      </c>
      <c r="H14" s="222" t="str">
        <f>IF(uxb_works!$B$49,"RATIO of OUTPUT/INPUT (HEALTH SECURITY)","HEALTH SECURITY")</f>
        <v>HEALTH SECURITY</v>
      </c>
      <c r="I14" s="253" t="s">
        <v>500</v>
      </c>
      <c r="J14" s="254" t="s">
        <v>501</v>
      </c>
      <c r="K14" s="222"/>
      <c r="L14" s="222"/>
      <c r="M14" s="222">
        <v>1</v>
      </c>
      <c r="N14" s="222">
        <v>0</v>
      </c>
      <c r="O14" s="222"/>
      <c r="P14" s="222"/>
      <c r="Q14" s="222"/>
      <c r="R14" s="222"/>
      <c r="S14" s="222"/>
      <c r="T14" s="259">
        <v>1</v>
      </c>
      <c r="U14" s="222"/>
      <c r="V14" s="222"/>
      <c r="W14" s="222"/>
      <c r="X14" s="222"/>
      <c r="Y14" s="264"/>
      <c r="Z14" s="265" t="str">
        <f t="shared" si="0"/>
        <v>2) HEALTH SECURITY</v>
      </c>
      <c r="AA14" s="264" t="str">
        <f>$Z$2</f>
        <v>OVERALL SCORE</v>
      </c>
      <c r="AB14" s="265" t="str">
        <f t="shared" si="1"/>
        <v>#,0.0</v>
      </c>
      <c r="AC14" s="265">
        <v>1</v>
      </c>
      <c r="AD14" s="265">
        <f t="shared" si="2"/>
        <v>0.25</v>
      </c>
    </row>
    <row r="15" s="217" customFormat="1" ht="17.25" customHeight="1" spans="1:30">
      <c r="A15" s="218">
        <f t="shared" si="3"/>
        <v>14</v>
      </c>
      <c r="B15" s="218" t="s">
        <v>502</v>
      </c>
      <c r="C15" s="218" t="s">
        <v>499</v>
      </c>
      <c r="D15" s="218">
        <v>2</v>
      </c>
      <c r="E15" s="218">
        <v>0</v>
      </c>
      <c r="F15" s="249">
        <v>2.1</v>
      </c>
      <c r="G15" s="218" t="s">
        <v>483</v>
      </c>
      <c r="H15" s="218" t="s">
        <v>503</v>
      </c>
      <c r="I15" s="255" t="s">
        <v>504</v>
      </c>
      <c r="J15" s="255" t="s">
        <v>456</v>
      </c>
      <c r="K15" s="218"/>
      <c r="L15" s="218"/>
      <c r="M15" s="218">
        <v>1</v>
      </c>
      <c r="N15" s="218">
        <v>0</v>
      </c>
      <c r="O15" s="218"/>
      <c r="P15" s="218"/>
      <c r="Q15" s="218"/>
      <c r="R15" s="218"/>
      <c r="S15" s="218"/>
      <c r="T15" s="259">
        <v>1</v>
      </c>
      <c r="U15" s="218"/>
      <c r="V15" s="218"/>
      <c r="W15" s="218"/>
      <c r="X15" s="218"/>
      <c r="Y15" s="264"/>
      <c r="Z15" s="266" t="str">
        <f t="shared" si="0"/>
        <v>2.1) Health Security (Inputs)</v>
      </c>
      <c r="AA15" s="264" t="str">
        <f>$Z$14</f>
        <v>2) HEALTH SECURITY</v>
      </c>
      <c r="AB15" s="266" t="str">
        <f t="shared" si="1"/>
        <v>#,0.0</v>
      </c>
      <c r="AC15" s="266">
        <v>1</v>
      </c>
      <c r="AD15" s="266">
        <f t="shared" si="2"/>
        <v>0.5</v>
      </c>
    </row>
    <row r="16" s="220" customFormat="1" spans="1:30">
      <c r="A16" s="220">
        <f t="shared" si="3"/>
        <v>15</v>
      </c>
      <c r="B16" s="220" t="s">
        <v>505</v>
      </c>
      <c r="C16" s="220" t="s">
        <v>502</v>
      </c>
      <c r="D16" s="220">
        <v>3</v>
      </c>
      <c r="E16" s="220">
        <v>0</v>
      </c>
      <c r="F16" s="250" t="s">
        <v>506</v>
      </c>
      <c r="G16" s="220" t="s">
        <v>97</v>
      </c>
      <c r="H16" s="251" t="s">
        <v>507</v>
      </c>
      <c r="I16" s="220" t="s">
        <v>508</v>
      </c>
      <c r="J16" s="220" t="s">
        <v>477</v>
      </c>
      <c r="L16" s="251"/>
      <c r="M16" s="220">
        <v>2</v>
      </c>
      <c r="N16" s="220">
        <v>0</v>
      </c>
      <c r="T16" s="259">
        <v>0</v>
      </c>
      <c r="Y16" s="264"/>
      <c r="Z16" s="267" t="str">
        <f t="shared" si="0"/>
        <v>2.1.1) Environmental policies</v>
      </c>
      <c r="AA16" s="264" t="str">
        <f t="shared" ref="AA16:AA21" si="5">$Z$15</f>
        <v>2.1) Health Security (Inputs)</v>
      </c>
      <c r="AB16" s="267" t="str">
        <f t="shared" si="1"/>
        <v>#,0</v>
      </c>
      <c r="AC16" s="267">
        <v>1</v>
      </c>
      <c r="AD16" s="267">
        <f t="shared" si="2"/>
        <v>0.166666666666667</v>
      </c>
    </row>
    <row r="17" s="220" customFormat="1" spans="1:30">
      <c r="A17" s="220">
        <f t="shared" si="3"/>
        <v>16</v>
      </c>
      <c r="B17" s="220" t="s">
        <v>509</v>
      </c>
      <c r="C17" s="220" t="s">
        <v>502</v>
      </c>
      <c r="D17" s="220">
        <v>3</v>
      </c>
      <c r="E17" s="220">
        <v>0</v>
      </c>
      <c r="F17" s="250" t="s">
        <v>510</v>
      </c>
      <c r="G17" s="220" t="s">
        <v>97</v>
      </c>
      <c r="H17" s="251" t="s">
        <v>511</v>
      </c>
      <c r="I17" s="220" t="s">
        <v>512</v>
      </c>
      <c r="J17" s="220" t="s">
        <v>477</v>
      </c>
      <c r="L17" s="251"/>
      <c r="M17" s="220">
        <v>2</v>
      </c>
      <c r="N17" s="220">
        <v>0</v>
      </c>
      <c r="T17" s="259">
        <v>0</v>
      </c>
      <c r="Y17" s="264"/>
      <c r="Z17" s="267" t="str">
        <f t="shared" si="0"/>
        <v>2.1.2) Access to healthcare</v>
      </c>
      <c r="AA17" s="264" t="str">
        <f t="shared" si="5"/>
        <v>2.1) Health Security (Inputs)</v>
      </c>
      <c r="AB17" s="267" t="str">
        <f t="shared" si="1"/>
        <v>#,0</v>
      </c>
      <c r="AC17" s="267">
        <v>1</v>
      </c>
      <c r="AD17" s="267">
        <f t="shared" si="2"/>
        <v>0.166666666666667</v>
      </c>
    </row>
    <row r="18" s="220" customFormat="1" spans="1:30">
      <c r="A18" s="220">
        <f t="shared" si="3"/>
        <v>17</v>
      </c>
      <c r="B18" s="220" t="s">
        <v>513</v>
      </c>
      <c r="C18" s="220" t="s">
        <v>502</v>
      </c>
      <c r="D18" s="220">
        <v>3</v>
      </c>
      <c r="E18" s="220">
        <v>0</v>
      </c>
      <c r="F18" s="250" t="s">
        <v>514</v>
      </c>
      <c r="G18" s="220" t="s">
        <v>97</v>
      </c>
      <c r="H18" s="251" t="s">
        <v>515</v>
      </c>
      <c r="I18" s="220" t="s">
        <v>516</v>
      </c>
      <c r="J18" s="220" t="s">
        <v>517</v>
      </c>
      <c r="L18" s="251"/>
      <c r="M18" s="220">
        <v>2</v>
      </c>
      <c r="N18" s="220">
        <v>0</v>
      </c>
      <c r="T18" s="259">
        <v>0</v>
      </c>
      <c r="Y18" s="264"/>
      <c r="Z18" s="267" t="str">
        <f t="shared" si="0"/>
        <v>2.1.3) No. of beds per 1000</v>
      </c>
      <c r="AA18" s="264" t="str">
        <f t="shared" si="5"/>
        <v>2.1) Health Security (Inputs)</v>
      </c>
      <c r="AB18" s="267" t="str">
        <f t="shared" si="1"/>
        <v>#,0</v>
      </c>
      <c r="AC18" s="267">
        <v>1</v>
      </c>
      <c r="AD18" s="267">
        <f t="shared" si="2"/>
        <v>0.166666666666667</v>
      </c>
    </row>
    <row r="19" s="220" customFormat="1" spans="1:30">
      <c r="A19" s="220">
        <f t="shared" si="3"/>
        <v>18</v>
      </c>
      <c r="B19" s="220" t="s">
        <v>518</v>
      </c>
      <c r="C19" s="220" t="s">
        <v>502</v>
      </c>
      <c r="D19" s="220">
        <v>3</v>
      </c>
      <c r="E19" s="220">
        <v>0</v>
      </c>
      <c r="F19" s="250" t="s">
        <v>519</v>
      </c>
      <c r="G19" s="220" t="s">
        <v>97</v>
      </c>
      <c r="H19" s="251" t="s">
        <v>520</v>
      </c>
      <c r="I19" s="220" t="s">
        <v>516</v>
      </c>
      <c r="J19" s="220" t="s">
        <v>517</v>
      </c>
      <c r="L19" s="251"/>
      <c r="M19" s="220">
        <v>2</v>
      </c>
      <c r="N19" s="220">
        <v>0</v>
      </c>
      <c r="T19" s="259">
        <v>0</v>
      </c>
      <c r="Y19" s="264"/>
      <c r="Z19" s="267" t="str">
        <f t="shared" si="0"/>
        <v>2.1.4) Number of doctors per 1000</v>
      </c>
      <c r="AA19" s="264" t="str">
        <f t="shared" si="5"/>
        <v>2.1) Health Security (Inputs)</v>
      </c>
      <c r="AB19" s="267" t="str">
        <f t="shared" si="1"/>
        <v>#,0</v>
      </c>
      <c r="AC19" s="267">
        <v>1</v>
      </c>
      <c r="AD19" s="267">
        <f t="shared" si="2"/>
        <v>0.166666666666667</v>
      </c>
    </row>
    <row r="20" s="220" customFormat="1" spans="1:30">
      <c r="A20" s="220">
        <f t="shared" si="3"/>
        <v>19</v>
      </c>
      <c r="B20" s="220" t="s">
        <v>521</v>
      </c>
      <c r="C20" s="220" t="s">
        <v>502</v>
      </c>
      <c r="D20" s="220">
        <v>3</v>
      </c>
      <c r="E20" s="220">
        <v>0</v>
      </c>
      <c r="F20" s="250" t="s">
        <v>522</v>
      </c>
      <c r="G20" s="220" t="s">
        <v>97</v>
      </c>
      <c r="H20" s="251" t="s">
        <v>523</v>
      </c>
      <c r="I20" s="220" t="s">
        <v>524</v>
      </c>
      <c r="J20" s="220" t="s">
        <v>524</v>
      </c>
      <c r="L20" s="251"/>
      <c r="M20" s="220">
        <v>3</v>
      </c>
      <c r="N20" s="220">
        <v>0</v>
      </c>
      <c r="Q20" s="220">
        <v>1</v>
      </c>
      <c r="R20" s="220">
        <v>100</v>
      </c>
      <c r="T20" s="259">
        <v>0</v>
      </c>
      <c r="Y20" s="264"/>
      <c r="Z20" s="267" t="str">
        <f t="shared" si="0"/>
        <v>2.1.5) Access to safe and quality food</v>
      </c>
      <c r="AA20" s="264" t="str">
        <f t="shared" si="5"/>
        <v>2.1) Health Security (Inputs)</v>
      </c>
      <c r="AB20" s="267" t="str">
        <f t="shared" si="1"/>
        <v>#,0</v>
      </c>
      <c r="AC20" s="267">
        <v>1</v>
      </c>
      <c r="AD20" s="267">
        <f t="shared" si="2"/>
        <v>0.166666666666667</v>
      </c>
    </row>
    <row r="21" s="220" customFormat="1" spans="1:30">
      <c r="A21" s="220">
        <f t="shared" si="3"/>
        <v>20</v>
      </c>
      <c r="B21" s="220" t="s">
        <v>525</v>
      </c>
      <c r="C21" s="220" t="s">
        <v>502</v>
      </c>
      <c r="D21" s="220">
        <v>3</v>
      </c>
      <c r="E21" s="220">
        <v>0</v>
      </c>
      <c r="F21" s="250" t="s">
        <v>526</v>
      </c>
      <c r="G21" s="220" t="s">
        <v>97</v>
      </c>
      <c r="H21" s="251" t="s">
        <v>527</v>
      </c>
      <c r="I21" s="220" t="s">
        <v>528</v>
      </c>
      <c r="J21" s="220" t="s">
        <v>528</v>
      </c>
      <c r="L21" s="251"/>
      <c r="M21" s="220">
        <v>3</v>
      </c>
      <c r="N21" s="220">
        <v>1</v>
      </c>
      <c r="Q21" s="220">
        <v>1</v>
      </c>
      <c r="R21" s="220">
        <v>5</v>
      </c>
      <c r="T21" s="259">
        <v>0</v>
      </c>
      <c r="Y21" s="264"/>
      <c r="Z21" s="267" t="str">
        <f t="shared" si="0"/>
        <v>2.1.6) Quality of health services</v>
      </c>
      <c r="AA21" s="264" t="str">
        <f t="shared" si="5"/>
        <v>2.1) Health Security (Inputs)</v>
      </c>
      <c r="AB21" s="267" t="str">
        <f t="shared" si="1"/>
        <v>#,0</v>
      </c>
      <c r="AC21" s="267">
        <v>1</v>
      </c>
      <c r="AD21" s="267">
        <f t="shared" si="2"/>
        <v>0.166666666666667</v>
      </c>
    </row>
    <row r="22" s="217" customFormat="1" ht="17.25" customHeight="1" spans="1:30">
      <c r="A22" s="218">
        <f t="shared" si="3"/>
        <v>21</v>
      </c>
      <c r="B22" s="218" t="s">
        <v>529</v>
      </c>
      <c r="C22" s="218" t="s">
        <v>499</v>
      </c>
      <c r="D22" s="218">
        <v>2</v>
      </c>
      <c r="E22" s="218">
        <v>0</v>
      </c>
      <c r="F22" s="249">
        <v>2.2</v>
      </c>
      <c r="G22" s="218" t="s">
        <v>483</v>
      </c>
      <c r="H22" s="218" t="s">
        <v>530</v>
      </c>
      <c r="I22" s="255" t="s">
        <v>531</v>
      </c>
      <c r="J22" s="255" t="s">
        <v>456</v>
      </c>
      <c r="K22" s="218"/>
      <c r="L22" s="218"/>
      <c r="M22" s="218">
        <v>1</v>
      </c>
      <c r="N22" s="218">
        <v>0</v>
      </c>
      <c r="O22" s="218"/>
      <c r="P22" s="218"/>
      <c r="Q22" s="218"/>
      <c r="R22" s="218"/>
      <c r="S22" s="218"/>
      <c r="T22" s="259">
        <v>1</v>
      </c>
      <c r="U22" s="218"/>
      <c r="V22" s="218"/>
      <c r="W22" s="218"/>
      <c r="X22" s="218"/>
      <c r="Y22" s="264"/>
      <c r="Z22" s="266" t="str">
        <f t="shared" si="0"/>
        <v>2.2) Health Security (Outputs)</v>
      </c>
      <c r="AA22" s="264" t="str">
        <f>$Z$14</f>
        <v>2) HEALTH SECURITY</v>
      </c>
      <c r="AB22" s="266" t="str">
        <f t="shared" si="1"/>
        <v>#,0.0</v>
      </c>
      <c r="AC22" s="266">
        <v>1</v>
      </c>
      <c r="AD22" s="266">
        <f t="shared" si="2"/>
        <v>0.5</v>
      </c>
    </row>
    <row r="23" s="220" customFormat="1" spans="1:30">
      <c r="A23" s="220">
        <f t="shared" si="3"/>
        <v>22</v>
      </c>
      <c r="B23" s="220" t="s">
        <v>532</v>
      </c>
      <c r="C23" s="220" t="s">
        <v>529</v>
      </c>
      <c r="D23" s="220">
        <v>3</v>
      </c>
      <c r="E23" s="220">
        <v>0</v>
      </c>
      <c r="F23" s="250" t="s">
        <v>533</v>
      </c>
      <c r="G23" s="220" t="s">
        <v>97</v>
      </c>
      <c r="H23" s="251" t="s">
        <v>534</v>
      </c>
      <c r="I23" s="220" t="s">
        <v>524</v>
      </c>
      <c r="J23" s="220" t="s">
        <v>535</v>
      </c>
      <c r="L23" s="251"/>
      <c r="M23" s="220">
        <v>3</v>
      </c>
      <c r="N23" s="220">
        <v>1</v>
      </c>
      <c r="Q23" s="220">
        <v>1</v>
      </c>
      <c r="R23" s="220">
        <v>100</v>
      </c>
      <c r="T23" s="259">
        <v>1</v>
      </c>
      <c r="Y23" s="264"/>
      <c r="Z23" s="267" t="str">
        <f t="shared" si="0"/>
        <v>2.2.1) Air quality</v>
      </c>
      <c r="AA23" s="264" t="str">
        <f>$Z$22</f>
        <v>2.2) Health Security (Outputs)</v>
      </c>
      <c r="AB23" s="267" t="str">
        <f t="shared" si="1"/>
        <v>#,0.0</v>
      </c>
      <c r="AC23" s="267">
        <v>1</v>
      </c>
      <c r="AD23" s="267">
        <f t="shared" si="2"/>
        <v>0.2</v>
      </c>
    </row>
    <row r="24" s="220" customFormat="1" spans="1:30">
      <c r="A24" s="220">
        <f t="shared" si="3"/>
        <v>23</v>
      </c>
      <c r="B24" s="220" t="s">
        <v>536</v>
      </c>
      <c r="C24" s="220" t="s">
        <v>529</v>
      </c>
      <c r="D24" s="220">
        <v>3</v>
      </c>
      <c r="E24" s="220">
        <v>0</v>
      </c>
      <c r="F24" s="250" t="s">
        <v>537</v>
      </c>
      <c r="G24" s="220" t="s">
        <v>97</v>
      </c>
      <c r="H24" s="251" t="s">
        <v>538</v>
      </c>
      <c r="I24" s="220" t="s">
        <v>524</v>
      </c>
      <c r="J24" s="220" t="s">
        <v>524</v>
      </c>
      <c r="L24" s="251"/>
      <c r="M24" s="220">
        <v>3</v>
      </c>
      <c r="N24" s="220">
        <v>0</v>
      </c>
      <c r="Q24" s="220">
        <v>1</v>
      </c>
      <c r="R24" s="220">
        <v>100</v>
      </c>
      <c r="T24" s="259">
        <v>1</v>
      </c>
      <c r="Y24" s="264"/>
      <c r="Z24" s="267" t="str">
        <f t="shared" si="0"/>
        <v>2.2.2) Water quality</v>
      </c>
      <c r="AA24" s="264" t="str">
        <f>$Z$22</f>
        <v>2.2) Health Security (Outputs)</v>
      </c>
      <c r="AB24" s="267" t="str">
        <f t="shared" si="1"/>
        <v>#,0.0</v>
      </c>
      <c r="AC24" s="267">
        <v>1</v>
      </c>
      <c r="AD24" s="267">
        <f t="shared" si="2"/>
        <v>0.2</v>
      </c>
    </row>
    <row r="25" s="220" customFormat="1" spans="1:30">
      <c r="A25" s="220">
        <f t="shared" si="3"/>
        <v>24</v>
      </c>
      <c r="B25" s="220" t="s">
        <v>539</v>
      </c>
      <c r="C25" s="220" t="s">
        <v>529</v>
      </c>
      <c r="D25" s="220">
        <v>3</v>
      </c>
      <c r="E25" s="220">
        <v>0</v>
      </c>
      <c r="F25" s="250" t="s">
        <v>540</v>
      </c>
      <c r="G25" s="220" t="s">
        <v>97</v>
      </c>
      <c r="H25" s="251" t="s">
        <v>541</v>
      </c>
      <c r="I25" s="220" t="s">
        <v>542</v>
      </c>
      <c r="J25" s="256" t="s">
        <v>543</v>
      </c>
      <c r="L25" s="251"/>
      <c r="M25" s="220">
        <v>2</v>
      </c>
      <c r="N25" s="220">
        <v>0</v>
      </c>
      <c r="T25" s="259">
        <v>0</v>
      </c>
      <c r="Y25" s="264"/>
      <c r="Z25" s="267" t="str">
        <f t="shared" si="0"/>
        <v>2.2.3) Life expectancy</v>
      </c>
      <c r="AA25" s="264" t="str">
        <f>$Z$22</f>
        <v>2.2) Health Security (Outputs)</v>
      </c>
      <c r="AB25" s="267" t="str">
        <f t="shared" si="1"/>
        <v>#,0</v>
      </c>
      <c r="AC25" s="267">
        <v>1</v>
      </c>
      <c r="AD25" s="267">
        <f t="shared" si="2"/>
        <v>0.2</v>
      </c>
    </row>
    <row r="26" s="220" customFormat="1" spans="1:30">
      <c r="A26" s="220">
        <f t="shared" si="3"/>
        <v>25</v>
      </c>
      <c r="B26" s="220" t="s">
        <v>544</v>
      </c>
      <c r="C26" s="220" t="s">
        <v>529</v>
      </c>
      <c r="D26" s="220">
        <v>3</v>
      </c>
      <c r="E26" s="220">
        <v>0</v>
      </c>
      <c r="F26" s="250" t="s">
        <v>545</v>
      </c>
      <c r="G26" s="220" t="s">
        <v>97</v>
      </c>
      <c r="H26" s="251" t="s">
        <v>546</v>
      </c>
      <c r="I26" s="220" t="s">
        <v>517</v>
      </c>
      <c r="J26" s="256" t="s">
        <v>547</v>
      </c>
      <c r="L26" s="251"/>
      <c r="M26" s="220">
        <v>2</v>
      </c>
      <c r="N26" s="220">
        <v>1</v>
      </c>
      <c r="T26" s="259">
        <v>0</v>
      </c>
      <c r="Y26" s="264"/>
      <c r="Z26" s="267" t="str">
        <f t="shared" si="0"/>
        <v>2.2.4) Infant mortality (deaths per 1,000 live births)</v>
      </c>
      <c r="AA26" s="264" t="str">
        <f>$Z$22</f>
        <v>2.2) Health Security (Outputs)</v>
      </c>
      <c r="AB26" s="267" t="str">
        <f t="shared" si="1"/>
        <v>#,0</v>
      </c>
      <c r="AC26" s="267">
        <v>1</v>
      </c>
      <c r="AD26" s="267">
        <f t="shared" si="2"/>
        <v>0.2</v>
      </c>
    </row>
    <row r="27" s="220" customFormat="1" spans="1:30">
      <c r="A27" s="220">
        <f t="shared" si="3"/>
        <v>26</v>
      </c>
      <c r="B27" s="220" t="s">
        <v>548</v>
      </c>
      <c r="C27" s="220" t="s">
        <v>529</v>
      </c>
      <c r="D27" s="220">
        <v>3</v>
      </c>
      <c r="E27" s="220">
        <v>0</v>
      </c>
      <c r="F27" s="250" t="s">
        <v>549</v>
      </c>
      <c r="G27" s="220" t="s">
        <v>97</v>
      </c>
      <c r="H27" s="251" t="s">
        <v>550</v>
      </c>
      <c r="I27" s="220" t="s">
        <v>551</v>
      </c>
      <c r="J27" s="256" t="s">
        <v>552</v>
      </c>
      <c r="L27" s="251"/>
      <c r="M27" s="220">
        <v>2</v>
      </c>
      <c r="N27" s="220">
        <v>1</v>
      </c>
      <c r="T27" s="259">
        <v>0</v>
      </c>
      <c r="Y27" s="264"/>
      <c r="Z27" s="267" t="str">
        <f t="shared" si="0"/>
        <v>2.2.5) Cancer mortality rate ( Cancer deaths per 100,000)</v>
      </c>
      <c r="AA27" s="264" t="str">
        <f>$Z$22</f>
        <v>2.2) Health Security (Outputs)</v>
      </c>
      <c r="AB27" s="267" t="str">
        <f t="shared" si="1"/>
        <v>#,0</v>
      </c>
      <c r="AC27" s="267">
        <v>1</v>
      </c>
      <c r="AD27" s="267">
        <f t="shared" si="2"/>
        <v>0.2</v>
      </c>
    </row>
    <row r="28" s="238" customFormat="1" ht="17.25" customHeight="1" spans="1:30">
      <c r="A28" s="222">
        <f t="shared" si="3"/>
        <v>27</v>
      </c>
      <c r="B28" s="222" t="s">
        <v>553</v>
      </c>
      <c r="C28" s="222" t="s">
        <v>445</v>
      </c>
      <c r="D28" s="222">
        <v>1</v>
      </c>
      <c r="E28" s="222">
        <v>0</v>
      </c>
      <c r="F28" s="248">
        <v>3</v>
      </c>
      <c r="G28" s="222" t="s">
        <v>449</v>
      </c>
      <c r="H28" s="222" t="str">
        <f>IF(uxb_works!$B$49,"RATIO of OUTPUT/INPUT (INFRASTRUCTURE SECURITY )","INFRASTRUCTURE SECURITY")</f>
        <v>INFRASTRUCTURE SECURITY</v>
      </c>
      <c r="I28" s="253" t="s">
        <v>554</v>
      </c>
      <c r="J28" s="254" t="s">
        <v>451</v>
      </c>
      <c r="K28" s="222"/>
      <c r="L28" s="222"/>
      <c r="M28" s="222">
        <v>1</v>
      </c>
      <c r="N28" s="222">
        <v>0</v>
      </c>
      <c r="O28" s="222"/>
      <c r="P28" s="222"/>
      <c r="Q28" s="222"/>
      <c r="R28" s="222"/>
      <c r="S28" s="222"/>
      <c r="T28" s="259">
        <v>1</v>
      </c>
      <c r="U28" s="222"/>
      <c r="V28" s="222"/>
      <c r="W28" s="222"/>
      <c r="X28" s="222"/>
      <c r="Y28" s="264"/>
      <c r="Z28" s="265" t="str">
        <f t="shared" si="0"/>
        <v>3) INFRASTRUCTURE SECURITY</v>
      </c>
      <c r="AA28" s="264" t="str">
        <f>$Z$2</f>
        <v>OVERALL SCORE</v>
      </c>
      <c r="AB28" s="265" t="str">
        <f t="shared" si="1"/>
        <v>#,0.0</v>
      </c>
      <c r="AC28" s="265">
        <v>1</v>
      </c>
      <c r="AD28" s="265">
        <f t="shared" si="2"/>
        <v>0.25</v>
      </c>
    </row>
    <row r="29" s="217" customFormat="1" ht="17.25" customHeight="1" spans="1:30">
      <c r="A29" s="218">
        <f t="shared" si="3"/>
        <v>28</v>
      </c>
      <c r="B29" s="218" t="s">
        <v>555</v>
      </c>
      <c r="C29" s="218" t="s">
        <v>553</v>
      </c>
      <c r="D29" s="218">
        <v>2</v>
      </c>
      <c r="E29" s="218">
        <v>0</v>
      </c>
      <c r="F29" s="249">
        <v>3.1</v>
      </c>
      <c r="G29" s="218" t="s">
        <v>483</v>
      </c>
      <c r="H29" s="218" t="s">
        <v>556</v>
      </c>
      <c r="I29" s="255" t="s">
        <v>557</v>
      </c>
      <c r="J29" s="255" t="s">
        <v>456</v>
      </c>
      <c r="K29" s="218"/>
      <c r="L29" s="218"/>
      <c r="M29" s="218">
        <v>1</v>
      </c>
      <c r="N29" s="218">
        <v>0</v>
      </c>
      <c r="O29" s="218"/>
      <c r="P29" s="218"/>
      <c r="Q29" s="218"/>
      <c r="R29" s="218"/>
      <c r="S29" s="218"/>
      <c r="T29" s="259">
        <v>1</v>
      </c>
      <c r="U29" s="218"/>
      <c r="V29" s="218"/>
      <c r="W29" s="218"/>
      <c r="X29" s="218"/>
      <c r="Y29" s="264"/>
      <c r="Z29" s="266" t="str">
        <f t="shared" si="0"/>
        <v>3.1) Infrastructure Security (Inputs)</v>
      </c>
      <c r="AA29" s="264" t="str">
        <f>$Z$28</f>
        <v>3) INFRASTRUCTURE SECURITY</v>
      </c>
      <c r="AB29" s="266" t="str">
        <f t="shared" si="1"/>
        <v>#,0.0</v>
      </c>
      <c r="AC29" s="266">
        <v>1</v>
      </c>
      <c r="AD29" s="266">
        <f t="shared" si="2"/>
        <v>0.5</v>
      </c>
    </row>
    <row r="30" s="220" customFormat="1" spans="1:30">
      <c r="A30" s="220">
        <f t="shared" si="3"/>
        <v>29</v>
      </c>
      <c r="B30" s="220" t="s">
        <v>558</v>
      </c>
      <c r="C30" s="220" t="s">
        <v>555</v>
      </c>
      <c r="D30" s="220">
        <v>3</v>
      </c>
      <c r="E30" s="220">
        <v>0</v>
      </c>
      <c r="F30" s="250" t="s">
        <v>559</v>
      </c>
      <c r="G30" s="220" t="s">
        <v>97</v>
      </c>
      <c r="H30" s="251" t="s">
        <v>560</v>
      </c>
      <c r="I30" s="220" t="s">
        <v>561</v>
      </c>
      <c r="J30" s="220" t="s">
        <v>561</v>
      </c>
      <c r="L30" s="251"/>
      <c r="M30" s="220">
        <v>3</v>
      </c>
      <c r="N30" s="220">
        <v>0</v>
      </c>
      <c r="Q30" s="220">
        <v>0</v>
      </c>
      <c r="R30" s="220">
        <v>10</v>
      </c>
      <c r="T30" s="259">
        <v>0</v>
      </c>
      <c r="Y30" s="264"/>
      <c r="Z30" s="267" t="str">
        <f t="shared" si="0"/>
        <v>3.1.1) Enforcement of transport safety</v>
      </c>
      <c r="AA30" s="264" t="str">
        <f>$Z$29</f>
        <v>3.1) Infrastructure Security (Inputs)</v>
      </c>
      <c r="AB30" s="267" t="str">
        <f t="shared" si="1"/>
        <v>#,0</v>
      </c>
      <c r="AC30" s="267">
        <v>1</v>
      </c>
      <c r="AD30" s="267">
        <f t="shared" si="2"/>
        <v>0.2</v>
      </c>
    </row>
    <row r="31" s="220" customFormat="1" spans="1:30">
      <c r="A31" s="220">
        <f t="shared" si="3"/>
        <v>30</v>
      </c>
      <c r="B31" s="220" t="s">
        <v>562</v>
      </c>
      <c r="C31" s="220" t="s">
        <v>555</v>
      </c>
      <c r="D31" s="220">
        <v>3</v>
      </c>
      <c r="E31" s="220">
        <v>0</v>
      </c>
      <c r="F31" s="250" t="s">
        <v>563</v>
      </c>
      <c r="G31" s="220" t="s">
        <v>97</v>
      </c>
      <c r="H31" s="251" t="s">
        <v>564</v>
      </c>
      <c r="I31" s="220" t="s">
        <v>528</v>
      </c>
      <c r="J31" s="220" t="s">
        <v>528</v>
      </c>
      <c r="L31" s="251"/>
      <c r="M31" s="220">
        <v>3</v>
      </c>
      <c r="N31" s="220">
        <v>0</v>
      </c>
      <c r="Q31" s="220">
        <v>1</v>
      </c>
      <c r="R31" s="220">
        <v>5</v>
      </c>
      <c r="T31" s="259">
        <v>0</v>
      </c>
      <c r="Y31" s="264"/>
      <c r="Z31" s="267" t="str">
        <f t="shared" si="0"/>
        <v>3.1.2) Pedestrian friendliness</v>
      </c>
      <c r="AA31" s="264" t="str">
        <f>$Z$29</f>
        <v>3.1) Infrastructure Security (Inputs)</v>
      </c>
      <c r="AB31" s="267" t="str">
        <f t="shared" si="1"/>
        <v>#,0</v>
      </c>
      <c r="AC31" s="267">
        <v>1</v>
      </c>
      <c r="AD31" s="267">
        <f t="shared" si="2"/>
        <v>0.2</v>
      </c>
    </row>
    <row r="32" s="220" customFormat="1" spans="1:30">
      <c r="A32" s="220">
        <f t="shared" si="3"/>
        <v>31</v>
      </c>
      <c r="B32" s="220" t="s">
        <v>565</v>
      </c>
      <c r="C32" s="220" t="s">
        <v>555</v>
      </c>
      <c r="D32" s="220">
        <v>3</v>
      </c>
      <c r="E32" s="220">
        <v>0</v>
      </c>
      <c r="F32" s="250" t="s">
        <v>566</v>
      </c>
      <c r="G32" s="220" t="s">
        <v>97</v>
      </c>
      <c r="H32" s="251" t="s">
        <v>567</v>
      </c>
      <c r="I32" s="220" t="s">
        <v>528</v>
      </c>
      <c r="J32" s="220" t="s">
        <v>528</v>
      </c>
      <c r="L32" s="251"/>
      <c r="M32" s="220">
        <v>3</v>
      </c>
      <c r="N32" s="220">
        <v>1</v>
      </c>
      <c r="Q32" s="220">
        <v>1</v>
      </c>
      <c r="R32" s="220">
        <v>5</v>
      </c>
      <c r="T32" s="259">
        <v>0</v>
      </c>
      <c r="Y32" s="264"/>
      <c r="Z32" s="267" t="str">
        <f t="shared" si="0"/>
        <v>3.1.3) Quality of road infrastructure</v>
      </c>
      <c r="AA32" s="264" t="str">
        <f>$Z$29</f>
        <v>3.1) Infrastructure Security (Inputs)</v>
      </c>
      <c r="AB32" s="267" t="str">
        <f t="shared" si="1"/>
        <v>#,0</v>
      </c>
      <c r="AC32" s="267">
        <v>1</v>
      </c>
      <c r="AD32" s="267">
        <f t="shared" si="2"/>
        <v>0.2</v>
      </c>
    </row>
    <row r="33" s="220" customFormat="1" spans="1:30">
      <c r="A33" s="220">
        <f t="shared" si="3"/>
        <v>32</v>
      </c>
      <c r="B33" s="220" t="s">
        <v>568</v>
      </c>
      <c r="C33" s="220" t="s">
        <v>555</v>
      </c>
      <c r="D33" s="220">
        <v>3</v>
      </c>
      <c r="E33" s="220">
        <v>0</v>
      </c>
      <c r="F33" s="250" t="s">
        <v>569</v>
      </c>
      <c r="G33" s="220" t="s">
        <v>97</v>
      </c>
      <c r="H33" s="251" t="s">
        <v>570</v>
      </c>
      <c r="I33" s="220" t="s">
        <v>528</v>
      </c>
      <c r="J33" s="220" t="s">
        <v>528</v>
      </c>
      <c r="L33" s="251"/>
      <c r="M33" s="220">
        <v>3</v>
      </c>
      <c r="N33" s="220">
        <v>1</v>
      </c>
      <c r="Q33" s="220">
        <v>1</v>
      </c>
      <c r="R33" s="220">
        <v>5</v>
      </c>
      <c r="T33" s="259">
        <v>0</v>
      </c>
      <c r="Y33" s="264"/>
      <c r="Z33" s="267" t="str">
        <f t="shared" si="0"/>
        <v>3.1.4) Quality of electricity infrastructure</v>
      </c>
      <c r="AA33" s="264" t="str">
        <f>$Z$29</f>
        <v>3.1) Infrastructure Security (Inputs)</v>
      </c>
      <c r="AB33" s="267" t="str">
        <f t="shared" si="1"/>
        <v>#,0</v>
      </c>
      <c r="AC33" s="267">
        <v>1</v>
      </c>
      <c r="AD33" s="267">
        <f t="shared" si="2"/>
        <v>0.2</v>
      </c>
    </row>
    <row r="34" s="220" customFormat="1" spans="1:30">
      <c r="A34" s="220">
        <f t="shared" si="3"/>
        <v>33</v>
      </c>
      <c r="B34" s="220" t="s">
        <v>571</v>
      </c>
      <c r="C34" s="220" t="s">
        <v>555</v>
      </c>
      <c r="D34" s="220">
        <v>3</v>
      </c>
      <c r="E34" s="220">
        <v>0</v>
      </c>
      <c r="F34" s="250" t="s">
        <v>572</v>
      </c>
      <c r="G34" s="220" t="s">
        <v>97</v>
      </c>
      <c r="H34" s="251" t="s">
        <v>573</v>
      </c>
      <c r="I34" s="220" t="s">
        <v>528</v>
      </c>
      <c r="J34" s="220" t="s">
        <v>528</v>
      </c>
      <c r="L34" s="251"/>
      <c r="M34" s="220">
        <v>3</v>
      </c>
      <c r="N34" s="220">
        <v>1</v>
      </c>
      <c r="Q34" s="220">
        <v>1</v>
      </c>
      <c r="R34" s="220">
        <v>5</v>
      </c>
      <c r="T34" s="259">
        <v>0</v>
      </c>
      <c r="Y34" s="264"/>
      <c r="Z34" s="267" t="str">
        <f t="shared" si="0"/>
        <v>3.1.5) Disaster Management/Business Continuity Plan</v>
      </c>
      <c r="AA34" s="264" t="str">
        <f>$Z$29</f>
        <v>3.1) Infrastructure Security (Inputs)</v>
      </c>
      <c r="AB34" s="267" t="str">
        <f t="shared" si="1"/>
        <v>#,0</v>
      </c>
      <c r="AC34" s="267">
        <v>1</v>
      </c>
      <c r="AD34" s="267">
        <f t="shared" si="2"/>
        <v>0.2</v>
      </c>
    </row>
    <row r="35" s="217" customFormat="1" ht="17.25" customHeight="1" spans="1:30">
      <c r="A35" s="218">
        <f t="shared" si="3"/>
        <v>34</v>
      </c>
      <c r="B35" s="218" t="s">
        <v>574</v>
      </c>
      <c r="C35" s="218" t="s">
        <v>553</v>
      </c>
      <c r="D35" s="218">
        <v>2</v>
      </c>
      <c r="E35" s="218">
        <v>0</v>
      </c>
      <c r="F35" s="249">
        <v>3.2</v>
      </c>
      <c r="G35" s="218" t="s">
        <v>483</v>
      </c>
      <c r="H35" s="218" t="s">
        <v>575</v>
      </c>
      <c r="I35" s="255" t="s">
        <v>576</v>
      </c>
      <c r="J35" s="255" t="s">
        <v>456</v>
      </c>
      <c r="K35" s="218"/>
      <c r="L35" s="218"/>
      <c r="M35" s="218">
        <v>1</v>
      </c>
      <c r="N35" s="218">
        <v>0</v>
      </c>
      <c r="O35" s="218"/>
      <c r="P35" s="218"/>
      <c r="Q35" s="218"/>
      <c r="R35" s="218"/>
      <c r="S35" s="218"/>
      <c r="T35" s="259">
        <v>1</v>
      </c>
      <c r="U35" s="218"/>
      <c r="V35" s="218"/>
      <c r="W35" s="218"/>
      <c r="X35" s="218"/>
      <c r="Y35" s="264"/>
      <c r="Z35" s="266" t="str">
        <f t="shared" si="0"/>
        <v>3.2) Infrastructure Security (Outputs)</v>
      </c>
      <c r="AA35" s="264" t="str">
        <f>$Z$28</f>
        <v>3) INFRASTRUCTURE SECURITY</v>
      </c>
      <c r="AB35" s="266" t="str">
        <f t="shared" si="1"/>
        <v>#,0.0</v>
      </c>
      <c r="AC35" s="266">
        <v>1</v>
      </c>
      <c r="AD35" s="266">
        <f t="shared" ref="AD35:AD57" si="6">AC35/SUMIF(C$3:C$57,$C35,AC$3:AC$57)</f>
        <v>0.5</v>
      </c>
    </row>
    <row r="36" s="220" customFormat="1" spans="1:30">
      <c r="A36" s="220">
        <f t="shared" si="3"/>
        <v>35</v>
      </c>
      <c r="B36" s="220" t="s">
        <v>577</v>
      </c>
      <c r="C36" s="220" t="s">
        <v>574</v>
      </c>
      <c r="D36" s="220">
        <v>3</v>
      </c>
      <c r="E36" s="220">
        <v>0</v>
      </c>
      <c r="F36" s="250" t="s">
        <v>578</v>
      </c>
      <c r="G36" s="220" t="s">
        <v>97</v>
      </c>
      <c r="H36" s="251" t="s">
        <v>579</v>
      </c>
      <c r="I36" s="220" t="s">
        <v>580</v>
      </c>
      <c r="J36" s="220" t="s">
        <v>581</v>
      </c>
      <c r="L36" s="251"/>
      <c r="M36" s="220">
        <v>2</v>
      </c>
      <c r="N36" s="257">
        <v>1</v>
      </c>
      <c r="T36" s="259">
        <v>0</v>
      </c>
      <c r="Y36" s="264"/>
      <c r="Z36" s="267" t="str">
        <f t="shared" si="0"/>
        <v>3.2.1) Death from natural disasters</v>
      </c>
      <c r="AA36" s="264" t="str">
        <f>$Z$35</f>
        <v>3.2) Infrastructure Security (Outputs)</v>
      </c>
      <c r="AB36" s="267" t="str">
        <f t="shared" si="1"/>
        <v>#,0</v>
      </c>
      <c r="AC36" s="267">
        <v>1</v>
      </c>
      <c r="AD36" s="267">
        <f t="shared" si="6"/>
        <v>0.25</v>
      </c>
    </row>
    <row r="37" s="220" customFormat="1" spans="1:30">
      <c r="A37" s="220">
        <f t="shared" si="3"/>
        <v>36</v>
      </c>
      <c r="B37" s="220" t="s">
        <v>582</v>
      </c>
      <c r="C37" s="220" t="s">
        <v>574</v>
      </c>
      <c r="D37" s="220">
        <v>3</v>
      </c>
      <c r="E37" s="220">
        <v>0</v>
      </c>
      <c r="F37" s="250" t="s">
        <v>583</v>
      </c>
      <c r="G37" s="220" t="s">
        <v>97</v>
      </c>
      <c r="H37" s="251" t="s">
        <v>584</v>
      </c>
      <c r="I37" s="220" t="s">
        <v>585</v>
      </c>
      <c r="J37" s="220" t="s">
        <v>581</v>
      </c>
      <c r="L37" s="251"/>
      <c r="M37" s="220">
        <v>2</v>
      </c>
      <c r="N37" s="257">
        <v>1</v>
      </c>
      <c r="T37" s="259">
        <v>2</v>
      </c>
      <c r="Y37" s="264"/>
      <c r="Z37" s="267" t="str">
        <f t="shared" si="0"/>
        <v>3.2.2) Frequency of vehicular accidents</v>
      </c>
      <c r="AA37" s="264" t="str">
        <f>$Z$35</f>
        <v>3.2) Infrastructure Security (Outputs)</v>
      </c>
      <c r="AB37" s="267" t="str">
        <f t="shared" si="1"/>
        <v>#,0.00</v>
      </c>
      <c r="AC37" s="267">
        <v>1</v>
      </c>
      <c r="AD37" s="267">
        <f t="shared" si="6"/>
        <v>0.25</v>
      </c>
    </row>
    <row r="38" s="220" customFormat="1" spans="1:30">
      <c r="A38" s="220">
        <f t="shared" si="3"/>
        <v>37</v>
      </c>
      <c r="B38" s="220" t="s">
        <v>586</v>
      </c>
      <c r="C38" s="220" t="s">
        <v>574</v>
      </c>
      <c r="D38" s="220">
        <v>3</v>
      </c>
      <c r="E38" s="220">
        <v>0</v>
      </c>
      <c r="F38" s="250" t="s">
        <v>587</v>
      </c>
      <c r="G38" s="220" t="s">
        <v>97</v>
      </c>
      <c r="H38" s="251" t="s">
        <v>588</v>
      </c>
      <c r="I38" s="220" t="s">
        <v>580</v>
      </c>
      <c r="J38" s="220" t="s">
        <v>581</v>
      </c>
      <c r="L38" s="251"/>
      <c r="M38" s="220">
        <v>2</v>
      </c>
      <c r="N38" s="257">
        <v>1</v>
      </c>
      <c r="T38" s="259">
        <v>2</v>
      </c>
      <c r="Y38" s="264"/>
      <c r="Z38" s="267" t="str">
        <f t="shared" si="0"/>
        <v>3.2.3) Frequency of pedestrian deaths</v>
      </c>
      <c r="AA38" s="264" t="str">
        <f>$Z$35</f>
        <v>3.2) Infrastructure Security (Outputs)</v>
      </c>
      <c r="AB38" s="267" t="str">
        <f t="shared" si="1"/>
        <v>#,0.00</v>
      </c>
      <c r="AC38" s="267">
        <v>1</v>
      </c>
      <c r="AD38" s="267">
        <f t="shared" si="6"/>
        <v>0.25</v>
      </c>
    </row>
    <row r="39" s="220" customFormat="1" spans="1:30">
      <c r="A39" s="220">
        <f t="shared" si="3"/>
        <v>38</v>
      </c>
      <c r="B39" s="220" t="s">
        <v>589</v>
      </c>
      <c r="C39" s="220" t="s">
        <v>574</v>
      </c>
      <c r="D39" s="220">
        <v>3</v>
      </c>
      <c r="E39" s="220">
        <v>0</v>
      </c>
      <c r="F39" s="250" t="s">
        <v>590</v>
      </c>
      <c r="G39" s="220" t="s">
        <v>97</v>
      </c>
      <c r="H39" s="251" t="s">
        <v>591</v>
      </c>
      <c r="I39" s="220" t="s">
        <v>498</v>
      </c>
      <c r="J39" s="220" t="s">
        <v>490</v>
      </c>
      <c r="L39" s="251"/>
      <c r="M39" s="220">
        <v>2</v>
      </c>
      <c r="N39" s="257">
        <v>1</v>
      </c>
      <c r="T39" s="259">
        <v>0</v>
      </c>
      <c r="Y39" s="264"/>
      <c r="Z39" s="267" t="str">
        <f t="shared" si="0"/>
        <v>3.2.4) Percent living in urban slums</v>
      </c>
      <c r="AA39" s="264" t="str">
        <f>$Z$35</f>
        <v>3.2) Infrastructure Security (Outputs)</v>
      </c>
      <c r="AB39" s="267" t="str">
        <f t="shared" si="1"/>
        <v>#,0</v>
      </c>
      <c r="AC39" s="267">
        <v>1</v>
      </c>
      <c r="AD39" s="267">
        <f t="shared" si="6"/>
        <v>0.25</v>
      </c>
    </row>
    <row r="40" s="238" customFormat="1" ht="17.25" customHeight="1" spans="1:30">
      <c r="A40" s="222">
        <f t="shared" si="3"/>
        <v>39</v>
      </c>
      <c r="B40" s="222" t="s">
        <v>592</v>
      </c>
      <c r="C40" s="222" t="s">
        <v>445</v>
      </c>
      <c r="D40" s="222">
        <v>1</v>
      </c>
      <c r="E40" s="222">
        <v>0</v>
      </c>
      <c r="F40" s="248">
        <v>4</v>
      </c>
      <c r="G40" s="222" t="s">
        <v>449</v>
      </c>
      <c r="H40" s="222" t="str">
        <f>IF(uxb_works!$B$49,"RATIO of OUTPUT/INPUT (PERSONAL SECURITY )","PERSONAL SECURITY")</f>
        <v>PERSONAL SECURITY</v>
      </c>
      <c r="I40" s="253" t="s">
        <v>593</v>
      </c>
      <c r="J40" s="254" t="s">
        <v>456</v>
      </c>
      <c r="K40" s="222"/>
      <c r="L40" s="222"/>
      <c r="M40" s="222">
        <v>1</v>
      </c>
      <c r="N40" s="222">
        <v>0</v>
      </c>
      <c r="O40" s="222"/>
      <c r="P40" s="222"/>
      <c r="Q40" s="222"/>
      <c r="R40" s="222"/>
      <c r="S40" s="222"/>
      <c r="T40" s="259">
        <v>1</v>
      </c>
      <c r="U40" s="222"/>
      <c r="V40" s="222"/>
      <c r="W40" s="222"/>
      <c r="X40" s="222"/>
      <c r="Y40" s="264"/>
      <c r="Z40" s="265" t="str">
        <f t="shared" si="0"/>
        <v>4) PERSONAL SECURITY</v>
      </c>
      <c r="AA40" s="264" t="str">
        <f>$Z$2</f>
        <v>OVERALL SCORE</v>
      </c>
      <c r="AB40" s="265" t="str">
        <f t="shared" si="1"/>
        <v>#,0.0</v>
      </c>
      <c r="AC40" s="265">
        <v>1</v>
      </c>
      <c r="AD40" s="265">
        <f t="shared" si="6"/>
        <v>0.25</v>
      </c>
    </row>
    <row r="41" s="217" customFormat="1" ht="17.25" customHeight="1" spans="1:30">
      <c r="A41" s="218">
        <f t="shared" si="3"/>
        <v>40</v>
      </c>
      <c r="B41" s="218" t="s">
        <v>594</v>
      </c>
      <c r="C41" s="218" t="s">
        <v>592</v>
      </c>
      <c r="D41" s="218">
        <v>2</v>
      </c>
      <c r="E41" s="218">
        <v>0</v>
      </c>
      <c r="F41" s="249">
        <v>4.1</v>
      </c>
      <c r="G41" s="218" t="s">
        <v>483</v>
      </c>
      <c r="H41" s="218" t="s">
        <v>595</v>
      </c>
      <c r="I41" s="255" t="s">
        <v>596</v>
      </c>
      <c r="J41" s="255" t="s">
        <v>456</v>
      </c>
      <c r="K41" s="218"/>
      <c r="L41" s="218"/>
      <c r="M41" s="218">
        <v>1</v>
      </c>
      <c r="N41" s="218">
        <v>0</v>
      </c>
      <c r="O41" s="218"/>
      <c r="P41" s="218"/>
      <c r="Q41" s="218"/>
      <c r="R41" s="218"/>
      <c r="S41" s="218"/>
      <c r="T41" s="259">
        <v>1</v>
      </c>
      <c r="U41" s="218"/>
      <c r="V41" s="218"/>
      <c r="W41" s="218"/>
      <c r="X41" s="218"/>
      <c r="Y41" s="264"/>
      <c r="Z41" s="266" t="str">
        <f t="shared" si="0"/>
        <v>4.1) Personal Security (Inputs)</v>
      </c>
      <c r="AA41" s="264" t="str">
        <f>$Z$40</f>
        <v>4) PERSONAL SECURITY</v>
      </c>
      <c r="AB41" s="266" t="str">
        <f t="shared" si="1"/>
        <v>#,0.0</v>
      </c>
      <c r="AC41" s="266">
        <v>1</v>
      </c>
      <c r="AD41" s="266">
        <f t="shared" si="6"/>
        <v>0.5</v>
      </c>
    </row>
    <row r="42" s="220" customFormat="1" spans="1:30">
      <c r="A42" s="220">
        <f t="shared" si="3"/>
        <v>41</v>
      </c>
      <c r="B42" s="220" t="s">
        <v>597</v>
      </c>
      <c r="C42" s="220" t="s">
        <v>594</v>
      </c>
      <c r="D42" s="220">
        <v>3</v>
      </c>
      <c r="E42" s="220">
        <v>0</v>
      </c>
      <c r="F42" s="250" t="s">
        <v>598</v>
      </c>
      <c r="G42" s="220" t="s">
        <v>97</v>
      </c>
      <c r="H42" s="251" t="s">
        <v>599</v>
      </c>
      <c r="I42" s="220" t="s">
        <v>600</v>
      </c>
      <c r="J42" s="220" t="s">
        <v>601</v>
      </c>
      <c r="L42" s="251"/>
      <c r="M42" s="220">
        <v>3</v>
      </c>
      <c r="N42" s="257">
        <v>0</v>
      </c>
      <c r="Q42" s="220">
        <v>0</v>
      </c>
      <c r="R42" s="220">
        <v>1</v>
      </c>
      <c r="T42" s="259">
        <v>0</v>
      </c>
      <c r="Y42" s="264"/>
      <c r="Z42" s="267" t="str">
        <f t="shared" si="0"/>
        <v>4.1.1) Level of police engagement</v>
      </c>
      <c r="AA42" s="264" t="str">
        <f>$Z$41</f>
        <v>4.1) Personal Security (Inputs)</v>
      </c>
      <c r="AB42" s="267" t="str">
        <f t="shared" si="1"/>
        <v>#,0</v>
      </c>
      <c r="AC42" s="267">
        <v>1</v>
      </c>
      <c r="AD42" s="267">
        <f t="shared" si="6"/>
        <v>0.142857142857143</v>
      </c>
    </row>
    <row r="43" s="220" customFormat="1" spans="1:30">
      <c r="A43" s="220">
        <f t="shared" si="3"/>
        <v>42</v>
      </c>
      <c r="B43" s="220" t="s">
        <v>602</v>
      </c>
      <c r="C43" s="220" t="s">
        <v>594</v>
      </c>
      <c r="D43" s="220">
        <v>3</v>
      </c>
      <c r="E43" s="220">
        <v>0</v>
      </c>
      <c r="F43" s="250" t="s">
        <v>603</v>
      </c>
      <c r="G43" s="220" t="s">
        <v>97</v>
      </c>
      <c r="H43" s="251" t="s">
        <v>604</v>
      </c>
      <c r="I43" s="220" t="s">
        <v>605</v>
      </c>
      <c r="J43" s="220" t="s">
        <v>606</v>
      </c>
      <c r="L43" s="251"/>
      <c r="M43" s="220">
        <v>2</v>
      </c>
      <c r="N43" s="220">
        <v>0</v>
      </c>
      <c r="T43" s="259">
        <v>0</v>
      </c>
      <c r="Y43" s="264"/>
      <c r="Z43" s="267" t="str">
        <f t="shared" si="0"/>
        <v>4.1.2) Community-based patrolling</v>
      </c>
      <c r="AA43" s="264" t="str">
        <f t="shared" ref="AA43:AA48" si="7">$Z$41</f>
        <v>4.1) Personal Security (Inputs)</v>
      </c>
      <c r="AB43" s="267" t="str">
        <f t="shared" si="1"/>
        <v>#,0</v>
      </c>
      <c r="AC43" s="267">
        <v>1</v>
      </c>
      <c r="AD43" s="267">
        <f t="shared" si="6"/>
        <v>0.142857142857143</v>
      </c>
    </row>
    <row r="44" s="220" customFormat="1" spans="1:30">
      <c r="A44" s="220">
        <f t="shared" si="3"/>
        <v>43</v>
      </c>
      <c r="B44" s="220" t="s">
        <v>607</v>
      </c>
      <c r="C44" s="220" t="s">
        <v>594</v>
      </c>
      <c r="D44" s="220">
        <v>3</v>
      </c>
      <c r="E44" s="220">
        <v>0</v>
      </c>
      <c r="F44" s="250" t="s">
        <v>608</v>
      </c>
      <c r="G44" s="220" t="s">
        <v>97</v>
      </c>
      <c r="H44" s="251" t="s">
        <v>609</v>
      </c>
      <c r="I44" s="220" t="s">
        <v>605</v>
      </c>
      <c r="J44" s="220" t="s">
        <v>606</v>
      </c>
      <c r="L44" s="251"/>
      <c r="M44" s="220">
        <v>2</v>
      </c>
      <c r="N44" s="220">
        <v>0</v>
      </c>
      <c r="T44" s="259">
        <v>0</v>
      </c>
      <c r="Y44" s="264"/>
      <c r="Z44" s="267" t="str">
        <f t="shared" si="0"/>
        <v>4.1.3) Availability of street-level crime data</v>
      </c>
      <c r="AA44" s="264" t="str">
        <f t="shared" si="7"/>
        <v>4.1) Personal Security (Inputs)</v>
      </c>
      <c r="AB44" s="267" t="str">
        <f t="shared" si="1"/>
        <v>#,0</v>
      </c>
      <c r="AC44" s="267">
        <v>1</v>
      </c>
      <c r="AD44" s="267">
        <f t="shared" si="6"/>
        <v>0.142857142857143</v>
      </c>
    </row>
    <row r="45" s="220" customFormat="1" spans="1:30">
      <c r="A45" s="220">
        <f t="shared" si="3"/>
        <v>44</v>
      </c>
      <c r="B45" s="220" t="s">
        <v>610</v>
      </c>
      <c r="C45" s="220" t="s">
        <v>594</v>
      </c>
      <c r="D45" s="220">
        <v>3</v>
      </c>
      <c r="E45" s="220">
        <v>0</v>
      </c>
      <c r="F45" s="250" t="s">
        <v>611</v>
      </c>
      <c r="G45" s="220" t="s">
        <v>97</v>
      </c>
      <c r="H45" s="251" t="s">
        <v>612</v>
      </c>
      <c r="I45" s="220" t="s">
        <v>605</v>
      </c>
      <c r="J45" s="220" t="s">
        <v>606</v>
      </c>
      <c r="L45" s="251"/>
      <c r="M45" s="220">
        <v>2</v>
      </c>
      <c r="N45" s="220">
        <v>0</v>
      </c>
      <c r="T45" s="259">
        <v>0</v>
      </c>
      <c r="Y45" s="264"/>
      <c r="Z45" s="267" t="str">
        <f t="shared" si="0"/>
        <v>4.1.4) Use of data-driven techniques for crime</v>
      </c>
      <c r="AA45" s="264" t="str">
        <f t="shared" si="7"/>
        <v>4.1) Personal Security (Inputs)</v>
      </c>
      <c r="AB45" s="267" t="str">
        <f t="shared" si="1"/>
        <v>#,0</v>
      </c>
      <c r="AC45" s="267">
        <v>1</v>
      </c>
      <c r="AD45" s="267">
        <f t="shared" si="6"/>
        <v>0.142857142857143</v>
      </c>
    </row>
    <row r="46" s="220" customFormat="1" spans="1:30">
      <c r="A46" s="220">
        <f t="shared" si="3"/>
        <v>45</v>
      </c>
      <c r="B46" s="220" t="s">
        <v>613</v>
      </c>
      <c r="C46" s="220" t="s">
        <v>594</v>
      </c>
      <c r="D46" s="220">
        <v>3</v>
      </c>
      <c r="E46" s="220">
        <v>0</v>
      </c>
      <c r="F46" s="250" t="s">
        <v>614</v>
      </c>
      <c r="G46" s="220" t="s">
        <v>97</v>
      </c>
      <c r="H46" s="251" t="s">
        <v>615</v>
      </c>
      <c r="I46" s="220" t="s">
        <v>605</v>
      </c>
      <c r="J46" s="220" t="s">
        <v>606</v>
      </c>
      <c r="L46" s="251"/>
      <c r="M46" s="220">
        <v>2</v>
      </c>
      <c r="N46" s="220">
        <v>0</v>
      </c>
      <c r="T46" s="259">
        <v>0</v>
      </c>
      <c r="Y46" s="264"/>
      <c r="Z46" s="267" t="str">
        <f t="shared" si="0"/>
        <v>4.1.5) Private security measures</v>
      </c>
      <c r="AA46" s="264" t="str">
        <f t="shared" si="7"/>
        <v>4.1) Personal Security (Inputs)</v>
      </c>
      <c r="AB46" s="267" t="str">
        <f t="shared" si="1"/>
        <v>#,0</v>
      </c>
      <c r="AC46" s="267">
        <v>1</v>
      </c>
      <c r="AD46" s="267">
        <f t="shared" si="6"/>
        <v>0.142857142857143</v>
      </c>
    </row>
    <row r="47" s="220" customFormat="1" spans="1:30">
      <c r="A47" s="220">
        <f t="shared" si="3"/>
        <v>46</v>
      </c>
      <c r="B47" s="220" t="s">
        <v>616</v>
      </c>
      <c r="C47" s="220" t="s">
        <v>594</v>
      </c>
      <c r="D47" s="220">
        <v>3</v>
      </c>
      <c r="E47" s="220">
        <v>0</v>
      </c>
      <c r="F47" s="250" t="s">
        <v>617</v>
      </c>
      <c r="G47" s="220" t="s">
        <v>97</v>
      </c>
      <c r="H47" s="251" t="s">
        <v>618</v>
      </c>
      <c r="I47" s="220" t="s">
        <v>619</v>
      </c>
      <c r="J47" s="220" t="s">
        <v>619</v>
      </c>
      <c r="L47" s="251"/>
      <c r="M47" s="220">
        <v>2</v>
      </c>
      <c r="N47" s="220">
        <v>1</v>
      </c>
      <c r="T47" s="259">
        <v>0</v>
      </c>
      <c r="Y47" s="264"/>
      <c r="Z47" s="267" t="str">
        <f t="shared" si="0"/>
        <v>4.1.6) Gun regulation and enforcement</v>
      </c>
      <c r="AA47" s="264" t="str">
        <f t="shared" si="7"/>
        <v>4.1) Personal Security (Inputs)</v>
      </c>
      <c r="AB47" s="267" t="str">
        <f t="shared" si="1"/>
        <v>#,0</v>
      </c>
      <c r="AC47" s="267">
        <v>1</v>
      </c>
      <c r="AD47" s="267">
        <f t="shared" si="6"/>
        <v>0.142857142857143</v>
      </c>
    </row>
    <row r="48" s="220" customFormat="1" spans="1:30">
      <c r="A48" s="220">
        <f t="shared" si="3"/>
        <v>47</v>
      </c>
      <c r="B48" s="220" t="s">
        <v>620</v>
      </c>
      <c r="C48" s="220" t="s">
        <v>594</v>
      </c>
      <c r="D48" s="220">
        <v>3</v>
      </c>
      <c r="E48" s="220">
        <v>0</v>
      </c>
      <c r="F48" s="250" t="s">
        <v>621</v>
      </c>
      <c r="G48" s="220" t="s">
        <v>97</v>
      </c>
      <c r="H48" s="251" t="s">
        <v>622</v>
      </c>
      <c r="I48" s="220" t="s">
        <v>623</v>
      </c>
      <c r="J48" s="220" t="s">
        <v>623</v>
      </c>
      <c r="L48" s="251"/>
      <c r="M48" s="220">
        <v>3</v>
      </c>
      <c r="N48" s="220">
        <v>1</v>
      </c>
      <c r="Q48" s="220">
        <v>0</v>
      </c>
      <c r="R48" s="220">
        <v>100</v>
      </c>
      <c r="T48" s="259">
        <v>0</v>
      </c>
      <c r="Y48" s="264"/>
      <c r="Z48" s="267" t="str">
        <f t="shared" si="0"/>
        <v>4.1.7) Political Stability Risk</v>
      </c>
      <c r="AA48" s="264" t="str">
        <f t="shared" si="7"/>
        <v>4.1) Personal Security (Inputs)</v>
      </c>
      <c r="AB48" s="267" t="str">
        <f t="shared" si="1"/>
        <v>#,0</v>
      </c>
      <c r="AC48" s="267">
        <v>1</v>
      </c>
      <c r="AD48" s="267">
        <f t="shared" si="6"/>
        <v>0.142857142857143</v>
      </c>
    </row>
    <row r="49" s="217" customFormat="1" ht="17.25" customHeight="1" spans="1:30">
      <c r="A49" s="218">
        <f t="shared" si="3"/>
        <v>48</v>
      </c>
      <c r="B49" s="218" t="s">
        <v>624</v>
      </c>
      <c r="C49" s="218" t="s">
        <v>592</v>
      </c>
      <c r="D49" s="218">
        <v>2</v>
      </c>
      <c r="E49" s="218">
        <v>0</v>
      </c>
      <c r="F49" s="249">
        <v>4.2</v>
      </c>
      <c r="G49" s="218" t="s">
        <v>483</v>
      </c>
      <c r="H49" s="218" t="s">
        <v>625</v>
      </c>
      <c r="I49" s="255" t="s">
        <v>626</v>
      </c>
      <c r="J49" s="255" t="s">
        <v>456</v>
      </c>
      <c r="K49" s="218"/>
      <c r="L49" s="218"/>
      <c r="M49" s="218">
        <v>1</v>
      </c>
      <c r="N49" s="218">
        <v>0</v>
      </c>
      <c r="O49" s="218"/>
      <c r="P49" s="218"/>
      <c r="Q49" s="218"/>
      <c r="R49" s="218"/>
      <c r="S49" s="218"/>
      <c r="T49" s="259">
        <v>1</v>
      </c>
      <c r="U49" s="218"/>
      <c r="V49" s="218"/>
      <c r="W49" s="218"/>
      <c r="X49" s="218"/>
      <c r="Y49" s="264"/>
      <c r="Z49" s="266" t="str">
        <f t="shared" si="0"/>
        <v>4.2) Personal Security (Outputs)</v>
      </c>
      <c r="AA49" s="264" t="str">
        <f>$Z$40</f>
        <v>4) PERSONAL SECURITY</v>
      </c>
      <c r="AB49" s="266" t="str">
        <f t="shared" si="1"/>
        <v>#,0.0</v>
      </c>
      <c r="AC49" s="266">
        <v>1</v>
      </c>
      <c r="AD49" s="266">
        <f t="shared" si="6"/>
        <v>0.5</v>
      </c>
    </row>
    <row r="50" s="220" customFormat="1" spans="1:30">
      <c r="A50" s="220">
        <f t="shared" si="3"/>
        <v>49</v>
      </c>
      <c r="B50" s="220" t="s">
        <v>627</v>
      </c>
      <c r="C50" s="220" t="s">
        <v>624</v>
      </c>
      <c r="D50" s="220">
        <v>3</v>
      </c>
      <c r="E50" s="220">
        <v>0</v>
      </c>
      <c r="F50" s="250" t="s">
        <v>628</v>
      </c>
      <c r="G50" s="220" t="s">
        <v>97</v>
      </c>
      <c r="H50" s="251" t="s">
        <v>629</v>
      </c>
      <c r="I50" s="220" t="s">
        <v>630</v>
      </c>
      <c r="J50" s="220" t="s">
        <v>630</v>
      </c>
      <c r="L50" s="251"/>
      <c r="M50" s="220">
        <v>2</v>
      </c>
      <c r="N50" s="220">
        <v>1</v>
      </c>
      <c r="T50" s="259">
        <v>0</v>
      </c>
      <c r="Y50" s="264"/>
      <c r="Z50" s="267" t="str">
        <f t="shared" si="0"/>
        <v>4.2.1) Prevalence of petty crime</v>
      </c>
      <c r="AA50" s="264" t="str">
        <f>$Z$49</f>
        <v>4.2) Personal Security (Outputs)</v>
      </c>
      <c r="AB50" s="267" t="str">
        <f t="shared" si="1"/>
        <v>#,0</v>
      </c>
      <c r="AC50" s="267">
        <v>1</v>
      </c>
      <c r="AD50" s="267">
        <f t="shared" si="6"/>
        <v>0.125</v>
      </c>
    </row>
    <row r="51" s="220" customFormat="1" spans="1:30">
      <c r="A51" s="220">
        <f t="shared" si="3"/>
        <v>50</v>
      </c>
      <c r="B51" s="220" t="s">
        <v>631</v>
      </c>
      <c r="C51" s="220" t="s">
        <v>624</v>
      </c>
      <c r="D51" s="220">
        <v>3</v>
      </c>
      <c r="E51" s="220">
        <v>0</v>
      </c>
      <c r="F51" s="250" t="s">
        <v>632</v>
      </c>
      <c r="G51" s="220" t="s">
        <v>97</v>
      </c>
      <c r="H51" s="251" t="s">
        <v>633</v>
      </c>
      <c r="I51" s="220" t="s">
        <v>630</v>
      </c>
      <c r="J51" s="220" t="s">
        <v>630</v>
      </c>
      <c r="L51" s="251"/>
      <c r="M51" s="220">
        <v>2</v>
      </c>
      <c r="N51" s="220">
        <v>1</v>
      </c>
      <c r="T51" s="259">
        <v>0</v>
      </c>
      <c r="Y51" s="264"/>
      <c r="Z51" s="267" t="str">
        <f t="shared" si="0"/>
        <v>4.2.2) Prevalence of violence crime</v>
      </c>
      <c r="AA51" s="264" t="str">
        <f t="shared" ref="AA51:AA57" si="8">$Z$49</f>
        <v>4.2) Personal Security (Outputs)</v>
      </c>
      <c r="AB51" s="267" t="str">
        <f t="shared" si="1"/>
        <v>#,0</v>
      </c>
      <c r="AC51" s="267">
        <v>1</v>
      </c>
      <c r="AD51" s="267">
        <f t="shared" si="6"/>
        <v>0.125</v>
      </c>
    </row>
    <row r="52" s="220" customFormat="1" spans="1:30">
      <c r="A52" s="220">
        <f t="shared" si="3"/>
        <v>51</v>
      </c>
      <c r="B52" s="220" t="s">
        <v>634</v>
      </c>
      <c r="C52" s="220" t="s">
        <v>624</v>
      </c>
      <c r="D52" s="220">
        <v>3</v>
      </c>
      <c r="E52" s="220">
        <v>0</v>
      </c>
      <c r="F52" s="250" t="s">
        <v>635</v>
      </c>
      <c r="G52" s="220" t="s">
        <v>97</v>
      </c>
      <c r="H52" s="251" t="s">
        <v>636</v>
      </c>
      <c r="I52" s="220" t="s">
        <v>637</v>
      </c>
      <c r="J52" s="220" t="s">
        <v>638</v>
      </c>
      <c r="L52" s="251"/>
      <c r="M52" s="220">
        <v>2</v>
      </c>
      <c r="N52" s="220">
        <v>1</v>
      </c>
      <c r="T52" s="259">
        <v>0</v>
      </c>
      <c r="Y52" s="264"/>
      <c r="Z52" s="267" t="str">
        <f t="shared" si="0"/>
        <v>4.2.3) Criminal gang activity</v>
      </c>
      <c r="AA52" s="264" t="str">
        <f t="shared" si="8"/>
        <v>4.2) Personal Security (Outputs)</v>
      </c>
      <c r="AB52" s="267" t="str">
        <f t="shared" si="1"/>
        <v>#,0</v>
      </c>
      <c r="AC52" s="267">
        <v>1</v>
      </c>
      <c r="AD52" s="267">
        <f t="shared" si="6"/>
        <v>0.125</v>
      </c>
    </row>
    <row r="53" s="220" customFormat="1" spans="1:30">
      <c r="A53" s="220">
        <f t="shared" si="3"/>
        <v>52</v>
      </c>
      <c r="B53" s="220" t="s">
        <v>639</v>
      </c>
      <c r="C53" s="220" t="s">
        <v>624</v>
      </c>
      <c r="D53" s="220">
        <v>3</v>
      </c>
      <c r="E53" s="220">
        <v>0</v>
      </c>
      <c r="F53" s="250" t="s">
        <v>640</v>
      </c>
      <c r="G53" s="220" t="s">
        <v>97</v>
      </c>
      <c r="H53" s="251" t="s">
        <v>641</v>
      </c>
      <c r="I53" s="220" t="s">
        <v>623</v>
      </c>
      <c r="J53" s="220" t="s">
        <v>623</v>
      </c>
      <c r="L53" s="251"/>
      <c r="M53" s="220">
        <v>3</v>
      </c>
      <c r="N53" s="220">
        <v>1</v>
      </c>
      <c r="Q53" s="220">
        <v>0</v>
      </c>
      <c r="R53" s="220">
        <v>100</v>
      </c>
      <c r="T53" s="259">
        <v>0</v>
      </c>
      <c r="Y53" s="264"/>
      <c r="Z53" s="267" t="str">
        <f t="shared" si="0"/>
        <v>4.2.4) Level of corruption in police force</v>
      </c>
      <c r="AA53" s="264" t="str">
        <f t="shared" si="8"/>
        <v>4.2) Personal Security (Outputs)</v>
      </c>
      <c r="AB53" s="267" t="str">
        <f t="shared" si="1"/>
        <v>#,0</v>
      </c>
      <c r="AC53" s="267">
        <v>1</v>
      </c>
      <c r="AD53" s="267">
        <f t="shared" si="6"/>
        <v>0.125</v>
      </c>
    </row>
    <row r="54" s="220" customFormat="1" spans="1:30">
      <c r="A54" s="220">
        <f t="shared" si="3"/>
        <v>53</v>
      </c>
      <c r="B54" s="220" t="s">
        <v>642</v>
      </c>
      <c r="C54" s="220" t="s">
        <v>624</v>
      </c>
      <c r="D54" s="220">
        <v>3</v>
      </c>
      <c r="E54" s="220">
        <v>0</v>
      </c>
      <c r="F54" s="250" t="s">
        <v>643</v>
      </c>
      <c r="G54" s="220" t="s">
        <v>97</v>
      </c>
      <c r="H54" s="251" t="s">
        <v>644</v>
      </c>
      <c r="I54" s="220" t="s">
        <v>498</v>
      </c>
      <c r="J54" s="220" t="s">
        <v>490</v>
      </c>
      <c r="L54" s="251"/>
      <c r="M54" s="220">
        <v>2</v>
      </c>
      <c r="N54" s="220">
        <v>1</v>
      </c>
      <c r="T54" s="259">
        <v>1</v>
      </c>
      <c r="Y54" s="264"/>
      <c r="Z54" s="267" t="str">
        <f t="shared" si="0"/>
        <v>4.2.5) Rate of drug use</v>
      </c>
      <c r="AA54" s="264" t="str">
        <f t="shared" si="8"/>
        <v>4.2) Personal Security (Outputs)</v>
      </c>
      <c r="AB54" s="267" t="str">
        <f t="shared" si="1"/>
        <v>#,0.0</v>
      </c>
      <c r="AC54" s="267">
        <v>1</v>
      </c>
      <c r="AD54" s="267">
        <f t="shared" si="6"/>
        <v>0.125</v>
      </c>
    </row>
    <row r="55" s="220" customFormat="1" spans="1:30">
      <c r="A55" s="220">
        <f t="shared" si="3"/>
        <v>54</v>
      </c>
      <c r="B55" s="220" t="s">
        <v>645</v>
      </c>
      <c r="C55" s="220" t="s">
        <v>624</v>
      </c>
      <c r="D55" s="220">
        <v>3</v>
      </c>
      <c r="E55" s="220">
        <v>0</v>
      </c>
      <c r="F55" s="250" t="s">
        <v>646</v>
      </c>
      <c r="G55" s="220" t="s">
        <v>97</v>
      </c>
      <c r="H55" s="251" t="s">
        <v>647</v>
      </c>
      <c r="I55" s="220" t="s">
        <v>648</v>
      </c>
      <c r="J55" s="220" t="s">
        <v>649</v>
      </c>
      <c r="L55" s="251"/>
      <c r="M55" s="220">
        <v>2</v>
      </c>
      <c r="N55" s="220">
        <v>1</v>
      </c>
      <c r="T55" s="259">
        <v>0</v>
      </c>
      <c r="Y55" s="264"/>
      <c r="Z55" s="267" t="str">
        <f t="shared" si="0"/>
        <v>4.2.6) Frequency of terrorist attacks</v>
      </c>
      <c r="AA55" s="264" t="str">
        <f t="shared" si="8"/>
        <v>4.2) Personal Security (Outputs)</v>
      </c>
      <c r="AB55" s="267" t="str">
        <f t="shared" si="1"/>
        <v>#,0</v>
      </c>
      <c r="AC55" s="267">
        <v>1</v>
      </c>
      <c r="AD55" s="267">
        <f t="shared" si="6"/>
        <v>0.125</v>
      </c>
    </row>
    <row r="56" s="220" customFormat="1" spans="1:30">
      <c r="A56" s="220">
        <f t="shared" si="3"/>
        <v>55</v>
      </c>
      <c r="B56" s="220" t="s">
        <v>650</v>
      </c>
      <c r="C56" s="220" t="s">
        <v>624</v>
      </c>
      <c r="D56" s="220">
        <v>3</v>
      </c>
      <c r="E56" s="220">
        <v>0</v>
      </c>
      <c r="F56" s="250" t="s">
        <v>651</v>
      </c>
      <c r="G56" s="220" t="s">
        <v>97</v>
      </c>
      <c r="H56" s="251" t="s">
        <v>652</v>
      </c>
      <c r="I56" s="220" t="s">
        <v>653</v>
      </c>
      <c r="J56" s="220" t="s">
        <v>654</v>
      </c>
      <c r="L56" s="251"/>
      <c r="M56" s="220">
        <v>2</v>
      </c>
      <c r="N56" s="220">
        <v>1</v>
      </c>
      <c r="T56" s="259">
        <v>0</v>
      </c>
      <c r="Y56" s="264"/>
      <c r="Z56" s="267" t="str">
        <f t="shared" si="0"/>
        <v>4.2.7) Gender safety</v>
      </c>
      <c r="AA56" s="264" t="str">
        <f t="shared" si="8"/>
        <v>4.2) Personal Security (Outputs)</v>
      </c>
      <c r="AB56" s="267" t="str">
        <f t="shared" si="1"/>
        <v>#,0</v>
      </c>
      <c r="AC56" s="267">
        <v>1</v>
      </c>
      <c r="AD56" s="267">
        <f t="shared" si="6"/>
        <v>0.125</v>
      </c>
    </row>
    <row r="57" s="220" customFormat="1" spans="1:30">
      <c r="A57" s="220">
        <f t="shared" si="3"/>
        <v>56</v>
      </c>
      <c r="B57" s="220" t="s">
        <v>655</v>
      </c>
      <c r="C57" s="220" t="s">
        <v>624</v>
      </c>
      <c r="D57" s="220">
        <v>3</v>
      </c>
      <c r="E57" s="220">
        <v>0</v>
      </c>
      <c r="F57" s="250" t="s">
        <v>313</v>
      </c>
      <c r="G57" s="220" t="s">
        <v>97</v>
      </c>
      <c r="H57" s="251" t="s">
        <v>656</v>
      </c>
      <c r="I57" s="258" t="s">
        <v>657</v>
      </c>
      <c r="J57" s="220" t="s">
        <v>623</v>
      </c>
      <c r="L57" s="251"/>
      <c r="M57" s="220">
        <v>3</v>
      </c>
      <c r="N57" s="220">
        <v>0</v>
      </c>
      <c r="Q57" s="220">
        <v>0</v>
      </c>
      <c r="R57" s="220">
        <v>100</v>
      </c>
      <c r="T57" s="259">
        <v>0</v>
      </c>
      <c r="Y57" s="264"/>
      <c r="Z57" s="267" t="str">
        <f t="shared" si="0"/>
        <v>4.2.8) Perceptions of safety</v>
      </c>
      <c r="AA57" s="264" t="str">
        <f t="shared" si="8"/>
        <v>4.2) Personal Security (Outputs)</v>
      </c>
      <c r="AB57" s="267" t="str">
        <f t="shared" si="1"/>
        <v>#,0</v>
      </c>
      <c r="AC57" s="267">
        <v>1</v>
      </c>
      <c r="AD57" s="267">
        <f t="shared" si="6"/>
        <v>0.125</v>
      </c>
    </row>
  </sheetData>
  <pageMargins left="0.551181102362205" right="0.551181102362205" top="0.590551181102362" bottom="0.78740157480315" header="0.511811023622047" footer="0.511811023622047"/>
  <pageSetup paperSize="9" scale="37" orientation="landscape"/>
  <headerFooter alignWithMargins="0">
    <oddHeader>&amp;RSafe Cities Index : 2017</oddHead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C000"/>
    <pageSetUpPr fitToPage="1"/>
  </sheetPr>
  <dimension ref="A1:AI82"/>
  <sheetViews>
    <sheetView zoomScale="90" zoomScaleNormal="90" workbookViewId="0">
      <selection activeCell="H15" sqref="H15"/>
    </sheetView>
  </sheetViews>
  <sheetFormatPr defaultColWidth="9" defaultRowHeight="15" customHeight="1"/>
  <cols>
    <col min="1" max="2" width="9.28571428571429" style="223" customWidth="1"/>
    <col min="3" max="3" width="19.8571428571429" style="223" customWidth="1"/>
    <col min="4" max="4" width="11.5714285714286" style="223" customWidth="1"/>
    <col min="5" max="6" width="9.28571428571429" style="223" customWidth="1"/>
    <col min="7" max="7" width="9.28571428571429" style="224" customWidth="1"/>
    <col min="8" max="9" width="42.8571428571429" style="223" customWidth="1"/>
    <col min="10" max="13" width="9.28571428571429" style="223" customWidth="1"/>
    <col min="14" max="14" width="4.14285714285714" style="223" customWidth="1"/>
    <col min="15" max="15" width="2.85714285714286" style="223" customWidth="1"/>
    <col min="16" max="16" width="20.4285714285714" style="223" customWidth="1"/>
    <col min="17" max="30" width="9.28571428571429" style="223" customWidth="1"/>
    <col min="31" max="32" width="42.8571428571429" style="223" customWidth="1"/>
    <col min="33" max="35" width="26.2857142857143" style="223" customWidth="1"/>
  </cols>
  <sheetData>
    <row r="1" customHeight="1" spans="1:35">
      <c r="A1" s="225" t="s">
        <v>658</v>
      </c>
      <c r="B1" s="225" t="s">
        <v>659</v>
      </c>
      <c r="C1" s="225" t="s">
        <v>660</v>
      </c>
      <c r="D1" s="225" t="s">
        <v>661</v>
      </c>
      <c r="E1" s="225" t="s">
        <v>662</v>
      </c>
      <c r="F1" s="225" t="s">
        <v>663</v>
      </c>
      <c r="G1" s="226" t="s">
        <v>664</v>
      </c>
      <c r="H1" s="225" t="s">
        <v>665</v>
      </c>
      <c r="I1" s="225" t="s">
        <v>666</v>
      </c>
      <c r="J1" s="225"/>
      <c r="K1" s="225"/>
      <c r="L1" s="225" t="s">
        <v>667</v>
      </c>
      <c r="M1" s="225"/>
      <c r="N1" s="225"/>
      <c r="O1" s="225" t="s">
        <v>668</v>
      </c>
      <c r="P1" s="225" t="s">
        <v>669</v>
      </c>
      <c r="Q1" s="225" t="s">
        <v>670</v>
      </c>
      <c r="R1" s="225" t="s">
        <v>671</v>
      </c>
      <c r="S1" s="225" t="s">
        <v>672</v>
      </c>
      <c r="T1" s="225"/>
      <c r="U1" s="225" t="s">
        <v>673</v>
      </c>
      <c r="V1" s="225" t="s">
        <v>59</v>
      </c>
      <c r="W1" s="225"/>
      <c r="X1" s="225"/>
      <c r="Y1" s="225" t="s">
        <v>674</v>
      </c>
      <c r="Z1" s="225" t="s">
        <v>675</v>
      </c>
      <c r="AA1" s="225" t="s">
        <v>676</v>
      </c>
      <c r="AB1" s="225" t="s">
        <v>677</v>
      </c>
      <c r="AC1" s="225" t="s">
        <v>678</v>
      </c>
      <c r="AD1" s="225" t="s">
        <v>679</v>
      </c>
      <c r="AE1" s="225" t="s">
        <v>680</v>
      </c>
      <c r="AF1" s="225" t="s">
        <v>681</v>
      </c>
      <c r="AG1" s="225" t="s">
        <v>682</v>
      </c>
      <c r="AH1" s="225" t="s">
        <v>683</v>
      </c>
      <c r="AI1" s="225" t="s">
        <v>684</v>
      </c>
    </row>
    <row r="2" ht="27" customHeight="1" spans="1:35">
      <c r="A2" s="227">
        <v>1</v>
      </c>
      <c r="B2" s="227">
        <v>0</v>
      </c>
      <c r="C2" s="227">
        <v>0</v>
      </c>
      <c r="D2" s="227" t="s">
        <v>162</v>
      </c>
      <c r="E2" s="227" t="s">
        <v>27</v>
      </c>
      <c r="F2" s="227">
        <v>0</v>
      </c>
      <c r="G2" s="228">
        <v>0</v>
      </c>
      <c r="H2" s="227" t="s">
        <v>27</v>
      </c>
      <c r="I2" s="227" t="s">
        <v>27</v>
      </c>
      <c r="J2" s="227"/>
      <c r="K2" s="227" t="str">
        <f>"The overall score is the weighted sum of the following category scores:
"&amp;AE3&amp;"
"&amp;AE14&amp;"
"&amp;AE29&amp;"
"&amp;AE42&amp;""</f>
        <v>The overall score is the weighted sum of the following category scores:
1) DIGITAL SECURITY
2) HEALTH SECURITY
3) INFRASTRUCTURE SECURITY
4) PERSONAL SECURITY</v>
      </c>
      <c r="L2" s="227" t="str">
        <f>IF(Z2=1,K2,I2)</f>
        <v>The overall score is the weighted sum of the following category scores:
1) DIGITAL SECURITY
2) HEALTH SECURITY
3) INFRASTRUCTURE SECURITY
4) PERSONAL SECURITY</v>
      </c>
      <c r="M2" s="227"/>
      <c r="N2" s="227"/>
      <c r="O2" s="227"/>
      <c r="P2" s="227" t="s">
        <v>685</v>
      </c>
      <c r="Q2" s="227"/>
      <c r="R2" s="227" t="s">
        <v>686</v>
      </c>
      <c r="S2" s="227" t="s">
        <v>686</v>
      </c>
      <c r="T2" s="227"/>
      <c r="U2" s="227" t="s">
        <v>687</v>
      </c>
      <c r="V2" s="227" t="s">
        <v>688</v>
      </c>
      <c r="W2" s="227"/>
      <c r="X2" s="227"/>
      <c r="Y2" s="227"/>
      <c r="Z2" s="227">
        <v>1</v>
      </c>
      <c r="AA2" s="227"/>
      <c r="AB2" s="227"/>
      <c r="AC2" s="227">
        <f>AI2</f>
        <v>0</v>
      </c>
      <c r="AD2" s="227" t="str">
        <f t="shared" ref="AD2:AD33" si="0">IF(F2=0,"",IF(SUMIF(E$3:E$63,E2,AC$3:AC$63)=0,0,AC2/SUMIF(E$3:E$63,E2,AC$3:AC$63)))</f>
        <v/>
      </c>
      <c r="AE2" s="227" t="str">
        <f>E2</f>
        <v>OVERALL SCORE</v>
      </c>
      <c r="AF2" s="227" t="s">
        <v>27</v>
      </c>
      <c r="AG2" s="227"/>
      <c r="AH2" s="227"/>
      <c r="AI2" s="227"/>
    </row>
    <row r="3" ht="24" customHeight="1" spans="1:35">
      <c r="A3" s="229">
        <v>2</v>
      </c>
      <c r="B3" s="229">
        <v>0</v>
      </c>
      <c r="C3" s="229">
        <v>1</v>
      </c>
      <c r="D3" s="229" t="s">
        <v>163</v>
      </c>
      <c r="E3" s="229" t="str">
        <f>$D$2</f>
        <v>OVERALL</v>
      </c>
      <c r="F3" s="229">
        <v>1</v>
      </c>
      <c r="G3" s="230">
        <v>1</v>
      </c>
      <c r="H3" s="229" t="s">
        <v>689</v>
      </c>
      <c r="I3" s="229" t="s">
        <v>689</v>
      </c>
      <c r="J3" s="229"/>
      <c r="K3" s="229" t="str">
        <f>"The category score is the weighted sum of the following indicator scores:
"&amp;AE4&amp;"
"&amp;AE10&amp;""</f>
        <v>The category score is the weighted sum of the following indicator scores:
1.1) Digital security (Inputs)
1.2) Digital security (Outputs)</v>
      </c>
      <c r="L3" s="229" t="str">
        <f t="shared" ref="L3:L63" si="1">IF(Z3=1,K3,I3)</f>
        <v>The category score is the weighted sum of the following indicator scores:
1.1) Digital security (Inputs)
1.2) Digital security (Outputs)</v>
      </c>
      <c r="M3" s="229"/>
      <c r="N3" s="229"/>
      <c r="O3" s="229"/>
      <c r="P3" s="229" t="s">
        <v>501</v>
      </c>
      <c r="Q3" s="229"/>
      <c r="R3" s="229" t="s">
        <v>686</v>
      </c>
      <c r="S3" s="229" t="s">
        <v>690</v>
      </c>
      <c r="T3" s="229"/>
      <c r="U3" s="229" t="s">
        <v>687</v>
      </c>
      <c r="V3" s="229" t="s">
        <v>688</v>
      </c>
      <c r="W3" s="229"/>
      <c r="X3" s="229"/>
      <c r="Y3" s="229"/>
      <c r="Z3" s="229">
        <v>1</v>
      </c>
      <c r="AA3" s="229"/>
      <c r="AB3" s="229"/>
      <c r="AC3" s="229">
        <f>AI3</f>
        <v>0.25</v>
      </c>
      <c r="AD3" s="229">
        <f t="shared" si="0"/>
        <v>0.25</v>
      </c>
      <c r="AE3" s="229" t="str">
        <f t="shared" ref="AE3:AE57" si="2">IF(G3="",H3,CONCATENATE(G3,") ",IF(F3&gt;=2,H3,UPPER(H3))))</f>
        <v>1) DIGITAL SECURITY</v>
      </c>
      <c r="AF3" s="229" t="str">
        <f>$AE$2</f>
        <v>OVERALL SCORE</v>
      </c>
      <c r="AG3" s="229">
        <f>MATCH($D3,Weights!$C$8:$C$85,0)</f>
        <v>1</v>
      </c>
      <c r="AH3" s="229">
        <f>IF(ISERROR($AG3),1,INDEX(Weights!$G$8:$G$85,$AG3))</f>
        <v>1</v>
      </c>
      <c r="AI3" s="229">
        <f t="shared" ref="AI3:AI34" si="3">IF(ISERROR(AH3/SUMIF($E$2:$E$63,$E3,AH$2:AH$63)),0,AH3/SUMIF($E$2:$E$63,$E3,AH$2:AH$63))</f>
        <v>0.25</v>
      </c>
    </row>
    <row r="4" ht="16.5" customHeight="1" spans="1:35">
      <c r="A4" s="231">
        <f>A3+1</f>
        <v>3</v>
      </c>
      <c r="B4" s="231">
        <v>0</v>
      </c>
      <c r="C4" s="231">
        <v>0</v>
      </c>
      <c r="D4" s="231" t="str">
        <f>$D$3&amp;G4</f>
        <v>DISE1.1</v>
      </c>
      <c r="E4" s="231" t="str">
        <f>$D$3</f>
        <v>DISE</v>
      </c>
      <c r="F4" s="231">
        <v>2</v>
      </c>
      <c r="G4" s="232">
        <v>1.1</v>
      </c>
      <c r="H4" s="231" t="s">
        <v>691</v>
      </c>
      <c r="I4" s="231" t="s">
        <v>691</v>
      </c>
      <c r="J4" s="231"/>
      <c r="K4" s="231" t="str">
        <f>"The indiscator score is the weighted sum of the following sub-indicator scores:
"&amp;AE5&amp;"
"&amp;AE6&amp;"
"&amp;AE7&amp;"
"&amp;AE8&amp;"
"&amp;AE9&amp;""</f>
        <v>The indiscator score is the weighted sum of the following sub-indicator scores:
1.1.1) Privacy policy
1.1.2) Citizen awareness of digital threats
1.1.3) Public-private partnerships
1.1.4) Level of technology employed
1.1.5) Dedicated cyber security teams</v>
      </c>
      <c r="L4" s="231" t="str">
        <f t="shared" si="1"/>
        <v>The indiscator score is the weighted sum of the following sub-indicator scores:
1.1.1) Privacy policy
1.1.2) Citizen awareness of digital threats
1.1.3) Public-private partnerships
1.1.4) Level of technology employed
1.1.5) Dedicated cyber security teams</v>
      </c>
      <c r="M4" s="231"/>
      <c r="N4" s="231"/>
      <c r="O4" s="231"/>
      <c r="P4" s="231" t="s">
        <v>456</v>
      </c>
      <c r="Q4" s="231"/>
      <c r="R4" s="231" t="s">
        <v>686</v>
      </c>
      <c r="S4" s="231">
        <v>2017</v>
      </c>
      <c r="T4" s="231"/>
      <c r="U4" s="231" t="s">
        <v>687</v>
      </c>
      <c r="V4" s="231" t="s">
        <v>688</v>
      </c>
      <c r="W4" s="231"/>
      <c r="X4" s="231"/>
      <c r="Y4" s="231"/>
      <c r="Z4" s="231">
        <v>1</v>
      </c>
      <c r="AA4" s="231"/>
      <c r="AB4" s="231"/>
      <c r="AC4" s="231">
        <f t="shared" ref="AC4:AC40" si="4">AI4</f>
        <v>0.5</v>
      </c>
      <c r="AD4" s="231">
        <f t="shared" si="0"/>
        <v>0.5</v>
      </c>
      <c r="AE4" s="231" t="str">
        <f t="shared" si="2"/>
        <v>1.1) Digital security (Inputs)</v>
      </c>
      <c r="AF4" s="231" t="str">
        <f>$AE$3</f>
        <v>1) DIGITAL SECURITY</v>
      </c>
      <c r="AG4" s="231">
        <f>MATCH($D4,Weights!$C$8:$C$85,0)</f>
        <v>8</v>
      </c>
      <c r="AH4" s="231">
        <f>IF(ISERROR($AG4),1,INDEX(Weights!$G$8:$G$85,$AG4))</f>
        <v>1</v>
      </c>
      <c r="AI4" s="231">
        <f t="shared" si="3"/>
        <v>0.5</v>
      </c>
    </row>
    <row r="5" ht="16.5" customHeight="1" spans="1:35">
      <c r="A5" s="233">
        <f t="shared" ref="A5:A63" si="5">A4+1</f>
        <v>4</v>
      </c>
      <c r="B5" s="233">
        <v>0</v>
      </c>
      <c r="C5" s="233">
        <v>0</v>
      </c>
      <c r="D5" s="231" t="str">
        <f t="shared" ref="D5:D13" si="6">$D$3&amp;G5</f>
        <v>DISE1.1.1</v>
      </c>
      <c r="E5" s="233" t="str">
        <f>$D$4</f>
        <v>DISE1.1</v>
      </c>
      <c r="F5" s="233">
        <v>3</v>
      </c>
      <c r="G5" s="234" t="s">
        <v>459</v>
      </c>
      <c r="H5" s="233" t="s">
        <v>460</v>
      </c>
      <c r="I5" s="233" t="s">
        <v>460</v>
      </c>
      <c r="J5" s="233"/>
      <c r="K5" s="233"/>
      <c r="L5" s="233" t="str">
        <f t="shared" si="1"/>
        <v>Privacy policy</v>
      </c>
      <c r="M5" s="233"/>
      <c r="N5" s="233"/>
      <c r="O5" s="233"/>
      <c r="P5" s="233" t="s">
        <v>692</v>
      </c>
      <c r="Q5" s="233"/>
      <c r="R5" s="233" t="s">
        <v>693</v>
      </c>
      <c r="S5" s="233">
        <v>2017</v>
      </c>
      <c r="T5" s="233"/>
      <c r="U5" s="233" t="s">
        <v>687</v>
      </c>
      <c r="V5" s="233">
        <v>0</v>
      </c>
      <c r="W5" s="233"/>
      <c r="X5" s="233"/>
      <c r="Y5" s="233">
        <f t="shared" ref="Y5:Y63" si="7">IF(U5="","",IF(U5="Good",0,1))</f>
        <v>0</v>
      </c>
      <c r="Z5" s="233">
        <v>3</v>
      </c>
      <c r="AA5" s="233">
        <v>1</v>
      </c>
      <c r="AB5" s="233">
        <v>5</v>
      </c>
      <c r="AC5" s="233">
        <f t="shared" si="4"/>
        <v>0.2</v>
      </c>
      <c r="AD5" s="233">
        <f t="shared" si="0"/>
        <v>0.2</v>
      </c>
      <c r="AE5" s="233" t="str">
        <f t="shared" si="2"/>
        <v>1.1.1) Privacy policy</v>
      </c>
      <c r="AF5" s="233" t="str">
        <f>$AE$4</f>
        <v>1.1) Digital security (Inputs)</v>
      </c>
      <c r="AG5" s="233">
        <f>MATCH($D5,Weights!$C$8:$C$85,0)</f>
        <v>23</v>
      </c>
      <c r="AH5" s="233">
        <f>IF(ISERROR($AG5),1,INDEX(Weights!$G$8:$G$85,$AG5))</f>
        <v>1</v>
      </c>
      <c r="AI5" s="233">
        <f t="shared" si="3"/>
        <v>0.2</v>
      </c>
    </row>
    <row r="6" ht="16.5" customHeight="1" spans="1:35">
      <c r="A6" s="233">
        <f t="shared" si="5"/>
        <v>5</v>
      </c>
      <c r="B6" s="233">
        <v>0</v>
      </c>
      <c r="C6" s="233">
        <v>0</v>
      </c>
      <c r="D6" s="231" t="str">
        <f t="shared" si="6"/>
        <v>DISE1.1.2</v>
      </c>
      <c r="E6" s="233" t="str">
        <f>$D$4</f>
        <v>DISE1.1</v>
      </c>
      <c r="F6" s="233">
        <v>3</v>
      </c>
      <c r="G6" s="234" t="s">
        <v>464</v>
      </c>
      <c r="H6" s="233" t="s">
        <v>465</v>
      </c>
      <c r="I6" s="233" t="s">
        <v>465</v>
      </c>
      <c r="J6" s="233"/>
      <c r="K6" s="233"/>
      <c r="L6" s="233" t="str">
        <f t="shared" si="1"/>
        <v>Citizen awareness of digital threats</v>
      </c>
      <c r="M6" s="233"/>
      <c r="N6" s="233"/>
      <c r="O6" s="233"/>
      <c r="P6" s="233" t="s">
        <v>694</v>
      </c>
      <c r="Q6" s="233"/>
      <c r="R6" s="233" t="s">
        <v>686</v>
      </c>
      <c r="S6" s="233">
        <v>2017</v>
      </c>
      <c r="T6" s="233"/>
      <c r="U6" s="233" t="s">
        <v>687</v>
      </c>
      <c r="V6" s="233">
        <v>0</v>
      </c>
      <c r="W6" s="233"/>
      <c r="X6" s="233"/>
      <c r="Y6" s="233">
        <f t="shared" si="7"/>
        <v>0</v>
      </c>
      <c r="Z6" s="233">
        <v>3</v>
      </c>
      <c r="AA6" s="233">
        <v>0</v>
      </c>
      <c r="AB6" s="233">
        <v>3</v>
      </c>
      <c r="AC6" s="233">
        <f t="shared" si="4"/>
        <v>0.2</v>
      </c>
      <c r="AD6" s="233">
        <f t="shared" si="0"/>
        <v>0.2</v>
      </c>
      <c r="AE6" s="233" t="str">
        <f t="shared" si="2"/>
        <v>1.1.2) Citizen awareness of digital threats</v>
      </c>
      <c r="AF6" s="233" t="str">
        <f>$AE$4</f>
        <v>1.1) Digital security (Inputs)</v>
      </c>
      <c r="AG6" s="233">
        <f>MATCH($D6,Weights!$C$8:$C$85,0)</f>
        <v>24</v>
      </c>
      <c r="AH6" s="233">
        <f>IF(ISERROR($AG6),1,INDEX(Weights!$G$8:$G$85,$AG6))</f>
        <v>1</v>
      </c>
      <c r="AI6" s="233">
        <f t="shared" si="3"/>
        <v>0.2</v>
      </c>
    </row>
    <row r="7" ht="16.5" customHeight="1" spans="1:35">
      <c r="A7" s="233">
        <f t="shared" si="5"/>
        <v>6</v>
      </c>
      <c r="B7" s="233">
        <v>0</v>
      </c>
      <c r="C7" s="233">
        <v>0</v>
      </c>
      <c r="D7" s="231" t="str">
        <f t="shared" si="6"/>
        <v>DISE1.1.3</v>
      </c>
      <c r="E7" s="233" t="str">
        <f>$D$4</f>
        <v>DISE1.1</v>
      </c>
      <c r="F7" s="233">
        <v>3</v>
      </c>
      <c r="G7" s="234" t="s">
        <v>469</v>
      </c>
      <c r="H7" s="233" t="s">
        <v>470</v>
      </c>
      <c r="I7" s="233" t="s">
        <v>470</v>
      </c>
      <c r="J7" s="233"/>
      <c r="K7" s="233"/>
      <c r="L7" s="233" t="str">
        <f t="shared" si="1"/>
        <v>Public-private partnerships</v>
      </c>
      <c r="M7" s="233"/>
      <c r="N7" s="233"/>
      <c r="O7" s="233"/>
      <c r="P7" s="233" t="s">
        <v>695</v>
      </c>
      <c r="Q7" s="233"/>
      <c r="R7" s="233" t="s">
        <v>686</v>
      </c>
      <c r="S7" s="233">
        <v>2017</v>
      </c>
      <c r="T7" s="233"/>
      <c r="U7" s="233" t="s">
        <v>687</v>
      </c>
      <c r="V7" s="233">
        <v>0</v>
      </c>
      <c r="W7" s="233"/>
      <c r="X7" s="233"/>
      <c r="Y7" s="233">
        <f t="shared" si="7"/>
        <v>0</v>
      </c>
      <c r="Z7" s="233">
        <v>3</v>
      </c>
      <c r="AA7" s="233">
        <v>0</v>
      </c>
      <c r="AB7" s="233">
        <v>2</v>
      </c>
      <c r="AC7" s="233">
        <f t="shared" si="4"/>
        <v>0.2</v>
      </c>
      <c r="AD7" s="233">
        <f t="shared" si="0"/>
        <v>0.2</v>
      </c>
      <c r="AE7" s="233" t="str">
        <f t="shared" si="2"/>
        <v>1.1.3) Public-private partnerships</v>
      </c>
      <c r="AF7" s="233" t="str">
        <f>$AE$4</f>
        <v>1.1) Digital security (Inputs)</v>
      </c>
      <c r="AG7" s="233">
        <f>MATCH($D7,Weights!$C$8:$C$85,0)</f>
        <v>25</v>
      </c>
      <c r="AH7" s="233">
        <f>IF(ISERROR($AG7),1,INDEX(Weights!$G$8:$G$85,$AG7))</f>
        <v>1</v>
      </c>
      <c r="AI7" s="233">
        <f t="shared" si="3"/>
        <v>0.2</v>
      </c>
    </row>
    <row r="8" ht="16.5" customHeight="1" spans="1:35">
      <c r="A8" s="233">
        <f t="shared" si="5"/>
        <v>7</v>
      </c>
      <c r="B8" s="233">
        <v>0</v>
      </c>
      <c r="C8" s="233">
        <v>0</v>
      </c>
      <c r="D8" s="231" t="str">
        <f t="shared" si="6"/>
        <v>DISE1.1.4</v>
      </c>
      <c r="E8" s="233" t="str">
        <f>$D$4</f>
        <v>DISE1.1</v>
      </c>
      <c r="F8" s="233">
        <v>3</v>
      </c>
      <c r="G8" s="234" t="s">
        <v>474</v>
      </c>
      <c r="H8" s="233" t="s">
        <v>475</v>
      </c>
      <c r="I8" s="233" t="s">
        <v>475</v>
      </c>
      <c r="J8" s="233"/>
      <c r="K8" s="233"/>
      <c r="L8" s="233" t="str">
        <f t="shared" si="1"/>
        <v>Level of technology employed</v>
      </c>
      <c r="M8" s="233"/>
      <c r="N8" s="233"/>
      <c r="O8" s="233"/>
      <c r="P8" s="233" t="s">
        <v>623</v>
      </c>
      <c r="Q8" s="233"/>
      <c r="R8" s="233" t="s">
        <v>686</v>
      </c>
      <c r="S8" s="233">
        <v>2017</v>
      </c>
      <c r="T8" s="233"/>
      <c r="U8" s="233" t="s">
        <v>687</v>
      </c>
      <c r="V8" s="233" t="s">
        <v>688</v>
      </c>
      <c r="W8" s="233"/>
      <c r="X8" s="233"/>
      <c r="Y8" s="233">
        <f t="shared" si="7"/>
        <v>0</v>
      </c>
      <c r="Z8" s="233">
        <v>3</v>
      </c>
      <c r="AA8" s="233">
        <v>0</v>
      </c>
      <c r="AB8" s="233">
        <v>100</v>
      </c>
      <c r="AC8" s="233">
        <f t="shared" si="4"/>
        <v>0.2</v>
      </c>
      <c r="AD8" s="233">
        <f t="shared" si="0"/>
        <v>0.2</v>
      </c>
      <c r="AE8" s="233" t="str">
        <f t="shared" si="2"/>
        <v>1.1.4) Level of technology employed</v>
      </c>
      <c r="AF8" s="233" t="str">
        <f>$AE$4</f>
        <v>1.1) Digital security (Inputs)</v>
      </c>
      <c r="AG8" s="233">
        <f>MATCH($D8,Weights!$C$8:$C$85,0)</f>
        <v>26</v>
      </c>
      <c r="AH8" s="233">
        <f>IF(ISERROR($AG8),1,INDEX(Weights!$G$8:$G$85,$AG8))</f>
        <v>1</v>
      </c>
      <c r="AI8" s="233">
        <f t="shared" si="3"/>
        <v>0.2</v>
      </c>
    </row>
    <row r="9" ht="16.5" customHeight="1" spans="1:35">
      <c r="A9" s="233">
        <f t="shared" si="5"/>
        <v>8</v>
      </c>
      <c r="B9" s="233">
        <v>0</v>
      </c>
      <c r="C9" s="233">
        <v>0</v>
      </c>
      <c r="D9" s="231" t="str">
        <f t="shared" si="6"/>
        <v>DISE1.1.5</v>
      </c>
      <c r="E9" s="233" t="str">
        <f>$D$4</f>
        <v>DISE1.1</v>
      </c>
      <c r="F9" s="233">
        <v>3</v>
      </c>
      <c r="G9" s="234" t="s">
        <v>479</v>
      </c>
      <c r="H9" s="233" t="s">
        <v>480</v>
      </c>
      <c r="I9" s="233" t="s">
        <v>480</v>
      </c>
      <c r="J9" s="233"/>
      <c r="K9" s="233"/>
      <c r="L9" s="233" t="str">
        <f t="shared" si="1"/>
        <v>Dedicated cyber security teams</v>
      </c>
      <c r="M9" s="233"/>
      <c r="N9" s="233"/>
      <c r="O9" s="233"/>
      <c r="P9" s="233" t="s">
        <v>695</v>
      </c>
      <c r="Q9" s="233"/>
      <c r="R9" s="233" t="s">
        <v>686</v>
      </c>
      <c r="S9" s="233">
        <v>2017</v>
      </c>
      <c r="T9" s="233"/>
      <c r="U9" s="233" t="s">
        <v>687</v>
      </c>
      <c r="V9" s="233">
        <v>0</v>
      </c>
      <c r="W9" s="233"/>
      <c r="X9" s="233"/>
      <c r="Y9" s="233">
        <f t="shared" si="7"/>
        <v>0</v>
      </c>
      <c r="Z9" s="233">
        <v>3</v>
      </c>
      <c r="AA9" s="233">
        <v>0</v>
      </c>
      <c r="AB9" s="233">
        <v>2</v>
      </c>
      <c r="AC9" s="233">
        <f t="shared" si="4"/>
        <v>0.2</v>
      </c>
      <c r="AD9" s="233">
        <f t="shared" si="0"/>
        <v>0.2</v>
      </c>
      <c r="AE9" s="233" t="str">
        <f t="shared" si="2"/>
        <v>1.1.5) Dedicated cyber security teams</v>
      </c>
      <c r="AF9" s="233" t="str">
        <f>$AE$4</f>
        <v>1.1) Digital security (Inputs)</v>
      </c>
      <c r="AG9" s="233">
        <f>MATCH($D9,Weights!$C$8:$C$85,0)</f>
        <v>27</v>
      </c>
      <c r="AH9" s="233">
        <f>IF(ISERROR($AG9),1,INDEX(Weights!$G$8:$G$85,$AG9))</f>
        <v>1</v>
      </c>
      <c r="AI9" s="233">
        <f t="shared" si="3"/>
        <v>0.2</v>
      </c>
    </row>
    <row r="10" ht="16.5" customHeight="1" spans="1:35">
      <c r="A10" s="231">
        <f t="shared" si="5"/>
        <v>9</v>
      </c>
      <c r="B10" s="231">
        <v>0</v>
      </c>
      <c r="C10" s="231">
        <v>0</v>
      </c>
      <c r="D10" s="231" t="str">
        <f t="shared" si="6"/>
        <v>DISE1.2</v>
      </c>
      <c r="E10" s="231" t="str">
        <f>$D$3</f>
        <v>DISE</v>
      </c>
      <c r="F10" s="231">
        <v>2</v>
      </c>
      <c r="G10" s="232">
        <v>1.2</v>
      </c>
      <c r="H10" s="231" t="s">
        <v>696</v>
      </c>
      <c r="I10" s="231" t="s">
        <v>696</v>
      </c>
      <c r="J10" s="231"/>
      <c r="K10" s="231" t="str">
        <f>"The indiscator score is the weighted sum of the following sub-indicator scores:
"&amp;AE11&amp;"
"&amp;AE12&amp;"
"&amp;AE13&amp;""</f>
        <v>The indiscator score is the weighted sum of the following sub-indicator scores:
1.2.1) Frequency of identity theft
1.2.2) Percentage of computers infected
1.2.3) Percentage with Internet access</v>
      </c>
      <c r="L10" s="231" t="str">
        <f t="shared" si="1"/>
        <v>The indiscator score is the weighted sum of the following sub-indicator scores:
1.2.1) Frequency of identity theft
1.2.2) Percentage of computers infected
1.2.3) Percentage with Internet access</v>
      </c>
      <c r="M10" s="231"/>
      <c r="N10" s="231"/>
      <c r="O10" s="231"/>
      <c r="P10" s="231" t="s">
        <v>456</v>
      </c>
      <c r="Q10" s="231"/>
      <c r="R10" s="231" t="s">
        <v>686</v>
      </c>
      <c r="S10" s="231">
        <v>2017</v>
      </c>
      <c r="T10" s="231"/>
      <c r="U10" s="231" t="s">
        <v>697</v>
      </c>
      <c r="V10" s="231" t="s">
        <v>688</v>
      </c>
      <c r="W10" s="231"/>
      <c r="X10" s="231"/>
      <c r="Y10" s="231" t="str">
        <f t="shared" si="7"/>
        <v/>
      </c>
      <c r="Z10" s="231">
        <v>1</v>
      </c>
      <c r="AA10" s="231"/>
      <c r="AB10" s="231"/>
      <c r="AC10" s="231">
        <f t="shared" si="4"/>
        <v>0.5</v>
      </c>
      <c r="AD10" s="231">
        <f t="shared" si="0"/>
        <v>0.5</v>
      </c>
      <c r="AE10" s="231" t="str">
        <f t="shared" si="2"/>
        <v>1.2) Digital security (Outputs)</v>
      </c>
      <c r="AF10" s="231" t="str">
        <f>$AE$3</f>
        <v>1) DIGITAL SECURITY</v>
      </c>
      <c r="AG10" s="231">
        <f>MATCH($D10,Weights!$C$8:$C$85,0)</f>
        <v>9</v>
      </c>
      <c r="AH10" s="231">
        <f>IF(ISERROR($AG10),1,INDEX(Weights!$G$8:$G$85,$AG10))</f>
        <v>1</v>
      </c>
      <c r="AI10" s="231">
        <f t="shared" si="3"/>
        <v>0.5</v>
      </c>
    </row>
    <row r="11" ht="16.5" customHeight="1" spans="1:35">
      <c r="A11" s="233">
        <f t="shared" si="5"/>
        <v>10</v>
      </c>
      <c r="B11" s="233">
        <v>0</v>
      </c>
      <c r="C11" s="233">
        <v>0</v>
      </c>
      <c r="D11" s="231" t="str">
        <f t="shared" si="6"/>
        <v>DISE1.2.1</v>
      </c>
      <c r="E11" s="233" t="str">
        <f>$D$10</f>
        <v>DISE1.2</v>
      </c>
      <c r="F11" s="233">
        <v>3</v>
      </c>
      <c r="G11" s="234" t="s">
        <v>487</v>
      </c>
      <c r="H11" s="233" t="s">
        <v>488</v>
      </c>
      <c r="I11" s="233" t="s">
        <v>488</v>
      </c>
      <c r="J11" s="233"/>
      <c r="K11" s="233"/>
      <c r="L11" s="233" t="str">
        <f t="shared" si="1"/>
        <v>Frequency of identity theft</v>
      </c>
      <c r="M11" s="233"/>
      <c r="N11" s="233"/>
      <c r="O11" s="233"/>
      <c r="P11" s="233" t="s">
        <v>490</v>
      </c>
      <c r="Q11" s="233"/>
      <c r="R11" s="233" t="s">
        <v>686</v>
      </c>
      <c r="S11" s="233">
        <v>2017</v>
      </c>
      <c r="T11" s="233"/>
      <c r="U11" s="233" t="s">
        <v>698</v>
      </c>
      <c r="V11" s="233" t="s">
        <v>688</v>
      </c>
      <c r="W11" s="233"/>
      <c r="X11" s="233"/>
      <c r="Y11" s="233">
        <f t="shared" si="7"/>
        <v>1</v>
      </c>
      <c r="Z11" s="233">
        <v>2</v>
      </c>
      <c r="AA11" s="233"/>
      <c r="AB11" s="233"/>
      <c r="AC11" s="233">
        <f t="shared" si="4"/>
        <v>0.333333333333333</v>
      </c>
      <c r="AD11" s="233">
        <f t="shared" si="0"/>
        <v>0.333333333333333</v>
      </c>
      <c r="AE11" s="233" t="str">
        <f t="shared" si="2"/>
        <v>1.2.1) Frequency of identity theft</v>
      </c>
      <c r="AF11" s="233" t="str">
        <f>$AE$10</f>
        <v>1.2) Digital security (Outputs)</v>
      </c>
      <c r="AG11" s="233">
        <f>MATCH($D11,Weights!$C$8:$C$85,0)</f>
        <v>29</v>
      </c>
      <c r="AH11" s="233">
        <f>IF(ISERROR($AG11),1,INDEX(Weights!$G$8:$G$85,$AG11))</f>
        <v>1</v>
      </c>
      <c r="AI11" s="233">
        <f t="shared" si="3"/>
        <v>0.333333333333333</v>
      </c>
    </row>
    <row r="12" ht="16.5" customHeight="1" spans="1:35">
      <c r="A12" s="233">
        <f t="shared" si="5"/>
        <v>11</v>
      </c>
      <c r="B12" s="233">
        <v>0</v>
      </c>
      <c r="C12" s="233">
        <v>0</v>
      </c>
      <c r="D12" s="231" t="str">
        <f t="shared" si="6"/>
        <v>DISE1.2.2</v>
      </c>
      <c r="E12" s="233" t="str">
        <f>$D$10</f>
        <v>DISE1.2</v>
      </c>
      <c r="F12" s="233">
        <v>3</v>
      </c>
      <c r="G12" s="234" t="s">
        <v>492</v>
      </c>
      <c r="H12" s="233" t="s">
        <v>493</v>
      </c>
      <c r="I12" s="233" t="s">
        <v>493</v>
      </c>
      <c r="J12" s="233"/>
      <c r="K12" s="233"/>
      <c r="L12" s="233" t="str">
        <f t="shared" si="1"/>
        <v>Percentage of computers infected</v>
      </c>
      <c r="M12" s="233"/>
      <c r="N12" s="233"/>
      <c r="O12" s="233"/>
      <c r="P12" s="233" t="s">
        <v>494</v>
      </c>
      <c r="Q12" s="233"/>
      <c r="R12" s="233" t="s">
        <v>699</v>
      </c>
      <c r="S12" s="233">
        <v>2017</v>
      </c>
      <c r="T12" s="233"/>
      <c r="U12" s="233" t="s">
        <v>698</v>
      </c>
      <c r="V12" s="233">
        <v>0</v>
      </c>
      <c r="W12" s="233"/>
      <c r="X12" s="233"/>
      <c r="Y12" s="233">
        <f t="shared" si="7"/>
        <v>1</v>
      </c>
      <c r="Z12" s="233">
        <v>3</v>
      </c>
      <c r="AA12" s="233">
        <v>1</v>
      </c>
      <c r="AB12" s="233">
        <v>5</v>
      </c>
      <c r="AC12" s="233">
        <f t="shared" si="4"/>
        <v>0.333333333333333</v>
      </c>
      <c r="AD12" s="233">
        <f t="shared" si="0"/>
        <v>0.333333333333333</v>
      </c>
      <c r="AE12" s="233" t="str">
        <f t="shared" si="2"/>
        <v>1.2.2) Percentage of computers infected</v>
      </c>
      <c r="AF12" s="233" t="str">
        <f>$AE$10</f>
        <v>1.2) Digital security (Outputs)</v>
      </c>
      <c r="AG12" s="233">
        <f>MATCH($D12,Weights!$C$8:$C$85,0)</f>
        <v>30</v>
      </c>
      <c r="AH12" s="233">
        <f>IF(ISERROR($AG12),1,INDEX(Weights!$G$8:$G$85,$AG12))</f>
        <v>1</v>
      </c>
      <c r="AI12" s="233">
        <f t="shared" si="3"/>
        <v>0.333333333333333</v>
      </c>
    </row>
    <row r="13" ht="16.5" customHeight="1" spans="1:35">
      <c r="A13" s="233">
        <f t="shared" si="5"/>
        <v>12</v>
      </c>
      <c r="B13" s="233">
        <v>0</v>
      </c>
      <c r="C13" s="233">
        <v>0</v>
      </c>
      <c r="D13" s="231" t="str">
        <f t="shared" si="6"/>
        <v>DISE1.2.3</v>
      </c>
      <c r="E13" s="233" t="str">
        <f>$D$10</f>
        <v>DISE1.2</v>
      </c>
      <c r="F13" s="233">
        <v>3</v>
      </c>
      <c r="G13" s="234" t="s">
        <v>496</v>
      </c>
      <c r="H13" s="233" t="s">
        <v>700</v>
      </c>
      <c r="I13" s="233" t="s">
        <v>700</v>
      </c>
      <c r="J13" s="233"/>
      <c r="K13" s="233"/>
      <c r="L13" s="233" t="str">
        <f t="shared" si="1"/>
        <v>Percentage with Internet access</v>
      </c>
      <c r="M13" s="233"/>
      <c r="N13" s="233"/>
      <c r="O13" s="233"/>
      <c r="P13" s="233" t="s">
        <v>490</v>
      </c>
      <c r="Q13" s="233"/>
      <c r="R13" s="233" t="s">
        <v>701</v>
      </c>
      <c r="S13" s="233">
        <v>2017</v>
      </c>
      <c r="T13" s="233"/>
      <c r="U13" s="233" t="s">
        <v>687</v>
      </c>
      <c r="V13" s="233" t="s">
        <v>688</v>
      </c>
      <c r="W13" s="233"/>
      <c r="X13" s="233"/>
      <c r="Y13" s="233">
        <f t="shared" si="7"/>
        <v>0</v>
      </c>
      <c r="Z13" s="233">
        <v>2</v>
      </c>
      <c r="AA13" s="233"/>
      <c r="AB13" s="233"/>
      <c r="AC13" s="233">
        <f t="shared" si="4"/>
        <v>0.333333333333333</v>
      </c>
      <c r="AD13" s="233">
        <f t="shared" si="0"/>
        <v>0.333333333333333</v>
      </c>
      <c r="AE13" s="233" t="str">
        <f t="shared" si="2"/>
        <v>1.2.3) Percentage with Internet access</v>
      </c>
      <c r="AF13" s="233" t="str">
        <f>$AE$10</f>
        <v>1.2) Digital security (Outputs)</v>
      </c>
      <c r="AG13" s="233">
        <f>MATCH($D13,Weights!$C$8:$C$85,0)</f>
        <v>31</v>
      </c>
      <c r="AH13" s="233">
        <f>IF(ISERROR($AG13),1,INDEX(Weights!$G$8:$G$85,$AG13))</f>
        <v>1</v>
      </c>
      <c r="AI13" s="233">
        <f t="shared" si="3"/>
        <v>0.333333333333333</v>
      </c>
    </row>
    <row r="14" ht="24" customHeight="1" spans="1:35">
      <c r="A14" s="229">
        <f t="shared" si="5"/>
        <v>13</v>
      </c>
      <c r="B14" s="229">
        <v>0</v>
      </c>
      <c r="C14" s="229">
        <v>0</v>
      </c>
      <c r="D14" s="229" t="s">
        <v>165</v>
      </c>
      <c r="E14" s="229" t="str">
        <f>$D$2</f>
        <v>OVERALL</v>
      </c>
      <c r="F14" s="229">
        <v>1</v>
      </c>
      <c r="G14" s="230">
        <v>2</v>
      </c>
      <c r="H14" s="229" t="s">
        <v>702</v>
      </c>
      <c r="I14" s="229" t="s">
        <v>702</v>
      </c>
      <c r="J14" s="229"/>
      <c r="K14" s="229" t="str">
        <f>"The category score is the weighted sum of the following indicator scores:
"&amp;AE15&amp;"
"&amp;AE22&amp;""</f>
        <v>The category score is the weighted sum of the following indicator scores:
2.1) Health security (Inputs)
2.2) Health security (Outputs)</v>
      </c>
      <c r="L14" s="229" t="str">
        <f t="shared" si="1"/>
        <v>The category score is the weighted sum of the following indicator scores:
2.1) Health security (Inputs)
2.2) Health security (Outputs)</v>
      </c>
      <c r="M14" s="229"/>
      <c r="N14" s="229"/>
      <c r="O14" s="229"/>
      <c r="P14" s="229" t="s">
        <v>501</v>
      </c>
      <c r="Q14" s="229"/>
      <c r="R14" s="229" t="s">
        <v>686</v>
      </c>
      <c r="S14" s="229">
        <v>2017</v>
      </c>
      <c r="T14" s="229"/>
      <c r="U14" s="229" t="s">
        <v>697</v>
      </c>
      <c r="V14" s="229" t="s">
        <v>688</v>
      </c>
      <c r="W14" s="229"/>
      <c r="X14" s="229"/>
      <c r="Y14" s="229" t="str">
        <f t="shared" si="7"/>
        <v/>
      </c>
      <c r="Z14" s="229">
        <v>1</v>
      </c>
      <c r="AA14" s="229"/>
      <c r="AB14" s="229"/>
      <c r="AC14" s="229">
        <f t="shared" si="4"/>
        <v>0.25</v>
      </c>
      <c r="AD14" s="229">
        <f t="shared" si="0"/>
        <v>0.25</v>
      </c>
      <c r="AE14" s="229" t="str">
        <f t="shared" si="2"/>
        <v>2) HEALTH SECURITY</v>
      </c>
      <c r="AF14" s="229" t="str">
        <f>$AE$2</f>
        <v>OVERALL SCORE</v>
      </c>
      <c r="AG14" s="229">
        <f>MATCH($D14,Weights!$C$8:$C$85,0)</f>
        <v>2</v>
      </c>
      <c r="AH14" s="229">
        <f>IF(ISERROR($AG14),1,INDEX(Weights!$G$8:$G$85,$AG14))</f>
        <v>1</v>
      </c>
      <c r="AI14" s="229">
        <f t="shared" si="3"/>
        <v>0.25</v>
      </c>
    </row>
    <row r="15" ht="16.5" customHeight="1" spans="1:35">
      <c r="A15" s="231">
        <f t="shared" si="5"/>
        <v>14</v>
      </c>
      <c r="B15" s="231">
        <v>0</v>
      </c>
      <c r="C15" s="231">
        <v>0</v>
      </c>
      <c r="D15" s="231" t="str">
        <f>$D$14&amp;G15</f>
        <v>HESE2.1</v>
      </c>
      <c r="E15" s="231" t="str">
        <f>$D$14</f>
        <v>HESE</v>
      </c>
      <c r="F15" s="231">
        <v>2</v>
      </c>
      <c r="G15" s="232">
        <v>2.1</v>
      </c>
      <c r="H15" s="231" t="s">
        <v>703</v>
      </c>
      <c r="I15" s="231" t="s">
        <v>703</v>
      </c>
      <c r="J15" s="231"/>
      <c r="K15" s="231" t="str">
        <f>"The indiscator score is the weighted sum of the following sub-indicator scores:
"&amp;AE16&amp;"
"&amp;AE17&amp;"
"&amp;AE18&amp;"
"&amp;AE19&amp;"
"&amp;AE20&amp;"
"&amp;AE21&amp;""</f>
        <v>The indiscator score is the weighted sum of the following sub-indicator scores:
2.1.1) Environmental policies
2.1.2) Access to healthcare
2.1.3) No. of beds per 1,000
2.1.4) No. of doctors per 1,000
2.1.5) Access to safe and quality food
2.1.6) Quality of health services</v>
      </c>
      <c r="L15" s="231" t="str">
        <f t="shared" si="1"/>
        <v>The indiscator score is the weighted sum of the following sub-indicator scores:
2.1.1) Environmental policies
2.1.2) Access to healthcare
2.1.3) No. of beds per 1,000
2.1.4) No. of doctors per 1,000
2.1.5) Access to safe and quality food
2.1.6) Quality of health services</v>
      </c>
      <c r="M15" s="231"/>
      <c r="N15" s="231"/>
      <c r="O15" s="231"/>
      <c r="P15" s="231" t="s">
        <v>456</v>
      </c>
      <c r="Q15" s="231"/>
      <c r="R15" s="231" t="s">
        <v>686</v>
      </c>
      <c r="S15" s="231">
        <v>2017</v>
      </c>
      <c r="T15" s="231"/>
      <c r="U15" s="231" t="s">
        <v>697</v>
      </c>
      <c r="V15" s="231" t="s">
        <v>688</v>
      </c>
      <c r="W15" s="231"/>
      <c r="X15" s="231"/>
      <c r="Y15" s="231" t="str">
        <f t="shared" si="7"/>
        <v/>
      </c>
      <c r="Z15" s="231">
        <v>1</v>
      </c>
      <c r="AA15" s="231"/>
      <c r="AB15" s="231"/>
      <c r="AC15" s="231">
        <f t="shared" si="4"/>
        <v>0.5</v>
      </c>
      <c r="AD15" s="231">
        <f t="shared" si="0"/>
        <v>0.5</v>
      </c>
      <c r="AE15" s="231" t="str">
        <f t="shared" si="2"/>
        <v>2.1) Health security (Inputs)</v>
      </c>
      <c r="AF15" s="231" t="str">
        <f>$AE$14</f>
        <v>2) HEALTH SECURITY</v>
      </c>
      <c r="AG15" s="231">
        <f>MATCH($D15,Weights!$C$8:$C$85,0)</f>
        <v>11</v>
      </c>
      <c r="AH15" s="231">
        <f>IF(ISERROR($AG15),1,INDEX(Weights!$G$8:$G$85,$AG15))</f>
        <v>1</v>
      </c>
      <c r="AI15" s="231">
        <f t="shared" si="3"/>
        <v>0.5</v>
      </c>
    </row>
    <row r="16" ht="16.5" customHeight="1" spans="1:35">
      <c r="A16" s="233">
        <f t="shared" si="5"/>
        <v>15</v>
      </c>
      <c r="B16" s="233">
        <v>0</v>
      </c>
      <c r="C16" s="233">
        <v>0</v>
      </c>
      <c r="D16" s="231" t="str">
        <f t="shared" ref="D16:D28" si="8">$D$14&amp;G16</f>
        <v>HESE2.1.1</v>
      </c>
      <c r="E16" s="233" t="str">
        <f t="shared" ref="E16:E21" si="9">$D$15</f>
        <v>HESE2.1</v>
      </c>
      <c r="F16" s="233">
        <v>3</v>
      </c>
      <c r="G16" s="234" t="s">
        <v>506</v>
      </c>
      <c r="H16" s="233" t="s">
        <v>507</v>
      </c>
      <c r="I16" s="233" t="s">
        <v>507</v>
      </c>
      <c r="J16" s="233"/>
      <c r="K16" s="233"/>
      <c r="L16" s="233" t="str">
        <f t="shared" si="1"/>
        <v>Environmental policies</v>
      </c>
      <c r="M16" s="233"/>
      <c r="N16" s="233"/>
      <c r="O16" s="233"/>
      <c r="P16" s="233" t="s">
        <v>704</v>
      </c>
      <c r="Q16" s="233"/>
      <c r="R16" s="233" t="s">
        <v>686</v>
      </c>
      <c r="S16" s="233">
        <v>2017</v>
      </c>
      <c r="T16" s="233"/>
      <c r="U16" s="233" t="s">
        <v>687</v>
      </c>
      <c r="V16" s="233">
        <v>0</v>
      </c>
      <c r="W16" s="233"/>
      <c r="X16" s="233"/>
      <c r="Y16" s="233">
        <f t="shared" si="7"/>
        <v>0</v>
      </c>
      <c r="Z16" s="233">
        <v>2</v>
      </c>
      <c r="AA16" s="233"/>
      <c r="AB16" s="233"/>
      <c r="AC16" s="233">
        <f t="shared" si="4"/>
        <v>0.166666666666667</v>
      </c>
      <c r="AD16" s="233">
        <f t="shared" si="0"/>
        <v>0.166666666666667</v>
      </c>
      <c r="AE16" s="233" t="str">
        <f t="shared" si="2"/>
        <v>2.1.1) Environmental policies</v>
      </c>
      <c r="AF16" s="233" t="str">
        <f t="shared" ref="AF16:AF21" si="10">$AE$15</f>
        <v>2.1) Health security (Inputs)</v>
      </c>
      <c r="AG16" s="233">
        <f>MATCH($D16,Weights!$C$8:$C$85,0)</f>
        <v>33</v>
      </c>
      <c r="AH16" s="233">
        <f>IF(ISERROR($AG16),1,INDEX(Weights!$G$8:$G$85,$AG16))</f>
        <v>1</v>
      </c>
      <c r="AI16" s="233">
        <f t="shared" si="3"/>
        <v>0.166666666666667</v>
      </c>
    </row>
    <row r="17" ht="16.5" customHeight="1" spans="1:35">
      <c r="A17" s="233">
        <f t="shared" si="5"/>
        <v>16</v>
      </c>
      <c r="B17" s="233">
        <v>0</v>
      </c>
      <c r="C17" s="233">
        <v>0</v>
      </c>
      <c r="D17" s="231" t="str">
        <f t="shared" si="8"/>
        <v>HESE2.1.2</v>
      </c>
      <c r="E17" s="233" t="str">
        <f t="shared" si="9"/>
        <v>HESE2.1</v>
      </c>
      <c r="F17" s="233">
        <v>3</v>
      </c>
      <c r="G17" s="234" t="s">
        <v>510</v>
      </c>
      <c r="H17" s="233" t="s">
        <v>511</v>
      </c>
      <c r="I17" s="233" t="s">
        <v>511</v>
      </c>
      <c r="J17" s="233"/>
      <c r="K17" s="233"/>
      <c r="L17" s="233" t="str">
        <f t="shared" si="1"/>
        <v>Access to healthcare</v>
      </c>
      <c r="M17" s="233"/>
      <c r="N17" s="233"/>
      <c r="O17" s="233"/>
      <c r="P17" s="233" t="s">
        <v>704</v>
      </c>
      <c r="Q17" s="233"/>
      <c r="R17" s="233" t="s">
        <v>512</v>
      </c>
      <c r="S17" s="233">
        <v>2017</v>
      </c>
      <c r="T17" s="233"/>
      <c r="U17" s="233" t="s">
        <v>687</v>
      </c>
      <c r="V17" s="233">
        <v>0</v>
      </c>
      <c r="W17" s="233"/>
      <c r="X17" s="233"/>
      <c r="Y17" s="233">
        <f t="shared" si="7"/>
        <v>0</v>
      </c>
      <c r="Z17" s="233">
        <v>3</v>
      </c>
      <c r="AA17" s="233">
        <v>0</v>
      </c>
      <c r="AB17" s="233">
        <v>100</v>
      </c>
      <c r="AC17" s="233">
        <f t="shared" si="4"/>
        <v>0.166666666666667</v>
      </c>
      <c r="AD17" s="233">
        <f t="shared" si="0"/>
        <v>0.166666666666667</v>
      </c>
      <c r="AE17" s="233" t="str">
        <f t="shared" si="2"/>
        <v>2.1.2) Access to healthcare</v>
      </c>
      <c r="AF17" s="233" t="str">
        <f t="shared" si="10"/>
        <v>2.1) Health security (Inputs)</v>
      </c>
      <c r="AG17" s="233">
        <f>MATCH($D17,Weights!$C$8:$C$85,0)</f>
        <v>34</v>
      </c>
      <c r="AH17" s="233">
        <f>IF(ISERROR($AG17),1,INDEX(Weights!$G$8:$G$85,$AG17))</f>
        <v>1</v>
      </c>
      <c r="AI17" s="233">
        <f t="shared" si="3"/>
        <v>0.166666666666667</v>
      </c>
    </row>
    <row r="18" ht="16.5" customHeight="1" spans="1:35">
      <c r="A18" s="233">
        <f t="shared" si="5"/>
        <v>17</v>
      </c>
      <c r="B18" s="233">
        <v>0</v>
      </c>
      <c r="C18" s="233">
        <v>0</v>
      </c>
      <c r="D18" s="231" t="str">
        <f t="shared" si="8"/>
        <v>HESE2.1.3</v>
      </c>
      <c r="E18" s="233" t="str">
        <f t="shared" si="9"/>
        <v>HESE2.1</v>
      </c>
      <c r="F18" s="233">
        <v>3</v>
      </c>
      <c r="G18" s="234" t="s">
        <v>514</v>
      </c>
      <c r="H18" s="233" t="s">
        <v>705</v>
      </c>
      <c r="I18" s="233" t="s">
        <v>705</v>
      </c>
      <c r="J18" s="233"/>
      <c r="K18" s="233"/>
      <c r="L18" s="233" t="str">
        <f t="shared" si="1"/>
        <v>No. of beds per 1,000</v>
      </c>
      <c r="M18" s="233"/>
      <c r="N18" s="233"/>
      <c r="O18" s="233"/>
      <c r="P18" s="233" t="s">
        <v>517</v>
      </c>
      <c r="Q18" s="233"/>
      <c r="R18" s="233" t="s">
        <v>706</v>
      </c>
      <c r="S18" s="233">
        <v>2017</v>
      </c>
      <c r="T18" s="233"/>
      <c r="U18" s="233" t="s">
        <v>687</v>
      </c>
      <c r="V18" s="233">
        <v>0</v>
      </c>
      <c r="W18" s="233"/>
      <c r="X18" s="233"/>
      <c r="Y18" s="233">
        <f t="shared" si="7"/>
        <v>0</v>
      </c>
      <c r="Z18" s="233">
        <v>2</v>
      </c>
      <c r="AA18" s="233"/>
      <c r="AB18" s="233"/>
      <c r="AC18" s="233">
        <f t="shared" si="4"/>
        <v>0.166666666666667</v>
      </c>
      <c r="AD18" s="233">
        <f t="shared" si="0"/>
        <v>0.166666666666667</v>
      </c>
      <c r="AE18" s="233" t="str">
        <f t="shared" si="2"/>
        <v>2.1.3) No. of beds per 1,000</v>
      </c>
      <c r="AF18" s="233" t="str">
        <f t="shared" si="10"/>
        <v>2.1) Health security (Inputs)</v>
      </c>
      <c r="AG18" s="233">
        <f>MATCH($D18,Weights!$C$8:$C$85,0)</f>
        <v>35</v>
      </c>
      <c r="AH18" s="233">
        <f>IF(ISERROR($AG18),1,INDEX(Weights!$G$8:$G$85,$AG18))</f>
        <v>1</v>
      </c>
      <c r="AI18" s="233">
        <f t="shared" si="3"/>
        <v>0.166666666666667</v>
      </c>
    </row>
    <row r="19" ht="16.5" customHeight="1" spans="1:35">
      <c r="A19" s="233">
        <f t="shared" si="5"/>
        <v>18</v>
      </c>
      <c r="B19" s="233">
        <v>0</v>
      </c>
      <c r="C19" s="233">
        <v>0</v>
      </c>
      <c r="D19" s="231" t="str">
        <f t="shared" si="8"/>
        <v>HESE2.1.4</v>
      </c>
      <c r="E19" s="233" t="str">
        <f t="shared" si="9"/>
        <v>HESE2.1</v>
      </c>
      <c r="F19" s="233">
        <v>3</v>
      </c>
      <c r="G19" s="234" t="s">
        <v>519</v>
      </c>
      <c r="H19" s="233" t="s">
        <v>707</v>
      </c>
      <c r="I19" s="233" t="s">
        <v>707</v>
      </c>
      <c r="J19" s="233"/>
      <c r="K19" s="233"/>
      <c r="L19" s="233" t="str">
        <f t="shared" si="1"/>
        <v>No. of doctors per 1,000</v>
      </c>
      <c r="M19" s="233"/>
      <c r="N19" s="233"/>
      <c r="O19" s="233"/>
      <c r="P19" s="233" t="s">
        <v>517</v>
      </c>
      <c r="Q19" s="233"/>
      <c r="R19" s="233" t="s">
        <v>708</v>
      </c>
      <c r="S19" s="233">
        <v>2017</v>
      </c>
      <c r="T19" s="233"/>
      <c r="U19" s="233" t="s">
        <v>687</v>
      </c>
      <c r="V19" s="233">
        <v>0</v>
      </c>
      <c r="W19" s="233"/>
      <c r="X19" s="233"/>
      <c r="Y19" s="233">
        <f t="shared" si="7"/>
        <v>0</v>
      </c>
      <c r="Z19" s="233">
        <v>2</v>
      </c>
      <c r="AA19" s="233"/>
      <c r="AB19" s="233"/>
      <c r="AC19" s="233">
        <f t="shared" si="4"/>
        <v>0.166666666666667</v>
      </c>
      <c r="AD19" s="233">
        <f t="shared" si="0"/>
        <v>0.166666666666667</v>
      </c>
      <c r="AE19" s="233" t="str">
        <f t="shared" si="2"/>
        <v>2.1.4) No. of doctors per 1,000</v>
      </c>
      <c r="AF19" s="233" t="str">
        <f t="shared" si="10"/>
        <v>2.1) Health security (Inputs)</v>
      </c>
      <c r="AG19" s="233">
        <f>MATCH($D19,Weights!$C$8:$C$85,0)</f>
        <v>36</v>
      </c>
      <c r="AH19" s="233">
        <f>IF(ISERROR($AG19),1,INDEX(Weights!$G$8:$G$85,$AG19))</f>
        <v>1</v>
      </c>
      <c r="AI19" s="233">
        <f t="shared" si="3"/>
        <v>0.166666666666667</v>
      </c>
    </row>
    <row r="20" ht="16.5" customHeight="1" spans="1:35">
      <c r="A20" s="233">
        <f t="shared" si="5"/>
        <v>19</v>
      </c>
      <c r="B20" s="233">
        <v>0</v>
      </c>
      <c r="C20" s="233">
        <v>0</v>
      </c>
      <c r="D20" s="231" t="str">
        <f t="shared" si="8"/>
        <v>HESE2.1.5</v>
      </c>
      <c r="E20" s="233" t="str">
        <f t="shared" si="9"/>
        <v>HESE2.1</v>
      </c>
      <c r="F20" s="233">
        <v>3</v>
      </c>
      <c r="G20" s="234" t="s">
        <v>522</v>
      </c>
      <c r="H20" s="233" t="s">
        <v>523</v>
      </c>
      <c r="I20" s="233" t="s">
        <v>523</v>
      </c>
      <c r="J20" s="233"/>
      <c r="K20" s="233"/>
      <c r="L20" s="233" t="str">
        <f t="shared" si="1"/>
        <v>Access to safe and quality food</v>
      </c>
      <c r="M20" s="233"/>
      <c r="N20" s="233"/>
      <c r="O20" s="233"/>
      <c r="P20" s="233" t="s">
        <v>623</v>
      </c>
      <c r="Q20" s="233"/>
      <c r="R20" s="233" t="s">
        <v>686</v>
      </c>
      <c r="S20" s="233">
        <v>2017</v>
      </c>
      <c r="T20" s="233"/>
      <c r="U20" s="233" t="s">
        <v>687</v>
      </c>
      <c r="V20" s="233">
        <v>0</v>
      </c>
      <c r="W20" s="233"/>
      <c r="X20" s="233"/>
      <c r="Y20" s="233">
        <f t="shared" si="7"/>
        <v>0</v>
      </c>
      <c r="Z20" s="233">
        <v>3</v>
      </c>
      <c r="AA20" s="233">
        <v>0</v>
      </c>
      <c r="AB20" s="233">
        <v>100</v>
      </c>
      <c r="AC20" s="233">
        <f t="shared" si="4"/>
        <v>0.166666666666667</v>
      </c>
      <c r="AD20" s="233">
        <f t="shared" si="0"/>
        <v>0.166666666666667</v>
      </c>
      <c r="AE20" s="233" t="str">
        <f t="shared" si="2"/>
        <v>2.1.5) Access to safe and quality food</v>
      </c>
      <c r="AF20" s="233" t="str">
        <f t="shared" si="10"/>
        <v>2.1) Health security (Inputs)</v>
      </c>
      <c r="AG20" s="233">
        <f>MATCH($D20,Weights!$C$8:$C$85,0)</f>
        <v>37</v>
      </c>
      <c r="AH20" s="233">
        <f>IF(ISERROR($AG20),1,INDEX(Weights!$G$8:$G$85,$AG20))</f>
        <v>1</v>
      </c>
      <c r="AI20" s="233">
        <f t="shared" si="3"/>
        <v>0.166666666666667</v>
      </c>
    </row>
    <row r="21" ht="16.5" customHeight="1" spans="1:35">
      <c r="A21" s="233">
        <f t="shared" si="5"/>
        <v>20</v>
      </c>
      <c r="B21" s="233">
        <v>0</v>
      </c>
      <c r="C21" s="233">
        <v>0</v>
      </c>
      <c r="D21" s="231" t="str">
        <f t="shared" si="8"/>
        <v>HESE2.1.6</v>
      </c>
      <c r="E21" s="233" t="str">
        <f t="shared" si="9"/>
        <v>HESE2.1</v>
      </c>
      <c r="F21" s="233">
        <v>3</v>
      </c>
      <c r="G21" s="234" t="s">
        <v>526</v>
      </c>
      <c r="H21" s="233" t="s">
        <v>527</v>
      </c>
      <c r="I21" s="233" t="s">
        <v>527</v>
      </c>
      <c r="J21" s="233"/>
      <c r="K21" s="233"/>
      <c r="L21" s="233" t="str">
        <f t="shared" si="1"/>
        <v>Quality of health services</v>
      </c>
      <c r="M21" s="233"/>
      <c r="N21" s="233"/>
      <c r="O21" s="233"/>
      <c r="P21" s="233" t="s">
        <v>692</v>
      </c>
      <c r="Q21" s="233"/>
      <c r="R21" s="233" t="s">
        <v>512</v>
      </c>
      <c r="S21" s="233">
        <v>2017</v>
      </c>
      <c r="T21" s="233"/>
      <c r="U21" s="236" t="s">
        <v>687</v>
      </c>
      <c r="V21" s="233">
        <v>0</v>
      </c>
      <c r="W21" s="233"/>
      <c r="X21" s="233"/>
      <c r="Y21" s="233">
        <f t="shared" si="7"/>
        <v>0</v>
      </c>
      <c r="Z21" s="233">
        <v>3</v>
      </c>
      <c r="AA21" s="233">
        <v>1</v>
      </c>
      <c r="AB21" s="233">
        <v>5</v>
      </c>
      <c r="AC21" s="233">
        <f t="shared" si="4"/>
        <v>0.166666666666667</v>
      </c>
      <c r="AD21" s="233">
        <f t="shared" si="0"/>
        <v>0.166666666666667</v>
      </c>
      <c r="AE21" s="233" t="str">
        <f t="shared" si="2"/>
        <v>2.1.6) Quality of health services</v>
      </c>
      <c r="AF21" s="233" t="str">
        <f t="shared" si="10"/>
        <v>2.1) Health security (Inputs)</v>
      </c>
      <c r="AG21" s="233">
        <f>MATCH($D21,Weights!$C$8:$C$85,0)</f>
        <v>38</v>
      </c>
      <c r="AH21" s="233">
        <f>IF(ISERROR($AG21),1,INDEX(Weights!$G$8:$G$85,$AG21))</f>
        <v>1</v>
      </c>
      <c r="AI21" s="233">
        <f t="shared" si="3"/>
        <v>0.166666666666667</v>
      </c>
    </row>
    <row r="22" ht="16.5" customHeight="1" spans="1:35">
      <c r="A22" s="231">
        <f t="shared" si="5"/>
        <v>21</v>
      </c>
      <c r="B22" s="231">
        <v>0</v>
      </c>
      <c r="C22" s="231">
        <v>0</v>
      </c>
      <c r="D22" s="231" t="str">
        <f t="shared" si="8"/>
        <v>HESE2.2</v>
      </c>
      <c r="E22" s="231" t="str">
        <f>$D$14</f>
        <v>HESE</v>
      </c>
      <c r="F22" s="231">
        <v>2</v>
      </c>
      <c r="G22" s="232">
        <v>2.2</v>
      </c>
      <c r="H22" s="231" t="s">
        <v>709</v>
      </c>
      <c r="I22" s="231" t="s">
        <v>709</v>
      </c>
      <c r="J22" s="231"/>
      <c r="K22" s="231" t="str">
        <f>"The indiscator score is the weighted sum of the following sub-indicator scores:
"&amp;AE23&amp;"
"&amp;AE24&amp;"
"&amp;AE25&amp;"
"&amp;AE26&amp;"
"&amp;AE27&amp;"
"&amp;AE28&amp;""</f>
        <v>The indiscator score is the weighted sum of the following sub-indicator scores:
2.2.1) Air quality (PM 2.5 levels)
2.2.2) Water quality
2.2.3) Life expectancy years
2.2.4) Infant mortality
2.2.5) Cancer mortality rate
2.2.6) Number of attacks using biological, chemical and/or radiological weapons</v>
      </c>
      <c r="L22" s="231" t="str">
        <f t="shared" si="1"/>
        <v>The indiscator score is the weighted sum of the following sub-indicator scores:
2.2.1) Air quality (PM 2.5 levels)
2.2.2) Water quality
2.2.3) Life expectancy years
2.2.4) Infant mortality
2.2.5) Cancer mortality rate
2.2.6) Number of attacks using biological, chemical and/or radiological weapons</v>
      </c>
      <c r="M22" s="231"/>
      <c r="N22" s="231"/>
      <c r="O22" s="231"/>
      <c r="P22" s="231" t="s">
        <v>456</v>
      </c>
      <c r="Q22" s="231"/>
      <c r="R22" s="231" t="s">
        <v>686</v>
      </c>
      <c r="S22" s="231">
        <v>2017</v>
      </c>
      <c r="T22" s="231"/>
      <c r="U22" s="231" t="s">
        <v>697</v>
      </c>
      <c r="V22" s="231" t="s">
        <v>688</v>
      </c>
      <c r="W22" s="231"/>
      <c r="X22" s="231"/>
      <c r="Y22" s="231" t="str">
        <f t="shared" si="7"/>
        <v/>
      </c>
      <c r="Z22" s="231">
        <v>1</v>
      </c>
      <c r="AA22" s="231"/>
      <c r="AB22" s="231"/>
      <c r="AC22" s="231">
        <f t="shared" si="4"/>
        <v>0.5</v>
      </c>
      <c r="AD22" s="231">
        <f t="shared" si="0"/>
        <v>0.5</v>
      </c>
      <c r="AE22" s="231" t="str">
        <f t="shared" si="2"/>
        <v>2.2) Health security (Outputs)</v>
      </c>
      <c r="AF22" s="231" t="str">
        <f>$AE$14</f>
        <v>2) HEALTH SECURITY</v>
      </c>
      <c r="AG22" s="231">
        <f>MATCH($D22,Weights!$C$8:$C$85,0)</f>
        <v>12</v>
      </c>
      <c r="AH22" s="231">
        <f>IF(ISERROR($AG22),1,INDEX(Weights!$G$8:$G$85,$AG22))</f>
        <v>1</v>
      </c>
      <c r="AI22" s="231">
        <f t="shared" si="3"/>
        <v>0.5</v>
      </c>
    </row>
    <row r="23" ht="16.5" customHeight="1" spans="1:35">
      <c r="A23" s="233">
        <f t="shared" si="5"/>
        <v>22</v>
      </c>
      <c r="B23" s="233">
        <v>0</v>
      </c>
      <c r="C23" s="233">
        <v>0</v>
      </c>
      <c r="D23" s="231" t="str">
        <f t="shared" si="8"/>
        <v>HESE2.2.1</v>
      </c>
      <c r="E23" s="233" t="str">
        <f>$D$22</f>
        <v>HESE2.2</v>
      </c>
      <c r="F23" s="233">
        <v>3</v>
      </c>
      <c r="G23" s="234" t="s">
        <v>533</v>
      </c>
      <c r="H23" s="233" t="s">
        <v>710</v>
      </c>
      <c r="I23" s="233" t="s">
        <v>710</v>
      </c>
      <c r="J23" s="233"/>
      <c r="K23" s="233"/>
      <c r="L23" s="233" t="str">
        <f t="shared" si="1"/>
        <v>Air quality (PM 2.5 levels)</v>
      </c>
      <c r="M23" s="233"/>
      <c r="N23" s="233"/>
      <c r="O23" s="233"/>
      <c r="P23" s="233" t="s">
        <v>535</v>
      </c>
      <c r="Q23" s="233"/>
      <c r="R23" s="233" t="s">
        <v>711</v>
      </c>
      <c r="S23" s="233">
        <v>2017</v>
      </c>
      <c r="T23" s="233"/>
      <c r="U23" s="233" t="s">
        <v>698</v>
      </c>
      <c r="V23" s="233">
        <v>0</v>
      </c>
      <c r="W23" s="233"/>
      <c r="X23" s="233"/>
      <c r="Y23" s="233">
        <f t="shared" si="7"/>
        <v>1</v>
      </c>
      <c r="Z23" s="233">
        <v>3</v>
      </c>
      <c r="AA23" s="233">
        <v>0</v>
      </c>
      <c r="AB23" s="233">
        <v>100</v>
      </c>
      <c r="AC23" s="233">
        <f t="shared" si="4"/>
        <v>0.166666666666667</v>
      </c>
      <c r="AD23" s="233">
        <f t="shared" si="0"/>
        <v>0.166666666666667</v>
      </c>
      <c r="AE23" s="233" t="str">
        <f t="shared" si="2"/>
        <v>2.2.1) Air quality (PM 2.5 levels)</v>
      </c>
      <c r="AF23" s="233" t="str">
        <f t="shared" ref="AF23:AF28" si="11">$AE$22</f>
        <v>2.2) Health security (Outputs)</v>
      </c>
      <c r="AG23" s="233">
        <f>MATCH($D23,Weights!$C$8:$C$85,0)</f>
        <v>40</v>
      </c>
      <c r="AH23" s="233">
        <f>IF(ISERROR($AG23),1,INDEX(Weights!$G$8:$G$85,$AG23))</f>
        <v>1</v>
      </c>
      <c r="AI23" s="233">
        <f t="shared" si="3"/>
        <v>0.166666666666667</v>
      </c>
    </row>
    <row r="24" ht="16.5" customHeight="1" spans="1:35">
      <c r="A24" s="233">
        <f t="shared" si="5"/>
        <v>23</v>
      </c>
      <c r="B24" s="233">
        <v>0</v>
      </c>
      <c r="C24" s="233">
        <v>0</v>
      </c>
      <c r="D24" s="231" t="str">
        <f t="shared" si="8"/>
        <v>HESE2.2.2</v>
      </c>
      <c r="E24" s="233" t="str">
        <f t="shared" ref="E24:E28" si="12">$D$22</f>
        <v>HESE2.2</v>
      </c>
      <c r="F24" s="233">
        <v>3</v>
      </c>
      <c r="G24" s="234" t="s">
        <v>537</v>
      </c>
      <c r="H24" s="233" t="s">
        <v>538</v>
      </c>
      <c r="I24" s="233" t="s">
        <v>538</v>
      </c>
      <c r="J24" s="233"/>
      <c r="K24" s="233"/>
      <c r="L24" s="233" t="str">
        <f t="shared" si="1"/>
        <v>Water quality</v>
      </c>
      <c r="M24" s="233"/>
      <c r="N24" s="233"/>
      <c r="O24" s="233"/>
      <c r="P24" s="233" t="s">
        <v>623</v>
      </c>
      <c r="Q24" s="233"/>
      <c r="R24" s="233" t="s">
        <v>686</v>
      </c>
      <c r="S24" s="233">
        <v>2017</v>
      </c>
      <c r="T24" s="233"/>
      <c r="U24" s="233" t="s">
        <v>687</v>
      </c>
      <c r="V24" s="233">
        <v>0</v>
      </c>
      <c r="W24" s="233"/>
      <c r="X24" s="233"/>
      <c r="Y24" s="233">
        <f t="shared" si="7"/>
        <v>0</v>
      </c>
      <c r="Z24" s="233">
        <v>3</v>
      </c>
      <c r="AA24" s="233">
        <v>0</v>
      </c>
      <c r="AB24" s="233">
        <v>100</v>
      </c>
      <c r="AC24" s="233">
        <f t="shared" si="4"/>
        <v>0.166666666666667</v>
      </c>
      <c r="AD24" s="233">
        <f t="shared" si="0"/>
        <v>0.166666666666667</v>
      </c>
      <c r="AE24" s="233" t="str">
        <f t="shared" si="2"/>
        <v>2.2.2) Water quality</v>
      </c>
      <c r="AF24" s="233" t="str">
        <f t="shared" si="11"/>
        <v>2.2) Health security (Outputs)</v>
      </c>
      <c r="AG24" s="233">
        <f>MATCH($D24,Weights!$C$8:$C$85,0)</f>
        <v>41</v>
      </c>
      <c r="AH24" s="233">
        <f>IF(ISERROR($AG24),1,INDEX(Weights!$G$8:$G$85,$AG24))</f>
        <v>1</v>
      </c>
      <c r="AI24" s="233">
        <f t="shared" si="3"/>
        <v>0.166666666666667</v>
      </c>
    </row>
    <row r="25" ht="16.5" customHeight="1" spans="1:35">
      <c r="A25" s="233">
        <f t="shared" si="5"/>
        <v>24</v>
      </c>
      <c r="B25" s="233">
        <v>0</v>
      </c>
      <c r="C25" s="233">
        <v>0</v>
      </c>
      <c r="D25" s="231" t="str">
        <f t="shared" si="8"/>
        <v>HESE2.2.3</v>
      </c>
      <c r="E25" s="233" t="str">
        <f t="shared" si="12"/>
        <v>HESE2.2</v>
      </c>
      <c r="F25" s="233">
        <v>3</v>
      </c>
      <c r="G25" s="234" t="s">
        <v>540</v>
      </c>
      <c r="H25" s="233" t="s">
        <v>712</v>
      </c>
      <c r="I25" s="233" t="s">
        <v>712</v>
      </c>
      <c r="J25" s="233"/>
      <c r="K25" s="233"/>
      <c r="L25" s="233" t="str">
        <f t="shared" si="1"/>
        <v>Life expectancy years</v>
      </c>
      <c r="M25" s="233"/>
      <c r="N25" s="233"/>
      <c r="O25" s="233"/>
      <c r="P25" s="233" t="s">
        <v>713</v>
      </c>
      <c r="Q25" s="233"/>
      <c r="R25" s="233" t="s">
        <v>714</v>
      </c>
      <c r="S25" s="233">
        <v>2017</v>
      </c>
      <c r="T25" s="233"/>
      <c r="U25" s="233" t="s">
        <v>687</v>
      </c>
      <c r="V25" s="233">
        <v>0</v>
      </c>
      <c r="W25" s="233"/>
      <c r="X25" s="233"/>
      <c r="Y25" s="233">
        <f t="shared" si="7"/>
        <v>0</v>
      </c>
      <c r="Z25" s="233">
        <v>2</v>
      </c>
      <c r="AA25" s="233"/>
      <c r="AB25" s="233"/>
      <c r="AC25" s="233">
        <f t="shared" si="4"/>
        <v>0.166666666666667</v>
      </c>
      <c r="AD25" s="233">
        <f t="shared" si="0"/>
        <v>0.166666666666667</v>
      </c>
      <c r="AE25" s="233" t="str">
        <f t="shared" si="2"/>
        <v>2.2.3) Life expectancy years</v>
      </c>
      <c r="AF25" s="233" t="str">
        <f t="shared" si="11"/>
        <v>2.2) Health security (Outputs)</v>
      </c>
      <c r="AG25" s="233">
        <f>MATCH($D25,Weights!$C$8:$C$85,0)</f>
        <v>42</v>
      </c>
      <c r="AH25" s="233">
        <f>IF(ISERROR($AG25),1,INDEX(Weights!$G$8:$G$85,$AG25))</f>
        <v>1</v>
      </c>
      <c r="AI25" s="233">
        <f t="shared" si="3"/>
        <v>0.166666666666667</v>
      </c>
    </row>
    <row r="26" ht="16.5" customHeight="1" spans="1:35">
      <c r="A26" s="233">
        <f t="shared" si="5"/>
        <v>25</v>
      </c>
      <c r="B26" s="233">
        <v>0</v>
      </c>
      <c r="C26" s="233">
        <v>0</v>
      </c>
      <c r="D26" s="231" t="str">
        <f t="shared" si="8"/>
        <v>HESE2.2.4</v>
      </c>
      <c r="E26" s="233" t="str">
        <f t="shared" si="12"/>
        <v>HESE2.2</v>
      </c>
      <c r="F26" s="233">
        <v>3</v>
      </c>
      <c r="G26" s="234" t="s">
        <v>545</v>
      </c>
      <c r="H26" s="233" t="s">
        <v>715</v>
      </c>
      <c r="I26" s="233" t="s">
        <v>715</v>
      </c>
      <c r="J26" s="233"/>
      <c r="K26" s="233"/>
      <c r="L26" s="233" t="str">
        <f t="shared" si="1"/>
        <v>Infant mortality</v>
      </c>
      <c r="M26" s="233"/>
      <c r="N26" s="233"/>
      <c r="O26" s="233"/>
      <c r="P26" s="233" t="s">
        <v>547</v>
      </c>
      <c r="Q26" s="233"/>
      <c r="R26" s="233" t="s">
        <v>716</v>
      </c>
      <c r="S26" s="233">
        <v>2017</v>
      </c>
      <c r="T26" s="233"/>
      <c r="U26" s="233" t="s">
        <v>698</v>
      </c>
      <c r="V26" s="233">
        <v>0</v>
      </c>
      <c r="W26" s="233"/>
      <c r="X26" s="233"/>
      <c r="Y26" s="233">
        <f t="shared" si="7"/>
        <v>1</v>
      </c>
      <c r="Z26" s="233">
        <v>2</v>
      </c>
      <c r="AA26" s="233"/>
      <c r="AB26" s="233"/>
      <c r="AC26" s="233">
        <f t="shared" si="4"/>
        <v>0.166666666666667</v>
      </c>
      <c r="AD26" s="233">
        <f t="shared" si="0"/>
        <v>0.166666666666667</v>
      </c>
      <c r="AE26" s="233" t="str">
        <f t="shared" si="2"/>
        <v>2.2.4) Infant mortality</v>
      </c>
      <c r="AF26" s="233" t="str">
        <f t="shared" si="11"/>
        <v>2.2) Health security (Outputs)</v>
      </c>
      <c r="AG26" s="233">
        <f>MATCH($D26,Weights!$C$8:$C$85,0)</f>
        <v>43</v>
      </c>
      <c r="AH26" s="233">
        <f>IF(ISERROR($AG26),1,INDEX(Weights!$G$8:$G$85,$AG26))</f>
        <v>1</v>
      </c>
      <c r="AI26" s="233">
        <f t="shared" si="3"/>
        <v>0.166666666666667</v>
      </c>
    </row>
    <row r="27" ht="16.5" customHeight="1" spans="1:35">
      <c r="A27" s="233">
        <f t="shared" si="5"/>
        <v>26</v>
      </c>
      <c r="B27" s="233">
        <v>0</v>
      </c>
      <c r="C27" s="233">
        <v>0</v>
      </c>
      <c r="D27" s="231" t="str">
        <f t="shared" si="8"/>
        <v>HESE2.2.5</v>
      </c>
      <c r="E27" s="233" t="str">
        <f t="shared" si="12"/>
        <v>HESE2.2</v>
      </c>
      <c r="F27" s="233">
        <v>3</v>
      </c>
      <c r="G27" s="234" t="s">
        <v>549</v>
      </c>
      <c r="H27" s="233" t="s">
        <v>717</v>
      </c>
      <c r="I27" s="233" t="s">
        <v>717</v>
      </c>
      <c r="J27" s="233"/>
      <c r="K27" s="233"/>
      <c r="L27" s="233" t="str">
        <f t="shared" si="1"/>
        <v>Cancer mortality rate</v>
      </c>
      <c r="M27" s="233"/>
      <c r="N27" s="233"/>
      <c r="O27" s="233"/>
      <c r="P27" s="233" t="s">
        <v>552</v>
      </c>
      <c r="Q27" s="233"/>
      <c r="R27" s="233" t="s">
        <v>711</v>
      </c>
      <c r="S27" s="233">
        <v>2017</v>
      </c>
      <c r="T27" s="233"/>
      <c r="U27" s="233" t="s">
        <v>698</v>
      </c>
      <c r="V27" s="233">
        <v>0</v>
      </c>
      <c r="W27" s="233"/>
      <c r="X27" s="233"/>
      <c r="Y27" s="233">
        <f t="shared" si="7"/>
        <v>1</v>
      </c>
      <c r="Z27" s="233">
        <v>2</v>
      </c>
      <c r="AA27" s="233"/>
      <c r="AB27" s="233"/>
      <c r="AC27" s="233">
        <f t="shared" si="4"/>
        <v>0.166666666666667</v>
      </c>
      <c r="AD27" s="233">
        <f t="shared" si="0"/>
        <v>0.166666666666667</v>
      </c>
      <c r="AE27" s="233" t="str">
        <f t="shared" si="2"/>
        <v>2.2.5) Cancer mortality rate</v>
      </c>
      <c r="AF27" s="233" t="str">
        <f t="shared" si="11"/>
        <v>2.2) Health security (Outputs)</v>
      </c>
      <c r="AG27" s="233">
        <f>MATCH($D27,Weights!$C$8:$C$85,0)</f>
        <v>44</v>
      </c>
      <c r="AH27" s="233">
        <f>IF(ISERROR($AG27),1,INDEX(Weights!$G$8:$G$85,$AG27))</f>
        <v>1</v>
      </c>
      <c r="AI27" s="233">
        <f t="shared" si="3"/>
        <v>0.166666666666667</v>
      </c>
    </row>
    <row r="28" ht="16.5" customHeight="1" spans="1:35">
      <c r="A28" s="233">
        <f t="shared" si="5"/>
        <v>27</v>
      </c>
      <c r="B28" s="233">
        <v>0</v>
      </c>
      <c r="C28" s="233">
        <v>0</v>
      </c>
      <c r="D28" s="231" t="str">
        <f t="shared" si="8"/>
        <v>HESE2.2.6</v>
      </c>
      <c r="E28" s="233" t="str">
        <f t="shared" si="12"/>
        <v>HESE2.2</v>
      </c>
      <c r="F28" s="233">
        <v>3</v>
      </c>
      <c r="G28" s="234" t="s">
        <v>718</v>
      </c>
      <c r="H28" s="233" t="s">
        <v>719</v>
      </c>
      <c r="I28" s="233" t="s">
        <v>719</v>
      </c>
      <c r="J28" s="233"/>
      <c r="K28" s="233"/>
      <c r="L28" s="233" t="str">
        <f t="shared" si="1"/>
        <v>Number of attacks using biological, chemical and/or radiological weapons</v>
      </c>
      <c r="M28" s="233"/>
      <c r="N28" s="233"/>
      <c r="O28" s="233"/>
      <c r="P28" s="233" t="s">
        <v>649</v>
      </c>
      <c r="Q28" s="233"/>
      <c r="R28" s="233" t="s">
        <v>720</v>
      </c>
      <c r="S28" s="233">
        <v>2017</v>
      </c>
      <c r="T28" s="233"/>
      <c r="U28" s="233" t="s">
        <v>698</v>
      </c>
      <c r="V28" s="231" t="s">
        <v>688</v>
      </c>
      <c r="W28" s="233"/>
      <c r="X28" s="233"/>
      <c r="Y28" s="233">
        <f t="shared" si="7"/>
        <v>1</v>
      </c>
      <c r="Z28" s="233">
        <v>2</v>
      </c>
      <c r="AA28" s="233"/>
      <c r="AB28" s="233"/>
      <c r="AC28" s="233">
        <f t="shared" si="4"/>
        <v>0.166666666666667</v>
      </c>
      <c r="AD28" s="233">
        <f t="shared" si="0"/>
        <v>0.166666666666667</v>
      </c>
      <c r="AE28" s="233" t="str">
        <f t="shared" si="2"/>
        <v>2.2.6) Number of attacks using biological, chemical and/or radiological weapons</v>
      </c>
      <c r="AF28" s="233" t="str">
        <f t="shared" si="11"/>
        <v>2.2) Health security (Outputs)</v>
      </c>
      <c r="AG28" s="233">
        <f>MATCH($D28,Weights!$C$8:$C$85,0)</f>
        <v>45</v>
      </c>
      <c r="AH28" s="233">
        <f>IF(ISERROR($AG28),1,INDEX(Weights!$G$8:$G$85,$AG28))</f>
        <v>1</v>
      </c>
      <c r="AI28" s="233">
        <f t="shared" si="3"/>
        <v>0.166666666666667</v>
      </c>
    </row>
    <row r="29" ht="24" customHeight="1" spans="1:35">
      <c r="A29" s="229">
        <f t="shared" si="5"/>
        <v>28</v>
      </c>
      <c r="B29" s="229">
        <v>0</v>
      </c>
      <c r="C29" s="229">
        <v>0</v>
      </c>
      <c r="D29" s="229" t="s">
        <v>167</v>
      </c>
      <c r="E29" s="229" t="str">
        <f>$D$2</f>
        <v>OVERALL</v>
      </c>
      <c r="F29" s="229">
        <v>1</v>
      </c>
      <c r="G29" s="230">
        <v>3</v>
      </c>
      <c r="H29" s="229" t="s">
        <v>721</v>
      </c>
      <c r="I29" s="229" t="s">
        <v>721</v>
      </c>
      <c r="J29" s="229"/>
      <c r="K29" s="229" t="str">
        <f>"The category score is the weighted sum of the following indicator scores:
"&amp;AE30&amp;"
"&amp;AE36&amp;""</f>
        <v>The category score is the weighted sum of the following indicator scores:
3.1) Infrastructure security (Inputs)
3.2) Infrastructure security (Outputs)</v>
      </c>
      <c r="L29" s="229" t="str">
        <f t="shared" si="1"/>
        <v>The category score is the weighted sum of the following indicator scores:
3.1) Infrastructure security (Inputs)
3.2) Infrastructure security (Outputs)</v>
      </c>
      <c r="M29" s="229"/>
      <c r="N29" s="229"/>
      <c r="O29" s="229"/>
      <c r="P29" s="229" t="s">
        <v>501</v>
      </c>
      <c r="Q29" s="229"/>
      <c r="R29" s="229" t="s">
        <v>686</v>
      </c>
      <c r="S29" s="229">
        <v>2017</v>
      </c>
      <c r="T29" s="229"/>
      <c r="U29" s="229" t="s">
        <v>697</v>
      </c>
      <c r="V29" s="229" t="s">
        <v>688</v>
      </c>
      <c r="W29" s="229"/>
      <c r="X29" s="229"/>
      <c r="Y29" s="229" t="str">
        <f t="shared" si="7"/>
        <v/>
      </c>
      <c r="Z29" s="229">
        <v>1</v>
      </c>
      <c r="AA29" s="229"/>
      <c r="AB29" s="229"/>
      <c r="AC29" s="229">
        <f t="shared" si="4"/>
        <v>0.25</v>
      </c>
      <c r="AD29" s="229">
        <f t="shared" si="0"/>
        <v>0.25</v>
      </c>
      <c r="AE29" s="229" t="str">
        <f t="shared" si="2"/>
        <v>3) INFRASTRUCTURE SECURITY</v>
      </c>
      <c r="AF29" s="229" t="str">
        <f>$AE$2</f>
        <v>OVERALL SCORE</v>
      </c>
      <c r="AG29" s="229">
        <f>MATCH($D29,Weights!$C$8:$C$85,0)</f>
        <v>3</v>
      </c>
      <c r="AH29" s="229">
        <f>IF(ISERROR($AG29),1,INDEX(Weights!$G$8:$G$85,$AG29))</f>
        <v>1</v>
      </c>
      <c r="AI29" s="229">
        <f t="shared" si="3"/>
        <v>0.25</v>
      </c>
    </row>
    <row r="30" ht="16.5" customHeight="1" spans="1:35">
      <c r="A30" s="231">
        <f t="shared" si="5"/>
        <v>29</v>
      </c>
      <c r="B30" s="231">
        <v>0</v>
      </c>
      <c r="C30" s="231">
        <v>0</v>
      </c>
      <c r="D30" s="231" t="str">
        <f>$D$29&amp;G30</f>
        <v>INSE3.1</v>
      </c>
      <c r="E30" s="231" t="str">
        <f>$D$29</f>
        <v>INSE</v>
      </c>
      <c r="F30" s="231">
        <v>2</v>
      </c>
      <c r="G30" s="232">
        <v>3.1</v>
      </c>
      <c r="H30" s="231" t="s">
        <v>722</v>
      </c>
      <c r="I30" s="231" t="s">
        <v>722</v>
      </c>
      <c r="J30" s="231"/>
      <c r="K30" s="231" t="str">
        <f>"The indiscator score is the weighted sum of the following sub-indicator scores:
"&amp;AE31&amp;"
"&amp;AE32&amp;"
"&amp;AE33&amp;"
"&amp;AE34&amp;"
"&amp;AE35&amp;""</f>
        <v>The indiscator score is the weighted sum of the following sub-indicator scores:
3.1.1) Enforcement of transport safety
3.1.2) Pedestrian friendliness
3.1.3) Quality of road infrastructure
3.1.4) Quality of electricity infrastructure
3.1.5) Disaster management/business continuity plan</v>
      </c>
      <c r="L30" s="231" t="str">
        <f t="shared" si="1"/>
        <v>The indiscator score is the weighted sum of the following sub-indicator scores:
3.1.1) Enforcement of transport safety
3.1.2) Pedestrian friendliness
3.1.3) Quality of road infrastructure
3.1.4) Quality of electricity infrastructure
3.1.5) Disaster management/business continuity plan</v>
      </c>
      <c r="M30" s="231"/>
      <c r="N30" s="231"/>
      <c r="O30" s="231"/>
      <c r="P30" s="231" t="s">
        <v>456</v>
      </c>
      <c r="Q30" s="231"/>
      <c r="R30" s="231" t="s">
        <v>686</v>
      </c>
      <c r="S30" s="231">
        <v>2017</v>
      </c>
      <c r="T30" s="231"/>
      <c r="U30" s="231" t="s">
        <v>697</v>
      </c>
      <c r="V30" s="231" t="s">
        <v>688</v>
      </c>
      <c r="W30" s="231"/>
      <c r="X30" s="231"/>
      <c r="Y30" s="231" t="str">
        <f t="shared" si="7"/>
        <v/>
      </c>
      <c r="Z30" s="231">
        <v>1</v>
      </c>
      <c r="AA30" s="231"/>
      <c r="AB30" s="231"/>
      <c r="AC30" s="231">
        <f t="shared" si="4"/>
        <v>0.5</v>
      </c>
      <c r="AD30" s="231">
        <f t="shared" si="0"/>
        <v>0.5</v>
      </c>
      <c r="AE30" s="231" t="str">
        <f t="shared" si="2"/>
        <v>3.1) Infrastructure security (Inputs)</v>
      </c>
      <c r="AF30" s="231" t="str">
        <f>$AE$29</f>
        <v>3) INFRASTRUCTURE SECURITY</v>
      </c>
      <c r="AG30" s="231">
        <f>MATCH($D30,Weights!$C$8:$C$85,0)</f>
        <v>14</v>
      </c>
      <c r="AH30" s="231">
        <f>IF(ISERROR($AG30),1,INDEX(Weights!$G$8:$G$85,$AG30))</f>
        <v>1</v>
      </c>
      <c r="AI30" s="231">
        <f t="shared" si="3"/>
        <v>0.5</v>
      </c>
    </row>
    <row r="31" ht="16.5" customHeight="1" spans="1:35">
      <c r="A31" s="233">
        <f t="shared" si="5"/>
        <v>30</v>
      </c>
      <c r="B31" s="233">
        <v>0</v>
      </c>
      <c r="C31" s="233">
        <v>0</v>
      </c>
      <c r="D31" s="231" t="str">
        <f t="shared" ref="D31:D41" si="13">$D$29&amp;G31</f>
        <v>INSE3.1.1</v>
      </c>
      <c r="E31" s="233" t="str">
        <f>$D$30</f>
        <v>INSE3.1</v>
      </c>
      <c r="F31" s="233">
        <v>3</v>
      </c>
      <c r="G31" s="234" t="s">
        <v>559</v>
      </c>
      <c r="H31" s="233" t="s">
        <v>560</v>
      </c>
      <c r="I31" s="233" t="s">
        <v>560</v>
      </c>
      <c r="J31" s="233"/>
      <c r="K31" s="233"/>
      <c r="L31" s="233" t="str">
        <f t="shared" si="1"/>
        <v>Enforcement of transport safety</v>
      </c>
      <c r="M31" s="233"/>
      <c r="N31" s="233"/>
      <c r="O31" s="233"/>
      <c r="P31" s="233" t="s">
        <v>723</v>
      </c>
      <c r="Q31" s="233"/>
      <c r="R31" s="233" t="s">
        <v>724</v>
      </c>
      <c r="S31" s="233">
        <v>2017</v>
      </c>
      <c r="T31" s="233"/>
      <c r="U31" s="233" t="s">
        <v>687</v>
      </c>
      <c r="V31" s="233">
        <v>0</v>
      </c>
      <c r="W31" s="233"/>
      <c r="X31" s="233"/>
      <c r="Y31" s="233">
        <f t="shared" si="7"/>
        <v>0</v>
      </c>
      <c r="Z31" s="233">
        <v>3</v>
      </c>
      <c r="AA31" s="233">
        <v>0</v>
      </c>
      <c r="AB31" s="233">
        <v>10</v>
      </c>
      <c r="AC31" s="233">
        <f t="shared" si="4"/>
        <v>0.2</v>
      </c>
      <c r="AD31" s="233">
        <f t="shared" si="0"/>
        <v>0.2</v>
      </c>
      <c r="AE31" s="233" t="str">
        <f t="shared" si="2"/>
        <v>3.1.1) Enforcement of transport safety</v>
      </c>
      <c r="AF31" s="233" t="str">
        <f>$AE$30</f>
        <v>3.1) Infrastructure security (Inputs)</v>
      </c>
      <c r="AG31" s="233">
        <f>MATCH($D31,Weights!$C$8:$C$85,0)</f>
        <v>47</v>
      </c>
      <c r="AH31" s="233">
        <f>IF(ISERROR($AG31),1,INDEX(Weights!$G$8:$G$85,$AG31))</f>
        <v>1</v>
      </c>
      <c r="AI31" s="233">
        <f t="shared" si="3"/>
        <v>0.2</v>
      </c>
    </row>
    <row r="32" ht="16.5" customHeight="1" spans="1:35">
      <c r="A32" s="233">
        <f t="shared" si="5"/>
        <v>31</v>
      </c>
      <c r="B32" s="233">
        <v>0</v>
      </c>
      <c r="C32" s="233">
        <v>0</v>
      </c>
      <c r="D32" s="231" t="str">
        <f t="shared" si="13"/>
        <v>INSE3.1.2</v>
      </c>
      <c r="E32" s="233" t="str">
        <f>$D$30</f>
        <v>INSE3.1</v>
      </c>
      <c r="F32" s="233">
        <v>3</v>
      </c>
      <c r="G32" s="234" t="s">
        <v>563</v>
      </c>
      <c r="H32" s="233" t="s">
        <v>564</v>
      </c>
      <c r="I32" s="233" t="s">
        <v>564</v>
      </c>
      <c r="J32" s="233"/>
      <c r="K32" s="233"/>
      <c r="L32" s="233" t="str">
        <f t="shared" si="1"/>
        <v>Pedestrian friendliness</v>
      </c>
      <c r="M32" s="233"/>
      <c r="N32" s="233"/>
      <c r="O32" s="233"/>
      <c r="P32" s="233" t="s">
        <v>725</v>
      </c>
      <c r="Q32" s="233"/>
      <c r="R32" s="233" t="s">
        <v>686</v>
      </c>
      <c r="S32" s="233">
        <v>2017</v>
      </c>
      <c r="T32" s="233"/>
      <c r="U32" s="233" t="s">
        <v>687</v>
      </c>
      <c r="V32" s="233">
        <v>0</v>
      </c>
      <c r="W32" s="233"/>
      <c r="X32" s="233"/>
      <c r="Y32" s="233">
        <f t="shared" si="7"/>
        <v>0</v>
      </c>
      <c r="Z32" s="233">
        <v>3</v>
      </c>
      <c r="AA32" s="233">
        <v>0</v>
      </c>
      <c r="AB32" s="233">
        <v>5</v>
      </c>
      <c r="AC32" s="233">
        <f t="shared" si="4"/>
        <v>0.2</v>
      </c>
      <c r="AD32" s="233">
        <f t="shared" si="0"/>
        <v>0.2</v>
      </c>
      <c r="AE32" s="233" t="str">
        <f t="shared" si="2"/>
        <v>3.1.2) Pedestrian friendliness</v>
      </c>
      <c r="AF32" s="233" t="str">
        <f>$AE$30</f>
        <v>3.1) Infrastructure security (Inputs)</v>
      </c>
      <c r="AG32" s="233">
        <f>MATCH($D32,Weights!$C$8:$C$85,0)</f>
        <v>48</v>
      </c>
      <c r="AH32" s="233">
        <f>IF(ISERROR($AG32),1,INDEX(Weights!$G$8:$G$85,$AG32))</f>
        <v>1</v>
      </c>
      <c r="AI32" s="233">
        <f t="shared" si="3"/>
        <v>0.2</v>
      </c>
    </row>
    <row r="33" ht="16.5" customHeight="1" spans="1:35">
      <c r="A33" s="233">
        <f t="shared" si="5"/>
        <v>32</v>
      </c>
      <c r="B33" s="233">
        <v>0</v>
      </c>
      <c r="C33" s="233">
        <v>0</v>
      </c>
      <c r="D33" s="231" t="str">
        <f t="shared" si="13"/>
        <v>INSE3.1.3</v>
      </c>
      <c r="E33" s="233" t="str">
        <f>$D$30</f>
        <v>INSE3.1</v>
      </c>
      <c r="F33" s="233">
        <v>3</v>
      </c>
      <c r="G33" s="234" t="s">
        <v>566</v>
      </c>
      <c r="H33" s="233" t="s">
        <v>567</v>
      </c>
      <c r="I33" s="233" t="s">
        <v>567</v>
      </c>
      <c r="J33" s="233"/>
      <c r="K33" s="233"/>
      <c r="L33" s="233" t="str">
        <f t="shared" si="1"/>
        <v>Quality of road infrastructure</v>
      </c>
      <c r="M33" s="233"/>
      <c r="N33" s="233"/>
      <c r="O33" s="233"/>
      <c r="P33" s="233" t="s">
        <v>726</v>
      </c>
      <c r="Q33" s="233"/>
      <c r="R33" s="233" t="s">
        <v>512</v>
      </c>
      <c r="S33" s="233">
        <v>2017</v>
      </c>
      <c r="T33" s="233"/>
      <c r="U33" s="233" t="s">
        <v>698</v>
      </c>
      <c r="V33" s="233">
        <v>0</v>
      </c>
      <c r="W33" s="233"/>
      <c r="X33" s="233"/>
      <c r="Y33" s="233">
        <f t="shared" si="7"/>
        <v>1</v>
      </c>
      <c r="Z33" s="233">
        <v>3</v>
      </c>
      <c r="AA33" s="233">
        <v>1</v>
      </c>
      <c r="AB33" s="233">
        <v>5</v>
      </c>
      <c r="AC33" s="233">
        <f t="shared" si="4"/>
        <v>0.2</v>
      </c>
      <c r="AD33" s="233">
        <f t="shared" si="0"/>
        <v>0.2</v>
      </c>
      <c r="AE33" s="233" t="str">
        <f t="shared" si="2"/>
        <v>3.1.3) Quality of road infrastructure</v>
      </c>
      <c r="AF33" s="233" t="str">
        <f>$AE$30</f>
        <v>3.1) Infrastructure security (Inputs)</v>
      </c>
      <c r="AG33" s="233">
        <f>MATCH($D33,Weights!$C$8:$C$85,0)</f>
        <v>49</v>
      </c>
      <c r="AH33" s="233">
        <f>IF(ISERROR($AG33),1,INDEX(Weights!$G$8:$G$85,$AG33))</f>
        <v>1</v>
      </c>
      <c r="AI33" s="233">
        <f t="shared" si="3"/>
        <v>0.2</v>
      </c>
    </row>
    <row r="34" ht="16.5" customHeight="1" spans="1:35">
      <c r="A34" s="233">
        <f t="shared" si="5"/>
        <v>33</v>
      </c>
      <c r="B34" s="233">
        <v>0</v>
      </c>
      <c r="C34" s="233">
        <v>0</v>
      </c>
      <c r="D34" s="231" t="str">
        <f t="shared" si="13"/>
        <v>INSE3.1.4</v>
      </c>
      <c r="E34" s="233" t="str">
        <f>$D$30</f>
        <v>INSE3.1</v>
      </c>
      <c r="F34" s="233">
        <v>3</v>
      </c>
      <c r="G34" s="234" t="s">
        <v>569</v>
      </c>
      <c r="H34" s="233" t="s">
        <v>570</v>
      </c>
      <c r="I34" s="233" t="s">
        <v>570</v>
      </c>
      <c r="J34" s="233"/>
      <c r="K34" s="233"/>
      <c r="L34" s="233" t="str">
        <f t="shared" si="1"/>
        <v>Quality of electricity infrastructure</v>
      </c>
      <c r="M34" s="233"/>
      <c r="N34" s="233"/>
      <c r="O34" s="233"/>
      <c r="P34" s="233" t="s">
        <v>726</v>
      </c>
      <c r="Q34" s="233"/>
      <c r="R34" s="233" t="s">
        <v>512</v>
      </c>
      <c r="S34" s="233">
        <v>2017</v>
      </c>
      <c r="T34" s="233"/>
      <c r="U34" s="233" t="s">
        <v>698</v>
      </c>
      <c r="V34" s="233">
        <v>0</v>
      </c>
      <c r="W34" s="233"/>
      <c r="X34" s="233"/>
      <c r="Y34" s="233">
        <f t="shared" si="7"/>
        <v>1</v>
      </c>
      <c r="Z34" s="233">
        <v>3</v>
      </c>
      <c r="AA34" s="233">
        <v>1</v>
      </c>
      <c r="AB34" s="233">
        <v>5</v>
      </c>
      <c r="AC34" s="233">
        <f t="shared" si="4"/>
        <v>0.2</v>
      </c>
      <c r="AD34" s="233">
        <f t="shared" ref="AD34:AD57" si="14">IF(F34=0,"",IF(SUMIF(E$3:E$63,E34,AC$3:AC$63)=0,0,AC34/SUMIF(E$3:E$63,E34,AC$3:AC$63)))</f>
        <v>0.2</v>
      </c>
      <c r="AE34" s="233" t="str">
        <f t="shared" si="2"/>
        <v>3.1.4) Quality of electricity infrastructure</v>
      </c>
      <c r="AF34" s="233" t="str">
        <f>$AE$30</f>
        <v>3.1) Infrastructure security (Inputs)</v>
      </c>
      <c r="AG34" s="233">
        <f>MATCH($D34,Weights!$C$8:$C$85,0)</f>
        <v>50</v>
      </c>
      <c r="AH34" s="233">
        <f>IF(ISERROR($AG34),1,INDEX(Weights!$G$8:$G$85,$AG34))</f>
        <v>1</v>
      </c>
      <c r="AI34" s="233">
        <f t="shared" si="3"/>
        <v>0.2</v>
      </c>
    </row>
    <row r="35" ht="16.5" customHeight="1" spans="1:35">
      <c r="A35" s="233">
        <f t="shared" si="5"/>
        <v>34</v>
      </c>
      <c r="B35" s="233">
        <v>0</v>
      </c>
      <c r="C35" s="233">
        <v>0</v>
      </c>
      <c r="D35" s="231" t="str">
        <f t="shared" si="13"/>
        <v>INSE3.1.5</v>
      </c>
      <c r="E35" s="233" t="str">
        <f>$D$30</f>
        <v>INSE3.1</v>
      </c>
      <c r="F35" s="233">
        <v>3</v>
      </c>
      <c r="G35" s="234" t="s">
        <v>572</v>
      </c>
      <c r="H35" s="233" t="s">
        <v>727</v>
      </c>
      <c r="I35" s="233" t="s">
        <v>727</v>
      </c>
      <c r="J35" s="233"/>
      <c r="K35" s="233"/>
      <c r="L35" s="233" t="str">
        <f t="shared" si="1"/>
        <v>Disaster management/business continuity plan</v>
      </c>
      <c r="M35" s="233"/>
      <c r="N35" s="233"/>
      <c r="O35" s="233"/>
      <c r="P35" s="233" t="s">
        <v>726</v>
      </c>
      <c r="Q35" s="233"/>
      <c r="R35" s="233" t="s">
        <v>686</v>
      </c>
      <c r="S35" s="233">
        <v>2017</v>
      </c>
      <c r="T35" s="233"/>
      <c r="U35" s="233" t="s">
        <v>698</v>
      </c>
      <c r="V35" s="233">
        <v>0</v>
      </c>
      <c r="W35" s="233"/>
      <c r="X35" s="233"/>
      <c r="Y35" s="233">
        <f t="shared" si="7"/>
        <v>1</v>
      </c>
      <c r="Z35" s="233">
        <v>3</v>
      </c>
      <c r="AA35" s="233">
        <v>1</v>
      </c>
      <c r="AB35" s="233">
        <v>5</v>
      </c>
      <c r="AC35" s="233">
        <f t="shared" si="4"/>
        <v>0.2</v>
      </c>
      <c r="AD35" s="233">
        <f t="shared" si="14"/>
        <v>0.2</v>
      </c>
      <c r="AE35" s="233" t="str">
        <f t="shared" si="2"/>
        <v>3.1.5) Disaster management/business continuity plan</v>
      </c>
      <c r="AF35" s="233" t="str">
        <f>$AE$30</f>
        <v>3.1) Infrastructure security (Inputs)</v>
      </c>
      <c r="AG35" s="233">
        <f>MATCH($D35,Weights!$C$8:$C$85,0)</f>
        <v>51</v>
      </c>
      <c r="AH35" s="233">
        <f>IF(ISERROR($AG35),1,INDEX(Weights!$G$8:$G$85,$AG35))</f>
        <v>1</v>
      </c>
      <c r="AI35" s="233">
        <f t="shared" ref="AI35:AI57" si="15">IF(ISERROR(AH35/SUMIF($E$2:$E$63,$E35,AH$2:AH$63)),0,AH35/SUMIF($E$2:$E$63,$E35,AH$2:AH$63))</f>
        <v>0.2</v>
      </c>
    </row>
    <row r="36" ht="16.5" customHeight="1" spans="1:35">
      <c r="A36" s="231">
        <f t="shared" si="5"/>
        <v>35</v>
      </c>
      <c r="B36" s="231">
        <v>0</v>
      </c>
      <c r="C36" s="231">
        <v>0</v>
      </c>
      <c r="D36" s="231" t="str">
        <f t="shared" si="13"/>
        <v>INSE3.2</v>
      </c>
      <c r="E36" s="231" t="str">
        <f>$D$29</f>
        <v>INSE</v>
      </c>
      <c r="F36" s="231">
        <v>2</v>
      </c>
      <c r="G36" s="232">
        <v>3.2</v>
      </c>
      <c r="H36" s="231" t="s">
        <v>728</v>
      </c>
      <c r="I36" s="231" t="s">
        <v>728</v>
      </c>
      <c r="J36" s="231"/>
      <c r="K36" s="231" t="str">
        <f>"The indiscator score is the weighted sum of the following sub-indicator scores:
"&amp;AE37&amp;"
"&amp;AE38&amp;"
"&amp;AE39&amp;"
"&amp;AE40&amp;"
"&amp;AE41&amp;""</f>
        <v>The indiscator score is the weighted sum of the following sub-indicator scores:
3.2.1) Deaths from natural disaster
3.2.2) Frequency of vehicular accidents
3.2.3) Frequency of pedestrian deaths
3.2.4) Percentage living in slums
3.2.5) Number of attacks on facilities/infrastructure</v>
      </c>
      <c r="L36" s="231" t="str">
        <f t="shared" si="1"/>
        <v>The indiscator score is the weighted sum of the following sub-indicator scores:
3.2.1) Deaths from natural disaster
3.2.2) Frequency of vehicular accidents
3.2.3) Frequency of pedestrian deaths
3.2.4) Percentage living in slums
3.2.5) Number of attacks on facilities/infrastructure</v>
      </c>
      <c r="M36" s="231"/>
      <c r="N36" s="231"/>
      <c r="O36" s="231"/>
      <c r="P36" s="231" t="s">
        <v>456</v>
      </c>
      <c r="Q36" s="231"/>
      <c r="R36" s="231" t="s">
        <v>686</v>
      </c>
      <c r="S36" s="231">
        <v>2017</v>
      </c>
      <c r="T36" s="231"/>
      <c r="U36" s="231" t="s">
        <v>697</v>
      </c>
      <c r="V36" s="231" t="s">
        <v>688</v>
      </c>
      <c r="W36" s="231"/>
      <c r="X36" s="231"/>
      <c r="Y36" s="231" t="str">
        <f t="shared" si="7"/>
        <v/>
      </c>
      <c r="Z36" s="231">
        <v>1</v>
      </c>
      <c r="AA36" s="231"/>
      <c r="AB36" s="231"/>
      <c r="AC36" s="231">
        <f t="shared" si="4"/>
        <v>0.5</v>
      </c>
      <c r="AD36" s="231">
        <f t="shared" si="14"/>
        <v>0.5</v>
      </c>
      <c r="AE36" s="231" t="str">
        <f t="shared" si="2"/>
        <v>3.2) Infrastructure security (Outputs)</v>
      </c>
      <c r="AF36" s="231" t="str">
        <f>$AE$29</f>
        <v>3) INFRASTRUCTURE SECURITY</v>
      </c>
      <c r="AG36" s="231">
        <f>MATCH($D36,Weights!$C$8:$C$85,0)</f>
        <v>15</v>
      </c>
      <c r="AH36" s="231">
        <f>IF(ISERROR($AG36),1,INDEX(Weights!$G$8:$G$85,$AG36))</f>
        <v>1</v>
      </c>
      <c r="AI36" s="231">
        <f t="shared" si="15"/>
        <v>0.5</v>
      </c>
    </row>
    <row r="37" ht="16.5" customHeight="1" spans="1:35">
      <c r="A37" s="233">
        <f t="shared" si="5"/>
        <v>36</v>
      </c>
      <c r="B37" s="233">
        <v>0</v>
      </c>
      <c r="C37" s="233">
        <v>0</v>
      </c>
      <c r="D37" s="231" t="str">
        <f t="shared" si="13"/>
        <v>INSE3.2.1</v>
      </c>
      <c r="E37" s="233" t="str">
        <f t="shared" ref="E37:E41" si="16">$D$36</f>
        <v>INSE3.2</v>
      </c>
      <c r="F37" s="233">
        <v>3</v>
      </c>
      <c r="G37" s="234" t="s">
        <v>578</v>
      </c>
      <c r="H37" s="233" t="s">
        <v>729</v>
      </c>
      <c r="I37" s="233" t="s">
        <v>729</v>
      </c>
      <c r="J37" s="233"/>
      <c r="K37" s="233"/>
      <c r="L37" s="233" t="str">
        <f t="shared" si="1"/>
        <v>Deaths from natural disaster</v>
      </c>
      <c r="M37" s="233"/>
      <c r="N37" s="233"/>
      <c r="O37" s="233"/>
      <c r="P37" s="233" t="s">
        <v>730</v>
      </c>
      <c r="Q37" s="233"/>
      <c r="R37" s="233" t="s">
        <v>731</v>
      </c>
      <c r="S37" s="233">
        <v>2017</v>
      </c>
      <c r="T37" s="233"/>
      <c r="U37" s="233" t="s">
        <v>698</v>
      </c>
      <c r="V37" s="233">
        <v>0</v>
      </c>
      <c r="W37" s="233"/>
      <c r="X37" s="233"/>
      <c r="Y37" s="233">
        <f t="shared" si="7"/>
        <v>1</v>
      </c>
      <c r="Z37" s="233">
        <v>2</v>
      </c>
      <c r="AA37" s="233"/>
      <c r="AB37" s="233"/>
      <c r="AC37" s="233">
        <f t="shared" si="4"/>
        <v>0.2</v>
      </c>
      <c r="AD37" s="233">
        <f t="shared" si="14"/>
        <v>0.2</v>
      </c>
      <c r="AE37" s="233" t="str">
        <f t="shared" si="2"/>
        <v>3.2.1) Deaths from natural disaster</v>
      </c>
      <c r="AF37" s="233" t="str">
        <f t="shared" ref="AF37:AF41" si="17">$AE$36</f>
        <v>3.2) Infrastructure security (Outputs)</v>
      </c>
      <c r="AG37" s="233">
        <f>MATCH($D37,Weights!$C$8:$C$85,0)</f>
        <v>53</v>
      </c>
      <c r="AH37" s="233">
        <f>IF(ISERROR($AG37),1,INDEX(Weights!$G$8:$G$85,$AG37))</f>
        <v>1</v>
      </c>
      <c r="AI37" s="233">
        <f t="shared" si="15"/>
        <v>0.2</v>
      </c>
    </row>
    <row r="38" ht="16.5" customHeight="1" spans="1:35">
      <c r="A38" s="233">
        <f t="shared" si="5"/>
        <v>37</v>
      </c>
      <c r="B38" s="233">
        <v>0</v>
      </c>
      <c r="C38" s="233">
        <v>0</v>
      </c>
      <c r="D38" s="231" t="str">
        <f t="shared" si="13"/>
        <v>INSE3.2.2</v>
      </c>
      <c r="E38" s="233" t="str">
        <f t="shared" si="16"/>
        <v>INSE3.2</v>
      </c>
      <c r="F38" s="233">
        <v>3</v>
      </c>
      <c r="G38" s="234" t="s">
        <v>583</v>
      </c>
      <c r="H38" s="233" t="s">
        <v>584</v>
      </c>
      <c r="I38" s="233" t="s">
        <v>584</v>
      </c>
      <c r="J38" s="233"/>
      <c r="K38" s="233"/>
      <c r="L38" s="233" t="str">
        <f t="shared" si="1"/>
        <v>Frequency of vehicular accidents</v>
      </c>
      <c r="M38" s="233"/>
      <c r="N38" s="233"/>
      <c r="O38" s="233"/>
      <c r="P38" s="233" t="s">
        <v>732</v>
      </c>
      <c r="Q38" s="233"/>
      <c r="R38" s="233" t="s">
        <v>733</v>
      </c>
      <c r="S38" s="233">
        <v>2017</v>
      </c>
      <c r="T38" s="233"/>
      <c r="U38" s="233" t="s">
        <v>698</v>
      </c>
      <c r="V38" s="233">
        <v>0</v>
      </c>
      <c r="W38" s="233"/>
      <c r="X38" s="233"/>
      <c r="Y38" s="233">
        <f t="shared" si="7"/>
        <v>1</v>
      </c>
      <c r="Z38" s="233">
        <v>2</v>
      </c>
      <c r="AA38" s="233"/>
      <c r="AB38" s="233"/>
      <c r="AC38" s="233">
        <f t="shared" si="4"/>
        <v>0.2</v>
      </c>
      <c r="AD38" s="233">
        <f t="shared" si="14"/>
        <v>0.2</v>
      </c>
      <c r="AE38" s="233" t="str">
        <f t="shared" si="2"/>
        <v>3.2.2) Frequency of vehicular accidents</v>
      </c>
      <c r="AF38" s="233" t="str">
        <f t="shared" si="17"/>
        <v>3.2) Infrastructure security (Outputs)</v>
      </c>
      <c r="AG38" s="233">
        <f>MATCH($D38,Weights!$C$8:$C$85,0)</f>
        <v>54</v>
      </c>
      <c r="AH38" s="233">
        <f>IF(ISERROR($AG38),1,INDEX(Weights!$G$8:$G$85,$AG38))</f>
        <v>1</v>
      </c>
      <c r="AI38" s="233">
        <f t="shared" si="15"/>
        <v>0.2</v>
      </c>
    </row>
    <row r="39" ht="16.5" customHeight="1" spans="1:35">
      <c r="A39" s="233">
        <f t="shared" si="5"/>
        <v>38</v>
      </c>
      <c r="B39" s="233">
        <v>0</v>
      </c>
      <c r="C39" s="233">
        <v>0</v>
      </c>
      <c r="D39" s="231" t="str">
        <f t="shared" si="13"/>
        <v>INSE3.2.3</v>
      </c>
      <c r="E39" s="233" t="str">
        <f t="shared" si="16"/>
        <v>INSE3.2</v>
      </c>
      <c r="F39" s="233">
        <v>3</v>
      </c>
      <c r="G39" s="234" t="s">
        <v>587</v>
      </c>
      <c r="H39" s="233" t="s">
        <v>588</v>
      </c>
      <c r="I39" s="233" t="s">
        <v>588</v>
      </c>
      <c r="J39" s="233"/>
      <c r="K39" s="233"/>
      <c r="L39" s="233" t="str">
        <f t="shared" si="1"/>
        <v>Frequency of pedestrian deaths</v>
      </c>
      <c r="M39" s="233"/>
      <c r="N39" s="233"/>
      <c r="O39" s="233"/>
      <c r="P39" s="233" t="s">
        <v>732</v>
      </c>
      <c r="Q39" s="233"/>
      <c r="R39" s="233" t="s">
        <v>708</v>
      </c>
      <c r="S39" s="233">
        <v>2017</v>
      </c>
      <c r="T39" s="233"/>
      <c r="U39" s="233" t="s">
        <v>698</v>
      </c>
      <c r="V39" s="233">
        <v>0</v>
      </c>
      <c r="W39" s="233"/>
      <c r="X39" s="233"/>
      <c r="Y39" s="233">
        <f t="shared" si="7"/>
        <v>1</v>
      </c>
      <c r="Z39" s="233">
        <v>2</v>
      </c>
      <c r="AA39" s="233"/>
      <c r="AB39" s="233"/>
      <c r="AC39" s="233">
        <f t="shared" si="4"/>
        <v>0.2</v>
      </c>
      <c r="AD39" s="233">
        <f t="shared" si="14"/>
        <v>0.2</v>
      </c>
      <c r="AE39" s="233" t="str">
        <f t="shared" si="2"/>
        <v>3.2.3) Frequency of pedestrian deaths</v>
      </c>
      <c r="AF39" s="233" t="str">
        <f t="shared" si="17"/>
        <v>3.2) Infrastructure security (Outputs)</v>
      </c>
      <c r="AG39" s="233">
        <f>MATCH($D39,Weights!$C$8:$C$85,0)</f>
        <v>55</v>
      </c>
      <c r="AH39" s="233">
        <f>IF(ISERROR($AG39),1,INDEX(Weights!$G$8:$G$85,$AG39))</f>
        <v>1</v>
      </c>
      <c r="AI39" s="233">
        <f t="shared" si="15"/>
        <v>0.2</v>
      </c>
    </row>
    <row r="40" ht="16.5" customHeight="1" spans="1:35">
      <c r="A40" s="233">
        <f t="shared" si="5"/>
        <v>39</v>
      </c>
      <c r="B40" s="233">
        <v>0</v>
      </c>
      <c r="C40" s="233">
        <v>0</v>
      </c>
      <c r="D40" s="231" t="str">
        <f t="shared" si="13"/>
        <v>INSE3.2.4</v>
      </c>
      <c r="E40" s="233" t="str">
        <f t="shared" si="16"/>
        <v>INSE3.2</v>
      </c>
      <c r="F40" s="233">
        <v>3</v>
      </c>
      <c r="G40" s="234" t="s">
        <v>590</v>
      </c>
      <c r="H40" s="233" t="s">
        <v>734</v>
      </c>
      <c r="I40" s="233" t="s">
        <v>734</v>
      </c>
      <c r="J40" s="233"/>
      <c r="K40" s="233"/>
      <c r="L40" s="233" t="str">
        <f t="shared" si="1"/>
        <v>Percentage living in slums</v>
      </c>
      <c r="M40" s="233"/>
      <c r="N40" s="233"/>
      <c r="O40" s="233"/>
      <c r="P40" s="233" t="s">
        <v>490</v>
      </c>
      <c r="Q40" s="233"/>
      <c r="R40" s="233" t="s">
        <v>686</v>
      </c>
      <c r="S40" s="233">
        <v>2017</v>
      </c>
      <c r="T40" s="233"/>
      <c r="U40" s="233" t="s">
        <v>698</v>
      </c>
      <c r="V40" s="233">
        <v>0</v>
      </c>
      <c r="W40" s="233"/>
      <c r="X40" s="233"/>
      <c r="Y40" s="233">
        <f t="shared" si="7"/>
        <v>1</v>
      </c>
      <c r="Z40" s="233">
        <v>2</v>
      </c>
      <c r="AA40" s="233"/>
      <c r="AB40" s="233"/>
      <c r="AC40" s="233">
        <f t="shared" si="4"/>
        <v>0.2</v>
      </c>
      <c r="AD40" s="233">
        <f t="shared" si="14"/>
        <v>0.2</v>
      </c>
      <c r="AE40" s="233" t="str">
        <f t="shared" si="2"/>
        <v>3.2.4) Percentage living in slums</v>
      </c>
      <c r="AF40" s="233" t="str">
        <f t="shared" si="17"/>
        <v>3.2) Infrastructure security (Outputs)</v>
      </c>
      <c r="AG40" s="233">
        <f>MATCH($D40,Weights!$C$8:$C$85,0)</f>
        <v>56</v>
      </c>
      <c r="AH40" s="233">
        <f>IF(ISERROR($AG40),1,INDEX(Weights!$G$8:$G$85,$AG40))</f>
        <v>1</v>
      </c>
      <c r="AI40" s="233">
        <f t="shared" si="15"/>
        <v>0.2</v>
      </c>
    </row>
    <row r="41" ht="16.5" customHeight="1" spans="1:35">
      <c r="A41" s="233">
        <f t="shared" si="5"/>
        <v>40</v>
      </c>
      <c r="B41" s="233">
        <v>0</v>
      </c>
      <c r="C41" s="233">
        <v>0</v>
      </c>
      <c r="D41" s="231" t="str">
        <f t="shared" si="13"/>
        <v>INSE3.2.5</v>
      </c>
      <c r="E41" s="233" t="str">
        <f t="shared" si="16"/>
        <v>INSE3.2</v>
      </c>
      <c r="F41" s="233">
        <v>3</v>
      </c>
      <c r="G41" s="234" t="s">
        <v>735</v>
      </c>
      <c r="H41" s="233" t="s">
        <v>736</v>
      </c>
      <c r="I41" s="233" t="s">
        <v>736</v>
      </c>
      <c r="J41" s="233"/>
      <c r="K41" s="233"/>
      <c r="L41" s="233" t="str">
        <f t="shared" si="1"/>
        <v>Number of attacks on facilities/infrastructure</v>
      </c>
      <c r="M41" s="233"/>
      <c r="N41" s="233"/>
      <c r="O41" s="233"/>
      <c r="P41" s="233" t="s">
        <v>649</v>
      </c>
      <c r="Q41" s="233"/>
      <c r="R41" s="233" t="s">
        <v>720</v>
      </c>
      <c r="S41" s="233">
        <v>2017</v>
      </c>
      <c r="T41" s="233"/>
      <c r="U41" s="233" t="s">
        <v>698</v>
      </c>
      <c r="V41" s="233" t="s">
        <v>688</v>
      </c>
      <c r="W41" s="233"/>
      <c r="X41" s="233"/>
      <c r="Y41" s="233">
        <f t="shared" si="7"/>
        <v>1</v>
      </c>
      <c r="Z41" s="233">
        <v>2</v>
      </c>
      <c r="AA41" s="233"/>
      <c r="AB41" s="233"/>
      <c r="AC41" s="233">
        <f t="shared" ref="AC41:AC57" si="18">AI41</f>
        <v>0.2</v>
      </c>
      <c r="AD41" s="233">
        <f t="shared" si="14"/>
        <v>0.2</v>
      </c>
      <c r="AE41" s="233" t="str">
        <f t="shared" si="2"/>
        <v>3.2.5) Number of attacks on facilities/infrastructure</v>
      </c>
      <c r="AF41" s="233" t="str">
        <f t="shared" si="17"/>
        <v>3.2) Infrastructure security (Outputs)</v>
      </c>
      <c r="AG41" s="233">
        <f>MATCH($D41,Weights!$C$8:$C$85,0)</f>
        <v>57</v>
      </c>
      <c r="AH41" s="233">
        <f>IF(ISERROR($AG41),1,INDEX(Weights!$G$8:$G$85,$AG41))</f>
        <v>1</v>
      </c>
      <c r="AI41" s="233">
        <f t="shared" si="15"/>
        <v>0.2</v>
      </c>
    </row>
    <row r="42" ht="24" customHeight="1" spans="1:35">
      <c r="A42" s="229">
        <f t="shared" si="5"/>
        <v>41</v>
      </c>
      <c r="B42" s="229">
        <v>0</v>
      </c>
      <c r="C42" s="229">
        <v>0</v>
      </c>
      <c r="D42" s="229" t="s">
        <v>170</v>
      </c>
      <c r="E42" s="229" t="str">
        <f>$D$2</f>
        <v>OVERALL</v>
      </c>
      <c r="F42" s="229">
        <v>1</v>
      </c>
      <c r="G42" s="230">
        <v>4</v>
      </c>
      <c r="H42" s="229" t="s">
        <v>737</v>
      </c>
      <c r="I42" s="229" t="s">
        <v>737</v>
      </c>
      <c r="J42" s="229"/>
      <c r="K42" s="229" t="str">
        <f>"The category score is the weighted sum of the following indicator scores:
"&amp;AE43&amp;"
"&amp;AE51&amp;""</f>
        <v>The category score is the weighted sum of the following indicator scores:
4.1) Personal security (Inputs)
4.2) Personal security (Outputs)</v>
      </c>
      <c r="L42" s="229" t="str">
        <f t="shared" si="1"/>
        <v>The category score is the weighted sum of the following indicator scores:
4.1) Personal security (Inputs)
4.2) Personal security (Outputs)</v>
      </c>
      <c r="M42" s="229"/>
      <c r="N42" s="229"/>
      <c r="O42" s="229"/>
      <c r="P42" s="229" t="s">
        <v>501</v>
      </c>
      <c r="Q42" s="229"/>
      <c r="R42" s="229" t="s">
        <v>686</v>
      </c>
      <c r="S42" s="229">
        <v>2017</v>
      </c>
      <c r="T42" s="229"/>
      <c r="U42" s="229" t="s">
        <v>697</v>
      </c>
      <c r="V42" s="229" t="s">
        <v>688</v>
      </c>
      <c r="W42" s="229"/>
      <c r="X42" s="229"/>
      <c r="Y42" s="229" t="str">
        <f t="shared" si="7"/>
        <v/>
      </c>
      <c r="Z42" s="229">
        <v>1</v>
      </c>
      <c r="AA42" s="229"/>
      <c r="AB42" s="229"/>
      <c r="AC42" s="229">
        <f t="shared" si="18"/>
        <v>0.25</v>
      </c>
      <c r="AD42" s="229">
        <f t="shared" si="14"/>
        <v>0.25</v>
      </c>
      <c r="AE42" s="229" t="str">
        <f t="shared" si="2"/>
        <v>4) PERSONAL SECURITY</v>
      </c>
      <c r="AF42" s="229" t="str">
        <f>$AE$2</f>
        <v>OVERALL SCORE</v>
      </c>
      <c r="AG42" s="229">
        <f>MATCH($D42,Weights!$C$8:$C$85,0)</f>
        <v>4</v>
      </c>
      <c r="AH42" s="229">
        <f>IF(ISERROR($AG42),1,INDEX(Weights!$G$8:$G$85,$AG42))</f>
        <v>1</v>
      </c>
      <c r="AI42" s="229">
        <f t="shared" si="15"/>
        <v>0.25</v>
      </c>
    </row>
    <row r="43" ht="16.5" customHeight="1" spans="1:35">
      <c r="A43" s="231">
        <f t="shared" si="5"/>
        <v>42</v>
      </c>
      <c r="B43" s="231">
        <v>0</v>
      </c>
      <c r="C43" s="231">
        <v>0</v>
      </c>
      <c r="D43" s="231" t="str">
        <f>$D$42&amp;G43</f>
        <v>PESE4.1</v>
      </c>
      <c r="E43" s="231" t="str">
        <f>$D$42</f>
        <v>PESE</v>
      </c>
      <c r="F43" s="231">
        <v>2</v>
      </c>
      <c r="G43" s="232">
        <v>4.1</v>
      </c>
      <c r="H43" s="231" t="s">
        <v>738</v>
      </c>
      <c r="I43" s="231" t="s">
        <v>738</v>
      </c>
      <c r="J43" s="231"/>
      <c r="K43" s="231" t="str">
        <f>"The indiscator score is the weighted sum of the following sub-indicator scores:
"&amp;AE44&amp;"
"&amp;AE45&amp;"
"&amp;AE46&amp;"
"&amp;AE47&amp;"
"&amp;AE48&amp;"
"&amp;AE49&amp;"
"&amp;AE50&amp;""</f>
        <v>The indiscator score is the weighted sum of the following sub-indicator scores:
4.1.1) Level of police engagement
4.1.2) Community-based patrolling
4.1.3) Available street-level crime data
4.1.4) Use of data-driven techniques for crime
4.1.5) Private security measures
4.1.6) Gun regulation and enforcement
4.1.7) Political stability risk</v>
      </c>
      <c r="L43" s="231" t="str">
        <f t="shared" si="1"/>
        <v>The indiscator score is the weighted sum of the following sub-indicator scores:
4.1.1) Level of police engagement
4.1.2) Community-based patrolling
4.1.3) Available street-level crime data
4.1.4) Use of data-driven techniques for crime
4.1.5) Private security measures
4.1.6) Gun regulation and enforcement
4.1.7) Political stability risk</v>
      </c>
      <c r="M43" s="231"/>
      <c r="N43" s="231"/>
      <c r="O43" s="231"/>
      <c r="P43" s="231" t="s">
        <v>456</v>
      </c>
      <c r="Q43" s="231"/>
      <c r="R43" s="231" t="s">
        <v>686</v>
      </c>
      <c r="S43" s="231">
        <v>2017</v>
      </c>
      <c r="T43" s="231"/>
      <c r="U43" s="231" t="s">
        <v>697</v>
      </c>
      <c r="V43" s="231" t="s">
        <v>688</v>
      </c>
      <c r="W43" s="231"/>
      <c r="X43" s="231"/>
      <c r="Y43" s="231" t="str">
        <f t="shared" si="7"/>
        <v/>
      </c>
      <c r="Z43" s="231">
        <v>1</v>
      </c>
      <c r="AA43" s="231"/>
      <c r="AB43" s="231"/>
      <c r="AC43" s="231">
        <f t="shared" si="18"/>
        <v>0.5</v>
      </c>
      <c r="AD43" s="231">
        <f t="shared" si="14"/>
        <v>0.5</v>
      </c>
      <c r="AE43" s="231" t="str">
        <f t="shared" si="2"/>
        <v>4.1) Personal security (Inputs)</v>
      </c>
      <c r="AF43" s="231" t="str">
        <f>$AE$42</f>
        <v>4) PERSONAL SECURITY</v>
      </c>
      <c r="AG43" s="231">
        <f>MATCH($D43,Weights!$C$8:$C$85,0)</f>
        <v>17</v>
      </c>
      <c r="AH43" s="231">
        <f>IF(ISERROR($AG43),1,INDEX(Weights!$G$8:$G$85,$AG43))</f>
        <v>1</v>
      </c>
      <c r="AI43" s="231">
        <f t="shared" si="15"/>
        <v>0.5</v>
      </c>
    </row>
    <row r="44" ht="16.5" customHeight="1" spans="1:35">
      <c r="A44" s="233">
        <f t="shared" si="5"/>
        <v>43</v>
      </c>
      <c r="B44" s="233">
        <v>0</v>
      </c>
      <c r="C44" s="233">
        <v>0</v>
      </c>
      <c r="D44" s="231" t="str">
        <f t="shared" ref="D44:D63" si="19">$D$42&amp;G44</f>
        <v>PESE4.1.1</v>
      </c>
      <c r="E44" s="233" t="str">
        <f>$D$43</f>
        <v>PESE4.1</v>
      </c>
      <c r="F44" s="233">
        <v>3</v>
      </c>
      <c r="G44" s="234" t="s">
        <v>598</v>
      </c>
      <c r="H44" s="233" t="s">
        <v>599</v>
      </c>
      <c r="I44" s="233" t="s">
        <v>599</v>
      </c>
      <c r="J44" s="233"/>
      <c r="K44" s="233"/>
      <c r="L44" s="233" t="str">
        <f t="shared" si="1"/>
        <v>Level of police engagement</v>
      </c>
      <c r="M44" s="233"/>
      <c r="N44" s="233"/>
      <c r="O44" s="233"/>
      <c r="P44" s="233" t="s">
        <v>739</v>
      </c>
      <c r="Q44" s="233"/>
      <c r="R44" s="233" t="s">
        <v>686</v>
      </c>
      <c r="S44" s="233">
        <v>2017</v>
      </c>
      <c r="T44" s="233"/>
      <c r="U44" s="233" t="s">
        <v>687</v>
      </c>
      <c r="V44" s="233">
        <v>0</v>
      </c>
      <c r="W44" s="233"/>
      <c r="X44" s="233"/>
      <c r="Y44" s="233">
        <f t="shared" si="7"/>
        <v>0</v>
      </c>
      <c r="Z44" s="233">
        <v>3</v>
      </c>
      <c r="AA44" s="233">
        <v>0</v>
      </c>
      <c r="AB44" s="233">
        <v>1</v>
      </c>
      <c r="AC44" s="233">
        <f t="shared" si="18"/>
        <v>0.142857142857143</v>
      </c>
      <c r="AD44" s="233">
        <f t="shared" si="14"/>
        <v>0.142857142857143</v>
      </c>
      <c r="AE44" s="233" t="str">
        <f t="shared" si="2"/>
        <v>4.1.1) Level of police engagement</v>
      </c>
      <c r="AF44" s="233" t="str">
        <f t="shared" ref="AF44:AF50" si="20">$AE$43</f>
        <v>4.1) Personal security (Inputs)</v>
      </c>
      <c r="AG44" s="233">
        <f>MATCH($D44,Weights!$C$8:$C$85,0)</f>
        <v>59</v>
      </c>
      <c r="AH44" s="233">
        <f>IF(ISERROR($AG44),1,INDEX(Weights!$G$8:$G$85,$AG44))</f>
        <v>1</v>
      </c>
      <c r="AI44" s="233">
        <f t="shared" si="15"/>
        <v>0.142857142857143</v>
      </c>
    </row>
    <row r="45" ht="16.5" customHeight="1" spans="1:35">
      <c r="A45" s="233">
        <f t="shared" si="5"/>
        <v>44</v>
      </c>
      <c r="B45" s="233">
        <v>0</v>
      </c>
      <c r="C45" s="233">
        <v>0</v>
      </c>
      <c r="D45" s="231" t="str">
        <f t="shared" si="19"/>
        <v>PESE4.1.2</v>
      </c>
      <c r="E45" s="233" t="str">
        <f t="shared" ref="E45:E50" si="21">$D$43</f>
        <v>PESE4.1</v>
      </c>
      <c r="F45" s="233">
        <v>3</v>
      </c>
      <c r="G45" s="234" t="s">
        <v>603</v>
      </c>
      <c r="H45" s="233" t="s">
        <v>604</v>
      </c>
      <c r="I45" s="233" t="s">
        <v>604</v>
      </c>
      <c r="J45" s="233"/>
      <c r="K45" s="233"/>
      <c r="L45" s="233" t="str">
        <f t="shared" si="1"/>
        <v>Community-based patrolling</v>
      </c>
      <c r="M45" s="233"/>
      <c r="N45" s="233"/>
      <c r="O45" s="233"/>
      <c r="P45" s="233" t="s">
        <v>740</v>
      </c>
      <c r="Q45" s="233"/>
      <c r="R45" s="233" t="s">
        <v>686</v>
      </c>
      <c r="S45" s="233">
        <v>2017</v>
      </c>
      <c r="T45" s="233"/>
      <c r="U45" s="233" t="s">
        <v>687</v>
      </c>
      <c r="V45" s="233">
        <v>0</v>
      </c>
      <c r="W45" s="233"/>
      <c r="X45" s="233"/>
      <c r="Y45" s="233">
        <f t="shared" si="7"/>
        <v>0</v>
      </c>
      <c r="Z45" s="233">
        <v>2</v>
      </c>
      <c r="AA45" s="233">
        <v>0</v>
      </c>
      <c r="AB45" s="233">
        <v>1</v>
      </c>
      <c r="AC45" s="233">
        <f t="shared" si="18"/>
        <v>0.142857142857143</v>
      </c>
      <c r="AD45" s="233">
        <f t="shared" si="14"/>
        <v>0.142857142857143</v>
      </c>
      <c r="AE45" s="233" t="str">
        <f t="shared" si="2"/>
        <v>4.1.2) Community-based patrolling</v>
      </c>
      <c r="AF45" s="233" t="str">
        <f t="shared" si="20"/>
        <v>4.1) Personal security (Inputs)</v>
      </c>
      <c r="AG45" s="233">
        <f>MATCH($D45,Weights!$C$8:$C$85,0)</f>
        <v>60</v>
      </c>
      <c r="AH45" s="233">
        <f>IF(ISERROR($AG45),1,INDEX(Weights!$G$8:$G$85,$AG45))</f>
        <v>1</v>
      </c>
      <c r="AI45" s="233">
        <f t="shared" si="15"/>
        <v>0.142857142857143</v>
      </c>
    </row>
    <row r="46" ht="16.5" customHeight="1" spans="1:35">
      <c r="A46" s="233">
        <f t="shared" si="5"/>
        <v>45</v>
      </c>
      <c r="B46" s="233">
        <v>0</v>
      </c>
      <c r="C46" s="233">
        <v>0</v>
      </c>
      <c r="D46" s="231" t="str">
        <f t="shared" si="19"/>
        <v>PESE4.1.3</v>
      </c>
      <c r="E46" s="233" t="str">
        <f t="shared" si="21"/>
        <v>PESE4.1</v>
      </c>
      <c r="F46" s="233">
        <v>3</v>
      </c>
      <c r="G46" s="234" t="s">
        <v>608</v>
      </c>
      <c r="H46" s="233" t="s">
        <v>741</v>
      </c>
      <c r="I46" s="233" t="s">
        <v>741</v>
      </c>
      <c r="J46" s="233"/>
      <c r="K46" s="233"/>
      <c r="L46" s="233" t="str">
        <f t="shared" si="1"/>
        <v>Available street-level crime data</v>
      </c>
      <c r="M46" s="233"/>
      <c r="N46" s="233"/>
      <c r="O46" s="233"/>
      <c r="P46" s="233" t="s">
        <v>740</v>
      </c>
      <c r="Q46" s="233"/>
      <c r="R46" s="233" t="s">
        <v>686</v>
      </c>
      <c r="S46" s="233">
        <v>2017</v>
      </c>
      <c r="T46" s="233"/>
      <c r="U46" s="233" t="s">
        <v>687</v>
      </c>
      <c r="V46" s="233">
        <v>0</v>
      </c>
      <c r="W46" s="233"/>
      <c r="X46" s="233"/>
      <c r="Y46" s="233">
        <f t="shared" si="7"/>
        <v>0</v>
      </c>
      <c r="Z46" s="233">
        <v>2</v>
      </c>
      <c r="AA46" s="233">
        <v>0</v>
      </c>
      <c r="AB46" s="233">
        <v>1</v>
      </c>
      <c r="AC46" s="233">
        <f t="shared" si="18"/>
        <v>0.142857142857143</v>
      </c>
      <c r="AD46" s="233">
        <f t="shared" si="14"/>
        <v>0.142857142857143</v>
      </c>
      <c r="AE46" s="233" t="str">
        <f t="shared" si="2"/>
        <v>4.1.3) Available street-level crime data</v>
      </c>
      <c r="AF46" s="233" t="str">
        <f t="shared" si="20"/>
        <v>4.1) Personal security (Inputs)</v>
      </c>
      <c r="AG46" s="233">
        <f>MATCH($D46,Weights!$C$8:$C$85,0)</f>
        <v>61</v>
      </c>
      <c r="AH46" s="233">
        <f>IF(ISERROR($AG46),1,INDEX(Weights!$G$8:$G$85,$AG46))</f>
        <v>1</v>
      </c>
      <c r="AI46" s="233">
        <f t="shared" si="15"/>
        <v>0.142857142857143</v>
      </c>
    </row>
    <row r="47" ht="16.5" customHeight="1" spans="1:35">
      <c r="A47" s="233">
        <f t="shared" si="5"/>
        <v>46</v>
      </c>
      <c r="B47" s="233">
        <v>0</v>
      </c>
      <c r="C47" s="233">
        <v>0</v>
      </c>
      <c r="D47" s="231" t="str">
        <f t="shared" si="19"/>
        <v>PESE4.1.4</v>
      </c>
      <c r="E47" s="233" t="str">
        <f t="shared" si="21"/>
        <v>PESE4.1</v>
      </c>
      <c r="F47" s="233">
        <v>3</v>
      </c>
      <c r="G47" s="234" t="s">
        <v>611</v>
      </c>
      <c r="H47" s="233" t="s">
        <v>612</v>
      </c>
      <c r="I47" s="233" t="s">
        <v>612</v>
      </c>
      <c r="J47" s="233"/>
      <c r="K47" s="233"/>
      <c r="L47" s="233" t="str">
        <f t="shared" si="1"/>
        <v>Use of data-driven techniques for crime</v>
      </c>
      <c r="M47" s="233"/>
      <c r="N47" s="233"/>
      <c r="O47" s="233"/>
      <c r="P47" s="233" t="s">
        <v>740</v>
      </c>
      <c r="Q47" s="233"/>
      <c r="R47" s="233" t="s">
        <v>686</v>
      </c>
      <c r="S47" s="233">
        <v>2017</v>
      </c>
      <c r="T47" s="233"/>
      <c r="U47" s="233" t="s">
        <v>687</v>
      </c>
      <c r="V47" s="233">
        <v>0</v>
      </c>
      <c r="W47" s="233"/>
      <c r="X47" s="233"/>
      <c r="Y47" s="233">
        <f t="shared" si="7"/>
        <v>0</v>
      </c>
      <c r="Z47" s="233">
        <v>2</v>
      </c>
      <c r="AA47" s="233">
        <v>0</v>
      </c>
      <c r="AB47" s="233">
        <v>1</v>
      </c>
      <c r="AC47" s="233">
        <f t="shared" si="18"/>
        <v>0.142857142857143</v>
      </c>
      <c r="AD47" s="233">
        <f t="shared" si="14"/>
        <v>0.142857142857143</v>
      </c>
      <c r="AE47" s="233" t="str">
        <f t="shared" si="2"/>
        <v>4.1.4) Use of data-driven techniques for crime</v>
      </c>
      <c r="AF47" s="233" t="str">
        <f t="shared" si="20"/>
        <v>4.1) Personal security (Inputs)</v>
      </c>
      <c r="AG47" s="233">
        <f>MATCH($D47,Weights!$C$8:$C$85,0)</f>
        <v>62</v>
      </c>
      <c r="AH47" s="233">
        <f>IF(ISERROR($AG47),1,INDEX(Weights!$G$8:$G$85,$AG47))</f>
        <v>1</v>
      </c>
      <c r="AI47" s="233">
        <f t="shared" si="15"/>
        <v>0.142857142857143</v>
      </c>
    </row>
    <row r="48" ht="16.5" customHeight="1" spans="1:35">
      <c r="A48" s="233">
        <f t="shared" si="5"/>
        <v>47</v>
      </c>
      <c r="B48" s="233">
        <v>0</v>
      </c>
      <c r="C48" s="233">
        <v>0</v>
      </c>
      <c r="D48" s="231" t="str">
        <f t="shared" si="19"/>
        <v>PESE4.1.5</v>
      </c>
      <c r="E48" s="233" t="str">
        <f t="shared" si="21"/>
        <v>PESE4.1</v>
      </c>
      <c r="F48" s="233">
        <v>3</v>
      </c>
      <c r="G48" s="234" t="s">
        <v>614</v>
      </c>
      <c r="H48" s="233" t="s">
        <v>615</v>
      </c>
      <c r="I48" s="233" t="s">
        <v>615</v>
      </c>
      <c r="J48" s="233"/>
      <c r="K48" s="233"/>
      <c r="L48" s="233" t="str">
        <f t="shared" si="1"/>
        <v>Private security measures</v>
      </c>
      <c r="M48" s="233"/>
      <c r="N48" s="233"/>
      <c r="O48" s="233"/>
      <c r="P48" s="233" t="s">
        <v>740</v>
      </c>
      <c r="Q48" s="233"/>
      <c r="R48" s="233" t="s">
        <v>686</v>
      </c>
      <c r="S48" s="233">
        <v>2017</v>
      </c>
      <c r="T48" s="233"/>
      <c r="U48" s="233" t="s">
        <v>687</v>
      </c>
      <c r="V48" s="233">
        <v>0</v>
      </c>
      <c r="W48" s="233"/>
      <c r="X48" s="233"/>
      <c r="Y48" s="233">
        <f t="shared" si="7"/>
        <v>0</v>
      </c>
      <c r="Z48" s="233">
        <v>2</v>
      </c>
      <c r="AA48" s="233">
        <v>0</v>
      </c>
      <c r="AB48" s="233">
        <v>1</v>
      </c>
      <c r="AC48" s="233">
        <f t="shared" si="18"/>
        <v>0.142857142857143</v>
      </c>
      <c r="AD48" s="233">
        <f t="shared" si="14"/>
        <v>0.142857142857143</v>
      </c>
      <c r="AE48" s="233" t="str">
        <f t="shared" si="2"/>
        <v>4.1.5) Private security measures</v>
      </c>
      <c r="AF48" s="233" t="str">
        <f t="shared" si="20"/>
        <v>4.1) Personal security (Inputs)</v>
      </c>
      <c r="AG48" s="233">
        <f>MATCH($D48,Weights!$C$8:$C$85,0)</f>
        <v>63</v>
      </c>
      <c r="AH48" s="233">
        <f>IF(ISERROR($AG48),1,INDEX(Weights!$G$8:$G$85,$AG48))</f>
        <v>1</v>
      </c>
      <c r="AI48" s="233">
        <f t="shared" si="15"/>
        <v>0.142857142857143</v>
      </c>
    </row>
    <row r="49" ht="16.5" customHeight="1" spans="1:35">
      <c r="A49" s="233">
        <f t="shared" si="5"/>
        <v>48</v>
      </c>
      <c r="B49" s="233">
        <v>0</v>
      </c>
      <c r="C49" s="233">
        <v>0</v>
      </c>
      <c r="D49" s="231" t="str">
        <f t="shared" si="19"/>
        <v>PESE4.1.6</v>
      </c>
      <c r="E49" s="233" t="str">
        <f t="shared" si="21"/>
        <v>PESE4.1</v>
      </c>
      <c r="F49" s="233">
        <v>3</v>
      </c>
      <c r="G49" s="234" t="s">
        <v>617</v>
      </c>
      <c r="H49" s="233" t="s">
        <v>618</v>
      </c>
      <c r="I49" s="233" t="s">
        <v>618</v>
      </c>
      <c r="J49" s="233"/>
      <c r="K49" s="233"/>
      <c r="L49" s="233" t="str">
        <f t="shared" si="1"/>
        <v>Gun regulation and enforcement</v>
      </c>
      <c r="M49" s="233"/>
      <c r="N49" s="233"/>
      <c r="O49" s="233"/>
      <c r="P49" s="233" t="s">
        <v>742</v>
      </c>
      <c r="Q49" s="233"/>
      <c r="R49" s="233" t="s">
        <v>743</v>
      </c>
      <c r="S49" s="233">
        <v>2017</v>
      </c>
      <c r="T49" s="233"/>
      <c r="U49" s="233" t="s">
        <v>698</v>
      </c>
      <c r="V49" s="233">
        <v>0</v>
      </c>
      <c r="W49" s="233"/>
      <c r="X49" s="233"/>
      <c r="Y49" s="233">
        <f t="shared" si="7"/>
        <v>1</v>
      </c>
      <c r="Z49" s="233">
        <v>2</v>
      </c>
      <c r="AA49" s="233">
        <v>0</v>
      </c>
      <c r="AB49" s="233">
        <v>10</v>
      </c>
      <c r="AC49" s="233">
        <f t="shared" si="18"/>
        <v>0.142857142857143</v>
      </c>
      <c r="AD49" s="233">
        <f t="shared" si="14"/>
        <v>0.142857142857143</v>
      </c>
      <c r="AE49" s="233" t="str">
        <f t="shared" si="2"/>
        <v>4.1.6) Gun regulation and enforcement</v>
      </c>
      <c r="AF49" s="233" t="str">
        <f t="shared" si="20"/>
        <v>4.1) Personal security (Inputs)</v>
      </c>
      <c r="AG49" s="233">
        <f>MATCH($D49,Weights!$C$8:$C$85,0)</f>
        <v>64</v>
      </c>
      <c r="AH49" s="233">
        <f>IF(ISERROR($AG49),1,INDEX(Weights!$G$8:$G$85,$AG49))</f>
        <v>1</v>
      </c>
      <c r="AI49" s="233">
        <f t="shared" si="15"/>
        <v>0.142857142857143</v>
      </c>
    </row>
    <row r="50" ht="16.5" customHeight="1" spans="1:35">
      <c r="A50" s="233">
        <f t="shared" si="5"/>
        <v>49</v>
      </c>
      <c r="B50" s="233">
        <v>0</v>
      </c>
      <c r="C50" s="233">
        <v>0</v>
      </c>
      <c r="D50" s="231" t="str">
        <f t="shared" si="19"/>
        <v>PESE4.1.7</v>
      </c>
      <c r="E50" s="233" t="str">
        <f t="shared" si="21"/>
        <v>PESE4.1</v>
      </c>
      <c r="F50" s="233">
        <v>3</v>
      </c>
      <c r="G50" s="234" t="s">
        <v>621</v>
      </c>
      <c r="H50" s="233" t="s">
        <v>744</v>
      </c>
      <c r="I50" s="233" t="s">
        <v>744</v>
      </c>
      <c r="J50" s="233"/>
      <c r="K50" s="233"/>
      <c r="L50" s="233" t="str">
        <f t="shared" si="1"/>
        <v>Political stability risk</v>
      </c>
      <c r="M50" s="233"/>
      <c r="N50" s="233"/>
      <c r="O50" s="233"/>
      <c r="P50" s="233" t="s">
        <v>745</v>
      </c>
      <c r="Q50" s="233"/>
      <c r="R50" s="233" t="s">
        <v>746</v>
      </c>
      <c r="S50" s="233">
        <v>2017</v>
      </c>
      <c r="T50" s="233"/>
      <c r="U50" s="233" t="s">
        <v>698</v>
      </c>
      <c r="V50" s="233">
        <v>0</v>
      </c>
      <c r="W50" s="233"/>
      <c r="X50" s="233"/>
      <c r="Y50" s="233">
        <f t="shared" si="7"/>
        <v>1</v>
      </c>
      <c r="Z50" s="233">
        <v>3</v>
      </c>
      <c r="AA50" s="233">
        <v>0</v>
      </c>
      <c r="AB50" s="233">
        <v>100</v>
      </c>
      <c r="AC50" s="233">
        <f t="shared" si="18"/>
        <v>0.142857142857143</v>
      </c>
      <c r="AD50" s="233">
        <f t="shared" si="14"/>
        <v>0.142857142857143</v>
      </c>
      <c r="AE50" s="233" t="str">
        <f t="shared" si="2"/>
        <v>4.1.7) Political stability risk</v>
      </c>
      <c r="AF50" s="233" t="str">
        <f t="shared" si="20"/>
        <v>4.1) Personal security (Inputs)</v>
      </c>
      <c r="AG50" s="233">
        <f>MATCH($D50,Weights!$C$8:$C$85,0)</f>
        <v>65</v>
      </c>
      <c r="AH50" s="233">
        <f>IF(ISERROR($AG50),1,INDEX(Weights!$G$8:$G$85,$AG50))</f>
        <v>1</v>
      </c>
      <c r="AI50" s="233">
        <f t="shared" si="15"/>
        <v>0.142857142857143</v>
      </c>
    </row>
    <row r="51" ht="16.5" customHeight="1" spans="1:35">
      <c r="A51" s="231">
        <f t="shared" si="5"/>
        <v>50</v>
      </c>
      <c r="B51" s="231">
        <v>0</v>
      </c>
      <c r="C51" s="231">
        <v>0</v>
      </c>
      <c r="D51" s="231" t="str">
        <f t="shared" si="19"/>
        <v>PESE4.2</v>
      </c>
      <c r="E51" s="231" t="str">
        <f>$D$42</f>
        <v>PESE</v>
      </c>
      <c r="F51" s="231">
        <v>2</v>
      </c>
      <c r="G51" s="232">
        <v>4.2</v>
      </c>
      <c r="H51" s="231" t="s">
        <v>747</v>
      </c>
      <c r="I51" s="231" t="s">
        <v>747</v>
      </c>
      <c r="J51" s="231"/>
      <c r="K51" s="231" t="str">
        <f>"The indiscator score is the weighted sum of the following sub-indicator scores:
"&amp;AE52&amp;"
"&amp;AE53&amp;"
"&amp;AE54&amp;"
"&amp;AE55&amp;"
"&amp;AE56&amp;"
"&amp;AE57&amp;"
"&amp;AE58&amp;"
"&amp;AE59&amp;"
"&amp;AE60&amp;"
"&amp;AE61&amp;"
"&amp;AE62&amp;"
"&amp;AE63&amp;""</f>
        <v>The indiscator score is the weighted sum of the following sub-indicator scores:
4.2.1) Prevalence of petty crime
4.2.2) Prevalence of violent crime
4.2.3) Organised crime
4.2.4) Level of corruption
4.2.5) Rate of drug use 
4.2.6) Frequency of terrorist attacks 
4.2.7) Severity of terrorist attacks
4.2.8) Gender safety
4.2.9) Perceptions of safety
4.2.10) Threat of terrorism
4.2.11) Threat of military conflict
4.2.12) Threat of civil unrest</v>
      </c>
      <c r="L51" s="231" t="str">
        <f t="shared" si="1"/>
        <v>The indiscator score is the weighted sum of the following sub-indicator scores:
4.2.1) Prevalence of petty crime
4.2.2) Prevalence of violent crime
4.2.3) Organised crime
4.2.4) Level of corruption
4.2.5) Rate of drug use 
4.2.6) Frequency of terrorist attacks 
4.2.7) Severity of terrorist attacks
4.2.8) Gender safety
4.2.9) Perceptions of safety
4.2.10) Threat of terrorism
4.2.11) Threat of military conflict
4.2.12) Threat of civil unrest</v>
      </c>
      <c r="M51" s="231"/>
      <c r="N51" s="231"/>
      <c r="O51" s="231"/>
      <c r="P51" s="231" t="s">
        <v>456</v>
      </c>
      <c r="Q51" s="231"/>
      <c r="R51" s="231" t="s">
        <v>686</v>
      </c>
      <c r="S51" s="231">
        <v>2017</v>
      </c>
      <c r="T51" s="231"/>
      <c r="U51" s="231" t="s">
        <v>697</v>
      </c>
      <c r="V51" s="231" t="s">
        <v>688</v>
      </c>
      <c r="W51" s="231"/>
      <c r="X51" s="231"/>
      <c r="Y51" s="231" t="str">
        <f t="shared" si="7"/>
        <v/>
      </c>
      <c r="Z51" s="231">
        <v>1</v>
      </c>
      <c r="AA51" s="231"/>
      <c r="AB51" s="231"/>
      <c r="AC51" s="231">
        <f t="shared" si="18"/>
        <v>0.5</v>
      </c>
      <c r="AD51" s="231">
        <f t="shared" si="14"/>
        <v>0.5</v>
      </c>
      <c r="AE51" s="231" t="str">
        <f t="shared" si="2"/>
        <v>4.2) Personal security (Outputs)</v>
      </c>
      <c r="AF51" s="231" t="str">
        <f>$AE$42</f>
        <v>4) PERSONAL SECURITY</v>
      </c>
      <c r="AG51" s="231">
        <f>MATCH($D51,Weights!$C$8:$C$85,0)</f>
        <v>18</v>
      </c>
      <c r="AH51" s="231">
        <f>IF(ISERROR($AG51),1,INDEX(Weights!$G$8:$G$85,$AG51))</f>
        <v>1</v>
      </c>
      <c r="AI51" s="231">
        <f t="shared" si="15"/>
        <v>0.5</v>
      </c>
    </row>
    <row r="52" ht="16.5" customHeight="1" spans="1:35">
      <c r="A52" s="233">
        <f t="shared" si="5"/>
        <v>51</v>
      </c>
      <c r="B52" s="233">
        <v>0</v>
      </c>
      <c r="C52" s="233">
        <v>0</v>
      </c>
      <c r="D52" s="231" t="str">
        <f t="shared" si="19"/>
        <v>PESE4.2.1</v>
      </c>
      <c r="E52" s="233" t="str">
        <f>$D$51</f>
        <v>PESE4.2</v>
      </c>
      <c r="F52" s="233">
        <v>3</v>
      </c>
      <c r="G52" s="234" t="s">
        <v>628</v>
      </c>
      <c r="H52" s="233" t="s">
        <v>629</v>
      </c>
      <c r="I52" s="233" t="s">
        <v>629</v>
      </c>
      <c r="J52" s="233"/>
      <c r="K52" s="233"/>
      <c r="L52" s="233" t="str">
        <f t="shared" si="1"/>
        <v>Prevalence of petty crime</v>
      </c>
      <c r="M52" s="233"/>
      <c r="N52" s="233"/>
      <c r="O52" s="233"/>
      <c r="P52" s="233" t="s">
        <v>692</v>
      </c>
      <c r="Q52" s="233"/>
      <c r="R52" s="233" t="s">
        <v>512</v>
      </c>
      <c r="S52" s="233">
        <v>2017</v>
      </c>
      <c r="T52" s="233"/>
      <c r="U52" s="233" t="s">
        <v>698</v>
      </c>
      <c r="V52" s="233">
        <v>0</v>
      </c>
      <c r="W52" s="233"/>
      <c r="X52" s="233"/>
      <c r="Y52" s="233">
        <f t="shared" si="7"/>
        <v>1</v>
      </c>
      <c r="Z52" s="233">
        <v>3</v>
      </c>
      <c r="AA52" s="233">
        <v>1</v>
      </c>
      <c r="AB52" s="233">
        <v>5</v>
      </c>
      <c r="AC52" s="233">
        <f t="shared" si="18"/>
        <v>0.0833333333333333</v>
      </c>
      <c r="AD52" s="233">
        <f t="shared" si="14"/>
        <v>0.0833333333333333</v>
      </c>
      <c r="AE52" s="233" t="str">
        <f t="shared" si="2"/>
        <v>4.2.1) Prevalence of petty crime</v>
      </c>
      <c r="AF52" s="233" t="str">
        <f t="shared" ref="AF52:AF63" si="22">$AE$51</f>
        <v>4.2) Personal security (Outputs)</v>
      </c>
      <c r="AG52" s="233">
        <f>MATCH($D52,Weights!$C$8:$C$85,0)</f>
        <v>67</v>
      </c>
      <c r="AH52" s="233">
        <f>IF(ISERROR($AG52),1,INDEX(Weights!$G$8:$G$85,$AG52))</f>
        <v>1</v>
      </c>
      <c r="AI52" s="233">
        <f t="shared" si="15"/>
        <v>0.0833333333333333</v>
      </c>
    </row>
    <row r="53" ht="16.5" customHeight="1" spans="1:35">
      <c r="A53" s="233">
        <f t="shared" si="5"/>
        <v>52</v>
      </c>
      <c r="B53" s="233">
        <v>0</v>
      </c>
      <c r="C53" s="233">
        <v>0</v>
      </c>
      <c r="D53" s="231" t="str">
        <f t="shared" si="19"/>
        <v>PESE4.2.2</v>
      </c>
      <c r="E53" s="233" t="str">
        <f t="shared" ref="E53:E63" si="23">$D$51</f>
        <v>PESE4.2</v>
      </c>
      <c r="F53" s="233">
        <v>3</v>
      </c>
      <c r="G53" s="234" t="s">
        <v>632</v>
      </c>
      <c r="H53" s="233" t="s">
        <v>748</v>
      </c>
      <c r="I53" s="233" t="s">
        <v>748</v>
      </c>
      <c r="J53" s="233"/>
      <c r="K53" s="233"/>
      <c r="L53" s="233" t="str">
        <f t="shared" si="1"/>
        <v>Prevalence of violent crime</v>
      </c>
      <c r="M53" s="233"/>
      <c r="N53" s="233"/>
      <c r="O53" s="233"/>
      <c r="P53" s="233" t="s">
        <v>692</v>
      </c>
      <c r="Q53" s="233"/>
      <c r="R53" s="233" t="s">
        <v>512</v>
      </c>
      <c r="S53" s="233">
        <v>2017</v>
      </c>
      <c r="T53" s="233"/>
      <c r="U53" s="233" t="s">
        <v>698</v>
      </c>
      <c r="V53" s="233">
        <v>0</v>
      </c>
      <c r="W53" s="233"/>
      <c r="X53" s="233"/>
      <c r="Y53" s="233">
        <f t="shared" si="7"/>
        <v>1</v>
      </c>
      <c r="Z53" s="233">
        <v>3</v>
      </c>
      <c r="AA53" s="233">
        <v>1</v>
      </c>
      <c r="AB53" s="233">
        <v>5</v>
      </c>
      <c r="AC53" s="233">
        <f t="shared" si="18"/>
        <v>0.0833333333333333</v>
      </c>
      <c r="AD53" s="233">
        <f t="shared" si="14"/>
        <v>0.0833333333333333</v>
      </c>
      <c r="AE53" s="233" t="str">
        <f t="shared" si="2"/>
        <v>4.2.2) Prevalence of violent crime</v>
      </c>
      <c r="AF53" s="233" t="str">
        <f t="shared" si="22"/>
        <v>4.2) Personal security (Outputs)</v>
      </c>
      <c r="AG53" s="233">
        <f>MATCH($D53,Weights!$C$8:$C$85,0)</f>
        <v>68</v>
      </c>
      <c r="AH53" s="233">
        <f>IF(ISERROR($AG53),1,INDEX(Weights!$G$8:$G$85,$AG53))</f>
        <v>1</v>
      </c>
      <c r="AI53" s="233">
        <f t="shared" si="15"/>
        <v>0.0833333333333333</v>
      </c>
    </row>
    <row r="54" ht="16.5" customHeight="1" spans="1:35">
      <c r="A54" s="233">
        <f t="shared" si="5"/>
        <v>53</v>
      </c>
      <c r="B54" s="233">
        <v>0</v>
      </c>
      <c r="C54" s="233">
        <v>0</v>
      </c>
      <c r="D54" s="231" t="str">
        <f t="shared" si="19"/>
        <v>PESE4.2.3</v>
      </c>
      <c r="E54" s="233" t="str">
        <f t="shared" si="23"/>
        <v>PESE4.2</v>
      </c>
      <c r="F54" s="233">
        <v>3</v>
      </c>
      <c r="G54" s="234" t="s">
        <v>635</v>
      </c>
      <c r="H54" s="233" t="s">
        <v>749</v>
      </c>
      <c r="I54" s="233" t="s">
        <v>749</v>
      </c>
      <c r="J54" s="233"/>
      <c r="K54" s="233"/>
      <c r="L54" s="233" t="str">
        <f t="shared" si="1"/>
        <v>Organised crime</v>
      </c>
      <c r="M54" s="233"/>
      <c r="N54" s="233"/>
      <c r="O54" s="233"/>
      <c r="P54" s="233" t="s">
        <v>750</v>
      </c>
      <c r="Q54" s="233"/>
      <c r="R54" s="233" t="s">
        <v>746</v>
      </c>
      <c r="S54" s="233">
        <v>2017</v>
      </c>
      <c r="T54" s="233"/>
      <c r="U54" s="233" t="s">
        <v>698</v>
      </c>
      <c r="V54" s="233">
        <v>0</v>
      </c>
      <c r="W54" s="233"/>
      <c r="X54" s="233"/>
      <c r="Y54" s="233">
        <f t="shared" si="7"/>
        <v>1</v>
      </c>
      <c r="Z54" s="233">
        <v>3</v>
      </c>
      <c r="AA54" s="233">
        <v>0</v>
      </c>
      <c r="AB54" s="233">
        <v>4</v>
      </c>
      <c r="AC54" s="233">
        <f t="shared" si="18"/>
        <v>0.0833333333333333</v>
      </c>
      <c r="AD54" s="233">
        <f t="shared" si="14"/>
        <v>0.0833333333333333</v>
      </c>
      <c r="AE54" s="233" t="str">
        <f t="shared" si="2"/>
        <v>4.2.3) Organised crime</v>
      </c>
      <c r="AF54" s="233" t="str">
        <f t="shared" si="22"/>
        <v>4.2) Personal security (Outputs)</v>
      </c>
      <c r="AG54" s="233">
        <f>MATCH($D54,Weights!$C$8:$C$85,0)</f>
        <v>69</v>
      </c>
      <c r="AH54" s="233">
        <f>IF(ISERROR($AG54),1,INDEX(Weights!$G$8:$G$85,$AG54))</f>
        <v>1</v>
      </c>
      <c r="AI54" s="233">
        <f t="shared" si="15"/>
        <v>0.0833333333333333</v>
      </c>
    </row>
    <row r="55" ht="16.5" customHeight="1" spans="1:35">
      <c r="A55" s="233">
        <f t="shared" si="5"/>
        <v>54</v>
      </c>
      <c r="B55" s="233">
        <v>0</v>
      </c>
      <c r="C55" s="233">
        <v>0</v>
      </c>
      <c r="D55" s="231" t="str">
        <f t="shared" si="19"/>
        <v>PESE4.2.4</v>
      </c>
      <c r="E55" s="233" t="str">
        <f t="shared" si="23"/>
        <v>PESE4.2</v>
      </c>
      <c r="F55" s="233">
        <v>3</v>
      </c>
      <c r="G55" s="234" t="s">
        <v>640</v>
      </c>
      <c r="H55" s="233" t="s">
        <v>751</v>
      </c>
      <c r="I55" s="233" t="s">
        <v>751</v>
      </c>
      <c r="J55" s="233"/>
      <c r="K55" s="233"/>
      <c r="L55" s="233" t="str">
        <f t="shared" si="1"/>
        <v>Level of corruption</v>
      </c>
      <c r="M55" s="233"/>
      <c r="N55" s="233"/>
      <c r="O55" s="233"/>
      <c r="P55" s="233" t="s">
        <v>623</v>
      </c>
      <c r="Q55" s="233"/>
      <c r="R55" s="233" t="s">
        <v>752</v>
      </c>
      <c r="S55" s="233">
        <v>2017</v>
      </c>
      <c r="T55" s="233"/>
      <c r="U55" s="236" t="s">
        <v>687</v>
      </c>
      <c r="V55" s="233">
        <v>0</v>
      </c>
      <c r="W55" s="233"/>
      <c r="X55" s="233"/>
      <c r="Y55" s="233">
        <f t="shared" si="7"/>
        <v>0</v>
      </c>
      <c r="Z55" s="233">
        <v>3</v>
      </c>
      <c r="AA55" s="233">
        <v>0</v>
      </c>
      <c r="AB55" s="233">
        <v>100</v>
      </c>
      <c r="AC55" s="233">
        <f t="shared" si="18"/>
        <v>0.0833333333333333</v>
      </c>
      <c r="AD55" s="233">
        <f t="shared" si="14"/>
        <v>0.0833333333333333</v>
      </c>
      <c r="AE55" s="233" t="str">
        <f t="shared" si="2"/>
        <v>4.2.4) Level of corruption</v>
      </c>
      <c r="AF55" s="233" t="str">
        <f t="shared" si="22"/>
        <v>4.2) Personal security (Outputs)</v>
      </c>
      <c r="AG55" s="233">
        <f>MATCH($D55,Weights!$C$8:$C$85,0)</f>
        <v>70</v>
      </c>
      <c r="AH55" s="233">
        <f>IF(ISERROR($AG55),1,INDEX(Weights!$G$8:$G$85,$AG55))</f>
        <v>1</v>
      </c>
      <c r="AI55" s="233">
        <f t="shared" si="15"/>
        <v>0.0833333333333333</v>
      </c>
    </row>
    <row r="56" ht="16.5" customHeight="1" spans="1:35">
      <c r="A56" s="233">
        <f t="shared" si="5"/>
        <v>55</v>
      </c>
      <c r="B56" s="233">
        <v>0</v>
      </c>
      <c r="C56" s="233">
        <v>0</v>
      </c>
      <c r="D56" s="231" t="str">
        <f t="shared" si="19"/>
        <v>PESE4.2.5</v>
      </c>
      <c r="E56" s="233" t="str">
        <f t="shared" si="23"/>
        <v>PESE4.2</v>
      </c>
      <c r="F56" s="233">
        <v>3</v>
      </c>
      <c r="G56" s="234" t="s">
        <v>643</v>
      </c>
      <c r="H56" s="233" t="s">
        <v>753</v>
      </c>
      <c r="I56" s="233" t="s">
        <v>753</v>
      </c>
      <c r="J56" s="233"/>
      <c r="K56" s="233"/>
      <c r="L56" s="233" t="str">
        <f t="shared" si="1"/>
        <v>Rate of drug use </v>
      </c>
      <c r="M56" s="233"/>
      <c r="N56" s="233"/>
      <c r="O56" s="233"/>
      <c r="P56" s="233" t="s">
        <v>490</v>
      </c>
      <c r="Q56" s="233"/>
      <c r="R56" s="233" t="s">
        <v>754</v>
      </c>
      <c r="S56" s="233">
        <v>2017</v>
      </c>
      <c r="T56" s="233"/>
      <c r="U56" s="233" t="s">
        <v>698</v>
      </c>
      <c r="V56" s="233">
        <v>0</v>
      </c>
      <c r="W56" s="233"/>
      <c r="X56" s="233"/>
      <c r="Y56" s="233">
        <f t="shared" si="7"/>
        <v>1</v>
      </c>
      <c r="Z56" s="233">
        <v>2</v>
      </c>
      <c r="AA56" s="233"/>
      <c r="AB56" s="233"/>
      <c r="AC56" s="233">
        <f t="shared" si="18"/>
        <v>0.0833333333333333</v>
      </c>
      <c r="AD56" s="233">
        <f t="shared" si="14"/>
        <v>0.0833333333333333</v>
      </c>
      <c r="AE56" s="233" t="str">
        <f t="shared" si="2"/>
        <v>4.2.5) Rate of drug use </v>
      </c>
      <c r="AF56" s="233" t="str">
        <f t="shared" si="22"/>
        <v>4.2) Personal security (Outputs)</v>
      </c>
      <c r="AG56" s="233">
        <f>MATCH($D56,Weights!$C$8:$C$85,0)</f>
        <v>71</v>
      </c>
      <c r="AH56" s="233">
        <f>IF(ISERROR($AG56),1,INDEX(Weights!$G$8:$G$85,$AG56))</f>
        <v>1</v>
      </c>
      <c r="AI56" s="233">
        <f t="shared" si="15"/>
        <v>0.0833333333333333</v>
      </c>
    </row>
    <row r="57" ht="16.5" customHeight="1" spans="1:35">
      <c r="A57" s="233">
        <f t="shared" si="5"/>
        <v>56</v>
      </c>
      <c r="B57" s="233">
        <v>0</v>
      </c>
      <c r="C57" s="233">
        <v>0</v>
      </c>
      <c r="D57" s="231" t="str">
        <f t="shared" si="19"/>
        <v>PESE4.2.6</v>
      </c>
      <c r="E57" s="233" t="str">
        <f t="shared" si="23"/>
        <v>PESE4.2</v>
      </c>
      <c r="F57" s="233">
        <v>3</v>
      </c>
      <c r="G57" s="234" t="s">
        <v>646</v>
      </c>
      <c r="H57" s="233" t="s">
        <v>755</v>
      </c>
      <c r="I57" s="233" t="s">
        <v>755</v>
      </c>
      <c r="J57" s="233"/>
      <c r="K57" s="233"/>
      <c r="L57" s="233" t="str">
        <f t="shared" si="1"/>
        <v>Frequency of terrorist attacks </v>
      </c>
      <c r="M57" s="233"/>
      <c r="N57" s="233"/>
      <c r="O57" s="233"/>
      <c r="P57" s="233" t="s">
        <v>649</v>
      </c>
      <c r="Q57" s="233"/>
      <c r="R57" s="233" t="s">
        <v>720</v>
      </c>
      <c r="S57" s="233">
        <v>2017</v>
      </c>
      <c r="T57" s="233"/>
      <c r="U57" s="233" t="s">
        <v>698</v>
      </c>
      <c r="V57" s="233">
        <v>0</v>
      </c>
      <c r="W57" s="233"/>
      <c r="X57" s="233"/>
      <c r="Y57" s="233">
        <f t="shared" si="7"/>
        <v>1</v>
      </c>
      <c r="Z57" s="233">
        <v>2</v>
      </c>
      <c r="AA57" s="233"/>
      <c r="AB57" s="233"/>
      <c r="AC57" s="233">
        <f t="shared" si="18"/>
        <v>0.0833333333333333</v>
      </c>
      <c r="AD57" s="233">
        <f t="shared" si="14"/>
        <v>0.0833333333333333</v>
      </c>
      <c r="AE57" s="233" t="str">
        <f t="shared" si="2"/>
        <v>4.2.6) Frequency of terrorist attacks </v>
      </c>
      <c r="AF57" s="233" t="str">
        <f t="shared" si="22"/>
        <v>4.2) Personal security (Outputs)</v>
      </c>
      <c r="AG57" s="233">
        <f>MATCH($D57,Weights!$C$8:$C$85,0)</f>
        <v>72</v>
      </c>
      <c r="AH57" s="233">
        <f>IF(ISERROR($AG57),1,INDEX(Weights!$G$8:$G$85,$AG57))</f>
        <v>1</v>
      </c>
      <c r="AI57" s="233">
        <f t="shared" si="15"/>
        <v>0.0833333333333333</v>
      </c>
    </row>
    <row r="58" ht="16.5" customHeight="1" spans="1:35">
      <c r="A58" s="233">
        <f t="shared" si="5"/>
        <v>57</v>
      </c>
      <c r="B58" s="233">
        <v>0</v>
      </c>
      <c r="C58" s="233">
        <v>0</v>
      </c>
      <c r="D58" s="231" t="str">
        <f t="shared" si="19"/>
        <v>PESE4.2.7</v>
      </c>
      <c r="E58" s="233" t="str">
        <f t="shared" si="23"/>
        <v>PESE4.2</v>
      </c>
      <c r="F58" s="233">
        <v>3</v>
      </c>
      <c r="G58" s="234" t="s">
        <v>651</v>
      </c>
      <c r="H58" s="233" t="s">
        <v>756</v>
      </c>
      <c r="I58" s="233" t="s">
        <v>756</v>
      </c>
      <c r="J58" s="233"/>
      <c r="K58" s="233"/>
      <c r="L58" s="233" t="str">
        <f t="shared" si="1"/>
        <v>Severity of terrorist attacks</v>
      </c>
      <c r="M58" s="233"/>
      <c r="N58" s="233"/>
      <c r="O58" s="233"/>
      <c r="P58" s="233" t="s">
        <v>649</v>
      </c>
      <c r="Q58" s="233"/>
      <c r="R58" s="233" t="s">
        <v>720</v>
      </c>
      <c r="S58" s="233">
        <v>2017</v>
      </c>
      <c r="T58" s="233"/>
      <c r="U58" s="233" t="s">
        <v>698</v>
      </c>
      <c r="V58" s="233">
        <v>0</v>
      </c>
      <c r="W58" s="233"/>
      <c r="X58" s="233"/>
      <c r="Y58" s="233">
        <f t="shared" ref="Y58:Y59" si="24">IF(U58="","",IF(U58="Good",0,1))</f>
        <v>1</v>
      </c>
      <c r="Z58" s="233">
        <v>2</v>
      </c>
      <c r="AA58" s="233"/>
      <c r="AB58" s="233"/>
      <c r="AC58" s="233">
        <f t="shared" ref="AC58:AC63" si="25">AI58</f>
        <v>0.0833333333333333</v>
      </c>
      <c r="AD58" s="233">
        <f t="shared" ref="AD58:AD63" si="26">IF(F58=0,"",IF(SUMIF(E$3:E$63,E58,AC$3:AC$63)=0,0,AC58/SUMIF(E$3:E$63,E58,AC$3:AC$63)))</f>
        <v>0.0833333333333333</v>
      </c>
      <c r="AE58" s="233" t="str">
        <f t="shared" ref="AE58:AE63" si="27">IF(G58="",H58,CONCATENATE(G58,") ",IF(F58&gt;=2,H58,UPPER(H58))))</f>
        <v>4.2.7) Severity of terrorist attacks</v>
      </c>
      <c r="AF58" s="233" t="str">
        <f t="shared" si="22"/>
        <v>4.2) Personal security (Outputs)</v>
      </c>
      <c r="AG58" s="233">
        <f>MATCH($D58,Weights!$C$8:$C$85,0)</f>
        <v>73</v>
      </c>
      <c r="AH58" s="233">
        <f>IF(ISERROR($AG58),1,INDEX(Weights!$G$8:$G$85,$AG58))</f>
        <v>1</v>
      </c>
      <c r="AI58" s="233">
        <f t="shared" ref="AI58:AI63" si="28">IF(ISERROR(AH58/SUMIF($E$2:$E$63,$E58,AH$2:AH$63)),0,AH58/SUMIF($E$2:$E$63,$E58,AH$2:AH$63))</f>
        <v>0.0833333333333333</v>
      </c>
    </row>
    <row r="59" ht="16.5" customHeight="1" spans="1:35">
      <c r="A59" s="233">
        <f t="shared" si="5"/>
        <v>58</v>
      </c>
      <c r="B59" s="233">
        <v>0</v>
      </c>
      <c r="C59" s="233">
        <v>0</v>
      </c>
      <c r="D59" s="231" t="str">
        <f t="shared" si="19"/>
        <v>PESE4.2.8</v>
      </c>
      <c r="E59" s="233" t="str">
        <f t="shared" si="23"/>
        <v>PESE4.2</v>
      </c>
      <c r="F59" s="233">
        <v>3</v>
      </c>
      <c r="G59" s="234" t="s">
        <v>313</v>
      </c>
      <c r="H59" s="233" t="s">
        <v>652</v>
      </c>
      <c r="I59" s="233" t="s">
        <v>757</v>
      </c>
      <c r="J59" s="233"/>
      <c r="K59" s="233"/>
      <c r="L59" s="233" t="str">
        <f t="shared" si="1"/>
        <v>Gender safety (Female homicide victims per 100,000)</v>
      </c>
      <c r="M59" s="233"/>
      <c r="N59" s="233"/>
      <c r="O59" s="233"/>
      <c r="P59" s="233" t="s">
        <v>758</v>
      </c>
      <c r="Q59" s="233"/>
      <c r="R59" s="233" t="s">
        <v>708</v>
      </c>
      <c r="S59" s="233">
        <v>2017</v>
      </c>
      <c r="T59" s="233"/>
      <c r="U59" s="233" t="s">
        <v>698</v>
      </c>
      <c r="V59" s="233">
        <v>0</v>
      </c>
      <c r="W59" s="233"/>
      <c r="X59" s="233"/>
      <c r="Y59" s="233">
        <f t="shared" si="24"/>
        <v>1</v>
      </c>
      <c r="Z59" s="233">
        <v>2</v>
      </c>
      <c r="AA59" s="233"/>
      <c r="AB59" s="233"/>
      <c r="AC59" s="233">
        <f t="shared" si="25"/>
        <v>0.0833333333333333</v>
      </c>
      <c r="AD59" s="233">
        <f t="shared" si="26"/>
        <v>0.0833333333333333</v>
      </c>
      <c r="AE59" s="233" t="str">
        <f t="shared" si="27"/>
        <v>4.2.8) Gender safety</v>
      </c>
      <c r="AF59" s="233" t="str">
        <f t="shared" si="22"/>
        <v>4.2) Personal security (Outputs)</v>
      </c>
      <c r="AG59" s="233">
        <f>MATCH($D59,Weights!$C$8:$C$85,0)</f>
        <v>74</v>
      </c>
      <c r="AH59" s="233">
        <f>IF(ISERROR($AG59),1,INDEX(Weights!$G$8:$G$85,$AG59))</f>
        <v>1</v>
      </c>
      <c r="AI59" s="233">
        <f t="shared" si="28"/>
        <v>0.0833333333333333</v>
      </c>
    </row>
    <row r="60" ht="16.5" customHeight="1" spans="1:35">
      <c r="A60" s="233">
        <f t="shared" si="5"/>
        <v>59</v>
      </c>
      <c r="B60" s="233">
        <v>0</v>
      </c>
      <c r="C60" s="233">
        <v>0</v>
      </c>
      <c r="D60" s="231" t="str">
        <f t="shared" si="19"/>
        <v>PESE4.2.9</v>
      </c>
      <c r="E60" s="233" t="str">
        <f t="shared" si="23"/>
        <v>PESE4.2</v>
      </c>
      <c r="F60" s="233">
        <v>3</v>
      </c>
      <c r="G60" s="234" t="s">
        <v>315</v>
      </c>
      <c r="H60" s="233" t="s">
        <v>656</v>
      </c>
      <c r="I60" s="233" t="s">
        <v>656</v>
      </c>
      <c r="J60" s="233"/>
      <c r="K60" s="233"/>
      <c r="L60" s="233" t="str">
        <f t="shared" si="1"/>
        <v>Perceptions of safety</v>
      </c>
      <c r="M60" s="233"/>
      <c r="N60" s="233"/>
      <c r="O60" s="233"/>
      <c r="P60" s="233" t="s">
        <v>759</v>
      </c>
      <c r="Q60" s="233"/>
      <c r="R60" s="233" t="s">
        <v>760</v>
      </c>
      <c r="S60" s="233">
        <v>2017</v>
      </c>
      <c r="T60" s="233"/>
      <c r="U60" s="233" t="s">
        <v>687</v>
      </c>
      <c r="V60" s="233">
        <v>0</v>
      </c>
      <c r="W60" s="233"/>
      <c r="X60" s="233"/>
      <c r="Y60" s="233">
        <f t="shared" si="7"/>
        <v>0</v>
      </c>
      <c r="Z60" s="233">
        <v>3</v>
      </c>
      <c r="AA60" s="233">
        <v>0</v>
      </c>
      <c r="AB60" s="233">
        <v>100</v>
      </c>
      <c r="AC60" s="233">
        <f t="shared" si="25"/>
        <v>0.0833333333333333</v>
      </c>
      <c r="AD60" s="233">
        <f t="shared" si="26"/>
        <v>0.0833333333333333</v>
      </c>
      <c r="AE60" s="233" t="str">
        <f t="shared" si="27"/>
        <v>4.2.9) Perceptions of safety</v>
      </c>
      <c r="AF60" s="233" t="str">
        <f t="shared" si="22"/>
        <v>4.2) Personal security (Outputs)</v>
      </c>
      <c r="AG60" s="233">
        <f>MATCH($D60,Weights!$C$8:$C$85,0)</f>
        <v>75</v>
      </c>
      <c r="AH60" s="233">
        <f>IF(ISERROR($AG60),1,INDEX(Weights!$G$8:$G$85,$AG60))</f>
        <v>1</v>
      </c>
      <c r="AI60" s="233">
        <f t="shared" si="28"/>
        <v>0.0833333333333333</v>
      </c>
    </row>
    <row r="61" ht="16.5" customHeight="1" spans="1:35">
      <c r="A61" s="233">
        <f t="shared" si="5"/>
        <v>60</v>
      </c>
      <c r="B61" s="233">
        <v>0</v>
      </c>
      <c r="C61" s="233">
        <v>0</v>
      </c>
      <c r="D61" s="231" t="str">
        <f t="shared" si="19"/>
        <v>PESE4.2.10</v>
      </c>
      <c r="E61" s="233" t="str">
        <f t="shared" si="23"/>
        <v>PESE4.2</v>
      </c>
      <c r="F61" s="233">
        <v>3</v>
      </c>
      <c r="G61" s="234" t="s">
        <v>761</v>
      </c>
      <c r="H61" s="233" t="s">
        <v>762</v>
      </c>
      <c r="I61" s="233" t="s">
        <v>762</v>
      </c>
      <c r="J61" s="233"/>
      <c r="K61" s="233"/>
      <c r="L61" s="233" t="str">
        <f t="shared" si="1"/>
        <v>Threat of terrorism</v>
      </c>
      <c r="M61" s="233"/>
      <c r="N61" s="233"/>
      <c r="O61" s="233"/>
      <c r="P61" s="233" t="s">
        <v>763</v>
      </c>
      <c r="Q61" s="233"/>
      <c r="R61" s="233" t="s">
        <v>512</v>
      </c>
      <c r="S61" s="233">
        <v>2017</v>
      </c>
      <c r="T61" s="233"/>
      <c r="U61" s="233" t="s">
        <v>687</v>
      </c>
      <c r="V61" s="233">
        <v>0</v>
      </c>
      <c r="W61" s="233"/>
      <c r="X61" s="233"/>
      <c r="Y61" s="233">
        <f t="shared" si="7"/>
        <v>0</v>
      </c>
      <c r="Z61" s="233">
        <v>3</v>
      </c>
      <c r="AA61" s="233">
        <v>0</v>
      </c>
      <c r="AB61" s="233">
        <v>4</v>
      </c>
      <c r="AC61" s="233">
        <f t="shared" si="25"/>
        <v>0.0833333333333333</v>
      </c>
      <c r="AD61" s="233">
        <f t="shared" si="26"/>
        <v>0.0833333333333333</v>
      </c>
      <c r="AE61" s="233" t="str">
        <f t="shared" si="27"/>
        <v>4.2.10) Threat of terrorism</v>
      </c>
      <c r="AF61" s="233" t="str">
        <f t="shared" si="22"/>
        <v>4.2) Personal security (Outputs)</v>
      </c>
      <c r="AG61" s="233">
        <f>MATCH($D61,Weights!$C$8:$C$85,0)</f>
        <v>76</v>
      </c>
      <c r="AH61" s="233">
        <f>IF(ISERROR($AG61),1,INDEX(Weights!$G$8:$G$85,$AG61))</f>
        <v>1</v>
      </c>
      <c r="AI61" s="233">
        <f t="shared" si="28"/>
        <v>0.0833333333333333</v>
      </c>
    </row>
    <row r="62" ht="16.5" customHeight="1" spans="1:35">
      <c r="A62" s="233">
        <f t="shared" si="5"/>
        <v>61</v>
      </c>
      <c r="B62" s="233">
        <v>0</v>
      </c>
      <c r="C62" s="233">
        <v>0</v>
      </c>
      <c r="D62" s="231" t="str">
        <f t="shared" si="19"/>
        <v>PESE4.2.11</v>
      </c>
      <c r="E62" s="233" t="str">
        <f t="shared" si="23"/>
        <v>PESE4.2</v>
      </c>
      <c r="F62" s="233">
        <v>3</v>
      </c>
      <c r="G62" s="234" t="s">
        <v>764</v>
      </c>
      <c r="H62" s="233" t="s">
        <v>765</v>
      </c>
      <c r="I62" s="233" t="s">
        <v>765</v>
      </c>
      <c r="J62" s="233"/>
      <c r="K62" s="233"/>
      <c r="L62" s="233" t="str">
        <f t="shared" si="1"/>
        <v>Threat of military conflict</v>
      </c>
      <c r="M62" s="233"/>
      <c r="N62" s="233"/>
      <c r="O62" s="233"/>
      <c r="P62" s="233" t="s">
        <v>763</v>
      </c>
      <c r="Q62" s="233"/>
      <c r="R62" s="233" t="s">
        <v>512</v>
      </c>
      <c r="S62" s="233">
        <v>2017</v>
      </c>
      <c r="T62" s="233"/>
      <c r="U62" s="233" t="s">
        <v>687</v>
      </c>
      <c r="V62" s="233">
        <v>0</v>
      </c>
      <c r="W62" s="233"/>
      <c r="X62" s="233"/>
      <c r="Y62" s="233">
        <f t="shared" si="7"/>
        <v>0</v>
      </c>
      <c r="Z62" s="233">
        <v>3</v>
      </c>
      <c r="AA62" s="233">
        <v>0</v>
      </c>
      <c r="AB62" s="233">
        <v>4</v>
      </c>
      <c r="AC62" s="233">
        <f t="shared" si="25"/>
        <v>0.0833333333333333</v>
      </c>
      <c r="AD62" s="233">
        <f t="shared" si="26"/>
        <v>0.0833333333333333</v>
      </c>
      <c r="AE62" s="233" t="str">
        <f t="shared" si="27"/>
        <v>4.2.11) Threat of military conflict</v>
      </c>
      <c r="AF62" s="233" t="str">
        <f t="shared" si="22"/>
        <v>4.2) Personal security (Outputs)</v>
      </c>
      <c r="AG62" s="233">
        <f>MATCH($D62,Weights!$C$8:$C$85,0)</f>
        <v>77</v>
      </c>
      <c r="AH62" s="233">
        <f>IF(ISERROR($AG62),1,INDEX(Weights!$G$8:$G$85,$AG62))</f>
        <v>1</v>
      </c>
      <c r="AI62" s="233">
        <f t="shared" si="28"/>
        <v>0.0833333333333333</v>
      </c>
    </row>
    <row r="63" ht="16.5" customHeight="1" spans="1:35">
      <c r="A63" s="233">
        <f t="shared" si="5"/>
        <v>62</v>
      </c>
      <c r="B63" s="233">
        <v>0</v>
      </c>
      <c r="C63" s="233">
        <v>0</v>
      </c>
      <c r="D63" s="231" t="str">
        <f t="shared" si="19"/>
        <v>PESE4.2.12</v>
      </c>
      <c r="E63" s="233" t="str">
        <f t="shared" si="23"/>
        <v>PESE4.2</v>
      </c>
      <c r="F63" s="233">
        <v>3</v>
      </c>
      <c r="G63" s="234" t="s">
        <v>766</v>
      </c>
      <c r="H63" s="233" t="s">
        <v>767</v>
      </c>
      <c r="I63" s="233" t="s">
        <v>767</v>
      </c>
      <c r="J63" s="233"/>
      <c r="K63" s="233"/>
      <c r="L63" s="233" t="str">
        <f t="shared" si="1"/>
        <v>Threat of civil unrest</v>
      </c>
      <c r="M63" s="233"/>
      <c r="N63" s="233"/>
      <c r="O63" s="233"/>
      <c r="P63" s="233" t="s">
        <v>768</v>
      </c>
      <c r="Q63" s="233"/>
      <c r="R63" s="233" t="s">
        <v>512</v>
      </c>
      <c r="S63" s="233">
        <v>2017</v>
      </c>
      <c r="T63" s="233"/>
      <c r="U63" s="233" t="s">
        <v>687</v>
      </c>
      <c r="V63" s="233">
        <v>0</v>
      </c>
      <c r="W63" s="233"/>
      <c r="X63" s="233"/>
      <c r="Y63" s="233">
        <f t="shared" si="7"/>
        <v>0</v>
      </c>
      <c r="Z63" s="233">
        <v>3</v>
      </c>
      <c r="AA63" s="233">
        <v>0</v>
      </c>
      <c r="AB63" s="233">
        <v>4</v>
      </c>
      <c r="AC63" s="233">
        <f t="shared" si="25"/>
        <v>0.0833333333333333</v>
      </c>
      <c r="AD63" s="233">
        <f t="shared" si="26"/>
        <v>0.0833333333333333</v>
      </c>
      <c r="AE63" s="233" t="str">
        <f t="shared" si="27"/>
        <v>4.2.12) Threat of civil unrest</v>
      </c>
      <c r="AF63" s="233" t="str">
        <f t="shared" si="22"/>
        <v>4.2) Personal security (Outputs)</v>
      </c>
      <c r="AG63" s="233">
        <f>MATCH($D63,Weights!$C$8:$C$85,0)</f>
        <v>78</v>
      </c>
      <c r="AH63" s="233">
        <f>IF(ISERROR($AG63),1,INDEX(Weights!$G$8:$G$85,$AG63))</f>
        <v>1</v>
      </c>
      <c r="AI63" s="233">
        <f t="shared" si="28"/>
        <v>0.0833333333333333</v>
      </c>
    </row>
    <row r="64" customHeight="1" spans="7:32">
      <c r="G64" s="235"/>
      <c r="H64" s="235"/>
      <c r="I64" s="235"/>
      <c r="AE64" s="235"/>
      <c r="AF64" s="235"/>
    </row>
    <row r="65" customHeight="1" spans="7:32">
      <c r="G65" s="235"/>
      <c r="H65" s="235"/>
      <c r="I65" s="235"/>
      <c r="AE65" s="235"/>
      <c r="AF65" s="235"/>
    </row>
    <row r="66" customHeight="1" spans="7:32">
      <c r="G66" s="235"/>
      <c r="H66" s="235"/>
      <c r="I66" s="235"/>
      <c r="AE66" s="235"/>
      <c r="AF66" s="235"/>
    </row>
    <row r="67" customHeight="1" spans="7:32">
      <c r="G67" s="235"/>
      <c r="H67" s="235"/>
      <c r="I67" s="235"/>
      <c r="AE67" s="235"/>
      <c r="AF67" s="235"/>
    </row>
    <row r="68" customHeight="1" spans="7:32">
      <c r="G68" s="235"/>
      <c r="H68" s="235"/>
      <c r="I68" s="235"/>
      <c r="AE68" s="235"/>
      <c r="AF68" s="235"/>
    </row>
    <row r="69" customHeight="1" spans="7:32">
      <c r="G69" s="235"/>
      <c r="H69" s="235"/>
      <c r="I69" s="235"/>
      <c r="AE69" s="235"/>
      <c r="AF69" s="235"/>
    </row>
    <row r="70" customHeight="1" spans="7:32">
      <c r="G70" s="235"/>
      <c r="H70" s="235"/>
      <c r="I70" s="235"/>
      <c r="AE70" s="235"/>
      <c r="AF70" s="235"/>
    </row>
    <row r="71" customHeight="1" spans="7:32">
      <c r="G71" s="235"/>
      <c r="H71" s="235"/>
      <c r="I71" s="235"/>
      <c r="AE71" s="235"/>
      <c r="AF71" s="235"/>
    </row>
    <row r="72" customHeight="1" spans="7:32">
      <c r="G72" s="235"/>
      <c r="H72" s="235"/>
      <c r="I72" s="235"/>
      <c r="AE72" s="235"/>
      <c r="AF72" s="235"/>
    </row>
    <row r="73" customHeight="1" spans="7:32">
      <c r="G73" s="235"/>
      <c r="H73" s="235"/>
      <c r="I73" s="235"/>
      <c r="AE73" s="235"/>
      <c r="AF73" s="235"/>
    </row>
    <row r="74" customHeight="1" spans="7:32">
      <c r="G74" s="235"/>
      <c r="H74" s="235"/>
      <c r="I74" s="235"/>
      <c r="AE74" s="235"/>
      <c r="AF74" s="235"/>
    </row>
    <row r="75" customHeight="1" spans="7:32">
      <c r="G75" s="235"/>
      <c r="H75" s="235"/>
      <c r="I75" s="235"/>
      <c r="AE75" s="235"/>
      <c r="AF75" s="235"/>
    </row>
    <row r="76" customHeight="1" spans="7:32">
      <c r="G76" s="235"/>
      <c r="H76" s="235"/>
      <c r="I76" s="235"/>
      <c r="AE76" s="235"/>
      <c r="AF76" s="235"/>
    </row>
    <row r="77" customHeight="1" spans="7:32">
      <c r="G77" s="235"/>
      <c r="H77" s="235"/>
      <c r="I77" s="235"/>
      <c r="AE77" s="235"/>
      <c r="AF77" s="235"/>
    </row>
    <row r="78" customHeight="1" spans="7:32">
      <c r="G78" s="235"/>
      <c r="H78" s="235"/>
      <c r="I78" s="235"/>
      <c r="AE78" s="235"/>
      <c r="AF78" s="235"/>
    </row>
    <row r="79" customHeight="1" spans="7:32">
      <c r="G79" s="235"/>
      <c r="H79" s="235"/>
      <c r="I79" s="235"/>
      <c r="AE79" s="235"/>
      <c r="AF79" s="235"/>
    </row>
    <row r="80" customHeight="1" spans="7:32">
      <c r="G80" s="235"/>
      <c r="H80" s="235"/>
      <c r="I80" s="235"/>
      <c r="AE80" s="235"/>
      <c r="AF80" s="235"/>
    </row>
    <row r="81" customHeight="1" spans="7:32">
      <c r="G81" s="235"/>
      <c r="H81" s="235"/>
      <c r="I81" s="235"/>
      <c r="AE81" s="235"/>
      <c r="AF81" s="235"/>
    </row>
    <row r="82" customHeight="1" spans="7:32">
      <c r="G82" s="235"/>
      <c r="H82" s="235"/>
      <c r="I82" s="235"/>
      <c r="AE82" s="235"/>
      <c r="AF82" s="235"/>
    </row>
  </sheetData>
  <pageMargins left="0.551181102362205" right="0.551181102362205" top="0.590551181102362" bottom="0.78740157480315" header="0.511811023622047" footer="0.511811023622047"/>
  <pageSetup paperSize="9" scale="19" orientation="landscape" horizontalDpi="1200" verticalDpi="1200"/>
  <headerFooter alignWithMargins="0">
    <oddHeader>&amp;RSafe Cities Index : 2017</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FFC000"/>
    <pageSetUpPr fitToPage="1"/>
  </sheetPr>
  <dimension ref="A1:L309"/>
  <sheetViews>
    <sheetView showRowColHeaders="0" zoomScale="90" zoomScaleNormal="90" topLeftCell="A84" workbookViewId="0">
      <selection activeCell="B276" sqref="B276"/>
    </sheetView>
  </sheetViews>
  <sheetFormatPr defaultColWidth="9" defaultRowHeight="11.25"/>
  <cols>
    <col min="1" max="1" width="19.1428571428571" style="195" customWidth="1"/>
    <col min="2" max="2" width="2.71428571428571" style="195" customWidth="1"/>
    <col min="3" max="3" width="44" style="195" customWidth="1"/>
    <col min="4" max="9" width="9.14285714285714" style="195"/>
    <col min="10" max="10" width="10.7142857142857" style="195" customWidth="1"/>
    <col min="11" max="16384" width="9.14285714285714" style="195"/>
  </cols>
  <sheetData>
    <row r="1" spans="2:10">
      <c r="B1" s="195" t="s">
        <v>658</v>
      </c>
      <c r="C1" s="195" t="s">
        <v>769</v>
      </c>
      <c r="D1" s="195" t="s">
        <v>663</v>
      </c>
      <c r="J1" s="195" t="s">
        <v>421</v>
      </c>
    </row>
    <row r="2" spans="1:12">
      <c r="A2" s="58" t="s">
        <v>160</v>
      </c>
      <c r="J2" s="221" t="s">
        <v>445</v>
      </c>
      <c r="K2" s="218" t="s">
        <v>452</v>
      </c>
      <c r="L2" s="220" t="s">
        <v>458</v>
      </c>
    </row>
    <row r="3" spans="1:12">
      <c r="A3" s="58" t="s">
        <v>445</v>
      </c>
      <c r="B3" s="195">
        <f>MATCH(A3,'tblIndicators_2014-O'!$B$2:$B$57,0)</f>
        <v>1</v>
      </c>
      <c r="C3" s="195" t="str">
        <f>INDEX('tblIndicators_2014-O'!$Z$2:$Z$57,$B3)</f>
        <v>OVERALL SCORE</v>
      </c>
      <c r="D3" s="195">
        <f>INDEX('tblIndicators_2014-O'!$D$2:$D$57,$B3)</f>
        <v>0</v>
      </c>
      <c r="J3" s="222" t="s">
        <v>448</v>
      </c>
      <c r="K3" s="220" t="s">
        <v>458</v>
      </c>
      <c r="L3" s="220" t="s">
        <v>463</v>
      </c>
    </row>
    <row r="4" spans="1:12">
      <c r="A4" s="216" t="s">
        <v>448</v>
      </c>
      <c r="B4" s="195">
        <f>MATCH(A4,'tblIndicators_2014-O'!$B$2:$B$57,0)</f>
        <v>2</v>
      </c>
      <c r="C4" s="195" t="str">
        <f>INDEX('tblIndicators_2014-O'!$Z$2:$Z$57,$B4)</f>
        <v>1) DIGITAL SECURITY</v>
      </c>
      <c r="D4" s="195">
        <f>INDEX('tblIndicators_2014-O'!$D$2:$D$57,$B4)</f>
        <v>1</v>
      </c>
      <c r="J4" s="218" t="s">
        <v>452</v>
      </c>
      <c r="K4" s="220" t="s">
        <v>463</v>
      </c>
      <c r="L4" s="220" t="s">
        <v>468</v>
      </c>
    </row>
    <row r="5" spans="1:12">
      <c r="A5" s="216" t="s">
        <v>499</v>
      </c>
      <c r="B5" s="195">
        <f>MATCH(A5,'tblIndicators_2014-O'!$B$2:$B$57,0)</f>
        <v>13</v>
      </c>
      <c r="C5" s="195" t="str">
        <f>INDEX('tblIndicators_2014-O'!$Z$2:$Z$57,$B5)</f>
        <v>2) HEALTH SECURITY</v>
      </c>
      <c r="D5" s="195">
        <f>INDEX('tblIndicators_2014-O'!$D$2:$D$57,$B5)</f>
        <v>1</v>
      </c>
      <c r="J5" s="220" t="s">
        <v>458</v>
      </c>
      <c r="K5" s="220" t="s">
        <v>468</v>
      </c>
      <c r="L5" s="220" t="s">
        <v>473</v>
      </c>
    </row>
    <row r="6" spans="1:12">
      <c r="A6" s="216" t="s">
        <v>553</v>
      </c>
      <c r="B6" s="195">
        <f>MATCH(A6,'tblIndicators_2014-O'!$B$2:$B$57,0)</f>
        <v>27</v>
      </c>
      <c r="C6" s="195" t="str">
        <f>INDEX('tblIndicators_2014-O'!$Z$2:$Z$57,$B6)</f>
        <v>3) INFRASTRUCTURE SECURITY</v>
      </c>
      <c r="D6" s="195">
        <f>INDEX('tblIndicators_2014-O'!$D$2:$D$57,$B6)</f>
        <v>1</v>
      </c>
      <c r="J6" s="220" t="s">
        <v>463</v>
      </c>
      <c r="K6" s="220" t="s">
        <v>473</v>
      </c>
      <c r="L6" s="220" t="s">
        <v>478</v>
      </c>
    </row>
    <row r="7" spans="1:12">
      <c r="A7" s="216" t="s">
        <v>592</v>
      </c>
      <c r="B7" s="195">
        <f>MATCH(A7,'tblIndicators_2014-O'!$B$2:$B$57,0)</f>
        <v>39</v>
      </c>
      <c r="C7" s="195" t="str">
        <f>INDEX('tblIndicators_2014-O'!$Z$2:$Z$57,$B7)</f>
        <v>4) PERSONAL SECURITY</v>
      </c>
      <c r="D7" s="195">
        <f>INDEX('tblIndicators_2014-O'!$D$2:$D$57,$B7)</f>
        <v>1</v>
      </c>
      <c r="J7" s="220" t="s">
        <v>468</v>
      </c>
      <c r="K7" s="220" t="s">
        <v>478</v>
      </c>
      <c r="L7" s="220" t="s">
        <v>770</v>
      </c>
    </row>
    <row r="8" spans="10:12">
      <c r="J8" s="220" t="s">
        <v>473</v>
      </c>
      <c r="K8" s="220" t="s">
        <v>770</v>
      </c>
      <c r="L8" s="220" t="s">
        <v>486</v>
      </c>
    </row>
    <row r="9" spans="1:12">
      <c r="A9" s="58" t="s">
        <v>771</v>
      </c>
      <c r="J9" s="220" t="s">
        <v>478</v>
      </c>
      <c r="K9" s="218" t="s">
        <v>482</v>
      </c>
      <c r="L9" s="220" t="s">
        <v>491</v>
      </c>
    </row>
    <row r="10" spans="1:12">
      <c r="A10" s="217" t="s">
        <v>452</v>
      </c>
      <c r="B10" s="195">
        <f>MATCH(A10,'tblIndicators_2014-O'!$B$2:$B$57,0)</f>
        <v>3</v>
      </c>
      <c r="C10" s="195" t="str">
        <f>INDEX('tblIndicators_2014-O'!$Z$2:$Z$57,$B10)</f>
        <v>1.1) Digital Security (Inputs)</v>
      </c>
      <c r="D10" s="195">
        <f>INDEX('tblIndicators_2014-O'!$D$2:$D$57,$B10)</f>
        <v>2</v>
      </c>
      <c r="J10" s="220" t="s">
        <v>770</v>
      </c>
      <c r="K10" s="220" t="s">
        <v>486</v>
      </c>
      <c r="L10" s="220" t="s">
        <v>495</v>
      </c>
    </row>
    <row r="11" spans="1:12">
      <c r="A11" s="218" t="s">
        <v>482</v>
      </c>
      <c r="B11" s="195">
        <f>MATCH(A11,'tblIndicators_2014-O'!$B$2:$B$57,0)</f>
        <v>9</v>
      </c>
      <c r="C11" s="195" t="str">
        <f>INDEX('tblIndicators_2014-O'!$Z$2:$Z$57,$B11)</f>
        <v>1.2) Digital Security (Outputs)</v>
      </c>
      <c r="D11" s="195">
        <f>INDEX('tblIndicators_2014-O'!$D$2:$D$57,$B11)</f>
        <v>2</v>
      </c>
      <c r="J11" s="218" t="s">
        <v>482</v>
      </c>
      <c r="K11" s="220" t="s">
        <v>491</v>
      </c>
      <c r="L11" s="220" t="s">
        <v>505</v>
      </c>
    </row>
    <row r="12" spans="1:12">
      <c r="A12" s="218" t="s">
        <v>502</v>
      </c>
      <c r="B12" s="195">
        <f>MATCH(A12,'tblIndicators_2014-O'!$B$2:$B$57,0)</f>
        <v>14</v>
      </c>
      <c r="C12" s="195" t="str">
        <f>INDEX('tblIndicators_2014-O'!$Z$2:$Z$57,$B12)</f>
        <v>2.1) Health Security (Inputs)</v>
      </c>
      <c r="D12" s="195">
        <f>INDEX('tblIndicators_2014-O'!$D$2:$D$57,$B12)</f>
        <v>2</v>
      </c>
      <c r="J12" s="220" t="s">
        <v>486</v>
      </c>
      <c r="K12" s="220" t="s">
        <v>495</v>
      </c>
      <c r="L12" s="220" t="s">
        <v>509</v>
      </c>
    </row>
    <row r="13" spans="1:12">
      <c r="A13" s="218" t="s">
        <v>529</v>
      </c>
      <c r="B13" s="195">
        <f>MATCH(A13,'tblIndicators_2014-O'!$B$2:$B$57,0)</f>
        <v>21</v>
      </c>
      <c r="C13" s="195" t="str">
        <f>INDEX('tblIndicators_2014-O'!$Z$2:$Z$57,$B13)</f>
        <v>2.2) Health Security (Outputs)</v>
      </c>
      <c r="D13" s="195">
        <f>INDEX('tblIndicators_2014-O'!$D$2:$D$57,$B13)</f>
        <v>2</v>
      </c>
      <c r="J13" s="220" t="s">
        <v>491</v>
      </c>
      <c r="K13" s="218" t="s">
        <v>502</v>
      </c>
      <c r="L13" s="220" t="s">
        <v>513</v>
      </c>
    </row>
    <row r="14" spans="1:12">
      <c r="A14" s="218" t="s">
        <v>555</v>
      </c>
      <c r="B14" s="195">
        <f>MATCH(A14,'tblIndicators_2014-O'!$B$2:$B$57,0)</f>
        <v>28</v>
      </c>
      <c r="C14" s="195" t="str">
        <f>INDEX('tblIndicators_2014-O'!$Z$2:$Z$57,$B14)</f>
        <v>3.1) Infrastructure Security (Inputs)</v>
      </c>
      <c r="D14" s="195">
        <f>INDEX('tblIndicators_2014-O'!$D$2:$D$57,$B14)</f>
        <v>2</v>
      </c>
      <c r="J14" s="220" t="s">
        <v>495</v>
      </c>
      <c r="K14" s="220" t="s">
        <v>505</v>
      </c>
      <c r="L14" s="220" t="s">
        <v>518</v>
      </c>
    </row>
    <row r="15" spans="1:12">
      <c r="A15" s="218" t="s">
        <v>574</v>
      </c>
      <c r="B15" s="195">
        <f>MATCH(A15,'tblIndicators_2014-O'!$B$2:$B$57,0)</f>
        <v>34</v>
      </c>
      <c r="C15" s="195" t="str">
        <f>INDEX('tblIndicators_2014-O'!$Z$2:$Z$57,$B15)</f>
        <v>3.2) Infrastructure Security (Outputs)</v>
      </c>
      <c r="D15" s="195">
        <f>INDEX('tblIndicators_2014-O'!$D$2:$D$57,$B15)</f>
        <v>2</v>
      </c>
      <c r="J15" s="222" t="s">
        <v>499</v>
      </c>
      <c r="K15" s="220" t="s">
        <v>509</v>
      </c>
      <c r="L15" s="220" t="s">
        <v>521</v>
      </c>
    </row>
    <row r="16" spans="1:12">
      <c r="A16" s="218" t="s">
        <v>594</v>
      </c>
      <c r="B16" s="195">
        <f>MATCH(A16,'tblIndicators_2014-O'!$B$2:$B$57,0)</f>
        <v>40</v>
      </c>
      <c r="C16" s="195" t="str">
        <f>INDEX('tblIndicators_2014-O'!$Z$2:$Z$57,$B16)</f>
        <v>4.1) Personal Security (Inputs)</v>
      </c>
      <c r="D16" s="195">
        <f>INDEX('tblIndicators_2014-O'!$D$2:$D$57,$B16)</f>
        <v>2</v>
      </c>
      <c r="J16" s="218" t="s">
        <v>502</v>
      </c>
      <c r="K16" s="220" t="s">
        <v>513</v>
      </c>
      <c r="L16" s="220" t="s">
        <v>525</v>
      </c>
    </row>
    <row r="17" spans="1:12">
      <c r="A17" s="218" t="s">
        <v>624</v>
      </c>
      <c r="B17" s="195">
        <f>MATCH(A17,'tblIndicators_2014-O'!$B$2:$B$57,0)</f>
        <v>48</v>
      </c>
      <c r="C17" s="195" t="str">
        <f>INDEX('tblIndicators_2014-O'!$Z$2:$Z$57,$B17)</f>
        <v>4.2) Personal Security (Outputs)</v>
      </c>
      <c r="D17" s="195">
        <f>INDEX('tblIndicators_2014-O'!$D$2:$D$57,$B17)</f>
        <v>2</v>
      </c>
      <c r="J17" s="220" t="s">
        <v>505</v>
      </c>
      <c r="K17" s="220" t="s">
        <v>518</v>
      </c>
      <c r="L17" s="220" t="s">
        <v>532</v>
      </c>
    </row>
    <row r="18" spans="1:12">
      <c r="A18" s="216"/>
      <c r="J18" s="220" t="s">
        <v>509</v>
      </c>
      <c r="K18" s="220" t="s">
        <v>521</v>
      </c>
      <c r="L18" s="220" t="s">
        <v>536</v>
      </c>
    </row>
    <row r="19" spans="1:12">
      <c r="A19" s="219" t="s">
        <v>772</v>
      </c>
      <c r="J19" s="220" t="s">
        <v>513</v>
      </c>
      <c r="K19" s="220" t="s">
        <v>525</v>
      </c>
      <c r="L19" s="220" t="s">
        <v>539</v>
      </c>
    </row>
    <row r="20" spans="1:12">
      <c r="A20" s="218" t="s">
        <v>452</v>
      </c>
      <c r="B20" s="195">
        <f>MATCH(A20,'tblIndicators_2014-O'!$B$2:$B$57,0)</f>
        <v>3</v>
      </c>
      <c r="C20" s="195" t="str">
        <f>INDEX('tblIndicators_2014-O'!$Z$2:$Z$57,$B20)</f>
        <v>1.1) Digital Security (Inputs)</v>
      </c>
      <c r="D20" s="195">
        <f>INDEX('tblIndicators_2014-O'!$D$2:$D$57,$B20)</f>
        <v>2</v>
      </c>
      <c r="J20" s="220" t="s">
        <v>518</v>
      </c>
      <c r="K20" s="218" t="s">
        <v>529</v>
      </c>
      <c r="L20" s="220" t="s">
        <v>544</v>
      </c>
    </row>
    <row r="21" spans="1:12">
      <c r="A21" s="220" t="s">
        <v>458</v>
      </c>
      <c r="B21" s="195">
        <f>MATCH(A21,'tblIndicators_2014-O'!$B$2:$B$57,0)</f>
        <v>4</v>
      </c>
      <c r="C21" s="195" t="str">
        <f>INDEX('tblIndicators_2014-O'!$Z$2:$Z$57,$B21)</f>
        <v>1.1.1) Privacy policy</v>
      </c>
      <c r="D21" s="195">
        <f>INDEX('tblIndicators_2014-O'!$D$2:$D$57,$B21)</f>
        <v>3</v>
      </c>
      <c r="J21" s="220" t="s">
        <v>521</v>
      </c>
      <c r="K21" s="220" t="s">
        <v>532</v>
      </c>
      <c r="L21" s="220" t="s">
        <v>548</v>
      </c>
    </row>
    <row r="22" spans="1:12">
      <c r="A22" s="220" t="s">
        <v>463</v>
      </c>
      <c r="B22" s="195">
        <f>MATCH(A22,'tblIndicators_2014-O'!$B$2:$B$57,0)</f>
        <v>5</v>
      </c>
      <c r="C22" s="195" t="str">
        <f>INDEX('tblIndicators_2014-O'!$Z$2:$Z$57,$B22)</f>
        <v>1.1.2) Citizen awareness of digital threats</v>
      </c>
      <c r="D22" s="195">
        <f>INDEX('tblIndicators_2014-O'!$D$2:$D$57,$B22)</f>
        <v>3</v>
      </c>
      <c r="J22" s="220" t="s">
        <v>525</v>
      </c>
      <c r="K22" s="220" t="s">
        <v>536</v>
      </c>
      <c r="L22" s="220" t="s">
        <v>558</v>
      </c>
    </row>
    <row r="23" spans="1:12">
      <c r="A23" s="220" t="s">
        <v>468</v>
      </c>
      <c r="B23" s="195">
        <f>MATCH(A23,'tblIndicators_2014-O'!$B$2:$B$57,0)</f>
        <v>6</v>
      </c>
      <c r="C23" s="195" t="str">
        <f>INDEX('tblIndicators_2014-O'!$Z$2:$Z$57,$B23)</f>
        <v>1.1.3) Public-private partnerships</v>
      </c>
      <c r="D23" s="195">
        <f>INDEX('tblIndicators_2014-O'!$D$2:$D$57,$B23)</f>
        <v>3</v>
      </c>
      <c r="J23" s="218" t="s">
        <v>529</v>
      </c>
      <c r="K23" s="220" t="s">
        <v>539</v>
      </c>
      <c r="L23" s="220" t="s">
        <v>562</v>
      </c>
    </row>
    <row r="24" spans="1:12">
      <c r="A24" s="220" t="s">
        <v>473</v>
      </c>
      <c r="B24" s="195">
        <f>MATCH(A24,'tblIndicators_2014-O'!$B$2:$B$57,0)</f>
        <v>7</v>
      </c>
      <c r="C24" s="195" t="str">
        <f>INDEX('tblIndicators_2014-O'!$Z$2:$Z$57,$B24)</f>
        <v>1.1.4) Level of technology employed</v>
      </c>
      <c r="D24" s="195">
        <f>INDEX('tblIndicators_2014-O'!$D$2:$D$57,$B24)</f>
        <v>3</v>
      </c>
      <c r="J24" s="220" t="s">
        <v>532</v>
      </c>
      <c r="K24" s="220" t="s">
        <v>544</v>
      </c>
      <c r="L24" s="220" t="s">
        <v>565</v>
      </c>
    </row>
    <row r="25" spans="1:12">
      <c r="A25" s="220" t="s">
        <v>478</v>
      </c>
      <c r="B25" s="195">
        <f>MATCH(A25,'tblIndicators_2014-O'!$B$2:$B$57,0)</f>
        <v>8</v>
      </c>
      <c r="C25" s="195" t="str">
        <f>INDEX('tblIndicators_2014-O'!$Z$2:$Z$57,$B25)</f>
        <v>1.1.5) Dedicated cyber security teams</v>
      </c>
      <c r="D25" s="195">
        <f>INDEX('tblIndicators_2014-O'!$D$2:$D$57,$B25)</f>
        <v>3</v>
      </c>
      <c r="J25" s="220" t="s">
        <v>536</v>
      </c>
      <c r="K25" s="220" t="s">
        <v>548</v>
      </c>
      <c r="L25" s="220" t="s">
        <v>568</v>
      </c>
    </row>
    <row r="26" spans="1:12">
      <c r="A26" s="218" t="s">
        <v>482</v>
      </c>
      <c r="B26" s="195">
        <f>MATCH(A26,'tblIndicators_2014-O'!$B$2:$B$57,0)</f>
        <v>9</v>
      </c>
      <c r="C26" s="195" t="str">
        <f>INDEX('tblIndicators_2014-O'!$Z$2:$Z$57,$B26)</f>
        <v>1.2) Digital Security (Outputs)</v>
      </c>
      <c r="D26" s="195">
        <f>INDEX('tblIndicators_2014-O'!$D$2:$D$57,$B26)</f>
        <v>2</v>
      </c>
      <c r="J26" s="220" t="s">
        <v>539</v>
      </c>
      <c r="K26" s="218" t="s">
        <v>555</v>
      </c>
      <c r="L26" s="220" t="s">
        <v>571</v>
      </c>
    </row>
    <row r="27" spans="1:12">
      <c r="A27" s="220" t="s">
        <v>486</v>
      </c>
      <c r="B27" s="195">
        <f>MATCH(A27,'tblIndicators_2014-O'!$B$2:$B$57,0)</f>
        <v>10</v>
      </c>
      <c r="C27" s="195" t="str">
        <f>INDEX('tblIndicators_2014-O'!$Z$2:$Z$57,$B27)</f>
        <v>1.2.1) Frequency of identity theft</v>
      </c>
      <c r="D27" s="195">
        <f>INDEX('tblIndicators_2014-O'!$D$2:$D$57,$B27)</f>
        <v>3</v>
      </c>
      <c r="J27" s="220" t="s">
        <v>544</v>
      </c>
      <c r="K27" s="220" t="s">
        <v>558</v>
      </c>
      <c r="L27" s="220" t="s">
        <v>577</v>
      </c>
    </row>
    <row r="28" spans="1:12">
      <c r="A28" s="220" t="s">
        <v>491</v>
      </c>
      <c r="B28" s="195">
        <f>MATCH(A28,'tblIndicators_2014-O'!$B$2:$B$57,0)</f>
        <v>11</v>
      </c>
      <c r="C28" s="195" t="str">
        <f>INDEX('tblIndicators_2014-O'!$Z$2:$Z$57,$B28)</f>
        <v>1.2.2) Percentage of computers infected</v>
      </c>
      <c r="D28" s="195">
        <f>INDEX('tblIndicators_2014-O'!$D$2:$D$57,$B28)</f>
        <v>3</v>
      </c>
      <c r="J28" s="220" t="s">
        <v>548</v>
      </c>
      <c r="K28" s="220" t="s">
        <v>562</v>
      </c>
      <c r="L28" s="220" t="s">
        <v>582</v>
      </c>
    </row>
    <row r="29" spans="1:12">
      <c r="A29" s="220" t="s">
        <v>495</v>
      </c>
      <c r="B29" s="195">
        <f>MATCH(A29,'tblIndicators_2014-O'!$B$2:$B$57,0)</f>
        <v>12</v>
      </c>
      <c r="C29" s="195" t="str">
        <f>INDEX('tblIndicators_2014-O'!$Z$2:$Z$57,$B29)</f>
        <v>1.2.3) Percent with internet access</v>
      </c>
      <c r="D29" s="195">
        <f>INDEX('tblIndicators_2014-O'!$D$2:$D$57,$B29)</f>
        <v>3</v>
      </c>
      <c r="J29" s="222" t="s">
        <v>553</v>
      </c>
      <c r="K29" s="220" t="s">
        <v>565</v>
      </c>
      <c r="L29" s="220" t="s">
        <v>586</v>
      </c>
    </row>
    <row r="30" spans="1:12">
      <c r="A30" s="218" t="s">
        <v>502</v>
      </c>
      <c r="B30" s="195">
        <f>MATCH(A30,'tblIndicators_2014-O'!$B$2:$B$57,0)</f>
        <v>14</v>
      </c>
      <c r="C30" s="195" t="str">
        <f>INDEX('tblIndicators_2014-O'!$Z$2:$Z$57,$B30)</f>
        <v>2.1) Health Security (Inputs)</v>
      </c>
      <c r="D30" s="195">
        <f>INDEX('tblIndicators_2014-O'!$D$2:$D$57,$B30)</f>
        <v>2</v>
      </c>
      <c r="J30" s="218" t="s">
        <v>555</v>
      </c>
      <c r="K30" s="220" t="s">
        <v>568</v>
      </c>
      <c r="L30" s="220" t="s">
        <v>589</v>
      </c>
    </row>
    <row r="31" spans="1:12">
      <c r="A31" s="220" t="s">
        <v>505</v>
      </c>
      <c r="B31" s="195">
        <f>MATCH(A31,'tblIndicators_2014-O'!$B$2:$B$57,0)</f>
        <v>15</v>
      </c>
      <c r="C31" s="195" t="str">
        <f>INDEX('tblIndicators_2014-O'!$Z$2:$Z$57,$B31)</f>
        <v>2.1.1) Environmental policies</v>
      </c>
      <c r="D31" s="195">
        <f>INDEX('tblIndicators_2014-O'!$D$2:$D$57,$B31)</f>
        <v>3</v>
      </c>
      <c r="J31" s="220" t="s">
        <v>558</v>
      </c>
      <c r="K31" s="220" t="s">
        <v>571</v>
      </c>
      <c r="L31" s="220" t="s">
        <v>597</v>
      </c>
    </row>
    <row r="32" spans="1:12">
      <c r="A32" s="220" t="s">
        <v>509</v>
      </c>
      <c r="B32" s="195">
        <f>MATCH(A32,'tblIndicators_2014-O'!$B$2:$B$57,0)</f>
        <v>16</v>
      </c>
      <c r="C32" s="195" t="str">
        <f>INDEX('tblIndicators_2014-O'!$Z$2:$Z$57,$B32)</f>
        <v>2.1.2) Access to healthcare</v>
      </c>
      <c r="D32" s="195">
        <f>INDEX('tblIndicators_2014-O'!$D$2:$D$57,$B32)</f>
        <v>3</v>
      </c>
      <c r="J32" s="220" t="s">
        <v>562</v>
      </c>
      <c r="K32" s="218" t="s">
        <v>574</v>
      </c>
      <c r="L32" s="220" t="s">
        <v>602</v>
      </c>
    </row>
    <row r="33" spans="1:12">
      <c r="A33" s="220" t="s">
        <v>513</v>
      </c>
      <c r="B33" s="195">
        <f>MATCH(A33,'tblIndicators_2014-O'!$B$2:$B$57,0)</f>
        <v>17</v>
      </c>
      <c r="C33" s="195" t="str">
        <f>INDEX('tblIndicators_2014-O'!$Z$2:$Z$57,$B33)</f>
        <v>2.1.3) No. of beds per 1000</v>
      </c>
      <c r="D33" s="195">
        <f>INDEX('tblIndicators_2014-O'!$D$2:$D$57,$B33)</f>
        <v>3</v>
      </c>
      <c r="J33" s="220" t="s">
        <v>565</v>
      </c>
      <c r="K33" s="220" t="s">
        <v>577</v>
      </c>
      <c r="L33" s="220" t="s">
        <v>607</v>
      </c>
    </row>
    <row r="34" spans="1:12">
      <c r="A34" s="220" t="s">
        <v>518</v>
      </c>
      <c r="B34" s="195">
        <f>MATCH(A34,'tblIndicators_2014-O'!$B$2:$B$57,0)</f>
        <v>18</v>
      </c>
      <c r="C34" s="195" t="str">
        <f>INDEX('tblIndicators_2014-O'!$Z$2:$Z$57,$B34)</f>
        <v>2.1.4) Number of doctors per 1000</v>
      </c>
      <c r="D34" s="195">
        <f>INDEX('tblIndicators_2014-O'!$D$2:$D$57,$B34)</f>
        <v>3</v>
      </c>
      <c r="J34" s="220" t="s">
        <v>568</v>
      </c>
      <c r="K34" s="220" t="s">
        <v>582</v>
      </c>
      <c r="L34" s="220" t="s">
        <v>610</v>
      </c>
    </row>
    <row r="35" spans="1:12">
      <c r="A35" s="220" t="s">
        <v>521</v>
      </c>
      <c r="B35" s="195">
        <f>MATCH(A35,'tblIndicators_2014-O'!$B$2:$B$57,0)</f>
        <v>19</v>
      </c>
      <c r="C35" s="195" t="str">
        <f>INDEX('tblIndicators_2014-O'!$Z$2:$Z$57,$B35)</f>
        <v>2.1.5) Access to safe and quality food</v>
      </c>
      <c r="D35" s="195">
        <f>INDEX('tblIndicators_2014-O'!$D$2:$D$57,$B35)</f>
        <v>3</v>
      </c>
      <c r="J35" s="220" t="s">
        <v>571</v>
      </c>
      <c r="K35" s="220" t="s">
        <v>586</v>
      </c>
      <c r="L35" s="220" t="s">
        <v>613</v>
      </c>
    </row>
    <row r="36" spans="1:12">
      <c r="A36" s="220" t="s">
        <v>525</v>
      </c>
      <c r="B36" s="195">
        <f>MATCH(A36,'tblIndicators_2014-O'!$B$2:$B$57,0)</f>
        <v>20</v>
      </c>
      <c r="C36" s="195" t="str">
        <f>INDEX('tblIndicators_2014-O'!$Z$2:$Z$57,$B36)</f>
        <v>2.1.6) Quality of health services</v>
      </c>
      <c r="D36" s="195">
        <f>INDEX('tblIndicators_2014-O'!$D$2:$D$57,$B36)</f>
        <v>3</v>
      </c>
      <c r="J36" s="218" t="s">
        <v>574</v>
      </c>
      <c r="K36" s="220" t="s">
        <v>589</v>
      </c>
      <c r="L36" s="220" t="s">
        <v>616</v>
      </c>
    </row>
    <row r="37" spans="1:12">
      <c r="A37" s="218" t="s">
        <v>529</v>
      </c>
      <c r="B37" s="195">
        <f>MATCH(A37,'tblIndicators_2014-O'!$B$2:$B$57,0)</f>
        <v>21</v>
      </c>
      <c r="C37" s="195" t="str">
        <f>INDEX('tblIndicators_2014-O'!$Z$2:$Z$57,$B37)</f>
        <v>2.2) Health Security (Outputs)</v>
      </c>
      <c r="D37" s="195">
        <f>INDEX('tblIndicators_2014-O'!$D$2:$D$57,$B37)</f>
        <v>2</v>
      </c>
      <c r="J37" s="220" t="s">
        <v>577</v>
      </c>
      <c r="K37" s="218" t="s">
        <v>594</v>
      </c>
      <c r="L37" s="220" t="s">
        <v>620</v>
      </c>
    </row>
    <row r="38" spans="1:12">
      <c r="A38" s="220" t="s">
        <v>532</v>
      </c>
      <c r="B38" s="195">
        <f>MATCH(A38,'tblIndicators_2014-O'!$B$2:$B$57,0)</f>
        <v>22</v>
      </c>
      <c r="C38" s="195" t="str">
        <f>INDEX('tblIndicators_2014-O'!$Z$2:$Z$57,$B38)</f>
        <v>2.2.1) Air quality</v>
      </c>
      <c r="D38" s="195">
        <f>INDEX('tblIndicators_2014-O'!$D$2:$D$57,$B38)</f>
        <v>3</v>
      </c>
      <c r="J38" s="220" t="s">
        <v>582</v>
      </c>
      <c r="K38" s="220" t="s">
        <v>597</v>
      </c>
      <c r="L38" s="220" t="s">
        <v>627</v>
      </c>
    </row>
    <row r="39" spans="1:12">
      <c r="A39" s="220" t="s">
        <v>536</v>
      </c>
      <c r="B39" s="195">
        <f>MATCH(A39,'tblIndicators_2014-O'!$B$2:$B$57,0)</f>
        <v>23</v>
      </c>
      <c r="C39" s="195" t="str">
        <f>INDEX('tblIndicators_2014-O'!$Z$2:$Z$57,$B39)</f>
        <v>2.2.2) Water quality</v>
      </c>
      <c r="D39" s="195">
        <f>INDEX('tblIndicators_2014-O'!$D$2:$D$57,$B39)</f>
        <v>3</v>
      </c>
      <c r="J39" s="220" t="s">
        <v>586</v>
      </c>
      <c r="K39" s="220" t="s">
        <v>602</v>
      </c>
      <c r="L39" s="220" t="s">
        <v>631</v>
      </c>
    </row>
    <row r="40" spans="1:12">
      <c r="A40" s="220" t="s">
        <v>539</v>
      </c>
      <c r="B40" s="195">
        <f>MATCH(A40,'tblIndicators_2014-O'!$B$2:$B$57,0)</f>
        <v>24</v>
      </c>
      <c r="C40" s="195" t="str">
        <f>INDEX('tblIndicators_2014-O'!$Z$2:$Z$57,$B40)</f>
        <v>2.2.3) Life expectancy</v>
      </c>
      <c r="D40" s="195">
        <f>INDEX('tblIndicators_2014-O'!$D$2:$D$57,$B40)</f>
        <v>3</v>
      </c>
      <c r="J40" s="220" t="s">
        <v>589</v>
      </c>
      <c r="K40" s="220" t="s">
        <v>607</v>
      </c>
      <c r="L40" s="220" t="s">
        <v>634</v>
      </c>
    </row>
    <row r="41" spans="1:12">
      <c r="A41" s="220" t="s">
        <v>544</v>
      </c>
      <c r="B41" s="195">
        <f>MATCH(A41,'tblIndicators_2014-O'!$B$2:$B$57,0)</f>
        <v>25</v>
      </c>
      <c r="C41" s="195" t="str">
        <f>INDEX('tblIndicators_2014-O'!$Z$2:$Z$57,$B41)</f>
        <v>2.2.4) Infant mortality (deaths per 1,000 live births)</v>
      </c>
      <c r="D41" s="195">
        <f>INDEX('tblIndicators_2014-O'!$D$2:$D$57,$B41)</f>
        <v>3</v>
      </c>
      <c r="J41" s="222" t="s">
        <v>592</v>
      </c>
      <c r="K41" s="220" t="s">
        <v>610</v>
      </c>
      <c r="L41" s="220" t="s">
        <v>639</v>
      </c>
    </row>
    <row r="42" spans="1:12">
      <c r="A42" s="220" t="s">
        <v>548</v>
      </c>
      <c r="B42" s="195">
        <f>MATCH(A42,'tblIndicators_2014-O'!$B$2:$B$57,0)</f>
        <v>26</v>
      </c>
      <c r="C42" s="195" t="str">
        <f>INDEX('tblIndicators_2014-O'!$Z$2:$Z$57,$B42)</f>
        <v>2.2.5) Cancer mortality rate ( Cancer deaths per 100,000)</v>
      </c>
      <c r="D42" s="195">
        <f>INDEX('tblIndicators_2014-O'!$D$2:$D$57,$B42)</f>
        <v>3</v>
      </c>
      <c r="J42" s="218" t="s">
        <v>594</v>
      </c>
      <c r="K42" s="220" t="s">
        <v>613</v>
      </c>
      <c r="L42" s="220" t="s">
        <v>642</v>
      </c>
    </row>
    <row r="43" spans="1:12">
      <c r="A43" s="218" t="s">
        <v>555</v>
      </c>
      <c r="B43" s="195">
        <f>MATCH(A43,'tblIndicators_2014-O'!$B$2:$B$57,0)</f>
        <v>28</v>
      </c>
      <c r="C43" s="195" t="str">
        <f>INDEX('tblIndicators_2014-O'!$Z$2:$Z$57,$B43)</f>
        <v>3.1) Infrastructure Security (Inputs)</v>
      </c>
      <c r="D43" s="195">
        <f>INDEX('tblIndicators_2014-O'!$D$2:$D$57,$B43)</f>
        <v>2</v>
      </c>
      <c r="J43" s="220" t="s">
        <v>597</v>
      </c>
      <c r="K43" s="220" t="s">
        <v>616</v>
      </c>
      <c r="L43" s="220" t="s">
        <v>645</v>
      </c>
    </row>
    <row r="44" spans="1:12">
      <c r="A44" s="220" t="s">
        <v>558</v>
      </c>
      <c r="B44" s="195">
        <f>MATCH(A44,'tblIndicators_2014-O'!$B$2:$B$57,0)</f>
        <v>29</v>
      </c>
      <c r="C44" s="195" t="str">
        <f>INDEX('tblIndicators_2014-O'!$Z$2:$Z$57,$B44)</f>
        <v>3.1.1) Enforcement of transport safety</v>
      </c>
      <c r="D44" s="195">
        <f>INDEX('tblIndicators_2014-O'!$D$2:$D$57,$B44)</f>
        <v>3</v>
      </c>
      <c r="J44" s="220" t="s">
        <v>602</v>
      </c>
      <c r="K44" s="220" t="s">
        <v>620</v>
      </c>
      <c r="L44" s="220" t="s">
        <v>650</v>
      </c>
    </row>
    <row r="45" spans="1:12">
      <c r="A45" s="220" t="s">
        <v>562</v>
      </c>
      <c r="B45" s="195">
        <f>MATCH(A45,'tblIndicators_2014-O'!$B$2:$B$57,0)</f>
        <v>30</v>
      </c>
      <c r="C45" s="195" t="str">
        <f>INDEX('tblIndicators_2014-O'!$Z$2:$Z$57,$B45)</f>
        <v>3.1.2) Pedestrian friendliness</v>
      </c>
      <c r="D45" s="195">
        <f>INDEX('tblIndicators_2014-O'!$D$2:$D$57,$B45)</f>
        <v>3</v>
      </c>
      <c r="J45" s="220" t="s">
        <v>607</v>
      </c>
      <c r="K45" s="218" t="s">
        <v>624</v>
      </c>
      <c r="L45" s="220" t="s">
        <v>655</v>
      </c>
    </row>
    <row r="46" spans="1:11">
      <c r="A46" s="220" t="s">
        <v>565</v>
      </c>
      <c r="B46" s="195">
        <f>MATCH(A46,'tblIndicators_2014-O'!$B$2:$B$57,0)</f>
        <v>31</v>
      </c>
      <c r="C46" s="195" t="str">
        <f>INDEX('tblIndicators_2014-O'!$Z$2:$Z$57,$B46)</f>
        <v>3.1.3) Quality of road infrastructure</v>
      </c>
      <c r="D46" s="195">
        <f>INDEX('tblIndicators_2014-O'!$D$2:$D$57,$B46)</f>
        <v>3</v>
      </c>
      <c r="J46" s="220" t="s">
        <v>610</v>
      </c>
      <c r="K46" s="220" t="s">
        <v>627</v>
      </c>
    </row>
    <row r="47" spans="1:11">
      <c r="A47" s="220" t="s">
        <v>568</v>
      </c>
      <c r="B47" s="195">
        <f>MATCH(A47,'tblIndicators_2014-O'!$B$2:$B$57,0)</f>
        <v>32</v>
      </c>
      <c r="C47" s="195" t="str">
        <f>INDEX('tblIndicators_2014-O'!$Z$2:$Z$57,$B47)</f>
        <v>3.1.4) Quality of electricity infrastructure</v>
      </c>
      <c r="D47" s="195">
        <f>INDEX('tblIndicators_2014-O'!$D$2:$D$57,$B47)</f>
        <v>3</v>
      </c>
      <c r="J47" s="220" t="s">
        <v>613</v>
      </c>
      <c r="K47" s="220" t="s">
        <v>631</v>
      </c>
    </row>
    <row r="48" spans="1:11">
      <c r="A48" s="220" t="s">
        <v>571</v>
      </c>
      <c r="B48" s="195">
        <f>MATCH(A48,'tblIndicators_2014-O'!$B$2:$B$57,0)</f>
        <v>33</v>
      </c>
      <c r="C48" s="195" t="str">
        <f>INDEX('tblIndicators_2014-O'!$Z$2:$Z$57,$B48)</f>
        <v>3.1.5) Disaster Management/Business Continuity Plan</v>
      </c>
      <c r="D48" s="195">
        <f>INDEX('tblIndicators_2014-O'!$D$2:$D$57,$B48)</f>
        <v>3</v>
      </c>
      <c r="J48" s="220" t="s">
        <v>616</v>
      </c>
      <c r="K48" s="220" t="s">
        <v>634</v>
      </c>
    </row>
    <row r="49" spans="1:11">
      <c r="A49" s="218" t="s">
        <v>574</v>
      </c>
      <c r="B49" s="195">
        <f>MATCH(A49,'tblIndicators_2014-O'!$B$2:$B$57,0)</f>
        <v>34</v>
      </c>
      <c r="C49" s="195" t="str">
        <f>INDEX('tblIndicators_2014-O'!$Z$2:$Z$57,$B49)</f>
        <v>3.2) Infrastructure Security (Outputs)</v>
      </c>
      <c r="D49" s="195">
        <f>INDEX('tblIndicators_2014-O'!$D$2:$D$57,$B49)</f>
        <v>2</v>
      </c>
      <c r="J49" s="220" t="s">
        <v>620</v>
      </c>
      <c r="K49" s="220" t="s">
        <v>639</v>
      </c>
    </row>
    <row r="50" spans="1:11">
      <c r="A50" s="220" t="s">
        <v>577</v>
      </c>
      <c r="B50" s="195">
        <f>MATCH(A50,'tblIndicators_2014-O'!$B$2:$B$57,0)</f>
        <v>35</v>
      </c>
      <c r="C50" s="195" t="str">
        <f>INDEX('tblIndicators_2014-O'!$Z$2:$Z$57,$B50)</f>
        <v>3.2.1) Death from natural disasters</v>
      </c>
      <c r="D50" s="195">
        <f>INDEX('tblIndicators_2014-O'!$D$2:$D$57,$B50)</f>
        <v>3</v>
      </c>
      <c r="J50" s="218" t="s">
        <v>624</v>
      </c>
      <c r="K50" s="220" t="s">
        <v>642</v>
      </c>
    </row>
    <row r="51" spans="1:11">
      <c r="A51" s="220" t="s">
        <v>582</v>
      </c>
      <c r="B51" s="195">
        <f>MATCH(A51,'tblIndicators_2014-O'!$B$2:$B$57,0)</f>
        <v>36</v>
      </c>
      <c r="C51" s="195" t="str">
        <f>INDEX('tblIndicators_2014-O'!$Z$2:$Z$57,$B51)</f>
        <v>3.2.2) Frequency of vehicular accidents</v>
      </c>
      <c r="D51" s="195">
        <f>INDEX('tblIndicators_2014-O'!$D$2:$D$57,$B51)</f>
        <v>3</v>
      </c>
      <c r="J51" s="220" t="s">
        <v>627</v>
      </c>
      <c r="K51" s="220" t="s">
        <v>645</v>
      </c>
    </row>
    <row r="52" spans="1:11">
      <c r="A52" s="220" t="s">
        <v>586</v>
      </c>
      <c r="B52" s="195">
        <f>MATCH(A52,'tblIndicators_2014-O'!$B$2:$B$57,0)</f>
        <v>37</v>
      </c>
      <c r="C52" s="195" t="str">
        <f>INDEX('tblIndicators_2014-O'!$Z$2:$Z$57,$B52)</f>
        <v>3.2.3) Frequency of pedestrian deaths</v>
      </c>
      <c r="D52" s="195">
        <f>INDEX('tblIndicators_2014-O'!$D$2:$D$57,$B52)</f>
        <v>3</v>
      </c>
      <c r="J52" s="220" t="s">
        <v>631</v>
      </c>
      <c r="K52" s="220" t="s">
        <v>650</v>
      </c>
    </row>
    <row r="53" spans="1:11">
      <c r="A53" s="220" t="s">
        <v>589</v>
      </c>
      <c r="B53" s="195">
        <f>MATCH(A53,'tblIndicators_2014-O'!$B$2:$B$57,0)</f>
        <v>38</v>
      </c>
      <c r="C53" s="195" t="str">
        <f>INDEX('tblIndicators_2014-O'!$Z$2:$Z$57,$B53)</f>
        <v>3.2.4) Percent living in urban slums</v>
      </c>
      <c r="D53" s="195">
        <f>INDEX('tblIndicators_2014-O'!$D$2:$D$57,$B53)</f>
        <v>3</v>
      </c>
      <c r="J53" s="220" t="s">
        <v>634</v>
      </c>
      <c r="K53" s="220" t="s">
        <v>655</v>
      </c>
    </row>
    <row r="54" spans="1:10">
      <c r="A54" s="218" t="s">
        <v>594</v>
      </c>
      <c r="B54" s="195">
        <f>MATCH(A54,'tblIndicators_2014-O'!$B$2:$B$57,0)</f>
        <v>40</v>
      </c>
      <c r="C54" s="195" t="str">
        <f>INDEX('tblIndicators_2014-O'!$Z$2:$Z$57,$B54)</f>
        <v>4.1) Personal Security (Inputs)</v>
      </c>
      <c r="D54" s="195">
        <f>INDEX('tblIndicators_2014-O'!$D$2:$D$57,$B54)</f>
        <v>2</v>
      </c>
      <c r="J54" s="220" t="s">
        <v>639</v>
      </c>
    </row>
    <row r="55" spans="1:10">
      <c r="A55" s="220" t="s">
        <v>597</v>
      </c>
      <c r="B55" s="195">
        <f>MATCH(A55,'tblIndicators_2014-O'!$B$2:$B$57,0)</f>
        <v>41</v>
      </c>
      <c r="C55" s="195" t="str">
        <f>INDEX('tblIndicators_2014-O'!$Z$2:$Z$57,$B55)</f>
        <v>4.1.1) Level of police engagement</v>
      </c>
      <c r="D55" s="195">
        <f>INDEX('tblIndicators_2014-O'!$D$2:$D$57,$B55)</f>
        <v>3</v>
      </c>
      <c r="J55" s="220" t="s">
        <v>642</v>
      </c>
    </row>
    <row r="56" spans="1:10">
      <c r="A56" s="220" t="s">
        <v>602</v>
      </c>
      <c r="B56" s="195">
        <f>MATCH(A56,'tblIndicators_2014-O'!$B$2:$B$57,0)</f>
        <v>42</v>
      </c>
      <c r="C56" s="195" t="str">
        <f>INDEX('tblIndicators_2014-O'!$Z$2:$Z$57,$B56)</f>
        <v>4.1.2) Community-based patrolling</v>
      </c>
      <c r="D56" s="195">
        <f>INDEX('tblIndicators_2014-O'!$D$2:$D$57,$B56)</f>
        <v>3</v>
      </c>
      <c r="J56" s="220" t="s">
        <v>645</v>
      </c>
    </row>
    <row r="57" spans="1:10">
      <c r="A57" s="220" t="s">
        <v>607</v>
      </c>
      <c r="B57" s="195">
        <f>MATCH(A57,'tblIndicators_2014-O'!$B$2:$B$57,0)</f>
        <v>43</v>
      </c>
      <c r="C57" s="195" t="str">
        <f>INDEX('tblIndicators_2014-O'!$Z$2:$Z$57,$B57)</f>
        <v>4.1.3) Availability of street-level crime data</v>
      </c>
      <c r="D57" s="195">
        <f>INDEX('tblIndicators_2014-O'!$D$2:$D$57,$B57)</f>
        <v>3</v>
      </c>
      <c r="J57" s="220" t="s">
        <v>650</v>
      </c>
    </row>
    <row r="58" spans="1:10">
      <c r="A58" s="220" t="s">
        <v>610</v>
      </c>
      <c r="B58" s="195">
        <f>MATCH(A58,'tblIndicators_2014-O'!$B$2:$B$57,0)</f>
        <v>44</v>
      </c>
      <c r="C58" s="195" t="str">
        <f>INDEX('tblIndicators_2014-O'!$Z$2:$Z$57,$B58)</f>
        <v>4.1.4) Use of data-driven techniques for crime</v>
      </c>
      <c r="D58" s="195">
        <f>INDEX('tblIndicators_2014-O'!$D$2:$D$57,$B58)</f>
        <v>3</v>
      </c>
      <c r="J58" s="220" t="s">
        <v>655</v>
      </c>
    </row>
    <row r="59" spans="1:10">
      <c r="A59" s="220" t="s">
        <v>613</v>
      </c>
      <c r="B59" s="195">
        <f>MATCH(A59,'tblIndicators_2014-O'!$B$2:$B$57,0)</f>
        <v>45</v>
      </c>
      <c r="C59" s="195" t="str">
        <f>INDEX('tblIndicators_2014-O'!$Z$2:$Z$57,$B59)</f>
        <v>4.1.5) Private security measures</v>
      </c>
      <c r="D59" s="195">
        <f>INDEX('tblIndicators_2014-O'!$D$2:$D$57,$B59)</f>
        <v>3</v>
      </c>
      <c r="J59" s="220"/>
    </row>
    <row r="60" spans="1:10">
      <c r="A60" s="220" t="s">
        <v>616</v>
      </c>
      <c r="B60" s="195">
        <f>MATCH(A60,'tblIndicators_2014-O'!$B$2:$B$57,0)</f>
        <v>46</v>
      </c>
      <c r="C60" s="195" t="str">
        <f>INDEX('tblIndicators_2014-O'!$Z$2:$Z$57,$B60)</f>
        <v>4.1.6) Gun regulation and enforcement</v>
      </c>
      <c r="D60" s="195">
        <f>INDEX('tblIndicators_2014-O'!$D$2:$D$57,$B60)</f>
        <v>3</v>
      </c>
      <c r="J60" s="220"/>
    </row>
    <row r="61" spans="1:4">
      <c r="A61" s="220" t="s">
        <v>620</v>
      </c>
      <c r="B61" s="195">
        <f>MATCH(A61,'tblIndicators_2014-O'!$B$2:$B$57,0)</f>
        <v>47</v>
      </c>
      <c r="C61" s="195" t="str">
        <f>INDEX('tblIndicators_2014-O'!$Z$2:$Z$57,$B61)</f>
        <v>4.1.7) Political Stability Risk</v>
      </c>
      <c r="D61" s="195">
        <f>INDEX('tblIndicators_2014-O'!$D$2:$D$57,$B61)</f>
        <v>3</v>
      </c>
    </row>
    <row r="62" spans="1:4">
      <c r="A62" s="218" t="s">
        <v>624</v>
      </c>
      <c r="B62" s="195">
        <f>MATCH(A62,'tblIndicators_2014-O'!$B$2:$B$57,0)</f>
        <v>48</v>
      </c>
      <c r="C62" s="195" t="str">
        <f>INDEX('tblIndicators_2014-O'!$Z$2:$Z$57,$B62)</f>
        <v>4.2) Personal Security (Outputs)</v>
      </c>
      <c r="D62" s="195">
        <f>INDEX('tblIndicators_2014-O'!$D$2:$D$57,$B62)</f>
        <v>2</v>
      </c>
    </row>
    <row r="63" spans="1:4">
      <c r="A63" s="220" t="s">
        <v>627</v>
      </c>
      <c r="B63" s="195">
        <f>MATCH(A63,'tblIndicators_2014-O'!$B$2:$B$57,0)</f>
        <v>49</v>
      </c>
      <c r="C63" s="195" t="str">
        <f>INDEX('tblIndicators_2014-O'!$Z$2:$Z$57,$B63)</f>
        <v>4.2.1) Prevalence of petty crime</v>
      </c>
      <c r="D63" s="195">
        <f>INDEX('tblIndicators_2014-O'!$D$2:$D$57,$B63)</f>
        <v>3</v>
      </c>
    </row>
    <row r="64" spans="1:4">
      <c r="A64" s="220" t="s">
        <v>631</v>
      </c>
      <c r="B64" s="195">
        <f>MATCH(A64,'tblIndicators_2014-O'!$B$2:$B$57,0)</f>
        <v>50</v>
      </c>
      <c r="C64" s="195" t="str">
        <f>INDEX('tblIndicators_2014-O'!$Z$2:$Z$57,$B64)</f>
        <v>4.2.2) Prevalence of violence crime</v>
      </c>
      <c r="D64" s="195">
        <f>INDEX('tblIndicators_2014-O'!$D$2:$D$57,$B64)</f>
        <v>3</v>
      </c>
    </row>
    <row r="65" spans="1:4">
      <c r="A65" s="220" t="s">
        <v>634</v>
      </c>
      <c r="B65" s="195">
        <f>MATCH(A65,'tblIndicators_2014-O'!$B$2:$B$57,0)</f>
        <v>51</v>
      </c>
      <c r="C65" s="195" t="str">
        <f>INDEX('tblIndicators_2014-O'!$Z$2:$Z$57,$B65)</f>
        <v>4.2.3) Criminal gang activity</v>
      </c>
      <c r="D65" s="195">
        <f>INDEX('tblIndicators_2014-O'!$D$2:$D$57,$B65)</f>
        <v>3</v>
      </c>
    </row>
    <row r="66" spans="1:4">
      <c r="A66" s="220" t="s">
        <v>639</v>
      </c>
      <c r="B66" s="195">
        <f>MATCH(A66,'tblIndicators_2014-O'!$B$2:$B$57,0)</f>
        <v>52</v>
      </c>
      <c r="C66" s="195" t="str">
        <f>INDEX('tblIndicators_2014-O'!$Z$2:$Z$57,$B66)</f>
        <v>4.2.4) Level of corruption in police force</v>
      </c>
      <c r="D66" s="195">
        <f>INDEX('tblIndicators_2014-O'!$D$2:$D$57,$B66)</f>
        <v>3</v>
      </c>
    </row>
    <row r="67" spans="1:4">
      <c r="A67" s="220" t="s">
        <v>642</v>
      </c>
      <c r="B67" s="195">
        <f>MATCH(A67,'tblIndicators_2014-O'!$B$2:$B$57,0)</f>
        <v>53</v>
      </c>
      <c r="C67" s="195" t="str">
        <f>INDEX('tblIndicators_2014-O'!$Z$2:$Z$57,$B67)</f>
        <v>4.2.5) Rate of drug use</v>
      </c>
      <c r="D67" s="195">
        <f>INDEX('tblIndicators_2014-O'!$D$2:$D$57,$B67)</f>
        <v>3</v>
      </c>
    </row>
    <row r="68" spans="1:4">
      <c r="A68" s="220" t="s">
        <v>645</v>
      </c>
      <c r="B68" s="195">
        <f>MATCH(A68,'tblIndicators_2014-O'!$B$2:$B$57,0)</f>
        <v>54</v>
      </c>
      <c r="C68" s="195" t="str">
        <f>INDEX('tblIndicators_2014-O'!$Z$2:$Z$57,$B68)</f>
        <v>4.2.6) Frequency of terrorist attacks</v>
      </c>
      <c r="D68" s="195">
        <f>INDEX('tblIndicators_2014-O'!$D$2:$D$57,$B68)</f>
        <v>3</v>
      </c>
    </row>
    <row r="69" spans="1:4">
      <c r="A69" s="220" t="s">
        <v>650</v>
      </c>
      <c r="B69" s="195">
        <f>MATCH(A69,'tblIndicators_2014-O'!$B$2:$B$57,0)</f>
        <v>55</v>
      </c>
      <c r="C69" s="195" t="str">
        <f>INDEX('tblIndicators_2014-O'!$Z$2:$Z$57,$B69)</f>
        <v>4.2.7) Gender safety</v>
      </c>
      <c r="D69" s="195">
        <f>INDEX('tblIndicators_2014-O'!$D$2:$D$57,$B69)</f>
        <v>3</v>
      </c>
    </row>
    <row r="70" spans="1:4">
      <c r="A70" s="220" t="s">
        <v>655</v>
      </c>
      <c r="B70" s="195">
        <f>MATCH(A70,'tblIndicators_2014-O'!$B$2:$B$57,0)</f>
        <v>56</v>
      </c>
      <c r="C70" s="195" t="str">
        <f>INDEX('tblIndicators_2014-O'!$Z$2:$Z$57,$B70)</f>
        <v>4.2.8) Perceptions of safety</v>
      </c>
      <c r="D70" s="195">
        <f>INDEX('tblIndicators_2014-O'!$D$2:$D$57,$B70)</f>
        <v>3</v>
      </c>
    </row>
    <row r="73" spans="1:1">
      <c r="A73" s="58" t="s">
        <v>773</v>
      </c>
    </row>
    <row r="74" spans="1:4">
      <c r="A74" s="221" t="s">
        <v>445</v>
      </c>
      <c r="B74" s="195">
        <f>MATCH(A74,'tblIndicators_2014-O'!$B$2:$B$57,0)</f>
        <v>1</v>
      </c>
      <c r="C74" s="195" t="str">
        <f>CONCATENATE(REPT(" ",D74),INDEX('tblIndicators_2014-O'!$Z$2:$Z$57,$B74))</f>
        <v>OVERALL SCORE</v>
      </c>
      <c r="D74" s="195">
        <f>INDEX('tblIndicators_2014-O'!$D$2:$D$57,$B74)</f>
        <v>0</v>
      </c>
    </row>
    <row r="75" spans="1:4">
      <c r="A75" s="222" t="s">
        <v>448</v>
      </c>
      <c r="B75" s="195">
        <f>MATCH(A75,'tblIndicators_2014-O'!$B$2:$B$57,0)</f>
        <v>2</v>
      </c>
      <c r="C75" s="195" t="str">
        <f>CONCATENATE(REPT(" ",D75),INDEX('tblIndicators_2014-O'!$Z$2:$Z$57,$B75))</f>
        <v> 1) DIGITAL SECURITY</v>
      </c>
      <c r="D75" s="195">
        <f>INDEX('tblIndicators_2014-O'!$D$2:$D$57,$B75)</f>
        <v>1</v>
      </c>
    </row>
    <row r="76" spans="1:4">
      <c r="A76" s="218" t="s">
        <v>452</v>
      </c>
      <c r="B76" s="195">
        <f>MATCH(A76,'tblIndicators_2014-O'!$B$2:$B$57,0)</f>
        <v>3</v>
      </c>
      <c r="C76" s="195" t="str">
        <f>CONCATENATE(REPT(" ",D76),INDEX('tblIndicators_2014-O'!$Z$2:$Z$57,$B76))</f>
        <v>  1.1) Digital Security (Inputs)</v>
      </c>
      <c r="D76" s="195">
        <f>INDEX('tblIndicators_2014-O'!$D$2:$D$57,$B76)</f>
        <v>2</v>
      </c>
    </row>
    <row r="77" spans="1:4">
      <c r="A77" s="220" t="s">
        <v>458</v>
      </c>
      <c r="B77" s="195">
        <f>MATCH(A77,'tblIndicators_2014-O'!$B$2:$B$57,0)</f>
        <v>4</v>
      </c>
      <c r="C77" s="195" t="str">
        <f>CONCATENATE(REPT(" ",D77),INDEX('tblIndicators_2014-O'!$Z$2:$Z$57,$B77))</f>
        <v>   1.1.1) Privacy policy</v>
      </c>
      <c r="D77" s="195">
        <f>INDEX('tblIndicators_2014-O'!$D$2:$D$57,$B77)</f>
        <v>3</v>
      </c>
    </row>
    <row r="78" spans="1:4">
      <c r="A78" s="220" t="s">
        <v>463</v>
      </c>
      <c r="B78" s="195">
        <f>MATCH(A78,'tblIndicators_2014-O'!$B$2:$B$57,0)</f>
        <v>5</v>
      </c>
      <c r="C78" s="195" t="str">
        <f>CONCATENATE(REPT(" ",D78),INDEX('tblIndicators_2014-O'!$Z$2:$Z$57,$B78))</f>
        <v>   1.1.2) Citizen awareness of digital threats</v>
      </c>
      <c r="D78" s="195">
        <f>INDEX('tblIndicators_2014-O'!$D$2:$D$57,$B78)</f>
        <v>3</v>
      </c>
    </row>
    <row r="79" spans="1:4">
      <c r="A79" s="220" t="s">
        <v>468</v>
      </c>
      <c r="B79" s="195">
        <f>MATCH(A79,'tblIndicators_2014-O'!$B$2:$B$57,0)</f>
        <v>6</v>
      </c>
      <c r="C79" s="195" t="str">
        <f>CONCATENATE(REPT(" ",D79),INDEX('tblIndicators_2014-O'!$Z$2:$Z$57,$B79))</f>
        <v>   1.1.3) Public-private partnerships</v>
      </c>
      <c r="D79" s="195">
        <f>INDEX('tblIndicators_2014-O'!$D$2:$D$57,$B79)</f>
        <v>3</v>
      </c>
    </row>
    <row r="80" spans="1:4">
      <c r="A80" s="220" t="s">
        <v>473</v>
      </c>
      <c r="B80" s="195">
        <f>MATCH(A80,'tblIndicators_2014-O'!$B$2:$B$57,0)</f>
        <v>7</v>
      </c>
      <c r="C80" s="195" t="str">
        <f>CONCATENATE(REPT(" ",D80),INDEX('tblIndicators_2014-O'!$Z$2:$Z$57,$B80))</f>
        <v>   1.1.4) Level of technology employed</v>
      </c>
      <c r="D80" s="195">
        <f>INDEX('tblIndicators_2014-O'!$D$2:$D$57,$B80)</f>
        <v>3</v>
      </c>
    </row>
    <row r="81" spans="1:4">
      <c r="A81" s="220" t="s">
        <v>478</v>
      </c>
      <c r="B81" s="195">
        <f>MATCH(A81,'tblIndicators_2014-O'!$B$2:$B$57,0)</f>
        <v>8</v>
      </c>
      <c r="C81" s="195" t="str">
        <f>CONCATENATE(REPT(" ",D81),INDEX('tblIndicators_2014-O'!$Z$2:$Z$57,$B81))</f>
        <v>   1.1.5) Dedicated cyber security teams</v>
      </c>
      <c r="D81" s="195">
        <f>INDEX('tblIndicators_2014-O'!$D$2:$D$57,$B81)</f>
        <v>3</v>
      </c>
    </row>
    <row r="82" spans="1:4">
      <c r="A82" s="218" t="s">
        <v>482</v>
      </c>
      <c r="B82" s="195">
        <f>MATCH(A82,'tblIndicators_2014-O'!$B$2:$B$57,0)</f>
        <v>9</v>
      </c>
      <c r="C82" s="195" t="str">
        <f>CONCATENATE(REPT(" ",D82),INDEX('tblIndicators_2014-O'!$Z$2:$Z$57,$B82))</f>
        <v>  1.2) Digital Security (Outputs)</v>
      </c>
      <c r="D82" s="195">
        <f>INDEX('tblIndicators_2014-O'!$D$2:$D$57,$B82)</f>
        <v>2</v>
      </c>
    </row>
    <row r="83" spans="1:4">
      <c r="A83" s="220" t="s">
        <v>486</v>
      </c>
      <c r="B83" s="195">
        <f>MATCH(A83,'tblIndicators_2014-O'!$B$2:$B$57,0)</f>
        <v>10</v>
      </c>
      <c r="C83" s="195" t="str">
        <f>CONCATENATE(REPT(" ",D83),INDEX('tblIndicators_2014-O'!$Z$2:$Z$57,$B83))</f>
        <v>   1.2.1) Frequency of identity theft</v>
      </c>
      <c r="D83" s="195">
        <f>INDEX('tblIndicators_2014-O'!$D$2:$D$57,$B83)</f>
        <v>3</v>
      </c>
    </row>
    <row r="84" spans="1:4">
      <c r="A84" s="220" t="s">
        <v>491</v>
      </c>
      <c r="B84" s="195">
        <f>MATCH(A84,'tblIndicators_2014-O'!$B$2:$B$57,0)</f>
        <v>11</v>
      </c>
      <c r="C84" s="195" t="str">
        <f>CONCATENATE(REPT(" ",D84),INDEX('tblIndicators_2014-O'!$Z$2:$Z$57,$B84))</f>
        <v>   1.2.2) Percentage of computers infected</v>
      </c>
      <c r="D84" s="195">
        <f>INDEX('tblIndicators_2014-O'!$D$2:$D$57,$B84)</f>
        <v>3</v>
      </c>
    </row>
    <row r="85" spans="1:4">
      <c r="A85" s="220" t="s">
        <v>495</v>
      </c>
      <c r="B85" s="195">
        <f>MATCH(A85,'tblIndicators_2014-O'!$B$2:$B$57,0)</f>
        <v>12</v>
      </c>
      <c r="C85" s="195" t="str">
        <f>CONCATENATE(REPT(" ",D85),INDEX('tblIndicators_2014-O'!$Z$2:$Z$57,$B85))</f>
        <v>   1.2.3) Percent with internet access</v>
      </c>
      <c r="D85" s="195">
        <f>INDEX('tblIndicators_2014-O'!$D$2:$D$57,$B85)</f>
        <v>3</v>
      </c>
    </row>
    <row r="86" spans="1:4">
      <c r="A86" s="222" t="s">
        <v>499</v>
      </c>
      <c r="B86" s="195">
        <f>MATCH(A86,'tblIndicators_2014-O'!$B$2:$B$57,0)</f>
        <v>13</v>
      </c>
      <c r="C86" s="195" t="str">
        <f>CONCATENATE(REPT(" ",D86),INDEX('tblIndicators_2014-O'!$Z$2:$Z$57,$B86))</f>
        <v> 2) HEALTH SECURITY</v>
      </c>
      <c r="D86" s="195">
        <f>INDEX('tblIndicators_2014-O'!$D$2:$D$57,$B86)</f>
        <v>1</v>
      </c>
    </row>
    <row r="87" spans="1:4">
      <c r="A87" s="218" t="s">
        <v>502</v>
      </c>
      <c r="B87" s="195">
        <f>MATCH(A87,'tblIndicators_2014-O'!$B$2:$B$57,0)</f>
        <v>14</v>
      </c>
      <c r="C87" s="195" t="str">
        <f>CONCATENATE(REPT(" ",D87),INDEX('tblIndicators_2014-O'!$Z$2:$Z$57,$B87))</f>
        <v>  2.1) Health Security (Inputs)</v>
      </c>
      <c r="D87" s="195">
        <f>INDEX('tblIndicators_2014-O'!$D$2:$D$57,$B87)</f>
        <v>2</v>
      </c>
    </row>
    <row r="88" spans="1:4">
      <c r="A88" s="220" t="s">
        <v>505</v>
      </c>
      <c r="B88" s="195">
        <f>MATCH(A88,'tblIndicators_2014-O'!$B$2:$B$57,0)</f>
        <v>15</v>
      </c>
      <c r="C88" s="195" t="str">
        <f>CONCATENATE(REPT(" ",D88),INDEX('tblIndicators_2014-O'!$Z$2:$Z$57,$B88))</f>
        <v>   2.1.1) Environmental policies</v>
      </c>
      <c r="D88" s="195">
        <f>INDEX('tblIndicators_2014-O'!$D$2:$D$57,$B88)</f>
        <v>3</v>
      </c>
    </row>
    <row r="89" spans="1:4">
      <c r="A89" s="220" t="s">
        <v>509</v>
      </c>
      <c r="B89" s="195">
        <f>MATCH(A89,'tblIndicators_2014-O'!$B$2:$B$57,0)</f>
        <v>16</v>
      </c>
      <c r="C89" s="195" t="str">
        <f>CONCATENATE(REPT(" ",D89),INDEX('tblIndicators_2014-O'!$Z$2:$Z$57,$B89))</f>
        <v>   2.1.2) Access to healthcare</v>
      </c>
      <c r="D89" s="195">
        <f>INDEX('tblIndicators_2014-O'!$D$2:$D$57,$B89)</f>
        <v>3</v>
      </c>
    </row>
    <row r="90" spans="1:4">
      <c r="A90" s="220" t="s">
        <v>513</v>
      </c>
      <c r="B90" s="195">
        <f>MATCH(A90,'tblIndicators_2014-O'!$B$2:$B$57,0)</f>
        <v>17</v>
      </c>
      <c r="C90" s="195" t="str">
        <f>CONCATENATE(REPT(" ",D90),INDEX('tblIndicators_2014-O'!$Z$2:$Z$57,$B90))</f>
        <v>   2.1.3) No. of beds per 1000</v>
      </c>
      <c r="D90" s="195">
        <f>INDEX('tblIndicators_2014-O'!$D$2:$D$57,$B90)</f>
        <v>3</v>
      </c>
    </row>
    <row r="91" spans="1:4">
      <c r="A91" s="220" t="s">
        <v>518</v>
      </c>
      <c r="B91" s="195">
        <f>MATCH(A91,'tblIndicators_2014-O'!$B$2:$B$57,0)</f>
        <v>18</v>
      </c>
      <c r="C91" s="195" t="str">
        <f>CONCATENATE(REPT(" ",D91),INDEX('tblIndicators_2014-O'!$Z$2:$Z$57,$B91))</f>
        <v>   2.1.4) Number of doctors per 1000</v>
      </c>
      <c r="D91" s="195">
        <f>INDEX('tblIndicators_2014-O'!$D$2:$D$57,$B91)</f>
        <v>3</v>
      </c>
    </row>
    <row r="92" spans="1:4">
      <c r="A92" s="220" t="s">
        <v>521</v>
      </c>
      <c r="B92" s="195">
        <f>MATCH(A92,'tblIndicators_2014-O'!$B$2:$B$57,0)</f>
        <v>19</v>
      </c>
      <c r="C92" s="195" t="str">
        <f>CONCATENATE(REPT(" ",D92),INDEX('tblIndicators_2014-O'!$Z$2:$Z$57,$B92))</f>
        <v>   2.1.5) Access to safe and quality food</v>
      </c>
      <c r="D92" s="195">
        <f>INDEX('tblIndicators_2014-O'!$D$2:$D$57,$B92)</f>
        <v>3</v>
      </c>
    </row>
    <row r="93" spans="1:4">
      <c r="A93" s="220" t="s">
        <v>525</v>
      </c>
      <c r="B93" s="195">
        <f>MATCH(A93,'tblIndicators_2014-O'!$B$2:$B$57,0)</f>
        <v>20</v>
      </c>
      <c r="C93" s="195" t="str">
        <f>CONCATENATE(REPT(" ",D93),INDEX('tblIndicators_2014-O'!$Z$2:$Z$57,$B93))</f>
        <v>   2.1.6) Quality of health services</v>
      </c>
      <c r="D93" s="195">
        <f>INDEX('tblIndicators_2014-O'!$D$2:$D$57,$B93)</f>
        <v>3</v>
      </c>
    </row>
    <row r="94" spans="1:4">
      <c r="A94" s="218" t="s">
        <v>529</v>
      </c>
      <c r="B94" s="195">
        <f>MATCH(A94,'tblIndicators_2014-O'!$B$2:$B$57,0)</f>
        <v>21</v>
      </c>
      <c r="C94" s="195" t="str">
        <f>CONCATENATE(REPT(" ",D94),INDEX('tblIndicators_2014-O'!$Z$2:$Z$57,$B94))</f>
        <v>  2.2) Health Security (Outputs)</v>
      </c>
      <c r="D94" s="195">
        <f>INDEX('tblIndicators_2014-O'!$D$2:$D$57,$B94)</f>
        <v>2</v>
      </c>
    </row>
    <row r="95" spans="1:4">
      <c r="A95" s="220" t="s">
        <v>532</v>
      </c>
      <c r="B95" s="195">
        <f>MATCH(A95,'tblIndicators_2014-O'!$B$2:$B$57,0)</f>
        <v>22</v>
      </c>
      <c r="C95" s="195" t="str">
        <f>CONCATENATE(REPT(" ",D95),INDEX('tblIndicators_2014-O'!$Z$2:$Z$57,$B95))</f>
        <v>   2.2.1) Air quality</v>
      </c>
      <c r="D95" s="195">
        <f>INDEX('tblIndicators_2014-O'!$D$2:$D$57,$B95)</f>
        <v>3</v>
      </c>
    </row>
    <row r="96" spans="1:4">
      <c r="A96" s="220" t="s">
        <v>536</v>
      </c>
      <c r="B96" s="195">
        <f>MATCH(A96,'tblIndicators_2014-O'!$B$2:$B$57,0)</f>
        <v>23</v>
      </c>
      <c r="C96" s="195" t="str">
        <f>CONCATENATE(REPT(" ",D96),INDEX('tblIndicators_2014-O'!$Z$2:$Z$57,$B96))</f>
        <v>   2.2.2) Water quality</v>
      </c>
      <c r="D96" s="195">
        <f>INDEX('tblIndicators_2014-O'!$D$2:$D$57,$B96)</f>
        <v>3</v>
      </c>
    </row>
    <row r="97" spans="1:4">
      <c r="A97" s="220" t="s">
        <v>539</v>
      </c>
      <c r="B97" s="195">
        <f>MATCH(A97,'tblIndicators_2014-O'!$B$2:$B$57,0)</f>
        <v>24</v>
      </c>
      <c r="C97" s="195" t="str">
        <f>CONCATENATE(REPT(" ",D97),INDEX('tblIndicators_2014-O'!$Z$2:$Z$57,$B97))</f>
        <v>   2.2.3) Life expectancy</v>
      </c>
      <c r="D97" s="195">
        <f>INDEX('tblIndicators_2014-O'!$D$2:$D$57,$B97)</f>
        <v>3</v>
      </c>
    </row>
    <row r="98" spans="1:4">
      <c r="A98" s="220" t="s">
        <v>544</v>
      </c>
      <c r="B98" s="195">
        <f>MATCH(A98,'tblIndicators_2014-O'!$B$2:$B$57,0)</f>
        <v>25</v>
      </c>
      <c r="C98" s="195" t="str">
        <f>CONCATENATE(REPT(" ",D98),INDEX('tblIndicators_2014-O'!$Z$2:$Z$57,$B98))</f>
        <v>   2.2.4) Infant mortality (deaths per 1,000 live births)</v>
      </c>
      <c r="D98" s="195">
        <f>INDEX('tblIndicators_2014-O'!$D$2:$D$57,$B98)</f>
        <v>3</v>
      </c>
    </row>
    <row r="99" spans="1:4">
      <c r="A99" s="220" t="s">
        <v>548</v>
      </c>
      <c r="B99" s="195">
        <f>MATCH(A99,'tblIndicators_2014-O'!$B$2:$B$57,0)</f>
        <v>26</v>
      </c>
      <c r="C99" s="195" t="str">
        <f>CONCATENATE(REPT(" ",D99),INDEX('tblIndicators_2014-O'!$Z$2:$Z$57,$B99))</f>
        <v>   2.2.5) Cancer mortality rate ( Cancer deaths per 100,000)</v>
      </c>
      <c r="D99" s="195">
        <f>INDEX('tblIndicators_2014-O'!$D$2:$D$57,$B99)</f>
        <v>3</v>
      </c>
    </row>
    <row r="100" spans="1:4">
      <c r="A100" s="222" t="s">
        <v>553</v>
      </c>
      <c r="B100" s="195">
        <f>MATCH(A100,'tblIndicators_2014-O'!$B$2:$B$57,0)</f>
        <v>27</v>
      </c>
      <c r="C100" s="195" t="str">
        <f>CONCATENATE(REPT(" ",D100),INDEX('tblIndicators_2014-O'!$Z$2:$Z$57,$B100))</f>
        <v> 3) INFRASTRUCTURE SECURITY</v>
      </c>
      <c r="D100" s="195">
        <f>INDEX('tblIndicators_2014-O'!$D$2:$D$57,$B100)</f>
        <v>1</v>
      </c>
    </row>
    <row r="101" spans="1:4">
      <c r="A101" s="218" t="s">
        <v>555</v>
      </c>
      <c r="B101" s="195">
        <f>MATCH(A101,'tblIndicators_2014-O'!$B$2:$B$57,0)</f>
        <v>28</v>
      </c>
      <c r="C101" s="195" t="str">
        <f>CONCATENATE(REPT(" ",D101),INDEX('tblIndicators_2014-O'!$Z$2:$Z$57,$B101))</f>
        <v>  3.1) Infrastructure Security (Inputs)</v>
      </c>
      <c r="D101" s="195">
        <f>INDEX('tblIndicators_2014-O'!$D$2:$D$57,$B101)</f>
        <v>2</v>
      </c>
    </row>
    <row r="102" spans="1:4">
      <c r="A102" s="220" t="s">
        <v>558</v>
      </c>
      <c r="B102" s="195">
        <f>MATCH(A102,'tblIndicators_2014-O'!$B$2:$B$57,0)</f>
        <v>29</v>
      </c>
      <c r="C102" s="195" t="str">
        <f>CONCATENATE(REPT(" ",D102),INDEX('tblIndicators_2014-O'!$Z$2:$Z$57,$B102))</f>
        <v>   3.1.1) Enforcement of transport safety</v>
      </c>
      <c r="D102" s="195">
        <f>INDEX('tblIndicators_2014-O'!$D$2:$D$57,$B102)</f>
        <v>3</v>
      </c>
    </row>
    <row r="103" spans="1:4">
      <c r="A103" s="220" t="s">
        <v>562</v>
      </c>
      <c r="B103" s="195">
        <f>MATCH(A103,'tblIndicators_2014-O'!$B$2:$B$57,0)</f>
        <v>30</v>
      </c>
      <c r="C103" s="195" t="str">
        <f>CONCATENATE(REPT(" ",D103),INDEX('tblIndicators_2014-O'!$Z$2:$Z$57,$B103))</f>
        <v>   3.1.2) Pedestrian friendliness</v>
      </c>
      <c r="D103" s="195">
        <f>INDEX('tblIndicators_2014-O'!$D$2:$D$57,$B103)</f>
        <v>3</v>
      </c>
    </row>
    <row r="104" spans="1:4">
      <c r="A104" s="220" t="s">
        <v>565</v>
      </c>
      <c r="B104" s="195">
        <f>MATCH(A104,'tblIndicators_2014-O'!$B$2:$B$57,0)</f>
        <v>31</v>
      </c>
      <c r="C104" s="195" t="str">
        <f>CONCATENATE(REPT(" ",D104),INDEX('tblIndicators_2014-O'!$Z$2:$Z$57,$B104))</f>
        <v>   3.1.3) Quality of road infrastructure</v>
      </c>
      <c r="D104" s="195">
        <f>INDEX('tblIndicators_2014-O'!$D$2:$D$57,$B104)</f>
        <v>3</v>
      </c>
    </row>
    <row r="105" spans="1:4">
      <c r="A105" s="220" t="s">
        <v>568</v>
      </c>
      <c r="B105" s="195">
        <f>MATCH(A105,'tblIndicators_2014-O'!$B$2:$B$57,0)</f>
        <v>32</v>
      </c>
      <c r="C105" s="195" t="str">
        <f>CONCATENATE(REPT(" ",D105),INDEX('tblIndicators_2014-O'!$Z$2:$Z$57,$B105))</f>
        <v>   3.1.4) Quality of electricity infrastructure</v>
      </c>
      <c r="D105" s="195">
        <f>INDEX('tblIndicators_2014-O'!$D$2:$D$57,$B105)</f>
        <v>3</v>
      </c>
    </row>
    <row r="106" spans="1:4">
      <c r="A106" s="220" t="s">
        <v>571</v>
      </c>
      <c r="B106" s="195">
        <f>MATCH(A106,'tblIndicators_2014-O'!$B$2:$B$57,0)</f>
        <v>33</v>
      </c>
      <c r="C106" s="195" t="str">
        <f>CONCATENATE(REPT(" ",D106),INDEX('tblIndicators_2014-O'!$Z$2:$Z$57,$B106))</f>
        <v>   3.1.5) Disaster Management/Business Continuity Plan</v>
      </c>
      <c r="D106" s="195">
        <f>INDEX('tblIndicators_2014-O'!$D$2:$D$57,$B106)</f>
        <v>3</v>
      </c>
    </row>
    <row r="107" spans="1:4">
      <c r="A107" s="218" t="s">
        <v>574</v>
      </c>
      <c r="B107" s="195">
        <f>MATCH(A107,'tblIndicators_2014-O'!$B$2:$B$57,0)</f>
        <v>34</v>
      </c>
      <c r="C107" s="195" t="str">
        <f>CONCATENATE(REPT(" ",D107),INDEX('tblIndicators_2014-O'!$Z$2:$Z$57,$B107))</f>
        <v>  3.2) Infrastructure Security (Outputs)</v>
      </c>
      <c r="D107" s="195">
        <f>INDEX('tblIndicators_2014-O'!$D$2:$D$57,$B107)</f>
        <v>2</v>
      </c>
    </row>
    <row r="108" spans="1:4">
      <c r="A108" s="220" t="s">
        <v>577</v>
      </c>
      <c r="B108" s="195">
        <f>MATCH(A108,'tblIndicators_2014-O'!$B$2:$B$57,0)</f>
        <v>35</v>
      </c>
      <c r="C108" s="195" t="str">
        <f>CONCATENATE(REPT(" ",D108),INDEX('tblIndicators_2014-O'!$Z$2:$Z$57,$B108))</f>
        <v>   3.2.1) Death from natural disasters</v>
      </c>
      <c r="D108" s="195">
        <f>INDEX('tblIndicators_2014-O'!$D$2:$D$57,$B108)</f>
        <v>3</v>
      </c>
    </row>
    <row r="109" spans="1:4">
      <c r="A109" s="220" t="s">
        <v>582</v>
      </c>
      <c r="B109" s="195">
        <f>MATCH(A109,'tblIndicators_2014-O'!$B$2:$B$57,0)</f>
        <v>36</v>
      </c>
      <c r="C109" s="195" t="str">
        <f>CONCATENATE(REPT(" ",D109),INDEX('tblIndicators_2014-O'!$Z$2:$Z$57,$B109))</f>
        <v>   3.2.2) Frequency of vehicular accidents</v>
      </c>
      <c r="D109" s="195">
        <f>INDEX('tblIndicators_2014-O'!$D$2:$D$57,$B109)</f>
        <v>3</v>
      </c>
    </row>
    <row r="110" spans="1:4">
      <c r="A110" s="220" t="s">
        <v>586</v>
      </c>
      <c r="B110" s="195">
        <f>MATCH(A110,'tblIndicators_2014-O'!$B$2:$B$57,0)</f>
        <v>37</v>
      </c>
      <c r="C110" s="195" t="str">
        <f>CONCATENATE(REPT(" ",D110),INDEX('tblIndicators_2014-O'!$Z$2:$Z$57,$B110))</f>
        <v>   3.2.3) Frequency of pedestrian deaths</v>
      </c>
      <c r="D110" s="195">
        <f>INDEX('tblIndicators_2014-O'!$D$2:$D$57,$B110)</f>
        <v>3</v>
      </c>
    </row>
    <row r="111" spans="1:4">
      <c r="A111" s="220" t="s">
        <v>589</v>
      </c>
      <c r="B111" s="195">
        <f>MATCH(A111,'tblIndicators_2014-O'!$B$2:$B$57,0)</f>
        <v>38</v>
      </c>
      <c r="C111" s="195" t="str">
        <f>CONCATENATE(REPT(" ",D111),INDEX('tblIndicators_2014-O'!$Z$2:$Z$57,$B111))</f>
        <v>   3.2.4) Percent living in urban slums</v>
      </c>
      <c r="D111" s="195">
        <f>INDEX('tblIndicators_2014-O'!$D$2:$D$57,$B111)</f>
        <v>3</v>
      </c>
    </row>
    <row r="112" spans="1:4">
      <c r="A112" s="222" t="s">
        <v>592</v>
      </c>
      <c r="B112" s="195">
        <f>MATCH(A112,'tblIndicators_2014-O'!$B$2:$B$57,0)</f>
        <v>39</v>
      </c>
      <c r="C112" s="195" t="str">
        <f>CONCATENATE(REPT(" ",D112),INDEX('tblIndicators_2014-O'!$Z$2:$Z$57,$B112))</f>
        <v> 4) PERSONAL SECURITY</v>
      </c>
      <c r="D112" s="195">
        <f>INDEX('tblIndicators_2014-O'!$D$2:$D$57,$B112)</f>
        <v>1</v>
      </c>
    </row>
    <row r="113" spans="1:4">
      <c r="A113" s="218" t="s">
        <v>594</v>
      </c>
      <c r="B113" s="195">
        <f>MATCH(A113,'tblIndicators_2014-O'!$B$2:$B$57,0)</f>
        <v>40</v>
      </c>
      <c r="C113" s="195" t="str">
        <f>CONCATENATE(REPT(" ",D113),INDEX('tblIndicators_2014-O'!$Z$2:$Z$57,$B113))</f>
        <v>  4.1) Personal Security (Inputs)</v>
      </c>
      <c r="D113" s="195">
        <f>INDEX('tblIndicators_2014-O'!$D$2:$D$57,$B113)</f>
        <v>2</v>
      </c>
    </row>
    <row r="114" spans="1:4">
      <c r="A114" s="220" t="s">
        <v>597</v>
      </c>
      <c r="B114" s="195">
        <f>MATCH(A114,'tblIndicators_2014-O'!$B$2:$B$57,0)</f>
        <v>41</v>
      </c>
      <c r="C114" s="195" t="str">
        <f>CONCATENATE(REPT(" ",D114),INDEX('tblIndicators_2014-O'!$Z$2:$Z$57,$B114))</f>
        <v>   4.1.1) Level of police engagement</v>
      </c>
      <c r="D114" s="195">
        <f>INDEX('tblIndicators_2014-O'!$D$2:$D$57,$B114)</f>
        <v>3</v>
      </c>
    </row>
    <row r="115" spans="1:4">
      <c r="A115" s="220" t="s">
        <v>602</v>
      </c>
      <c r="B115" s="195">
        <f>MATCH(A115,'tblIndicators_2014-O'!$B$2:$B$57,0)</f>
        <v>42</v>
      </c>
      <c r="C115" s="195" t="str">
        <f>CONCATENATE(REPT(" ",D115),INDEX('tblIndicators_2014-O'!$Z$2:$Z$57,$B115))</f>
        <v>   4.1.2) Community-based patrolling</v>
      </c>
      <c r="D115" s="195">
        <f>INDEX('tblIndicators_2014-O'!$D$2:$D$57,$B115)</f>
        <v>3</v>
      </c>
    </row>
    <row r="116" spans="1:4">
      <c r="A116" s="220" t="s">
        <v>607</v>
      </c>
      <c r="B116" s="195">
        <f>MATCH(A116,'tblIndicators_2014-O'!$B$2:$B$57,0)</f>
        <v>43</v>
      </c>
      <c r="C116" s="195" t="str">
        <f>CONCATENATE(REPT(" ",D116),INDEX('tblIndicators_2014-O'!$Z$2:$Z$57,$B116))</f>
        <v>   4.1.3) Availability of street-level crime data</v>
      </c>
      <c r="D116" s="195">
        <f>INDEX('tblIndicators_2014-O'!$D$2:$D$57,$B116)</f>
        <v>3</v>
      </c>
    </row>
    <row r="117" spans="1:4">
      <c r="A117" s="220" t="s">
        <v>610</v>
      </c>
      <c r="B117" s="195">
        <f>MATCH(A117,'tblIndicators_2014-O'!$B$2:$B$57,0)</f>
        <v>44</v>
      </c>
      <c r="C117" s="195" t="str">
        <f>CONCATENATE(REPT(" ",D117),INDEX('tblIndicators_2014-O'!$Z$2:$Z$57,$B117))</f>
        <v>   4.1.4) Use of data-driven techniques for crime</v>
      </c>
      <c r="D117" s="195">
        <f>INDEX('tblIndicators_2014-O'!$D$2:$D$57,$B117)</f>
        <v>3</v>
      </c>
    </row>
    <row r="118" spans="1:4">
      <c r="A118" s="220" t="s">
        <v>613</v>
      </c>
      <c r="B118" s="195">
        <f>MATCH(A118,'tblIndicators_2014-O'!$B$2:$B$57,0)</f>
        <v>45</v>
      </c>
      <c r="C118" s="195" t="str">
        <f>CONCATENATE(REPT(" ",D118),INDEX('tblIndicators_2014-O'!$Z$2:$Z$57,$B118))</f>
        <v>   4.1.5) Private security measures</v>
      </c>
      <c r="D118" s="195">
        <f>INDEX('tblIndicators_2014-O'!$D$2:$D$57,$B118)</f>
        <v>3</v>
      </c>
    </row>
    <row r="119" spans="1:4">
      <c r="A119" s="220" t="s">
        <v>616</v>
      </c>
      <c r="B119" s="195">
        <f>MATCH(A119,'tblIndicators_2014-O'!$B$2:$B$57,0)</f>
        <v>46</v>
      </c>
      <c r="C119" s="195" t="str">
        <f>CONCATENATE(REPT(" ",D119),INDEX('tblIndicators_2014-O'!$Z$2:$Z$57,$B119))</f>
        <v>   4.1.6) Gun regulation and enforcement</v>
      </c>
      <c r="D119" s="195">
        <f>INDEX('tblIndicators_2014-O'!$D$2:$D$57,$B119)</f>
        <v>3</v>
      </c>
    </row>
    <row r="120" spans="1:4">
      <c r="A120" s="220" t="s">
        <v>620</v>
      </c>
      <c r="B120" s="195">
        <f>MATCH(A120,'tblIndicators_2014-O'!$B$2:$B$57,0)</f>
        <v>47</v>
      </c>
      <c r="C120" s="195" t="str">
        <f>CONCATENATE(REPT(" ",D120),INDEX('tblIndicators_2014-O'!$Z$2:$Z$57,$B120))</f>
        <v>   4.1.7) Political Stability Risk</v>
      </c>
      <c r="D120" s="195">
        <f>INDEX('tblIndicators_2014-O'!$D$2:$D$57,$B120)</f>
        <v>3</v>
      </c>
    </row>
    <row r="121" spans="1:4">
      <c r="A121" s="218" t="s">
        <v>624</v>
      </c>
      <c r="B121" s="195">
        <f>MATCH(A121,'tblIndicators_2014-O'!$B$2:$B$57,0)</f>
        <v>48</v>
      </c>
      <c r="C121" s="195" t="str">
        <f>CONCATENATE(REPT(" ",D121),INDEX('tblIndicators_2014-O'!$Z$2:$Z$57,$B121))</f>
        <v>  4.2) Personal Security (Outputs)</v>
      </c>
      <c r="D121" s="195">
        <f>INDEX('tblIndicators_2014-O'!$D$2:$D$57,$B121)</f>
        <v>2</v>
      </c>
    </row>
    <row r="122" spans="1:4">
      <c r="A122" s="220" t="s">
        <v>627</v>
      </c>
      <c r="B122" s="195">
        <f>MATCH(A122,'tblIndicators_2014-O'!$B$2:$B$57,0)</f>
        <v>49</v>
      </c>
      <c r="C122" s="195" t="str">
        <f>CONCATENATE(REPT(" ",D122),INDEX('tblIndicators_2014-O'!$Z$2:$Z$57,$B122))</f>
        <v>   4.2.1) Prevalence of petty crime</v>
      </c>
      <c r="D122" s="195">
        <f>INDEX('tblIndicators_2014-O'!$D$2:$D$57,$B122)</f>
        <v>3</v>
      </c>
    </row>
    <row r="123" spans="1:4">
      <c r="A123" s="220" t="s">
        <v>631</v>
      </c>
      <c r="B123" s="195">
        <f>MATCH(A123,'tblIndicators_2014-O'!$B$2:$B$57,0)</f>
        <v>50</v>
      </c>
      <c r="C123" s="195" t="str">
        <f>CONCATENATE(REPT(" ",D123),INDEX('tblIndicators_2014-O'!$Z$2:$Z$57,$B123))</f>
        <v>   4.2.2) Prevalence of violence crime</v>
      </c>
      <c r="D123" s="195">
        <f>INDEX('tblIndicators_2014-O'!$D$2:$D$57,$B123)</f>
        <v>3</v>
      </c>
    </row>
    <row r="124" spans="1:4">
      <c r="A124" s="220" t="s">
        <v>634</v>
      </c>
      <c r="B124" s="195">
        <f>MATCH(A124,'tblIndicators_2014-O'!$B$2:$B$57,0)</f>
        <v>51</v>
      </c>
      <c r="C124" s="195" t="str">
        <f>CONCATENATE(REPT(" ",D124),INDEX('tblIndicators_2014-O'!$Z$2:$Z$57,$B124))</f>
        <v>   4.2.3) Criminal gang activity</v>
      </c>
      <c r="D124" s="195">
        <f>INDEX('tblIndicators_2014-O'!$D$2:$D$57,$B124)</f>
        <v>3</v>
      </c>
    </row>
    <row r="125" spans="1:4">
      <c r="A125" s="220" t="s">
        <v>639</v>
      </c>
      <c r="B125" s="195">
        <f>MATCH(A125,'tblIndicators_2014-O'!$B$2:$B$57,0)</f>
        <v>52</v>
      </c>
      <c r="C125" s="195" t="str">
        <f>CONCATENATE(REPT(" ",D125),INDEX('tblIndicators_2014-O'!$Z$2:$Z$57,$B125))</f>
        <v>   4.2.4) Level of corruption in police force</v>
      </c>
      <c r="D125" s="195">
        <f>INDEX('tblIndicators_2014-O'!$D$2:$D$57,$B125)</f>
        <v>3</v>
      </c>
    </row>
    <row r="126" spans="1:4">
      <c r="A126" s="220" t="s">
        <v>642</v>
      </c>
      <c r="B126" s="195">
        <f>MATCH(A126,'tblIndicators_2014-O'!$B$2:$B$57,0)</f>
        <v>53</v>
      </c>
      <c r="C126" s="195" t="str">
        <f>CONCATENATE(REPT(" ",D126),INDEX('tblIndicators_2014-O'!$Z$2:$Z$57,$B126))</f>
        <v>   4.2.5) Rate of drug use</v>
      </c>
      <c r="D126" s="195">
        <f>INDEX('tblIndicators_2014-O'!$D$2:$D$57,$B126)</f>
        <v>3</v>
      </c>
    </row>
    <row r="127" spans="1:4">
      <c r="A127" s="220" t="s">
        <v>645</v>
      </c>
      <c r="B127" s="195">
        <f>MATCH(A127,'tblIndicators_2014-O'!$B$2:$B$57,0)</f>
        <v>54</v>
      </c>
      <c r="C127" s="195" t="str">
        <f>CONCATENATE(REPT(" ",D127),INDEX('tblIndicators_2014-O'!$Z$2:$Z$57,$B127))</f>
        <v>   4.2.6) Frequency of terrorist attacks</v>
      </c>
      <c r="D127" s="195">
        <f>INDEX('tblIndicators_2014-O'!$D$2:$D$57,$B127)</f>
        <v>3</v>
      </c>
    </row>
    <row r="128" spans="1:4">
      <c r="A128" s="220" t="s">
        <v>650</v>
      </c>
      <c r="B128" s="195">
        <f>MATCH(A128,'tblIndicators_2014-O'!$B$2:$B$57,0)</f>
        <v>55</v>
      </c>
      <c r="C128" s="195" t="str">
        <f>CONCATENATE(REPT(" ",D128),INDEX('tblIndicators_2014-O'!$Z$2:$Z$57,$B128))</f>
        <v>   4.2.7) Gender safety</v>
      </c>
      <c r="D128" s="195">
        <f>INDEX('tblIndicators_2014-O'!$D$2:$D$57,$B128)</f>
        <v>3</v>
      </c>
    </row>
    <row r="129" spans="1:4">
      <c r="A129" s="220" t="s">
        <v>655</v>
      </c>
      <c r="B129" s="195">
        <f>MATCH(A129,'tblIndicators_2014-O'!$B$2:$B$57,0)</f>
        <v>56</v>
      </c>
      <c r="C129" s="195" t="str">
        <f>CONCATENATE(REPT(" ",D129),INDEX('tblIndicators_2014-O'!$Z$2:$Z$57,$B129))</f>
        <v>   4.2.8) Perceptions of safety</v>
      </c>
      <c r="D129" s="195">
        <f>INDEX('tblIndicators_2014-O'!$D$2:$D$57,$B129)</f>
        <v>3</v>
      </c>
    </row>
    <row r="132" spans="1:1">
      <c r="A132" s="58" t="s">
        <v>774</v>
      </c>
    </row>
    <row r="133" spans="1:4">
      <c r="A133" s="221" t="s">
        <v>445</v>
      </c>
      <c r="B133" s="195">
        <f>MATCH(A133,'tblIndicators_2014-O'!$B$2:$B$57,0)</f>
        <v>1</v>
      </c>
      <c r="C133" s="195" t="str">
        <f>CONCATENATE(REPT(" ",D133),INDEX('tblIndicators_2014-O'!$Z$2:$Z$57,$B133))</f>
        <v>OVERALL SCORE</v>
      </c>
      <c r="D133" s="195">
        <f>INDEX('tblIndicators_2014-O'!$D$2:$D$57,$B133)</f>
        <v>0</v>
      </c>
    </row>
    <row r="134" spans="1:4">
      <c r="A134" s="222" t="s">
        <v>448</v>
      </c>
      <c r="B134" s="195">
        <f>MATCH(A134,'tblIndicators_2014-O'!$B$2:$B$57,0)</f>
        <v>2</v>
      </c>
      <c r="C134" s="195" t="str">
        <f>CONCATENATE(REPT(" ",D134),INDEX('tblIndicators_2014-O'!$Z$2:$Z$57,$B134))</f>
        <v> 1) DIGITAL SECURITY</v>
      </c>
      <c r="D134" s="195">
        <f>INDEX('tblIndicators_2014-O'!$D$2:$D$57,$B134)</f>
        <v>1</v>
      </c>
    </row>
    <row r="135" spans="1:4">
      <c r="A135" s="218" t="s">
        <v>452</v>
      </c>
      <c r="B135" s="195">
        <f>MATCH(A135,'tblIndicators_2014-O'!$B$2:$B$57,0)</f>
        <v>3</v>
      </c>
      <c r="C135" s="195" t="str">
        <f>CONCATENATE(REPT(" ",D135),INDEX('tblIndicators_2014-O'!$Z$2:$Z$57,$B135))</f>
        <v>  1.1) Digital Security (Inputs)</v>
      </c>
      <c r="D135" s="195">
        <f>INDEX('tblIndicators_2014-O'!$D$2:$D$57,$B135)</f>
        <v>2</v>
      </c>
    </row>
    <row r="136" spans="1:4">
      <c r="A136" s="220" t="s">
        <v>458</v>
      </c>
      <c r="B136" s="195">
        <f>MATCH(A136,'tblIndicators_2014-O'!$B$2:$B$57,0)</f>
        <v>4</v>
      </c>
      <c r="C136" s="195" t="str">
        <f>CONCATENATE(REPT(" ",D136),INDEX('tblIndicators_2014-O'!$Z$2:$Z$57,$B136))</f>
        <v>   1.1.1) Privacy policy</v>
      </c>
      <c r="D136" s="195">
        <f>INDEX('tblIndicators_2014-O'!$D$2:$D$57,$B136)</f>
        <v>3</v>
      </c>
    </row>
    <row r="137" spans="1:4">
      <c r="A137" s="220" t="s">
        <v>463</v>
      </c>
      <c r="B137" s="195">
        <f>MATCH(A137,'tblIndicators_2014-O'!$B$2:$B$57,0)</f>
        <v>5</v>
      </c>
      <c r="C137" s="195" t="str">
        <f>CONCATENATE(REPT(" ",D137),INDEX('tblIndicators_2014-O'!$Z$2:$Z$57,$B137))</f>
        <v>   1.1.2) Citizen awareness of digital threats</v>
      </c>
      <c r="D137" s="195">
        <f>INDEX('tblIndicators_2014-O'!$D$2:$D$57,$B137)</f>
        <v>3</v>
      </c>
    </row>
    <row r="138" spans="1:4">
      <c r="A138" s="220" t="s">
        <v>468</v>
      </c>
      <c r="B138" s="195">
        <f>MATCH(A138,'tblIndicators_2014-O'!$B$2:$B$57,0)</f>
        <v>6</v>
      </c>
      <c r="C138" s="195" t="str">
        <f>CONCATENATE(REPT(" ",D138),INDEX('tblIndicators_2014-O'!$Z$2:$Z$57,$B138))</f>
        <v>   1.1.3) Public-private partnerships</v>
      </c>
      <c r="D138" s="195">
        <f>INDEX('tblIndicators_2014-O'!$D$2:$D$57,$B138)</f>
        <v>3</v>
      </c>
    </row>
    <row r="139" spans="1:4">
      <c r="A139" s="220" t="s">
        <v>473</v>
      </c>
      <c r="B139" s="195">
        <f>MATCH(A139,'tblIndicators_2014-O'!$B$2:$B$57,0)</f>
        <v>7</v>
      </c>
      <c r="C139" s="195" t="str">
        <f>CONCATENATE(REPT(" ",D139),INDEX('tblIndicators_2014-O'!$Z$2:$Z$57,$B139))</f>
        <v>   1.1.4) Level of technology employed</v>
      </c>
      <c r="D139" s="195">
        <f>INDEX('tblIndicators_2014-O'!$D$2:$D$57,$B139)</f>
        <v>3</v>
      </c>
    </row>
    <row r="140" spans="1:4">
      <c r="A140" s="220" t="s">
        <v>478</v>
      </c>
      <c r="B140" s="195">
        <f>MATCH(A140,'tblIndicators_2014-O'!$B$2:$B$57,0)</f>
        <v>8</v>
      </c>
      <c r="C140" s="195" t="str">
        <f>CONCATENATE(REPT(" ",D140),INDEX('tblIndicators_2014-O'!$Z$2:$Z$57,$B140))</f>
        <v>   1.1.5) Dedicated cyber security teams</v>
      </c>
      <c r="D140" s="195">
        <f>INDEX('tblIndicators_2014-O'!$D$2:$D$57,$B140)</f>
        <v>3</v>
      </c>
    </row>
    <row r="141" spans="1:4">
      <c r="A141" s="218" t="s">
        <v>482</v>
      </c>
      <c r="B141" s="195">
        <f>MATCH(A141,'tblIndicators_2014-O'!$B$2:$B$57,0)</f>
        <v>9</v>
      </c>
      <c r="C141" s="195" t="str">
        <f>CONCATENATE(REPT(" ",D141),INDEX('tblIndicators_2014-O'!$Z$2:$Z$57,$B141))</f>
        <v>  1.2) Digital Security (Outputs)</v>
      </c>
      <c r="D141" s="195">
        <f>INDEX('tblIndicators_2014-O'!$D$2:$D$57,$B141)</f>
        <v>2</v>
      </c>
    </row>
    <row r="142" spans="1:4">
      <c r="A142" s="220" t="s">
        <v>486</v>
      </c>
      <c r="B142" s="195">
        <f>MATCH(A142,'tblIndicators_2014-O'!$B$2:$B$57,0)</f>
        <v>10</v>
      </c>
      <c r="C142" s="195" t="str">
        <f>CONCATENATE(REPT(" ",D142),INDEX('tblIndicators_2014-O'!$Z$2:$Z$57,$B142))</f>
        <v>   1.2.1) Frequency of identity theft</v>
      </c>
      <c r="D142" s="195">
        <f>INDEX('tblIndicators_2014-O'!$D$2:$D$57,$B142)</f>
        <v>3</v>
      </c>
    </row>
    <row r="143" spans="1:4">
      <c r="A143" s="220" t="s">
        <v>491</v>
      </c>
      <c r="B143" s="195">
        <f>MATCH(A143,'tblIndicators_2014-O'!$B$2:$B$57,0)</f>
        <v>11</v>
      </c>
      <c r="C143" s="195" t="str">
        <f>CONCATENATE(REPT(" ",D143),INDEX('tblIndicators_2014-O'!$Z$2:$Z$57,$B143))</f>
        <v>   1.2.2) Percentage of computers infected</v>
      </c>
      <c r="D143" s="195">
        <f>INDEX('tblIndicators_2014-O'!$D$2:$D$57,$B143)</f>
        <v>3</v>
      </c>
    </row>
    <row r="144" spans="1:4">
      <c r="A144" s="220" t="s">
        <v>495</v>
      </c>
      <c r="B144" s="195">
        <f>MATCH(A144,'tblIndicators_2014-O'!$B$2:$B$57,0)</f>
        <v>12</v>
      </c>
      <c r="C144" s="195" t="str">
        <f>CONCATENATE(REPT(" ",D144),INDEX('tblIndicators_2014-O'!$Z$2:$Z$57,$B144))</f>
        <v>   1.2.3) Percent with internet access</v>
      </c>
      <c r="D144" s="195">
        <f>INDEX('tblIndicators_2014-O'!$D$2:$D$57,$B144)</f>
        <v>3</v>
      </c>
    </row>
    <row r="145" spans="1:4">
      <c r="A145" s="222" t="s">
        <v>499</v>
      </c>
      <c r="B145" s="195">
        <f>MATCH(A145,'tblIndicators_2014-O'!$B$2:$B$57,0)</f>
        <v>13</v>
      </c>
      <c r="C145" s="195" t="str">
        <f>CONCATENATE(REPT(" ",D145),INDEX('tblIndicators_2014-O'!$Z$2:$Z$57,$B145))</f>
        <v> 2) HEALTH SECURITY</v>
      </c>
      <c r="D145" s="195">
        <f>INDEX('tblIndicators_2014-O'!$D$2:$D$57,$B145)</f>
        <v>1</v>
      </c>
    </row>
    <row r="146" spans="1:4">
      <c r="A146" s="218" t="s">
        <v>502</v>
      </c>
      <c r="B146" s="195">
        <f>MATCH(A146,'tblIndicators_2014-O'!$B$2:$B$57,0)</f>
        <v>14</v>
      </c>
      <c r="C146" s="195" t="str">
        <f>CONCATENATE(REPT(" ",D146),INDEX('tblIndicators_2014-O'!$Z$2:$Z$57,$B146))</f>
        <v>  2.1) Health Security (Inputs)</v>
      </c>
      <c r="D146" s="195">
        <f>INDEX('tblIndicators_2014-O'!$D$2:$D$57,$B146)</f>
        <v>2</v>
      </c>
    </row>
    <row r="147" spans="1:4">
      <c r="A147" s="220" t="s">
        <v>505</v>
      </c>
      <c r="B147" s="195">
        <f>MATCH(A147,'tblIndicators_2014-O'!$B$2:$B$57,0)</f>
        <v>15</v>
      </c>
      <c r="C147" s="195" t="str">
        <f>CONCATENATE(REPT(" ",D147),INDEX('tblIndicators_2014-O'!$Z$2:$Z$57,$B147))</f>
        <v>   2.1.1) Environmental policies</v>
      </c>
      <c r="D147" s="195">
        <f>INDEX('tblIndicators_2014-O'!$D$2:$D$57,$B147)</f>
        <v>3</v>
      </c>
    </row>
    <row r="148" spans="1:4">
      <c r="A148" s="220" t="s">
        <v>509</v>
      </c>
      <c r="B148" s="195">
        <f>MATCH(A148,'tblIndicators_2014-O'!$B$2:$B$57,0)</f>
        <v>16</v>
      </c>
      <c r="C148" s="195" t="str">
        <f>CONCATENATE(REPT(" ",D148),INDEX('tblIndicators_2014-O'!$Z$2:$Z$57,$B148))</f>
        <v>   2.1.2) Access to healthcare</v>
      </c>
      <c r="D148" s="195">
        <f>INDEX('tblIndicators_2014-O'!$D$2:$D$57,$B148)</f>
        <v>3</v>
      </c>
    </row>
    <row r="149" spans="1:4">
      <c r="A149" s="220" t="s">
        <v>513</v>
      </c>
      <c r="B149" s="195">
        <f>MATCH(A149,'tblIndicators_2014-O'!$B$2:$B$57,0)</f>
        <v>17</v>
      </c>
      <c r="C149" s="195" t="str">
        <f>CONCATENATE(REPT(" ",D149),INDEX('tblIndicators_2014-O'!$Z$2:$Z$57,$B149))</f>
        <v>   2.1.3) No. of beds per 1000</v>
      </c>
      <c r="D149" s="195">
        <f>INDEX('tblIndicators_2014-O'!$D$2:$D$57,$B149)</f>
        <v>3</v>
      </c>
    </row>
    <row r="150" spans="1:4">
      <c r="A150" s="220" t="s">
        <v>518</v>
      </c>
      <c r="B150" s="195">
        <f>MATCH(A150,'tblIndicators_2014-O'!$B$2:$B$57,0)</f>
        <v>18</v>
      </c>
      <c r="C150" s="195" t="str">
        <f>CONCATENATE(REPT(" ",D150),INDEX('tblIndicators_2014-O'!$Z$2:$Z$57,$B150))</f>
        <v>   2.1.4) Number of doctors per 1000</v>
      </c>
      <c r="D150" s="195">
        <f>INDEX('tblIndicators_2014-O'!$D$2:$D$57,$B150)</f>
        <v>3</v>
      </c>
    </row>
    <row r="151" spans="1:4">
      <c r="A151" s="220" t="s">
        <v>521</v>
      </c>
      <c r="B151" s="195">
        <f>MATCH(A151,'tblIndicators_2014-O'!$B$2:$B$57,0)</f>
        <v>19</v>
      </c>
      <c r="C151" s="195" t="str">
        <f>CONCATENATE(REPT(" ",D151),INDEX('tblIndicators_2014-O'!$Z$2:$Z$57,$B151))</f>
        <v>   2.1.5) Access to safe and quality food</v>
      </c>
      <c r="D151" s="195">
        <f>INDEX('tblIndicators_2014-O'!$D$2:$D$57,$B151)</f>
        <v>3</v>
      </c>
    </row>
    <row r="152" spans="1:4">
      <c r="A152" s="220" t="s">
        <v>525</v>
      </c>
      <c r="B152" s="195">
        <f>MATCH(A152,'tblIndicators_2014-O'!$B$2:$B$57,0)</f>
        <v>20</v>
      </c>
      <c r="C152" s="195" t="str">
        <f>CONCATENATE(REPT(" ",D152),INDEX('tblIndicators_2014-O'!$Z$2:$Z$57,$B152))</f>
        <v>   2.1.6) Quality of health services</v>
      </c>
      <c r="D152" s="195">
        <f>INDEX('tblIndicators_2014-O'!$D$2:$D$57,$B152)</f>
        <v>3</v>
      </c>
    </row>
    <row r="153" spans="1:4">
      <c r="A153" s="218" t="s">
        <v>529</v>
      </c>
      <c r="B153" s="195">
        <f>MATCH(A153,'tblIndicators_2014-O'!$B$2:$B$57,0)</f>
        <v>21</v>
      </c>
      <c r="C153" s="195" t="str">
        <f>CONCATENATE(REPT(" ",D153),INDEX('tblIndicators_2014-O'!$Z$2:$Z$57,$B153))</f>
        <v>  2.2) Health Security (Outputs)</v>
      </c>
      <c r="D153" s="195">
        <f>INDEX('tblIndicators_2014-O'!$D$2:$D$57,$B153)</f>
        <v>2</v>
      </c>
    </row>
    <row r="154" spans="1:4">
      <c r="A154" s="220" t="s">
        <v>532</v>
      </c>
      <c r="B154" s="195">
        <f>MATCH(A154,'tblIndicators_2014-O'!$B$2:$B$57,0)</f>
        <v>22</v>
      </c>
      <c r="C154" s="195" t="str">
        <f>CONCATENATE(REPT(" ",D154),INDEX('tblIndicators_2014-O'!$Z$2:$Z$57,$B154))</f>
        <v>   2.2.1) Air quality</v>
      </c>
      <c r="D154" s="195">
        <f>INDEX('tblIndicators_2014-O'!$D$2:$D$57,$B154)</f>
        <v>3</v>
      </c>
    </row>
    <row r="155" spans="1:4">
      <c r="A155" s="220" t="s">
        <v>536</v>
      </c>
      <c r="B155" s="195">
        <f>MATCH(A155,'tblIndicators_2014-O'!$B$2:$B$57,0)</f>
        <v>23</v>
      </c>
      <c r="C155" s="195" t="str">
        <f>CONCATENATE(REPT(" ",D155),INDEX('tblIndicators_2014-O'!$Z$2:$Z$57,$B155))</f>
        <v>   2.2.2) Water quality</v>
      </c>
      <c r="D155" s="195">
        <f>INDEX('tblIndicators_2014-O'!$D$2:$D$57,$B155)</f>
        <v>3</v>
      </c>
    </row>
    <row r="156" spans="1:4">
      <c r="A156" s="220" t="s">
        <v>539</v>
      </c>
      <c r="B156" s="195">
        <f>MATCH(A156,'tblIndicators_2014-O'!$B$2:$B$57,0)</f>
        <v>24</v>
      </c>
      <c r="C156" s="195" t="str">
        <f>CONCATENATE(REPT(" ",D156),INDEX('tblIndicators_2014-O'!$Z$2:$Z$57,$B156))</f>
        <v>   2.2.3) Life expectancy</v>
      </c>
      <c r="D156" s="195">
        <f>INDEX('tblIndicators_2014-O'!$D$2:$D$57,$B156)</f>
        <v>3</v>
      </c>
    </row>
    <row r="157" spans="1:4">
      <c r="A157" s="220" t="s">
        <v>544</v>
      </c>
      <c r="B157" s="195">
        <f>MATCH(A157,'tblIndicators_2014-O'!$B$2:$B$57,0)</f>
        <v>25</v>
      </c>
      <c r="C157" s="195" t="str">
        <f>CONCATENATE(REPT(" ",D157),INDEX('tblIndicators_2014-O'!$Z$2:$Z$57,$B157))</f>
        <v>   2.2.4) Infant mortality (deaths per 1,000 live births)</v>
      </c>
      <c r="D157" s="195">
        <f>INDEX('tblIndicators_2014-O'!$D$2:$D$57,$B157)</f>
        <v>3</v>
      </c>
    </row>
    <row r="158" spans="1:4">
      <c r="A158" s="220" t="s">
        <v>548</v>
      </c>
      <c r="B158" s="195">
        <f>MATCH(A158,'tblIndicators_2014-O'!$B$2:$B$57,0)</f>
        <v>26</v>
      </c>
      <c r="C158" s="195" t="str">
        <f>CONCATENATE(REPT(" ",D158),INDEX('tblIndicators_2014-O'!$Z$2:$Z$57,$B158))</f>
        <v>   2.2.5) Cancer mortality rate ( Cancer deaths per 100,000)</v>
      </c>
      <c r="D158" s="195">
        <f>INDEX('tblIndicators_2014-O'!$D$2:$D$57,$B158)</f>
        <v>3</v>
      </c>
    </row>
    <row r="159" spans="1:4">
      <c r="A159" s="222" t="s">
        <v>553</v>
      </c>
      <c r="B159" s="195">
        <f>MATCH(A159,'tblIndicators_2014-O'!$B$2:$B$57,0)</f>
        <v>27</v>
      </c>
      <c r="C159" s="195" t="str">
        <f>CONCATENATE(REPT(" ",D159),INDEX('tblIndicators_2014-O'!$Z$2:$Z$57,$B159))</f>
        <v> 3) INFRASTRUCTURE SECURITY</v>
      </c>
      <c r="D159" s="195">
        <f>INDEX('tblIndicators_2014-O'!$D$2:$D$57,$B159)</f>
        <v>1</v>
      </c>
    </row>
    <row r="160" spans="1:4">
      <c r="A160" s="218" t="s">
        <v>555</v>
      </c>
      <c r="B160" s="195">
        <f>MATCH(A160,'tblIndicators_2014-O'!$B$2:$B$57,0)</f>
        <v>28</v>
      </c>
      <c r="C160" s="195" t="str">
        <f>CONCATENATE(REPT(" ",D160),INDEX('tblIndicators_2014-O'!$Z$2:$Z$57,$B160))</f>
        <v>  3.1) Infrastructure Security (Inputs)</v>
      </c>
      <c r="D160" s="195">
        <f>INDEX('tblIndicators_2014-O'!$D$2:$D$57,$B160)</f>
        <v>2</v>
      </c>
    </row>
    <row r="161" spans="1:4">
      <c r="A161" s="220" t="s">
        <v>558</v>
      </c>
      <c r="B161" s="195">
        <f>MATCH(A161,'tblIndicators_2014-O'!$B$2:$B$57,0)</f>
        <v>29</v>
      </c>
      <c r="C161" s="195" t="str">
        <f>CONCATENATE(REPT(" ",D161),INDEX('tblIndicators_2014-O'!$Z$2:$Z$57,$B161))</f>
        <v>   3.1.1) Enforcement of transport safety</v>
      </c>
      <c r="D161" s="195">
        <f>INDEX('tblIndicators_2014-O'!$D$2:$D$57,$B161)</f>
        <v>3</v>
      </c>
    </row>
    <row r="162" spans="1:4">
      <c r="A162" s="220" t="s">
        <v>562</v>
      </c>
      <c r="B162" s="195">
        <f>MATCH(A162,'tblIndicators_2014-O'!$B$2:$B$57,0)</f>
        <v>30</v>
      </c>
      <c r="C162" s="195" t="str">
        <f>CONCATENATE(REPT(" ",D162),INDEX('tblIndicators_2014-O'!$Z$2:$Z$57,$B162))</f>
        <v>   3.1.2) Pedestrian friendliness</v>
      </c>
      <c r="D162" s="195">
        <f>INDEX('tblIndicators_2014-O'!$D$2:$D$57,$B162)</f>
        <v>3</v>
      </c>
    </row>
    <row r="163" spans="1:4">
      <c r="A163" s="220" t="s">
        <v>565</v>
      </c>
      <c r="B163" s="195">
        <f>MATCH(A163,'tblIndicators_2014-O'!$B$2:$B$57,0)</f>
        <v>31</v>
      </c>
      <c r="C163" s="195" t="str">
        <f>CONCATENATE(REPT(" ",D163),INDEX('tblIndicators_2014-O'!$Z$2:$Z$57,$B163))</f>
        <v>   3.1.3) Quality of road infrastructure</v>
      </c>
      <c r="D163" s="195">
        <f>INDEX('tblIndicators_2014-O'!$D$2:$D$57,$B163)</f>
        <v>3</v>
      </c>
    </row>
    <row r="164" spans="1:4">
      <c r="A164" s="220" t="s">
        <v>568</v>
      </c>
      <c r="B164" s="195">
        <f>MATCH(A164,'tblIndicators_2014-O'!$B$2:$B$57,0)</f>
        <v>32</v>
      </c>
      <c r="C164" s="195" t="str">
        <f>CONCATENATE(REPT(" ",D164),INDEX('tblIndicators_2014-O'!$Z$2:$Z$57,$B164))</f>
        <v>   3.1.4) Quality of electricity infrastructure</v>
      </c>
      <c r="D164" s="195">
        <f>INDEX('tblIndicators_2014-O'!$D$2:$D$57,$B164)</f>
        <v>3</v>
      </c>
    </row>
    <row r="165" spans="1:4">
      <c r="A165" s="220" t="s">
        <v>571</v>
      </c>
      <c r="B165" s="195">
        <f>MATCH(A165,'tblIndicators_2014-O'!$B$2:$B$57,0)</f>
        <v>33</v>
      </c>
      <c r="C165" s="195" t="str">
        <f>CONCATENATE(REPT(" ",D165),INDEX('tblIndicators_2014-O'!$Z$2:$Z$57,$B165))</f>
        <v>   3.1.5) Disaster Management/Business Continuity Plan</v>
      </c>
      <c r="D165" s="195">
        <f>INDEX('tblIndicators_2014-O'!$D$2:$D$57,$B165)</f>
        <v>3</v>
      </c>
    </row>
    <row r="166" spans="1:4">
      <c r="A166" s="218" t="s">
        <v>574</v>
      </c>
      <c r="B166" s="195">
        <f>MATCH(A166,'tblIndicators_2014-O'!$B$2:$B$57,0)</f>
        <v>34</v>
      </c>
      <c r="C166" s="195" t="str">
        <f>CONCATENATE(REPT(" ",D166),INDEX('tblIndicators_2014-O'!$Z$2:$Z$57,$B166))</f>
        <v>  3.2) Infrastructure Security (Outputs)</v>
      </c>
      <c r="D166" s="195">
        <f>INDEX('tblIndicators_2014-O'!$D$2:$D$57,$B166)</f>
        <v>2</v>
      </c>
    </row>
    <row r="167" spans="1:4">
      <c r="A167" s="220" t="s">
        <v>577</v>
      </c>
      <c r="B167" s="195">
        <f>MATCH(A167,'tblIndicators_2014-O'!$B$2:$B$57,0)</f>
        <v>35</v>
      </c>
      <c r="C167" s="195" t="str">
        <f>CONCATENATE(REPT(" ",D167),INDEX('tblIndicators_2014-O'!$Z$2:$Z$57,$B167))</f>
        <v>   3.2.1) Death from natural disasters</v>
      </c>
      <c r="D167" s="195">
        <f>INDEX('tblIndicators_2014-O'!$D$2:$D$57,$B167)</f>
        <v>3</v>
      </c>
    </row>
    <row r="168" spans="1:4">
      <c r="A168" s="220" t="s">
        <v>582</v>
      </c>
      <c r="B168" s="195">
        <f>MATCH(A168,'tblIndicators_2014-O'!$B$2:$B$57,0)</f>
        <v>36</v>
      </c>
      <c r="C168" s="195" t="str">
        <f>CONCATENATE(REPT(" ",D168),INDEX('tblIndicators_2014-O'!$Z$2:$Z$57,$B168))</f>
        <v>   3.2.2) Frequency of vehicular accidents</v>
      </c>
      <c r="D168" s="195">
        <f>INDEX('tblIndicators_2014-O'!$D$2:$D$57,$B168)</f>
        <v>3</v>
      </c>
    </row>
    <row r="169" spans="1:4">
      <c r="A169" s="220" t="s">
        <v>586</v>
      </c>
      <c r="B169" s="195">
        <f>MATCH(A169,'tblIndicators_2014-O'!$B$2:$B$57,0)</f>
        <v>37</v>
      </c>
      <c r="C169" s="195" t="str">
        <f>CONCATENATE(REPT(" ",D169),INDEX('tblIndicators_2014-O'!$Z$2:$Z$57,$B169))</f>
        <v>   3.2.3) Frequency of pedestrian deaths</v>
      </c>
      <c r="D169" s="195">
        <f>INDEX('tblIndicators_2014-O'!$D$2:$D$57,$B169)</f>
        <v>3</v>
      </c>
    </row>
    <row r="170" spans="1:4">
      <c r="A170" s="220" t="s">
        <v>589</v>
      </c>
      <c r="B170" s="195">
        <f>MATCH(A170,'tblIndicators_2014-O'!$B$2:$B$57,0)</f>
        <v>38</v>
      </c>
      <c r="C170" s="195" t="str">
        <f>CONCATENATE(REPT(" ",D170),INDEX('tblIndicators_2014-O'!$Z$2:$Z$57,$B170))</f>
        <v>   3.2.4) Percent living in urban slums</v>
      </c>
      <c r="D170" s="195">
        <f>INDEX('tblIndicators_2014-O'!$D$2:$D$57,$B170)</f>
        <v>3</v>
      </c>
    </row>
    <row r="171" spans="1:4">
      <c r="A171" s="222" t="s">
        <v>592</v>
      </c>
      <c r="B171" s="195">
        <f>MATCH(A171,'tblIndicators_2014-O'!$B$2:$B$57,0)</f>
        <v>39</v>
      </c>
      <c r="C171" s="195" t="str">
        <f>CONCATENATE(REPT(" ",D171),INDEX('tblIndicators_2014-O'!$Z$2:$Z$57,$B171))</f>
        <v> 4) PERSONAL SECURITY</v>
      </c>
      <c r="D171" s="195">
        <f>INDEX('tblIndicators_2014-O'!$D$2:$D$57,$B171)</f>
        <v>1</v>
      </c>
    </row>
    <row r="172" spans="1:4">
      <c r="A172" s="218" t="s">
        <v>594</v>
      </c>
      <c r="B172" s="195">
        <f>MATCH(A172,'tblIndicators_2014-O'!$B$2:$B$57,0)</f>
        <v>40</v>
      </c>
      <c r="C172" s="195" t="str">
        <f>CONCATENATE(REPT(" ",D172),INDEX('tblIndicators_2014-O'!$Z$2:$Z$57,$B172))</f>
        <v>  4.1) Personal Security (Inputs)</v>
      </c>
      <c r="D172" s="195">
        <f>INDEX('tblIndicators_2014-O'!$D$2:$D$57,$B172)</f>
        <v>2</v>
      </c>
    </row>
    <row r="173" spans="1:4">
      <c r="A173" s="220" t="s">
        <v>597</v>
      </c>
      <c r="B173" s="195">
        <f>MATCH(A173,'tblIndicators_2014-O'!$B$2:$B$57,0)</f>
        <v>41</v>
      </c>
      <c r="C173" s="195" t="str">
        <f>CONCATENATE(REPT(" ",D173),INDEX('tblIndicators_2014-O'!$Z$2:$Z$57,$B173))</f>
        <v>   4.1.1) Level of police engagement</v>
      </c>
      <c r="D173" s="195">
        <f>INDEX('tblIndicators_2014-O'!$D$2:$D$57,$B173)</f>
        <v>3</v>
      </c>
    </row>
    <row r="174" spans="1:4">
      <c r="A174" s="220" t="s">
        <v>602</v>
      </c>
      <c r="B174" s="195">
        <f>MATCH(A174,'tblIndicators_2014-O'!$B$2:$B$57,0)</f>
        <v>42</v>
      </c>
      <c r="C174" s="195" t="str">
        <f>CONCATENATE(REPT(" ",D174),INDEX('tblIndicators_2014-O'!$Z$2:$Z$57,$B174))</f>
        <v>   4.1.2) Community-based patrolling</v>
      </c>
      <c r="D174" s="195">
        <f>INDEX('tblIndicators_2014-O'!$D$2:$D$57,$B174)</f>
        <v>3</v>
      </c>
    </row>
    <row r="175" spans="1:4">
      <c r="A175" s="220" t="s">
        <v>607</v>
      </c>
      <c r="B175" s="195">
        <f>MATCH(A175,'tblIndicators_2014-O'!$B$2:$B$57,0)</f>
        <v>43</v>
      </c>
      <c r="C175" s="195" t="str">
        <f>CONCATENATE(REPT(" ",D175),INDEX('tblIndicators_2014-O'!$Z$2:$Z$57,$B175))</f>
        <v>   4.1.3) Availability of street-level crime data</v>
      </c>
      <c r="D175" s="195">
        <f>INDEX('tblIndicators_2014-O'!$D$2:$D$57,$B175)</f>
        <v>3</v>
      </c>
    </row>
    <row r="176" spans="1:4">
      <c r="A176" s="220" t="s">
        <v>610</v>
      </c>
      <c r="B176" s="195">
        <f>MATCH(A176,'tblIndicators_2014-O'!$B$2:$B$57,0)</f>
        <v>44</v>
      </c>
      <c r="C176" s="195" t="str">
        <f>CONCATENATE(REPT(" ",D176),INDEX('tblIndicators_2014-O'!$Z$2:$Z$57,$B176))</f>
        <v>   4.1.4) Use of data-driven techniques for crime</v>
      </c>
      <c r="D176" s="195">
        <f>INDEX('tblIndicators_2014-O'!$D$2:$D$57,$B176)</f>
        <v>3</v>
      </c>
    </row>
    <row r="177" spans="1:4">
      <c r="A177" s="220" t="s">
        <v>613</v>
      </c>
      <c r="B177" s="195">
        <f>MATCH(A177,'tblIndicators_2014-O'!$B$2:$B$57,0)</f>
        <v>45</v>
      </c>
      <c r="C177" s="195" t="str">
        <f>CONCATENATE(REPT(" ",D177),INDEX('tblIndicators_2014-O'!$Z$2:$Z$57,$B177))</f>
        <v>   4.1.5) Private security measures</v>
      </c>
      <c r="D177" s="195">
        <f>INDEX('tblIndicators_2014-O'!$D$2:$D$57,$B177)</f>
        <v>3</v>
      </c>
    </row>
    <row r="178" spans="1:4">
      <c r="A178" s="220" t="s">
        <v>616</v>
      </c>
      <c r="B178" s="195">
        <f>MATCH(A178,'tblIndicators_2014-O'!$B$2:$B$57,0)</f>
        <v>46</v>
      </c>
      <c r="C178" s="195" t="str">
        <f>CONCATENATE(REPT(" ",D178),INDEX('tblIndicators_2014-O'!$Z$2:$Z$57,$B178))</f>
        <v>   4.1.6) Gun regulation and enforcement</v>
      </c>
      <c r="D178" s="195">
        <f>INDEX('tblIndicators_2014-O'!$D$2:$D$57,$B178)</f>
        <v>3</v>
      </c>
    </row>
    <row r="179" spans="1:4">
      <c r="A179" s="220" t="s">
        <v>620</v>
      </c>
      <c r="B179" s="195">
        <f>MATCH(A179,'tblIndicators_2014-O'!$B$2:$B$57,0)</f>
        <v>47</v>
      </c>
      <c r="C179" s="195" t="str">
        <f>CONCATENATE(REPT(" ",D179),INDEX('tblIndicators_2014-O'!$Z$2:$Z$57,$B179))</f>
        <v>   4.1.7) Political Stability Risk</v>
      </c>
      <c r="D179" s="195">
        <f>INDEX('tblIndicators_2014-O'!$D$2:$D$57,$B179)</f>
        <v>3</v>
      </c>
    </row>
    <row r="180" spans="1:4">
      <c r="A180" s="218" t="s">
        <v>624</v>
      </c>
      <c r="B180" s="195">
        <f>MATCH(A180,'tblIndicators_2014-O'!$B$2:$B$57,0)</f>
        <v>48</v>
      </c>
      <c r="C180" s="195" t="str">
        <f>CONCATENATE(REPT(" ",D180),INDEX('tblIndicators_2014-O'!$Z$2:$Z$57,$B180))</f>
        <v>  4.2) Personal Security (Outputs)</v>
      </c>
      <c r="D180" s="195">
        <f>INDEX('tblIndicators_2014-O'!$D$2:$D$57,$B180)</f>
        <v>2</v>
      </c>
    </row>
    <row r="181" spans="1:4">
      <c r="A181" s="220" t="s">
        <v>627</v>
      </c>
      <c r="B181" s="195">
        <f>MATCH(A181,'tblIndicators_2014-O'!$B$2:$B$57,0)</f>
        <v>49</v>
      </c>
      <c r="C181" s="195" t="str">
        <f>CONCATENATE(REPT(" ",D181),INDEX('tblIndicators_2014-O'!$Z$2:$Z$57,$B181))</f>
        <v>   4.2.1) Prevalence of petty crime</v>
      </c>
      <c r="D181" s="195">
        <f>INDEX('tblIndicators_2014-O'!$D$2:$D$57,$B181)</f>
        <v>3</v>
      </c>
    </row>
    <row r="182" spans="1:4">
      <c r="A182" s="220" t="s">
        <v>631</v>
      </c>
      <c r="B182" s="195">
        <f>MATCH(A182,'tblIndicators_2014-O'!$B$2:$B$57,0)</f>
        <v>50</v>
      </c>
      <c r="C182" s="195" t="str">
        <f>CONCATENATE(REPT(" ",D182),INDEX('tblIndicators_2014-O'!$Z$2:$Z$57,$B182))</f>
        <v>   4.2.2) Prevalence of violence crime</v>
      </c>
      <c r="D182" s="195">
        <f>INDEX('tblIndicators_2014-O'!$D$2:$D$57,$B182)</f>
        <v>3</v>
      </c>
    </row>
    <row r="183" spans="1:4">
      <c r="A183" s="220" t="s">
        <v>634</v>
      </c>
      <c r="B183" s="195">
        <f>MATCH(A183,'tblIndicators_2014-O'!$B$2:$B$57,0)</f>
        <v>51</v>
      </c>
      <c r="C183" s="195" t="str">
        <f>CONCATENATE(REPT(" ",D183),INDEX('tblIndicators_2014-O'!$Z$2:$Z$57,$B183))</f>
        <v>   4.2.3) Criminal gang activity</v>
      </c>
      <c r="D183" s="195">
        <f>INDEX('tblIndicators_2014-O'!$D$2:$D$57,$B183)</f>
        <v>3</v>
      </c>
    </row>
    <row r="184" spans="1:4">
      <c r="A184" s="220" t="s">
        <v>639</v>
      </c>
      <c r="B184" s="195">
        <f>MATCH(A184,'tblIndicators_2014-O'!$B$2:$B$57,0)</f>
        <v>52</v>
      </c>
      <c r="C184" s="195" t="str">
        <f>CONCATENATE(REPT(" ",D184),INDEX('tblIndicators_2014-O'!$Z$2:$Z$57,$B184))</f>
        <v>   4.2.4) Level of corruption in police force</v>
      </c>
      <c r="D184" s="195">
        <f>INDEX('tblIndicators_2014-O'!$D$2:$D$57,$B184)</f>
        <v>3</v>
      </c>
    </row>
    <row r="185" spans="1:4">
      <c r="A185" s="220" t="s">
        <v>642</v>
      </c>
      <c r="B185" s="195">
        <f>MATCH(A185,'tblIndicators_2014-O'!$B$2:$B$57,0)</f>
        <v>53</v>
      </c>
      <c r="C185" s="195" t="str">
        <f>CONCATENATE(REPT(" ",D185),INDEX('tblIndicators_2014-O'!$Z$2:$Z$57,$B185))</f>
        <v>   4.2.5) Rate of drug use</v>
      </c>
      <c r="D185" s="195">
        <f>INDEX('tblIndicators_2014-O'!$D$2:$D$57,$B185)</f>
        <v>3</v>
      </c>
    </row>
    <row r="186" spans="1:4">
      <c r="A186" s="220" t="s">
        <v>645</v>
      </c>
      <c r="B186" s="195">
        <f>MATCH(A186,'tblIndicators_2014-O'!$B$2:$B$57,0)</f>
        <v>54</v>
      </c>
      <c r="C186" s="195" t="str">
        <f>CONCATENATE(REPT(" ",D186),INDEX('tblIndicators_2014-O'!$Z$2:$Z$57,$B186))</f>
        <v>   4.2.6) Frequency of terrorist attacks</v>
      </c>
      <c r="D186" s="195">
        <f>INDEX('tblIndicators_2014-O'!$D$2:$D$57,$B186)</f>
        <v>3</v>
      </c>
    </row>
    <row r="187" spans="1:4">
      <c r="A187" s="220" t="s">
        <v>650</v>
      </c>
      <c r="B187" s="195">
        <f>MATCH(A187,'tblIndicators_2014-O'!$B$2:$B$57,0)</f>
        <v>55</v>
      </c>
      <c r="C187" s="195" t="str">
        <f>CONCATENATE(REPT(" ",D187),INDEX('tblIndicators_2014-O'!$Z$2:$Z$57,$B187))</f>
        <v>   4.2.7) Gender safety</v>
      </c>
      <c r="D187" s="195">
        <f>INDEX('tblIndicators_2014-O'!$D$2:$D$57,$B187)</f>
        <v>3</v>
      </c>
    </row>
    <row r="188" spans="1:4">
      <c r="A188" s="220" t="s">
        <v>655</v>
      </c>
      <c r="B188" s="195">
        <f>MATCH(A188,'tblIndicators_2014-O'!$B$2:$B$57,0)</f>
        <v>56</v>
      </c>
      <c r="C188" s="195" t="str">
        <f>CONCATENATE(REPT(" ",D188),INDEX('tblIndicators_2014-O'!$Z$2:$Z$57,$B188))</f>
        <v>   4.2.8) Perceptions of safety</v>
      </c>
      <c r="D188" s="195">
        <f>INDEX('tblIndicators_2014-O'!$D$2:$D$57,$B188)</f>
        <v>3</v>
      </c>
    </row>
    <row r="191" spans="1:1">
      <c r="A191" s="195" t="s">
        <v>775</v>
      </c>
    </row>
    <row r="192" spans="1:5">
      <c r="A192" s="220" t="s">
        <v>458</v>
      </c>
      <c r="B192" s="195">
        <f>MATCH(A192,'tblIndicators_2014-O'!$B$2:$B$57,0)</f>
        <v>4</v>
      </c>
      <c r="C192" s="195" t="str">
        <f>INDEX('tblIndicators_2014-O'!$Z$2:$Z$57,$B192)</f>
        <v>1.1.1) Privacy policy</v>
      </c>
      <c r="D192" s="195">
        <f>INDEX('tblIndicators_2014-O'!$D$2:$D$57,$B192)</f>
        <v>3</v>
      </c>
      <c r="E192" s="195" t="str">
        <f>INDEX('tblIndicators_2014-O'!$J$2:$J$57,$B192)</f>
        <v>Scale 0-5</v>
      </c>
    </row>
    <row r="193" spans="1:5">
      <c r="A193" s="220" t="s">
        <v>463</v>
      </c>
      <c r="B193" s="195">
        <f>MATCH(A193,'tblIndicators_2014-O'!$B$2:$B$57,0)</f>
        <v>5</v>
      </c>
      <c r="C193" s="195" t="str">
        <f>INDEX('tblIndicators_2014-O'!$Z$2:$Z$57,$B193)</f>
        <v>1.1.2) Citizen awareness of digital threats</v>
      </c>
      <c r="D193" s="195">
        <f>INDEX('tblIndicators_2014-O'!$D$2:$D$57,$B193)</f>
        <v>3</v>
      </c>
      <c r="E193" s="195" t="str">
        <f>INDEX('tblIndicators_2014-O'!$J$2:$J$57,$B193)</f>
        <v>Scale 0-3</v>
      </c>
    </row>
    <row r="194" spans="1:5">
      <c r="A194" s="220" t="s">
        <v>468</v>
      </c>
      <c r="B194" s="195">
        <f>MATCH(A194,'tblIndicators_2014-O'!$B$2:$B$57,0)</f>
        <v>6</v>
      </c>
      <c r="C194" s="195" t="str">
        <f>INDEX('tblIndicators_2014-O'!$Z$2:$Z$57,$B194)</f>
        <v>1.1.3) Public-private partnerships</v>
      </c>
      <c r="D194" s="195">
        <f>INDEX('tblIndicators_2014-O'!$D$2:$D$57,$B194)</f>
        <v>3</v>
      </c>
      <c r="E194" s="195" t="str">
        <f>INDEX('tblIndicators_2014-O'!$J$2:$J$57,$B194)</f>
        <v>Scale 0-2</v>
      </c>
    </row>
    <row r="195" spans="1:5">
      <c r="A195" s="220" t="s">
        <v>473</v>
      </c>
      <c r="B195" s="195">
        <f>MATCH(A195,'tblIndicators_2014-O'!$B$2:$B$57,0)</f>
        <v>7</v>
      </c>
      <c r="C195" s="195" t="str">
        <f>INDEX('tblIndicators_2014-O'!$Z$2:$Z$57,$B195)</f>
        <v>1.1.4) Level of technology employed</v>
      </c>
      <c r="D195" s="195">
        <f>INDEX('tblIndicators_2014-O'!$D$2:$D$57,$B195)</f>
        <v>3</v>
      </c>
      <c r="E195" s="195" t="str">
        <f>INDEX('tblIndicators_2014-O'!$J$2:$J$57,$B195)</f>
        <v>Scale 0-100</v>
      </c>
    </row>
    <row r="196" spans="1:5">
      <c r="A196" s="220" t="s">
        <v>478</v>
      </c>
      <c r="B196" s="195">
        <f>MATCH(A196,'tblIndicators_2014-O'!$B$2:$B$57,0)</f>
        <v>8</v>
      </c>
      <c r="C196" s="195" t="str">
        <f>INDEX('tblIndicators_2014-O'!$Z$2:$Z$57,$B196)</f>
        <v>1.1.5) Dedicated cyber security teams</v>
      </c>
      <c r="D196" s="195">
        <f>INDEX('tblIndicators_2014-O'!$D$2:$D$57,$B196)</f>
        <v>3</v>
      </c>
      <c r="E196" s="195" t="str">
        <f>INDEX('tblIndicators_2014-O'!$J$2:$J$57,$B196)</f>
        <v>Scale 0-2</v>
      </c>
    </row>
    <row r="197" spans="1:5">
      <c r="A197" s="220" t="s">
        <v>486</v>
      </c>
      <c r="B197" s="195">
        <f>MATCH(A197,'tblIndicators_2014-O'!$B$2:$B$57,0)</f>
        <v>10</v>
      </c>
      <c r="C197" s="195" t="str">
        <f>INDEX('tblIndicators_2014-O'!$Z$2:$Z$57,$B197)</f>
        <v>1.2.1) Frequency of identity theft</v>
      </c>
      <c r="D197" s="195">
        <f>INDEX('tblIndicators_2014-O'!$D$2:$D$57,$B197)</f>
        <v>3</v>
      </c>
      <c r="E197" s="195" t="str">
        <f>INDEX('tblIndicators_2014-O'!$J$2:$J$57,$B197)</f>
        <v>%</v>
      </c>
    </row>
    <row r="198" spans="1:5">
      <c r="A198" s="220" t="s">
        <v>491</v>
      </c>
      <c r="B198" s="195">
        <f>MATCH(A198,'tblIndicators_2014-O'!$B$2:$B$57,0)</f>
        <v>11</v>
      </c>
      <c r="C198" s="195" t="str">
        <f>INDEX('tblIndicators_2014-O'!$Z$2:$Z$57,$B198)</f>
        <v>1.2.2) Percentage of computers infected</v>
      </c>
      <c r="D198" s="195">
        <f>INDEX('tblIndicators_2014-O'!$D$2:$D$57,$B198)</f>
        <v>3</v>
      </c>
      <c r="E198" s="195" t="str">
        <f>INDEX('tblIndicators_2014-O'!$J$2:$J$57,$B198)</f>
        <v>Scale 1-5 (1 best, 5 worst)</v>
      </c>
    </row>
    <row r="199" spans="1:5">
      <c r="A199" s="220" t="s">
        <v>495</v>
      </c>
      <c r="B199" s="195">
        <f>MATCH(A199,'tblIndicators_2014-O'!$B$2:$B$57,0)</f>
        <v>12</v>
      </c>
      <c r="C199" s="195" t="str">
        <f>INDEX('tblIndicators_2014-O'!$Z$2:$Z$57,$B199)</f>
        <v>1.2.3) Percent with internet access</v>
      </c>
      <c r="D199" s="195">
        <f>INDEX('tblIndicators_2014-O'!$D$2:$D$57,$B199)</f>
        <v>3</v>
      </c>
      <c r="E199" s="195" t="str">
        <f>INDEX('tblIndicators_2014-O'!$J$2:$J$57,$B199)</f>
        <v>%</v>
      </c>
    </row>
    <row r="200" spans="1:5">
      <c r="A200" s="220" t="s">
        <v>505</v>
      </c>
      <c r="B200" s="195">
        <f>MATCH(A200,'tblIndicators_2014-O'!$B$2:$B$57,0)</f>
        <v>15</v>
      </c>
      <c r="C200" s="195" t="str">
        <f>INDEX('tblIndicators_2014-O'!$Z$2:$Z$57,$B200)</f>
        <v>2.1.1) Environmental policies</v>
      </c>
      <c r="D200" s="195">
        <f>INDEX('tblIndicators_2014-O'!$D$2:$D$57,$B200)</f>
        <v>3</v>
      </c>
      <c r="E200" s="195" t="str">
        <f>INDEX('tblIndicators_2014-O'!$J$2:$J$57,$B200)</f>
        <v>Scale 0-100</v>
      </c>
    </row>
    <row r="201" spans="1:5">
      <c r="A201" s="220" t="s">
        <v>509</v>
      </c>
      <c r="B201" s="195">
        <f>MATCH(A201,'tblIndicators_2014-O'!$B$2:$B$57,0)</f>
        <v>16</v>
      </c>
      <c r="C201" s="195" t="str">
        <f>INDEX('tblIndicators_2014-O'!$Z$2:$Z$57,$B201)</f>
        <v>2.1.2) Access to healthcare</v>
      </c>
      <c r="D201" s="195">
        <f>INDEX('tblIndicators_2014-O'!$D$2:$D$57,$B201)</f>
        <v>3</v>
      </c>
      <c r="E201" s="195" t="str">
        <f>INDEX('tblIndicators_2014-O'!$J$2:$J$57,$B201)</f>
        <v>Scale 0-100</v>
      </c>
    </row>
    <row r="202" spans="1:5">
      <c r="A202" s="220" t="s">
        <v>513</v>
      </c>
      <c r="B202" s="195">
        <f>MATCH(A202,'tblIndicators_2014-O'!$B$2:$B$57,0)</f>
        <v>17</v>
      </c>
      <c r="C202" s="195" t="str">
        <f>INDEX('tblIndicators_2014-O'!$Z$2:$Z$57,$B202)</f>
        <v>2.1.3) No. of beds per 1000</v>
      </c>
      <c r="D202" s="195">
        <f>INDEX('tblIndicators_2014-O'!$D$2:$D$57,$B202)</f>
        <v>3</v>
      </c>
      <c r="E202" s="195" t="str">
        <f>INDEX('tblIndicators_2014-O'!$J$2:$J$57,$B202)</f>
        <v>#/1000</v>
      </c>
    </row>
    <row r="203" spans="1:5">
      <c r="A203" s="220" t="s">
        <v>518</v>
      </c>
      <c r="B203" s="195">
        <f>MATCH(A203,'tblIndicators_2014-O'!$B$2:$B$57,0)</f>
        <v>18</v>
      </c>
      <c r="C203" s="195" t="str">
        <f>INDEX('tblIndicators_2014-O'!$Z$2:$Z$57,$B203)</f>
        <v>2.1.4) Number of doctors per 1000</v>
      </c>
      <c r="D203" s="195">
        <f>INDEX('tblIndicators_2014-O'!$D$2:$D$57,$B203)</f>
        <v>3</v>
      </c>
      <c r="E203" s="195" t="str">
        <f>INDEX('tblIndicators_2014-O'!$J$2:$J$57,$B203)</f>
        <v>#/1000</v>
      </c>
    </row>
    <row r="204" spans="1:5">
      <c r="A204" s="220" t="s">
        <v>521</v>
      </c>
      <c r="B204" s="195">
        <f>MATCH(A204,'tblIndicators_2014-O'!$B$2:$B$57,0)</f>
        <v>19</v>
      </c>
      <c r="C204" s="195" t="str">
        <f>INDEX('tblIndicators_2014-O'!$Z$2:$Z$57,$B204)</f>
        <v>2.1.5) Access to safe and quality food</v>
      </c>
      <c r="D204" s="195">
        <f>INDEX('tblIndicators_2014-O'!$D$2:$D$57,$B204)</f>
        <v>3</v>
      </c>
      <c r="E204" s="195" t="str">
        <f>INDEX('tblIndicators_2014-O'!$J$2:$J$57,$B204)</f>
        <v>Scale 1-100</v>
      </c>
    </row>
    <row r="205" spans="1:5">
      <c r="A205" s="220" t="s">
        <v>525</v>
      </c>
      <c r="B205" s="195">
        <f>MATCH(A205,'tblIndicators_2014-O'!$B$2:$B$57,0)</f>
        <v>20</v>
      </c>
      <c r="C205" s="195" t="str">
        <f>INDEX('tblIndicators_2014-O'!$Z$2:$Z$57,$B205)</f>
        <v>2.1.6) Quality of health services</v>
      </c>
      <c r="D205" s="195">
        <f>INDEX('tblIndicators_2014-O'!$D$2:$D$57,$B205)</f>
        <v>3</v>
      </c>
      <c r="E205" s="195" t="str">
        <f>INDEX('tblIndicators_2014-O'!$J$2:$J$57,$B205)</f>
        <v>Scale 1-5</v>
      </c>
    </row>
    <row r="206" spans="1:5">
      <c r="A206" s="220" t="s">
        <v>532</v>
      </c>
      <c r="B206" s="195">
        <f>MATCH(A206,'tblIndicators_2014-O'!$B$2:$B$57,0)</f>
        <v>22</v>
      </c>
      <c r="C206" s="195" t="str">
        <f>INDEX('tblIndicators_2014-O'!$Z$2:$Z$57,$B206)</f>
        <v>2.2.1) Air quality</v>
      </c>
      <c r="D206" s="195">
        <f>INDEX('tblIndicators_2014-O'!$D$2:$D$57,$B206)</f>
        <v>3</v>
      </c>
      <c r="E206" s="195" t="str">
        <f>INDEX('tblIndicators_2014-O'!$J$2:$J$57,$B206)</f>
        <v>PM 2.5 levels</v>
      </c>
    </row>
    <row r="207" spans="1:5">
      <c r="A207" s="220" t="s">
        <v>536</v>
      </c>
      <c r="B207" s="195">
        <f>MATCH(A207,'tblIndicators_2014-O'!$B$2:$B$57,0)</f>
        <v>23</v>
      </c>
      <c r="C207" s="195" t="str">
        <f>INDEX('tblIndicators_2014-O'!$Z$2:$Z$57,$B207)</f>
        <v>2.2.2) Water quality</v>
      </c>
      <c r="D207" s="195">
        <f>INDEX('tblIndicators_2014-O'!$D$2:$D$57,$B207)</f>
        <v>3</v>
      </c>
      <c r="E207" s="195" t="str">
        <f>INDEX('tblIndicators_2014-O'!$J$2:$J$57,$B207)</f>
        <v>Scale 1-100</v>
      </c>
    </row>
    <row r="208" spans="1:5">
      <c r="A208" s="220" t="s">
        <v>539</v>
      </c>
      <c r="B208" s="195">
        <f>MATCH(A208,'tblIndicators_2014-O'!$B$2:$B$57,0)</f>
        <v>24</v>
      </c>
      <c r="C208" s="195" t="str">
        <f>INDEX('tblIndicators_2014-O'!$Z$2:$Z$57,$B208)</f>
        <v>2.2.3) Life expectancy</v>
      </c>
      <c r="D208" s="195">
        <f>INDEX('tblIndicators_2014-O'!$D$2:$D$57,$B208)</f>
        <v>3</v>
      </c>
      <c r="E208" s="195" t="str">
        <f>INDEX('tblIndicators_2014-O'!$J$2:$J$57,$B208)</f>
        <v>Years (Higher yrs, better)</v>
      </c>
    </row>
    <row r="209" spans="1:5">
      <c r="A209" s="220" t="s">
        <v>544</v>
      </c>
      <c r="B209" s="195">
        <f>MATCH(A209,'tblIndicators_2014-O'!$B$2:$B$57,0)</f>
        <v>25</v>
      </c>
      <c r="C209" s="195" t="str">
        <f>INDEX('tblIndicators_2014-O'!$Z$2:$Z$57,$B209)</f>
        <v>2.2.4) Infant mortality (deaths per 1,000 live births)</v>
      </c>
      <c r="D209" s="195">
        <f>INDEX('tblIndicators_2014-O'!$D$2:$D$57,$B209)</f>
        <v>3</v>
      </c>
      <c r="E209" s="195" t="str">
        <f>INDEX('tblIndicators_2014-O'!$J$2:$J$57,$B209)</f>
        <v>Deaths per 1,000 births</v>
      </c>
    </row>
    <row r="210" spans="1:5">
      <c r="A210" s="220" t="s">
        <v>548</v>
      </c>
      <c r="B210" s="195">
        <f>MATCH(A210,'tblIndicators_2014-O'!$B$2:$B$57,0)</f>
        <v>26</v>
      </c>
      <c r="C210" s="195" t="str">
        <f>INDEX('tblIndicators_2014-O'!$Z$2:$Z$57,$B210)</f>
        <v>2.2.5) Cancer mortality rate ( Cancer deaths per 100,000)</v>
      </c>
      <c r="D210" s="195">
        <f>INDEX('tblIndicators_2014-O'!$D$2:$D$57,$B210)</f>
        <v>3</v>
      </c>
      <c r="E210" s="195" t="str">
        <f>INDEX('tblIndicators_2014-O'!$J$2:$J$57,$B210)</f>
        <v>Cancer deaths per 100,000</v>
      </c>
    </row>
    <row r="211" spans="1:5">
      <c r="A211" s="220" t="s">
        <v>558</v>
      </c>
      <c r="B211" s="195">
        <f>MATCH(A211,'tblIndicators_2014-O'!$B$2:$B$57,0)</f>
        <v>29</v>
      </c>
      <c r="C211" s="195" t="str">
        <f>INDEX('tblIndicators_2014-O'!$Z$2:$Z$57,$B211)</f>
        <v>3.1.1) Enforcement of transport safety</v>
      </c>
      <c r="D211" s="195">
        <f>INDEX('tblIndicators_2014-O'!$D$2:$D$57,$B211)</f>
        <v>3</v>
      </c>
      <c r="E211" s="195" t="str">
        <f>INDEX('tblIndicators_2014-O'!$J$2:$J$57,$B211)</f>
        <v>Scale 0-10</v>
      </c>
    </row>
    <row r="212" spans="1:5">
      <c r="A212" s="220" t="s">
        <v>562</v>
      </c>
      <c r="B212" s="195">
        <f>MATCH(A212,'tblIndicators_2014-O'!$B$2:$B$57,0)</f>
        <v>30</v>
      </c>
      <c r="C212" s="195" t="str">
        <f>INDEX('tblIndicators_2014-O'!$Z$2:$Z$57,$B212)</f>
        <v>3.1.2) Pedestrian friendliness</v>
      </c>
      <c r="D212" s="195">
        <f>INDEX('tblIndicators_2014-O'!$D$2:$D$57,$B212)</f>
        <v>3</v>
      </c>
      <c r="E212" s="195" t="str">
        <f>INDEX('tblIndicators_2014-O'!$J$2:$J$57,$B212)</f>
        <v>Scale 1-5</v>
      </c>
    </row>
    <row r="213" spans="1:5">
      <c r="A213" s="220" t="s">
        <v>565</v>
      </c>
      <c r="B213" s="195">
        <f>MATCH(A213,'tblIndicators_2014-O'!$B$2:$B$57,0)</f>
        <v>31</v>
      </c>
      <c r="C213" s="195" t="str">
        <f>INDEX('tblIndicators_2014-O'!$Z$2:$Z$57,$B213)</f>
        <v>3.1.3) Quality of road infrastructure</v>
      </c>
      <c r="D213" s="195">
        <f>INDEX('tblIndicators_2014-O'!$D$2:$D$57,$B213)</f>
        <v>3</v>
      </c>
      <c r="E213" s="195" t="str">
        <f>INDEX('tblIndicators_2014-O'!$J$2:$J$57,$B213)</f>
        <v>Scale 1-5</v>
      </c>
    </row>
    <row r="214" spans="1:5">
      <c r="A214" s="220" t="s">
        <v>568</v>
      </c>
      <c r="B214" s="195">
        <f>MATCH(A214,'tblIndicators_2014-O'!$B$2:$B$57,0)</f>
        <v>32</v>
      </c>
      <c r="C214" s="195" t="str">
        <f>INDEX('tblIndicators_2014-O'!$Z$2:$Z$57,$B214)</f>
        <v>3.1.4) Quality of electricity infrastructure</v>
      </c>
      <c r="D214" s="195">
        <f>INDEX('tblIndicators_2014-O'!$D$2:$D$57,$B214)</f>
        <v>3</v>
      </c>
      <c r="E214" s="195" t="str">
        <f>INDEX('tblIndicators_2014-O'!$J$2:$J$57,$B214)</f>
        <v>Scale 1-5</v>
      </c>
    </row>
    <row r="215" spans="1:5">
      <c r="A215" s="220" t="s">
        <v>571</v>
      </c>
      <c r="B215" s="195">
        <f>MATCH(A215,'tblIndicators_2014-O'!$B$2:$B$57,0)</f>
        <v>33</v>
      </c>
      <c r="C215" s="195" t="str">
        <f>INDEX('tblIndicators_2014-O'!$Z$2:$Z$57,$B215)</f>
        <v>3.1.5) Disaster Management/Business Continuity Plan</v>
      </c>
      <c r="D215" s="195">
        <f>INDEX('tblIndicators_2014-O'!$D$2:$D$57,$B215)</f>
        <v>3</v>
      </c>
      <c r="E215" s="195" t="str">
        <f>INDEX('tblIndicators_2014-O'!$J$2:$J$57,$B215)</f>
        <v>Scale 1-5</v>
      </c>
    </row>
    <row r="216" spans="1:5">
      <c r="A216" s="220" t="s">
        <v>577</v>
      </c>
      <c r="B216" s="195">
        <f>MATCH(A216,'tblIndicators_2014-O'!$B$2:$B$57,0)</f>
        <v>35</v>
      </c>
      <c r="C216" s="195" t="str">
        <f>INDEX('tblIndicators_2014-O'!$Z$2:$Z$57,$B216)</f>
        <v>3.2.1) Death from natural disasters</v>
      </c>
      <c r="D216" s="195">
        <f>INDEX('tblIndicators_2014-O'!$D$2:$D$57,$B216)</f>
        <v>3</v>
      </c>
      <c r="E216" s="195" t="str">
        <f>INDEX('tblIndicators_2014-O'!$J$2:$J$57,$B216)</f>
        <v>#/year/m</v>
      </c>
    </row>
    <row r="217" spans="1:5">
      <c r="A217" s="220" t="s">
        <v>582</v>
      </c>
      <c r="B217" s="195">
        <f>MATCH(A217,'tblIndicators_2014-O'!$B$2:$B$57,0)</f>
        <v>36</v>
      </c>
      <c r="C217" s="195" t="str">
        <f>INDEX('tblIndicators_2014-O'!$Z$2:$Z$57,$B217)</f>
        <v>3.2.2) Frequency of vehicular accidents</v>
      </c>
      <c r="D217" s="195">
        <f>INDEX('tblIndicators_2014-O'!$D$2:$D$57,$B217)</f>
        <v>3</v>
      </c>
      <c r="E217" s="195" t="str">
        <f>INDEX('tblIndicators_2014-O'!$J$2:$J$57,$B217)</f>
        <v>#/year/m</v>
      </c>
    </row>
    <row r="218" spans="1:5">
      <c r="A218" s="220" t="s">
        <v>586</v>
      </c>
      <c r="B218" s="195">
        <f>MATCH(A218,'tblIndicators_2014-O'!$B$2:$B$57,0)</f>
        <v>37</v>
      </c>
      <c r="C218" s="195" t="str">
        <f>INDEX('tblIndicators_2014-O'!$Z$2:$Z$57,$B218)</f>
        <v>3.2.3) Frequency of pedestrian deaths</v>
      </c>
      <c r="D218" s="195">
        <f>INDEX('tblIndicators_2014-O'!$D$2:$D$57,$B218)</f>
        <v>3</v>
      </c>
      <c r="E218" s="195" t="str">
        <f>INDEX('tblIndicators_2014-O'!$J$2:$J$57,$B218)</f>
        <v>#/year/m</v>
      </c>
    </row>
    <row r="219" spans="1:5">
      <c r="A219" s="220" t="s">
        <v>589</v>
      </c>
      <c r="B219" s="195">
        <f>MATCH(A219,'tblIndicators_2014-O'!$B$2:$B$57,0)</f>
        <v>38</v>
      </c>
      <c r="C219" s="195" t="str">
        <f>INDEX('tblIndicators_2014-O'!$Z$2:$Z$57,$B219)</f>
        <v>3.2.4) Percent living in urban slums</v>
      </c>
      <c r="D219" s="195">
        <f>INDEX('tblIndicators_2014-O'!$D$2:$D$57,$B219)</f>
        <v>3</v>
      </c>
      <c r="E219" s="195" t="str">
        <f>INDEX('tblIndicators_2014-O'!$J$2:$J$57,$B219)</f>
        <v>%</v>
      </c>
    </row>
    <row r="220" spans="1:5">
      <c r="A220" s="220" t="s">
        <v>597</v>
      </c>
      <c r="B220" s="195">
        <f>MATCH(A220,'tblIndicators_2014-O'!$B$2:$B$57,0)</f>
        <v>41</v>
      </c>
      <c r="C220" s="195" t="str">
        <f>INDEX('tblIndicators_2014-O'!$Z$2:$Z$57,$B220)</f>
        <v>4.1.1) Level of police engagement</v>
      </c>
      <c r="D220" s="195">
        <f>INDEX('tblIndicators_2014-O'!$D$2:$D$57,$B220)</f>
        <v>3</v>
      </c>
      <c r="E220" s="195" t="str">
        <f>INDEX('tblIndicators_2014-O'!$J$2:$J$57,$B220)</f>
        <v>Scale 0 - 1</v>
      </c>
    </row>
    <row r="221" spans="1:5">
      <c r="A221" s="220" t="s">
        <v>602</v>
      </c>
      <c r="B221" s="195">
        <f>MATCH(A221,'tblIndicators_2014-O'!$B$2:$B$57,0)</f>
        <v>42</v>
      </c>
      <c r="C221" s="195" t="str">
        <f>INDEX('tblIndicators_2014-O'!$Z$2:$Z$57,$B221)</f>
        <v>4.1.2) Community-based patrolling</v>
      </c>
      <c r="D221" s="195">
        <f>INDEX('tblIndicators_2014-O'!$D$2:$D$57,$B221)</f>
        <v>3</v>
      </c>
      <c r="E221" s="195" t="str">
        <f>INDEX('tblIndicators_2014-O'!$J$2:$J$57,$B221)</f>
        <v>Score 0 - 1</v>
      </c>
    </row>
    <row r="222" spans="1:5">
      <c r="A222" s="220" t="s">
        <v>607</v>
      </c>
      <c r="B222" s="195">
        <f>MATCH(A222,'tblIndicators_2014-O'!$B$2:$B$57,0)</f>
        <v>43</v>
      </c>
      <c r="C222" s="195" t="str">
        <f>INDEX('tblIndicators_2014-O'!$Z$2:$Z$57,$B222)</f>
        <v>4.1.3) Availability of street-level crime data</v>
      </c>
      <c r="D222" s="195">
        <f>INDEX('tblIndicators_2014-O'!$D$2:$D$57,$B222)</f>
        <v>3</v>
      </c>
      <c r="E222" s="195" t="str">
        <f>INDEX('tblIndicators_2014-O'!$J$2:$J$57,$B222)</f>
        <v>Score 0 - 1</v>
      </c>
    </row>
    <row r="223" spans="1:5">
      <c r="A223" s="220" t="s">
        <v>610</v>
      </c>
      <c r="B223" s="195">
        <f>MATCH(A223,'tblIndicators_2014-O'!$B$2:$B$57,0)</f>
        <v>44</v>
      </c>
      <c r="C223" s="195" t="str">
        <f>INDEX('tblIndicators_2014-O'!$Z$2:$Z$57,$B223)</f>
        <v>4.1.4) Use of data-driven techniques for crime</v>
      </c>
      <c r="D223" s="195">
        <f>INDEX('tblIndicators_2014-O'!$D$2:$D$57,$B223)</f>
        <v>3</v>
      </c>
      <c r="E223" s="195" t="str">
        <f>INDEX('tblIndicators_2014-O'!$J$2:$J$57,$B223)</f>
        <v>Score 0 - 1</v>
      </c>
    </row>
    <row r="224" spans="1:5">
      <c r="A224" s="220" t="s">
        <v>613</v>
      </c>
      <c r="B224" s="195">
        <f>MATCH(A224,'tblIndicators_2014-O'!$B$2:$B$57,0)</f>
        <v>45</v>
      </c>
      <c r="C224" s="195" t="str">
        <f>INDEX('tblIndicators_2014-O'!$Z$2:$Z$57,$B224)</f>
        <v>4.1.5) Private security measures</v>
      </c>
      <c r="D224" s="195">
        <f>INDEX('tblIndicators_2014-O'!$D$2:$D$57,$B224)</f>
        <v>3</v>
      </c>
      <c r="E224" s="195" t="str">
        <f>INDEX('tblIndicators_2014-O'!$J$2:$J$57,$B224)</f>
        <v>Score 0 - 1</v>
      </c>
    </row>
    <row r="225" spans="1:5">
      <c r="A225" s="220" t="s">
        <v>616</v>
      </c>
      <c r="B225" s="195">
        <f>MATCH(A225,'tblIndicators_2014-O'!$B$2:$B$57,0)</f>
        <v>46</v>
      </c>
      <c r="C225" s="195" t="str">
        <f>INDEX('tblIndicators_2014-O'!$Z$2:$Z$57,$B225)</f>
        <v>4.1.6) Gun regulation and enforcement</v>
      </c>
      <c r="D225" s="195">
        <f>INDEX('tblIndicators_2014-O'!$D$2:$D$57,$B225)</f>
        <v>3</v>
      </c>
      <c r="E225" s="195" t="str">
        <f>INDEX('tblIndicators_2014-O'!$J$2:$J$57,$B225)</f>
        <v>Scale 0 - 10</v>
      </c>
    </row>
    <row r="226" spans="1:5">
      <c r="A226" s="220" t="s">
        <v>620</v>
      </c>
      <c r="B226" s="195">
        <f>MATCH(A226,'tblIndicators_2014-O'!$B$2:$B$57,0)</f>
        <v>47</v>
      </c>
      <c r="C226" s="195" t="str">
        <f>INDEX('tblIndicators_2014-O'!$Z$2:$Z$57,$B226)</f>
        <v>4.1.7) Political Stability Risk</v>
      </c>
      <c r="D226" s="195">
        <f>INDEX('tblIndicators_2014-O'!$D$2:$D$57,$B226)</f>
        <v>3</v>
      </c>
      <c r="E226" s="195" t="str">
        <f>INDEX('tblIndicators_2014-O'!$J$2:$J$57,$B226)</f>
        <v>Scale 0 - 100</v>
      </c>
    </row>
    <row r="227" spans="1:5">
      <c r="A227" s="220" t="s">
        <v>627</v>
      </c>
      <c r="B227" s="195">
        <f>MATCH(A227,'tblIndicators_2014-O'!$B$2:$B$57,0)</f>
        <v>49</v>
      </c>
      <c r="C227" s="195" t="str">
        <f>INDEX('tblIndicators_2014-O'!$Z$2:$Z$57,$B227)</f>
        <v>4.2.1) Prevalence of petty crime</v>
      </c>
      <c r="D227" s="195">
        <f>INDEX('tblIndicators_2014-O'!$D$2:$D$57,$B227)</f>
        <v>3</v>
      </c>
      <c r="E227" s="195" t="str">
        <f>INDEX('tblIndicators_2014-O'!$J$2:$J$57,$B227)</f>
        <v>EIU Rating</v>
      </c>
    </row>
    <row r="228" spans="1:5">
      <c r="A228" s="220" t="s">
        <v>631</v>
      </c>
      <c r="B228" s="195">
        <f>MATCH(A228,'tblIndicators_2014-O'!$B$2:$B$57,0)</f>
        <v>50</v>
      </c>
      <c r="C228" s="195" t="str">
        <f>INDEX('tblIndicators_2014-O'!$Z$2:$Z$57,$B228)</f>
        <v>4.2.2) Prevalence of violence crime</v>
      </c>
      <c r="D228" s="195">
        <f>INDEX('tblIndicators_2014-O'!$D$2:$D$57,$B228)</f>
        <v>3</v>
      </c>
      <c r="E228" s="195" t="str">
        <f>INDEX('tblIndicators_2014-O'!$J$2:$J$57,$B228)</f>
        <v>EIU Rating</v>
      </c>
    </row>
    <row r="229" spans="1:5">
      <c r="A229" s="220" t="s">
        <v>634</v>
      </c>
      <c r="B229" s="195">
        <f>MATCH(A229,'tblIndicators_2014-O'!$B$2:$B$57,0)</f>
        <v>51</v>
      </c>
      <c r="C229" s="195" t="str">
        <f>INDEX('tblIndicators_2014-O'!$Z$2:$Z$57,$B229)</f>
        <v>4.2.3) Criminal gang activity</v>
      </c>
      <c r="D229" s="195">
        <f>INDEX('tblIndicators_2014-O'!$D$2:$D$57,$B229)</f>
        <v>3</v>
      </c>
      <c r="E229" s="195" t="str">
        <f>INDEX('tblIndicators_2014-O'!$J$2:$J$57,$B229)</f>
        <v>US $ billions</v>
      </c>
    </row>
    <row r="230" spans="1:5">
      <c r="A230" s="220" t="s">
        <v>639</v>
      </c>
      <c r="B230" s="195">
        <f>MATCH(A230,'tblIndicators_2014-O'!$B$2:$B$57,0)</f>
        <v>52</v>
      </c>
      <c r="C230" s="195" t="str">
        <f>INDEX('tblIndicators_2014-O'!$Z$2:$Z$57,$B230)</f>
        <v>4.2.4) Level of corruption in police force</v>
      </c>
      <c r="D230" s="195">
        <f>INDEX('tblIndicators_2014-O'!$D$2:$D$57,$B230)</f>
        <v>3</v>
      </c>
      <c r="E230" s="195" t="str">
        <f>INDEX('tblIndicators_2014-O'!$J$2:$J$57,$B230)</f>
        <v>Scale 0 - 100</v>
      </c>
    </row>
    <row r="231" spans="1:5">
      <c r="A231" s="220" t="s">
        <v>642</v>
      </c>
      <c r="B231" s="195">
        <f>MATCH(A231,'tblIndicators_2014-O'!$B$2:$B$57,0)</f>
        <v>53</v>
      </c>
      <c r="C231" s="195" t="str">
        <f>INDEX('tblIndicators_2014-O'!$Z$2:$Z$57,$B231)</f>
        <v>4.2.5) Rate of drug use</v>
      </c>
      <c r="D231" s="195">
        <f>INDEX('tblIndicators_2014-O'!$D$2:$D$57,$B231)</f>
        <v>3</v>
      </c>
      <c r="E231" s="195" t="str">
        <f>INDEX('tblIndicators_2014-O'!$J$2:$J$57,$B231)</f>
        <v>%</v>
      </c>
    </row>
    <row r="232" spans="1:5">
      <c r="A232" s="220" t="s">
        <v>645</v>
      </c>
      <c r="B232" s="195">
        <f>MATCH(A232,'tblIndicators_2014-O'!$B$2:$B$57,0)</f>
        <v>54</v>
      </c>
      <c r="C232" s="195" t="str">
        <f>INDEX('tblIndicators_2014-O'!$Z$2:$Z$57,$B232)</f>
        <v>4.2.6) Frequency of terrorist attacks</v>
      </c>
      <c r="D232" s="195">
        <f>INDEX('tblIndicators_2014-O'!$D$2:$D$57,$B232)</f>
        <v>3</v>
      </c>
      <c r="E232" s="195" t="str">
        <f>INDEX('tblIndicators_2014-O'!$J$2:$J$57,$B232)</f>
        <v>#/year</v>
      </c>
    </row>
    <row r="233" spans="1:5">
      <c r="A233" s="220" t="s">
        <v>650</v>
      </c>
      <c r="B233" s="195">
        <f>MATCH(A233,'tblIndicators_2014-O'!$B$2:$B$57,0)</f>
        <v>55</v>
      </c>
      <c r="C233" s="195" t="str">
        <f>INDEX('tblIndicators_2014-O'!$Z$2:$Z$57,$B233)</f>
        <v>4.2.7) Gender safety</v>
      </c>
      <c r="D233" s="195">
        <f>INDEX('tblIndicators_2014-O'!$D$2:$D$57,$B233)</f>
        <v>3</v>
      </c>
      <c r="E233" s="195" t="str">
        <f>INDEX('tblIndicators_2014-O'!$J$2:$J$57,$B233)</f>
        <v>Index</v>
      </c>
    </row>
    <row r="234" spans="1:5">
      <c r="A234" s="220" t="s">
        <v>655</v>
      </c>
      <c r="B234" s="195">
        <f>MATCH(A234,'tblIndicators_2014-O'!$B$2:$B$57,0)</f>
        <v>56</v>
      </c>
      <c r="C234" s="195" t="str">
        <f>INDEX('tblIndicators_2014-O'!$Z$2:$Z$57,$B234)</f>
        <v>4.2.8) Perceptions of safety</v>
      </c>
      <c r="D234" s="195">
        <f>INDEX('tblIndicators_2014-O'!$D$2:$D$57,$B234)</f>
        <v>3</v>
      </c>
      <c r="E234" s="195" t="str">
        <f>INDEX('tblIndicators_2014-O'!$J$2:$J$57,$B234)</f>
        <v>Scale 0 - 100</v>
      </c>
    </row>
    <row r="236" spans="1:1">
      <c r="A236" s="195" t="s">
        <v>776</v>
      </c>
    </row>
    <row r="237" spans="1:4">
      <c r="A237" s="221" t="s">
        <v>445</v>
      </c>
      <c r="B237" s="195">
        <f>MATCH(A237,'tblIndicators_2014-O'!$B$2:$B$57,0)</f>
        <v>1</v>
      </c>
      <c r="C237" s="195" t="str">
        <f>CONCATENATE(REPT(" ",D237),INDEX('tblIndicators_2014-O'!$Z$2:$Z$57,$B237))</f>
        <v>OVERALL SCORE</v>
      </c>
      <c r="D237" s="195">
        <f>INDEX('tblIndicators_2014-O'!$D$2:$D$57,$B237)</f>
        <v>0</v>
      </c>
    </row>
    <row r="238" spans="1:4">
      <c r="A238" s="222" t="s">
        <v>448</v>
      </c>
      <c r="B238" s="195">
        <f>MATCH(A238,'tblIndicators_2014-O'!$B$2:$B$57,0)</f>
        <v>2</v>
      </c>
      <c r="C238" s="195" t="str">
        <f>CONCATENATE(REPT(" ",D238),INDEX('tblIndicators_2014-O'!$Z$2:$Z$57,$B238))</f>
        <v> 1) DIGITAL SECURITY</v>
      </c>
      <c r="D238" s="195">
        <f>INDEX('tblIndicators_2014-O'!$D$2:$D$57,$B238)</f>
        <v>1</v>
      </c>
    </row>
    <row r="239" spans="1:4">
      <c r="A239" s="218" t="s">
        <v>452</v>
      </c>
      <c r="B239" s="195">
        <f>MATCH(A239,'tblIndicators_2014-O'!$B$2:$B$57,0)</f>
        <v>3</v>
      </c>
      <c r="C239" s="195" t="str">
        <f>CONCATENATE(REPT(" ",D239),INDEX('tblIndicators_2014-O'!$Z$2:$Z$57,$B239))</f>
        <v>  1.1) Digital Security (Inputs)</v>
      </c>
      <c r="D239" s="195">
        <f>INDEX('tblIndicators_2014-O'!$D$2:$D$57,$B239)</f>
        <v>2</v>
      </c>
    </row>
    <row r="240" spans="1:4">
      <c r="A240" s="220" t="s">
        <v>458</v>
      </c>
      <c r="B240" s="195">
        <f>MATCH(A240,'tblIndicators_2014-O'!$B$2:$B$57,0)</f>
        <v>4</v>
      </c>
      <c r="C240" s="195" t="str">
        <f>CONCATENATE(REPT(" ",D240),INDEX('tblIndicators_2014-O'!$Z$2:$Z$57,$B240))</f>
        <v>   1.1.1) Privacy policy</v>
      </c>
      <c r="D240" s="195">
        <f>INDEX('tblIndicators_2014-O'!$D$2:$D$57,$B240)</f>
        <v>3</v>
      </c>
    </row>
    <row r="241" spans="1:4">
      <c r="A241" s="220" t="s">
        <v>463</v>
      </c>
      <c r="B241" s="195">
        <f>MATCH(A241,'tblIndicators_2014-O'!$B$2:$B$57,0)</f>
        <v>5</v>
      </c>
      <c r="C241" s="195" t="str">
        <f>CONCATENATE(REPT(" ",D241),INDEX('tblIndicators_2014-O'!$Z$2:$Z$57,$B241))</f>
        <v>   1.1.2) Citizen awareness of digital threats</v>
      </c>
      <c r="D241" s="195">
        <f>INDEX('tblIndicators_2014-O'!$D$2:$D$57,$B241)</f>
        <v>3</v>
      </c>
    </row>
    <row r="242" spans="1:4">
      <c r="A242" s="220" t="s">
        <v>468</v>
      </c>
      <c r="B242" s="195">
        <f>MATCH(A242,'tblIndicators_2014-O'!$B$2:$B$57,0)</f>
        <v>6</v>
      </c>
      <c r="C242" s="195" t="str">
        <f>CONCATENATE(REPT(" ",D242),INDEX('tblIndicators_2014-O'!$Z$2:$Z$57,$B242))</f>
        <v>   1.1.3) Public-private partnerships</v>
      </c>
      <c r="D242" s="195">
        <f>INDEX('tblIndicators_2014-O'!$D$2:$D$57,$B242)</f>
        <v>3</v>
      </c>
    </row>
    <row r="243" spans="1:4">
      <c r="A243" s="220" t="s">
        <v>473</v>
      </c>
      <c r="B243" s="195">
        <f>MATCH(A243,'tblIndicators_2014-O'!$B$2:$B$57,0)</f>
        <v>7</v>
      </c>
      <c r="C243" s="195" t="str">
        <f>CONCATENATE(REPT(" ",D243),INDEX('tblIndicators_2014-O'!$Z$2:$Z$57,$B243))</f>
        <v>   1.1.4) Level of technology employed</v>
      </c>
      <c r="D243" s="195">
        <f>INDEX('tblIndicators_2014-O'!$D$2:$D$57,$B243)</f>
        <v>3</v>
      </c>
    </row>
    <row r="244" spans="1:4">
      <c r="A244" s="220" t="s">
        <v>478</v>
      </c>
      <c r="B244" s="195">
        <f>MATCH(A244,'tblIndicators_2014-O'!$B$2:$B$57,0)</f>
        <v>8</v>
      </c>
      <c r="C244" s="195" t="str">
        <f>CONCATENATE(REPT(" ",D244),INDEX('tblIndicators_2014-O'!$Z$2:$Z$57,$B244))</f>
        <v>   1.1.5) Dedicated cyber security teams</v>
      </c>
      <c r="D244" s="195">
        <f>INDEX('tblIndicators_2014-O'!$D$2:$D$57,$B244)</f>
        <v>3</v>
      </c>
    </row>
    <row r="245" spans="1:4">
      <c r="A245" s="218" t="s">
        <v>482</v>
      </c>
      <c r="B245" s="195">
        <f>MATCH(A245,'tblIndicators_2014-O'!$B$2:$B$57,0)</f>
        <v>9</v>
      </c>
      <c r="C245" s="195" t="str">
        <f>CONCATENATE(REPT(" ",D245),INDEX('tblIndicators_2014-O'!$Z$2:$Z$57,$B245))</f>
        <v>  1.2) Digital Security (Outputs)</v>
      </c>
      <c r="D245" s="195">
        <f>INDEX('tblIndicators_2014-O'!$D$2:$D$57,$B245)</f>
        <v>2</v>
      </c>
    </row>
    <row r="246" spans="1:4">
      <c r="A246" s="220" t="s">
        <v>486</v>
      </c>
      <c r="B246" s="195">
        <f>MATCH(A246,'tblIndicators_2014-O'!$B$2:$B$57,0)</f>
        <v>10</v>
      </c>
      <c r="C246" s="195" t="str">
        <f>CONCATENATE(REPT(" ",D246),INDEX('tblIndicators_2014-O'!$Z$2:$Z$57,$B246))</f>
        <v>   1.2.1) Frequency of identity theft</v>
      </c>
      <c r="D246" s="195">
        <f>INDEX('tblIndicators_2014-O'!$D$2:$D$57,$B246)</f>
        <v>3</v>
      </c>
    </row>
    <row r="247" spans="1:4">
      <c r="A247" s="220" t="s">
        <v>491</v>
      </c>
      <c r="B247" s="195">
        <f>MATCH(A247,'tblIndicators_2014-O'!$B$2:$B$57,0)</f>
        <v>11</v>
      </c>
      <c r="C247" s="195" t="str">
        <f>CONCATENATE(REPT(" ",D247),INDEX('tblIndicators_2014-O'!$Z$2:$Z$57,$B247))</f>
        <v>   1.2.2) Percentage of computers infected</v>
      </c>
      <c r="D247" s="195">
        <f>INDEX('tblIndicators_2014-O'!$D$2:$D$57,$B247)</f>
        <v>3</v>
      </c>
    </row>
    <row r="248" spans="1:4">
      <c r="A248" s="220" t="s">
        <v>495</v>
      </c>
      <c r="B248" s="195">
        <f>MATCH(A248,'tblIndicators_2014-O'!$B$2:$B$57,0)</f>
        <v>12</v>
      </c>
      <c r="C248" s="195" t="str">
        <f>CONCATENATE(REPT(" ",D248),INDEX('tblIndicators_2014-O'!$Z$2:$Z$57,$B248))</f>
        <v>   1.2.3) Percent with internet access</v>
      </c>
      <c r="D248" s="195">
        <f>INDEX('tblIndicators_2014-O'!$D$2:$D$57,$B248)</f>
        <v>3</v>
      </c>
    </row>
    <row r="249" spans="1:4">
      <c r="A249" s="222" t="s">
        <v>499</v>
      </c>
      <c r="B249" s="195">
        <f>MATCH(A249,'tblIndicators_2014-O'!$B$2:$B$57,0)</f>
        <v>13</v>
      </c>
      <c r="C249" s="195" t="str">
        <f>CONCATENATE(REPT(" ",D249),INDEX('tblIndicators_2014-O'!$Z$2:$Z$57,$B249))</f>
        <v> 2) HEALTH SECURITY</v>
      </c>
      <c r="D249" s="195">
        <f>INDEX('tblIndicators_2014-O'!$D$2:$D$57,$B249)</f>
        <v>1</v>
      </c>
    </row>
    <row r="250" spans="1:4">
      <c r="A250" s="218" t="s">
        <v>502</v>
      </c>
      <c r="B250" s="195">
        <f>MATCH(A250,'tblIndicators_2014-O'!$B$2:$B$57,0)</f>
        <v>14</v>
      </c>
      <c r="C250" s="195" t="str">
        <f>CONCATENATE(REPT(" ",D250),INDEX('tblIndicators_2014-O'!$Z$2:$Z$57,$B250))</f>
        <v>  2.1) Health Security (Inputs)</v>
      </c>
      <c r="D250" s="195">
        <f>INDEX('tblIndicators_2014-O'!$D$2:$D$57,$B250)</f>
        <v>2</v>
      </c>
    </row>
    <row r="251" spans="1:4">
      <c r="A251" s="220" t="s">
        <v>505</v>
      </c>
      <c r="B251" s="195">
        <f>MATCH(A251,'tblIndicators_2014-O'!$B$2:$B$57,0)</f>
        <v>15</v>
      </c>
      <c r="C251" s="195" t="str">
        <f>CONCATENATE(REPT(" ",D251),INDEX('tblIndicators_2014-O'!$Z$2:$Z$57,$B251))</f>
        <v>   2.1.1) Environmental policies</v>
      </c>
      <c r="D251" s="195">
        <f>INDEX('tblIndicators_2014-O'!$D$2:$D$57,$B251)</f>
        <v>3</v>
      </c>
    </row>
    <row r="252" spans="1:4">
      <c r="A252" s="220" t="s">
        <v>509</v>
      </c>
      <c r="B252" s="195">
        <f>MATCH(A252,'tblIndicators_2014-O'!$B$2:$B$57,0)</f>
        <v>16</v>
      </c>
      <c r="C252" s="195" t="str">
        <f>CONCATENATE(REPT(" ",D252),INDEX('tblIndicators_2014-O'!$Z$2:$Z$57,$B252))</f>
        <v>   2.1.2) Access to healthcare</v>
      </c>
      <c r="D252" s="195">
        <f>INDEX('tblIndicators_2014-O'!$D$2:$D$57,$B252)</f>
        <v>3</v>
      </c>
    </row>
    <row r="253" spans="1:4">
      <c r="A253" s="220" t="s">
        <v>513</v>
      </c>
      <c r="B253" s="195">
        <f>MATCH(A253,'tblIndicators_2014-O'!$B$2:$B$57,0)</f>
        <v>17</v>
      </c>
      <c r="C253" s="195" t="str">
        <f>CONCATENATE(REPT(" ",D253),INDEX('tblIndicators_2014-O'!$Z$2:$Z$57,$B253))</f>
        <v>   2.1.3) No. of beds per 1000</v>
      </c>
      <c r="D253" s="195">
        <f>INDEX('tblIndicators_2014-O'!$D$2:$D$57,$B253)</f>
        <v>3</v>
      </c>
    </row>
    <row r="254" spans="1:4">
      <c r="A254" s="220" t="s">
        <v>518</v>
      </c>
      <c r="B254" s="195">
        <f>MATCH(A254,'tblIndicators_2014-O'!$B$2:$B$57,0)</f>
        <v>18</v>
      </c>
      <c r="C254" s="195" t="str">
        <f>CONCATENATE(REPT(" ",D254),INDEX('tblIndicators_2014-O'!$Z$2:$Z$57,$B254))</f>
        <v>   2.1.4) Number of doctors per 1000</v>
      </c>
      <c r="D254" s="195">
        <f>INDEX('tblIndicators_2014-O'!$D$2:$D$57,$B254)</f>
        <v>3</v>
      </c>
    </row>
    <row r="255" spans="1:4">
      <c r="A255" s="220" t="s">
        <v>521</v>
      </c>
      <c r="B255" s="195">
        <f>MATCH(A255,'tblIndicators_2014-O'!$B$2:$B$57,0)</f>
        <v>19</v>
      </c>
      <c r="C255" s="195" t="str">
        <f>CONCATENATE(REPT(" ",D255),INDEX('tblIndicators_2014-O'!$Z$2:$Z$57,$B255))</f>
        <v>   2.1.5) Access to safe and quality food</v>
      </c>
      <c r="D255" s="195">
        <f>INDEX('tblIndicators_2014-O'!$D$2:$D$57,$B255)</f>
        <v>3</v>
      </c>
    </row>
    <row r="256" spans="1:4">
      <c r="A256" s="220" t="s">
        <v>525</v>
      </c>
      <c r="B256" s="195">
        <f>MATCH(A256,'tblIndicators_2014-O'!$B$2:$B$57,0)</f>
        <v>20</v>
      </c>
      <c r="C256" s="195" t="str">
        <f>CONCATENATE(REPT(" ",D256),INDEX('tblIndicators_2014-O'!$Z$2:$Z$57,$B256))</f>
        <v>   2.1.6) Quality of health services</v>
      </c>
      <c r="D256" s="195">
        <f>INDEX('tblIndicators_2014-O'!$D$2:$D$57,$B256)</f>
        <v>3</v>
      </c>
    </row>
    <row r="257" spans="1:4">
      <c r="A257" s="218" t="s">
        <v>529</v>
      </c>
      <c r="B257" s="195">
        <f>MATCH(A257,'tblIndicators_2014-O'!$B$2:$B$57,0)</f>
        <v>21</v>
      </c>
      <c r="C257" s="195" t="str">
        <f>CONCATENATE(REPT(" ",D257),INDEX('tblIndicators_2014-O'!$Z$2:$Z$57,$B257))</f>
        <v>  2.2) Health Security (Outputs)</v>
      </c>
      <c r="D257" s="195">
        <f>INDEX('tblIndicators_2014-O'!$D$2:$D$57,$B257)</f>
        <v>2</v>
      </c>
    </row>
    <row r="258" spans="1:4">
      <c r="A258" s="220" t="s">
        <v>532</v>
      </c>
      <c r="B258" s="195">
        <f>MATCH(A258,'tblIndicators_2014-O'!$B$2:$B$57,0)</f>
        <v>22</v>
      </c>
      <c r="C258" s="195" t="str">
        <f>CONCATENATE(REPT(" ",D258),INDEX('tblIndicators_2014-O'!$Z$2:$Z$57,$B258))</f>
        <v>   2.2.1) Air quality</v>
      </c>
      <c r="D258" s="195">
        <f>INDEX('tblIndicators_2014-O'!$D$2:$D$57,$B258)</f>
        <v>3</v>
      </c>
    </row>
    <row r="259" spans="1:4">
      <c r="A259" s="220" t="s">
        <v>536</v>
      </c>
      <c r="B259" s="195">
        <f>MATCH(A259,'tblIndicators_2014-O'!$B$2:$B$57,0)</f>
        <v>23</v>
      </c>
      <c r="C259" s="195" t="str">
        <f>CONCATENATE(REPT(" ",D259),INDEX('tblIndicators_2014-O'!$Z$2:$Z$57,$B259))</f>
        <v>   2.2.2) Water quality</v>
      </c>
      <c r="D259" s="195">
        <f>INDEX('tblIndicators_2014-O'!$D$2:$D$57,$B259)</f>
        <v>3</v>
      </c>
    </row>
    <row r="260" spans="1:4">
      <c r="A260" s="220" t="s">
        <v>539</v>
      </c>
      <c r="B260" s="195">
        <f>MATCH(A260,'tblIndicators_2014-O'!$B$2:$B$57,0)</f>
        <v>24</v>
      </c>
      <c r="C260" s="195" t="str">
        <f>CONCATENATE(REPT(" ",D260),INDEX('tblIndicators_2014-O'!$Z$2:$Z$57,$B260))</f>
        <v>   2.2.3) Life expectancy</v>
      </c>
      <c r="D260" s="195">
        <f>INDEX('tblIndicators_2014-O'!$D$2:$D$57,$B260)</f>
        <v>3</v>
      </c>
    </row>
    <row r="261" spans="1:4">
      <c r="A261" s="220" t="s">
        <v>544</v>
      </c>
      <c r="B261" s="195">
        <f>MATCH(A261,'tblIndicators_2014-O'!$B$2:$B$57,0)</f>
        <v>25</v>
      </c>
      <c r="C261" s="195" t="str">
        <f>CONCATENATE(REPT(" ",D261),INDEX('tblIndicators_2014-O'!$Z$2:$Z$57,$B261))</f>
        <v>   2.2.4) Infant mortality (deaths per 1,000 live births)</v>
      </c>
      <c r="D261" s="195">
        <f>INDEX('tblIndicators_2014-O'!$D$2:$D$57,$B261)</f>
        <v>3</v>
      </c>
    </row>
    <row r="262" spans="1:4">
      <c r="A262" s="220" t="s">
        <v>548</v>
      </c>
      <c r="B262" s="195">
        <f>MATCH(A262,'tblIndicators_2014-O'!$B$2:$B$57,0)</f>
        <v>26</v>
      </c>
      <c r="C262" s="195" t="str">
        <f>CONCATENATE(REPT(" ",D262),INDEX('tblIndicators_2014-O'!$Z$2:$Z$57,$B262))</f>
        <v>   2.2.5) Cancer mortality rate ( Cancer deaths per 100,000)</v>
      </c>
      <c r="D262" s="195">
        <f>INDEX('tblIndicators_2014-O'!$D$2:$D$57,$B262)</f>
        <v>3</v>
      </c>
    </row>
    <row r="263" spans="1:4">
      <c r="A263" s="222" t="s">
        <v>553</v>
      </c>
      <c r="B263" s="195">
        <f>MATCH(A263,'tblIndicators_2014-O'!$B$2:$B$57,0)</f>
        <v>27</v>
      </c>
      <c r="C263" s="195" t="str">
        <f>CONCATENATE(REPT(" ",D263),INDEX('tblIndicators_2014-O'!$Z$2:$Z$57,$B263))</f>
        <v> 3) INFRASTRUCTURE SECURITY</v>
      </c>
      <c r="D263" s="195">
        <f>INDEX('tblIndicators_2014-O'!$D$2:$D$57,$B263)</f>
        <v>1</v>
      </c>
    </row>
    <row r="264" spans="1:4">
      <c r="A264" s="218" t="s">
        <v>555</v>
      </c>
      <c r="B264" s="195">
        <f>MATCH(A264,'tblIndicators_2014-O'!$B$2:$B$57,0)</f>
        <v>28</v>
      </c>
      <c r="C264" s="195" t="str">
        <f>CONCATENATE(REPT(" ",D264),INDEX('tblIndicators_2014-O'!$Z$2:$Z$57,$B264))</f>
        <v>  3.1) Infrastructure Security (Inputs)</v>
      </c>
      <c r="D264" s="195">
        <f>INDEX('tblIndicators_2014-O'!$D$2:$D$57,$B264)</f>
        <v>2</v>
      </c>
    </row>
    <row r="265" spans="1:4">
      <c r="A265" s="220" t="s">
        <v>558</v>
      </c>
      <c r="B265" s="195">
        <f>MATCH(A265,'tblIndicators_2014-O'!$B$2:$B$57,0)</f>
        <v>29</v>
      </c>
      <c r="C265" s="195" t="str">
        <f>CONCATENATE(REPT(" ",D265),INDEX('tblIndicators_2014-O'!$Z$2:$Z$57,$B265))</f>
        <v>   3.1.1) Enforcement of transport safety</v>
      </c>
      <c r="D265" s="195">
        <f>INDEX('tblIndicators_2014-O'!$D$2:$D$57,$B265)</f>
        <v>3</v>
      </c>
    </row>
    <row r="266" spans="1:4">
      <c r="A266" s="220" t="s">
        <v>562</v>
      </c>
      <c r="B266" s="195">
        <f>MATCH(A266,'tblIndicators_2014-O'!$B$2:$B$57,0)</f>
        <v>30</v>
      </c>
      <c r="C266" s="195" t="str">
        <f>CONCATENATE(REPT(" ",D266),INDEX('tblIndicators_2014-O'!$Z$2:$Z$57,$B266))</f>
        <v>   3.1.2) Pedestrian friendliness</v>
      </c>
      <c r="D266" s="195">
        <f>INDEX('tblIndicators_2014-O'!$D$2:$D$57,$B266)</f>
        <v>3</v>
      </c>
    </row>
    <row r="267" spans="1:4">
      <c r="A267" s="220" t="s">
        <v>565</v>
      </c>
      <c r="B267" s="195">
        <f>MATCH(A267,'tblIndicators_2014-O'!$B$2:$B$57,0)</f>
        <v>31</v>
      </c>
      <c r="C267" s="195" t="str">
        <f>CONCATENATE(REPT(" ",D267),INDEX('tblIndicators_2014-O'!$Z$2:$Z$57,$B267))</f>
        <v>   3.1.3) Quality of road infrastructure</v>
      </c>
      <c r="D267" s="195">
        <f>INDEX('tblIndicators_2014-O'!$D$2:$D$57,$B267)</f>
        <v>3</v>
      </c>
    </row>
    <row r="268" spans="1:4">
      <c r="A268" s="220" t="s">
        <v>568</v>
      </c>
      <c r="B268" s="195">
        <f>MATCH(A268,'tblIndicators_2014-O'!$B$2:$B$57,0)</f>
        <v>32</v>
      </c>
      <c r="C268" s="195" t="str">
        <f>CONCATENATE(REPT(" ",D268),INDEX('tblIndicators_2014-O'!$Z$2:$Z$57,$B268))</f>
        <v>   3.1.4) Quality of electricity infrastructure</v>
      </c>
      <c r="D268" s="195">
        <f>INDEX('tblIndicators_2014-O'!$D$2:$D$57,$B268)</f>
        <v>3</v>
      </c>
    </row>
    <row r="269" spans="1:4">
      <c r="A269" s="220" t="s">
        <v>571</v>
      </c>
      <c r="B269" s="195">
        <f>MATCH(A269,'tblIndicators_2014-O'!$B$2:$B$57,0)</f>
        <v>33</v>
      </c>
      <c r="C269" s="195" t="str">
        <f>CONCATENATE(REPT(" ",D269),INDEX('tblIndicators_2014-O'!$Z$2:$Z$57,$B269))</f>
        <v>   3.1.5) Disaster Management/Business Continuity Plan</v>
      </c>
      <c r="D269" s="195">
        <f>INDEX('tblIndicators_2014-O'!$D$2:$D$57,$B269)</f>
        <v>3</v>
      </c>
    </row>
    <row r="270" spans="1:4">
      <c r="A270" s="218" t="s">
        <v>574</v>
      </c>
      <c r="B270" s="195">
        <f>MATCH(A270,'tblIndicators_2014-O'!$B$2:$B$57,0)</f>
        <v>34</v>
      </c>
      <c r="C270" s="195" t="str">
        <f>CONCATENATE(REPT(" ",D270),INDEX('tblIndicators_2014-O'!$Z$2:$Z$57,$B270))</f>
        <v>  3.2) Infrastructure Security (Outputs)</v>
      </c>
      <c r="D270" s="195">
        <f>INDEX('tblIndicators_2014-O'!$D$2:$D$57,$B270)</f>
        <v>2</v>
      </c>
    </row>
    <row r="271" spans="1:4">
      <c r="A271" s="220" t="s">
        <v>577</v>
      </c>
      <c r="B271" s="195">
        <f>MATCH(A271,'tblIndicators_2014-O'!$B$2:$B$57,0)</f>
        <v>35</v>
      </c>
      <c r="C271" s="195" t="str">
        <f>CONCATENATE(REPT(" ",D271),INDEX('tblIndicators_2014-O'!$Z$2:$Z$57,$B271))</f>
        <v>   3.2.1) Death from natural disasters</v>
      </c>
      <c r="D271" s="195">
        <f>INDEX('tblIndicators_2014-O'!$D$2:$D$57,$B271)</f>
        <v>3</v>
      </c>
    </row>
    <row r="272" spans="1:4">
      <c r="A272" s="220" t="s">
        <v>582</v>
      </c>
      <c r="B272" s="195">
        <f>MATCH(A272,'tblIndicators_2014-O'!$B$2:$B$57,0)</f>
        <v>36</v>
      </c>
      <c r="C272" s="195" t="str">
        <f>CONCATENATE(REPT(" ",D272),INDEX('tblIndicators_2014-O'!$Z$2:$Z$57,$B272))</f>
        <v>   3.2.2) Frequency of vehicular accidents</v>
      </c>
      <c r="D272" s="195">
        <f>INDEX('tblIndicators_2014-O'!$D$2:$D$57,$B272)</f>
        <v>3</v>
      </c>
    </row>
    <row r="273" spans="1:4">
      <c r="A273" s="220" t="s">
        <v>586</v>
      </c>
      <c r="B273" s="195">
        <f>MATCH(A273,'tblIndicators_2014-O'!$B$2:$B$57,0)</f>
        <v>37</v>
      </c>
      <c r="C273" s="195" t="str">
        <f>CONCATENATE(REPT(" ",D273),INDEX('tblIndicators_2014-O'!$Z$2:$Z$57,$B273))</f>
        <v>   3.2.3) Frequency of pedestrian deaths</v>
      </c>
      <c r="D273" s="195">
        <f>INDEX('tblIndicators_2014-O'!$D$2:$D$57,$B273)</f>
        <v>3</v>
      </c>
    </row>
    <row r="274" spans="1:4">
      <c r="A274" s="220" t="s">
        <v>589</v>
      </c>
      <c r="B274" s="195">
        <f>MATCH(A274,'tblIndicators_2014-O'!$B$2:$B$57,0)</f>
        <v>38</v>
      </c>
      <c r="C274" s="195" t="str">
        <f>CONCATENATE(REPT(" ",D274),INDEX('tblIndicators_2014-O'!$Z$2:$Z$57,$B274))</f>
        <v>   3.2.4) Percent living in urban slums</v>
      </c>
      <c r="D274" s="195">
        <f>INDEX('tblIndicators_2014-O'!$D$2:$D$57,$B274)</f>
        <v>3</v>
      </c>
    </row>
    <row r="275" spans="1:4">
      <c r="A275" s="222" t="s">
        <v>592</v>
      </c>
      <c r="B275" s="195">
        <f>MATCH(A275,'tblIndicators_2014-O'!$B$2:$B$57,0)</f>
        <v>39</v>
      </c>
      <c r="C275" s="195" t="str">
        <f>CONCATENATE(REPT(" ",D275),INDEX('tblIndicators_2014-O'!$Z$2:$Z$57,$B275))</f>
        <v> 4) PERSONAL SECURITY</v>
      </c>
      <c r="D275" s="195">
        <f>INDEX('tblIndicators_2014-O'!$D$2:$D$57,$B275)</f>
        <v>1</v>
      </c>
    </row>
    <row r="276" spans="1:4">
      <c r="A276" s="218" t="s">
        <v>594</v>
      </c>
      <c r="B276" s="195">
        <f>MATCH(A276,'tblIndicators_2014-O'!$B$2:$B$57,0)</f>
        <v>40</v>
      </c>
      <c r="C276" s="195" t="str">
        <f>CONCATENATE(REPT(" ",D276),INDEX('tblIndicators_2014-O'!$Z$2:$Z$57,$B276))</f>
        <v>  4.1) Personal Security (Inputs)</v>
      </c>
      <c r="D276" s="195">
        <f>INDEX('tblIndicators_2014-O'!$D$2:$D$57,$B276)</f>
        <v>2</v>
      </c>
    </row>
    <row r="277" spans="1:4">
      <c r="A277" s="220" t="s">
        <v>597</v>
      </c>
      <c r="B277" s="195">
        <f>MATCH(A277,'tblIndicators_2014-O'!$B$2:$B$57,0)</f>
        <v>41</v>
      </c>
      <c r="C277" s="195" t="str">
        <f>CONCATENATE(REPT(" ",D277),INDEX('tblIndicators_2014-O'!$Z$2:$Z$57,$B277))</f>
        <v>   4.1.1) Level of police engagement</v>
      </c>
      <c r="D277" s="195">
        <f>INDEX('tblIndicators_2014-O'!$D$2:$D$57,$B277)</f>
        <v>3</v>
      </c>
    </row>
    <row r="278" spans="1:4">
      <c r="A278" s="220" t="s">
        <v>602</v>
      </c>
      <c r="B278" s="195">
        <f>MATCH(A278,'tblIndicators_2014-O'!$B$2:$B$57,0)</f>
        <v>42</v>
      </c>
      <c r="C278" s="195" t="str">
        <f>CONCATENATE(REPT(" ",D278),INDEX('tblIndicators_2014-O'!$Z$2:$Z$57,$B278))</f>
        <v>   4.1.2) Community-based patrolling</v>
      </c>
      <c r="D278" s="195">
        <f>INDEX('tblIndicators_2014-O'!$D$2:$D$57,$B278)</f>
        <v>3</v>
      </c>
    </row>
    <row r="279" spans="1:4">
      <c r="A279" s="220" t="s">
        <v>607</v>
      </c>
      <c r="B279" s="195">
        <f>MATCH(A279,'tblIndicators_2014-O'!$B$2:$B$57,0)</f>
        <v>43</v>
      </c>
      <c r="C279" s="195" t="str">
        <f>CONCATENATE(REPT(" ",D279),INDEX('tblIndicators_2014-O'!$Z$2:$Z$57,$B279))</f>
        <v>   4.1.3) Availability of street-level crime data</v>
      </c>
      <c r="D279" s="195">
        <f>INDEX('tblIndicators_2014-O'!$D$2:$D$57,$B279)</f>
        <v>3</v>
      </c>
    </row>
    <row r="280" spans="1:4">
      <c r="A280" s="220" t="s">
        <v>610</v>
      </c>
      <c r="B280" s="195">
        <f>MATCH(A280,'tblIndicators_2014-O'!$B$2:$B$57,0)</f>
        <v>44</v>
      </c>
      <c r="C280" s="195" t="str">
        <f>CONCATENATE(REPT(" ",D280),INDEX('tblIndicators_2014-O'!$Z$2:$Z$57,$B280))</f>
        <v>   4.1.4) Use of data-driven techniques for crime</v>
      </c>
      <c r="D280" s="195">
        <f>INDEX('tblIndicators_2014-O'!$D$2:$D$57,$B280)</f>
        <v>3</v>
      </c>
    </row>
    <row r="281" spans="1:4">
      <c r="A281" s="220" t="s">
        <v>613</v>
      </c>
      <c r="B281" s="195">
        <f>MATCH(A281,'tblIndicators_2014-O'!$B$2:$B$57,0)</f>
        <v>45</v>
      </c>
      <c r="C281" s="195" t="str">
        <f>CONCATENATE(REPT(" ",D281),INDEX('tblIndicators_2014-O'!$Z$2:$Z$57,$B281))</f>
        <v>   4.1.5) Private security measures</v>
      </c>
      <c r="D281" s="195">
        <f>INDEX('tblIndicators_2014-O'!$D$2:$D$57,$B281)</f>
        <v>3</v>
      </c>
    </row>
    <row r="282" spans="1:4">
      <c r="A282" s="220" t="s">
        <v>616</v>
      </c>
      <c r="B282" s="195">
        <f>MATCH(A282,'tblIndicators_2014-O'!$B$2:$B$57,0)</f>
        <v>46</v>
      </c>
      <c r="C282" s="195" t="str">
        <f>CONCATENATE(REPT(" ",D282),INDEX('tblIndicators_2014-O'!$Z$2:$Z$57,$B282))</f>
        <v>   4.1.6) Gun regulation and enforcement</v>
      </c>
      <c r="D282" s="195">
        <f>INDEX('tblIndicators_2014-O'!$D$2:$D$57,$B282)</f>
        <v>3</v>
      </c>
    </row>
    <row r="283" spans="1:4">
      <c r="A283" s="220" t="s">
        <v>620</v>
      </c>
      <c r="B283" s="195">
        <f>MATCH(A283,'tblIndicators_2014-O'!$B$2:$B$57,0)</f>
        <v>47</v>
      </c>
      <c r="C283" s="195" t="str">
        <f>CONCATENATE(REPT(" ",D283),INDEX('tblIndicators_2014-O'!$Z$2:$Z$57,$B283))</f>
        <v>   4.1.7) Political Stability Risk</v>
      </c>
      <c r="D283" s="195">
        <f>INDEX('tblIndicators_2014-O'!$D$2:$D$57,$B283)</f>
        <v>3</v>
      </c>
    </row>
    <row r="284" spans="1:4">
      <c r="A284" s="218" t="s">
        <v>624</v>
      </c>
      <c r="B284" s="195">
        <f>MATCH(A284,'tblIndicators_2014-O'!$B$2:$B$57,0)</f>
        <v>48</v>
      </c>
      <c r="C284" s="195" t="str">
        <f>CONCATENATE(REPT(" ",D284),INDEX('tblIndicators_2014-O'!$Z$2:$Z$57,$B284))</f>
        <v>  4.2) Personal Security (Outputs)</v>
      </c>
      <c r="D284" s="195">
        <f>INDEX('tblIndicators_2014-O'!$D$2:$D$57,$B284)</f>
        <v>2</v>
      </c>
    </row>
    <row r="285" spans="1:4">
      <c r="A285" s="220" t="s">
        <v>627</v>
      </c>
      <c r="B285" s="195">
        <f>MATCH(A285,'tblIndicators_2014-O'!$B$2:$B$57,0)</f>
        <v>49</v>
      </c>
      <c r="C285" s="195" t="str">
        <f>CONCATENATE(REPT(" ",D285),INDEX('tblIndicators_2014-O'!$Z$2:$Z$57,$B285))</f>
        <v>   4.2.1) Prevalence of petty crime</v>
      </c>
      <c r="D285" s="195">
        <f>INDEX('tblIndicators_2014-O'!$D$2:$D$57,$B285)</f>
        <v>3</v>
      </c>
    </row>
    <row r="286" spans="1:4">
      <c r="A286" s="220" t="s">
        <v>631</v>
      </c>
      <c r="B286" s="195">
        <f>MATCH(A286,'tblIndicators_2014-O'!$B$2:$B$57,0)</f>
        <v>50</v>
      </c>
      <c r="C286" s="195" t="str">
        <f>CONCATENATE(REPT(" ",D286),INDEX('tblIndicators_2014-O'!$Z$2:$Z$57,$B286))</f>
        <v>   4.2.2) Prevalence of violence crime</v>
      </c>
      <c r="D286" s="195">
        <f>INDEX('tblIndicators_2014-O'!$D$2:$D$57,$B286)</f>
        <v>3</v>
      </c>
    </row>
    <row r="287" spans="1:4">
      <c r="A287" s="220" t="s">
        <v>634</v>
      </c>
      <c r="B287" s="195">
        <f>MATCH(A287,'tblIndicators_2014-O'!$B$2:$B$57,0)</f>
        <v>51</v>
      </c>
      <c r="C287" s="195" t="str">
        <f>CONCATENATE(REPT(" ",D287),INDEX('tblIndicators_2014-O'!$Z$2:$Z$57,$B287))</f>
        <v>   4.2.3) Criminal gang activity</v>
      </c>
      <c r="D287" s="195">
        <f>INDEX('tblIndicators_2014-O'!$D$2:$D$57,$B287)</f>
        <v>3</v>
      </c>
    </row>
    <row r="288" spans="1:4">
      <c r="A288" s="220" t="s">
        <v>639</v>
      </c>
      <c r="B288" s="195">
        <f>MATCH(A288,'tblIndicators_2014-O'!$B$2:$B$57,0)</f>
        <v>52</v>
      </c>
      <c r="C288" s="195" t="str">
        <f>CONCATENATE(REPT(" ",D288),INDEX('tblIndicators_2014-O'!$Z$2:$Z$57,$B288))</f>
        <v>   4.2.4) Level of corruption in police force</v>
      </c>
      <c r="D288" s="195">
        <f>INDEX('tblIndicators_2014-O'!$D$2:$D$57,$B288)</f>
        <v>3</v>
      </c>
    </row>
    <row r="289" spans="1:4">
      <c r="A289" s="220" t="s">
        <v>642</v>
      </c>
      <c r="B289" s="195">
        <f>MATCH(A289,'tblIndicators_2014-O'!$B$2:$B$57,0)</f>
        <v>53</v>
      </c>
      <c r="C289" s="195" t="str">
        <f>CONCATENATE(REPT(" ",D289),INDEX('tblIndicators_2014-O'!$Z$2:$Z$57,$B289))</f>
        <v>   4.2.5) Rate of drug use</v>
      </c>
      <c r="D289" s="195">
        <f>INDEX('tblIndicators_2014-O'!$D$2:$D$57,$B289)</f>
        <v>3</v>
      </c>
    </row>
    <row r="290" spans="1:4">
      <c r="A290" s="220" t="s">
        <v>645</v>
      </c>
      <c r="B290" s="195">
        <f>MATCH(A290,'tblIndicators_2014-O'!$B$2:$B$57,0)</f>
        <v>54</v>
      </c>
      <c r="C290" s="195" t="str">
        <f>CONCATENATE(REPT(" ",D290),INDEX('tblIndicators_2014-O'!$Z$2:$Z$57,$B290))</f>
        <v>   4.2.6) Frequency of terrorist attacks</v>
      </c>
      <c r="D290" s="195">
        <f>INDEX('tblIndicators_2014-O'!$D$2:$D$57,$B290)</f>
        <v>3</v>
      </c>
    </row>
    <row r="291" spans="1:4">
      <c r="A291" s="220" t="s">
        <v>650</v>
      </c>
      <c r="B291" s="195">
        <f>MATCH(A291,'tblIndicators_2014-O'!$B$2:$B$57,0)</f>
        <v>55</v>
      </c>
      <c r="C291" s="195" t="str">
        <f>CONCATENATE(REPT(" ",D291),INDEX('tblIndicators_2014-O'!$Z$2:$Z$57,$B291))</f>
        <v>   4.2.7) Gender safety</v>
      </c>
      <c r="D291" s="195">
        <f>INDEX('tblIndicators_2014-O'!$D$2:$D$57,$B291)</f>
        <v>3</v>
      </c>
    </row>
    <row r="292" spans="1:4">
      <c r="A292" s="220" t="s">
        <v>655</v>
      </c>
      <c r="B292" s="195">
        <f>MATCH(A292,'tblIndicators_2014-O'!$B$2:$B$57,0)</f>
        <v>56</v>
      </c>
      <c r="C292" s="195" t="str">
        <f>CONCATENATE(REPT(" ",D292),INDEX('tblIndicators_2014-O'!$Z$2:$Z$57,$B292))</f>
        <v>   4.2.8) Perceptions of safety</v>
      </c>
      <c r="D292" s="195">
        <f>INDEX('tblIndicators_2014-O'!$D$2:$D$57,$B292)</f>
        <v>3</v>
      </c>
    </row>
    <row r="297" spans="1:4">
      <c r="A297" s="221" t="s">
        <v>445</v>
      </c>
      <c r="B297" s="195">
        <f>MATCH(A297,'tblIndicators_2014-O'!$B$2:$B$57,0)</f>
        <v>1</v>
      </c>
      <c r="C297" s="195" t="str">
        <f>CONCATENATE(REPT(" ",D297),INDEX('tblIndicators_2014-O'!$Z$2:$Z$57,$B297))</f>
        <v>OVERALL SCORE</v>
      </c>
      <c r="D297" s="195">
        <f>INDEX('tblIndicators_2014-O'!$D$2:$D$57,$B297)</f>
        <v>0</v>
      </c>
    </row>
    <row r="298" spans="1:4">
      <c r="A298" s="222" t="s">
        <v>448</v>
      </c>
      <c r="B298" s="195">
        <f>MATCH(A298,'tblIndicators_2014-O'!$B$2:$B$57,0)</f>
        <v>2</v>
      </c>
      <c r="C298" s="195" t="str">
        <f>CONCATENATE(REPT(" ",D298),INDEX('tblIndicators_2014-O'!$Z$2:$Z$57,$B298))</f>
        <v> 1) DIGITAL SECURITY</v>
      </c>
      <c r="D298" s="195">
        <f>INDEX('tblIndicators_2014-O'!$D$2:$D$57,$B298)</f>
        <v>1</v>
      </c>
    </row>
    <row r="299" spans="1:4">
      <c r="A299" s="218" t="s">
        <v>452</v>
      </c>
      <c r="B299" s="195">
        <f>MATCH(A299,'tblIndicators_2014-O'!$B$2:$B$57,0)</f>
        <v>3</v>
      </c>
      <c r="C299" s="195" t="str">
        <f>CONCATENATE(REPT(" ",D299),INDEX('tblIndicators_2014-O'!$Z$2:$Z$57,$B299))</f>
        <v>  1.1) Digital Security (Inputs)</v>
      </c>
      <c r="D299" s="195">
        <f>INDEX('tblIndicators_2014-O'!$D$2:$D$57,$B299)</f>
        <v>2</v>
      </c>
    </row>
    <row r="300" spans="1:4">
      <c r="A300" s="218" t="s">
        <v>482</v>
      </c>
      <c r="B300" s="195">
        <f>MATCH(A300,'tblIndicators_2014-O'!$B$2:$B$57,0)</f>
        <v>9</v>
      </c>
      <c r="C300" s="195" t="str">
        <f>CONCATENATE(REPT(" ",D300),INDEX('tblIndicators_2014-O'!$Z$2:$Z$57,$B300))</f>
        <v>  1.2) Digital Security (Outputs)</v>
      </c>
      <c r="D300" s="195">
        <f>INDEX('tblIndicators_2014-O'!$D$2:$D$57,$B300)</f>
        <v>2</v>
      </c>
    </row>
    <row r="301" spans="1:4">
      <c r="A301" s="222" t="s">
        <v>499</v>
      </c>
      <c r="B301" s="195">
        <f>MATCH(A301,'tblIndicators_2014-O'!$B$2:$B$57,0)</f>
        <v>13</v>
      </c>
      <c r="C301" s="195" t="str">
        <f>CONCATENATE(REPT(" ",D301),INDEX('tblIndicators_2014-O'!$Z$2:$Z$57,$B301))</f>
        <v> 2) HEALTH SECURITY</v>
      </c>
      <c r="D301" s="195">
        <f>INDEX('tblIndicators_2014-O'!$D$2:$D$57,$B301)</f>
        <v>1</v>
      </c>
    </row>
    <row r="302" spans="1:4">
      <c r="A302" s="218" t="s">
        <v>502</v>
      </c>
      <c r="B302" s="195">
        <f>MATCH(A302,'tblIndicators_2014-O'!$B$2:$B$57,0)</f>
        <v>14</v>
      </c>
      <c r="C302" s="195" t="str">
        <f>CONCATENATE(REPT(" ",D302),INDEX('tblIndicators_2014-O'!$Z$2:$Z$57,$B302))</f>
        <v>  2.1) Health Security (Inputs)</v>
      </c>
      <c r="D302" s="195">
        <f>INDEX('tblIndicators_2014-O'!$D$2:$D$57,$B302)</f>
        <v>2</v>
      </c>
    </row>
    <row r="303" spans="1:4">
      <c r="A303" s="218" t="s">
        <v>529</v>
      </c>
      <c r="B303" s="195">
        <f>MATCH(A303,'tblIndicators_2014-O'!$B$2:$B$57,0)</f>
        <v>21</v>
      </c>
      <c r="C303" s="195" t="str">
        <f>CONCATENATE(REPT(" ",D303),INDEX('tblIndicators_2014-O'!$Z$2:$Z$57,$B303))</f>
        <v>  2.2) Health Security (Outputs)</v>
      </c>
      <c r="D303" s="195">
        <f>INDEX('tblIndicators_2014-O'!$D$2:$D$57,$B303)</f>
        <v>2</v>
      </c>
    </row>
    <row r="304" spans="1:4">
      <c r="A304" s="222" t="s">
        <v>553</v>
      </c>
      <c r="B304" s="195">
        <f>MATCH(A304,'tblIndicators_2014-O'!$B$2:$B$57,0)</f>
        <v>27</v>
      </c>
      <c r="C304" s="195" t="str">
        <f>CONCATENATE(REPT(" ",D304),INDEX('tblIndicators_2014-O'!$Z$2:$Z$57,$B304))</f>
        <v> 3) INFRASTRUCTURE SECURITY</v>
      </c>
      <c r="D304" s="195">
        <f>INDEX('tblIndicators_2014-O'!$D$2:$D$57,$B304)</f>
        <v>1</v>
      </c>
    </row>
    <row r="305" spans="1:4">
      <c r="A305" s="218" t="s">
        <v>555</v>
      </c>
      <c r="B305" s="195">
        <f>MATCH(A305,'tblIndicators_2014-O'!$B$2:$B$57,0)</f>
        <v>28</v>
      </c>
      <c r="C305" s="195" t="str">
        <f>CONCATENATE(REPT(" ",D305),INDEX('tblIndicators_2014-O'!$Z$2:$Z$57,$B305))</f>
        <v>  3.1) Infrastructure Security (Inputs)</v>
      </c>
      <c r="D305" s="195">
        <f>INDEX('tblIndicators_2014-O'!$D$2:$D$57,$B305)</f>
        <v>2</v>
      </c>
    </row>
    <row r="306" spans="1:4">
      <c r="A306" s="218" t="s">
        <v>574</v>
      </c>
      <c r="B306" s="195">
        <f>MATCH(A306,'tblIndicators_2014-O'!$B$2:$B$57,0)</f>
        <v>34</v>
      </c>
      <c r="C306" s="195" t="str">
        <f>CONCATENATE(REPT(" ",D306),INDEX('tblIndicators_2014-O'!$Z$2:$Z$57,$B306))</f>
        <v>  3.2) Infrastructure Security (Outputs)</v>
      </c>
      <c r="D306" s="195">
        <f>INDEX('tblIndicators_2014-O'!$D$2:$D$57,$B306)</f>
        <v>2</v>
      </c>
    </row>
    <row r="307" spans="1:4">
      <c r="A307" s="222" t="s">
        <v>592</v>
      </c>
      <c r="B307" s="195">
        <f>MATCH(A307,'tblIndicators_2014-O'!$B$2:$B$57,0)</f>
        <v>39</v>
      </c>
      <c r="C307" s="195" t="str">
        <f>CONCATENATE(REPT(" ",D307),INDEX('tblIndicators_2014-O'!$Z$2:$Z$57,$B307))</f>
        <v> 4) PERSONAL SECURITY</v>
      </c>
      <c r="D307" s="195">
        <f>INDEX('tblIndicators_2014-O'!$D$2:$D$57,$B307)</f>
        <v>1</v>
      </c>
    </row>
    <row r="308" spans="1:4">
      <c r="A308" s="218" t="s">
        <v>594</v>
      </c>
      <c r="B308" s="195">
        <f>MATCH(A308,'tblIndicators_2014-O'!$B$2:$B$57,0)</f>
        <v>40</v>
      </c>
      <c r="C308" s="195" t="str">
        <f>CONCATENATE(REPT(" ",D308),INDEX('tblIndicators_2014-O'!$Z$2:$Z$57,$B308))</f>
        <v>  4.1) Personal Security (Inputs)</v>
      </c>
      <c r="D308" s="195">
        <f>INDEX('tblIndicators_2014-O'!$D$2:$D$57,$B308)</f>
        <v>2</v>
      </c>
    </row>
    <row r="309" spans="1:4">
      <c r="A309" s="218" t="s">
        <v>624</v>
      </c>
      <c r="B309" s="195">
        <f>MATCH(A309,'tblIndicators_2014-O'!$B$2:$B$57,0)</f>
        <v>48</v>
      </c>
      <c r="C309" s="195" t="str">
        <f>CONCATENATE(REPT(" ",D309),INDEX('tblIndicators_2014-O'!$Z$2:$Z$57,$B309))</f>
        <v>  4.2) Personal Security (Outputs)</v>
      </c>
      <c r="D309" s="195">
        <f>INDEX('tblIndicators_2014-O'!$D$2:$D$57,$B309)</f>
        <v>2</v>
      </c>
    </row>
  </sheetData>
  <pageMargins left="0.551181102362205" right="0.551181102362205" top="0.590551181102362" bottom="0.78740157480315" header="0.511811023622047" footer="0.511811023622047"/>
  <pageSetup paperSize="9" scale="14" orientation="landscape"/>
  <headerFooter alignWithMargins="0">
    <oddHeader>&amp;RSafe Cities Index : 2017</oddHead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C000"/>
    <pageSetUpPr fitToPage="1"/>
  </sheetPr>
  <dimension ref="C1:BO105"/>
  <sheetViews>
    <sheetView showGridLines="0" showRowColHeaders="0" zoomScale="90" zoomScaleNormal="90" topLeftCell="Q1" workbookViewId="0">
      <pane ySplit="5" topLeftCell="A21" activePane="bottomLeft" state="frozen"/>
      <selection/>
      <selection pane="bottomLeft" activeCell="X50" sqref="X50"/>
    </sheetView>
  </sheetViews>
  <sheetFormatPr defaultColWidth="9" defaultRowHeight="15"/>
  <cols>
    <col min="1" max="1" width="9.14285714285714" customWidth="1"/>
    <col min="2" max="13" width="10.5714285714286" customWidth="1"/>
    <col min="14" max="14" width="40.7142857142857" customWidth="1"/>
    <col min="15" max="15" width="11" customWidth="1"/>
    <col min="16" max="65" width="14.4285714285714" customWidth="1"/>
    <col min="66" max="16384" width="9.14285714285714"/>
  </cols>
  <sheetData>
    <row r="1" ht="27" customHeight="1" spans="3:5">
      <c r="C1" s="194"/>
      <c r="D1" s="194"/>
      <c r="E1" s="194"/>
    </row>
    <row r="2" ht="21" customHeight="1" spans="14:14">
      <c r="N2" s="199"/>
    </row>
    <row r="3" ht="37.5" customHeight="1" spans="14:14">
      <c r="N3" s="199"/>
    </row>
    <row r="4" ht="8.25" customHeight="1" spans="16:16">
      <c r="P4" s="200"/>
    </row>
    <row r="5" spans="3:65">
      <c r="C5" s="195"/>
      <c r="D5" s="195" t="str">
        <f>'tblIndicators_2014-O'!B1</f>
        <v>IndiCode</v>
      </c>
      <c r="E5" s="195" t="str">
        <f>'tblIndicators_2014-O'!C1</f>
        <v>IndiParent</v>
      </c>
      <c r="F5" s="195" t="s">
        <v>423</v>
      </c>
      <c r="G5" s="195" t="str">
        <f>'tblIndicators_2014-O'!M1</f>
        <v>Score_System, 1 = weighted sum of scores, 2 = norm based on actual max/min, 3 = norm based on fixed max/min</v>
      </c>
      <c r="H5" s="195" t="str">
        <f>'tblIndicators_2014-O'!N1</f>
        <v>Score_Param1 (0=High Is Good)</v>
      </c>
      <c r="I5" s="195" t="s">
        <v>777</v>
      </c>
      <c r="J5" s="195" t="s">
        <v>778</v>
      </c>
      <c r="K5" s="195"/>
      <c r="L5" s="195"/>
      <c r="M5" s="195"/>
      <c r="N5" s="201" t="s">
        <v>97</v>
      </c>
      <c r="O5" s="201" t="s">
        <v>21</v>
      </c>
      <c r="P5" s="202" t="s">
        <v>70</v>
      </c>
      <c r="Q5" s="202" t="s">
        <v>779</v>
      </c>
      <c r="R5" s="202" t="s">
        <v>780</v>
      </c>
      <c r="S5" s="202" t="s">
        <v>781</v>
      </c>
      <c r="T5" s="202" t="s">
        <v>782</v>
      </c>
      <c r="U5" s="202" t="s">
        <v>783</v>
      </c>
      <c r="V5" s="202" t="s">
        <v>784</v>
      </c>
      <c r="W5" s="202" t="s">
        <v>785</v>
      </c>
      <c r="X5" s="202" t="s">
        <v>786</v>
      </c>
      <c r="Y5" s="202" t="s">
        <v>787</v>
      </c>
      <c r="Z5" s="202" t="s">
        <v>788</v>
      </c>
      <c r="AA5" s="202" t="s">
        <v>789</v>
      </c>
      <c r="AB5" s="202" t="s">
        <v>790</v>
      </c>
      <c r="AC5" s="202" t="s">
        <v>791</v>
      </c>
      <c r="AD5" s="202" t="s">
        <v>792</v>
      </c>
      <c r="AE5" s="202" t="s">
        <v>793</v>
      </c>
      <c r="AF5" s="202" t="s">
        <v>794</v>
      </c>
      <c r="AG5" s="202" t="s">
        <v>795</v>
      </c>
      <c r="AH5" s="202" t="s">
        <v>796</v>
      </c>
      <c r="AI5" s="202" t="s">
        <v>797</v>
      </c>
      <c r="AJ5" s="202" t="s">
        <v>798</v>
      </c>
      <c r="AK5" s="202" t="s">
        <v>799</v>
      </c>
      <c r="AL5" s="202" t="s">
        <v>800</v>
      </c>
      <c r="AM5" s="202" t="s">
        <v>801</v>
      </c>
      <c r="AN5" s="202" t="s">
        <v>802</v>
      </c>
      <c r="AO5" s="202" t="s">
        <v>803</v>
      </c>
      <c r="AP5" s="202" t="s">
        <v>804</v>
      </c>
      <c r="AQ5" s="202" t="s">
        <v>805</v>
      </c>
      <c r="AR5" s="202" t="s">
        <v>806</v>
      </c>
      <c r="AS5" s="202" t="s">
        <v>807</v>
      </c>
      <c r="AT5" s="202" t="s">
        <v>808</v>
      </c>
      <c r="AU5" s="202" t="s">
        <v>809</v>
      </c>
      <c r="AV5" s="202" t="s">
        <v>810</v>
      </c>
      <c r="AW5" s="202" t="s">
        <v>811</v>
      </c>
      <c r="AX5" s="202" t="s">
        <v>812</v>
      </c>
      <c r="AY5" s="202" t="s">
        <v>813</v>
      </c>
      <c r="AZ5" s="202" t="s">
        <v>814</v>
      </c>
      <c r="BA5" s="202" t="s">
        <v>815</v>
      </c>
      <c r="BB5" s="202" t="s">
        <v>816</v>
      </c>
      <c r="BC5" s="202" t="s">
        <v>817</v>
      </c>
      <c r="BD5" s="202" t="s">
        <v>818</v>
      </c>
      <c r="BE5" s="202" t="s">
        <v>819</v>
      </c>
      <c r="BF5" s="202" t="s">
        <v>820</v>
      </c>
      <c r="BG5" s="202" t="s">
        <v>821</v>
      </c>
      <c r="BH5" s="202" t="s">
        <v>822</v>
      </c>
      <c r="BI5" s="202" t="s">
        <v>823</v>
      </c>
      <c r="BJ5" s="202" t="s">
        <v>824</v>
      </c>
      <c r="BK5" s="202" t="s">
        <v>825</v>
      </c>
      <c r="BL5" s="202" t="s">
        <v>826</v>
      </c>
      <c r="BM5" s="202" t="s">
        <v>827</v>
      </c>
    </row>
    <row r="6" spans="3:67">
      <c r="C6" s="195"/>
      <c r="D6" s="195" t="str">
        <f>'tblIndicators_2014-O'!B2</f>
        <v>TOTAL</v>
      </c>
      <c r="E6" s="195">
        <f>'tblIndicators_2014-O'!C2</f>
        <v>0</v>
      </c>
      <c r="F6" s="196">
        <f>'tblIndicators_2014-O'!D2</f>
        <v>0</v>
      </c>
      <c r="G6" s="196">
        <f>'tblIndicators_2014-O'!M2</f>
        <v>1</v>
      </c>
      <c r="H6" s="196">
        <f>'tblIndicators_2014-O'!N2</f>
        <v>0</v>
      </c>
      <c r="I6" s="196">
        <f>'tblIndicators_2014-O'!Q2</f>
        <v>0</v>
      </c>
      <c r="J6" s="196">
        <f>'tblIndicators_2014-O'!R2</f>
        <v>0</v>
      </c>
      <c r="K6" s="196"/>
      <c r="L6" s="196"/>
      <c r="M6" s="203"/>
      <c r="N6" s="204" t="s">
        <v>27</v>
      </c>
      <c r="O6" s="205"/>
      <c r="P6" s="206">
        <v>69.8279166548763</v>
      </c>
      <c r="Q6" s="206">
        <v>79.1866884803651</v>
      </c>
      <c r="R6" s="206">
        <v>62.6948378671823</v>
      </c>
      <c r="S6" s="206">
        <v>75.161481043546</v>
      </c>
      <c r="T6" s="206">
        <v>63.2528626718233</v>
      </c>
      <c r="U6" s="206">
        <v>71.7185558674324</v>
      </c>
      <c r="V6" s="206">
        <v>65.8765921438428</v>
      </c>
      <c r="W6" s="206">
        <v>74.8923949195908</v>
      </c>
      <c r="X6" s="206">
        <v>61.8760356126853</v>
      </c>
      <c r="Y6" s="206">
        <v>66.409356688844</v>
      </c>
      <c r="Z6" s="206">
        <v>73.0466639667097</v>
      </c>
      <c r="AA6" s="206">
        <v>62.7852828894655</v>
      </c>
      <c r="AB6" s="206">
        <v>54.9303076774984</v>
      </c>
      <c r="AC6" s="206">
        <v>77.2372180558709</v>
      </c>
      <c r="AD6" s="206">
        <v>62.2515224513269</v>
      </c>
      <c r="AE6" s="206">
        <v>53.7117775072384</v>
      </c>
      <c r="AF6" s="206">
        <v>56.2582525915006</v>
      </c>
      <c r="AG6" s="206">
        <v>63.4729317595576</v>
      </c>
      <c r="AH6" s="206">
        <v>65.0088054723631</v>
      </c>
      <c r="AI6" s="206">
        <v>73.8325300966831</v>
      </c>
      <c r="AJ6" s="206">
        <v>74.236163651993</v>
      </c>
      <c r="AK6" s="206">
        <v>72.3508922717544</v>
      </c>
      <c r="AL6" s="206">
        <v>78.6730664237822</v>
      </c>
      <c r="AM6" s="206">
        <v>59.4606315231101</v>
      </c>
      <c r="AN6" s="206">
        <v>69.6372261244202</v>
      </c>
      <c r="AO6" s="206">
        <v>75.5987991707663</v>
      </c>
      <c r="AP6" s="206">
        <v>61.599379045244</v>
      </c>
      <c r="AQ6" s="206">
        <v>60.7201775945094</v>
      </c>
      <c r="AR6" s="206">
        <v>78.079401525147</v>
      </c>
      <c r="AS6" s="206">
        <v>82.3644984420972</v>
      </c>
      <c r="AT6" s="206">
        <v>71.2139359437925</v>
      </c>
      <c r="AU6" s="206">
        <v>63.5158493454929</v>
      </c>
      <c r="AV6" s="206">
        <v>57.0926058964455</v>
      </c>
      <c r="AW6" s="206">
        <v>67.1275429348333</v>
      </c>
      <c r="AX6" s="206">
        <v>76.6256721276085</v>
      </c>
      <c r="AY6" s="206">
        <v>66.9838893382287</v>
      </c>
      <c r="AZ6" s="206">
        <v>62.3254478514794</v>
      </c>
      <c r="BA6" s="206">
        <v>70.8950864621646</v>
      </c>
      <c r="BB6" s="206">
        <v>65.9340432763879</v>
      </c>
      <c r="BC6" s="206">
        <v>65.7629626994237</v>
      </c>
      <c r="BD6" s="206">
        <v>84.6106737937195</v>
      </c>
      <c r="BE6" s="206">
        <v>80.0186244665107</v>
      </c>
      <c r="BF6" s="206">
        <v>78.9089145899817</v>
      </c>
      <c r="BG6" s="206">
        <v>76.509699307323</v>
      </c>
      <c r="BH6" s="206">
        <v>53.7812633332528</v>
      </c>
      <c r="BI6" s="206">
        <v>63.5454197307048</v>
      </c>
      <c r="BJ6" s="206">
        <v>85.6348031581182</v>
      </c>
      <c r="BK6" s="206">
        <v>78.8076431086194</v>
      </c>
      <c r="BL6" s="206">
        <v>73.368035084796</v>
      </c>
      <c r="BM6" s="206">
        <v>78.8351411364153</v>
      </c>
      <c r="BO6" s="214"/>
    </row>
    <row r="7" spans="3:67">
      <c r="C7" s="195"/>
      <c r="D7" s="195" t="str">
        <f>'tblIndicators_2014-O'!B3</f>
        <v>DIGSEC</v>
      </c>
      <c r="E7" s="195" t="str">
        <f>'tblIndicators_2014-O'!C3</f>
        <v>TOTAL</v>
      </c>
      <c r="F7" s="196">
        <f>'tblIndicators_2014-O'!D3</f>
        <v>1</v>
      </c>
      <c r="G7" s="196">
        <f>'tblIndicators_2014-O'!M3</f>
        <v>1</v>
      </c>
      <c r="H7" s="196">
        <f>'tblIndicators_2014-O'!N3</f>
        <v>0</v>
      </c>
      <c r="I7" s="196">
        <f>'tblIndicators_2014-O'!Q3</f>
        <v>0</v>
      </c>
      <c r="J7" s="196">
        <f>'tblIndicators_2014-O'!R3</f>
        <v>0</v>
      </c>
      <c r="K7" s="196"/>
      <c r="L7" s="196"/>
      <c r="M7" s="203"/>
      <c r="N7" s="204" t="s">
        <v>384</v>
      </c>
      <c r="O7" s="205">
        <v>0.25</v>
      </c>
      <c r="P7" s="206">
        <v>73.7062404870624</v>
      </c>
      <c r="Q7" s="206">
        <v>68.8144596651446</v>
      </c>
      <c r="R7" s="206">
        <v>52.8645357686454</v>
      </c>
      <c r="S7" s="206">
        <v>60.2853881278539</v>
      </c>
      <c r="T7" s="206">
        <v>56.8668188736682</v>
      </c>
      <c r="U7" s="206">
        <v>64.5970319634703</v>
      </c>
      <c r="V7" s="206">
        <v>59.5848554033486</v>
      </c>
      <c r="W7" s="206">
        <v>72.8995433789954</v>
      </c>
      <c r="X7" s="206">
        <v>63.3291476407915</v>
      </c>
      <c r="Y7" s="206">
        <v>58.7313546423135</v>
      </c>
      <c r="Z7" s="206">
        <v>57.4452054794521</v>
      </c>
      <c r="AA7" s="206">
        <v>55.1354642313546</v>
      </c>
      <c r="AB7" s="206">
        <v>53.3097412480974</v>
      </c>
      <c r="AC7" s="206">
        <v>78.7846270928463</v>
      </c>
      <c r="AD7" s="206">
        <v>46.8295281582953</v>
      </c>
      <c r="AE7" s="206">
        <v>48.4840182648402</v>
      </c>
      <c r="AF7" s="206">
        <v>52.9041095890411</v>
      </c>
      <c r="AG7" s="206">
        <v>64.2092846270928</v>
      </c>
      <c r="AH7" s="206">
        <v>55.0933333333333</v>
      </c>
      <c r="AI7" s="206">
        <v>69.4200913242009</v>
      </c>
      <c r="AJ7" s="206">
        <v>74.9923896499239</v>
      </c>
      <c r="AK7" s="206">
        <v>60.7800608828006</v>
      </c>
      <c r="AL7" s="206">
        <v>65.4231354642314</v>
      </c>
      <c r="AM7" s="206">
        <v>61.691400304414</v>
      </c>
      <c r="AN7" s="206">
        <v>62.6164383561644</v>
      </c>
      <c r="AO7" s="206">
        <v>72.041095890411</v>
      </c>
      <c r="AP7" s="206">
        <v>51.5426179604262</v>
      </c>
      <c r="AQ7" s="206">
        <v>68.072298325723</v>
      </c>
      <c r="AR7" s="206">
        <v>79.4216133942161</v>
      </c>
      <c r="AS7" s="206">
        <v>76.998097412481</v>
      </c>
      <c r="AT7" s="206">
        <v>58.3980213089802</v>
      </c>
      <c r="AU7" s="206">
        <v>54.7389649923897</v>
      </c>
      <c r="AV7" s="206">
        <v>53.2564687975647</v>
      </c>
      <c r="AW7" s="206">
        <v>56.6651445966514</v>
      </c>
      <c r="AX7" s="206">
        <v>73.8508371385084</v>
      </c>
      <c r="AY7" s="206">
        <v>70.5106544901065</v>
      </c>
      <c r="AZ7" s="206">
        <v>54.9292237442922</v>
      </c>
      <c r="BA7" s="206">
        <v>51.4596651445967</v>
      </c>
      <c r="BB7" s="206">
        <v>56.1438356164384</v>
      </c>
      <c r="BC7" s="206">
        <v>62.7420091324201</v>
      </c>
      <c r="BD7" s="206">
        <v>83.8523592085236</v>
      </c>
      <c r="BE7" s="206">
        <v>74.82</v>
      </c>
      <c r="BF7" s="206">
        <v>70.4802130898021</v>
      </c>
      <c r="BG7" s="206">
        <v>65.1149162861492</v>
      </c>
      <c r="BH7" s="206">
        <v>46.5768645357686</v>
      </c>
      <c r="BI7" s="206">
        <v>54.2602739726027</v>
      </c>
      <c r="BJ7" s="206">
        <v>87.1826484018265</v>
      </c>
      <c r="BK7" s="206">
        <v>72.041095890411</v>
      </c>
      <c r="BL7" s="206">
        <v>69.9923896499239</v>
      </c>
      <c r="BM7" s="206">
        <v>67.0395738203957</v>
      </c>
      <c r="BO7" s="214"/>
    </row>
    <row r="8" s="193" customFormat="1" spans="3:67">
      <c r="C8" s="197"/>
      <c r="D8" s="197" t="str">
        <f>'tblIndicators_2014-O'!B4</f>
        <v>DIGSEC_IP</v>
      </c>
      <c r="E8" s="197" t="str">
        <f>'tblIndicators_2014-O'!C4</f>
        <v>DIGSEC</v>
      </c>
      <c r="F8" s="198">
        <f>'tblIndicators_2014-O'!D4</f>
        <v>2</v>
      </c>
      <c r="G8" s="198">
        <f>'tblIndicators_2014-O'!M4</f>
        <v>1</v>
      </c>
      <c r="H8" s="198">
        <f>'tblIndicators_2014-O'!N4</f>
        <v>0</v>
      </c>
      <c r="I8" s="198">
        <f>'tblIndicators_2014-O'!Q4</f>
        <v>0</v>
      </c>
      <c r="J8" s="198">
        <f>'tblIndicators_2014-O'!R4</f>
        <v>0</v>
      </c>
      <c r="K8" s="196"/>
      <c r="L8" s="196"/>
      <c r="M8" s="207"/>
      <c r="N8" s="208" t="s">
        <v>828</v>
      </c>
      <c r="O8" s="209">
        <v>0.5</v>
      </c>
      <c r="P8" s="210">
        <v>67.3333333333333</v>
      </c>
      <c r="Q8" s="210">
        <v>46.6666666666667</v>
      </c>
      <c r="R8" s="210">
        <v>57.6666666666667</v>
      </c>
      <c r="S8" s="210">
        <v>61.3333333333333</v>
      </c>
      <c r="T8" s="210">
        <v>57.6666666666667</v>
      </c>
      <c r="U8" s="210">
        <v>53.3333333333333</v>
      </c>
      <c r="V8" s="210">
        <v>38.3333333333333</v>
      </c>
      <c r="W8" s="210">
        <v>75.3333333333333</v>
      </c>
      <c r="X8" s="210">
        <v>77</v>
      </c>
      <c r="Y8" s="210">
        <v>39.6666666666667</v>
      </c>
      <c r="Z8" s="210">
        <v>50.6666666666667</v>
      </c>
      <c r="AA8" s="210">
        <v>57.6666666666667</v>
      </c>
      <c r="AB8" s="210">
        <v>57.6666666666667</v>
      </c>
      <c r="AC8" s="210">
        <v>81.3333333333333</v>
      </c>
      <c r="AD8" s="210">
        <v>43.6666666666667</v>
      </c>
      <c r="AE8" s="210">
        <v>50.3333333333333</v>
      </c>
      <c r="AF8" s="210">
        <v>45.6666666666667</v>
      </c>
      <c r="AG8" s="210">
        <v>53.6666666666667</v>
      </c>
      <c r="AH8" s="210">
        <v>60.3333333333333</v>
      </c>
      <c r="AI8" s="210">
        <v>61.3333333333333</v>
      </c>
      <c r="AJ8" s="210">
        <v>75.3333333333333</v>
      </c>
      <c r="AK8" s="210">
        <v>61.3333333333333</v>
      </c>
      <c r="AL8" s="210">
        <v>61.3333333333333</v>
      </c>
      <c r="AM8" s="210">
        <v>56.3333333333333</v>
      </c>
      <c r="AN8" s="210">
        <v>54</v>
      </c>
      <c r="AO8" s="210">
        <v>71.3333333333333</v>
      </c>
      <c r="AP8" s="210">
        <v>53.6666666666667</v>
      </c>
      <c r="AQ8" s="210">
        <v>87</v>
      </c>
      <c r="AR8" s="210">
        <v>85.3333333333333</v>
      </c>
      <c r="AS8" s="210">
        <v>58.6666666666667</v>
      </c>
      <c r="AT8" s="210">
        <v>48</v>
      </c>
      <c r="AU8" s="210">
        <v>53.6666666666667</v>
      </c>
      <c r="AV8" s="210">
        <v>53.6666666666667</v>
      </c>
      <c r="AW8" s="210">
        <v>44</v>
      </c>
      <c r="AX8" s="210">
        <v>75.3333333333333</v>
      </c>
      <c r="AY8" s="210">
        <v>60.3333333333333</v>
      </c>
      <c r="AZ8" s="210">
        <v>53.6666666666667</v>
      </c>
      <c r="BA8" s="210">
        <v>57.3333333333333</v>
      </c>
      <c r="BB8" s="210">
        <v>57.6666666666667</v>
      </c>
      <c r="BC8" s="210">
        <v>67.6666666666667</v>
      </c>
      <c r="BD8" s="210">
        <v>85.3333333333333</v>
      </c>
      <c r="BE8" s="210">
        <v>69.3333333333333</v>
      </c>
      <c r="BF8" s="210">
        <v>71.3333333333333</v>
      </c>
      <c r="BG8" s="210">
        <v>48.6666666666667</v>
      </c>
      <c r="BH8" s="210">
        <v>36</v>
      </c>
      <c r="BI8" s="210">
        <v>57.6666666666667</v>
      </c>
      <c r="BJ8" s="210">
        <v>78.6666666666667</v>
      </c>
      <c r="BK8" s="210">
        <v>71.3333333333333</v>
      </c>
      <c r="BL8" s="210">
        <v>65.3333333333333</v>
      </c>
      <c r="BM8" s="210">
        <v>54.6666666666667</v>
      </c>
      <c r="BO8" s="214"/>
    </row>
    <row r="9" s="68" customFormat="1" spans="3:67">
      <c r="C9" s="195"/>
      <c r="D9" s="195" t="str">
        <f>'tblIndicators_2014-O'!B5</f>
        <v>DIGSEC_IP_01</v>
      </c>
      <c r="E9" s="195" t="str">
        <f>'tblIndicators_2014-O'!C5</f>
        <v>DIGSEC_IP</v>
      </c>
      <c r="F9" s="196">
        <f>'tblIndicators_2014-O'!D5</f>
        <v>3</v>
      </c>
      <c r="G9" s="196">
        <f>'tblIndicators_2014-O'!M5</f>
        <v>3</v>
      </c>
      <c r="H9" s="196">
        <f>'tblIndicators_2014-O'!N5</f>
        <v>1</v>
      </c>
      <c r="I9" s="196">
        <f>'tblIndicators_2014-O'!Q5</f>
        <v>0</v>
      </c>
      <c r="J9" s="196">
        <f>'tblIndicators_2014-O'!R5</f>
        <v>5</v>
      </c>
      <c r="K9" s="196"/>
      <c r="L9" s="196"/>
      <c r="M9" s="203"/>
      <c r="N9" s="211" t="s">
        <v>829</v>
      </c>
      <c r="O9" s="212">
        <v>0.2</v>
      </c>
      <c r="P9" s="213">
        <v>20</v>
      </c>
      <c r="Q9" s="213">
        <v>0</v>
      </c>
      <c r="R9" s="213">
        <v>80</v>
      </c>
      <c r="S9" s="213">
        <v>40</v>
      </c>
      <c r="T9" s="213">
        <v>80</v>
      </c>
      <c r="U9" s="213">
        <v>0</v>
      </c>
      <c r="V9" s="213">
        <v>0</v>
      </c>
      <c r="W9" s="213">
        <v>60</v>
      </c>
      <c r="X9" s="213">
        <v>60</v>
      </c>
      <c r="Y9" s="213">
        <v>40</v>
      </c>
      <c r="Z9" s="213">
        <v>20</v>
      </c>
      <c r="AA9" s="213">
        <v>80</v>
      </c>
      <c r="AB9" s="213">
        <v>80</v>
      </c>
      <c r="AC9" s="213">
        <v>40</v>
      </c>
      <c r="AD9" s="213">
        <v>60</v>
      </c>
      <c r="AE9" s="213">
        <v>60</v>
      </c>
      <c r="AF9" s="213">
        <v>20</v>
      </c>
      <c r="AG9" s="213">
        <v>60</v>
      </c>
      <c r="AH9" s="213">
        <v>60</v>
      </c>
      <c r="AI9" s="213">
        <v>40</v>
      </c>
      <c r="AJ9" s="213">
        <v>60</v>
      </c>
      <c r="AK9" s="213">
        <v>40</v>
      </c>
      <c r="AL9" s="213">
        <v>40</v>
      </c>
      <c r="AM9" s="213">
        <v>40</v>
      </c>
      <c r="AN9" s="213">
        <v>20</v>
      </c>
      <c r="AO9" s="213">
        <v>40</v>
      </c>
      <c r="AP9" s="213">
        <v>60</v>
      </c>
      <c r="AQ9" s="213">
        <v>60</v>
      </c>
      <c r="AR9" s="213">
        <v>60</v>
      </c>
      <c r="AS9" s="213">
        <v>60</v>
      </c>
      <c r="AT9" s="213">
        <v>40</v>
      </c>
      <c r="AU9" s="213">
        <v>60</v>
      </c>
      <c r="AV9" s="213">
        <v>60</v>
      </c>
      <c r="AW9" s="213">
        <v>20</v>
      </c>
      <c r="AX9" s="213">
        <v>60</v>
      </c>
      <c r="AY9" s="213">
        <v>60</v>
      </c>
      <c r="AZ9" s="213">
        <v>60</v>
      </c>
      <c r="BA9" s="213">
        <v>20</v>
      </c>
      <c r="BB9" s="213">
        <v>80</v>
      </c>
      <c r="BC9" s="213">
        <v>80</v>
      </c>
      <c r="BD9" s="213">
        <v>60</v>
      </c>
      <c r="BE9" s="213">
        <v>80</v>
      </c>
      <c r="BF9" s="213">
        <v>40</v>
      </c>
      <c r="BG9" s="213">
        <v>60</v>
      </c>
      <c r="BH9" s="213">
        <v>80</v>
      </c>
      <c r="BI9" s="213">
        <v>80</v>
      </c>
      <c r="BJ9" s="213">
        <v>60</v>
      </c>
      <c r="BK9" s="213">
        <v>40</v>
      </c>
      <c r="BL9" s="213">
        <v>60</v>
      </c>
      <c r="BM9" s="213">
        <v>40</v>
      </c>
      <c r="BO9" s="214"/>
    </row>
    <row r="10" s="68" customFormat="1" spans="3:67">
      <c r="C10" s="195"/>
      <c r="D10" s="195" t="str">
        <f>'tblIndicators_2014-O'!B6</f>
        <v>DIGSEC_IP_02</v>
      </c>
      <c r="E10" s="195" t="str">
        <f>'tblIndicators_2014-O'!C6</f>
        <v>DIGSEC_IP</v>
      </c>
      <c r="F10" s="196">
        <f>'tblIndicators_2014-O'!D6</f>
        <v>3</v>
      </c>
      <c r="G10" s="196">
        <f>'tblIndicators_2014-O'!M6</f>
        <v>3</v>
      </c>
      <c r="H10" s="196">
        <f>'tblIndicators_2014-O'!N6</f>
        <v>0</v>
      </c>
      <c r="I10" s="196">
        <f>'tblIndicators_2014-O'!Q6</f>
        <v>0</v>
      </c>
      <c r="J10" s="196">
        <f>'tblIndicators_2014-O'!R6</f>
        <v>3</v>
      </c>
      <c r="K10" s="196"/>
      <c r="L10" s="196"/>
      <c r="M10" s="203"/>
      <c r="N10" s="211" t="s">
        <v>830</v>
      </c>
      <c r="O10" s="212">
        <v>0.2</v>
      </c>
      <c r="P10" s="213">
        <v>66.6666666666667</v>
      </c>
      <c r="Q10" s="213">
        <v>33.3333333333333</v>
      </c>
      <c r="R10" s="213">
        <v>33.3333333333333</v>
      </c>
      <c r="S10" s="213">
        <v>66.6666666666667</v>
      </c>
      <c r="T10" s="213">
        <v>33.3333333333333</v>
      </c>
      <c r="U10" s="213">
        <v>66.6666666666667</v>
      </c>
      <c r="V10" s="213">
        <v>66.6666666666667</v>
      </c>
      <c r="W10" s="213">
        <v>66.6666666666667</v>
      </c>
      <c r="X10" s="213">
        <v>100</v>
      </c>
      <c r="Y10" s="213">
        <v>33.3333333333333</v>
      </c>
      <c r="Z10" s="213">
        <v>33.3333333333333</v>
      </c>
      <c r="AA10" s="213">
        <v>33.3333333333333</v>
      </c>
      <c r="AB10" s="213">
        <v>33.3333333333333</v>
      </c>
      <c r="AC10" s="213">
        <v>66.6666666666667</v>
      </c>
      <c r="AD10" s="213">
        <v>33.3333333333333</v>
      </c>
      <c r="AE10" s="213">
        <v>66.6666666666667</v>
      </c>
      <c r="AF10" s="213">
        <v>33.3333333333333</v>
      </c>
      <c r="AG10" s="213">
        <v>33.3333333333333</v>
      </c>
      <c r="AH10" s="213">
        <v>66.6666666666667</v>
      </c>
      <c r="AI10" s="213">
        <v>66.6666666666667</v>
      </c>
      <c r="AJ10" s="213">
        <v>66.6666666666667</v>
      </c>
      <c r="AK10" s="213">
        <v>66.6666666666667</v>
      </c>
      <c r="AL10" s="213">
        <v>66.6666666666667</v>
      </c>
      <c r="AM10" s="213">
        <v>66.6666666666667</v>
      </c>
      <c r="AN10" s="213">
        <v>0</v>
      </c>
      <c r="AO10" s="213">
        <v>66.6666666666667</v>
      </c>
      <c r="AP10" s="213">
        <v>33.3333333333333</v>
      </c>
      <c r="AQ10" s="213">
        <v>100</v>
      </c>
      <c r="AR10" s="213">
        <v>66.6666666666667</v>
      </c>
      <c r="AS10" s="213">
        <v>33.3333333333333</v>
      </c>
      <c r="AT10" s="213">
        <v>0</v>
      </c>
      <c r="AU10" s="213">
        <v>33.3333333333333</v>
      </c>
      <c r="AV10" s="213">
        <v>33.3333333333333</v>
      </c>
      <c r="AW10" s="213">
        <v>0</v>
      </c>
      <c r="AX10" s="213">
        <v>66.6666666666667</v>
      </c>
      <c r="AY10" s="213">
        <v>66.6666666666667</v>
      </c>
      <c r="AZ10" s="213">
        <v>33.3333333333333</v>
      </c>
      <c r="BA10" s="213">
        <v>66.6666666666667</v>
      </c>
      <c r="BB10" s="213">
        <v>33.3333333333333</v>
      </c>
      <c r="BC10" s="213">
        <v>33.3333333333333</v>
      </c>
      <c r="BD10" s="213">
        <v>66.6666666666667</v>
      </c>
      <c r="BE10" s="213">
        <v>66.6666666666667</v>
      </c>
      <c r="BF10" s="213">
        <v>66.6666666666667</v>
      </c>
      <c r="BG10" s="213">
        <v>33.3333333333333</v>
      </c>
      <c r="BH10" s="213">
        <v>0</v>
      </c>
      <c r="BI10" s="213">
        <v>33.3333333333333</v>
      </c>
      <c r="BJ10" s="213">
        <v>33.3333333333333</v>
      </c>
      <c r="BK10" s="213">
        <v>66.6666666666667</v>
      </c>
      <c r="BL10" s="213">
        <v>66.6666666666667</v>
      </c>
      <c r="BM10" s="213">
        <v>33.3333333333333</v>
      </c>
      <c r="BO10" s="214"/>
    </row>
    <row r="11" s="68" customFormat="1" spans="3:67">
      <c r="C11" s="195"/>
      <c r="D11" s="195" t="str">
        <f>'tblIndicators_2014-O'!B7</f>
        <v>DIGSEC_IP_03</v>
      </c>
      <c r="E11" s="195" t="str">
        <f>'tblIndicators_2014-O'!C7</f>
        <v>DIGSEC_IP</v>
      </c>
      <c r="F11" s="196">
        <f>'tblIndicators_2014-O'!D7</f>
        <v>3</v>
      </c>
      <c r="G11" s="196">
        <f>'tblIndicators_2014-O'!M7</f>
        <v>3</v>
      </c>
      <c r="H11" s="196">
        <f>'tblIndicators_2014-O'!N7</f>
        <v>0</v>
      </c>
      <c r="I11" s="196">
        <f>'tblIndicators_2014-O'!Q7</f>
        <v>0</v>
      </c>
      <c r="J11" s="196">
        <f>'tblIndicators_2014-O'!R7</f>
        <v>2</v>
      </c>
      <c r="K11" s="196"/>
      <c r="L11" s="196"/>
      <c r="M11" s="203"/>
      <c r="N11" s="211" t="s">
        <v>831</v>
      </c>
      <c r="O11" s="212">
        <v>0.2</v>
      </c>
      <c r="P11" s="213">
        <v>50</v>
      </c>
      <c r="Q11" s="213">
        <v>50</v>
      </c>
      <c r="R11" s="213">
        <v>50</v>
      </c>
      <c r="S11" s="213">
        <v>0</v>
      </c>
      <c r="T11" s="213">
        <v>50</v>
      </c>
      <c r="U11" s="213">
        <v>50</v>
      </c>
      <c r="V11" s="213">
        <v>0</v>
      </c>
      <c r="W11" s="213">
        <v>50</v>
      </c>
      <c r="X11" s="213">
        <v>100</v>
      </c>
      <c r="Y11" s="213">
        <v>0</v>
      </c>
      <c r="Z11" s="213">
        <v>50</v>
      </c>
      <c r="AA11" s="213">
        <v>50</v>
      </c>
      <c r="AB11" s="213">
        <v>50</v>
      </c>
      <c r="AC11" s="213">
        <v>100</v>
      </c>
      <c r="AD11" s="213">
        <v>0</v>
      </c>
      <c r="AE11" s="213">
        <v>0</v>
      </c>
      <c r="AF11" s="213">
        <v>50</v>
      </c>
      <c r="AG11" s="213">
        <v>50</v>
      </c>
      <c r="AH11" s="213">
        <v>50</v>
      </c>
      <c r="AI11" s="213">
        <v>50</v>
      </c>
      <c r="AJ11" s="213">
        <v>50</v>
      </c>
      <c r="AK11" s="213">
        <v>50</v>
      </c>
      <c r="AL11" s="213">
        <v>50</v>
      </c>
      <c r="AM11" s="213">
        <v>50</v>
      </c>
      <c r="AN11" s="213">
        <v>50</v>
      </c>
      <c r="AO11" s="213">
        <v>100</v>
      </c>
      <c r="AP11" s="213">
        <v>50</v>
      </c>
      <c r="AQ11" s="213">
        <v>100</v>
      </c>
      <c r="AR11" s="213">
        <v>100</v>
      </c>
      <c r="AS11" s="213">
        <v>50</v>
      </c>
      <c r="AT11" s="213">
        <v>50</v>
      </c>
      <c r="AU11" s="213">
        <v>50</v>
      </c>
      <c r="AV11" s="213">
        <v>50</v>
      </c>
      <c r="AW11" s="213">
        <v>50</v>
      </c>
      <c r="AX11" s="213">
        <v>50</v>
      </c>
      <c r="AY11" s="213">
        <v>50</v>
      </c>
      <c r="AZ11" s="213">
        <v>50</v>
      </c>
      <c r="BA11" s="213">
        <v>50</v>
      </c>
      <c r="BB11" s="213">
        <v>50</v>
      </c>
      <c r="BC11" s="213">
        <v>50</v>
      </c>
      <c r="BD11" s="213">
        <v>100</v>
      </c>
      <c r="BE11" s="213">
        <v>50</v>
      </c>
      <c r="BF11" s="213">
        <v>50</v>
      </c>
      <c r="BG11" s="213">
        <v>0</v>
      </c>
      <c r="BH11" s="213">
        <v>0</v>
      </c>
      <c r="BI11" s="213">
        <v>50</v>
      </c>
      <c r="BJ11" s="213">
        <v>100</v>
      </c>
      <c r="BK11" s="213">
        <v>50</v>
      </c>
      <c r="BL11" s="213">
        <v>50</v>
      </c>
      <c r="BM11" s="213">
        <v>50</v>
      </c>
      <c r="BO11" s="214"/>
    </row>
    <row r="12" s="68" customFormat="1" spans="3:67">
      <c r="C12" s="195"/>
      <c r="D12" s="195" t="str">
        <f>'tblIndicators_2014-O'!B8</f>
        <v>DIGSEC_IP_04</v>
      </c>
      <c r="E12" s="195" t="str">
        <f>'tblIndicators_2014-O'!C8</f>
        <v>DIGSEC_IP</v>
      </c>
      <c r="F12" s="196">
        <f>'tblIndicators_2014-O'!D8</f>
        <v>3</v>
      </c>
      <c r="G12" s="196">
        <f>'tblIndicators_2014-O'!M8</f>
        <v>3</v>
      </c>
      <c r="H12" s="196">
        <f>'tblIndicators_2014-O'!N8</f>
        <v>0</v>
      </c>
      <c r="I12" s="196">
        <f>'tblIndicators_2014-O'!Q8</f>
        <v>0</v>
      </c>
      <c r="J12" s="196">
        <f>'tblIndicators_2014-O'!R8</f>
        <v>100</v>
      </c>
      <c r="K12" s="196"/>
      <c r="L12" s="196"/>
      <c r="M12" s="203"/>
      <c r="N12" s="211" t="s">
        <v>832</v>
      </c>
      <c r="O12" s="212">
        <v>0.2</v>
      </c>
      <c r="P12" s="213">
        <v>100</v>
      </c>
      <c r="Q12" s="213">
        <v>100</v>
      </c>
      <c r="R12" s="213">
        <v>75</v>
      </c>
      <c r="S12" s="213">
        <v>100</v>
      </c>
      <c r="T12" s="213">
        <v>75</v>
      </c>
      <c r="U12" s="213">
        <v>100</v>
      </c>
      <c r="V12" s="213">
        <v>75</v>
      </c>
      <c r="W12" s="213">
        <v>100</v>
      </c>
      <c r="X12" s="213">
        <v>75</v>
      </c>
      <c r="Y12" s="213">
        <v>75</v>
      </c>
      <c r="Z12" s="213">
        <v>100</v>
      </c>
      <c r="AA12" s="213">
        <v>75</v>
      </c>
      <c r="AB12" s="213">
        <v>75</v>
      </c>
      <c r="AC12" s="213">
        <v>100</v>
      </c>
      <c r="AD12" s="213">
        <v>75</v>
      </c>
      <c r="AE12" s="213">
        <v>75</v>
      </c>
      <c r="AF12" s="213">
        <v>75</v>
      </c>
      <c r="AG12" s="213">
        <v>75</v>
      </c>
      <c r="AH12" s="213">
        <v>75</v>
      </c>
      <c r="AI12" s="213">
        <v>100</v>
      </c>
      <c r="AJ12" s="213">
        <v>100</v>
      </c>
      <c r="AK12" s="213">
        <v>100</v>
      </c>
      <c r="AL12" s="213">
        <v>100</v>
      </c>
      <c r="AM12" s="213">
        <v>75</v>
      </c>
      <c r="AN12" s="213">
        <v>100</v>
      </c>
      <c r="AO12" s="213">
        <v>100</v>
      </c>
      <c r="AP12" s="213">
        <v>75</v>
      </c>
      <c r="AQ12" s="213">
        <v>75</v>
      </c>
      <c r="AR12" s="213">
        <v>100</v>
      </c>
      <c r="AS12" s="213">
        <v>100</v>
      </c>
      <c r="AT12" s="213">
        <v>100</v>
      </c>
      <c r="AU12" s="213">
        <v>75</v>
      </c>
      <c r="AV12" s="213">
        <v>75</v>
      </c>
      <c r="AW12" s="213">
        <v>100</v>
      </c>
      <c r="AX12" s="213">
        <v>100</v>
      </c>
      <c r="AY12" s="213">
        <v>75</v>
      </c>
      <c r="AZ12" s="213">
        <v>75</v>
      </c>
      <c r="BA12" s="213">
        <v>100</v>
      </c>
      <c r="BB12" s="213">
        <v>75</v>
      </c>
      <c r="BC12" s="213">
        <v>75</v>
      </c>
      <c r="BD12" s="213">
        <v>100</v>
      </c>
      <c r="BE12" s="213">
        <v>100</v>
      </c>
      <c r="BF12" s="213">
        <v>100</v>
      </c>
      <c r="BG12" s="213">
        <v>100</v>
      </c>
      <c r="BH12" s="213">
        <v>50</v>
      </c>
      <c r="BI12" s="213">
        <v>75</v>
      </c>
      <c r="BJ12" s="213">
        <v>100</v>
      </c>
      <c r="BK12" s="213">
        <v>100</v>
      </c>
      <c r="BL12" s="213">
        <v>100</v>
      </c>
      <c r="BM12" s="213">
        <v>100</v>
      </c>
      <c r="BO12" s="214"/>
    </row>
    <row r="13" s="68" customFormat="1" spans="3:67">
      <c r="C13" s="195"/>
      <c r="D13" s="195" t="str">
        <f>'tblIndicators_2014-O'!B9</f>
        <v>DIGSEC_IP_05</v>
      </c>
      <c r="E13" s="195" t="str">
        <f>'tblIndicators_2014-O'!C9</f>
        <v>DIGSEC_IP</v>
      </c>
      <c r="F13" s="196">
        <f>'tblIndicators_2014-O'!D9</f>
        <v>3</v>
      </c>
      <c r="G13" s="196">
        <f>'tblIndicators_2014-O'!M9</f>
        <v>3</v>
      </c>
      <c r="H13" s="196">
        <f>'tblIndicators_2014-O'!N9</f>
        <v>0</v>
      </c>
      <c r="I13" s="196">
        <f>'tblIndicators_2014-O'!Q9</f>
        <v>0</v>
      </c>
      <c r="J13" s="196">
        <f>'tblIndicators_2014-O'!R9</f>
        <v>2</v>
      </c>
      <c r="K13" s="196"/>
      <c r="L13" s="196"/>
      <c r="M13" s="203"/>
      <c r="N13" s="211" t="s">
        <v>833</v>
      </c>
      <c r="O13" s="212">
        <v>0.2</v>
      </c>
      <c r="P13" s="213">
        <v>100</v>
      </c>
      <c r="Q13" s="213">
        <v>50</v>
      </c>
      <c r="R13" s="213">
        <v>50</v>
      </c>
      <c r="S13" s="213">
        <v>100</v>
      </c>
      <c r="T13" s="213">
        <v>50</v>
      </c>
      <c r="U13" s="213">
        <v>50</v>
      </c>
      <c r="V13" s="213">
        <v>50</v>
      </c>
      <c r="W13" s="213">
        <v>100</v>
      </c>
      <c r="X13" s="213">
        <v>50</v>
      </c>
      <c r="Y13" s="213">
        <v>50</v>
      </c>
      <c r="Z13" s="213">
        <v>50</v>
      </c>
      <c r="AA13" s="213">
        <v>50</v>
      </c>
      <c r="AB13" s="213">
        <v>50</v>
      </c>
      <c r="AC13" s="213">
        <v>100</v>
      </c>
      <c r="AD13" s="213">
        <v>50</v>
      </c>
      <c r="AE13" s="213">
        <v>50</v>
      </c>
      <c r="AF13" s="213">
        <v>50</v>
      </c>
      <c r="AG13" s="213">
        <v>50</v>
      </c>
      <c r="AH13" s="213">
        <v>50</v>
      </c>
      <c r="AI13" s="213">
        <v>50</v>
      </c>
      <c r="AJ13" s="213">
        <v>100</v>
      </c>
      <c r="AK13" s="213">
        <v>50</v>
      </c>
      <c r="AL13" s="213">
        <v>50</v>
      </c>
      <c r="AM13" s="213">
        <v>50</v>
      </c>
      <c r="AN13" s="213">
        <v>100</v>
      </c>
      <c r="AO13" s="213">
        <v>50</v>
      </c>
      <c r="AP13" s="213">
        <v>50</v>
      </c>
      <c r="AQ13" s="213">
        <v>100</v>
      </c>
      <c r="AR13" s="213">
        <v>100</v>
      </c>
      <c r="AS13" s="213">
        <v>50</v>
      </c>
      <c r="AT13" s="213">
        <v>50</v>
      </c>
      <c r="AU13" s="213">
        <v>50</v>
      </c>
      <c r="AV13" s="213">
        <v>50</v>
      </c>
      <c r="AW13" s="213">
        <v>50</v>
      </c>
      <c r="AX13" s="213">
        <v>100</v>
      </c>
      <c r="AY13" s="213">
        <v>50</v>
      </c>
      <c r="AZ13" s="213">
        <v>50</v>
      </c>
      <c r="BA13" s="213">
        <v>50</v>
      </c>
      <c r="BB13" s="213">
        <v>50</v>
      </c>
      <c r="BC13" s="213">
        <v>100</v>
      </c>
      <c r="BD13" s="213">
        <v>100</v>
      </c>
      <c r="BE13" s="213">
        <v>50</v>
      </c>
      <c r="BF13" s="213">
        <v>100</v>
      </c>
      <c r="BG13" s="213">
        <v>50</v>
      </c>
      <c r="BH13" s="213">
        <v>50</v>
      </c>
      <c r="BI13" s="213">
        <v>50</v>
      </c>
      <c r="BJ13" s="213">
        <v>100</v>
      </c>
      <c r="BK13" s="213">
        <v>100</v>
      </c>
      <c r="BL13" s="213">
        <v>50</v>
      </c>
      <c r="BM13" s="213">
        <v>50</v>
      </c>
      <c r="BO13" s="214"/>
    </row>
    <row r="14" s="193" customFormat="1" spans="3:67">
      <c r="C14" s="197"/>
      <c r="D14" s="197" t="str">
        <f>'tblIndicators_2014-O'!B10</f>
        <v>DIGSEC_OP</v>
      </c>
      <c r="E14" s="197" t="str">
        <f>'tblIndicators_2014-O'!C10</f>
        <v>DIGSEC</v>
      </c>
      <c r="F14" s="198">
        <f>'tblIndicators_2014-O'!D10</f>
        <v>2</v>
      </c>
      <c r="G14" s="198">
        <f>'tblIndicators_2014-O'!M10</f>
        <v>1</v>
      </c>
      <c r="H14" s="198">
        <f>'tblIndicators_2014-O'!N10</f>
        <v>0</v>
      </c>
      <c r="I14" s="198">
        <f>'tblIndicators_2014-O'!Q10</f>
        <v>0</v>
      </c>
      <c r="J14" s="198">
        <f>'tblIndicators_2014-O'!R10</f>
        <v>0</v>
      </c>
      <c r="K14" s="196"/>
      <c r="L14" s="196"/>
      <c r="M14" s="207"/>
      <c r="N14" s="208" t="s">
        <v>834</v>
      </c>
      <c r="O14" s="209">
        <v>0.5</v>
      </c>
      <c r="P14" s="210">
        <v>80.0791476407915</v>
      </c>
      <c r="Q14" s="210">
        <v>90.9622526636225</v>
      </c>
      <c r="R14" s="210">
        <v>48.0624048706241</v>
      </c>
      <c r="S14" s="210">
        <v>59.2374429223744</v>
      </c>
      <c r="T14" s="210">
        <v>56.0669710806697</v>
      </c>
      <c r="U14" s="210">
        <v>75.8607305936073</v>
      </c>
      <c r="V14" s="210">
        <v>80.8363774733638</v>
      </c>
      <c r="W14" s="210">
        <v>70.4657534246575</v>
      </c>
      <c r="X14" s="210">
        <v>49.658295281583</v>
      </c>
      <c r="Y14" s="210">
        <v>77.7960426179604</v>
      </c>
      <c r="Z14" s="210">
        <v>64.2237442922374</v>
      </c>
      <c r="AA14" s="210">
        <v>52.6042617960426</v>
      </c>
      <c r="AB14" s="210">
        <v>48.9528158295282</v>
      </c>
      <c r="AC14" s="210">
        <v>76.2359208523592</v>
      </c>
      <c r="AD14" s="210">
        <v>49.9923896499239</v>
      </c>
      <c r="AE14" s="210">
        <v>46.634703196347</v>
      </c>
      <c r="AF14" s="210">
        <v>60.1415525114155</v>
      </c>
      <c r="AG14" s="210">
        <v>74.751902587519</v>
      </c>
      <c r="AH14" s="210">
        <v>49.8533333333333</v>
      </c>
      <c r="AI14" s="210">
        <v>77.5068493150685</v>
      </c>
      <c r="AJ14" s="210">
        <v>74.6514459665145</v>
      </c>
      <c r="AK14" s="210">
        <v>60.2267884322679</v>
      </c>
      <c r="AL14" s="210">
        <v>69.5129375951294</v>
      </c>
      <c r="AM14" s="210">
        <v>67.0494672754947</v>
      </c>
      <c r="AN14" s="210">
        <v>71.2328767123288</v>
      </c>
      <c r="AO14" s="210">
        <v>72.7488584474886</v>
      </c>
      <c r="AP14" s="210">
        <v>49.4185692541857</v>
      </c>
      <c r="AQ14" s="210">
        <v>49.144596651446</v>
      </c>
      <c r="AR14" s="210">
        <v>73.5098934550989</v>
      </c>
      <c r="AS14" s="210">
        <v>95.3295281582953</v>
      </c>
      <c r="AT14" s="210">
        <v>68.7960426179604</v>
      </c>
      <c r="AU14" s="210">
        <v>55.8112633181126</v>
      </c>
      <c r="AV14" s="210">
        <v>52.8462709284627</v>
      </c>
      <c r="AW14" s="210">
        <v>69.3302891933029</v>
      </c>
      <c r="AX14" s="210">
        <v>72.3683409436834</v>
      </c>
      <c r="AY14" s="210">
        <v>80.6879756468797</v>
      </c>
      <c r="AZ14" s="210">
        <v>56.1917808219178</v>
      </c>
      <c r="BA14" s="210">
        <v>45.58599695586</v>
      </c>
      <c r="BB14" s="210">
        <v>54.62100456621</v>
      </c>
      <c r="BC14" s="210">
        <v>57.8173515981735</v>
      </c>
      <c r="BD14" s="210">
        <v>82.3713850837138</v>
      </c>
      <c r="BE14" s="210">
        <v>80.3066666666667</v>
      </c>
      <c r="BF14" s="210">
        <v>69.6270928462709</v>
      </c>
      <c r="BG14" s="210">
        <v>81.5631659056316</v>
      </c>
      <c r="BH14" s="210">
        <v>57.1537290715373</v>
      </c>
      <c r="BI14" s="210">
        <v>50.8538812785388</v>
      </c>
      <c r="BJ14" s="210">
        <v>95.6986301369863</v>
      </c>
      <c r="BK14" s="210">
        <v>72.7488584474886</v>
      </c>
      <c r="BL14" s="210">
        <v>74.6514459665145</v>
      </c>
      <c r="BM14" s="210">
        <v>79.4124809741248</v>
      </c>
      <c r="BO14" s="214"/>
    </row>
    <row r="15" s="68" customFormat="1" spans="3:67">
      <c r="C15" s="195"/>
      <c r="D15" s="195" t="str">
        <f>'tblIndicators_2014-O'!B11</f>
        <v>DIGSEC_OP_01</v>
      </c>
      <c r="E15" s="195" t="str">
        <f>'tblIndicators_2014-O'!C11</f>
        <v>DIGSEC_OP</v>
      </c>
      <c r="F15" s="196">
        <f>'tblIndicators_2014-O'!D11</f>
        <v>3</v>
      </c>
      <c r="G15" s="196">
        <f>'tblIndicators_2014-O'!M11</f>
        <v>2</v>
      </c>
      <c r="H15" s="196">
        <f>'tblIndicators_2014-O'!N11</f>
        <v>1</v>
      </c>
      <c r="I15" s="196">
        <f>'tblIndicators_2014-O'!Q11</f>
        <v>0</v>
      </c>
      <c r="J15" s="196">
        <f>'tblIndicators_2014-O'!R11</f>
        <v>0</v>
      </c>
      <c r="K15" s="196"/>
      <c r="L15" s="196"/>
      <c r="M15" s="203"/>
      <c r="N15" s="211" t="s">
        <v>835</v>
      </c>
      <c r="O15" s="212">
        <v>0.333333333333333</v>
      </c>
      <c r="P15" s="213">
        <v>98</v>
      </c>
      <c r="Q15" s="213">
        <v>98.8</v>
      </c>
      <c r="R15" s="213">
        <v>98</v>
      </c>
      <c r="S15" s="213">
        <v>76</v>
      </c>
      <c r="T15" s="213">
        <v>44</v>
      </c>
      <c r="U15" s="213">
        <v>92</v>
      </c>
      <c r="V15" s="213">
        <v>98</v>
      </c>
      <c r="W15" s="213">
        <v>84</v>
      </c>
      <c r="X15" s="213">
        <v>52</v>
      </c>
      <c r="Y15" s="213">
        <v>98</v>
      </c>
      <c r="Z15" s="213">
        <v>80</v>
      </c>
      <c r="AA15" s="213">
        <v>44</v>
      </c>
      <c r="AB15" s="213">
        <v>98</v>
      </c>
      <c r="AC15" s="213">
        <v>98</v>
      </c>
      <c r="AD15" s="213">
        <v>80</v>
      </c>
      <c r="AE15" s="213">
        <v>56</v>
      </c>
      <c r="AF15" s="213">
        <v>52</v>
      </c>
      <c r="AG15" s="213">
        <v>98</v>
      </c>
      <c r="AH15" s="213">
        <v>99.56</v>
      </c>
      <c r="AI15" s="213">
        <v>88</v>
      </c>
      <c r="AJ15" s="213">
        <v>84</v>
      </c>
      <c r="AK15" s="213">
        <v>76</v>
      </c>
      <c r="AL15" s="213">
        <v>80</v>
      </c>
      <c r="AM15" s="213">
        <v>76</v>
      </c>
      <c r="AN15" s="213">
        <v>100</v>
      </c>
      <c r="AO15" s="213">
        <v>84</v>
      </c>
      <c r="AP15" s="213">
        <v>72</v>
      </c>
      <c r="AQ15" s="213">
        <v>52</v>
      </c>
      <c r="AR15" s="213">
        <v>84</v>
      </c>
      <c r="AS15" s="213">
        <v>96</v>
      </c>
      <c r="AT15" s="213">
        <v>96</v>
      </c>
      <c r="AU15" s="213">
        <v>72</v>
      </c>
      <c r="AV15" s="213">
        <v>80</v>
      </c>
      <c r="AW15" s="213">
        <v>100</v>
      </c>
      <c r="AX15" s="213">
        <v>84</v>
      </c>
      <c r="AY15" s="213">
        <v>98</v>
      </c>
      <c r="AZ15" s="213">
        <v>72</v>
      </c>
      <c r="BA15" s="213">
        <v>0</v>
      </c>
      <c r="BB15" s="213">
        <v>44</v>
      </c>
      <c r="BC15" s="213">
        <v>44</v>
      </c>
      <c r="BD15" s="213">
        <v>72</v>
      </c>
      <c r="BE15" s="213">
        <v>90.92</v>
      </c>
      <c r="BF15" s="213">
        <v>80</v>
      </c>
      <c r="BG15" s="213">
        <v>98</v>
      </c>
      <c r="BH15" s="213">
        <v>100</v>
      </c>
      <c r="BI15" s="213">
        <v>44</v>
      </c>
      <c r="BJ15" s="213">
        <v>96</v>
      </c>
      <c r="BK15" s="213">
        <v>84</v>
      </c>
      <c r="BL15" s="213">
        <v>84</v>
      </c>
      <c r="BM15" s="213">
        <v>96</v>
      </c>
      <c r="BO15" s="214"/>
    </row>
    <row r="16" s="68" customFormat="1" spans="3:67">
      <c r="C16" s="195"/>
      <c r="D16" s="195" t="str">
        <f>'tblIndicators_2014-O'!B12</f>
        <v>DIGSEC_OP_02</v>
      </c>
      <c r="E16" s="195" t="str">
        <f>'tblIndicators_2014-O'!C12</f>
        <v>DIGSEC_OP</v>
      </c>
      <c r="F16" s="196">
        <f>'tblIndicators_2014-O'!D12</f>
        <v>3</v>
      </c>
      <c r="G16" s="196">
        <f>'tblIndicators_2014-O'!M12</f>
        <v>3</v>
      </c>
      <c r="H16" s="196">
        <f>'tblIndicators_2014-O'!N12</f>
        <v>1</v>
      </c>
      <c r="I16" s="196">
        <f>'tblIndicators_2014-O'!Q12</f>
        <v>1</v>
      </c>
      <c r="J16" s="196">
        <f>'tblIndicators_2014-O'!R12</f>
        <v>5</v>
      </c>
      <c r="K16" s="196"/>
      <c r="L16" s="196"/>
      <c r="M16" s="203"/>
      <c r="N16" s="211" t="s">
        <v>836</v>
      </c>
      <c r="O16" s="212">
        <v>0.333333333333333</v>
      </c>
      <c r="P16" s="213">
        <v>50</v>
      </c>
      <c r="Q16" s="213">
        <v>75</v>
      </c>
      <c r="R16" s="213">
        <v>25</v>
      </c>
      <c r="S16" s="213">
        <v>25</v>
      </c>
      <c r="T16" s="213">
        <v>50</v>
      </c>
      <c r="U16" s="213">
        <v>50</v>
      </c>
      <c r="V16" s="213">
        <v>75</v>
      </c>
      <c r="W16" s="213">
        <v>50</v>
      </c>
      <c r="X16" s="213">
        <v>50</v>
      </c>
      <c r="Y16" s="213">
        <v>50</v>
      </c>
      <c r="Z16" s="213">
        <v>25</v>
      </c>
      <c r="AA16" s="213">
        <v>50</v>
      </c>
      <c r="AB16" s="213">
        <v>0</v>
      </c>
      <c r="AC16" s="213">
        <v>50</v>
      </c>
      <c r="AD16" s="213">
        <v>25</v>
      </c>
      <c r="AE16" s="213">
        <v>50</v>
      </c>
      <c r="AF16" s="213">
        <v>75</v>
      </c>
      <c r="AG16" s="213">
        <v>50</v>
      </c>
      <c r="AH16" s="213">
        <v>50</v>
      </c>
      <c r="AI16" s="213">
        <v>50</v>
      </c>
      <c r="AJ16" s="213">
        <v>50</v>
      </c>
      <c r="AK16" s="213">
        <v>25</v>
      </c>
      <c r="AL16" s="213">
        <v>50</v>
      </c>
      <c r="AM16" s="213">
        <v>75</v>
      </c>
      <c r="AN16" s="213">
        <v>50</v>
      </c>
      <c r="AO16" s="213">
        <v>50</v>
      </c>
      <c r="AP16" s="213">
        <v>0</v>
      </c>
      <c r="AQ16" s="213">
        <v>50</v>
      </c>
      <c r="AR16" s="213">
        <v>50</v>
      </c>
      <c r="AS16" s="213">
        <v>100</v>
      </c>
      <c r="AT16" s="213">
        <v>25</v>
      </c>
      <c r="AU16" s="213">
        <v>50</v>
      </c>
      <c r="AV16" s="213">
        <v>25</v>
      </c>
      <c r="AW16" s="213">
        <v>50</v>
      </c>
      <c r="AX16" s="213">
        <v>50</v>
      </c>
      <c r="AY16" s="213">
        <v>75</v>
      </c>
      <c r="AZ16" s="213">
        <v>50</v>
      </c>
      <c r="BA16" s="213">
        <v>50</v>
      </c>
      <c r="BB16" s="213">
        <v>50</v>
      </c>
      <c r="BC16" s="213">
        <v>50</v>
      </c>
      <c r="BD16" s="213">
        <v>100</v>
      </c>
      <c r="BE16" s="213">
        <v>50</v>
      </c>
      <c r="BF16" s="213">
        <v>50</v>
      </c>
      <c r="BG16" s="213">
        <v>75</v>
      </c>
      <c r="BH16" s="213">
        <v>50</v>
      </c>
      <c r="BI16" s="213">
        <v>50</v>
      </c>
      <c r="BJ16" s="213">
        <v>100</v>
      </c>
      <c r="BK16" s="213">
        <v>50</v>
      </c>
      <c r="BL16" s="213">
        <v>50</v>
      </c>
      <c r="BM16" s="213">
        <v>50</v>
      </c>
      <c r="BO16" s="214"/>
    </row>
    <row r="17" s="193" customFormat="1" spans="3:67">
      <c r="C17" s="195"/>
      <c r="D17" s="195" t="str">
        <f>'tblIndicators_2014-O'!B13</f>
        <v>DIGSEC_OP_03</v>
      </c>
      <c r="E17" s="195" t="str">
        <f>'tblIndicators_2014-O'!C13</f>
        <v>DIGSEC_OP</v>
      </c>
      <c r="F17" s="196">
        <f>'tblIndicators_2014-O'!D13</f>
        <v>3</v>
      </c>
      <c r="G17" s="196">
        <f>'tblIndicators_2014-O'!M13</f>
        <v>2</v>
      </c>
      <c r="H17" s="196">
        <f>'tblIndicators_2014-O'!N13</f>
        <v>0</v>
      </c>
      <c r="I17" s="196">
        <f>'tblIndicators_2014-O'!Q13</f>
        <v>0</v>
      </c>
      <c r="J17" s="196">
        <f>'tblIndicators_2014-O'!R13</f>
        <v>0</v>
      </c>
      <c r="K17" s="196"/>
      <c r="L17" s="196"/>
      <c r="M17" s="203"/>
      <c r="N17" s="211" t="s">
        <v>837</v>
      </c>
      <c r="O17" s="212">
        <v>0.333333333333333</v>
      </c>
      <c r="P17" s="213">
        <v>92.2374429223744</v>
      </c>
      <c r="Q17" s="213">
        <v>99.0867579908676</v>
      </c>
      <c r="R17" s="213">
        <v>21.1872146118721</v>
      </c>
      <c r="S17" s="213">
        <v>76.7123287671233</v>
      </c>
      <c r="T17" s="213">
        <v>74.2009132420091</v>
      </c>
      <c r="U17" s="213">
        <v>85.5821917808219</v>
      </c>
      <c r="V17" s="213">
        <v>69.5091324200913</v>
      </c>
      <c r="W17" s="213">
        <v>77.3972602739726</v>
      </c>
      <c r="X17" s="213">
        <v>46.9748858447489</v>
      </c>
      <c r="Y17" s="213">
        <v>85.3881278538813</v>
      </c>
      <c r="Z17" s="213">
        <v>87.6712328767123</v>
      </c>
      <c r="AA17" s="213">
        <v>63.8127853881279</v>
      </c>
      <c r="AB17" s="213">
        <v>48.8584474885845</v>
      </c>
      <c r="AC17" s="213">
        <v>80.7077625570776</v>
      </c>
      <c r="AD17" s="213">
        <v>44.9771689497717</v>
      </c>
      <c r="AE17" s="213">
        <v>33.9041095890411</v>
      </c>
      <c r="AF17" s="213">
        <v>53.4246575342466</v>
      </c>
      <c r="AG17" s="213">
        <v>76.2557077625571</v>
      </c>
      <c r="AH17" s="213">
        <v>0</v>
      </c>
      <c r="AI17" s="213">
        <v>94.5205479452055</v>
      </c>
      <c r="AJ17" s="213">
        <v>89.9543378995434</v>
      </c>
      <c r="AK17" s="213">
        <v>79.6803652968037</v>
      </c>
      <c r="AL17" s="213">
        <v>78.5388127853881</v>
      </c>
      <c r="AM17" s="213">
        <v>50.148401826484</v>
      </c>
      <c r="AN17" s="213">
        <v>63.6986301369863</v>
      </c>
      <c r="AO17" s="213">
        <v>84.2465753424658</v>
      </c>
      <c r="AP17" s="213">
        <v>76.2557077625571</v>
      </c>
      <c r="AQ17" s="213">
        <v>45.4337899543379</v>
      </c>
      <c r="AR17" s="213">
        <v>86.5296803652968</v>
      </c>
      <c r="AS17" s="213">
        <v>89.9885844748858</v>
      </c>
      <c r="AT17" s="213">
        <v>85.3881278538813</v>
      </c>
      <c r="AU17" s="213">
        <v>45.4337899543379</v>
      </c>
      <c r="AV17" s="213">
        <v>53.5388127853881</v>
      </c>
      <c r="AW17" s="213">
        <v>57.9908675799087</v>
      </c>
      <c r="AX17" s="213">
        <v>83.1050228310502</v>
      </c>
      <c r="AY17" s="213">
        <v>69.0639269406393</v>
      </c>
      <c r="AZ17" s="213">
        <v>46.5753424657534</v>
      </c>
      <c r="BA17" s="213">
        <v>86.7579908675799</v>
      </c>
      <c r="BB17" s="213">
        <v>69.8630136986302</v>
      </c>
      <c r="BC17" s="213">
        <v>79.4520547945205</v>
      </c>
      <c r="BD17" s="213">
        <v>75.1141552511416</v>
      </c>
      <c r="BE17" s="213">
        <v>100</v>
      </c>
      <c r="BF17" s="213">
        <v>78.8812785388128</v>
      </c>
      <c r="BG17" s="213">
        <v>71.689497716895</v>
      </c>
      <c r="BH17" s="213">
        <v>21.4611872146119</v>
      </c>
      <c r="BI17" s="213">
        <v>58.5616438356164</v>
      </c>
      <c r="BJ17" s="213">
        <v>91.0958904109589</v>
      </c>
      <c r="BK17" s="213">
        <v>84.2465753424658</v>
      </c>
      <c r="BL17" s="213">
        <v>89.9543378995434</v>
      </c>
      <c r="BM17" s="213">
        <v>92.2374429223744</v>
      </c>
      <c r="BO17" s="214"/>
    </row>
    <row r="18" spans="3:67">
      <c r="C18" s="195"/>
      <c r="D18" s="195" t="str">
        <f>'tblIndicators_2014-O'!B14</f>
        <v>HELSEC</v>
      </c>
      <c r="E18" s="195" t="str">
        <f>'tblIndicators_2014-O'!C14</f>
        <v>TOTAL</v>
      </c>
      <c r="F18" s="196">
        <f>'tblIndicators_2014-O'!D14</f>
        <v>1</v>
      </c>
      <c r="G18" s="196">
        <f>'tblIndicators_2014-O'!M14</f>
        <v>1</v>
      </c>
      <c r="H18" s="196">
        <f>'tblIndicators_2014-O'!N14</f>
        <v>0</v>
      </c>
      <c r="I18" s="196">
        <f>'tblIndicators_2014-O'!Q14</f>
        <v>0</v>
      </c>
      <c r="J18" s="196">
        <f>'tblIndicators_2014-O'!R14</f>
        <v>0</v>
      </c>
      <c r="K18" s="196"/>
      <c r="L18" s="196"/>
      <c r="M18" s="203"/>
      <c r="N18" s="204" t="s">
        <v>385</v>
      </c>
      <c r="O18" s="205">
        <v>0.25</v>
      </c>
      <c r="P18" s="206">
        <v>52.0627297297371</v>
      </c>
      <c r="Q18" s="206">
        <v>74.275440483189</v>
      </c>
      <c r="R18" s="206">
        <v>60.4983193195189</v>
      </c>
      <c r="S18" s="206">
        <v>76.3501624336799</v>
      </c>
      <c r="T18" s="206">
        <v>64.1010337124797</v>
      </c>
      <c r="U18" s="206">
        <v>77.6266116692025</v>
      </c>
      <c r="V18" s="206">
        <v>64.6433986203088</v>
      </c>
      <c r="W18" s="206">
        <v>69.7130121868204</v>
      </c>
      <c r="X18" s="206">
        <v>53.7639263226883</v>
      </c>
      <c r="Y18" s="206">
        <v>54.1617738149929</v>
      </c>
      <c r="Z18" s="206">
        <v>77.3817860493764</v>
      </c>
      <c r="AA18" s="206">
        <v>60.0742412404495</v>
      </c>
      <c r="AB18" s="206">
        <v>48.3889762141347</v>
      </c>
      <c r="AC18" s="206">
        <v>73.6102232830418</v>
      </c>
      <c r="AD18" s="206">
        <v>50.7657937431227</v>
      </c>
      <c r="AE18" s="206">
        <v>53.1115895864078</v>
      </c>
      <c r="AF18" s="206">
        <v>50.171851480532</v>
      </c>
      <c r="AG18" s="206">
        <v>56.808980704402</v>
      </c>
      <c r="AH18" s="206">
        <v>54.4447147774624</v>
      </c>
      <c r="AI18" s="206">
        <v>69.7840471876016</v>
      </c>
      <c r="AJ18" s="206">
        <v>66.5729326375583</v>
      </c>
      <c r="AK18" s="206">
        <v>75.531092548866</v>
      </c>
      <c r="AL18" s="206">
        <v>74.2694294513696</v>
      </c>
      <c r="AM18" s="206">
        <v>61.1560748600963</v>
      </c>
      <c r="AN18" s="206">
        <v>66.1600067071947</v>
      </c>
      <c r="AO18" s="206">
        <v>72.4030606577819</v>
      </c>
      <c r="AP18" s="206">
        <v>68.9322387808212</v>
      </c>
      <c r="AQ18" s="206">
        <v>45.3052485809868</v>
      </c>
      <c r="AR18" s="206">
        <v>78.517689043087</v>
      </c>
      <c r="AS18" s="206">
        <v>76.5533058132314</v>
      </c>
      <c r="AT18" s="206">
        <v>76.953537184213</v>
      </c>
      <c r="AU18" s="206">
        <v>57.4793934040433</v>
      </c>
      <c r="AV18" s="206">
        <v>53.3250272685618</v>
      </c>
      <c r="AW18" s="206">
        <v>67.1299655433865</v>
      </c>
      <c r="AX18" s="206">
        <v>73.5328711070703</v>
      </c>
      <c r="AY18" s="206">
        <v>65.0154222073606</v>
      </c>
      <c r="AZ18" s="206">
        <v>60.367876731884</v>
      </c>
      <c r="BA18" s="206">
        <v>72.8592286323114</v>
      </c>
      <c r="BB18" s="206">
        <v>63.3074501099162</v>
      </c>
      <c r="BC18" s="206">
        <v>61.8485571694576</v>
      </c>
      <c r="BD18" s="206">
        <v>75.314052845837</v>
      </c>
      <c r="BE18" s="206">
        <v>75.8254063094849</v>
      </c>
      <c r="BF18" s="206">
        <v>73.3527212877007</v>
      </c>
      <c r="BG18" s="206">
        <v>76.0040852026873</v>
      </c>
      <c r="BH18" s="206">
        <v>48.2174608413585</v>
      </c>
      <c r="BI18" s="206">
        <v>60.9349695574407</v>
      </c>
      <c r="BJ18" s="206">
        <v>76.2599419089611</v>
      </c>
      <c r="BK18" s="206">
        <v>70.8035275897924</v>
      </c>
      <c r="BL18" s="206">
        <v>72.5307864329344</v>
      </c>
      <c r="BM18" s="206">
        <v>79.0453450634311</v>
      </c>
      <c r="BO18" s="214"/>
    </row>
    <row r="19" s="193" customFormat="1" spans="3:67">
      <c r="C19" s="197"/>
      <c r="D19" s="197" t="str">
        <f>'tblIndicators_2014-O'!B15</f>
        <v>HELSEC_IP</v>
      </c>
      <c r="E19" s="197" t="str">
        <f>'tblIndicators_2014-O'!C15</f>
        <v>HELSEC</v>
      </c>
      <c r="F19" s="198">
        <f>'tblIndicators_2014-O'!D15</f>
        <v>2</v>
      </c>
      <c r="G19" s="198">
        <f>'tblIndicators_2014-O'!M15</f>
        <v>1</v>
      </c>
      <c r="H19" s="198">
        <f>'tblIndicators_2014-O'!N15</f>
        <v>0</v>
      </c>
      <c r="I19" s="198">
        <f>'tblIndicators_2014-O'!Q15</f>
        <v>0</v>
      </c>
      <c r="J19" s="198">
        <f>'tblIndicators_2014-O'!R15</f>
        <v>0</v>
      </c>
      <c r="K19" s="196"/>
      <c r="L19" s="196"/>
      <c r="M19" s="207"/>
      <c r="N19" s="208" t="s">
        <v>838</v>
      </c>
      <c r="O19" s="209">
        <v>0.5</v>
      </c>
      <c r="P19" s="210">
        <v>54.3791620538691</v>
      </c>
      <c r="Q19" s="210">
        <v>70.5097672461013</v>
      </c>
      <c r="R19" s="210">
        <v>54.7589439432099</v>
      </c>
      <c r="S19" s="210">
        <v>67.4868026554638</v>
      </c>
      <c r="T19" s="210">
        <v>55.3799307850615</v>
      </c>
      <c r="U19" s="210">
        <v>77.129633490389</v>
      </c>
      <c r="V19" s="210">
        <v>60.4114384829892</v>
      </c>
      <c r="W19" s="210">
        <v>63.9304572938293</v>
      </c>
      <c r="X19" s="210">
        <v>51.9438999288789</v>
      </c>
      <c r="Y19" s="210">
        <v>52.1291906369878</v>
      </c>
      <c r="Z19" s="210">
        <v>70.4562785035411</v>
      </c>
      <c r="AA19" s="210">
        <v>55.5835585748962</v>
      </c>
      <c r="AB19" s="210">
        <v>36.6282109247439</v>
      </c>
      <c r="AC19" s="210">
        <v>65.5147377848354</v>
      </c>
      <c r="AD19" s="210">
        <v>35.722454429351</v>
      </c>
      <c r="AE19" s="210">
        <v>41.4073238395154</v>
      </c>
      <c r="AF19" s="210">
        <v>43.9882401052813</v>
      </c>
      <c r="AG19" s="210">
        <v>46.2417362200021</v>
      </c>
      <c r="AH19" s="210">
        <v>42.9117581025703</v>
      </c>
      <c r="AI19" s="210">
        <v>59.1172196127268</v>
      </c>
      <c r="AJ19" s="210">
        <v>64.4102513858695</v>
      </c>
      <c r="AK19" s="210">
        <v>64.8752110903948</v>
      </c>
      <c r="AL19" s="210">
        <v>66.4685500163756</v>
      </c>
      <c r="AM19" s="210">
        <v>53.2063089765421</v>
      </c>
      <c r="AN19" s="210">
        <v>55.132544351783</v>
      </c>
      <c r="AO19" s="210">
        <v>70.9146443279996</v>
      </c>
      <c r="AP19" s="210">
        <v>66.0339912002548</v>
      </c>
      <c r="AQ19" s="210">
        <v>38.8072705858742</v>
      </c>
      <c r="AR19" s="210">
        <v>67.7684331606381</v>
      </c>
      <c r="AS19" s="210">
        <v>77.5667531239186</v>
      </c>
      <c r="AT19" s="210">
        <v>73.4644055208622</v>
      </c>
      <c r="AU19" s="210">
        <v>56.240075850477</v>
      </c>
      <c r="AV19" s="210">
        <v>41.2353336770111</v>
      </c>
      <c r="AW19" s="210">
        <v>56.7982082739411</v>
      </c>
      <c r="AX19" s="210">
        <v>65.2232542572054</v>
      </c>
      <c r="AY19" s="210">
        <v>50.0799089585417</v>
      </c>
      <c r="AZ19" s="210">
        <v>52.1588833460263</v>
      </c>
      <c r="BA19" s="210">
        <v>65.448008068458</v>
      </c>
      <c r="BB19" s="210">
        <v>54.5122878279177</v>
      </c>
      <c r="BC19" s="210">
        <v>55.8069032089693</v>
      </c>
      <c r="BD19" s="210">
        <v>66.6513717148542</v>
      </c>
      <c r="BE19" s="210">
        <v>70.727969348659</v>
      </c>
      <c r="BF19" s="210">
        <v>64.3538451916261</v>
      </c>
      <c r="BG19" s="210">
        <v>81.068368576343</v>
      </c>
      <c r="BH19" s="210">
        <v>44.321013793192</v>
      </c>
      <c r="BI19" s="210">
        <v>53.2900940025257</v>
      </c>
      <c r="BJ19" s="210">
        <v>74.3550800406698</v>
      </c>
      <c r="BK19" s="210">
        <v>60.3188884667432</v>
      </c>
      <c r="BL19" s="210">
        <v>73.6989302256888</v>
      </c>
      <c r="BM19" s="210">
        <v>71.2724032443208</v>
      </c>
      <c r="BO19" s="214"/>
    </row>
    <row r="20" s="68" customFormat="1" spans="3:67">
      <c r="C20" s="195"/>
      <c r="D20" s="195" t="str">
        <f>'tblIndicators_2014-O'!B16</f>
        <v>HELSEC_IP_01</v>
      </c>
      <c r="E20" s="195" t="str">
        <f>'tblIndicators_2014-O'!C16</f>
        <v>HELSEC_IP</v>
      </c>
      <c r="F20" s="196">
        <f>'tblIndicators_2014-O'!D16</f>
        <v>3</v>
      </c>
      <c r="G20" s="196">
        <f>'tblIndicators_2014-O'!M16</f>
        <v>2</v>
      </c>
      <c r="H20" s="196">
        <f>'tblIndicators_2014-O'!N16</f>
        <v>0</v>
      </c>
      <c r="I20" s="196">
        <f>'tblIndicators_2014-O'!Q16</f>
        <v>0</v>
      </c>
      <c r="J20" s="196">
        <f>'tblIndicators_2014-O'!R16</f>
        <v>0</v>
      </c>
      <c r="K20" s="196"/>
      <c r="L20" s="196"/>
      <c r="M20" s="203"/>
      <c r="N20" s="211" t="s">
        <v>839</v>
      </c>
      <c r="O20" s="212">
        <v>0.166666666666667</v>
      </c>
      <c r="P20" s="213">
        <v>53.8461538461539</v>
      </c>
      <c r="Q20" s="213">
        <v>88.5897435897436</v>
      </c>
      <c r="R20" s="213">
        <v>91.1538461538462</v>
      </c>
      <c r="S20" s="213">
        <v>74.3589743589744</v>
      </c>
      <c r="T20" s="213">
        <v>73.5897435897436</v>
      </c>
      <c r="U20" s="213">
        <v>100</v>
      </c>
      <c r="V20" s="213">
        <v>67.5641025641026</v>
      </c>
      <c r="W20" s="213">
        <v>84.3589743589744</v>
      </c>
      <c r="X20" s="213">
        <v>84.8717948717949</v>
      </c>
      <c r="Y20" s="213">
        <v>17.9487179487179</v>
      </c>
      <c r="Z20" s="213">
        <v>68.7179487179487</v>
      </c>
      <c r="AA20" s="213">
        <v>83.0769230769231</v>
      </c>
      <c r="AB20" s="213">
        <v>28.0769230769231</v>
      </c>
      <c r="AC20" s="213">
        <v>97.8205128205128</v>
      </c>
      <c r="AD20" s="213">
        <v>11.6666666666667</v>
      </c>
      <c r="AE20" s="213">
        <v>86.6666666666667</v>
      </c>
      <c r="AF20" s="213">
        <v>60.7692307692308</v>
      </c>
      <c r="AG20" s="213">
        <v>0</v>
      </c>
      <c r="AH20" s="213">
        <v>50.6410256410256</v>
      </c>
      <c r="AI20" s="213">
        <v>70.1282051282051</v>
      </c>
      <c r="AJ20" s="213">
        <v>92.8205128205128</v>
      </c>
      <c r="AK20" s="213">
        <v>74.3589743589744</v>
      </c>
      <c r="AL20" s="213">
        <v>71.7948717948718</v>
      </c>
      <c r="AM20" s="213">
        <v>92.1794871794872</v>
      </c>
      <c r="AN20" s="213">
        <v>38.7179487179487</v>
      </c>
      <c r="AO20" s="213">
        <v>67.1794871794872</v>
      </c>
      <c r="AP20" s="213">
        <v>85.8974358974359</v>
      </c>
      <c r="AQ20" s="213">
        <v>51.2820512820513</v>
      </c>
      <c r="AR20" s="213">
        <v>100</v>
      </c>
      <c r="AS20" s="213">
        <v>95.5128205128205</v>
      </c>
      <c r="AT20" s="213">
        <v>92.8205128205128</v>
      </c>
      <c r="AU20" s="213">
        <v>91.1538461538462</v>
      </c>
      <c r="AV20" s="213">
        <v>0</v>
      </c>
      <c r="AW20" s="213">
        <v>38.7179487179487</v>
      </c>
      <c r="AX20" s="213">
        <v>91.4102564102564</v>
      </c>
      <c r="AY20" s="213">
        <v>60.7692307692308</v>
      </c>
      <c r="AZ20" s="213">
        <v>57.3076923076923</v>
      </c>
      <c r="BA20" s="213">
        <v>91.1538461538462</v>
      </c>
      <c r="BB20" s="213">
        <v>80.7692307692308</v>
      </c>
      <c r="BC20" s="213">
        <v>97.8205128205128</v>
      </c>
      <c r="BD20" s="213">
        <v>96.7948717948718</v>
      </c>
      <c r="BE20" s="213">
        <v>100</v>
      </c>
      <c r="BF20" s="213">
        <v>57.6923076923077</v>
      </c>
      <c r="BG20" s="213">
        <v>91.1538461538462</v>
      </c>
      <c r="BH20" s="213">
        <v>62.8205128205128</v>
      </c>
      <c r="BI20" s="213">
        <v>73.5897435897436</v>
      </c>
      <c r="BJ20" s="213">
        <v>95.5128205128205</v>
      </c>
      <c r="BK20" s="213">
        <v>48.7179487179487</v>
      </c>
      <c r="BL20" s="213">
        <v>100</v>
      </c>
      <c r="BM20" s="213">
        <v>84.3589743589744</v>
      </c>
      <c r="BO20" s="214"/>
    </row>
    <row r="21" s="68" customFormat="1" spans="3:67">
      <c r="C21" s="195"/>
      <c r="D21" s="195" t="str">
        <f>'tblIndicators_2014-O'!B17</f>
        <v>HELSEC_IP_02</v>
      </c>
      <c r="E21" s="195" t="str">
        <f>'tblIndicators_2014-O'!C17</f>
        <v>HELSEC_IP</v>
      </c>
      <c r="F21" s="196">
        <f>'tblIndicators_2014-O'!D17</f>
        <v>3</v>
      </c>
      <c r="G21" s="196">
        <f>'tblIndicators_2014-O'!M17</f>
        <v>2</v>
      </c>
      <c r="H21" s="196">
        <f>'tblIndicators_2014-O'!N17</f>
        <v>0</v>
      </c>
      <c r="I21" s="196">
        <f>'tblIndicators_2014-O'!Q17</f>
        <v>0</v>
      </c>
      <c r="J21" s="196">
        <f>'tblIndicators_2014-O'!R17</f>
        <v>0</v>
      </c>
      <c r="K21" s="196"/>
      <c r="L21" s="196"/>
      <c r="M21" s="203"/>
      <c r="N21" s="211" t="s">
        <v>840</v>
      </c>
      <c r="O21" s="212">
        <v>0.166666666666667</v>
      </c>
      <c r="P21" s="213">
        <v>74.7474747474748</v>
      </c>
      <c r="Q21" s="213">
        <v>100</v>
      </c>
      <c r="R21" s="213">
        <v>62.1212121212121</v>
      </c>
      <c r="S21" s="213">
        <v>91.9191919191919</v>
      </c>
      <c r="T21" s="213">
        <v>66.3636363636364</v>
      </c>
      <c r="U21" s="213">
        <v>100</v>
      </c>
      <c r="V21" s="213">
        <v>87.3737373737374</v>
      </c>
      <c r="W21" s="213">
        <v>91.6161616161616</v>
      </c>
      <c r="X21" s="213">
        <v>57.8787878787879</v>
      </c>
      <c r="Y21" s="213">
        <v>70.7070707070707</v>
      </c>
      <c r="Z21" s="213">
        <v>100</v>
      </c>
      <c r="AA21" s="213">
        <v>62.1212121212121</v>
      </c>
      <c r="AB21" s="213">
        <v>49.4949494949495</v>
      </c>
      <c r="AC21" s="213">
        <v>87.3737373737374</v>
      </c>
      <c r="AD21" s="213">
        <v>49.4949494949495</v>
      </c>
      <c r="AE21" s="213">
        <v>45.2525252525253</v>
      </c>
      <c r="AF21" s="213">
        <v>57.8787878787879</v>
      </c>
      <c r="AG21" s="213">
        <v>70.7070707070707</v>
      </c>
      <c r="AH21" s="213">
        <v>66.3636363636364</v>
      </c>
      <c r="AI21" s="213">
        <v>69.6969696969697</v>
      </c>
      <c r="AJ21" s="213">
        <v>91.6161616161616</v>
      </c>
      <c r="AK21" s="213">
        <v>87.3737373737374</v>
      </c>
      <c r="AL21" s="213">
        <v>100</v>
      </c>
      <c r="AM21" s="213">
        <v>66.3636363636364</v>
      </c>
      <c r="AN21" s="213">
        <v>87.8787878787879</v>
      </c>
      <c r="AO21" s="213">
        <v>100</v>
      </c>
      <c r="AP21" s="213">
        <v>78.989898989899</v>
      </c>
      <c r="AQ21" s="213">
        <v>53.7373737373737</v>
      </c>
      <c r="AR21" s="213">
        <v>91.6161616161616</v>
      </c>
      <c r="AS21" s="213">
        <v>100</v>
      </c>
      <c r="AT21" s="213">
        <v>100</v>
      </c>
      <c r="AU21" s="213">
        <v>66.3636363636364</v>
      </c>
      <c r="AV21" s="213">
        <v>66.6666666666667</v>
      </c>
      <c r="AW21" s="213">
        <v>87.3737373737374</v>
      </c>
      <c r="AX21" s="213">
        <v>91.6161616161616</v>
      </c>
      <c r="AY21" s="213">
        <v>70.5050505050505</v>
      </c>
      <c r="AZ21" s="213">
        <v>70.5050505050505</v>
      </c>
      <c r="BA21" s="213">
        <v>83.1313131313131</v>
      </c>
      <c r="BB21" s="213">
        <v>62.1212121212121</v>
      </c>
      <c r="BC21" s="213">
        <v>62.1212121212121</v>
      </c>
      <c r="BD21" s="213">
        <v>87.3737373737374</v>
      </c>
      <c r="BE21" s="213">
        <v>0</v>
      </c>
      <c r="BF21" s="213">
        <v>100</v>
      </c>
      <c r="BG21" s="213">
        <v>82.8282828282828</v>
      </c>
      <c r="BH21" s="213">
        <v>62.1212121212121</v>
      </c>
      <c r="BI21" s="213">
        <v>66.3636363636364</v>
      </c>
      <c r="BJ21" s="213">
        <v>100</v>
      </c>
      <c r="BK21" s="213">
        <v>100</v>
      </c>
      <c r="BL21" s="213">
        <v>91.6161616161616</v>
      </c>
      <c r="BM21" s="213">
        <v>100</v>
      </c>
      <c r="BO21" s="214"/>
    </row>
    <row r="22" s="68" customFormat="1" spans="3:67">
      <c r="C22" s="195"/>
      <c r="D22" s="195" t="str">
        <f>'tblIndicators_2014-O'!B18</f>
        <v>HELSEC_IP_03</v>
      </c>
      <c r="E22" s="195" t="str">
        <f>'tblIndicators_2014-O'!C18</f>
        <v>HELSEC_IP</v>
      </c>
      <c r="F22" s="196">
        <f>'tblIndicators_2014-O'!D18</f>
        <v>3</v>
      </c>
      <c r="G22" s="196">
        <f>'tblIndicators_2014-O'!M18</f>
        <v>2</v>
      </c>
      <c r="H22" s="196">
        <f>'tblIndicators_2014-O'!N18</f>
        <v>0</v>
      </c>
      <c r="I22" s="196">
        <f>'tblIndicators_2014-O'!Q18</f>
        <v>0</v>
      </c>
      <c r="J22" s="196">
        <f>'tblIndicators_2014-O'!R18</f>
        <v>0</v>
      </c>
      <c r="K22" s="196"/>
      <c r="L22" s="196"/>
      <c r="M22" s="203"/>
      <c r="N22" s="211" t="s">
        <v>841</v>
      </c>
      <c r="O22" s="212">
        <v>0.166666666666667</v>
      </c>
      <c r="P22" s="213">
        <v>11.187090856023</v>
      </c>
      <c r="Q22" s="213">
        <v>19.5263311512321</v>
      </c>
      <c r="R22" s="213">
        <v>15.6068882124838</v>
      </c>
      <c r="S22" s="213">
        <v>13.3552933327774</v>
      </c>
      <c r="T22" s="213">
        <v>20.1100779718968</v>
      </c>
      <c r="U22" s="213">
        <v>31.7433181837135</v>
      </c>
      <c r="V22" s="213">
        <v>18.6924071217112</v>
      </c>
      <c r="W22" s="213">
        <v>10.3531668265021</v>
      </c>
      <c r="X22" s="213">
        <v>9.31076178960097</v>
      </c>
      <c r="Y22" s="213">
        <v>4.93266063461619</v>
      </c>
      <c r="Z22" s="213">
        <v>34.5369636826085</v>
      </c>
      <c r="AA22" s="213">
        <v>20.1100779718968</v>
      </c>
      <c r="AB22" s="213">
        <v>15.773673018388</v>
      </c>
      <c r="AC22" s="213">
        <v>20.7355209940374</v>
      </c>
      <c r="AD22" s="213">
        <v>0</v>
      </c>
      <c r="AE22" s="213">
        <v>6.60050869365801</v>
      </c>
      <c r="AF22" s="213">
        <v>6.18354667889755</v>
      </c>
      <c r="AG22" s="213">
        <v>9.10228078222074</v>
      </c>
      <c r="AH22" s="213">
        <v>6.60050869365801</v>
      </c>
      <c r="AI22" s="213">
        <v>9.10228078222074</v>
      </c>
      <c r="AJ22" s="213">
        <v>5.05774923904432</v>
      </c>
      <c r="AK22" s="213">
        <v>12.6047617062086</v>
      </c>
      <c r="AL22" s="213">
        <v>9.60263519993329</v>
      </c>
      <c r="AM22" s="213">
        <v>4.51569861985573</v>
      </c>
      <c r="AN22" s="213">
        <v>23.2789892840762</v>
      </c>
      <c r="AO22" s="213">
        <v>54.2592669807781</v>
      </c>
      <c r="AP22" s="213">
        <v>40.3744318892549</v>
      </c>
      <c r="AQ22" s="213">
        <v>7.93478714089147</v>
      </c>
      <c r="AR22" s="213">
        <v>12.8549389150648</v>
      </c>
      <c r="AS22" s="213">
        <v>42.8762039778176</v>
      </c>
      <c r="AT22" s="213">
        <v>29.5751157069591</v>
      </c>
      <c r="AU22" s="213">
        <v>7.85139473793937</v>
      </c>
      <c r="AV22" s="213">
        <v>9.14397698369679</v>
      </c>
      <c r="AW22" s="213">
        <v>17.8584830921903</v>
      </c>
      <c r="AX22" s="213">
        <v>12.4379769003044</v>
      </c>
      <c r="AY22" s="213">
        <v>8.68531876746029</v>
      </c>
      <c r="AZ22" s="213">
        <v>10.7701288412626</v>
      </c>
      <c r="BA22" s="213">
        <v>19.9432931659926</v>
      </c>
      <c r="BB22" s="213">
        <v>19.1510653379477</v>
      </c>
      <c r="BC22" s="213">
        <v>10.26977442355</v>
      </c>
      <c r="BD22" s="213">
        <v>8.26835675269983</v>
      </c>
      <c r="BE22" s="213">
        <v>100</v>
      </c>
      <c r="BF22" s="213">
        <v>12.3962806988283</v>
      </c>
      <c r="BG22" s="213">
        <v>34.1200016678481</v>
      </c>
      <c r="BH22" s="213">
        <v>0.346078472251178</v>
      </c>
      <c r="BI22" s="213">
        <v>15.731976816912</v>
      </c>
      <c r="BJ22" s="213">
        <v>34.8705332944169</v>
      </c>
      <c r="BK22" s="213">
        <v>10.3531668265021</v>
      </c>
      <c r="BL22" s="213">
        <v>24.5298753283576</v>
      </c>
      <c r="BM22" s="213">
        <v>18.2754451069508</v>
      </c>
      <c r="BO22" s="214"/>
    </row>
    <row r="23" s="68" customFormat="1" spans="3:67">
      <c r="C23" s="195"/>
      <c r="D23" s="195" t="str">
        <f>'tblIndicators_2014-O'!B19</f>
        <v>HELSEC_IP_04</v>
      </c>
      <c r="E23" s="195" t="str">
        <f>'tblIndicators_2014-O'!C19</f>
        <v>HELSEC_IP</v>
      </c>
      <c r="F23" s="196">
        <f>'tblIndicators_2014-O'!D19</f>
        <v>3</v>
      </c>
      <c r="G23" s="196">
        <f>'tblIndicators_2014-O'!M19</f>
        <v>2</v>
      </c>
      <c r="H23" s="196">
        <f>'tblIndicators_2014-O'!N19</f>
        <v>0</v>
      </c>
      <c r="I23" s="196">
        <f>'tblIndicators_2014-O'!Q19</f>
        <v>0</v>
      </c>
      <c r="J23" s="196">
        <f>'tblIndicators_2014-O'!R19</f>
        <v>0</v>
      </c>
      <c r="K23" s="196"/>
      <c r="L23" s="196"/>
      <c r="M23" s="203"/>
      <c r="N23" s="211" t="s">
        <v>842</v>
      </c>
      <c r="O23" s="212">
        <v>0.166666666666667</v>
      </c>
      <c r="P23" s="213">
        <v>11.4942528735632</v>
      </c>
      <c r="Q23" s="213">
        <v>14.9425287356322</v>
      </c>
      <c r="R23" s="213">
        <v>0</v>
      </c>
      <c r="S23" s="213">
        <v>25.2873563218391</v>
      </c>
      <c r="T23" s="213">
        <v>18.9080459770115</v>
      </c>
      <c r="U23" s="213">
        <v>31.0344827586207</v>
      </c>
      <c r="V23" s="213">
        <v>16.6666666666667</v>
      </c>
      <c r="W23" s="213">
        <v>13.3908045977012</v>
      </c>
      <c r="X23" s="213">
        <v>16.0919540229885</v>
      </c>
      <c r="Y23" s="213">
        <v>46.2068965517241</v>
      </c>
      <c r="Z23" s="213">
        <v>19.4827586206897</v>
      </c>
      <c r="AA23" s="213">
        <v>14.8850574712644</v>
      </c>
      <c r="AB23" s="213">
        <v>5.28735632183908</v>
      </c>
      <c r="AC23" s="213">
        <v>8.85057471264368</v>
      </c>
      <c r="AD23" s="213">
        <v>3.67816091954023</v>
      </c>
      <c r="AE23" s="213">
        <v>0</v>
      </c>
      <c r="AF23" s="213">
        <v>1.72413793103448</v>
      </c>
      <c r="AG23" s="213">
        <v>10.7471264367816</v>
      </c>
      <c r="AH23" s="213">
        <v>4.59770114942529</v>
      </c>
      <c r="AI23" s="213">
        <v>18.2758620689655</v>
      </c>
      <c r="AJ23" s="213">
        <v>13.1034482758621</v>
      </c>
      <c r="AK23" s="213">
        <v>27.4137931034483</v>
      </c>
      <c r="AL23" s="213">
        <v>17.4137931034483</v>
      </c>
      <c r="AM23" s="213">
        <v>12.6436781609195</v>
      </c>
      <c r="AN23" s="213">
        <v>5.91954022988506</v>
      </c>
      <c r="AO23" s="213">
        <v>4.6551724137931</v>
      </c>
      <c r="AP23" s="213">
        <v>20.6896551724138</v>
      </c>
      <c r="AQ23" s="213">
        <v>1.37931034482759</v>
      </c>
      <c r="AR23" s="213">
        <v>18.2758620689655</v>
      </c>
      <c r="AS23" s="213">
        <v>27.0114942528736</v>
      </c>
      <c r="AT23" s="213">
        <v>18.3908045977012</v>
      </c>
      <c r="AU23" s="213">
        <v>18.9655172413793</v>
      </c>
      <c r="AV23" s="213">
        <v>10.9195402298851</v>
      </c>
      <c r="AW23" s="213">
        <v>21.8390804597701</v>
      </c>
      <c r="AX23" s="213">
        <v>12.0114942528736</v>
      </c>
      <c r="AY23" s="213">
        <v>4.08045977011494</v>
      </c>
      <c r="AZ23" s="213">
        <v>21.264367816092</v>
      </c>
      <c r="BA23" s="213">
        <v>18.3333333333333</v>
      </c>
      <c r="BB23" s="213">
        <v>11.7241379310345</v>
      </c>
      <c r="BC23" s="213">
        <v>11.3218390804598</v>
      </c>
      <c r="BD23" s="213">
        <v>7.47126436781609</v>
      </c>
      <c r="BE23" s="213">
        <v>24.367816091954</v>
      </c>
      <c r="BF23" s="213">
        <v>16.0344827586207</v>
      </c>
      <c r="BG23" s="213">
        <v>100</v>
      </c>
      <c r="BH23" s="213">
        <v>3.39080459770115</v>
      </c>
      <c r="BI23" s="213">
        <v>10.7471264367816</v>
      </c>
      <c r="BJ23" s="213">
        <v>15.7471264367816</v>
      </c>
      <c r="BK23" s="213">
        <v>3.44827586206897</v>
      </c>
      <c r="BL23" s="213">
        <v>42.183908045977</v>
      </c>
      <c r="BM23" s="213">
        <v>25</v>
      </c>
      <c r="BO23" s="214"/>
    </row>
    <row r="24" s="68" customFormat="1" spans="3:67">
      <c r="C24" s="195"/>
      <c r="D24" s="195" t="str">
        <f>'tblIndicators_2014-O'!B20</f>
        <v>HELSEC_IP_05</v>
      </c>
      <c r="E24" s="195" t="str">
        <f>'tblIndicators_2014-O'!C20</f>
        <v>HELSEC_IP</v>
      </c>
      <c r="F24" s="196">
        <f>'tblIndicators_2014-O'!D20</f>
        <v>3</v>
      </c>
      <c r="G24" s="196">
        <f>'tblIndicators_2014-O'!M20</f>
        <v>3</v>
      </c>
      <c r="H24" s="196">
        <f>'tblIndicators_2014-O'!N20</f>
        <v>0</v>
      </c>
      <c r="I24" s="196">
        <f>'tblIndicators_2014-O'!Q20</f>
        <v>1</v>
      </c>
      <c r="J24" s="196">
        <f>'tblIndicators_2014-O'!R20</f>
        <v>100</v>
      </c>
      <c r="K24" s="196"/>
      <c r="L24" s="196"/>
      <c r="M24" s="203"/>
      <c r="N24" s="211" t="s">
        <v>843</v>
      </c>
      <c r="O24" s="212">
        <v>0.166666666666667</v>
      </c>
      <c r="P24" s="213">
        <v>100</v>
      </c>
      <c r="Q24" s="213">
        <v>100</v>
      </c>
      <c r="R24" s="213">
        <v>97.1717171717172</v>
      </c>
      <c r="S24" s="213">
        <v>100</v>
      </c>
      <c r="T24" s="213">
        <v>90.8080808080808</v>
      </c>
      <c r="U24" s="213">
        <v>100</v>
      </c>
      <c r="V24" s="213">
        <v>97.1717171717172</v>
      </c>
      <c r="W24" s="213">
        <v>96.3636363636364</v>
      </c>
      <c r="X24" s="213">
        <v>81.010101010101</v>
      </c>
      <c r="Y24" s="213">
        <v>97.979797979798</v>
      </c>
      <c r="Z24" s="213">
        <v>100</v>
      </c>
      <c r="AA24" s="213">
        <v>90.8080808080808</v>
      </c>
      <c r="AB24" s="213">
        <v>83.6363636363636</v>
      </c>
      <c r="AC24" s="213">
        <v>90.8080808080808</v>
      </c>
      <c r="AD24" s="213">
        <v>99.4949494949495</v>
      </c>
      <c r="AE24" s="213">
        <v>72.4242424242424</v>
      </c>
      <c r="AF24" s="213">
        <v>87.3737373737374</v>
      </c>
      <c r="AG24" s="213">
        <v>99.3939393939394</v>
      </c>
      <c r="AH24" s="213">
        <v>66.7676767676768</v>
      </c>
      <c r="AI24" s="213">
        <v>100</v>
      </c>
      <c r="AJ24" s="213">
        <v>96.3636363636364</v>
      </c>
      <c r="AK24" s="213">
        <v>100</v>
      </c>
      <c r="AL24" s="213">
        <v>100</v>
      </c>
      <c r="AM24" s="213">
        <v>93.5353535353535</v>
      </c>
      <c r="AN24" s="213">
        <v>100</v>
      </c>
      <c r="AO24" s="213">
        <v>99.3939393939394</v>
      </c>
      <c r="AP24" s="213">
        <v>95.2525252525253</v>
      </c>
      <c r="AQ24" s="213">
        <v>81.010101010101</v>
      </c>
      <c r="AR24" s="213">
        <v>96.3636363636364</v>
      </c>
      <c r="AS24" s="213">
        <v>100</v>
      </c>
      <c r="AT24" s="213">
        <v>100</v>
      </c>
      <c r="AU24" s="213">
        <v>90.6060606060606</v>
      </c>
      <c r="AV24" s="213">
        <v>98.1818181818182</v>
      </c>
      <c r="AW24" s="213">
        <v>100</v>
      </c>
      <c r="AX24" s="213">
        <v>96.3636363636364</v>
      </c>
      <c r="AY24" s="213">
        <v>93.939393939394</v>
      </c>
      <c r="AZ24" s="213">
        <v>90.6060606060606</v>
      </c>
      <c r="BA24" s="213">
        <v>92.6262626262626</v>
      </c>
      <c r="BB24" s="213">
        <v>90.8080808080808</v>
      </c>
      <c r="BC24" s="213">
        <v>90.8080808080808</v>
      </c>
      <c r="BD24" s="213">
        <v>100</v>
      </c>
      <c r="BE24" s="213">
        <v>100</v>
      </c>
      <c r="BF24" s="213">
        <v>100</v>
      </c>
      <c r="BG24" s="213">
        <v>90.8080808080808</v>
      </c>
      <c r="BH24" s="213">
        <v>74.7474747474748</v>
      </c>
      <c r="BI24" s="213">
        <v>90.8080808080808</v>
      </c>
      <c r="BJ24" s="213">
        <v>100</v>
      </c>
      <c r="BK24" s="213">
        <v>99.3939393939394</v>
      </c>
      <c r="BL24" s="213">
        <v>96.3636363636364</v>
      </c>
      <c r="BM24" s="213">
        <v>100</v>
      </c>
      <c r="BO24" s="214"/>
    </row>
    <row r="25" s="68" customFormat="1" spans="3:67">
      <c r="C25" s="195"/>
      <c r="D25" s="195" t="str">
        <f>'tblIndicators_2014-O'!B21</f>
        <v>HELSEC_IP_06</v>
      </c>
      <c r="E25" s="195" t="str">
        <f>'tblIndicators_2014-O'!C21</f>
        <v>HELSEC_IP</v>
      </c>
      <c r="F25" s="196">
        <f>'tblIndicators_2014-O'!D21</f>
        <v>3</v>
      </c>
      <c r="G25" s="196">
        <f>'tblIndicators_2014-O'!M21</f>
        <v>3</v>
      </c>
      <c r="H25" s="196">
        <f>'tblIndicators_2014-O'!N21</f>
        <v>1</v>
      </c>
      <c r="I25" s="196">
        <f>'tblIndicators_2014-O'!Q21</f>
        <v>1</v>
      </c>
      <c r="J25" s="196">
        <f>'tblIndicators_2014-O'!R21</f>
        <v>5</v>
      </c>
      <c r="K25" s="196"/>
      <c r="L25" s="196"/>
      <c r="M25" s="203"/>
      <c r="N25" s="211" t="s">
        <v>844</v>
      </c>
      <c r="O25" s="212">
        <v>0.166666666666667</v>
      </c>
      <c r="P25" s="213">
        <v>75</v>
      </c>
      <c r="Q25" s="213">
        <v>100</v>
      </c>
      <c r="R25" s="213">
        <v>62.5</v>
      </c>
      <c r="S25" s="213">
        <v>100</v>
      </c>
      <c r="T25" s="213">
        <v>62.5</v>
      </c>
      <c r="U25" s="213">
        <v>100</v>
      </c>
      <c r="V25" s="213">
        <v>75</v>
      </c>
      <c r="W25" s="213">
        <v>87.5</v>
      </c>
      <c r="X25" s="213">
        <v>62.5</v>
      </c>
      <c r="Y25" s="213">
        <v>75</v>
      </c>
      <c r="Z25" s="213">
        <v>100</v>
      </c>
      <c r="AA25" s="213">
        <v>62.5</v>
      </c>
      <c r="AB25" s="213">
        <v>37.5</v>
      </c>
      <c r="AC25" s="213">
        <v>87.5</v>
      </c>
      <c r="AD25" s="213">
        <v>50</v>
      </c>
      <c r="AE25" s="213">
        <v>37.5</v>
      </c>
      <c r="AF25" s="213">
        <v>50</v>
      </c>
      <c r="AG25" s="213">
        <v>87.5</v>
      </c>
      <c r="AH25" s="213">
        <v>62.5</v>
      </c>
      <c r="AI25" s="213">
        <v>87.5</v>
      </c>
      <c r="AJ25" s="213">
        <v>87.5</v>
      </c>
      <c r="AK25" s="213">
        <v>87.5</v>
      </c>
      <c r="AL25" s="213">
        <v>100</v>
      </c>
      <c r="AM25" s="213">
        <v>50</v>
      </c>
      <c r="AN25" s="213">
        <v>75</v>
      </c>
      <c r="AO25" s="213">
        <v>100</v>
      </c>
      <c r="AP25" s="213">
        <v>75</v>
      </c>
      <c r="AQ25" s="213">
        <v>37.5</v>
      </c>
      <c r="AR25" s="213">
        <v>87.5</v>
      </c>
      <c r="AS25" s="213">
        <v>100</v>
      </c>
      <c r="AT25" s="213">
        <v>100</v>
      </c>
      <c r="AU25" s="213">
        <v>62.5</v>
      </c>
      <c r="AV25" s="213">
        <v>62.5</v>
      </c>
      <c r="AW25" s="213">
        <v>75</v>
      </c>
      <c r="AX25" s="213">
        <v>87.5</v>
      </c>
      <c r="AY25" s="213">
        <v>62.5</v>
      </c>
      <c r="AZ25" s="213">
        <v>62.5</v>
      </c>
      <c r="BA25" s="213">
        <v>87.5</v>
      </c>
      <c r="BB25" s="213">
        <v>62.5</v>
      </c>
      <c r="BC25" s="213">
        <v>62.5</v>
      </c>
      <c r="BD25" s="213">
        <v>100</v>
      </c>
      <c r="BE25" s="213">
        <v>100</v>
      </c>
      <c r="BF25" s="213">
        <v>100</v>
      </c>
      <c r="BG25" s="213">
        <v>87.5</v>
      </c>
      <c r="BH25" s="213">
        <v>62.5</v>
      </c>
      <c r="BI25" s="213">
        <v>62.5</v>
      </c>
      <c r="BJ25" s="213">
        <v>100</v>
      </c>
      <c r="BK25" s="213">
        <v>100</v>
      </c>
      <c r="BL25" s="213">
        <v>87.5</v>
      </c>
      <c r="BM25" s="213">
        <v>100</v>
      </c>
      <c r="BO25" s="214"/>
    </row>
    <row r="26" s="193" customFormat="1" spans="3:67">
      <c r="C26" s="197"/>
      <c r="D26" s="197" t="str">
        <f>'tblIndicators_2014-O'!B22</f>
        <v>HELSEC_OP</v>
      </c>
      <c r="E26" s="197" t="str">
        <f>'tblIndicators_2014-O'!C22</f>
        <v>HELSEC</v>
      </c>
      <c r="F26" s="198">
        <f>'tblIndicators_2014-O'!D22</f>
        <v>2</v>
      </c>
      <c r="G26" s="198">
        <f>'tblIndicators_2014-O'!M22</f>
        <v>1</v>
      </c>
      <c r="H26" s="198">
        <f>'tblIndicators_2014-O'!N22</f>
        <v>0</v>
      </c>
      <c r="I26" s="198">
        <f>'tblIndicators_2014-O'!Q22</f>
        <v>0</v>
      </c>
      <c r="J26" s="198">
        <f>'tblIndicators_2014-O'!R22</f>
        <v>0</v>
      </c>
      <c r="K26" s="196"/>
      <c r="L26" s="196"/>
      <c r="M26" s="207"/>
      <c r="N26" s="208" t="s">
        <v>845</v>
      </c>
      <c r="O26" s="209">
        <v>0.5</v>
      </c>
      <c r="P26" s="210">
        <v>49.746297405605</v>
      </c>
      <c r="Q26" s="210">
        <v>78.0411137202767</v>
      </c>
      <c r="R26" s="210">
        <v>66.2376946958279</v>
      </c>
      <c r="S26" s="210">
        <v>85.2135222118959</v>
      </c>
      <c r="T26" s="210">
        <v>72.822136639898</v>
      </c>
      <c r="U26" s="210">
        <v>78.1235898480159</v>
      </c>
      <c r="V26" s="210">
        <v>68.8753587576285</v>
      </c>
      <c r="W26" s="210">
        <v>75.4955670798115</v>
      </c>
      <c r="X26" s="210">
        <v>55.5839527164977</v>
      </c>
      <c r="Y26" s="210">
        <v>56.1943569929979</v>
      </c>
      <c r="Z26" s="210">
        <v>84.3072935952117</v>
      </c>
      <c r="AA26" s="210">
        <v>64.5649239060028</v>
      </c>
      <c r="AB26" s="210">
        <v>60.1497415035255</v>
      </c>
      <c r="AC26" s="210">
        <v>81.7057087812482</v>
      </c>
      <c r="AD26" s="210">
        <v>65.8091330568944</v>
      </c>
      <c r="AE26" s="210">
        <v>64.8158553333003</v>
      </c>
      <c r="AF26" s="210">
        <v>56.3554628557827</v>
      </c>
      <c r="AG26" s="210">
        <v>67.3762251888019</v>
      </c>
      <c r="AH26" s="210">
        <v>65.9776714523544</v>
      </c>
      <c r="AI26" s="210">
        <v>80.4508747624763</v>
      </c>
      <c r="AJ26" s="210">
        <v>68.735613889247</v>
      </c>
      <c r="AK26" s="210">
        <v>86.1869740073373</v>
      </c>
      <c r="AL26" s="210">
        <v>82.0703088863636</v>
      </c>
      <c r="AM26" s="210">
        <v>69.1058407436505</v>
      </c>
      <c r="AN26" s="210">
        <v>77.1874690626065</v>
      </c>
      <c r="AO26" s="210">
        <v>73.8914769875642</v>
      </c>
      <c r="AP26" s="210">
        <v>71.8304863613877</v>
      </c>
      <c r="AQ26" s="210">
        <v>51.8032265760994</v>
      </c>
      <c r="AR26" s="210">
        <v>89.2669449255359</v>
      </c>
      <c r="AS26" s="210">
        <v>75.5398585025443</v>
      </c>
      <c r="AT26" s="210">
        <v>80.4426688475638</v>
      </c>
      <c r="AU26" s="210">
        <v>58.7187109576096</v>
      </c>
      <c r="AV26" s="210">
        <v>65.4147208601124</v>
      </c>
      <c r="AW26" s="210">
        <v>77.4617228128319</v>
      </c>
      <c r="AX26" s="210">
        <v>81.8424879569353</v>
      </c>
      <c r="AY26" s="210">
        <v>79.9509354561795</v>
      </c>
      <c r="AZ26" s="210">
        <v>68.5768701177416</v>
      </c>
      <c r="BA26" s="210">
        <v>80.2704491961649</v>
      </c>
      <c r="BB26" s="210">
        <v>72.1026123919147</v>
      </c>
      <c r="BC26" s="210">
        <v>67.8902111299461</v>
      </c>
      <c r="BD26" s="210">
        <v>83.9767339768198</v>
      </c>
      <c r="BE26" s="210">
        <v>80.9228432703108</v>
      </c>
      <c r="BF26" s="210">
        <v>82.3515973837753</v>
      </c>
      <c r="BG26" s="210">
        <v>70.9398018290317</v>
      </c>
      <c r="BH26" s="210">
        <v>52.1139078895251</v>
      </c>
      <c r="BI26" s="210">
        <v>68.5798451123557</v>
      </c>
      <c r="BJ26" s="210">
        <v>78.1648037772525</v>
      </c>
      <c r="BK26" s="210">
        <v>81.2881667128416</v>
      </c>
      <c r="BL26" s="210">
        <v>71.3626426401801</v>
      </c>
      <c r="BM26" s="210">
        <v>86.8182868825413</v>
      </c>
      <c r="BO26" s="214"/>
    </row>
    <row r="27" spans="3:67">
      <c r="C27" s="195"/>
      <c r="D27" s="195" t="str">
        <f>'tblIndicators_2014-O'!B23</f>
        <v>HELSEC_OP_01</v>
      </c>
      <c r="E27" s="195" t="str">
        <f>'tblIndicators_2014-O'!C23</f>
        <v>HELSEC_OP</v>
      </c>
      <c r="F27" s="196">
        <f>'tblIndicators_2014-O'!D23</f>
        <v>3</v>
      </c>
      <c r="G27" s="196">
        <f>'tblIndicators_2014-O'!M23</f>
        <v>3</v>
      </c>
      <c r="H27" s="196">
        <f>'tblIndicators_2014-O'!N23</f>
        <v>1</v>
      </c>
      <c r="I27" s="196">
        <f>'tblIndicators_2014-O'!Q23</f>
        <v>1</v>
      </c>
      <c r="J27" s="196">
        <f>'tblIndicators_2014-O'!R23</f>
        <v>100</v>
      </c>
      <c r="K27" s="196"/>
      <c r="L27" s="196"/>
      <c r="M27" s="203"/>
      <c r="N27" s="211" t="s">
        <v>846</v>
      </c>
      <c r="O27" s="212">
        <v>0.2</v>
      </c>
      <c r="P27" s="213">
        <v>36.3636363636364</v>
      </c>
      <c r="Q27" s="213">
        <v>82.8282828282828</v>
      </c>
      <c r="R27" s="213">
        <v>80.8080808080808</v>
      </c>
      <c r="S27" s="213">
        <v>84.8484848484848</v>
      </c>
      <c r="T27" s="213">
        <v>44.4444444444444</v>
      </c>
      <c r="U27" s="213">
        <v>82.8282828282828</v>
      </c>
      <c r="V27" s="213">
        <v>84.8484848484848</v>
      </c>
      <c r="W27" s="213">
        <v>87.8787878787879</v>
      </c>
      <c r="X27" s="213">
        <v>53.5353535353536</v>
      </c>
      <c r="Y27" s="213">
        <v>7.07070707070706</v>
      </c>
      <c r="Z27" s="213">
        <v>82.8282828282828</v>
      </c>
      <c r="AA27" s="213">
        <v>68.6868686868687</v>
      </c>
      <c r="AB27" s="213">
        <v>73.7373737373737</v>
      </c>
      <c r="AC27" s="213">
        <v>79.7979797979798</v>
      </c>
      <c r="AD27" s="213">
        <v>68.6868686868687</v>
      </c>
      <c r="AE27" s="213">
        <v>79.7979797979798</v>
      </c>
      <c r="AF27" s="213">
        <v>49.4949494949495</v>
      </c>
      <c r="AG27" s="213">
        <v>40.4040404040404</v>
      </c>
      <c r="AH27" s="213">
        <v>62.6262626262626</v>
      </c>
      <c r="AI27" s="213">
        <v>84.8484848484848</v>
      </c>
      <c r="AJ27" s="213">
        <v>80.8080808080808</v>
      </c>
      <c r="AK27" s="213">
        <v>89.8989898989899</v>
      </c>
      <c r="AL27" s="213">
        <v>95.959595959596</v>
      </c>
      <c r="AM27" s="213">
        <v>75.7575757575758</v>
      </c>
      <c r="AN27" s="213">
        <v>67.6767676767677</v>
      </c>
      <c r="AO27" s="213">
        <v>91.9191919191919</v>
      </c>
      <c r="AP27" s="213">
        <v>78.7878787878788</v>
      </c>
      <c r="AQ27" s="213">
        <v>55.5555555555556</v>
      </c>
      <c r="AR27" s="213">
        <v>86.8686868686869</v>
      </c>
      <c r="AS27" s="213">
        <v>91.9191919191919</v>
      </c>
      <c r="AT27" s="213">
        <v>83.8383838383838</v>
      </c>
      <c r="AU27" s="213">
        <v>64.6464646464646</v>
      </c>
      <c r="AV27" s="213">
        <v>72.7272727272727</v>
      </c>
      <c r="AW27" s="213">
        <v>79.7979797979798</v>
      </c>
      <c r="AX27" s="213">
        <v>90.9090909090909</v>
      </c>
      <c r="AY27" s="213">
        <v>74.7474747474747</v>
      </c>
      <c r="AZ27" s="213">
        <v>81.8181818181818</v>
      </c>
      <c r="BA27" s="213">
        <v>78.7878787878788</v>
      </c>
      <c r="BB27" s="213">
        <v>64.6464646464646</v>
      </c>
      <c r="BC27" s="213">
        <v>74.7474747474747</v>
      </c>
      <c r="BD27" s="213">
        <v>83.8383838383838</v>
      </c>
      <c r="BE27" s="213">
        <v>93.9393939393939</v>
      </c>
      <c r="BF27" s="213">
        <v>95.959595959596</v>
      </c>
      <c r="BG27" s="213">
        <v>59.5959595959596</v>
      </c>
      <c r="BH27" s="213">
        <v>70.7070707070707</v>
      </c>
      <c r="BI27" s="213">
        <v>56.5656565656566</v>
      </c>
      <c r="BJ27" s="213">
        <v>90.9090909090909</v>
      </c>
      <c r="BK27" s="213">
        <v>92.9292929292929</v>
      </c>
      <c r="BL27" s="213">
        <v>88.8888888888889</v>
      </c>
      <c r="BM27" s="213">
        <v>86.8686868686869</v>
      </c>
      <c r="BO27" s="214"/>
    </row>
    <row r="28" s="193" customFormat="1" spans="3:67">
      <c r="C28" s="195"/>
      <c r="D28" s="195" t="str">
        <f>'tblIndicators_2014-O'!B24</f>
        <v>HELSEC_OP_02</v>
      </c>
      <c r="E28" s="195" t="str">
        <f>'tblIndicators_2014-O'!C24</f>
        <v>HELSEC_OP</v>
      </c>
      <c r="F28" s="196">
        <f>'tblIndicators_2014-O'!D24</f>
        <v>3</v>
      </c>
      <c r="G28" s="196">
        <f>'tblIndicators_2014-O'!M24</f>
        <v>3</v>
      </c>
      <c r="H28" s="196">
        <f>'tblIndicators_2014-O'!N24</f>
        <v>0</v>
      </c>
      <c r="I28" s="196">
        <f>'tblIndicators_2014-O'!Q24</f>
        <v>1</v>
      </c>
      <c r="J28" s="196">
        <f>'tblIndicators_2014-O'!R24</f>
        <v>100</v>
      </c>
      <c r="K28" s="196"/>
      <c r="L28" s="196"/>
      <c r="M28" s="203"/>
      <c r="N28" s="211" t="s">
        <v>847</v>
      </c>
      <c r="O28" s="212">
        <v>0.2</v>
      </c>
      <c r="P28" s="213">
        <v>60.6060606060606</v>
      </c>
      <c r="Q28" s="213">
        <v>92.020202020202</v>
      </c>
      <c r="R28" s="213">
        <v>47.979797979798</v>
      </c>
      <c r="S28" s="213">
        <v>85.7575757575758</v>
      </c>
      <c r="T28" s="213">
        <v>72.1212121212121</v>
      </c>
      <c r="U28" s="213">
        <v>90.4040404040404</v>
      </c>
      <c r="V28" s="213">
        <v>42.8282828282828</v>
      </c>
      <c r="W28" s="213">
        <v>82.020202020202</v>
      </c>
      <c r="X28" s="213">
        <v>55.8585858585859</v>
      </c>
      <c r="Y28" s="213">
        <v>34.3434343434343</v>
      </c>
      <c r="Z28" s="213">
        <v>88.4848484848485</v>
      </c>
      <c r="AA28" s="213">
        <v>54.4444444444444</v>
      </c>
      <c r="AB28" s="213">
        <v>54.7474747474748</v>
      </c>
      <c r="AC28" s="213">
        <v>64.1414141414141</v>
      </c>
      <c r="AD28" s="213">
        <v>55.4545454545455</v>
      </c>
      <c r="AE28" s="213">
        <v>48.6868686868687</v>
      </c>
      <c r="AF28" s="213">
        <v>59.4949494949495</v>
      </c>
      <c r="AG28" s="213">
        <v>58.5858585858586</v>
      </c>
      <c r="AH28" s="213">
        <v>58.5858585858586</v>
      </c>
      <c r="AI28" s="213">
        <v>85.6565656565657</v>
      </c>
      <c r="AJ28" s="213">
        <v>81.5151515151515</v>
      </c>
      <c r="AK28" s="213">
        <v>85.7575757575758</v>
      </c>
      <c r="AL28" s="213">
        <v>67.2727272727273</v>
      </c>
      <c r="AM28" s="213">
        <v>65.6565656565657</v>
      </c>
      <c r="AN28" s="213">
        <v>68.4848484848485</v>
      </c>
      <c r="AO28" s="213">
        <v>46.6666666666667</v>
      </c>
      <c r="AP28" s="213">
        <v>67.089072543618</v>
      </c>
      <c r="AQ28" s="213">
        <v>64.1414141414141</v>
      </c>
      <c r="AR28" s="213">
        <v>88.6868686868687</v>
      </c>
      <c r="AS28" s="213">
        <v>71.010101010101</v>
      </c>
      <c r="AT28" s="213">
        <v>85.3535353535354</v>
      </c>
      <c r="AU28" s="213">
        <v>54.1414141414141</v>
      </c>
      <c r="AV28" s="213">
        <v>47.4747474747475</v>
      </c>
      <c r="AW28" s="213">
        <v>68.4848484848485</v>
      </c>
      <c r="AX28" s="213">
        <v>87.2727272727273</v>
      </c>
      <c r="AY28" s="213">
        <v>69.8989898989899</v>
      </c>
      <c r="AZ28" s="213">
        <v>73.3333333333333</v>
      </c>
      <c r="BA28" s="213">
        <v>72.9292929292929</v>
      </c>
      <c r="BB28" s="213">
        <v>62.6262626262626</v>
      </c>
      <c r="BC28" s="213">
        <v>64.1414141414141</v>
      </c>
      <c r="BD28" s="213">
        <v>78.5858585858586</v>
      </c>
      <c r="BE28" s="213">
        <v>71.1111111111111</v>
      </c>
      <c r="BF28" s="213">
        <v>81.8181818181818</v>
      </c>
      <c r="BG28" s="213">
        <v>62.5252525252525</v>
      </c>
      <c r="BH28" s="213">
        <v>45.4545454545455</v>
      </c>
      <c r="BI28" s="213">
        <v>72.1212121212121</v>
      </c>
      <c r="BJ28" s="213">
        <v>79.2929292929293</v>
      </c>
      <c r="BK28" s="213">
        <v>83.3333333333333</v>
      </c>
      <c r="BL28" s="213">
        <v>66.969696969697</v>
      </c>
      <c r="BM28" s="213">
        <v>88.6868686868687</v>
      </c>
      <c r="BO28" s="214"/>
    </row>
    <row r="29" s="68" customFormat="1" spans="3:67">
      <c r="C29" s="195"/>
      <c r="D29" s="195" t="str">
        <f>'tblIndicators_2014-O'!B25</f>
        <v>HELSEC_OP_03</v>
      </c>
      <c r="E29" s="195" t="str">
        <f>'tblIndicators_2014-O'!C25</f>
        <v>HELSEC_OP</v>
      </c>
      <c r="F29" s="196">
        <f>'tblIndicators_2014-O'!D25</f>
        <v>3</v>
      </c>
      <c r="G29" s="196">
        <f>'tblIndicators_2014-O'!M25</f>
        <v>2</v>
      </c>
      <c r="H29" s="196">
        <f>'tblIndicators_2014-O'!N25</f>
        <v>0</v>
      </c>
      <c r="I29" s="196">
        <f>'tblIndicators_2014-O'!Q25</f>
        <v>0</v>
      </c>
      <c r="J29" s="196">
        <f>'tblIndicators_2014-O'!R25</f>
        <v>0</v>
      </c>
      <c r="K29" s="196"/>
      <c r="L29" s="196"/>
      <c r="M29" s="203"/>
      <c r="N29" s="211" t="s">
        <v>848</v>
      </c>
      <c r="O29" s="212">
        <v>0.2</v>
      </c>
      <c r="P29" s="213">
        <v>66.1596958174905</v>
      </c>
      <c r="Q29" s="213">
        <v>73.1558935361217</v>
      </c>
      <c r="R29" s="213">
        <v>54.3726235741445</v>
      </c>
      <c r="S29" s="213">
        <v>85.9315589353612</v>
      </c>
      <c r="T29" s="213">
        <v>82.6996197718631</v>
      </c>
      <c r="U29" s="213">
        <v>79.467680608365</v>
      </c>
      <c r="V29" s="213">
        <v>63.8783269961977</v>
      </c>
      <c r="W29" s="213">
        <v>69.2015209125475</v>
      </c>
      <c r="X29" s="213">
        <v>38.0228136882129</v>
      </c>
      <c r="Y29" s="213">
        <v>71.0266159695817</v>
      </c>
      <c r="Z29" s="213">
        <v>74.7528517110266</v>
      </c>
      <c r="AA29" s="213">
        <v>64.2205323193916</v>
      </c>
      <c r="AB29" s="213">
        <v>49.6197718631179</v>
      </c>
      <c r="AC29" s="213">
        <v>92.6235741444866</v>
      </c>
      <c r="AD29" s="213">
        <v>48.6692015209126</v>
      </c>
      <c r="AE29" s="213">
        <v>51.8250950570342</v>
      </c>
      <c r="AF29" s="213">
        <v>0</v>
      </c>
      <c r="AG29" s="213">
        <v>68.5931558935361</v>
      </c>
      <c r="AH29" s="213">
        <v>55.1330798479087</v>
      </c>
      <c r="AI29" s="213">
        <v>83.6882129277566</v>
      </c>
      <c r="AJ29" s="213">
        <v>78.7072243346007</v>
      </c>
      <c r="AK29" s="213">
        <v>85.9315589353612</v>
      </c>
      <c r="AL29" s="213">
        <v>100</v>
      </c>
      <c r="AM29" s="213">
        <v>65.7794676806084</v>
      </c>
      <c r="AN29" s="213">
        <v>88.212927756654</v>
      </c>
      <c r="AO29" s="213">
        <v>82.1292775665399</v>
      </c>
      <c r="AP29" s="213">
        <v>60.4562737642585</v>
      </c>
      <c r="AQ29" s="213">
        <v>43.3460076045627</v>
      </c>
      <c r="AR29" s="213">
        <v>80.9885931558935</v>
      </c>
      <c r="AS29" s="213">
        <v>89.7338403041825</v>
      </c>
      <c r="AT29" s="213">
        <v>83.1178707224334</v>
      </c>
      <c r="AU29" s="213">
        <v>50</v>
      </c>
      <c r="AV29" s="213">
        <v>58.5551330798479</v>
      </c>
      <c r="AW29" s="213">
        <v>86.6920152091255</v>
      </c>
      <c r="AX29" s="213">
        <v>77.1863117870722</v>
      </c>
      <c r="AY29" s="213">
        <v>71.6349809885931</v>
      </c>
      <c r="AZ29" s="213">
        <v>43.3460076045627</v>
      </c>
      <c r="BA29" s="213">
        <v>89.2015209125475</v>
      </c>
      <c r="BB29" s="213">
        <v>78.5551330798479</v>
      </c>
      <c r="BC29" s="213">
        <v>59.6958174904943</v>
      </c>
      <c r="BD29" s="213">
        <v>84.4106463878327</v>
      </c>
      <c r="BE29" s="213">
        <v>86.6920152091255</v>
      </c>
      <c r="BF29" s="213">
        <v>82.8897338403042</v>
      </c>
      <c r="BG29" s="213">
        <v>87.680608365019</v>
      </c>
      <c r="BH29" s="213">
        <v>64.2585551330798</v>
      </c>
      <c r="BI29" s="213">
        <v>73.3460076045627</v>
      </c>
      <c r="BJ29" s="213">
        <v>86.9201520912547</v>
      </c>
      <c r="BK29" s="213">
        <v>79.8479087452471</v>
      </c>
      <c r="BL29" s="213">
        <v>60.8745247148289</v>
      </c>
      <c r="BM29" s="213">
        <v>90.9505703422053</v>
      </c>
      <c r="BO29" s="214"/>
    </row>
    <row r="30" s="68" customFormat="1" spans="3:67">
      <c r="C30" s="195"/>
      <c r="D30" s="195" t="str">
        <f>'tblIndicators_2014-O'!B26</f>
        <v>HELSEC_OP_04</v>
      </c>
      <c r="E30" s="195" t="str">
        <f>'tblIndicators_2014-O'!C26</f>
        <v>HELSEC_OP</v>
      </c>
      <c r="F30" s="196">
        <f>'tblIndicators_2014-O'!D26</f>
        <v>3</v>
      </c>
      <c r="G30" s="196">
        <f>'tblIndicators_2014-O'!M26</f>
        <v>2</v>
      </c>
      <c r="H30" s="196">
        <f>'tblIndicators_2014-O'!N26</f>
        <v>1</v>
      </c>
      <c r="I30" s="196">
        <f>'tblIndicators_2014-O'!Q26</f>
        <v>0</v>
      </c>
      <c r="J30" s="196">
        <f>'tblIndicators_2014-O'!R26</f>
        <v>0</v>
      </c>
      <c r="K30" s="196"/>
      <c r="L30" s="196"/>
      <c r="M30" s="203"/>
      <c r="N30" s="211" t="s">
        <v>849</v>
      </c>
      <c r="O30" s="212">
        <v>0.2</v>
      </c>
      <c r="P30" s="213">
        <v>85.6020942408377</v>
      </c>
      <c r="Q30" s="213">
        <v>91.0994764397906</v>
      </c>
      <c r="R30" s="213">
        <v>83.5078534031414</v>
      </c>
      <c r="S30" s="213">
        <v>93.3769633507853</v>
      </c>
      <c r="T30" s="213">
        <v>94.6596858638743</v>
      </c>
      <c r="U30" s="213">
        <v>94.7643979057592</v>
      </c>
      <c r="V30" s="213">
        <v>80.8900523560209</v>
      </c>
      <c r="W30" s="213">
        <v>84.2931937172775</v>
      </c>
      <c r="X30" s="213">
        <v>39.4502617801047</v>
      </c>
      <c r="Y30" s="213">
        <v>85.2879581151832</v>
      </c>
      <c r="Z30" s="213">
        <v>100</v>
      </c>
      <c r="AA30" s="213">
        <v>70.6806282722513</v>
      </c>
      <c r="AB30" s="213">
        <v>49.1099476439791</v>
      </c>
      <c r="AC30" s="213">
        <v>98.6910994764398</v>
      </c>
      <c r="AD30" s="213">
        <v>87.696335078534</v>
      </c>
      <c r="AE30" s="213">
        <v>65.4450261780105</v>
      </c>
      <c r="AF30" s="213">
        <v>89.0052356020942</v>
      </c>
      <c r="AG30" s="213">
        <v>82.434554973822</v>
      </c>
      <c r="AH30" s="213">
        <v>75.9162303664922</v>
      </c>
      <c r="AI30" s="213">
        <v>90.0523560209424</v>
      </c>
      <c r="AJ30" s="213">
        <v>89.7905759162304</v>
      </c>
      <c r="AK30" s="213">
        <v>93.1937172774869</v>
      </c>
      <c r="AL30" s="213">
        <v>93.455497382199</v>
      </c>
      <c r="AM30" s="213">
        <v>54.9738219895288</v>
      </c>
      <c r="AN30" s="213">
        <v>95</v>
      </c>
      <c r="AO30" s="213">
        <v>89.2670157068063</v>
      </c>
      <c r="AP30" s="213">
        <v>82.7225130890052</v>
      </c>
      <c r="AQ30" s="213">
        <v>11.5183246073298</v>
      </c>
      <c r="AR30" s="213">
        <v>89.7905759162304</v>
      </c>
      <c r="AS30" s="213">
        <v>96.5968586387435</v>
      </c>
      <c r="AT30" s="213">
        <v>93.2722513089005</v>
      </c>
      <c r="AU30" s="213">
        <v>50.0523560209424</v>
      </c>
      <c r="AV30" s="213">
        <v>61.2303664921466</v>
      </c>
      <c r="AW30" s="213">
        <v>85.0785340314136</v>
      </c>
      <c r="AX30" s="213">
        <v>94.5026178010471</v>
      </c>
      <c r="AY30" s="213">
        <v>83.5078534031414</v>
      </c>
      <c r="AZ30" s="213">
        <v>69.6335078534031</v>
      </c>
      <c r="BA30" s="213">
        <v>89.6073298429319</v>
      </c>
      <c r="BB30" s="213">
        <v>87.1727748691099</v>
      </c>
      <c r="BC30" s="213">
        <v>70.6806282722513</v>
      </c>
      <c r="BD30" s="213">
        <v>95.0261780104712</v>
      </c>
      <c r="BE30" s="213">
        <v>96.8586387434555</v>
      </c>
      <c r="BF30" s="213">
        <v>93.717277486911</v>
      </c>
      <c r="BG30" s="213">
        <v>92.2251308900524</v>
      </c>
      <c r="BH30" s="213">
        <v>0</v>
      </c>
      <c r="BI30" s="213">
        <v>70.6806282722513</v>
      </c>
      <c r="BJ30" s="213">
        <v>96.3350785340314</v>
      </c>
      <c r="BK30" s="213">
        <v>85.3403141361257</v>
      </c>
      <c r="BL30" s="213">
        <v>88.7434554973822</v>
      </c>
      <c r="BM30" s="213">
        <v>90.0523560209424</v>
      </c>
      <c r="BO30" s="214"/>
    </row>
    <row r="31" s="68" customFormat="1" spans="3:67">
      <c r="C31" s="195"/>
      <c r="D31" s="195" t="str">
        <f>'tblIndicators_2014-O'!B27</f>
        <v>HELSEC_OP_05</v>
      </c>
      <c r="E31" s="195" t="str">
        <f>'tblIndicators_2014-O'!C27</f>
        <v>HELSEC_OP</v>
      </c>
      <c r="F31" s="196">
        <f>'tblIndicators_2014-O'!D27</f>
        <v>3</v>
      </c>
      <c r="G31" s="196">
        <f>'tblIndicators_2014-O'!M27</f>
        <v>2</v>
      </c>
      <c r="H31" s="196">
        <f>'tblIndicators_2014-O'!N27</f>
        <v>1</v>
      </c>
      <c r="I31" s="196">
        <f>'tblIndicators_2014-O'!Q27</f>
        <v>0</v>
      </c>
      <c r="J31" s="196">
        <f>'tblIndicators_2014-O'!R27</f>
        <v>0</v>
      </c>
      <c r="K31" s="196"/>
      <c r="L31" s="196"/>
      <c r="M31" s="203"/>
      <c r="N31" s="211" t="s">
        <v>850</v>
      </c>
      <c r="O31" s="212">
        <v>0.2</v>
      </c>
      <c r="P31" s="213">
        <v>0</v>
      </c>
      <c r="Q31" s="213">
        <v>51.1017137769864</v>
      </c>
      <c r="R31" s="213">
        <v>64.5201177139748</v>
      </c>
      <c r="S31" s="213">
        <v>76.1530281672725</v>
      </c>
      <c r="T31" s="213">
        <v>70.1857209980958</v>
      </c>
      <c r="U31" s="213">
        <v>43.1535474936321</v>
      </c>
      <c r="V31" s="213">
        <v>71.9316467591562</v>
      </c>
      <c r="W31" s="213">
        <v>54.0841308702426</v>
      </c>
      <c r="X31" s="213">
        <v>91.0527487202315</v>
      </c>
      <c r="Y31" s="213">
        <v>83.243069466083</v>
      </c>
      <c r="Z31" s="213">
        <v>75.4704849519005</v>
      </c>
      <c r="AA31" s="213">
        <v>64.7921458070579</v>
      </c>
      <c r="AB31" s="213">
        <v>73.5341395256819</v>
      </c>
      <c r="AC31" s="213">
        <v>73.2744763459208</v>
      </c>
      <c r="AD31" s="213">
        <v>68.5387145436111</v>
      </c>
      <c r="AE31" s="213">
        <v>78.3243069466083</v>
      </c>
      <c r="AF31" s="213">
        <v>83.7821796869204</v>
      </c>
      <c r="AG31" s="213">
        <v>86.8635160867522</v>
      </c>
      <c r="AH31" s="213">
        <v>77.6269258352499</v>
      </c>
      <c r="AI31" s="213">
        <v>58.0087543586319</v>
      </c>
      <c r="AJ31" s="213">
        <v>12.8570368721715</v>
      </c>
      <c r="AK31" s="213">
        <v>76.1530281672725</v>
      </c>
      <c r="AL31" s="213">
        <v>53.663723817296</v>
      </c>
      <c r="AM31" s="213">
        <v>83.3617726339738</v>
      </c>
      <c r="AN31" s="213">
        <v>66.5628013947622</v>
      </c>
      <c r="AO31" s="213">
        <v>59.4752330786161</v>
      </c>
      <c r="AP31" s="213">
        <v>70.0966936221777</v>
      </c>
      <c r="AQ31" s="213">
        <v>84.4548309716349</v>
      </c>
      <c r="AR31" s="213">
        <v>100</v>
      </c>
      <c r="AS31" s="213">
        <v>28.4393006405025</v>
      </c>
      <c r="AT31" s="213">
        <v>56.6313030145659</v>
      </c>
      <c r="AU31" s="213">
        <v>74.7533199792269</v>
      </c>
      <c r="AV31" s="213">
        <v>87.0860845265475</v>
      </c>
      <c r="AW31" s="213">
        <v>67.2552365407919</v>
      </c>
      <c r="AX31" s="213">
        <v>59.341692014739</v>
      </c>
      <c r="AY31" s="213">
        <v>99.9653782426985</v>
      </c>
      <c r="AZ31" s="213">
        <v>74.7533199792269</v>
      </c>
      <c r="BA31" s="213">
        <v>70.8262235081732</v>
      </c>
      <c r="BB31" s="213">
        <v>67.5124267378886</v>
      </c>
      <c r="BC31" s="213">
        <v>70.1857209980958</v>
      </c>
      <c r="BD31" s="213">
        <v>78.0226030615525</v>
      </c>
      <c r="BE31" s="213">
        <v>56.013057348468</v>
      </c>
      <c r="BF31" s="213">
        <v>57.3731978138833</v>
      </c>
      <c r="BG31" s="213">
        <v>52.672057768875</v>
      </c>
      <c r="BH31" s="213">
        <v>80.1493681529292</v>
      </c>
      <c r="BI31" s="213">
        <v>70.1857209980958</v>
      </c>
      <c r="BJ31" s="213">
        <v>37.3667680589559</v>
      </c>
      <c r="BK31" s="213">
        <v>64.9899844202092</v>
      </c>
      <c r="BL31" s="213">
        <v>51.3366471301036</v>
      </c>
      <c r="BM31" s="213">
        <v>77.532952494003</v>
      </c>
      <c r="BO31" s="214"/>
    </row>
    <row r="32" spans="3:67">
      <c r="C32" s="195"/>
      <c r="D32" s="195" t="str">
        <f>'tblIndicators_2014-O'!B28</f>
        <v>INFSAF</v>
      </c>
      <c r="E32" s="195" t="str">
        <f>'tblIndicators_2014-O'!C28</f>
        <v>TOTAL</v>
      </c>
      <c r="F32" s="196">
        <f>'tblIndicators_2014-O'!D28</f>
        <v>1</v>
      </c>
      <c r="G32" s="196">
        <f>'tblIndicators_2014-O'!M28</f>
        <v>1</v>
      </c>
      <c r="H32" s="196">
        <f>'tblIndicators_2014-O'!N28</f>
        <v>0</v>
      </c>
      <c r="I32" s="196">
        <f>'tblIndicators_2014-O'!Q28</f>
        <v>0</v>
      </c>
      <c r="J32" s="196">
        <f>'tblIndicators_2014-O'!R28</f>
        <v>0</v>
      </c>
      <c r="K32" s="196"/>
      <c r="L32" s="196"/>
      <c r="M32" s="203"/>
      <c r="N32" s="204" t="s">
        <v>851</v>
      </c>
      <c r="O32" s="205">
        <v>0.25</v>
      </c>
      <c r="P32" s="206">
        <v>86.1567953494887</v>
      </c>
      <c r="Q32" s="206">
        <v>91.2707469514088</v>
      </c>
      <c r="R32" s="206">
        <v>66.4448436262011</v>
      </c>
      <c r="S32" s="206">
        <v>85.6470202431556</v>
      </c>
      <c r="T32" s="206">
        <v>76.5350803965659</v>
      </c>
      <c r="U32" s="206">
        <v>84.3429535366989</v>
      </c>
      <c r="V32" s="206">
        <v>77.0295682239083</v>
      </c>
      <c r="W32" s="206">
        <v>85.6907067241365</v>
      </c>
      <c r="X32" s="206">
        <v>57.7116867137513</v>
      </c>
      <c r="Y32" s="206">
        <v>76.3373542642977</v>
      </c>
      <c r="Z32" s="206">
        <v>82.7943222597842</v>
      </c>
      <c r="AA32" s="206">
        <v>76.565956554236</v>
      </c>
      <c r="AB32" s="206">
        <v>52.407291457512</v>
      </c>
      <c r="AC32" s="206">
        <v>71.4615236296316</v>
      </c>
      <c r="AD32" s="206">
        <v>77.7112671880618</v>
      </c>
      <c r="AE32" s="206">
        <v>54.017771301321</v>
      </c>
      <c r="AF32" s="206">
        <v>60.6680070816332</v>
      </c>
      <c r="AG32" s="206">
        <v>73.3991457298148</v>
      </c>
      <c r="AH32" s="206">
        <v>75.6867438447697</v>
      </c>
      <c r="AI32" s="206">
        <v>78.7797870967666</v>
      </c>
      <c r="AJ32" s="206">
        <v>83.7203369693135</v>
      </c>
      <c r="AK32" s="206">
        <v>87.2845780818836</v>
      </c>
      <c r="AL32" s="206">
        <v>92.280706902541</v>
      </c>
      <c r="AM32" s="206">
        <v>52.9285240808396</v>
      </c>
      <c r="AN32" s="206">
        <v>78.9055000958964</v>
      </c>
      <c r="AO32" s="206">
        <v>89.469124651657</v>
      </c>
      <c r="AP32" s="206">
        <v>70.653010386129</v>
      </c>
      <c r="AQ32" s="206">
        <v>55.8898054916495</v>
      </c>
      <c r="AR32" s="206">
        <v>84.9324387503583</v>
      </c>
      <c r="AS32" s="206">
        <v>85.7089573410065</v>
      </c>
      <c r="AT32" s="206">
        <v>78.2179840058819</v>
      </c>
      <c r="AU32" s="206">
        <v>74.3988139055048</v>
      </c>
      <c r="AV32" s="206">
        <v>61.5253505079777</v>
      </c>
      <c r="AW32" s="206">
        <v>83.7748129706451</v>
      </c>
      <c r="AX32" s="206">
        <v>86.1624180362495</v>
      </c>
      <c r="AY32" s="206">
        <v>78.8314105627134</v>
      </c>
      <c r="AZ32" s="206">
        <v>76.4103383063261</v>
      </c>
      <c r="BA32" s="206">
        <v>85.6427454845003</v>
      </c>
      <c r="BB32" s="206">
        <v>76.628435704518</v>
      </c>
      <c r="BC32" s="206">
        <v>76.4972393825998</v>
      </c>
      <c r="BD32" s="206">
        <v>88.8558505989006</v>
      </c>
      <c r="BE32" s="206">
        <v>81.9215006665391</v>
      </c>
      <c r="BF32" s="206">
        <v>91.3983532778716</v>
      </c>
      <c r="BG32" s="206">
        <v>79.2471210598246</v>
      </c>
      <c r="BH32" s="206">
        <v>63.9780876245472</v>
      </c>
      <c r="BI32" s="206">
        <v>76.5290908609539</v>
      </c>
      <c r="BJ32" s="206">
        <v>89.7889038401545</v>
      </c>
      <c r="BK32" s="206">
        <v>87.5662697667398</v>
      </c>
      <c r="BL32" s="206">
        <v>77.0032147810595</v>
      </c>
      <c r="BM32" s="206">
        <v>92.63179009032</v>
      </c>
      <c r="BO32" s="214"/>
    </row>
    <row r="33" s="193" customFormat="1" spans="3:67">
      <c r="C33" s="197"/>
      <c r="D33" s="197" t="str">
        <f>'tblIndicators_2014-O'!B29</f>
        <v>INFSAF_IP</v>
      </c>
      <c r="E33" s="197" t="str">
        <f>'tblIndicators_2014-O'!C29</f>
        <v>INFSAF</v>
      </c>
      <c r="F33" s="198">
        <f>'tblIndicators_2014-O'!D29</f>
        <v>2</v>
      </c>
      <c r="G33" s="198">
        <f>'tblIndicators_2014-O'!M29</f>
        <v>1</v>
      </c>
      <c r="H33" s="198">
        <f>'tblIndicators_2014-O'!N29</f>
        <v>0</v>
      </c>
      <c r="I33" s="198">
        <f>'tblIndicators_2014-O'!Q29</f>
        <v>0</v>
      </c>
      <c r="J33" s="198">
        <f>'tblIndicators_2014-O'!R29</f>
        <v>0</v>
      </c>
      <c r="K33" s="196"/>
      <c r="L33" s="196"/>
      <c r="M33" s="207"/>
      <c r="N33" s="208" t="s">
        <v>852</v>
      </c>
      <c r="O33" s="209">
        <v>0.5</v>
      </c>
      <c r="P33" s="210">
        <v>86.5</v>
      </c>
      <c r="Q33" s="210">
        <v>94</v>
      </c>
      <c r="R33" s="210">
        <v>55</v>
      </c>
      <c r="S33" s="210">
        <v>94.5</v>
      </c>
      <c r="T33" s="210">
        <v>73.5</v>
      </c>
      <c r="U33" s="210">
        <v>87</v>
      </c>
      <c r="V33" s="210">
        <v>87</v>
      </c>
      <c r="W33" s="210">
        <v>90</v>
      </c>
      <c r="X33" s="210">
        <v>37.5</v>
      </c>
      <c r="Y33" s="210">
        <v>69</v>
      </c>
      <c r="Z33" s="210">
        <v>95.5</v>
      </c>
      <c r="AA33" s="210">
        <v>73.5</v>
      </c>
      <c r="AB33" s="210">
        <v>30</v>
      </c>
      <c r="AC33" s="210">
        <v>80</v>
      </c>
      <c r="AD33" s="210">
        <v>76</v>
      </c>
      <c r="AE33" s="210">
        <v>50</v>
      </c>
      <c r="AF33" s="210">
        <v>56</v>
      </c>
      <c r="AG33" s="210">
        <v>61</v>
      </c>
      <c r="AH33" s="210">
        <v>83.5</v>
      </c>
      <c r="AI33" s="210">
        <v>75.75</v>
      </c>
      <c r="AJ33" s="210">
        <v>85</v>
      </c>
      <c r="AK33" s="210">
        <v>94.5</v>
      </c>
      <c r="AL33" s="210">
        <v>95.5</v>
      </c>
      <c r="AM33" s="210">
        <v>65</v>
      </c>
      <c r="AN33" s="210">
        <v>88.5</v>
      </c>
      <c r="AO33" s="210">
        <v>90</v>
      </c>
      <c r="AP33" s="210">
        <v>77</v>
      </c>
      <c r="AQ33" s="210">
        <v>32.5</v>
      </c>
      <c r="AR33" s="210">
        <v>90</v>
      </c>
      <c r="AS33" s="210">
        <v>95.5</v>
      </c>
      <c r="AT33" s="210">
        <v>77.5</v>
      </c>
      <c r="AU33" s="210">
        <v>72.5</v>
      </c>
      <c r="AV33" s="210">
        <v>53.5</v>
      </c>
      <c r="AW33" s="210">
        <v>93.5</v>
      </c>
      <c r="AX33" s="210">
        <v>90</v>
      </c>
      <c r="AY33" s="210">
        <v>71</v>
      </c>
      <c r="AZ33" s="210">
        <v>77.5</v>
      </c>
      <c r="BA33" s="210">
        <v>84.5</v>
      </c>
      <c r="BB33" s="210">
        <v>73.5</v>
      </c>
      <c r="BC33" s="210">
        <v>73.5</v>
      </c>
      <c r="BD33" s="210">
        <v>96.5</v>
      </c>
      <c r="BE33" s="210">
        <v>72.52</v>
      </c>
      <c r="BF33" s="210">
        <v>95.5</v>
      </c>
      <c r="BG33" s="210">
        <v>65</v>
      </c>
      <c r="BH33" s="210">
        <v>43.5</v>
      </c>
      <c r="BI33" s="210">
        <v>73.5</v>
      </c>
      <c r="BJ33" s="210">
        <v>95.5</v>
      </c>
      <c r="BK33" s="210">
        <v>90</v>
      </c>
      <c r="BL33" s="210">
        <v>90</v>
      </c>
      <c r="BM33" s="210">
        <v>94</v>
      </c>
      <c r="BO33" s="214"/>
    </row>
    <row r="34" s="68" customFormat="1" spans="3:67">
      <c r="C34" s="195"/>
      <c r="D34" s="195" t="str">
        <f>'tblIndicators_2014-O'!B30</f>
        <v>INFSAF_IP_01</v>
      </c>
      <c r="E34" s="195" t="str">
        <f>'tblIndicators_2014-O'!C30</f>
        <v>INFSAF_IP</v>
      </c>
      <c r="F34" s="196">
        <f>'tblIndicators_2014-O'!D30</f>
        <v>3</v>
      </c>
      <c r="G34" s="196">
        <f>'tblIndicators_2014-O'!M30</f>
        <v>3</v>
      </c>
      <c r="H34" s="196">
        <f>'tblIndicators_2014-O'!N30</f>
        <v>0</v>
      </c>
      <c r="I34" s="196">
        <f>'tblIndicators_2014-O'!Q30</f>
        <v>0</v>
      </c>
      <c r="J34" s="196">
        <f>'tblIndicators_2014-O'!R30</f>
        <v>10</v>
      </c>
      <c r="K34" s="196"/>
      <c r="L34" s="196"/>
      <c r="M34" s="203"/>
      <c r="N34" s="211" t="s">
        <v>853</v>
      </c>
      <c r="O34" s="212">
        <v>0.2</v>
      </c>
      <c r="P34" s="213">
        <v>82.5</v>
      </c>
      <c r="Q34" s="213">
        <v>70</v>
      </c>
      <c r="R34" s="213">
        <v>50</v>
      </c>
      <c r="S34" s="213">
        <v>72.5</v>
      </c>
      <c r="T34" s="213">
        <v>42.5</v>
      </c>
      <c r="U34" s="213">
        <v>60</v>
      </c>
      <c r="V34" s="213">
        <v>60</v>
      </c>
      <c r="W34" s="213">
        <v>75</v>
      </c>
      <c r="X34" s="213">
        <v>25</v>
      </c>
      <c r="Y34" s="213">
        <v>70</v>
      </c>
      <c r="Z34" s="213">
        <v>77.5</v>
      </c>
      <c r="AA34" s="213">
        <v>42.5</v>
      </c>
      <c r="AB34" s="213">
        <v>0</v>
      </c>
      <c r="AC34" s="213">
        <v>0</v>
      </c>
      <c r="AD34" s="213">
        <v>80</v>
      </c>
      <c r="AE34" s="213">
        <v>62.5</v>
      </c>
      <c r="AF34" s="213">
        <v>30</v>
      </c>
      <c r="AG34" s="213">
        <v>30</v>
      </c>
      <c r="AH34" s="213">
        <v>42.5</v>
      </c>
      <c r="AI34" s="213">
        <v>78.75</v>
      </c>
      <c r="AJ34" s="213">
        <v>75</v>
      </c>
      <c r="AK34" s="213">
        <v>72.5</v>
      </c>
      <c r="AL34" s="213">
        <v>77.5</v>
      </c>
      <c r="AM34" s="213">
        <v>50</v>
      </c>
      <c r="AN34" s="213">
        <v>67.5</v>
      </c>
      <c r="AO34" s="213">
        <v>75</v>
      </c>
      <c r="AP34" s="213">
        <v>60</v>
      </c>
      <c r="AQ34" s="213">
        <v>25</v>
      </c>
      <c r="AR34" s="213">
        <v>75</v>
      </c>
      <c r="AS34" s="213">
        <v>77.5</v>
      </c>
      <c r="AT34" s="213">
        <v>87.5</v>
      </c>
      <c r="AU34" s="213">
        <v>62.5</v>
      </c>
      <c r="AV34" s="213">
        <v>67.5</v>
      </c>
      <c r="AW34" s="213">
        <v>67.5</v>
      </c>
      <c r="AX34" s="213">
        <v>75</v>
      </c>
      <c r="AY34" s="213">
        <v>55</v>
      </c>
      <c r="AZ34" s="213">
        <v>62.5</v>
      </c>
      <c r="BA34" s="213">
        <v>72.5</v>
      </c>
      <c r="BB34" s="213">
        <v>42.5</v>
      </c>
      <c r="BC34" s="213">
        <v>42.5</v>
      </c>
      <c r="BD34" s="213">
        <v>82.5</v>
      </c>
      <c r="BE34" s="213">
        <v>62.6</v>
      </c>
      <c r="BF34" s="213">
        <v>77.5</v>
      </c>
      <c r="BG34" s="213">
        <v>0</v>
      </c>
      <c r="BH34" s="213">
        <v>55</v>
      </c>
      <c r="BI34" s="213">
        <v>42.5</v>
      </c>
      <c r="BJ34" s="213">
        <v>77.5</v>
      </c>
      <c r="BK34" s="213">
        <v>75</v>
      </c>
      <c r="BL34" s="213">
        <v>75</v>
      </c>
      <c r="BM34" s="213">
        <v>70</v>
      </c>
      <c r="BO34" s="214"/>
    </row>
    <row r="35" s="68" customFormat="1" spans="3:67">
      <c r="C35" s="195"/>
      <c r="D35" s="195" t="str">
        <f>'tblIndicators_2014-O'!B31</f>
        <v>INFSAF_IP_02</v>
      </c>
      <c r="E35" s="195" t="str">
        <f>'tblIndicators_2014-O'!C31</f>
        <v>INFSAF_IP</v>
      </c>
      <c r="F35" s="196">
        <f>'tblIndicators_2014-O'!D31</f>
        <v>3</v>
      </c>
      <c r="G35" s="196">
        <f>'tblIndicators_2014-O'!M31</f>
        <v>3</v>
      </c>
      <c r="H35" s="196">
        <f>'tblIndicators_2014-O'!N31</f>
        <v>0</v>
      </c>
      <c r="I35" s="196">
        <f>'tblIndicators_2014-O'!Q31</f>
        <v>1</v>
      </c>
      <c r="J35" s="196">
        <f>'tblIndicators_2014-O'!R31</f>
        <v>5</v>
      </c>
      <c r="K35" s="196"/>
      <c r="L35" s="196"/>
      <c r="M35" s="203"/>
      <c r="N35" s="211" t="s">
        <v>854</v>
      </c>
      <c r="O35" s="212">
        <v>0.2</v>
      </c>
      <c r="P35" s="213">
        <v>100</v>
      </c>
      <c r="Q35" s="213">
        <v>100</v>
      </c>
      <c r="R35" s="213">
        <v>25</v>
      </c>
      <c r="S35" s="213">
        <v>100</v>
      </c>
      <c r="T35" s="213">
        <v>100</v>
      </c>
      <c r="U35" s="213">
        <v>100</v>
      </c>
      <c r="V35" s="213">
        <v>100</v>
      </c>
      <c r="W35" s="213">
        <v>100</v>
      </c>
      <c r="X35" s="213">
        <v>37.5</v>
      </c>
      <c r="Y35" s="213">
        <v>25</v>
      </c>
      <c r="Z35" s="213">
        <v>100</v>
      </c>
      <c r="AA35" s="213">
        <v>100</v>
      </c>
      <c r="AB35" s="213">
        <v>25</v>
      </c>
      <c r="AC35" s="213">
        <v>100</v>
      </c>
      <c r="AD35" s="213">
        <v>100</v>
      </c>
      <c r="AE35" s="213">
        <v>37.5</v>
      </c>
      <c r="AF35" s="213">
        <v>100</v>
      </c>
      <c r="AG35" s="213">
        <v>25</v>
      </c>
      <c r="AH35" s="213">
        <v>100</v>
      </c>
      <c r="AI35" s="213">
        <v>25</v>
      </c>
      <c r="AJ35" s="213">
        <v>100</v>
      </c>
      <c r="AK35" s="213">
        <v>100</v>
      </c>
      <c r="AL35" s="213">
        <v>100</v>
      </c>
      <c r="AM35" s="213">
        <v>100</v>
      </c>
      <c r="AN35" s="213">
        <v>100</v>
      </c>
      <c r="AO35" s="213">
        <v>100</v>
      </c>
      <c r="AP35" s="213">
        <v>100</v>
      </c>
      <c r="AQ35" s="213">
        <v>37.5</v>
      </c>
      <c r="AR35" s="213">
        <v>100</v>
      </c>
      <c r="AS35" s="213">
        <v>100</v>
      </c>
      <c r="AT35" s="213">
        <v>25</v>
      </c>
      <c r="AU35" s="213">
        <v>100</v>
      </c>
      <c r="AV35" s="213">
        <v>25</v>
      </c>
      <c r="AW35" s="213">
        <v>100</v>
      </c>
      <c r="AX35" s="213">
        <v>100</v>
      </c>
      <c r="AY35" s="213">
        <v>25</v>
      </c>
      <c r="AZ35" s="213">
        <v>100</v>
      </c>
      <c r="BA35" s="213">
        <v>100</v>
      </c>
      <c r="BB35" s="213">
        <v>100</v>
      </c>
      <c r="BC35" s="213">
        <v>100</v>
      </c>
      <c r="BD35" s="213">
        <v>100</v>
      </c>
      <c r="BE35" s="213">
        <v>100</v>
      </c>
      <c r="BF35" s="213">
        <v>100</v>
      </c>
      <c r="BG35" s="213">
        <v>100</v>
      </c>
      <c r="BH35" s="213">
        <v>37.5</v>
      </c>
      <c r="BI35" s="213">
        <v>100</v>
      </c>
      <c r="BJ35" s="213">
        <v>100</v>
      </c>
      <c r="BK35" s="213">
        <v>100</v>
      </c>
      <c r="BL35" s="213">
        <v>100</v>
      </c>
      <c r="BM35" s="213">
        <v>100</v>
      </c>
      <c r="BO35" s="214"/>
    </row>
    <row r="36" s="68" customFormat="1" spans="3:67">
      <c r="C36" s="195"/>
      <c r="D36" s="195" t="str">
        <f>'tblIndicators_2014-O'!B32</f>
        <v>INFSAF_IP_03</v>
      </c>
      <c r="E36" s="195" t="str">
        <f>'tblIndicators_2014-O'!C32</f>
        <v>INFSAF_IP</v>
      </c>
      <c r="F36" s="196">
        <f>'tblIndicators_2014-O'!D32</f>
        <v>3</v>
      </c>
      <c r="G36" s="196">
        <f>'tblIndicators_2014-O'!M32</f>
        <v>3</v>
      </c>
      <c r="H36" s="196">
        <f>'tblIndicators_2014-O'!N32</f>
        <v>1</v>
      </c>
      <c r="I36" s="196">
        <f>'tblIndicators_2014-O'!Q32</f>
        <v>1</v>
      </c>
      <c r="J36" s="196">
        <f>'tblIndicators_2014-O'!R32</f>
        <v>5</v>
      </c>
      <c r="K36" s="196"/>
      <c r="L36" s="196"/>
      <c r="M36" s="203"/>
      <c r="N36" s="211" t="s">
        <v>855</v>
      </c>
      <c r="O36" s="212">
        <v>0.2</v>
      </c>
      <c r="P36" s="213">
        <v>100</v>
      </c>
      <c r="Q36" s="213">
        <v>100</v>
      </c>
      <c r="R36" s="213">
        <v>25</v>
      </c>
      <c r="S36" s="213">
        <v>100</v>
      </c>
      <c r="T36" s="213">
        <v>75</v>
      </c>
      <c r="U36" s="213">
        <v>75</v>
      </c>
      <c r="V36" s="213">
        <v>75</v>
      </c>
      <c r="W36" s="213">
        <v>75</v>
      </c>
      <c r="X36" s="213">
        <v>50</v>
      </c>
      <c r="Y36" s="213">
        <v>75</v>
      </c>
      <c r="Z36" s="213">
        <v>100</v>
      </c>
      <c r="AA36" s="213">
        <v>75</v>
      </c>
      <c r="AB36" s="213">
        <v>25</v>
      </c>
      <c r="AC36" s="213">
        <v>100</v>
      </c>
      <c r="AD36" s="213">
        <v>50</v>
      </c>
      <c r="AE36" s="213">
        <v>50</v>
      </c>
      <c r="AF36" s="213">
        <v>50</v>
      </c>
      <c r="AG36" s="213">
        <v>75</v>
      </c>
      <c r="AH36" s="213">
        <v>75</v>
      </c>
      <c r="AI36" s="213">
        <v>75</v>
      </c>
      <c r="AJ36" s="213">
        <v>75</v>
      </c>
      <c r="AK36" s="213">
        <v>100</v>
      </c>
      <c r="AL36" s="213">
        <v>100</v>
      </c>
      <c r="AM36" s="213">
        <v>50</v>
      </c>
      <c r="AN36" s="213">
        <v>75</v>
      </c>
      <c r="AO36" s="213">
        <v>75</v>
      </c>
      <c r="AP36" s="213">
        <v>75</v>
      </c>
      <c r="AQ36" s="213">
        <v>0</v>
      </c>
      <c r="AR36" s="213">
        <v>75</v>
      </c>
      <c r="AS36" s="213">
        <v>100</v>
      </c>
      <c r="AT36" s="213">
        <v>75</v>
      </c>
      <c r="AU36" s="213">
        <v>50</v>
      </c>
      <c r="AV36" s="213">
        <v>50</v>
      </c>
      <c r="AW36" s="213">
        <v>100</v>
      </c>
      <c r="AX36" s="213">
        <v>75</v>
      </c>
      <c r="AY36" s="213">
        <v>75</v>
      </c>
      <c r="AZ36" s="213">
        <v>75</v>
      </c>
      <c r="BA36" s="213">
        <v>75</v>
      </c>
      <c r="BB36" s="213">
        <v>75</v>
      </c>
      <c r="BC36" s="213">
        <v>75</v>
      </c>
      <c r="BD36" s="213">
        <v>100</v>
      </c>
      <c r="BE36" s="213">
        <v>25</v>
      </c>
      <c r="BF36" s="213">
        <v>100</v>
      </c>
      <c r="BG36" s="213">
        <v>75</v>
      </c>
      <c r="BH36" s="213">
        <v>50</v>
      </c>
      <c r="BI36" s="213">
        <v>75</v>
      </c>
      <c r="BJ36" s="213">
        <v>100</v>
      </c>
      <c r="BK36" s="213">
        <v>75</v>
      </c>
      <c r="BL36" s="213">
        <v>75</v>
      </c>
      <c r="BM36" s="213">
        <v>100</v>
      </c>
      <c r="BO36" s="214"/>
    </row>
    <row r="37" s="68" customFormat="1" spans="3:67">
      <c r="C37" s="195"/>
      <c r="D37" s="195" t="str">
        <f>'tblIndicators_2014-O'!B33</f>
        <v>INFSAF_IP_04</v>
      </c>
      <c r="E37" s="195" t="str">
        <f>'tblIndicators_2014-O'!C33</f>
        <v>INFSAF_IP</v>
      </c>
      <c r="F37" s="196">
        <f>'tblIndicators_2014-O'!D33</f>
        <v>3</v>
      </c>
      <c r="G37" s="196">
        <f>'tblIndicators_2014-O'!M33</f>
        <v>3</v>
      </c>
      <c r="H37" s="196">
        <f>'tblIndicators_2014-O'!N33</f>
        <v>1</v>
      </c>
      <c r="I37" s="196">
        <f>'tblIndicators_2014-O'!Q33</f>
        <v>1</v>
      </c>
      <c r="J37" s="196">
        <f>'tblIndicators_2014-O'!R33</f>
        <v>5</v>
      </c>
      <c r="K37" s="196"/>
      <c r="L37" s="196"/>
      <c r="M37" s="203"/>
      <c r="N37" s="211" t="s">
        <v>856</v>
      </c>
      <c r="O37" s="212">
        <v>0.2</v>
      </c>
      <c r="P37" s="213">
        <v>75</v>
      </c>
      <c r="Q37" s="213">
        <v>100</v>
      </c>
      <c r="R37" s="213">
        <v>100</v>
      </c>
      <c r="S37" s="213">
        <v>100</v>
      </c>
      <c r="T37" s="213">
        <v>100</v>
      </c>
      <c r="U37" s="213">
        <v>100</v>
      </c>
      <c r="V37" s="213">
        <v>100</v>
      </c>
      <c r="W37" s="213">
        <v>100</v>
      </c>
      <c r="X37" s="213">
        <v>50</v>
      </c>
      <c r="Y37" s="213">
        <v>75</v>
      </c>
      <c r="Z37" s="213">
        <v>100</v>
      </c>
      <c r="AA37" s="213">
        <v>75</v>
      </c>
      <c r="AB37" s="213">
        <v>50</v>
      </c>
      <c r="AC37" s="213">
        <v>100</v>
      </c>
      <c r="AD37" s="213">
        <v>75</v>
      </c>
      <c r="AE37" s="213">
        <v>50</v>
      </c>
      <c r="AF37" s="213">
        <v>50</v>
      </c>
      <c r="AG37" s="213">
        <v>100</v>
      </c>
      <c r="AH37" s="213">
        <v>100</v>
      </c>
      <c r="AI37" s="213">
        <v>100</v>
      </c>
      <c r="AJ37" s="213">
        <v>100</v>
      </c>
      <c r="AK37" s="213">
        <v>100</v>
      </c>
      <c r="AL37" s="213">
        <v>100</v>
      </c>
      <c r="AM37" s="213">
        <v>50</v>
      </c>
      <c r="AN37" s="213">
        <v>100</v>
      </c>
      <c r="AO37" s="213">
        <v>100</v>
      </c>
      <c r="AP37" s="213">
        <v>100</v>
      </c>
      <c r="AQ37" s="213">
        <v>75</v>
      </c>
      <c r="AR37" s="213">
        <v>100</v>
      </c>
      <c r="AS37" s="213">
        <v>100</v>
      </c>
      <c r="AT37" s="213">
        <v>100</v>
      </c>
      <c r="AU37" s="213">
        <v>100</v>
      </c>
      <c r="AV37" s="213">
        <v>75</v>
      </c>
      <c r="AW37" s="213">
        <v>100</v>
      </c>
      <c r="AX37" s="213">
        <v>100</v>
      </c>
      <c r="AY37" s="213">
        <v>100</v>
      </c>
      <c r="AZ37" s="213">
        <v>75</v>
      </c>
      <c r="BA37" s="213">
        <v>100</v>
      </c>
      <c r="BB37" s="213">
        <v>100</v>
      </c>
      <c r="BC37" s="213">
        <v>100</v>
      </c>
      <c r="BD37" s="213">
        <v>100</v>
      </c>
      <c r="BE37" s="213">
        <v>75</v>
      </c>
      <c r="BF37" s="213">
        <v>100</v>
      </c>
      <c r="BG37" s="213">
        <v>75</v>
      </c>
      <c r="BH37" s="213">
        <v>25</v>
      </c>
      <c r="BI37" s="213">
        <v>100</v>
      </c>
      <c r="BJ37" s="213">
        <v>100</v>
      </c>
      <c r="BK37" s="213">
        <v>100</v>
      </c>
      <c r="BL37" s="213">
        <v>100</v>
      </c>
      <c r="BM37" s="213">
        <v>100</v>
      </c>
      <c r="BO37" s="214"/>
    </row>
    <row r="38" s="68" customFormat="1" spans="3:67">
      <c r="C38" s="195"/>
      <c r="D38" s="195" t="str">
        <f>'tblIndicators_2014-O'!B34</f>
        <v>INFSAF_IP_05</v>
      </c>
      <c r="E38" s="195" t="str">
        <f>'tblIndicators_2014-O'!C34</f>
        <v>INFSAF_IP</v>
      </c>
      <c r="F38" s="196">
        <f>'tblIndicators_2014-O'!D34</f>
        <v>3</v>
      </c>
      <c r="G38" s="196">
        <f>'tblIndicators_2014-O'!M34</f>
        <v>3</v>
      </c>
      <c r="H38" s="196">
        <f>'tblIndicators_2014-O'!N34</f>
        <v>1</v>
      </c>
      <c r="I38" s="196">
        <f>'tblIndicators_2014-O'!Q34</f>
        <v>1</v>
      </c>
      <c r="J38" s="196">
        <f>'tblIndicators_2014-O'!R34</f>
        <v>5</v>
      </c>
      <c r="K38" s="196"/>
      <c r="L38" s="196"/>
      <c r="M38" s="203"/>
      <c r="N38" s="211" t="s">
        <v>857</v>
      </c>
      <c r="O38" s="212">
        <v>0.2</v>
      </c>
      <c r="P38" s="213">
        <v>75</v>
      </c>
      <c r="Q38" s="213">
        <v>100</v>
      </c>
      <c r="R38" s="213">
        <v>75</v>
      </c>
      <c r="S38" s="213">
        <v>100</v>
      </c>
      <c r="T38" s="213">
        <v>50</v>
      </c>
      <c r="U38" s="213">
        <v>100</v>
      </c>
      <c r="V38" s="213">
        <v>100</v>
      </c>
      <c r="W38" s="213">
        <v>100</v>
      </c>
      <c r="X38" s="213">
        <v>25</v>
      </c>
      <c r="Y38" s="213">
        <v>100</v>
      </c>
      <c r="Z38" s="213">
        <v>100</v>
      </c>
      <c r="AA38" s="213">
        <v>75</v>
      </c>
      <c r="AB38" s="213">
        <v>50</v>
      </c>
      <c r="AC38" s="213">
        <v>100</v>
      </c>
      <c r="AD38" s="213">
        <v>75</v>
      </c>
      <c r="AE38" s="213">
        <v>50</v>
      </c>
      <c r="AF38" s="213">
        <v>50</v>
      </c>
      <c r="AG38" s="213">
        <v>75</v>
      </c>
      <c r="AH38" s="213">
        <v>100</v>
      </c>
      <c r="AI38" s="213">
        <v>100</v>
      </c>
      <c r="AJ38" s="213">
        <v>75</v>
      </c>
      <c r="AK38" s="213">
        <v>100</v>
      </c>
      <c r="AL38" s="213">
        <v>100</v>
      </c>
      <c r="AM38" s="213">
        <v>75</v>
      </c>
      <c r="AN38" s="213">
        <v>100</v>
      </c>
      <c r="AO38" s="213">
        <v>100</v>
      </c>
      <c r="AP38" s="213">
        <v>50</v>
      </c>
      <c r="AQ38" s="213">
        <v>25</v>
      </c>
      <c r="AR38" s="213">
        <v>100</v>
      </c>
      <c r="AS38" s="213">
        <v>100</v>
      </c>
      <c r="AT38" s="213">
        <v>100</v>
      </c>
      <c r="AU38" s="213">
        <v>50</v>
      </c>
      <c r="AV38" s="213">
        <v>50</v>
      </c>
      <c r="AW38" s="213">
        <v>100</v>
      </c>
      <c r="AX38" s="213">
        <v>100</v>
      </c>
      <c r="AY38" s="213">
        <v>100</v>
      </c>
      <c r="AZ38" s="213">
        <v>75</v>
      </c>
      <c r="BA38" s="213">
        <v>75</v>
      </c>
      <c r="BB38" s="213">
        <v>50</v>
      </c>
      <c r="BC38" s="213">
        <v>50</v>
      </c>
      <c r="BD38" s="213">
        <v>100</v>
      </c>
      <c r="BE38" s="213">
        <v>100</v>
      </c>
      <c r="BF38" s="213">
        <v>100</v>
      </c>
      <c r="BG38" s="213">
        <v>75</v>
      </c>
      <c r="BH38" s="213">
        <v>50</v>
      </c>
      <c r="BI38" s="213">
        <v>50</v>
      </c>
      <c r="BJ38" s="213">
        <v>100</v>
      </c>
      <c r="BK38" s="213">
        <v>100</v>
      </c>
      <c r="BL38" s="213">
        <v>100</v>
      </c>
      <c r="BM38" s="213">
        <v>100</v>
      </c>
      <c r="BO38" s="214"/>
    </row>
    <row r="39" s="193" customFormat="1" spans="3:67">
      <c r="C39" s="197"/>
      <c r="D39" s="197" t="str">
        <f>'tblIndicators_2014-O'!B35</f>
        <v>INFSAF_OP</v>
      </c>
      <c r="E39" s="197" t="str">
        <f>'tblIndicators_2014-O'!C35</f>
        <v>INFSAF</v>
      </c>
      <c r="F39" s="198">
        <f>'tblIndicators_2014-O'!D35</f>
        <v>2</v>
      </c>
      <c r="G39" s="198">
        <f>'tblIndicators_2014-O'!M35</f>
        <v>1</v>
      </c>
      <c r="H39" s="198">
        <f>'tblIndicators_2014-O'!N35</f>
        <v>0</v>
      </c>
      <c r="I39" s="198">
        <f>'tblIndicators_2014-O'!Q35</f>
        <v>0</v>
      </c>
      <c r="J39" s="198">
        <f>'tblIndicators_2014-O'!R35</f>
        <v>0</v>
      </c>
      <c r="K39" s="196"/>
      <c r="L39" s="196"/>
      <c r="M39" s="207"/>
      <c r="N39" s="208" t="s">
        <v>858</v>
      </c>
      <c r="O39" s="209">
        <v>0.5</v>
      </c>
      <c r="P39" s="210">
        <v>85.8135906989773</v>
      </c>
      <c r="Q39" s="210">
        <v>88.5414939028176</v>
      </c>
      <c r="R39" s="210">
        <v>77.8896872524022</v>
      </c>
      <c r="S39" s="210">
        <v>76.7940404863111</v>
      </c>
      <c r="T39" s="210">
        <v>79.5701607931319</v>
      </c>
      <c r="U39" s="210">
        <v>81.6859070733978</v>
      </c>
      <c r="V39" s="210">
        <v>67.0591364478166</v>
      </c>
      <c r="W39" s="210">
        <v>81.381413448273</v>
      </c>
      <c r="X39" s="210">
        <v>77.9233734275026</v>
      </c>
      <c r="Y39" s="210">
        <v>83.6747085285954</v>
      </c>
      <c r="Z39" s="210">
        <v>70.0886445195683</v>
      </c>
      <c r="AA39" s="210">
        <v>79.631913108472</v>
      </c>
      <c r="AB39" s="210">
        <v>74.8145829150239</v>
      </c>
      <c r="AC39" s="210">
        <v>62.9230472592632</v>
      </c>
      <c r="AD39" s="210">
        <v>79.4225343761237</v>
      </c>
      <c r="AE39" s="210">
        <v>58.0355426026421</v>
      </c>
      <c r="AF39" s="210">
        <v>65.3360141632664</v>
      </c>
      <c r="AG39" s="210">
        <v>85.7982914596295</v>
      </c>
      <c r="AH39" s="210">
        <v>67.8734876895394</v>
      </c>
      <c r="AI39" s="210">
        <v>81.8095741935332</v>
      </c>
      <c r="AJ39" s="210">
        <v>82.4406739386269</v>
      </c>
      <c r="AK39" s="210">
        <v>80.0691561637672</v>
      </c>
      <c r="AL39" s="210">
        <v>89.0614138050819</v>
      </c>
      <c r="AM39" s="210">
        <v>40.8570481616791</v>
      </c>
      <c r="AN39" s="210">
        <v>69.3110001917929</v>
      </c>
      <c r="AO39" s="210">
        <v>88.9382493033139</v>
      </c>
      <c r="AP39" s="210">
        <v>64.3060207722581</v>
      </c>
      <c r="AQ39" s="210">
        <v>79.279610983299</v>
      </c>
      <c r="AR39" s="210">
        <v>79.8648775007165</v>
      </c>
      <c r="AS39" s="210">
        <v>75.9179146820129</v>
      </c>
      <c r="AT39" s="210">
        <v>78.9359680117637</v>
      </c>
      <c r="AU39" s="210">
        <v>76.2976278110095</v>
      </c>
      <c r="AV39" s="210">
        <v>69.5507010159554</v>
      </c>
      <c r="AW39" s="210">
        <v>74.0496259412902</v>
      </c>
      <c r="AX39" s="210">
        <v>82.3248360724989</v>
      </c>
      <c r="AY39" s="210">
        <v>86.6628211254269</v>
      </c>
      <c r="AZ39" s="210">
        <v>75.3206766126521</v>
      </c>
      <c r="BA39" s="210">
        <v>86.7854909690005</v>
      </c>
      <c r="BB39" s="210">
        <v>79.7568714090361</v>
      </c>
      <c r="BC39" s="210">
        <v>79.4944787651996</v>
      </c>
      <c r="BD39" s="210">
        <v>81.2117011978013</v>
      </c>
      <c r="BE39" s="210">
        <v>91.3230013330783</v>
      </c>
      <c r="BF39" s="210">
        <v>87.2967065557432</v>
      </c>
      <c r="BG39" s="210">
        <v>93.4942421196491</v>
      </c>
      <c r="BH39" s="210">
        <v>84.4561752490943</v>
      </c>
      <c r="BI39" s="210">
        <v>79.5581817219078</v>
      </c>
      <c r="BJ39" s="210">
        <v>84.077807680309</v>
      </c>
      <c r="BK39" s="210">
        <v>85.1325395334796</v>
      </c>
      <c r="BL39" s="210">
        <v>64.006429562119</v>
      </c>
      <c r="BM39" s="210">
        <v>91.2635801806399</v>
      </c>
      <c r="BO39" s="214"/>
    </row>
    <row r="40" s="193" customFormat="1" spans="3:67">
      <c r="C40" s="195"/>
      <c r="D40" s="195" t="str">
        <f>'tblIndicators_2014-O'!B36</f>
        <v>INFSAF_OP_01</v>
      </c>
      <c r="E40" s="195" t="str">
        <f>'tblIndicators_2014-O'!C36</f>
        <v>INFSAF_OP</v>
      </c>
      <c r="F40" s="196">
        <f>'tblIndicators_2014-O'!D36</f>
        <v>3</v>
      </c>
      <c r="G40" s="196">
        <f>'tblIndicators_2014-O'!M36</f>
        <v>2</v>
      </c>
      <c r="H40" s="196">
        <f>'tblIndicators_2014-O'!N36</f>
        <v>1</v>
      </c>
      <c r="I40" s="196">
        <f>'tblIndicators_2014-O'!Q36</f>
        <v>0</v>
      </c>
      <c r="J40" s="196">
        <f>'tblIndicators_2014-O'!R36</f>
        <v>0</v>
      </c>
      <c r="K40" s="196"/>
      <c r="L40" s="196"/>
      <c r="M40" s="203"/>
      <c r="N40" s="211" t="s">
        <v>859</v>
      </c>
      <c r="O40" s="212">
        <v>0.25</v>
      </c>
      <c r="P40" s="213">
        <v>100</v>
      </c>
      <c r="Q40" s="213">
        <v>94.0269119447846</v>
      </c>
      <c r="R40" s="213">
        <v>96.5766686280434</v>
      </c>
      <c r="S40" s="213">
        <v>99.5899662325133</v>
      </c>
      <c r="T40" s="213">
        <v>99.8261574187936</v>
      </c>
      <c r="U40" s="213">
        <v>95.8838917956139</v>
      </c>
      <c r="V40" s="213">
        <v>99.710025747559</v>
      </c>
      <c r="W40" s="213">
        <v>99.3203860207402</v>
      </c>
      <c r="X40" s="213">
        <v>97.335411332517</v>
      </c>
      <c r="Y40" s="213">
        <v>100</v>
      </c>
      <c r="Z40" s="213">
        <v>99.211473524064</v>
      </c>
      <c r="AA40" s="213">
        <v>99.7524947077545</v>
      </c>
      <c r="AB40" s="213">
        <v>98.4807723230299</v>
      </c>
      <c r="AC40" s="213">
        <v>100</v>
      </c>
      <c r="AD40" s="213">
        <v>99.6251466445166</v>
      </c>
      <c r="AE40" s="213">
        <v>0</v>
      </c>
      <c r="AF40" s="213">
        <v>99.6559157195915</v>
      </c>
      <c r="AG40" s="213">
        <v>100</v>
      </c>
      <c r="AH40" s="213">
        <v>98.6851779459392</v>
      </c>
      <c r="AI40" s="213">
        <v>99.5325164464094</v>
      </c>
      <c r="AJ40" s="213">
        <v>99.8344094400534</v>
      </c>
      <c r="AK40" s="213">
        <v>99.7949831162566</v>
      </c>
      <c r="AL40" s="213">
        <v>98.2466881888011</v>
      </c>
      <c r="AM40" s="213">
        <v>99.7918290103529</v>
      </c>
      <c r="AN40" s="213">
        <v>98.1803235170707</v>
      </c>
      <c r="AO40" s="213">
        <v>99.8853052398639</v>
      </c>
      <c r="AP40" s="213">
        <v>77.7398975843259</v>
      </c>
      <c r="AQ40" s="213">
        <v>100</v>
      </c>
      <c r="AR40" s="213">
        <v>99.8760886966386</v>
      </c>
      <c r="AS40" s="213">
        <v>62.2975582230036</v>
      </c>
      <c r="AT40" s="213">
        <v>99.2690359568073</v>
      </c>
      <c r="AU40" s="213">
        <v>98.3608583492353</v>
      </c>
      <c r="AV40" s="213">
        <v>99.9695854073568</v>
      </c>
      <c r="AW40" s="213">
        <v>99.0901617585354</v>
      </c>
      <c r="AX40" s="213">
        <v>99.1720472002672</v>
      </c>
      <c r="AY40" s="213">
        <v>99.5404017111687</v>
      </c>
      <c r="AZ40" s="213">
        <v>91.3262087647037</v>
      </c>
      <c r="BA40" s="213">
        <v>99.8654866599874</v>
      </c>
      <c r="BB40" s="213">
        <v>99.9921637120404</v>
      </c>
      <c r="BC40" s="213">
        <v>99.7685604322747</v>
      </c>
      <c r="BD40" s="213">
        <v>99.675577678472</v>
      </c>
      <c r="BE40" s="213">
        <v>99.9337637760214</v>
      </c>
      <c r="BF40" s="213">
        <v>98.2466881888011</v>
      </c>
      <c r="BG40" s="213">
        <v>98.3804879301929</v>
      </c>
      <c r="BH40" s="213">
        <v>99.4716872611229</v>
      </c>
      <c r="BI40" s="213">
        <v>99.6416476034576</v>
      </c>
      <c r="BJ40" s="213">
        <v>89.9462874318156</v>
      </c>
      <c r="BK40" s="213">
        <v>99.9324120163483</v>
      </c>
      <c r="BL40" s="213">
        <v>99.9725729921414</v>
      </c>
      <c r="BM40" s="213">
        <v>99.7634420572192</v>
      </c>
      <c r="BO40" s="214"/>
    </row>
    <row r="41" s="68" customFormat="1" spans="3:67">
      <c r="C41" s="195"/>
      <c r="D41" s="195" t="str">
        <f>'tblIndicators_2014-O'!B37</f>
        <v>INFSAF_OP_02</v>
      </c>
      <c r="E41" s="195" t="str">
        <f>'tblIndicators_2014-O'!C37</f>
        <v>INFSAF_OP</v>
      </c>
      <c r="F41" s="196">
        <f>'tblIndicators_2014-O'!D37</f>
        <v>3</v>
      </c>
      <c r="G41" s="196">
        <f>'tblIndicators_2014-O'!M37</f>
        <v>2</v>
      </c>
      <c r="H41" s="196">
        <f>'tblIndicators_2014-O'!N37</f>
        <v>1</v>
      </c>
      <c r="I41" s="196">
        <f>'tblIndicators_2014-O'!Q37</f>
        <v>0</v>
      </c>
      <c r="J41" s="196">
        <f>'tblIndicators_2014-O'!R37</f>
        <v>0</v>
      </c>
      <c r="K41" s="196"/>
      <c r="L41" s="196"/>
      <c r="M41" s="203"/>
      <c r="N41" s="211" t="s">
        <v>860</v>
      </c>
      <c r="O41" s="212">
        <v>0.25</v>
      </c>
      <c r="P41" s="213">
        <v>97.7456526807957</v>
      </c>
      <c r="Q41" s="213">
        <v>98.6353651502694</v>
      </c>
      <c r="R41" s="213">
        <v>90.6279529250064</v>
      </c>
      <c r="S41" s="213">
        <v>82.7125799207236</v>
      </c>
      <c r="T41" s="213">
        <v>99.7922981579884</v>
      </c>
      <c r="U41" s="213">
        <v>89.8302796765128</v>
      </c>
      <c r="V41" s="213">
        <v>93.0614699277185</v>
      </c>
      <c r="W41" s="213">
        <v>81.9762661528833</v>
      </c>
      <c r="X41" s="213">
        <v>99.1876004761496</v>
      </c>
      <c r="Y41" s="213">
        <v>93.4811687753875</v>
      </c>
      <c r="Z41" s="213">
        <v>33.5022764367322</v>
      </c>
      <c r="AA41" s="213">
        <v>99.7398358020298</v>
      </c>
      <c r="AB41" s="213">
        <v>99.2949795672929</v>
      </c>
      <c r="AC41" s="213">
        <v>93.3891295544074</v>
      </c>
      <c r="AD41" s="213">
        <v>52.002159853719</v>
      </c>
      <c r="AE41" s="213">
        <v>98.3899272276559</v>
      </c>
      <c r="AF41" s="213">
        <v>40.4358977505614</v>
      </c>
      <c r="AG41" s="213">
        <v>68.5952974094027</v>
      </c>
      <c r="AH41" s="213">
        <v>81.5774295286365</v>
      </c>
      <c r="AI41" s="213">
        <v>93.6345674770209</v>
      </c>
      <c r="AJ41" s="213">
        <v>87.1918220084185</v>
      </c>
      <c r="AK41" s="213">
        <v>94.861757090088</v>
      </c>
      <c r="AL41" s="213">
        <v>89.8302796765128</v>
      </c>
      <c r="AM41" s="213">
        <v>0</v>
      </c>
      <c r="AN41" s="213">
        <v>60.9606440291089</v>
      </c>
      <c r="AO41" s="213">
        <v>88.4190116214856</v>
      </c>
      <c r="AP41" s="213">
        <v>97.1013781339355</v>
      </c>
      <c r="AQ41" s="213">
        <v>99.7091560617031</v>
      </c>
      <c r="AR41" s="213">
        <v>74.9812853584007</v>
      </c>
      <c r="AS41" s="213">
        <v>83.6022923901972</v>
      </c>
      <c r="AT41" s="213">
        <v>67.7408666413047</v>
      </c>
      <c r="AU41" s="213">
        <v>89.7382404555328</v>
      </c>
      <c r="AV41" s="213">
        <v>30.004786039491</v>
      </c>
      <c r="AW41" s="213">
        <v>78.6321744572754</v>
      </c>
      <c r="AX41" s="213">
        <v>86.2714297986182</v>
      </c>
      <c r="AY41" s="213">
        <v>89.0939659086725</v>
      </c>
      <c r="AZ41" s="213">
        <v>93.051652410814</v>
      </c>
      <c r="BA41" s="213">
        <v>88.0115846699474</v>
      </c>
      <c r="BB41" s="213">
        <v>100</v>
      </c>
      <c r="BC41" s="213">
        <v>99.5471670327782</v>
      </c>
      <c r="BD41" s="213">
        <v>96.671861769362</v>
      </c>
      <c r="BE41" s="213">
        <v>95.5367113772749</v>
      </c>
      <c r="BF41" s="213">
        <v>82.958017843337</v>
      </c>
      <c r="BG41" s="213">
        <v>76.9024506976573</v>
      </c>
      <c r="BH41" s="213">
        <v>95.5060316369482</v>
      </c>
      <c r="BI41" s="213">
        <v>99.5557573600697</v>
      </c>
      <c r="BJ41" s="213">
        <v>89.339403831286</v>
      </c>
      <c r="BK41" s="213">
        <v>73.815455225987</v>
      </c>
      <c r="BL41" s="213">
        <v>10.8913078159706</v>
      </c>
      <c r="BM41" s="213">
        <v>73.04846171782</v>
      </c>
      <c r="BO41" s="214"/>
    </row>
    <row r="42" s="68" customFormat="1" spans="3:67">
      <c r="C42" s="195"/>
      <c r="D42" s="195" t="str">
        <f>'tblIndicators_2014-O'!B38</f>
        <v>INFSAF_OP_03</v>
      </c>
      <c r="E42" s="195" t="str">
        <f>'tblIndicators_2014-O'!C38</f>
        <v>INFSAF_OP</v>
      </c>
      <c r="F42" s="196">
        <f>'tblIndicators_2014-O'!D38</f>
        <v>3</v>
      </c>
      <c r="G42" s="196">
        <f>'tblIndicators_2014-O'!M38</f>
        <v>2</v>
      </c>
      <c r="H42" s="196">
        <f>'tblIndicators_2014-O'!N38</f>
        <v>1</v>
      </c>
      <c r="I42" s="196">
        <f>'tblIndicators_2014-O'!Q38</f>
        <v>0</v>
      </c>
      <c r="J42" s="196">
        <f>'tblIndicators_2014-O'!R38</f>
        <v>0</v>
      </c>
      <c r="K42" s="196"/>
      <c r="L42" s="196"/>
      <c r="M42" s="203"/>
      <c r="N42" s="211" t="s">
        <v>861</v>
      </c>
      <c r="O42" s="212">
        <v>0.25</v>
      </c>
      <c r="P42" s="213">
        <v>96.8283582089552</v>
      </c>
      <c r="Q42" s="213">
        <v>99.6268656716418</v>
      </c>
      <c r="R42" s="213">
        <v>97.6679104477612</v>
      </c>
      <c r="S42" s="213">
        <v>99.0671641791045</v>
      </c>
      <c r="T42" s="213">
        <v>98.134328358209</v>
      </c>
      <c r="U42" s="213">
        <v>98.5074626865672</v>
      </c>
      <c r="V42" s="213">
        <v>30.5970149253731</v>
      </c>
      <c r="W42" s="213">
        <v>97.0149253731343</v>
      </c>
      <c r="X42" s="213">
        <v>95.5223880597015</v>
      </c>
      <c r="Y42" s="213">
        <v>92.5373134328358</v>
      </c>
      <c r="Z42" s="213">
        <v>99.2537313432836</v>
      </c>
      <c r="AA42" s="213">
        <v>98.5074626865672</v>
      </c>
      <c r="AB42" s="213">
        <v>98.8432835820896</v>
      </c>
      <c r="AC42" s="213">
        <v>5.22388059701491</v>
      </c>
      <c r="AD42" s="213">
        <v>98.3208955223881</v>
      </c>
      <c r="AE42" s="213">
        <v>95.3358208955224</v>
      </c>
      <c r="AF42" s="213">
        <v>82.8358208955224</v>
      </c>
      <c r="AG42" s="213">
        <v>83.3955223880597</v>
      </c>
      <c r="AH42" s="213">
        <v>91.2313432835821</v>
      </c>
      <c r="AI42" s="213">
        <v>98.8805970149254</v>
      </c>
      <c r="AJ42" s="213">
        <v>95.5223880597015</v>
      </c>
      <c r="AK42" s="213">
        <v>99.8134328358209</v>
      </c>
      <c r="AL42" s="213">
        <v>99.2537313432836</v>
      </c>
      <c r="AM42" s="213">
        <v>0</v>
      </c>
      <c r="AN42" s="213">
        <v>95.5223880597015</v>
      </c>
      <c r="AO42" s="213">
        <v>100</v>
      </c>
      <c r="AP42" s="213">
        <v>82.089552238806</v>
      </c>
      <c r="AQ42" s="213">
        <v>97.7611940298507</v>
      </c>
      <c r="AR42" s="213">
        <v>97.3880597014925</v>
      </c>
      <c r="AS42" s="213">
        <v>97.9477611940299</v>
      </c>
      <c r="AT42" s="213">
        <v>98.8805970149254</v>
      </c>
      <c r="AU42" s="213">
        <v>90.1119402985075</v>
      </c>
      <c r="AV42" s="213">
        <v>95.1492537313433</v>
      </c>
      <c r="AW42" s="213">
        <v>95.8955223880597</v>
      </c>
      <c r="AX42" s="213">
        <v>96.6417910447761</v>
      </c>
      <c r="AY42" s="213">
        <v>78.544776119403</v>
      </c>
      <c r="AZ42" s="213">
        <v>89.9253731343284</v>
      </c>
      <c r="BA42" s="213">
        <v>97.3880597014925</v>
      </c>
      <c r="BB42" s="213">
        <v>98.5074626865672</v>
      </c>
      <c r="BC42" s="213">
        <v>98.134328358209</v>
      </c>
      <c r="BD42" s="213">
        <v>98.8805970149254</v>
      </c>
      <c r="BE42" s="213">
        <v>99.4402985074627</v>
      </c>
      <c r="BF42" s="213">
        <v>99.0671641791045</v>
      </c>
      <c r="BG42" s="213">
        <v>98.6940298507463</v>
      </c>
      <c r="BH42" s="213">
        <v>80.9701492537313</v>
      </c>
      <c r="BI42" s="213">
        <v>98.5074626865672</v>
      </c>
      <c r="BJ42" s="213">
        <v>97.2014925373134</v>
      </c>
      <c r="BK42" s="213">
        <v>99.6268656716418</v>
      </c>
      <c r="BL42" s="213">
        <v>97.9477611940299</v>
      </c>
      <c r="BM42" s="213">
        <v>98.6940298507463</v>
      </c>
      <c r="BO42" s="214"/>
    </row>
    <row r="43" s="68" customFormat="1" spans="3:67">
      <c r="C43" s="195"/>
      <c r="D43" s="195" t="str">
        <f>'tblIndicators_2014-O'!B39</f>
        <v>INFSAF_OP_04</v>
      </c>
      <c r="E43" s="195" t="str">
        <f>'tblIndicators_2014-O'!C39</f>
        <v>INFSAF_OP</v>
      </c>
      <c r="F43" s="196">
        <f>'tblIndicators_2014-O'!D39</f>
        <v>3</v>
      </c>
      <c r="G43" s="196">
        <f>'tblIndicators_2014-O'!M39</f>
        <v>2</v>
      </c>
      <c r="H43" s="196">
        <f>'tblIndicators_2014-O'!N39</f>
        <v>1</v>
      </c>
      <c r="I43" s="196">
        <f>'tblIndicators_2014-O'!Q39</f>
        <v>0</v>
      </c>
      <c r="J43" s="196">
        <f>'tblIndicators_2014-O'!R39</f>
        <v>0</v>
      </c>
      <c r="K43" s="196"/>
      <c r="L43" s="196"/>
      <c r="M43" s="203"/>
      <c r="N43" s="211" t="s">
        <v>862</v>
      </c>
      <c r="O43" s="212">
        <v>0.25</v>
      </c>
      <c r="P43" s="213">
        <v>48.6803519061584</v>
      </c>
      <c r="Q43" s="213">
        <v>61.8768328445748</v>
      </c>
      <c r="R43" s="213">
        <v>26.6862170087977</v>
      </c>
      <c r="S43" s="213">
        <v>25.8064516129032</v>
      </c>
      <c r="T43" s="213">
        <v>20.5278592375366</v>
      </c>
      <c r="U43" s="213">
        <v>42.5219941348974</v>
      </c>
      <c r="V43" s="213">
        <v>44.8680351906158</v>
      </c>
      <c r="W43" s="213">
        <v>47.2140762463343</v>
      </c>
      <c r="X43" s="213">
        <v>19.6480938416422</v>
      </c>
      <c r="Y43" s="213">
        <v>48.6803519061584</v>
      </c>
      <c r="Z43" s="213">
        <v>48.3870967741935</v>
      </c>
      <c r="AA43" s="213">
        <v>20.5278592375366</v>
      </c>
      <c r="AB43" s="213">
        <v>2.63929618768327</v>
      </c>
      <c r="AC43" s="213">
        <v>53.0791788856305</v>
      </c>
      <c r="AD43" s="213">
        <v>67.741935483871</v>
      </c>
      <c r="AE43" s="213">
        <v>38.41642228739</v>
      </c>
      <c r="AF43" s="213">
        <v>38.41642228739</v>
      </c>
      <c r="AG43" s="213">
        <v>91.2023460410557</v>
      </c>
      <c r="AH43" s="213">
        <v>0</v>
      </c>
      <c r="AI43" s="213">
        <v>35.1906158357771</v>
      </c>
      <c r="AJ43" s="213">
        <v>47.2140762463343</v>
      </c>
      <c r="AK43" s="213">
        <v>25.8064516129032</v>
      </c>
      <c r="AL43" s="213">
        <v>68.9149560117302</v>
      </c>
      <c r="AM43" s="213">
        <v>63.6363636363636</v>
      </c>
      <c r="AN43" s="213">
        <v>22.5806451612903</v>
      </c>
      <c r="AO43" s="213">
        <v>67.4486803519061</v>
      </c>
      <c r="AP43" s="213">
        <v>0.293255131964813</v>
      </c>
      <c r="AQ43" s="213">
        <v>19.6480938416422</v>
      </c>
      <c r="AR43" s="213">
        <v>47.2140762463343</v>
      </c>
      <c r="AS43" s="213">
        <v>59.8240469208211</v>
      </c>
      <c r="AT43" s="213">
        <v>49.8533724340176</v>
      </c>
      <c r="AU43" s="213">
        <v>26.9794721407625</v>
      </c>
      <c r="AV43" s="213">
        <v>53.0791788856305</v>
      </c>
      <c r="AW43" s="213">
        <v>22.5806451612903</v>
      </c>
      <c r="AX43" s="213">
        <v>47.2140762463343</v>
      </c>
      <c r="AY43" s="213">
        <v>79.4721407624633</v>
      </c>
      <c r="AZ43" s="213">
        <v>26.9794721407625</v>
      </c>
      <c r="BA43" s="213">
        <v>61.8768328445748</v>
      </c>
      <c r="BB43" s="213">
        <v>20.5278592375366</v>
      </c>
      <c r="BC43" s="213">
        <v>20.5278592375366</v>
      </c>
      <c r="BD43" s="213">
        <v>29.6187683284458</v>
      </c>
      <c r="BE43" s="213">
        <v>70.3812316715542</v>
      </c>
      <c r="BF43" s="213">
        <v>68.9149560117302</v>
      </c>
      <c r="BG43" s="213">
        <v>100</v>
      </c>
      <c r="BH43" s="213">
        <v>61.8768328445748</v>
      </c>
      <c r="BI43" s="213">
        <v>20.5278592375366</v>
      </c>
      <c r="BJ43" s="213">
        <v>59.8240469208211</v>
      </c>
      <c r="BK43" s="213">
        <v>67.1554252199413</v>
      </c>
      <c r="BL43" s="213">
        <v>47.2140762463343</v>
      </c>
      <c r="BM43" s="213">
        <v>93.5483870967742</v>
      </c>
      <c r="BO43" s="214"/>
    </row>
    <row r="44" spans="3:67">
      <c r="C44" s="195"/>
      <c r="D44" s="195" t="str">
        <f>'tblIndicators_2014-O'!B40</f>
        <v>PERSAF</v>
      </c>
      <c r="E44" s="195" t="str">
        <f>'tblIndicators_2014-O'!C40</f>
        <v>TOTAL</v>
      </c>
      <c r="F44" s="196">
        <f>'tblIndicators_2014-O'!D40</f>
        <v>1</v>
      </c>
      <c r="G44" s="196">
        <f>'tblIndicators_2014-O'!M40</f>
        <v>1</v>
      </c>
      <c r="H44" s="196">
        <f>'tblIndicators_2014-O'!N40</f>
        <v>0</v>
      </c>
      <c r="I44" s="196">
        <f>'tblIndicators_2014-O'!Q40</f>
        <v>0</v>
      </c>
      <c r="J44" s="196">
        <f>'tblIndicators_2014-O'!R40</f>
        <v>0</v>
      </c>
      <c r="K44" s="196"/>
      <c r="L44" s="196"/>
      <c r="M44" s="203"/>
      <c r="N44" s="204" t="s">
        <v>863</v>
      </c>
      <c r="O44" s="205">
        <v>0.25</v>
      </c>
      <c r="P44" s="206">
        <v>67.3859010532171</v>
      </c>
      <c r="Q44" s="206">
        <v>82.3861068217181</v>
      </c>
      <c r="R44" s="206">
        <v>70.9716527543637</v>
      </c>
      <c r="S44" s="206">
        <v>78.3633533694949</v>
      </c>
      <c r="T44" s="206">
        <v>55.5085177045794</v>
      </c>
      <c r="U44" s="206">
        <v>60.3076263003581</v>
      </c>
      <c r="V44" s="206">
        <v>62.2485463278056</v>
      </c>
      <c r="W44" s="206">
        <v>71.2663173884108</v>
      </c>
      <c r="X44" s="206">
        <v>72.6993817735104</v>
      </c>
      <c r="Y44" s="206">
        <v>76.4069440337718</v>
      </c>
      <c r="Z44" s="206">
        <v>74.5653420782261</v>
      </c>
      <c r="AA44" s="206">
        <v>59.3654695318219</v>
      </c>
      <c r="AB44" s="206">
        <v>65.6152217902494</v>
      </c>
      <c r="AC44" s="206">
        <v>85.092498217964</v>
      </c>
      <c r="AD44" s="206">
        <v>73.699500715828</v>
      </c>
      <c r="AE44" s="206">
        <v>59.2337308763847</v>
      </c>
      <c r="AF44" s="206">
        <v>61.2890422147959</v>
      </c>
      <c r="AG44" s="206">
        <v>59.4743159769209</v>
      </c>
      <c r="AH44" s="206">
        <v>74.8104299338869</v>
      </c>
      <c r="AI44" s="206">
        <v>77.3461947781632</v>
      </c>
      <c r="AJ44" s="206">
        <v>71.6589953511763</v>
      </c>
      <c r="AK44" s="206">
        <v>65.8078375734676</v>
      </c>
      <c r="AL44" s="206">
        <v>82.7189938769868</v>
      </c>
      <c r="AM44" s="206">
        <v>62.0665268470903</v>
      </c>
      <c r="AN44" s="206">
        <v>70.8669593384251</v>
      </c>
      <c r="AO44" s="206">
        <v>68.4819154832155</v>
      </c>
      <c r="AP44" s="206">
        <v>55.2696490535997</v>
      </c>
      <c r="AQ44" s="206">
        <v>73.6133579796782</v>
      </c>
      <c r="AR44" s="206">
        <v>69.4458649129266</v>
      </c>
      <c r="AS44" s="206">
        <v>90.1976332016698</v>
      </c>
      <c r="AT44" s="206">
        <v>71.2862012760949</v>
      </c>
      <c r="AU44" s="206">
        <v>67.4462250800337</v>
      </c>
      <c r="AV44" s="206">
        <v>60.2635770116779</v>
      </c>
      <c r="AW44" s="206">
        <v>60.9402486286501</v>
      </c>
      <c r="AX44" s="206">
        <v>72.9565622286056</v>
      </c>
      <c r="AY44" s="206">
        <v>53.578070092734</v>
      </c>
      <c r="AZ44" s="206">
        <v>57.5943526234152</v>
      </c>
      <c r="BA44" s="206">
        <v>73.6187065872501</v>
      </c>
      <c r="BB44" s="206">
        <v>67.6564516746791</v>
      </c>
      <c r="BC44" s="206">
        <v>61.9640451132173</v>
      </c>
      <c r="BD44" s="206">
        <v>90.4204325216169</v>
      </c>
      <c r="BE44" s="206">
        <v>87.5075908900189</v>
      </c>
      <c r="BF44" s="206">
        <v>80.4043707045524</v>
      </c>
      <c r="BG44" s="206">
        <v>85.672674680631</v>
      </c>
      <c r="BH44" s="206">
        <v>56.3526403313368</v>
      </c>
      <c r="BI44" s="206">
        <v>62.4573445318219</v>
      </c>
      <c r="BJ44" s="206">
        <v>89.3077184815305</v>
      </c>
      <c r="BK44" s="206">
        <v>84.8196791875344</v>
      </c>
      <c r="BL44" s="206">
        <v>73.9457494752663</v>
      </c>
      <c r="BM44" s="206">
        <v>76.6238555715144</v>
      </c>
      <c r="BO44" s="214"/>
    </row>
    <row r="45" s="193" customFormat="1" spans="3:67">
      <c r="C45" s="197"/>
      <c r="D45" s="197" t="str">
        <f>'tblIndicators_2014-O'!B41</f>
        <v>PERSAF_IP</v>
      </c>
      <c r="E45" s="197" t="str">
        <f>'tblIndicators_2014-O'!C41</f>
        <v>PERSAF</v>
      </c>
      <c r="F45" s="198">
        <f>'tblIndicators_2014-O'!D41</f>
        <v>2</v>
      </c>
      <c r="G45" s="198">
        <f>'tblIndicators_2014-O'!M41</f>
        <v>1</v>
      </c>
      <c r="H45" s="198">
        <f>'tblIndicators_2014-O'!N41</f>
        <v>0</v>
      </c>
      <c r="I45" s="198">
        <f>'tblIndicators_2014-O'!Q41</f>
        <v>0</v>
      </c>
      <c r="J45" s="198">
        <f>'tblIndicators_2014-O'!R41</f>
        <v>0</v>
      </c>
      <c r="K45" s="196"/>
      <c r="L45" s="196"/>
      <c r="M45" s="207"/>
      <c r="N45" s="208" t="s">
        <v>864</v>
      </c>
      <c r="O45" s="209">
        <v>0.5</v>
      </c>
      <c r="P45" s="210">
        <v>50</v>
      </c>
      <c r="Q45" s="210">
        <v>92.3809523809524</v>
      </c>
      <c r="R45" s="210">
        <v>74.7619047619048</v>
      </c>
      <c r="S45" s="210">
        <v>91.4285714285714</v>
      </c>
      <c r="T45" s="210">
        <v>49.2857142857143</v>
      </c>
      <c r="U45" s="210">
        <v>47.3809523809524</v>
      </c>
      <c r="V45" s="210">
        <v>65.9523809523809</v>
      </c>
      <c r="W45" s="210">
        <v>89.7619047619048</v>
      </c>
      <c r="X45" s="210">
        <v>75.2380952380952</v>
      </c>
      <c r="Y45" s="210">
        <v>81.1904761904762</v>
      </c>
      <c r="Z45" s="210">
        <v>77.1428571428571</v>
      </c>
      <c r="AA45" s="210">
        <v>56.4285714285714</v>
      </c>
      <c r="AB45" s="210">
        <v>57.1428571428571</v>
      </c>
      <c r="AC45" s="210">
        <v>92.6190476190476</v>
      </c>
      <c r="AD45" s="210">
        <v>79.7619047619047</v>
      </c>
      <c r="AE45" s="210">
        <v>56.1904761904762</v>
      </c>
      <c r="AF45" s="210">
        <v>67.6190476190476</v>
      </c>
      <c r="AG45" s="210">
        <v>33.5714285714286</v>
      </c>
      <c r="AH45" s="210">
        <v>80.4761904761905</v>
      </c>
      <c r="AI45" s="210">
        <v>93.3333333333333</v>
      </c>
      <c r="AJ45" s="210">
        <v>90.4761904761905</v>
      </c>
      <c r="AK45" s="210">
        <v>70</v>
      </c>
      <c r="AL45" s="210">
        <v>95</v>
      </c>
      <c r="AM45" s="210">
        <v>71.9047619047619</v>
      </c>
      <c r="AN45" s="210">
        <v>73.3333333333333</v>
      </c>
      <c r="AO45" s="210">
        <v>64.7619047619048</v>
      </c>
      <c r="AP45" s="210">
        <v>34.5238095238095</v>
      </c>
      <c r="AQ45" s="210">
        <v>75.2380952380952</v>
      </c>
      <c r="AR45" s="210">
        <v>88.8095238095238</v>
      </c>
      <c r="AS45" s="210">
        <v>96.1904761904762</v>
      </c>
      <c r="AT45" s="210">
        <v>73.0952380952381</v>
      </c>
      <c r="AU45" s="210">
        <v>73.5714285714286</v>
      </c>
      <c r="AV45" s="210">
        <v>35</v>
      </c>
      <c r="AW45" s="210">
        <v>59.047619047619</v>
      </c>
      <c r="AX45" s="210">
        <v>90.4761904761905</v>
      </c>
      <c r="AY45" s="210">
        <v>51.4285714285714</v>
      </c>
      <c r="AZ45" s="210">
        <v>52.1428571428571</v>
      </c>
      <c r="BA45" s="210">
        <v>69.2857142857143</v>
      </c>
      <c r="BB45" s="210">
        <v>70.7142857142857</v>
      </c>
      <c r="BC45" s="210">
        <v>56.4285714285714</v>
      </c>
      <c r="BD45" s="210">
        <v>94.7619047619047</v>
      </c>
      <c r="BE45" s="210">
        <v>84.2857142857143</v>
      </c>
      <c r="BF45" s="210">
        <v>95</v>
      </c>
      <c r="BG45" s="210">
        <v>94.5238095238095</v>
      </c>
      <c r="BH45" s="210">
        <v>46.1904761904762</v>
      </c>
      <c r="BI45" s="210">
        <v>56.4285714285714</v>
      </c>
      <c r="BJ45" s="210">
        <v>96.1904761904762</v>
      </c>
      <c r="BK45" s="210">
        <v>93.3333333333333</v>
      </c>
      <c r="BL45" s="210">
        <v>95</v>
      </c>
      <c r="BM45" s="210">
        <v>71.1904761904762</v>
      </c>
      <c r="BO45" s="214"/>
    </row>
    <row r="46" s="68" customFormat="1" spans="3:67">
      <c r="C46" s="195"/>
      <c r="D46" s="195" t="str">
        <f>'tblIndicators_2014-O'!B42</f>
        <v>PERSAF_IP_01</v>
      </c>
      <c r="E46" s="195" t="str">
        <f>'tblIndicators_2014-O'!C42</f>
        <v>PERSAF_IP</v>
      </c>
      <c r="F46" s="196">
        <f>'tblIndicators_2014-O'!D42</f>
        <v>3</v>
      </c>
      <c r="G46" s="196">
        <f>'tblIndicators_2014-O'!M42</f>
        <v>3</v>
      </c>
      <c r="H46" s="196">
        <f>'tblIndicators_2014-O'!N42</f>
        <v>0</v>
      </c>
      <c r="I46" s="196">
        <f>'tblIndicators_2014-O'!Q42</f>
        <v>0</v>
      </c>
      <c r="J46" s="196">
        <f>'tblIndicators_2014-O'!R42</f>
        <v>1</v>
      </c>
      <c r="K46" s="196"/>
      <c r="L46" s="196"/>
      <c r="M46" s="203"/>
      <c r="N46" s="211" t="s">
        <v>865</v>
      </c>
      <c r="O46" s="212">
        <v>0.142857142857143</v>
      </c>
      <c r="P46" s="213">
        <v>50</v>
      </c>
      <c r="Q46" s="213">
        <v>100</v>
      </c>
      <c r="R46" s="213">
        <v>50</v>
      </c>
      <c r="S46" s="213">
        <v>100</v>
      </c>
      <c r="T46" s="213">
        <v>100</v>
      </c>
      <c r="U46" s="213">
        <v>100</v>
      </c>
      <c r="V46" s="213">
        <v>50</v>
      </c>
      <c r="W46" s="213">
        <v>100</v>
      </c>
      <c r="X46" s="213">
        <v>100</v>
      </c>
      <c r="Y46" s="213">
        <v>50</v>
      </c>
      <c r="Z46" s="213">
        <v>100</v>
      </c>
      <c r="AA46" s="213">
        <v>50</v>
      </c>
      <c r="AB46" s="213">
        <v>50</v>
      </c>
      <c r="AC46" s="213">
        <v>100</v>
      </c>
      <c r="AD46" s="213">
        <v>100</v>
      </c>
      <c r="AE46" s="213">
        <v>50</v>
      </c>
      <c r="AF46" s="213">
        <v>100</v>
      </c>
      <c r="AG46" s="213">
        <v>100</v>
      </c>
      <c r="AH46" s="213">
        <v>100</v>
      </c>
      <c r="AI46" s="213">
        <v>100</v>
      </c>
      <c r="AJ46" s="213">
        <v>100</v>
      </c>
      <c r="AK46" s="213">
        <v>50</v>
      </c>
      <c r="AL46" s="213">
        <v>100</v>
      </c>
      <c r="AM46" s="213">
        <v>100</v>
      </c>
      <c r="AN46" s="213">
        <v>100</v>
      </c>
      <c r="AO46" s="213">
        <v>100</v>
      </c>
      <c r="AP46" s="213">
        <v>50</v>
      </c>
      <c r="AQ46" s="213">
        <v>100</v>
      </c>
      <c r="AR46" s="213">
        <v>100</v>
      </c>
      <c r="AS46" s="213">
        <v>100</v>
      </c>
      <c r="AT46" s="213">
        <v>100</v>
      </c>
      <c r="AU46" s="213">
        <v>100</v>
      </c>
      <c r="AV46" s="213">
        <v>100</v>
      </c>
      <c r="AW46" s="213">
        <v>100</v>
      </c>
      <c r="AX46" s="213">
        <v>100</v>
      </c>
      <c r="AY46" s="213">
        <v>50</v>
      </c>
      <c r="AZ46" s="213">
        <v>50</v>
      </c>
      <c r="BA46" s="213">
        <v>50</v>
      </c>
      <c r="BB46" s="213">
        <v>50</v>
      </c>
      <c r="BC46" s="213">
        <v>50</v>
      </c>
      <c r="BD46" s="213">
        <v>100</v>
      </c>
      <c r="BE46" s="213">
        <v>100</v>
      </c>
      <c r="BF46" s="213">
        <v>100</v>
      </c>
      <c r="BG46" s="213">
        <v>100</v>
      </c>
      <c r="BH46" s="213">
        <v>50</v>
      </c>
      <c r="BI46" s="213">
        <v>50</v>
      </c>
      <c r="BJ46" s="213">
        <v>100</v>
      </c>
      <c r="BK46" s="213">
        <v>100</v>
      </c>
      <c r="BL46" s="213">
        <v>100</v>
      </c>
      <c r="BM46" s="213">
        <v>100</v>
      </c>
      <c r="BO46" s="214"/>
    </row>
    <row r="47" s="68" customFormat="1" spans="3:67">
      <c r="C47" s="195"/>
      <c r="D47" s="195" t="str">
        <f>'tblIndicators_2014-O'!B43</f>
        <v>PERSAF_IP_02</v>
      </c>
      <c r="E47" s="195" t="str">
        <f>'tblIndicators_2014-O'!C43</f>
        <v>PERSAF_IP</v>
      </c>
      <c r="F47" s="196">
        <f>'tblIndicators_2014-O'!D43</f>
        <v>3</v>
      </c>
      <c r="G47" s="196">
        <f>'tblIndicators_2014-O'!M43</f>
        <v>2</v>
      </c>
      <c r="H47" s="196">
        <f>'tblIndicators_2014-O'!N43</f>
        <v>0</v>
      </c>
      <c r="I47" s="196">
        <f>'tblIndicators_2014-O'!Q43</f>
        <v>0</v>
      </c>
      <c r="J47" s="196">
        <f>'tblIndicators_2014-O'!R43</f>
        <v>0</v>
      </c>
      <c r="K47" s="196"/>
      <c r="L47" s="196"/>
      <c r="M47" s="203"/>
      <c r="N47" s="211" t="s">
        <v>866</v>
      </c>
      <c r="O47" s="212">
        <v>0.142857142857143</v>
      </c>
      <c r="P47" s="213">
        <v>100</v>
      </c>
      <c r="Q47" s="213">
        <v>100</v>
      </c>
      <c r="R47" s="213">
        <v>100</v>
      </c>
      <c r="S47" s="213">
        <v>100</v>
      </c>
      <c r="T47" s="213">
        <v>100</v>
      </c>
      <c r="U47" s="213">
        <v>100</v>
      </c>
      <c r="V47" s="213">
        <v>100</v>
      </c>
      <c r="W47" s="213">
        <v>100</v>
      </c>
      <c r="X47" s="213">
        <v>100</v>
      </c>
      <c r="Y47" s="213">
        <v>100</v>
      </c>
      <c r="Z47" s="213">
        <v>100</v>
      </c>
      <c r="AA47" s="213">
        <v>100</v>
      </c>
      <c r="AB47" s="213">
        <v>100</v>
      </c>
      <c r="AC47" s="213">
        <v>100</v>
      </c>
      <c r="AD47" s="213">
        <v>100</v>
      </c>
      <c r="AE47" s="213">
        <v>100</v>
      </c>
      <c r="AF47" s="213">
        <v>100</v>
      </c>
      <c r="AG47" s="213">
        <v>0</v>
      </c>
      <c r="AH47" s="213">
        <v>100</v>
      </c>
      <c r="AI47" s="213">
        <v>100</v>
      </c>
      <c r="AJ47" s="213">
        <v>100</v>
      </c>
      <c r="AK47" s="213">
        <v>100</v>
      </c>
      <c r="AL47" s="213">
        <v>100</v>
      </c>
      <c r="AM47" s="213">
        <v>100</v>
      </c>
      <c r="AN47" s="213">
        <v>100</v>
      </c>
      <c r="AO47" s="213">
        <v>100</v>
      </c>
      <c r="AP47" s="213">
        <v>100</v>
      </c>
      <c r="AQ47" s="213">
        <v>100</v>
      </c>
      <c r="AR47" s="213">
        <v>100</v>
      </c>
      <c r="AS47" s="213">
        <v>100</v>
      </c>
      <c r="AT47" s="213">
        <v>100</v>
      </c>
      <c r="AU47" s="213">
        <v>100</v>
      </c>
      <c r="AV47" s="213">
        <v>0</v>
      </c>
      <c r="AW47" s="213">
        <v>100</v>
      </c>
      <c r="AX47" s="213">
        <v>100</v>
      </c>
      <c r="AY47" s="213">
        <v>100</v>
      </c>
      <c r="AZ47" s="213">
        <v>100</v>
      </c>
      <c r="BA47" s="213">
        <v>100</v>
      </c>
      <c r="BB47" s="213">
        <v>100</v>
      </c>
      <c r="BC47" s="213">
        <v>100</v>
      </c>
      <c r="BD47" s="213">
        <v>100</v>
      </c>
      <c r="BE47" s="213">
        <v>100</v>
      </c>
      <c r="BF47" s="213">
        <v>100</v>
      </c>
      <c r="BG47" s="213">
        <v>100</v>
      </c>
      <c r="BH47" s="213">
        <v>0</v>
      </c>
      <c r="BI47" s="213">
        <v>100</v>
      </c>
      <c r="BJ47" s="213">
        <v>100</v>
      </c>
      <c r="BK47" s="213">
        <v>100</v>
      </c>
      <c r="BL47" s="213">
        <v>100</v>
      </c>
      <c r="BM47" s="213">
        <v>100</v>
      </c>
      <c r="BO47" s="214"/>
    </row>
    <row r="48" s="68" customFormat="1" spans="3:67">
      <c r="C48" s="195"/>
      <c r="D48" s="195" t="str">
        <f>'tblIndicators_2014-O'!B44</f>
        <v>PERSAF_IP_03</v>
      </c>
      <c r="E48" s="195" t="str">
        <f>'tblIndicators_2014-O'!C44</f>
        <v>PERSAF_IP</v>
      </c>
      <c r="F48" s="196">
        <f>'tblIndicators_2014-O'!D44</f>
        <v>3</v>
      </c>
      <c r="G48" s="196">
        <f>'tblIndicators_2014-O'!M44</f>
        <v>2</v>
      </c>
      <c r="H48" s="196">
        <f>'tblIndicators_2014-O'!N44</f>
        <v>0</v>
      </c>
      <c r="I48" s="196">
        <f>'tblIndicators_2014-O'!Q44</f>
        <v>0</v>
      </c>
      <c r="J48" s="196">
        <f>'tblIndicators_2014-O'!R44</f>
        <v>0</v>
      </c>
      <c r="K48" s="196"/>
      <c r="L48" s="196"/>
      <c r="M48" s="203"/>
      <c r="N48" s="211" t="s">
        <v>867</v>
      </c>
      <c r="O48" s="212">
        <v>0.142857142857143</v>
      </c>
      <c r="P48" s="213">
        <v>100</v>
      </c>
      <c r="Q48" s="213">
        <v>100</v>
      </c>
      <c r="R48" s="213">
        <v>100</v>
      </c>
      <c r="S48" s="213">
        <v>100</v>
      </c>
      <c r="T48" s="213">
        <v>0</v>
      </c>
      <c r="U48" s="213">
        <v>0</v>
      </c>
      <c r="V48" s="213">
        <v>0</v>
      </c>
      <c r="W48" s="213">
        <v>100</v>
      </c>
      <c r="X48" s="213">
        <v>0</v>
      </c>
      <c r="Y48" s="213">
        <v>100</v>
      </c>
      <c r="Z48" s="213">
        <v>100</v>
      </c>
      <c r="AA48" s="213">
        <v>0</v>
      </c>
      <c r="AB48" s="213">
        <v>0</v>
      </c>
      <c r="AC48" s="213">
        <v>100</v>
      </c>
      <c r="AD48" s="213">
        <v>100</v>
      </c>
      <c r="AE48" s="213">
        <v>100</v>
      </c>
      <c r="AF48" s="213">
        <v>100</v>
      </c>
      <c r="AG48" s="213">
        <v>0</v>
      </c>
      <c r="AH48" s="213">
        <v>100</v>
      </c>
      <c r="AI48" s="213">
        <v>100</v>
      </c>
      <c r="AJ48" s="213">
        <v>100</v>
      </c>
      <c r="AK48" s="213">
        <v>100</v>
      </c>
      <c r="AL48" s="213">
        <v>100</v>
      </c>
      <c r="AM48" s="213">
        <v>0</v>
      </c>
      <c r="AN48" s="213">
        <v>100</v>
      </c>
      <c r="AO48" s="213">
        <v>100</v>
      </c>
      <c r="AP48" s="213">
        <v>0</v>
      </c>
      <c r="AQ48" s="213">
        <v>100</v>
      </c>
      <c r="AR48" s="213">
        <v>100</v>
      </c>
      <c r="AS48" s="213">
        <v>100</v>
      </c>
      <c r="AT48" s="213">
        <v>100</v>
      </c>
      <c r="AU48" s="213">
        <v>100</v>
      </c>
      <c r="AV48" s="213">
        <v>0</v>
      </c>
      <c r="AW48" s="213">
        <v>100</v>
      </c>
      <c r="AX48" s="213">
        <v>100</v>
      </c>
      <c r="AY48" s="213">
        <v>0</v>
      </c>
      <c r="AZ48" s="213">
        <v>0</v>
      </c>
      <c r="BA48" s="213">
        <v>0</v>
      </c>
      <c r="BB48" s="213">
        <v>0</v>
      </c>
      <c r="BC48" s="213">
        <v>0</v>
      </c>
      <c r="BD48" s="213">
        <v>100</v>
      </c>
      <c r="BE48" s="213">
        <v>100</v>
      </c>
      <c r="BF48" s="213">
        <v>100</v>
      </c>
      <c r="BG48" s="213">
        <v>100</v>
      </c>
      <c r="BH48" s="213">
        <v>0</v>
      </c>
      <c r="BI48" s="213">
        <v>0</v>
      </c>
      <c r="BJ48" s="213">
        <v>100</v>
      </c>
      <c r="BK48" s="213">
        <v>100</v>
      </c>
      <c r="BL48" s="213">
        <v>100</v>
      </c>
      <c r="BM48" s="213">
        <v>100</v>
      </c>
      <c r="BO48" s="214"/>
    </row>
    <row r="49" s="68" customFormat="1" spans="3:67">
      <c r="C49" s="195"/>
      <c r="D49" s="195" t="str">
        <f>'tblIndicators_2014-O'!B45</f>
        <v>PERSAF_IP_04</v>
      </c>
      <c r="E49" s="195" t="str">
        <f>'tblIndicators_2014-O'!C45</f>
        <v>PERSAF_IP</v>
      </c>
      <c r="F49" s="196">
        <f>'tblIndicators_2014-O'!D45</f>
        <v>3</v>
      </c>
      <c r="G49" s="196">
        <f>'tblIndicators_2014-O'!M45</f>
        <v>2</v>
      </c>
      <c r="H49" s="196">
        <f>'tblIndicators_2014-O'!N45</f>
        <v>0</v>
      </c>
      <c r="I49" s="196">
        <f>'tblIndicators_2014-O'!Q45</f>
        <v>0</v>
      </c>
      <c r="J49" s="196">
        <f>'tblIndicators_2014-O'!R45</f>
        <v>0</v>
      </c>
      <c r="K49" s="196"/>
      <c r="L49" s="196"/>
      <c r="M49" s="203"/>
      <c r="N49" s="211" t="s">
        <v>868</v>
      </c>
      <c r="O49" s="212">
        <v>0.142857142857143</v>
      </c>
      <c r="P49" s="213">
        <v>0</v>
      </c>
      <c r="Q49" s="213">
        <v>100</v>
      </c>
      <c r="R49" s="213">
        <v>100</v>
      </c>
      <c r="S49" s="213">
        <v>100</v>
      </c>
      <c r="T49" s="213">
        <v>0</v>
      </c>
      <c r="U49" s="213">
        <v>0</v>
      </c>
      <c r="V49" s="213">
        <v>100</v>
      </c>
      <c r="W49" s="213">
        <v>100</v>
      </c>
      <c r="X49" s="213">
        <v>100</v>
      </c>
      <c r="Y49" s="213">
        <v>100</v>
      </c>
      <c r="Z49" s="213">
        <v>100</v>
      </c>
      <c r="AA49" s="213">
        <v>0</v>
      </c>
      <c r="AB49" s="213">
        <v>0</v>
      </c>
      <c r="AC49" s="213">
        <v>100</v>
      </c>
      <c r="AD49" s="213">
        <v>100</v>
      </c>
      <c r="AE49" s="213">
        <v>0</v>
      </c>
      <c r="AF49" s="213">
        <v>0</v>
      </c>
      <c r="AG49" s="213">
        <v>0</v>
      </c>
      <c r="AH49" s="213">
        <v>100</v>
      </c>
      <c r="AI49" s="213">
        <v>100</v>
      </c>
      <c r="AJ49" s="213">
        <v>100</v>
      </c>
      <c r="AK49" s="213">
        <v>0</v>
      </c>
      <c r="AL49" s="213">
        <v>100</v>
      </c>
      <c r="AM49" s="213">
        <v>100</v>
      </c>
      <c r="AN49" s="213">
        <v>100</v>
      </c>
      <c r="AO49" s="213">
        <v>0</v>
      </c>
      <c r="AP49" s="213">
        <v>0</v>
      </c>
      <c r="AQ49" s="213">
        <v>100</v>
      </c>
      <c r="AR49" s="213">
        <v>100</v>
      </c>
      <c r="AS49" s="213">
        <v>100</v>
      </c>
      <c r="AT49" s="213">
        <v>100</v>
      </c>
      <c r="AU49" s="213">
        <v>0</v>
      </c>
      <c r="AV49" s="213">
        <v>100</v>
      </c>
      <c r="AW49" s="213">
        <v>0</v>
      </c>
      <c r="AX49" s="213">
        <v>100</v>
      </c>
      <c r="AY49" s="213">
        <v>100</v>
      </c>
      <c r="AZ49" s="213">
        <v>0</v>
      </c>
      <c r="BA49" s="213">
        <v>100</v>
      </c>
      <c r="BB49" s="213">
        <v>100</v>
      </c>
      <c r="BC49" s="213">
        <v>0</v>
      </c>
      <c r="BD49" s="213">
        <v>100</v>
      </c>
      <c r="BE49" s="213">
        <v>100</v>
      </c>
      <c r="BF49" s="213">
        <v>100</v>
      </c>
      <c r="BG49" s="213">
        <v>100</v>
      </c>
      <c r="BH49" s="213">
        <v>100</v>
      </c>
      <c r="BI49" s="213">
        <v>0</v>
      </c>
      <c r="BJ49" s="213">
        <v>100</v>
      </c>
      <c r="BK49" s="213">
        <v>100</v>
      </c>
      <c r="BL49" s="213">
        <v>100</v>
      </c>
      <c r="BM49" s="213">
        <v>0</v>
      </c>
      <c r="BO49" s="214"/>
    </row>
    <row r="50" spans="3:67">
      <c r="C50" s="195"/>
      <c r="D50" s="195" t="str">
        <f>'tblIndicators_2014-O'!B46</f>
        <v>PERSAF_IP_05</v>
      </c>
      <c r="E50" s="195" t="str">
        <f>'tblIndicators_2014-O'!C46</f>
        <v>PERSAF_IP</v>
      </c>
      <c r="F50" s="196">
        <f>'tblIndicators_2014-O'!D46</f>
        <v>3</v>
      </c>
      <c r="G50" s="196">
        <f>'tblIndicators_2014-O'!M46</f>
        <v>2</v>
      </c>
      <c r="H50" s="196">
        <f>'tblIndicators_2014-O'!N46</f>
        <v>0</v>
      </c>
      <c r="I50" s="196">
        <f>'tblIndicators_2014-O'!Q46</f>
        <v>0</v>
      </c>
      <c r="J50" s="196">
        <f>'tblIndicators_2014-O'!R46</f>
        <v>0</v>
      </c>
      <c r="K50" s="196"/>
      <c r="L50" s="196"/>
      <c r="M50" s="203"/>
      <c r="N50" s="211" t="s">
        <v>869</v>
      </c>
      <c r="O50" s="212">
        <v>0.142857142857143</v>
      </c>
      <c r="P50" s="213">
        <v>0</v>
      </c>
      <c r="Q50" s="213">
        <v>100</v>
      </c>
      <c r="R50" s="213">
        <v>100</v>
      </c>
      <c r="S50" s="213">
        <v>100</v>
      </c>
      <c r="T50" s="213">
        <v>0</v>
      </c>
      <c r="U50" s="213">
        <v>0</v>
      </c>
      <c r="V50" s="213">
        <v>100</v>
      </c>
      <c r="W50" s="213">
        <v>100</v>
      </c>
      <c r="X50" s="213">
        <v>100</v>
      </c>
      <c r="Y50" s="213">
        <v>100</v>
      </c>
      <c r="Z50" s="213">
        <v>0</v>
      </c>
      <c r="AA50" s="213">
        <v>100</v>
      </c>
      <c r="AB50" s="213">
        <v>100</v>
      </c>
      <c r="AC50" s="213">
        <v>100</v>
      </c>
      <c r="AD50" s="213">
        <v>100</v>
      </c>
      <c r="AE50" s="213">
        <v>0</v>
      </c>
      <c r="AF50" s="213">
        <v>100</v>
      </c>
      <c r="AG50" s="213">
        <v>0</v>
      </c>
      <c r="AH50" s="213">
        <v>100</v>
      </c>
      <c r="AI50" s="213">
        <v>100</v>
      </c>
      <c r="AJ50" s="213">
        <v>100</v>
      </c>
      <c r="AK50" s="213">
        <v>100</v>
      </c>
      <c r="AL50" s="213">
        <v>100</v>
      </c>
      <c r="AM50" s="213">
        <v>100</v>
      </c>
      <c r="AN50" s="213">
        <v>0</v>
      </c>
      <c r="AO50" s="213">
        <v>0</v>
      </c>
      <c r="AP50" s="213">
        <v>0</v>
      </c>
      <c r="AQ50" s="213">
        <v>0</v>
      </c>
      <c r="AR50" s="213">
        <v>100</v>
      </c>
      <c r="AS50" s="213">
        <v>100</v>
      </c>
      <c r="AT50" s="213">
        <v>0</v>
      </c>
      <c r="AU50" s="213">
        <v>100</v>
      </c>
      <c r="AV50" s="213">
        <v>0</v>
      </c>
      <c r="AW50" s="213">
        <v>0</v>
      </c>
      <c r="AX50" s="213">
        <v>100</v>
      </c>
      <c r="AY50" s="213">
        <v>0</v>
      </c>
      <c r="AZ50" s="213">
        <v>100</v>
      </c>
      <c r="BA50" s="213">
        <v>100</v>
      </c>
      <c r="BB50" s="213">
        <v>100</v>
      </c>
      <c r="BC50" s="213">
        <v>100</v>
      </c>
      <c r="BD50" s="213">
        <v>100</v>
      </c>
      <c r="BE50" s="213">
        <v>100</v>
      </c>
      <c r="BF50" s="213">
        <v>100</v>
      </c>
      <c r="BG50" s="213">
        <v>100</v>
      </c>
      <c r="BH50" s="213">
        <v>100</v>
      </c>
      <c r="BI50" s="213">
        <v>100</v>
      </c>
      <c r="BJ50" s="213">
        <v>100</v>
      </c>
      <c r="BK50" s="213">
        <v>100</v>
      </c>
      <c r="BL50" s="213">
        <v>100</v>
      </c>
      <c r="BM50" s="213">
        <v>100</v>
      </c>
      <c r="BO50" s="214"/>
    </row>
    <row r="51" s="68" customFormat="1" spans="3:67">
      <c r="C51" s="195"/>
      <c r="D51" s="195" t="str">
        <f>'tblIndicators_2014-O'!B47</f>
        <v>PERSAF_IP_06</v>
      </c>
      <c r="E51" s="195" t="str">
        <f>'tblIndicators_2014-O'!C47</f>
        <v>PERSAF_IP</v>
      </c>
      <c r="F51" s="196">
        <f>'tblIndicators_2014-O'!D47</f>
        <v>3</v>
      </c>
      <c r="G51" s="196">
        <f>'tblIndicators_2014-O'!M47</f>
        <v>2</v>
      </c>
      <c r="H51" s="196">
        <f>'tblIndicators_2014-O'!N47</f>
        <v>1</v>
      </c>
      <c r="I51" s="196">
        <f>'tblIndicators_2014-O'!Q47</f>
        <v>0</v>
      </c>
      <c r="J51" s="196">
        <f>'tblIndicators_2014-O'!R47</f>
        <v>0</v>
      </c>
      <c r="K51" s="196"/>
      <c r="L51" s="196"/>
      <c r="M51" s="203"/>
      <c r="N51" s="211" t="s">
        <v>870</v>
      </c>
      <c r="O51" s="212">
        <v>0.142857142857143</v>
      </c>
      <c r="P51" s="213">
        <v>45</v>
      </c>
      <c r="Q51" s="213">
        <v>66.6666666666667</v>
      </c>
      <c r="R51" s="213">
        <v>38.3333333333333</v>
      </c>
      <c r="S51" s="213">
        <v>65</v>
      </c>
      <c r="T51" s="213">
        <v>100</v>
      </c>
      <c r="U51" s="213">
        <v>56.6666666666667</v>
      </c>
      <c r="V51" s="213">
        <v>66.6666666666667</v>
      </c>
      <c r="W51" s="213">
        <v>38.3333333333333</v>
      </c>
      <c r="X51" s="213">
        <v>46.6666666666667</v>
      </c>
      <c r="Y51" s="213">
        <v>58.3333333333333</v>
      </c>
      <c r="Z51" s="213">
        <v>55</v>
      </c>
      <c r="AA51" s="213">
        <v>100</v>
      </c>
      <c r="AB51" s="213">
        <v>100</v>
      </c>
      <c r="AC51" s="213">
        <v>83.3333333333333</v>
      </c>
      <c r="AD51" s="213">
        <v>13.3333333333333</v>
      </c>
      <c r="AE51" s="213">
        <v>73.3333333333333</v>
      </c>
      <c r="AF51" s="213">
        <v>8.33333333333333</v>
      </c>
      <c r="AG51" s="213">
        <v>95</v>
      </c>
      <c r="AH51" s="213">
        <v>8.33333333333333</v>
      </c>
      <c r="AI51" s="213">
        <v>83.3333333333333</v>
      </c>
      <c r="AJ51" s="213">
        <v>43.3333333333333</v>
      </c>
      <c r="AK51" s="213">
        <v>65</v>
      </c>
      <c r="AL51" s="213">
        <v>75</v>
      </c>
      <c r="AM51" s="213">
        <v>43.3333333333333</v>
      </c>
      <c r="AN51" s="213">
        <v>48.3333333333333</v>
      </c>
      <c r="AO51" s="213">
        <v>58.3333333333333</v>
      </c>
      <c r="AP51" s="213">
        <v>56.6666666666667</v>
      </c>
      <c r="AQ51" s="213">
        <v>46.6666666666667</v>
      </c>
      <c r="AR51" s="213">
        <v>31.6666666666667</v>
      </c>
      <c r="AS51" s="213">
        <v>83.3333333333333</v>
      </c>
      <c r="AT51" s="213">
        <v>41.6666666666667</v>
      </c>
      <c r="AU51" s="213">
        <v>50</v>
      </c>
      <c r="AV51" s="213">
        <v>0</v>
      </c>
      <c r="AW51" s="213">
        <v>48.3333333333333</v>
      </c>
      <c r="AX51" s="213">
        <v>43.3333333333333</v>
      </c>
      <c r="AY51" s="213">
        <v>30</v>
      </c>
      <c r="AZ51" s="213">
        <v>50</v>
      </c>
      <c r="BA51" s="213">
        <v>75</v>
      </c>
      <c r="BB51" s="213">
        <v>100</v>
      </c>
      <c r="BC51" s="213">
        <v>100</v>
      </c>
      <c r="BD51" s="213">
        <v>83.3333333333333</v>
      </c>
      <c r="BE51" s="213">
        <v>55</v>
      </c>
      <c r="BF51" s="213">
        <v>75</v>
      </c>
      <c r="BG51" s="213">
        <v>91.6666666666667</v>
      </c>
      <c r="BH51" s="213">
        <v>48.3333333333333</v>
      </c>
      <c r="BI51" s="213">
        <v>100</v>
      </c>
      <c r="BJ51" s="213">
        <v>83.3333333333333</v>
      </c>
      <c r="BK51" s="213">
        <v>58.3333333333333</v>
      </c>
      <c r="BL51" s="213">
        <v>75</v>
      </c>
      <c r="BM51" s="213">
        <v>8.33333333333333</v>
      </c>
      <c r="BO51" s="214"/>
    </row>
    <row r="52" s="193" customFormat="1" spans="3:67">
      <c r="C52" s="195"/>
      <c r="D52" s="195" t="str">
        <f>'tblIndicators_2014-O'!B48</f>
        <v>PERSAF_IP_07</v>
      </c>
      <c r="E52" s="195" t="str">
        <f>'tblIndicators_2014-O'!C48</f>
        <v>PERSAF_IP</v>
      </c>
      <c r="F52" s="196">
        <f>'tblIndicators_2014-O'!D48</f>
        <v>3</v>
      </c>
      <c r="G52" s="196">
        <f>'tblIndicators_2014-O'!M48</f>
        <v>3</v>
      </c>
      <c r="H52" s="196">
        <f>'tblIndicators_2014-O'!N48</f>
        <v>1</v>
      </c>
      <c r="I52" s="196">
        <f>'tblIndicators_2014-O'!Q48</f>
        <v>0</v>
      </c>
      <c r="J52" s="196">
        <f>'tblIndicators_2014-O'!R48</f>
        <v>100</v>
      </c>
      <c r="K52" s="196"/>
      <c r="L52" s="196"/>
      <c r="M52" s="203"/>
      <c r="N52" s="211" t="s">
        <v>871</v>
      </c>
      <c r="O52" s="212">
        <v>0.142857142857143</v>
      </c>
      <c r="P52" s="213">
        <v>55</v>
      </c>
      <c r="Q52" s="213">
        <v>80</v>
      </c>
      <c r="R52" s="213">
        <v>35</v>
      </c>
      <c r="S52" s="213">
        <v>75</v>
      </c>
      <c r="T52" s="213">
        <v>45</v>
      </c>
      <c r="U52" s="213">
        <v>75</v>
      </c>
      <c r="V52" s="213">
        <v>45</v>
      </c>
      <c r="W52" s="213">
        <v>90</v>
      </c>
      <c r="X52" s="213">
        <v>80</v>
      </c>
      <c r="Y52" s="213">
        <v>60</v>
      </c>
      <c r="Z52" s="213">
        <v>85</v>
      </c>
      <c r="AA52" s="213">
        <v>45</v>
      </c>
      <c r="AB52" s="213">
        <v>50</v>
      </c>
      <c r="AC52" s="213">
        <v>65</v>
      </c>
      <c r="AD52" s="213">
        <v>45</v>
      </c>
      <c r="AE52" s="213">
        <v>70</v>
      </c>
      <c r="AF52" s="213">
        <v>65</v>
      </c>
      <c r="AG52" s="213">
        <v>40</v>
      </c>
      <c r="AH52" s="213">
        <v>55</v>
      </c>
      <c r="AI52" s="213">
        <v>70</v>
      </c>
      <c r="AJ52" s="213">
        <v>90</v>
      </c>
      <c r="AK52" s="213">
        <v>75</v>
      </c>
      <c r="AL52" s="213">
        <v>90</v>
      </c>
      <c r="AM52" s="213">
        <v>60</v>
      </c>
      <c r="AN52" s="213">
        <v>65</v>
      </c>
      <c r="AO52" s="213">
        <v>95</v>
      </c>
      <c r="AP52" s="213">
        <v>35</v>
      </c>
      <c r="AQ52" s="213">
        <v>80</v>
      </c>
      <c r="AR52" s="213">
        <v>90</v>
      </c>
      <c r="AS52" s="213">
        <v>90</v>
      </c>
      <c r="AT52" s="213">
        <v>70</v>
      </c>
      <c r="AU52" s="213">
        <v>65</v>
      </c>
      <c r="AV52" s="213">
        <v>45</v>
      </c>
      <c r="AW52" s="213">
        <v>65</v>
      </c>
      <c r="AX52" s="213">
        <v>90</v>
      </c>
      <c r="AY52" s="213">
        <v>80</v>
      </c>
      <c r="AZ52" s="213">
        <v>65</v>
      </c>
      <c r="BA52" s="213">
        <v>60</v>
      </c>
      <c r="BB52" s="213">
        <v>45</v>
      </c>
      <c r="BC52" s="213">
        <v>45</v>
      </c>
      <c r="BD52" s="213">
        <v>80</v>
      </c>
      <c r="BE52" s="213">
        <v>35</v>
      </c>
      <c r="BF52" s="213">
        <v>90</v>
      </c>
      <c r="BG52" s="213">
        <v>70</v>
      </c>
      <c r="BH52" s="213">
        <v>25</v>
      </c>
      <c r="BI52" s="213">
        <v>45</v>
      </c>
      <c r="BJ52" s="213">
        <v>90</v>
      </c>
      <c r="BK52" s="213">
        <v>95</v>
      </c>
      <c r="BL52" s="213">
        <v>90</v>
      </c>
      <c r="BM52" s="213">
        <v>90</v>
      </c>
      <c r="BO52" s="214"/>
    </row>
    <row r="53" s="193" customFormat="1" spans="3:67">
      <c r="C53" s="197"/>
      <c r="D53" s="197" t="str">
        <f>'tblIndicators_2014-O'!B49</f>
        <v>PERSAF_OP</v>
      </c>
      <c r="E53" s="197" t="str">
        <f>'tblIndicators_2014-O'!C49</f>
        <v>PERSAF</v>
      </c>
      <c r="F53" s="198">
        <f>'tblIndicators_2014-O'!D49</f>
        <v>2</v>
      </c>
      <c r="G53" s="198">
        <f>'tblIndicators_2014-O'!M49</f>
        <v>1</v>
      </c>
      <c r="H53" s="198">
        <f>'tblIndicators_2014-O'!N49</f>
        <v>0</v>
      </c>
      <c r="I53" s="198">
        <f>'tblIndicators_2014-O'!Q49</f>
        <v>0</v>
      </c>
      <c r="J53" s="198">
        <f>'tblIndicators_2014-O'!R49</f>
        <v>0</v>
      </c>
      <c r="K53" s="196"/>
      <c r="L53" s="196"/>
      <c r="M53" s="207"/>
      <c r="N53" s="208" t="s">
        <v>872</v>
      </c>
      <c r="O53" s="209">
        <v>0.5</v>
      </c>
      <c r="P53" s="210">
        <v>84.7718021064342</v>
      </c>
      <c r="Q53" s="210">
        <v>72.3912612624838</v>
      </c>
      <c r="R53" s="210">
        <v>67.1814007468226</v>
      </c>
      <c r="S53" s="210">
        <v>65.2981353104183</v>
      </c>
      <c r="T53" s="210">
        <v>61.7313211234446</v>
      </c>
      <c r="U53" s="210">
        <v>73.2343002197638</v>
      </c>
      <c r="V53" s="210">
        <v>58.5447117032302</v>
      </c>
      <c r="W53" s="210">
        <v>52.7707300149168</v>
      </c>
      <c r="X53" s="210">
        <v>70.1606683089255</v>
      </c>
      <c r="Y53" s="210">
        <v>71.6234118770673</v>
      </c>
      <c r="Z53" s="210">
        <v>71.987827013595</v>
      </c>
      <c r="AA53" s="210">
        <v>62.3023676350725</v>
      </c>
      <c r="AB53" s="210">
        <v>74.0875864376416</v>
      </c>
      <c r="AC53" s="210">
        <v>77.5659488168805</v>
      </c>
      <c r="AD53" s="210">
        <v>67.6370966697512</v>
      </c>
      <c r="AE53" s="210">
        <v>62.2769855622932</v>
      </c>
      <c r="AF53" s="210">
        <v>54.9590368105442</v>
      </c>
      <c r="AG53" s="210">
        <v>85.3772033824132</v>
      </c>
      <c r="AH53" s="210">
        <v>69.1446693915832</v>
      </c>
      <c r="AI53" s="210">
        <v>61.359056222993</v>
      </c>
      <c r="AJ53" s="210">
        <v>52.8418002261622</v>
      </c>
      <c r="AK53" s="210">
        <v>61.6156751469352</v>
      </c>
      <c r="AL53" s="210">
        <v>70.4379877539736</v>
      </c>
      <c r="AM53" s="210">
        <v>52.2282917894188</v>
      </c>
      <c r="AN53" s="210">
        <v>68.4005853435169</v>
      </c>
      <c r="AO53" s="210">
        <v>72.2019262045262</v>
      </c>
      <c r="AP53" s="210">
        <v>76.0154885833899</v>
      </c>
      <c r="AQ53" s="210">
        <v>71.9886207212611</v>
      </c>
      <c r="AR53" s="210">
        <v>50.0822060163294</v>
      </c>
      <c r="AS53" s="210">
        <v>84.2047902128635</v>
      </c>
      <c r="AT53" s="210">
        <v>69.4771644569517</v>
      </c>
      <c r="AU53" s="210">
        <v>61.3210215886388</v>
      </c>
      <c r="AV53" s="210">
        <v>85.5271540233558</v>
      </c>
      <c r="AW53" s="210">
        <v>62.8328782096812</v>
      </c>
      <c r="AX53" s="210">
        <v>55.4369339810207</v>
      </c>
      <c r="AY53" s="210">
        <v>55.7275687568966</v>
      </c>
      <c r="AZ53" s="210">
        <v>63.0458481039733</v>
      </c>
      <c r="BA53" s="210">
        <v>77.951698888786</v>
      </c>
      <c r="BB53" s="210">
        <v>64.5986176350725</v>
      </c>
      <c r="BC53" s="210">
        <v>67.4995187978632</v>
      </c>
      <c r="BD53" s="210">
        <v>86.0789602813291</v>
      </c>
      <c r="BE53" s="210">
        <v>90.7294674943236</v>
      </c>
      <c r="BF53" s="210">
        <v>65.8087414091049</v>
      </c>
      <c r="BG53" s="210">
        <v>76.8215398374525</v>
      </c>
      <c r="BH53" s="210">
        <v>66.5148044721974</v>
      </c>
      <c r="BI53" s="210">
        <v>68.4861176350725</v>
      </c>
      <c r="BJ53" s="210">
        <v>82.4249607725849</v>
      </c>
      <c r="BK53" s="210">
        <v>76.3060250417356</v>
      </c>
      <c r="BL53" s="210">
        <v>52.8914989505327</v>
      </c>
      <c r="BM53" s="210">
        <v>82.0572349525526</v>
      </c>
      <c r="BO53" s="214"/>
    </row>
    <row r="54" s="68" customFormat="1" spans="3:67">
      <c r="C54" s="195"/>
      <c r="D54" s="195" t="str">
        <f>'tblIndicators_2014-O'!B50</f>
        <v>PERSAF_OP_01</v>
      </c>
      <c r="E54" s="195" t="str">
        <f>'tblIndicators_2014-O'!C50</f>
        <v>PERSAF_OP</v>
      </c>
      <c r="F54" s="196">
        <f>'tblIndicators_2014-O'!D50</f>
        <v>3</v>
      </c>
      <c r="G54" s="196">
        <f>'tblIndicators_2014-O'!M50</f>
        <v>2</v>
      </c>
      <c r="H54" s="196">
        <f>'tblIndicators_2014-O'!N50</f>
        <v>1</v>
      </c>
      <c r="I54" s="196">
        <f>'tblIndicators_2014-O'!Q50</f>
        <v>0</v>
      </c>
      <c r="J54" s="196">
        <f>'tblIndicators_2014-O'!R50</f>
        <v>0</v>
      </c>
      <c r="K54" s="196"/>
      <c r="L54" s="196"/>
      <c r="M54" s="203"/>
      <c r="N54" s="211" t="s">
        <v>873</v>
      </c>
      <c r="O54" s="212">
        <v>0.125</v>
      </c>
      <c r="P54" s="213">
        <v>75</v>
      </c>
      <c r="Q54" s="213">
        <v>50</v>
      </c>
      <c r="R54" s="213">
        <v>50</v>
      </c>
      <c r="S54" s="213">
        <v>75</v>
      </c>
      <c r="T54" s="213">
        <v>50</v>
      </c>
      <c r="U54" s="213">
        <v>75</v>
      </c>
      <c r="V54" s="213">
        <v>50</v>
      </c>
      <c r="W54" s="213">
        <v>75</v>
      </c>
      <c r="X54" s="213">
        <v>50</v>
      </c>
      <c r="Y54" s="213">
        <v>75</v>
      </c>
      <c r="Z54" s="213">
        <v>75</v>
      </c>
      <c r="AA54" s="213">
        <v>50</v>
      </c>
      <c r="AB54" s="213">
        <v>25</v>
      </c>
      <c r="AC54" s="213">
        <v>75</v>
      </c>
      <c r="AD54" s="213">
        <v>50</v>
      </c>
      <c r="AE54" s="213">
        <v>25</v>
      </c>
      <c r="AF54" s="213">
        <v>0</v>
      </c>
      <c r="AG54" s="213">
        <v>75</v>
      </c>
      <c r="AH54" s="213">
        <v>50</v>
      </c>
      <c r="AI54" s="213">
        <v>50</v>
      </c>
      <c r="AJ54" s="213">
        <v>75</v>
      </c>
      <c r="AK54" s="213">
        <v>75</v>
      </c>
      <c r="AL54" s="213">
        <v>75</v>
      </c>
      <c r="AM54" s="213">
        <v>0</v>
      </c>
      <c r="AN54" s="213">
        <v>75</v>
      </c>
      <c r="AO54" s="213">
        <v>75</v>
      </c>
      <c r="AP54" s="213">
        <v>50</v>
      </c>
      <c r="AQ54" s="213">
        <v>25</v>
      </c>
      <c r="AR54" s="213">
        <v>50</v>
      </c>
      <c r="AS54" s="213">
        <v>75</v>
      </c>
      <c r="AT54" s="213">
        <v>75</v>
      </c>
      <c r="AU54" s="213">
        <v>25</v>
      </c>
      <c r="AV54" s="213">
        <v>75</v>
      </c>
      <c r="AW54" s="213">
        <v>50</v>
      </c>
      <c r="AX54" s="213">
        <v>75</v>
      </c>
      <c r="AY54" s="213">
        <v>50</v>
      </c>
      <c r="AZ54" s="213">
        <v>25</v>
      </c>
      <c r="BA54" s="213">
        <v>75</v>
      </c>
      <c r="BB54" s="213">
        <v>50</v>
      </c>
      <c r="BC54" s="213">
        <v>75</v>
      </c>
      <c r="BD54" s="213">
        <v>100</v>
      </c>
      <c r="BE54" s="213">
        <v>100</v>
      </c>
      <c r="BF54" s="213">
        <v>75</v>
      </c>
      <c r="BG54" s="213">
        <v>75</v>
      </c>
      <c r="BH54" s="213">
        <v>50</v>
      </c>
      <c r="BI54" s="213">
        <v>75</v>
      </c>
      <c r="BJ54" s="213">
        <v>75</v>
      </c>
      <c r="BK54" s="213">
        <v>100</v>
      </c>
      <c r="BL54" s="213">
        <v>75</v>
      </c>
      <c r="BM54" s="213">
        <v>75</v>
      </c>
      <c r="BO54" s="214"/>
    </row>
    <row r="55" s="193" customFormat="1" spans="3:67">
      <c r="C55" s="195"/>
      <c r="D55" s="195" t="str">
        <f>'tblIndicators_2014-O'!B51</f>
        <v>PERSAF_OP_02</v>
      </c>
      <c r="E55" s="195" t="str">
        <f>'tblIndicators_2014-O'!C51</f>
        <v>PERSAF_OP</v>
      </c>
      <c r="F55" s="196">
        <f>'tblIndicators_2014-O'!D51</f>
        <v>3</v>
      </c>
      <c r="G55" s="196">
        <f>'tblIndicators_2014-O'!M51</f>
        <v>2</v>
      </c>
      <c r="H55" s="196">
        <f>'tblIndicators_2014-O'!N51</f>
        <v>1</v>
      </c>
      <c r="I55" s="196">
        <f>'tblIndicators_2014-O'!Q51</f>
        <v>0</v>
      </c>
      <c r="J55" s="196">
        <f>'tblIndicators_2014-O'!R51</f>
        <v>0</v>
      </c>
      <c r="K55" s="196"/>
      <c r="L55" s="196"/>
      <c r="M55" s="203"/>
      <c r="N55" s="211" t="s">
        <v>874</v>
      </c>
      <c r="O55" s="212">
        <v>0.125</v>
      </c>
      <c r="P55" s="213">
        <v>100</v>
      </c>
      <c r="Q55" s="213">
        <v>75</v>
      </c>
      <c r="R55" s="213">
        <v>75</v>
      </c>
      <c r="S55" s="213">
        <v>75</v>
      </c>
      <c r="T55" s="213">
        <v>75</v>
      </c>
      <c r="U55" s="213">
        <v>75</v>
      </c>
      <c r="V55" s="213">
        <v>50</v>
      </c>
      <c r="W55" s="213">
        <v>75</v>
      </c>
      <c r="X55" s="213">
        <v>50</v>
      </c>
      <c r="Y55" s="213">
        <v>100</v>
      </c>
      <c r="Z55" s="213">
        <v>75</v>
      </c>
      <c r="AA55" s="213">
        <v>75</v>
      </c>
      <c r="AB55" s="213">
        <v>50</v>
      </c>
      <c r="AC55" s="213">
        <v>100</v>
      </c>
      <c r="AD55" s="213">
        <v>50</v>
      </c>
      <c r="AE55" s="213">
        <v>75</v>
      </c>
      <c r="AF55" s="213">
        <v>0</v>
      </c>
      <c r="AG55" s="213">
        <v>100</v>
      </c>
      <c r="AH55" s="213">
        <v>50</v>
      </c>
      <c r="AI55" s="213">
        <v>75</v>
      </c>
      <c r="AJ55" s="213">
        <v>75</v>
      </c>
      <c r="AK55" s="213">
        <v>75</v>
      </c>
      <c r="AL55" s="213">
        <v>100</v>
      </c>
      <c r="AM55" s="213">
        <v>0</v>
      </c>
      <c r="AN55" s="213">
        <v>75</v>
      </c>
      <c r="AO55" s="213">
        <v>100</v>
      </c>
      <c r="AP55" s="213">
        <v>75</v>
      </c>
      <c r="AQ55" s="213">
        <v>75</v>
      </c>
      <c r="AR55" s="213">
        <v>75</v>
      </c>
      <c r="AS55" s="213">
        <v>100</v>
      </c>
      <c r="AT55" s="213">
        <v>75</v>
      </c>
      <c r="AU55" s="213">
        <v>25</v>
      </c>
      <c r="AV55" s="213">
        <v>100</v>
      </c>
      <c r="AW55" s="213">
        <v>75</v>
      </c>
      <c r="AX55" s="213">
        <v>75</v>
      </c>
      <c r="AY55" s="213">
        <v>50</v>
      </c>
      <c r="AZ55" s="213">
        <v>25</v>
      </c>
      <c r="BA55" s="213">
        <v>100</v>
      </c>
      <c r="BB55" s="213">
        <v>75</v>
      </c>
      <c r="BC55" s="213">
        <v>75</v>
      </c>
      <c r="BD55" s="213">
        <v>100</v>
      </c>
      <c r="BE55" s="213">
        <v>100</v>
      </c>
      <c r="BF55" s="213">
        <v>75</v>
      </c>
      <c r="BG55" s="213">
        <v>75</v>
      </c>
      <c r="BH55" s="213">
        <v>75</v>
      </c>
      <c r="BI55" s="213">
        <v>100</v>
      </c>
      <c r="BJ55" s="213">
        <v>100</v>
      </c>
      <c r="BK55" s="213">
        <v>100</v>
      </c>
      <c r="BL55" s="213">
        <v>75</v>
      </c>
      <c r="BM55" s="213">
        <v>100</v>
      </c>
      <c r="BO55" s="214"/>
    </row>
    <row r="56" s="68" customFormat="1" spans="3:67">
      <c r="C56" s="195"/>
      <c r="D56" s="195" t="str">
        <f>'tblIndicators_2014-O'!B52</f>
        <v>PERSAF_OP_03</v>
      </c>
      <c r="E56" s="195" t="str">
        <f>'tblIndicators_2014-O'!C52</f>
        <v>PERSAF_OP</v>
      </c>
      <c r="F56" s="196">
        <f>'tblIndicators_2014-O'!D52</f>
        <v>3</v>
      </c>
      <c r="G56" s="196">
        <f>'tblIndicators_2014-O'!M52</f>
        <v>2</v>
      </c>
      <c r="H56" s="196">
        <f>'tblIndicators_2014-O'!N52</f>
        <v>1</v>
      </c>
      <c r="I56" s="196">
        <f>'tblIndicators_2014-O'!Q52</f>
        <v>0</v>
      </c>
      <c r="J56" s="196">
        <f>'tblIndicators_2014-O'!R52</f>
        <v>0</v>
      </c>
      <c r="K56" s="196"/>
      <c r="L56" s="196"/>
      <c r="M56" s="203"/>
      <c r="N56" s="211" t="s">
        <v>875</v>
      </c>
      <c r="O56" s="212">
        <v>0.125</v>
      </c>
      <c r="P56" s="213">
        <v>99.8640826377562</v>
      </c>
      <c r="Q56" s="213">
        <v>99.9280437494004</v>
      </c>
      <c r="R56" s="213">
        <v>97.8093319261889</v>
      </c>
      <c r="S56" s="213">
        <v>80.2024369183536</v>
      </c>
      <c r="T56" s="213">
        <v>58.305350346989</v>
      </c>
      <c r="U56" s="213">
        <v>100</v>
      </c>
      <c r="V56" s="213">
        <v>99.8640826377562</v>
      </c>
      <c r="W56" s="213">
        <v>0</v>
      </c>
      <c r="X56" s="213">
        <v>89.072244075602</v>
      </c>
      <c r="Y56" s="213">
        <v>0</v>
      </c>
      <c r="Z56" s="213">
        <v>93.6966324474719</v>
      </c>
      <c r="AA56" s="213">
        <v>58.305350346989</v>
      </c>
      <c r="AB56" s="213">
        <v>99.9088554159071</v>
      </c>
      <c r="AC56" s="213">
        <v>58.305350346989</v>
      </c>
      <c r="AD56" s="213">
        <v>97.2960440052448</v>
      </c>
      <c r="AE56" s="213">
        <v>96.3542166362851</v>
      </c>
      <c r="AF56" s="213">
        <v>99.4115577728741</v>
      </c>
      <c r="AG56" s="213">
        <v>99.814512776232</v>
      </c>
      <c r="AH56" s="213">
        <v>98.9686270747386</v>
      </c>
      <c r="AI56" s="213">
        <v>90.1323995011033</v>
      </c>
      <c r="AJ56" s="213">
        <v>0</v>
      </c>
      <c r="AK56" s="213">
        <v>80.2024369183536</v>
      </c>
      <c r="AL56" s="213">
        <v>97.702197064185</v>
      </c>
      <c r="AM56" s="213">
        <v>79.8794333045508</v>
      </c>
      <c r="AN56" s="213">
        <v>82.2827720745787</v>
      </c>
      <c r="AO56" s="213">
        <v>87.5947423966228</v>
      </c>
      <c r="AP56" s="213">
        <v>92.1983434072084</v>
      </c>
      <c r="AQ56" s="213">
        <v>89.072244075602</v>
      </c>
      <c r="AR56" s="213">
        <v>0</v>
      </c>
      <c r="AS56" s="213">
        <v>82.722504717132</v>
      </c>
      <c r="AT56" s="213">
        <v>98.4649333205411</v>
      </c>
      <c r="AU56" s="213">
        <v>97.3216284499025</v>
      </c>
      <c r="AV56" s="213">
        <v>98.4249576257635</v>
      </c>
      <c r="AW56" s="213">
        <v>82.2827720745787</v>
      </c>
      <c r="AX56" s="213">
        <v>0</v>
      </c>
      <c r="AY56" s="213">
        <v>99.9760145831334</v>
      </c>
      <c r="AZ56" s="213">
        <v>97.3216284499025</v>
      </c>
      <c r="BA56" s="213">
        <v>95.8505228820877</v>
      </c>
      <c r="BB56" s="213">
        <v>58.305350346989</v>
      </c>
      <c r="BC56" s="213">
        <v>58.305350346989</v>
      </c>
      <c r="BD56" s="213">
        <v>99.9968019444178</v>
      </c>
      <c r="BE56" s="213">
        <v>99.9446256675941</v>
      </c>
      <c r="BF56" s="213">
        <v>97.702197064185</v>
      </c>
      <c r="BG56" s="213">
        <v>99.6226294412997</v>
      </c>
      <c r="BH56" s="213">
        <v>98.338610125044</v>
      </c>
      <c r="BI56" s="213">
        <v>58.305350346989</v>
      </c>
      <c r="BJ56" s="213">
        <v>82.722504717132</v>
      </c>
      <c r="BK56" s="213">
        <v>87.5947423966228</v>
      </c>
      <c r="BL56" s="213">
        <v>0</v>
      </c>
      <c r="BM56" s="213">
        <v>99.3204131887812</v>
      </c>
      <c r="BO56" s="214"/>
    </row>
    <row r="57" s="68" customFormat="1" spans="3:67">
      <c r="C57" s="195"/>
      <c r="D57" s="195" t="str">
        <f>'tblIndicators_2014-O'!B53</f>
        <v>PERSAF_OP_04</v>
      </c>
      <c r="E57" s="195" t="str">
        <f>'tblIndicators_2014-O'!C53</f>
        <v>PERSAF_OP</v>
      </c>
      <c r="F57" s="196">
        <f>'tblIndicators_2014-O'!D53</f>
        <v>3</v>
      </c>
      <c r="G57" s="196">
        <f>'tblIndicators_2014-O'!M53</f>
        <v>3</v>
      </c>
      <c r="H57" s="196">
        <f>'tblIndicators_2014-O'!N53</f>
        <v>1</v>
      </c>
      <c r="I57" s="196">
        <f>'tblIndicators_2014-O'!Q53</f>
        <v>0</v>
      </c>
      <c r="J57" s="196">
        <f>'tblIndicators_2014-O'!R53</f>
        <v>100</v>
      </c>
      <c r="K57" s="196"/>
      <c r="L57" s="196"/>
      <c r="M57" s="203"/>
      <c r="N57" s="211" t="s">
        <v>876</v>
      </c>
      <c r="O57" s="212">
        <v>0.125</v>
      </c>
      <c r="P57" s="213">
        <v>37</v>
      </c>
      <c r="Q57" s="213">
        <v>12</v>
      </c>
      <c r="R57" s="213">
        <v>65</v>
      </c>
      <c r="S57" s="213">
        <v>39</v>
      </c>
      <c r="T57" s="213">
        <v>65</v>
      </c>
      <c r="U57" s="213">
        <v>29</v>
      </c>
      <c r="V57" s="213">
        <v>71</v>
      </c>
      <c r="W57" s="213">
        <v>29</v>
      </c>
      <c r="X57" s="213">
        <v>67</v>
      </c>
      <c r="Y57" s="213">
        <v>23</v>
      </c>
      <c r="Z57" s="213">
        <v>21</v>
      </c>
      <c r="AA57" s="213">
        <v>65</v>
      </c>
      <c r="AB57" s="213">
        <v>73</v>
      </c>
      <c r="AC57" s="213">
        <v>16</v>
      </c>
      <c r="AD57" s="213">
        <v>56</v>
      </c>
      <c r="AE57" s="213">
        <v>72</v>
      </c>
      <c r="AF57" s="213">
        <v>55</v>
      </c>
      <c r="AG57" s="213">
        <v>55</v>
      </c>
      <c r="AH57" s="213">
        <v>65</v>
      </c>
      <c r="AI57" s="213">
        <v>24</v>
      </c>
      <c r="AJ57" s="213">
        <v>29</v>
      </c>
      <c r="AK57" s="213">
        <v>39</v>
      </c>
      <c r="AL57" s="213">
        <v>13</v>
      </c>
      <c r="AM57" s="213">
        <v>69</v>
      </c>
      <c r="AN57" s="213">
        <v>61</v>
      </c>
      <c r="AO57" s="213">
        <v>11</v>
      </c>
      <c r="AP57" s="213">
        <v>79</v>
      </c>
      <c r="AQ57" s="213">
        <v>67</v>
      </c>
      <c r="AR57" s="213">
        <v>29</v>
      </c>
      <c r="AS57" s="213">
        <v>22</v>
      </c>
      <c r="AT57" s="213">
        <v>32</v>
      </c>
      <c r="AU57" s="213">
        <v>63</v>
      </c>
      <c r="AV57" s="213">
        <v>53</v>
      </c>
      <c r="AW57" s="213">
        <v>61</v>
      </c>
      <c r="AX57" s="213">
        <v>29</v>
      </c>
      <c r="AY57" s="213">
        <v>28</v>
      </c>
      <c r="AZ57" s="213">
        <v>63</v>
      </c>
      <c r="BA57" s="213">
        <v>46</v>
      </c>
      <c r="BB57" s="213">
        <v>65</v>
      </c>
      <c r="BC57" s="213">
        <v>65</v>
      </c>
      <c r="BD57" s="213">
        <v>6.99999999999999</v>
      </c>
      <c r="BE57" s="213">
        <v>90</v>
      </c>
      <c r="BF57" s="213">
        <v>13</v>
      </c>
      <c r="BG57" s="213">
        <v>42</v>
      </c>
      <c r="BH57" s="213">
        <v>78</v>
      </c>
      <c r="BI57" s="213">
        <v>65</v>
      </c>
      <c r="BJ57" s="213">
        <v>22</v>
      </c>
      <c r="BK57" s="213">
        <v>11</v>
      </c>
      <c r="BL57" s="213">
        <v>29</v>
      </c>
      <c r="BM57" s="213">
        <v>13</v>
      </c>
      <c r="BO57" s="214"/>
    </row>
    <row r="58" s="68" customFormat="1" spans="3:67">
      <c r="C58" s="195"/>
      <c r="D58" s="195" t="str">
        <f>'tblIndicators_2014-O'!B54</f>
        <v>PERSAF_OP_05</v>
      </c>
      <c r="E58" s="195" t="str">
        <f>'tblIndicators_2014-O'!C54</f>
        <v>PERSAF_OP</v>
      </c>
      <c r="F58" s="196">
        <f>'tblIndicators_2014-O'!D54</f>
        <v>3</v>
      </c>
      <c r="G58" s="196">
        <f>'tblIndicators_2014-O'!M54</f>
        <v>2</v>
      </c>
      <c r="H58" s="196">
        <f>'tblIndicators_2014-O'!N54</f>
        <v>1</v>
      </c>
      <c r="I58" s="196">
        <f>'tblIndicators_2014-O'!Q54</f>
        <v>0</v>
      </c>
      <c r="J58" s="196">
        <f>'tblIndicators_2014-O'!R54</f>
        <v>0</v>
      </c>
      <c r="K58" s="196"/>
      <c r="L58" s="196"/>
      <c r="M58" s="203"/>
      <c r="N58" s="211" t="s">
        <v>877</v>
      </c>
      <c r="O58" s="212">
        <v>0.125</v>
      </c>
      <c r="P58" s="213">
        <v>99.6138996138996</v>
      </c>
      <c r="Q58" s="213">
        <v>77.2200772200772</v>
      </c>
      <c r="R58" s="213">
        <v>96.5250965250965</v>
      </c>
      <c r="S58" s="213">
        <v>0</v>
      </c>
      <c r="T58" s="213">
        <v>90.7335907335907</v>
      </c>
      <c r="U58" s="213">
        <v>65.6370656370656</v>
      </c>
      <c r="V58" s="213">
        <v>0</v>
      </c>
      <c r="W58" s="213">
        <v>7.72200772200772</v>
      </c>
      <c r="X58" s="213">
        <v>84.9420849420849</v>
      </c>
      <c r="Y58" s="213">
        <v>98.0694980694981</v>
      </c>
      <c r="Z58" s="213">
        <v>65.6370656370656</v>
      </c>
      <c r="AA58" s="213">
        <v>90.7335907335907</v>
      </c>
      <c r="AB58" s="213">
        <v>96.5250965250965</v>
      </c>
      <c r="AC58" s="213">
        <v>88.8030888030888</v>
      </c>
      <c r="AD58" s="213">
        <v>96.5250965250965</v>
      </c>
      <c r="AE58" s="213">
        <v>0</v>
      </c>
      <c r="AF58" s="213">
        <v>69.4980694980695</v>
      </c>
      <c r="AG58" s="213">
        <v>96.5250965250965</v>
      </c>
      <c r="AH58" s="213">
        <v>81.0810810810811</v>
      </c>
      <c r="AI58" s="213">
        <v>27.027027027027</v>
      </c>
      <c r="AJ58" s="213">
        <v>7.72200772200772</v>
      </c>
      <c r="AK58" s="213">
        <v>0</v>
      </c>
      <c r="AL58" s="213">
        <v>27.027027027027</v>
      </c>
      <c r="AM58" s="213">
        <v>84.9420849420849</v>
      </c>
      <c r="AN58" s="213">
        <v>15.4440154440154</v>
      </c>
      <c r="AO58" s="213">
        <v>46.3320463320463</v>
      </c>
      <c r="AP58" s="213">
        <v>92.6640926640927</v>
      </c>
      <c r="AQ58" s="213">
        <v>84.9420849420849</v>
      </c>
      <c r="AR58" s="213">
        <v>7.72200772200772</v>
      </c>
      <c r="AS58" s="213">
        <v>99.2277992277992</v>
      </c>
      <c r="AT58" s="213">
        <v>77.2200772200772</v>
      </c>
      <c r="AU58" s="213">
        <v>73.3590733590734</v>
      </c>
      <c r="AV58" s="213">
        <v>98.0694980694981</v>
      </c>
      <c r="AW58" s="213">
        <v>15.4440154440154</v>
      </c>
      <c r="AX58" s="213">
        <v>7.72200772200772</v>
      </c>
      <c r="AY58" s="213">
        <v>7.72200772200772</v>
      </c>
      <c r="AZ58" s="213">
        <v>73.3590733590734</v>
      </c>
      <c r="BA58" s="213">
        <v>96.5250965250965</v>
      </c>
      <c r="BB58" s="213">
        <v>90.7335907335907</v>
      </c>
      <c r="BC58" s="213">
        <v>90.7335907335907</v>
      </c>
      <c r="BD58" s="213">
        <v>100</v>
      </c>
      <c r="BE58" s="213">
        <v>81.0810810810811</v>
      </c>
      <c r="BF58" s="213">
        <v>27.027027027027</v>
      </c>
      <c r="BG58" s="213">
        <v>96.5250965250965</v>
      </c>
      <c r="BH58" s="213">
        <v>0</v>
      </c>
      <c r="BI58" s="213">
        <v>90.7335907335907</v>
      </c>
      <c r="BJ58" s="213">
        <v>99.2277992277992</v>
      </c>
      <c r="BK58" s="213">
        <v>46.3320463320463</v>
      </c>
      <c r="BL58" s="213">
        <v>7.72200772200772</v>
      </c>
      <c r="BM58" s="213">
        <v>92.6640926640927</v>
      </c>
      <c r="BO58" s="214"/>
    </row>
    <row r="59" s="68" customFormat="1" spans="3:67">
      <c r="C59" s="195"/>
      <c r="D59" s="195" t="str">
        <f>'tblIndicators_2014-O'!B55</f>
        <v>PERSAF_OP_07</v>
      </c>
      <c r="E59" s="195" t="str">
        <f>'tblIndicators_2014-O'!C55</f>
        <v>PERSAF_OP</v>
      </c>
      <c r="F59" s="196">
        <f>'tblIndicators_2014-O'!D55</f>
        <v>3</v>
      </c>
      <c r="G59" s="196">
        <f>'tblIndicators_2014-O'!M55</f>
        <v>2</v>
      </c>
      <c r="H59" s="196">
        <f>'tblIndicators_2014-O'!N55</f>
        <v>1</v>
      </c>
      <c r="I59" s="196">
        <f>'tblIndicators_2014-O'!Q55</f>
        <v>0</v>
      </c>
      <c r="J59" s="196">
        <f>'tblIndicators_2014-O'!R55</f>
        <v>0</v>
      </c>
      <c r="K59" s="196"/>
      <c r="L59" s="196"/>
      <c r="M59" s="203"/>
      <c r="N59" s="211" t="s">
        <v>878</v>
      </c>
      <c r="O59" s="212">
        <v>0.125</v>
      </c>
      <c r="P59" s="213">
        <v>100</v>
      </c>
      <c r="Q59" s="213">
        <v>98.8372093023256</v>
      </c>
      <c r="R59" s="213">
        <v>0</v>
      </c>
      <c r="S59" s="213">
        <v>98.8372093023256</v>
      </c>
      <c r="T59" s="213">
        <v>96.5116279069767</v>
      </c>
      <c r="U59" s="213">
        <v>97.6744186046512</v>
      </c>
      <c r="V59" s="213">
        <v>87.2093023255814</v>
      </c>
      <c r="W59" s="213">
        <v>100</v>
      </c>
      <c r="X59" s="213">
        <v>83.7209302325581</v>
      </c>
      <c r="Y59" s="213">
        <v>98.8372093023256</v>
      </c>
      <c r="Z59" s="213">
        <v>97.6744186046512</v>
      </c>
      <c r="AA59" s="213">
        <v>100</v>
      </c>
      <c r="AB59" s="213">
        <v>100</v>
      </c>
      <c r="AC59" s="213">
        <v>98.8372093023256</v>
      </c>
      <c r="AD59" s="213">
        <v>36.046511627907</v>
      </c>
      <c r="AE59" s="213">
        <v>77.906976744186</v>
      </c>
      <c r="AF59" s="213">
        <v>98.8372093023256</v>
      </c>
      <c r="AG59" s="213">
        <v>100</v>
      </c>
      <c r="AH59" s="213">
        <v>98.8372093023256</v>
      </c>
      <c r="AI59" s="213">
        <v>72.0930232558139</v>
      </c>
      <c r="AJ59" s="213">
        <v>90.6976744186046</v>
      </c>
      <c r="AK59" s="213">
        <v>77.906976744186</v>
      </c>
      <c r="AL59" s="213">
        <v>100</v>
      </c>
      <c r="AM59" s="213">
        <v>93.0232558139535</v>
      </c>
      <c r="AN59" s="213">
        <v>91.8604651162791</v>
      </c>
      <c r="AO59" s="213">
        <v>97.6744186046512</v>
      </c>
      <c r="AP59" s="213">
        <v>74.4186046511628</v>
      </c>
      <c r="AQ59" s="213">
        <v>84.8837209302326</v>
      </c>
      <c r="AR59" s="213">
        <v>90.6976744186046</v>
      </c>
      <c r="AS59" s="213">
        <v>100</v>
      </c>
      <c r="AT59" s="213">
        <v>88.3720930232558</v>
      </c>
      <c r="AU59" s="213">
        <v>100</v>
      </c>
      <c r="AV59" s="213">
        <v>86.046511627907</v>
      </c>
      <c r="AW59" s="213">
        <v>89.5348837209302</v>
      </c>
      <c r="AX59" s="213">
        <v>98.8372093023256</v>
      </c>
      <c r="AY59" s="213">
        <v>62.7906976744186</v>
      </c>
      <c r="AZ59" s="213">
        <v>97.6744186046512</v>
      </c>
      <c r="BA59" s="213">
        <v>98.8372093023256</v>
      </c>
      <c r="BB59" s="213">
        <v>100</v>
      </c>
      <c r="BC59" s="213">
        <v>98.8372093023256</v>
      </c>
      <c r="BD59" s="213">
        <v>100</v>
      </c>
      <c r="BE59" s="213">
        <v>95.3488372093023</v>
      </c>
      <c r="BF59" s="213">
        <v>100</v>
      </c>
      <c r="BG59" s="213">
        <v>97.6744186046512</v>
      </c>
      <c r="BH59" s="213">
        <v>87.2093023255814</v>
      </c>
      <c r="BI59" s="213">
        <v>100</v>
      </c>
      <c r="BJ59" s="213">
        <v>100</v>
      </c>
      <c r="BK59" s="213">
        <v>98.8372093023256</v>
      </c>
      <c r="BL59" s="213">
        <v>96.5116279069767</v>
      </c>
      <c r="BM59" s="213">
        <v>98.8372093023256</v>
      </c>
      <c r="BO59" s="214"/>
    </row>
    <row r="60" spans="3:67">
      <c r="C60" s="195"/>
      <c r="D60" s="195" t="str">
        <f>'tblIndicators_2014-O'!B56</f>
        <v>PERSAF_OP_08</v>
      </c>
      <c r="E60" s="195" t="str">
        <f>'tblIndicators_2014-O'!C56</f>
        <v>PERSAF_OP</v>
      </c>
      <c r="F60" s="196">
        <f>'tblIndicators_2014-O'!D56</f>
        <v>3</v>
      </c>
      <c r="G60" s="196">
        <f>'tblIndicators_2014-O'!M56</f>
        <v>2</v>
      </c>
      <c r="H60" s="196">
        <f>'tblIndicators_2014-O'!N56</f>
        <v>1</v>
      </c>
      <c r="I60" s="196">
        <f>'tblIndicators_2014-O'!Q56</f>
        <v>0</v>
      </c>
      <c r="J60" s="196">
        <f>'tblIndicators_2014-O'!R56</f>
        <v>0</v>
      </c>
      <c r="K60" s="196"/>
      <c r="L60" s="196"/>
      <c r="M60" s="203"/>
      <c r="N60" s="211" t="s">
        <v>879</v>
      </c>
      <c r="O60" s="212">
        <v>0.125</v>
      </c>
      <c r="P60" s="213">
        <v>80.676434599818</v>
      </c>
      <c r="Q60" s="213">
        <v>97.7347598280676</v>
      </c>
      <c r="R60" s="213">
        <v>89.2667775232956</v>
      </c>
      <c r="S60" s="213">
        <v>96.0154362626675</v>
      </c>
      <c r="T60" s="213">
        <v>0</v>
      </c>
      <c r="U60" s="213">
        <v>97.3729175163932</v>
      </c>
      <c r="V60" s="213">
        <v>71.7943086625043</v>
      </c>
      <c r="W60" s="213">
        <v>95.4538323973269</v>
      </c>
      <c r="X60" s="213">
        <v>95.140087221159</v>
      </c>
      <c r="Y60" s="213">
        <v>99.990587644715</v>
      </c>
      <c r="Z60" s="213">
        <v>74.8344994195714</v>
      </c>
      <c r="AA60" s="213">
        <v>0</v>
      </c>
      <c r="AB60" s="213">
        <v>96.0367395601293</v>
      </c>
      <c r="AC60" s="213">
        <v>99.7019420826405</v>
      </c>
      <c r="AD60" s="213">
        <v>95.3691211997616</v>
      </c>
      <c r="AE60" s="213">
        <v>99.7646911178741</v>
      </c>
      <c r="AF60" s="213">
        <v>99.4854579110846</v>
      </c>
      <c r="AG60" s="213">
        <v>99.658017757977</v>
      </c>
      <c r="AH60" s="213">
        <v>78.8504376745207</v>
      </c>
      <c r="AI60" s="213">
        <v>100</v>
      </c>
      <c r="AJ60" s="213">
        <v>97.0947196686851</v>
      </c>
      <c r="AK60" s="213">
        <v>82.925987512942</v>
      </c>
      <c r="AL60" s="213">
        <v>93.3046779405767</v>
      </c>
      <c r="AM60" s="213">
        <v>52.9915602547611</v>
      </c>
      <c r="AN60" s="213">
        <v>99.667430113262</v>
      </c>
      <c r="AO60" s="213">
        <v>98.2242023028896</v>
      </c>
      <c r="AP60" s="213">
        <v>98.8328679446553</v>
      </c>
      <c r="AQ60" s="213">
        <v>98.9709158221692</v>
      </c>
      <c r="AR60" s="213">
        <v>95.7079659900229</v>
      </c>
      <c r="AS60" s="213">
        <v>99.658017757977</v>
      </c>
      <c r="AT60" s="213">
        <v>65.8802120917391</v>
      </c>
      <c r="AU60" s="213">
        <v>81.5674709001349</v>
      </c>
      <c r="AV60" s="213">
        <v>99.8462648636777</v>
      </c>
      <c r="AW60" s="213">
        <v>99.7113544379255</v>
      </c>
      <c r="AX60" s="213">
        <v>99.6862548238321</v>
      </c>
      <c r="AY60" s="213">
        <v>94.7918300756126</v>
      </c>
      <c r="AZ60" s="213">
        <v>98.1516644181596</v>
      </c>
      <c r="BA60" s="213">
        <v>30.9007624007781</v>
      </c>
      <c r="BB60" s="213">
        <v>0</v>
      </c>
      <c r="BC60" s="213">
        <v>0</v>
      </c>
      <c r="BD60" s="213">
        <v>99.6548803062153</v>
      </c>
      <c r="BE60" s="213">
        <v>81.5611959966116</v>
      </c>
      <c r="BF60" s="213">
        <v>80.0207071816271</v>
      </c>
      <c r="BG60" s="213">
        <v>49.6501741285728</v>
      </c>
      <c r="BH60" s="213">
        <v>99.8405233269538</v>
      </c>
      <c r="BI60" s="213">
        <v>0</v>
      </c>
      <c r="BJ60" s="213">
        <v>99.5293822357481</v>
      </c>
      <c r="BK60" s="213">
        <v>98.2242023028896</v>
      </c>
      <c r="BL60" s="213">
        <v>98.7983559752769</v>
      </c>
      <c r="BM60" s="213">
        <v>98.2461644652213</v>
      </c>
      <c r="BO60" s="214"/>
    </row>
    <row r="61" spans="3:67">
      <c r="C61" s="195"/>
      <c r="D61" s="195" t="str">
        <f>'tblIndicators_2014-O'!B57</f>
        <v>PERSAF_OP_09</v>
      </c>
      <c r="E61" s="195" t="str">
        <f>'tblIndicators_2014-O'!C57</f>
        <v>PERSAF_OP</v>
      </c>
      <c r="F61" s="196">
        <f>'tblIndicators_2014-O'!D57</f>
        <v>3</v>
      </c>
      <c r="G61" s="196">
        <f>'tblIndicators_2014-O'!M57</f>
        <v>3</v>
      </c>
      <c r="H61" s="196">
        <f>'tblIndicators_2014-O'!N57</f>
        <v>0</v>
      </c>
      <c r="I61" s="196">
        <f>'tblIndicators_2014-O'!Q57</f>
        <v>0</v>
      </c>
      <c r="J61" s="196">
        <f>'tblIndicators_2014-O'!R57</f>
        <v>100</v>
      </c>
      <c r="K61" s="196"/>
      <c r="L61" s="196"/>
      <c r="M61" s="203"/>
      <c r="N61" s="211" t="s">
        <v>880</v>
      </c>
      <c r="O61" s="212">
        <v>0.125</v>
      </c>
      <c r="P61" s="213">
        <v>86.02</v>
      </c>
      <c r="Q61" s="213">
        <v>68.41</v>
      </c>
      <c r="R61" s="213">
        <v>63.85</v>
      </c>
      <c r="S61" s="213">
        <v>58.33</v>
      </c>
      <c r="T61" s="213">
        <v>58.3</v>
      </c>
      <c r="U61" s="213">
        <v>46.19</v>
      </c>
      <c r="V61" s="213">
        <v>38.49</v>
      </c>
      <c r="W61" s="213">
        <v>39.99</v>
      </c>
      <c r="X61" s="213">
        <v>41.41</v>
      </c>
      <c r="Y61" s="213">
        <v>78.09</v>
      </c>
      <c r="Z61" s="213">
        <v>73.06</v>
      </c>
      <c r="AA61" s="213">
        <v>59.38</v>
      </c>
      <c r="AB61" s="213">
        <v>52.23</v>
      </c>
      <c r="AC61" s="213">
        <v>83.88</v>
      </c>
      <c r="AD61" s="213">
        <v>59.86</v>
      </c>
      <c r="AE61" s="213">
        <v>52.19</v>
      </c>
      <c r="AF61" s="213">
        <v>17.44</v>
      </c>
      <c r="AG61" s="213">
        <v>57.02</v>
      </c>
      <c r="AH61" s="213">
        <v>30.42</v>
      </c>
      <c r="AI61" s="213">
        <v>52.62</v>
      </c>
      <c r="AJ61" s="213">
        <v>48.22</v>
      </c>
      <c r="AK61" s="213">
        <v>62.89</v>
      </c>
      <c r="AL61" s="213">
        <v>57.47</v>
      </c>
      <c r="AM61" s="213">
        <v>37.99</v>
      </c>
      <c r="AN61" s="213">
        <v>46.95</v>
      </c>
      <c r="AO61" s="213">
        <v>61.79</v>
      </c>
      <c r="AP61" s="213">
        <v>46.01</v>
      </c>
      <c r="AQ61" s="213">
        <v>51.04</v>
      </c>
      <c r="AR61" s="213">
        <v>52.53</v>
      </c>
      <c r="AS61" s="213">
        <v>95.03</v>
      </c>
      <c r="AT61" s="213">
        <v>43.88</v>
      </c>
      <c r="AU61" s="213">
        <v>25.32</v>
      </c>
      <c r="AV61" s="213">
        <v>73.83</v>
      </c>
      <c r="AW61" s="213">
        <v>29.69</v>
      </c>
      <c r="AX61" s="213">
        <v>58.25</v>
      </c>
      <c r="AY61" s="213">
        <v>52.54</v>
      </c>
      <c r="AZ61" s="213">
        <v>24.86</v>
      </c>
      <c r="BA61" s="213">
        <v>80.5</v>
      </c>
      <c r="BB61" s="213">
        <v>77.75</v>
      </c>
      <c r="BC61" s="213">
        <v>77.12</v>
      </c>
      <c r="BD61" s="213">
        <v>81.98</v>
      </c>
      <c r="BE61" s="213">
        <v>77.9</v>
      </c>
      <c r="BF61" s="213">
        <v>58.72</v>
      </c>
      <c r="BG61" s="213">
        <v>79.1</v>
      </c>
      <c r="BH61" s="213">
        <v>43.73</v>
      </c>
      <c r="BI61" s="213">
        <v>58.85</v>
      </c>
      <c r="BJ61" s="213">
        <v>80.92</v>
      </c>
      <c r="BK61" s="213">
        <v>68.46</v>
      </c>
      <c r="BL61" s="213">
        <v>41.1</v>
      </c>
      <c r="BM61" s="213">
        <v>79.39</v>
      </c>
      <c r="BO61" s="214"/>
    </row>
    <row r="63" spans="16:40">
      <c r="P63" s="214"/>
      <c r="Q63" s="214"/>
      <c r="R63" s="214"/>
      <c r="S63" s="214"/>
      <c r="T63" s="214"/>
      <c r="U63" s="214"/>
      <c r="V63" s="214"/>
      <c r="W63" s="214"/>
      <c r="X63" s="214"/>
      <c r="Z63" s="214"/>
      <c r="AA63" s="214"/>
      <c r="AB63" s="214"/>
      <c r="AC63" s="214"/>
      <c r="AD63" s="214"/>
      <c r="AE63" s="214"/>
      <c r="AF63" s="214"/>
      <c r="AG63" s="214"/>
      <c r="AH63" s="214"/>
      <c r="AI63" s="214"/>
      <c r="AJ63" s="214"/>
      <c r="AK63" s="214"/>
      <c r="AL63" s="214"/>
      <c r="AM63" s="214"/>
      <c r="AN63" s="214"/>
    </row>
    <row r="64" spans="16:40">
      <c r="P64" s="214"/>
      <c r="Q64" s="214"/>
      <c r="R64" s="214"/>
      <c r="S64" s="214"/>
      <c r="T64" s="214"/>
      <c r="U64" s="214"/>
      <c r="V64" s="214"/>
      <c r="W64" s="214"/>
      <c r="X64" s="214"/>
      <c r="Z64" s="214"/>
      <c r="AA64" s="214"/>
      <c r="AB64" s="214"/>
      <c r="AC64" s="214"/>
      <c r="AD64" s="214"/>
      <c r="AE64" s="214"/>
      <c r="AF64" s="214"/>
      <c r="AG64" s="214"/>
      <c r="AH64" s="214"/>
      <c r="AI64" s="214"/>
      <c r="AJ64" s="214"/>
      <c r="AK64" s="214"/>
      <c r="AL64" s="214"/>
      <c r="AM64" s="214"/>
      <c r="AN64" s="214"/>
    </row>
    <row r="65" spans="16:40">
      <c r="P65" s="214"/>
      <c r="Q65" s="214"/>
      <c r="R65" s="214"/>
      <c r="S65" s="214"/>
      <c r="T65" s="214"/>
      <c r="U65" s="214"/>
      <c r="V65" s="214"/>
      <c r="W65" s="214"/>
      <c r="X65" s="214"/>
      <c r="Z65" s="214"/>
      <c r="AA65" s="214"/>
      <c r="AB65" s="214"/>
      <c r="AC65" s="214"/>
      <c r="AD65" s="214"/>
      <c r="AE65" s="214"/>
      <c r="AF65" s="214"/>
      <c r="AG65" s="214"/>
      <c r="AH65" s="214"/>
      <c r="AI65" s="214"/>
      <c r="AJ65" s="214"/>
      <c r="AK65" s="214"/>
      <c r="AL65" s="214"/>
      <c r="AM65" s="214"/>
      <c r="AN65" s="214"/>
    </row>
    <row r="66" spans="16:40">
      <c r="P66" s="214"/>
      <c r="Q66" s="214"/>
      <c r="R66" s="214"/>
      <c r="S66" s="214"/>
      <c r="T66" s="214"/>
      <c r="U66" s="214"/>
      <c r="V66" s="214"/>
      <c r="W66" s="214"/>
      <c r="X66" s="214"/>
      <c r="Z66" s="214"/>
      <c r="AA66" s="214"/>
      <c r="AB66" s="214"/>
      <c r="AC66" s="214"/>
      <c r="AD66" s="214"/>
      <c r="AE66" s="214"/>
      <c r="AF66" s="214"/>
      <c r="AG66" s="214"/>
      <c r="AH66" s="214"/>
      <c r="AI66" s="214"/>
      <c r="AJ66" s="214"/>
      <c r="AK66" s="214"/>
      <c r="AL66" s="214"/>
      <c r="AM66" s="214"/>
      <c r="AN66" s="214"/>
    </row>
    <row r="67" spans="16:40">
      <c r="P67" s="214"/>
      <c r="Q67" s="214"/>
      <c r="R67" s="214"/>
      <c r="S67" s="214"/>
      <c r="T67" s="214"/>
      <c r="U67" s="214"/>
      <c r="V67" s="214"/>
      <c r="W67" s="214"/>
      <c r="X67" s="214"/>
      <c r="Z67" s="214"/>
      <c r="AA67" s="214"/>
      <c r="AB67" s="214"/>
      <c r="AC67" s="214"/>
      <c r="AD67" s="214"/>
      <c r="AE67" s="214"/>
      <c r="AF67" s="214"/>
      <c r="AG67" s="214"/>
      <c r="AH67" s="214"/>
      <c r="AI67" s="214"/>
      <c r="AJ67" s="214"/>
      <c r="AK67" s="214"/>
      <c r="AL67" s="214"/>
      <c r="AM67" s="214"/>
      <c r="AN67" s="214"/>
    </row>
    <row r="68" spans="16:40">
      <c r="P68" s="214"/>
      <c r="Q68" s="214"/>
      <c r="R68" s="214"/>
      <c r="S68" s="214"/>
      <c r="T68" s="214"/>
      <c r="U68" s="214"/>
      <c r="V68" s="214"/>
      <c r="W68" s="214"/>
      <c r="X68" s="214"/>
      <c r="Z68" s="214"/>
      <c r="AA68" s="214"/>
      <c r="AB68" s="214"/>
      <c r="AC68" s="214"/>
      <c r="AD68" s="214"/>
      <c r="AE68" s="214"/>
      <c r="AF68" s="214"/>
      <c r="AG68" s="214"/>
      <c r="AH68" s="214"/>
      <c r="AI68" s="214"/>
      <c r="AJ68" s="214"/>
      <c r="AK68" s="214"/>
      <c r="AL68" s="214"/>
      <c r="AM68" s="214"/>
      <c r="AN68" s="214"/>
    </row>
    <row r="69" spans="16:40">
      <c r="P69" s="214"/>
      <c r="Q69" s="214"/>
      <c r="R69" s="214"/>
      <c r="S69" s="214"/>
      <c r="T69" s="214"/>
      <c r="U69" s="214"/>
      <c r="V69" s="214"/>
      <c r="W69" s="214"/>
      <c r="X69" s="214"/>
      <c r="Z69" s="214"/>
      <c r="AA69" s="214"/>
      <c r="AB69" s="214"/>
      <c r="AC69" s="214"/>
      <c r="AD69" s="214"/>
      <c r="AE69" s="214"/>
      <c r="AF69" s="214"/>
      <c r="AG69" s="214"/>
      <c r="AH69" s="214"/>
      <c r="AI69" s="214"/>
      <c r="AJ69" s="214"/>
      <c r="AK69" s="214"/>
      <c r="AL69" s="214"/>
      <c r="AM69" s="214"/>
      <c r="AN69" s="214"/>
    </row>
    <row r="70" spans="16:40">
      <c r="P70" s="214"/>
      <c r="Q70" s="214"/>
      <c r="R70" s="214"/>
      <c r="S70" s="214"/>
      <c r="T70" s="214"/>
      <c r="U70" s="214"/>
      <c r="V70" s="214"/>
      <c r="W70" s="214"/>
      <c r="X70" s="214"/>
      <c r="Z70" s="214"/>
      <c r="AA70" s="214"/>
      <c r="AB70" s="214"/>
      <c r="AC70" s="214"/>
      <c r="AD70" s="214"/>
      <c r="AE70" s="214"/>
      <c r="AF70" s="214"/>
      <c r="AG70" s="214"/>
      <c r="AH70" s="214"/>
      <c r="AI70" s="214"/>
      <c r="AJ70" s="214"/>
      <c r="AK70" s="214"/>
      <c r="AL70" s="214"/>
      <c r="AM70" s="214"/>
      <c r="AN70" s="214"/>
    </row>
    <row r="71" spans="16:40">
      <c r="P71" s="214"/>
      <c r="Q71" s="214"/>
      <c r="R71" s="214"/>
      <c r="S71" s="214"/>
      <c r="T71" s="214"/>
      <c r="U71" s="214"/>
      <c r="V71" s="214"/>
      <c r="W71" s="214"/>
      <c r="X71" s="214"/>
      <c r="Z71" s="214"/>
      <c r="AA71" s="214"/>
      <c r="AB71" s="214"/>
      <c r="AC71" s="214"/>
      <c r="AD71" s="214"/>
      <c r="AE71" s="214"/>
      <c r="AF71" s="214"/>
      <c r="AG71" s="214"/>
      <c r="AH71" s="214"/>
      <c r="AI71" s="214"/>
      <c r="AJ71" s="214"/>
      <c r="AK71" s="214"/>
      <c r="AL71" s="214"/>
      <c r="AM71" s="214"/>
      <c r="AN71" s="214"/>
    </row>
    <row r="72" spans="16:40">
      <c r="P72" s="214"/>
      <c r="Q72" s="214"/>
      <c r="R72" s="214"/>
      <c r="S72" s="214"/>
      <c r="T72" s="214"/>
      <c r="U72" s="214"/>
      <c r="V72" s="214"/>
      <c r="W72" s="214"/>
      <c r="X72" s="214"/>
      <c r="Z72" s="214"/>
      <c r="AA72" s="214"/>
      <c r="AB72" s="214"/>
      <c r="AC72" s="214"/>
      <c r="AD72" s="214"/>
      <c r="AE72" s="214"/>
      <c r="AF72" s="214"/>
      <c r="AG72" s="214"/>
      <c r="AH72" s="214"/>
      <c r="AI72" s="214"/>
      <c r="AJ72" s="214"/>
      <c r="AK72" s="214"/>
      <c r="AL72" s="214"/>
      <c r="AM72" s="214"/>
      <c r="AN72" s="214"/>
    </row>
    <row r="73" spans="16:40">
      <c r="P73" s="214"/>
      <c r="Q73" s="214"/>
      <c r="R73" s="214"/>
      <c r="S73" s="214"/>
      <c r="T73" s="214"/>
      <c r="U73" s="214"/>
      <c r="V73" s="214"/>
      <c r="W73" s="214"/>
      <c r="X73" s="214"/>
      <c r="Z73" s="214"/>
      <c r="AA73" s="214"/>
      <c r="AB73" s="214"/>
      <c r="AC73" s="214"/>
      <c r="AD73" s="214"/>
      <c r="AE73" s="214"/>
      <c r="AF73" s="214"/>
      <c r="AG73" s="214"/>
      <c r="AH73" s="214"/>
      <c r="AI73" s="214"/>
      <c r="AJ73" s="214"/>
      <c r="AK73" s="214"/>
      <c r="AL73" s="214"/>
      <c r="AM73" s="214"/>
      <c r="AN73" s="214"/>
    </row>
    <row r="74" spans="16:40">
      <c r="P74" s="214"/>
      <c r="Q74" s="214"/>
      <c r="R74" s="214"/>
      <c r="S74" s="214"/>
      <c r="T74" s="214"/>
      <c r="U74" s="214"/>
      <c r="V74" s="214"/>
      <c r="W74" s="214"/>
      <c r="X74" s="214"/>
      <c r="Z74" s="214"/>
      <c r="AA74" s="214"/>
      <c r="AB74" s="214"/>
      <c r="AC74" s="214"/>
      <c r="AD74" s="214"/>
      <c r="AE74" s="214"/>
      <c r="AF74" s="214"/>
      <c r="AG74" s="214"/>
      <c r="AH74" s="214"/>
      <c r="AI74" s="214"/>
      <c r="AJ74" s="214"/>
      <c r="AK74" s="214"/>
      <c r="AL74" s="214"/>
      <c r="AM74" s="214"/>
      <c r="AN74" s="214"/>
    </row>
    <row r="75" spans="16:40">
      <c r="P75" s="214"/>
      <c r="Q75" s="214"/>
      <c r="R75" s="214"/>
      <c r="S75" s="214"/>
      <c r="T75" s="214"/>
      <c r="U75" s="214"/>
      <c r="V75" s="214"/>
      <c r="W75" s="214"/>
      <c r="X75" s="214"/>
      <c r="Z75" s="214"/>
      <c r="AA75" s="214"/>
      <c r="AB75" s="214"/>
      <c r="AC75" s="214"/>
      <c r="AD75" s="214"/>
      <c r="AE75" s="214"/>
      <c r="AF75" s="214"/>
      <c r="AG75" s="214"/>
      <c r="AH75" s="214"/>
      <c r="AI75" s="214"/>
      <c r="AJ75" s="214"/>
      <c r="AK75" s="214"/>
      <c r="AL75" s="214"/>
      <c r="AM75" s="214"/>
      <c r="AN75" s="214"/>
    </row>
    <row r="76" spans="16:40">
      <c r="P76" s="214"/>
      <c r="Q76" s="214"/>
      <c r="R76" s="214"/>
      <c r="S76" s="214"/>
      <c r="T76" s="214"/>
      <c r="U76" s="214"/>
      <c r="V76" s="214"/>
      <c r="W76" s="214"/>
      <c r="X76" s="214"/>
      <c r="Z76" s="214"/>
      <c r="AA76" s="214"/>
      <c r="AB76" s="214"/>
      <c r="AC76" s="214"/>
      <c r="AD76" s="214"/>
      <c r="AE76" s="214"/>
      <c r="AF76" s="214"/>
      <c r="AG76" s="214"/>
      <c r="AH76" s="214"/>
      <c r="AI76" s="214"/>
      <c r="AJ76" s="214"/>
      <c r="AK76" s="214"/>
      <c r="AL76" s="214"/>
      <c r="AM76" s="214"/>
      <c r="AN76" s="214"/>
    </row>
    <row r="77" spans="16:40">
      <c r="P77" s="214"/>
      <c r="Q77" s="214"/>
      <c r="R77" s="214"/>
      <c r="S77" s="214"/>
      <c r="T77" s="214"/>
      <c r="U77" s="214"/>
      <c r="V77" s="214"/>
      <c r="W77" s="214"/>
      <c r="X77" s="214"/>
      <c r="Z77" s="214"/>
      <c r="AA77" s="214"/>
      <c r="AB77" s="214"/>
      <c r="AC77" s="214"/>
      <c r="AD77" s="214"/>
      <c r="AE77" s="214"/>
      <c r="AF77" s="214"/>
      <c r="AG77" s="214"/>
      <c r="AH77" s="214"/>
      <c r="AI77" s="214"/>
      <c r="AJ77" s="214"/>
      <c r="AK77" s="214"/>
      <c r="AL77" s="214"/>
      <c r="AM77" s="214"/>
      <c r="AN77" s="214"/>
    </row>
    <row r="78" spans="16:40">
      <c r="P78" s="214"/>
      <c r="Q78" s="214"/>
      <c r="R78" s="214"/>
      <c r="S78" s="214"/>
      <c r="T78" s="214"/>
      <c r="U78" s="214"/>
      <c r="V78" s="214"/>
      <c r="W78" s="214"/>
      <c r="X78" s="214"/>
      <c r="Z78" s="214"/>
      <c r="AA78" s="214"/>
      <c r="AB78" s="214"/>
      <c r="AC78" s="214"/>
      <c r="AD78" s="214"/>
      <c r="AE78" s="214"/>
      <c r="AF78" s="214"/>
      <c r="AG78" s="214"/>
      <c r="AH78" s="214"/>
      <c r="AI78" s="214"/>
      <c r="AJ78" s="214"/>
      <c r="AK78" s="214"/>
      <c r="AL78" s="214"/>
      <c r="AM78" s="214"/>
      <c r="AN78" s="214"/>
    </row>
    <row r="79" spans="16:40">
      <c r="P79" s="214"/>
      <c r="Q79" s="214"/>
      <c r="R79" s="214"/>
      <c r="S79" s="214"/>
      <c r="T79" s="214"/>
      <c r="U79" s="214"/>
      <c r="V79" s="214"/>
      <c r="W79" s="214"/>
      <c r="X79" s="214"/>
      <c r="Z79" s="214"/>
      <c r="AA79" s="214"/>
      <c r="AB79" s="214"/>
      <c r="AC79" s="214"/>
      <c r="AD79" s="214"/>
      <c r="AE79" s="214"/>
      <c r="AF79" s="214"/>
      <c r="AG79" s="214"/>
      <c r="AH79" s="214"/>
      <c r="AI79" s="214"/>
      <c r="AJ79" s="214"/>
      <c r="AK79" s="214"/>
      <c r="AL79" s="214"/>
      <c r="AM79" s="214"/>
      <c r="AN79" s="214"/>
    </row>
    <row r="80" spans="16:40">
      <c r="P80" s="214"/>
      <c r="Q80" s="214"/>
      <c r="R80" s="214"/>
      <c r="S80" s="214"/>
      <c r="T80" s="214"/>
      <c r="U80" s="214"/>
      <c r="V80" s="214"/>
      <c r="W80" s="214"/>
      <c r="X80" s="214"/>
      <c r="Z80" s="214"/>
      <c r="AA80" s="214"/>
      <c r="AB80" s="214"/>
      <c r="AC80" s="214"/>
      <c r="AD80" s="214"/>
      <c r="AE80" s="214"/>
      <c r="AF80" s="214"/>
      <c r="AG80" s="214"/>
      <c r="AH80" s="214"/>
      <c r="AI80" s="214"/>
      <c r="AJ80" s="214"/>
      <c r="AK80" s="214"/>
      <c r="AL80" s="214"/>
      <c r="AM80" s="214"/>
      <c r="AN80" s="214"/>
    </row>
    <row r="81" spans="16:40">
      <c r="P81" s="214"/>
      <c r="Q81" s="214"/>
      <c r="R81" s="214"/>
      <c r="S81" s="214"/>
      <c r="T81" s="214"/>
      <c r="U81" s="214"/>
      <c r="V81" s="214"/>
      <c r="W81" s="214"/>
      <c r="X81" s="214"/>
      <c r="Z81" s="214"/>
      <c r="AA81" s="214"/>
      <c r="AB81" s="214"/>
      <c r="AC81" s="214"/>
      <c r="AD81" s="214"/>
      <c r="AE81" s="214"/>
      <c r="AF81" s="214"/>
      <c r="AG81" s="214"/>
      <c r="AH81" s="214"/>
      <c r="AI81" s="214"/>
      <c r="AJ81" s="214"/>
      <c r="AK81" s="214"/>
      <c r="AL81" s="214"/>
      <c r="AM81" s="214"/>
      <c r="AN81" s="214"/>
    </row>
    <row r="82" spans="16:40">
      <c r="P82" s="214"/>
      <c r="Q82" s="214"/>
      <c r="R82" s="214"/>
      <c r="S82" s="214"/>
      <c r="T82" s="214"/>
      <c r="U82" s="214"/>
      <c r="V82" s="214"/>
      <c r="W82" s="214"/>
      <c r="X82" s="214"/>
      <c r="Z82" s="214"/>
      <c r="AA82" s="214"/>
      <c r="AB82" s="214"/>
      <c r="AC82" s="214"/>
      <c r="AD82" s="214"/>
      <c r="AE82" s="214"/>
      <c r="AF82" s="214"/>
      <c r="AG82" s="214"/>
      <c r="AH82" s="214"/>
      <c r="AI82" s="214"/>
      <c r="AJ82" s="214"/>
      <c r="AK82" s="214"/>
      <c r="AL82" s="214"/>
      <c r="AM82" s="214"/>
      <c r="AN82" s="214"/>
    </row>
    <row r="83" spans="16:40">
      <c r="P83" s="214"/>
      <c r="Q83" s="214"/>
      <c r="R83" s="214"/>
      <c r="S83" s="214"/>
      <c r="T83" s="214"/>
      <c r="U83" s="214"/>
      <c r="V83" s="214"/>
      <c r="W83" s="214"/>
      <c r="X83" s="214"/>
      <c r="Z83" s="214"/>
      <c r="AA83" s="214"/>
      <c r="AB83" s="214"/>
      <c r="AC83" s="214"/>
      <c r="AD83" s="214"/>
      <c r="AE83" s="214"/>
      <c r="AF83" s="214"/>
      <c r="AG83" s="214"/>
      <c r="AH83" s="214"/>
      <c r="AI83" s="214"/>
      <c r="AJ83" s="214"/>
      <c r="AK83" s="214"/>
      <c r="AL83" s="214"/>
      <c r="AM83" s="214"/>
      <c r="AN83" s="214"/>
    </row>
    <row r="84" spans="16:40">
      <c r="P84" s="214"/>
      <c r="Q84" s="214"/>
      <c r="R84" s="214"/>
      <c r="S84" s="214"/>
      <c r="T84" s="214"/>
      <c r="U84" s="214"/>
      <c r="V84" s="214"/>
      <c r="W84" s="214"/>
      <c r="X84" s="214"/>
      <c r="Z84" s="214"/>
      <c r="AA84" s="214"/>
      <c r="AB84" s="214"/>
      <c r="AC84" s="214"/>
      <c r="AD84" s="214"/>
      <c r="AE84" s="214"/>
      <c r="AF84" s="214"/>
      <c r="AG84" s="214"/>
      <c r="AH84" s="214"/>
      <c r="AI84" s="214"/>
      <c r="AJ84" s="214"/>
      <c r="AK84" s="214"/>
      <c r="AL84" s="214"/>
      <c r="AM84" s="214"/>
      <c r="AN84" s="214"/>
    </row>
    <row r="85" spans="16:40">
      <c r="P85" s="214"/>
      <c r="Q85" s="214"/>
      <c r="R85" s="214"/>
      <c r="S85" s="214"/>
      <c r="T85" s="214"/>
      <c r="U85" s="214"/>
      <c r="V85" s="214"/>
      <c r="W85" s="214"/>
      <c r="X85" s="214"/>
      <c r="Z85" s="214"/>
      <c r="AA85" s="214"/>
      <c r="AB85" s="214"/>
      <c r="AC85" s="214"/>
      <c r="AD85" s="214"/>
      <c r="AE85" s="214"/>
      <c r="AF85" s="214"/>
      <c r="AG85" s="214"/>
      <c r="AH85" s="214"/>
      <c r="AI85" s="214"/>
      <c r="AJ85" s="214"/>
      <c r="AK85" s="214"/>
      <c r="AL85" s="214"/>
      <c r="AM85" s="214"/>
      <c r="AN85" s="214"/>
    </row>
    <row r="86" spans="16:40">
      <c r="P86" s="214"/>
      <c r="Q86" s="214"/>
      <c r="R86" s="214"/>
      <c r="S86" s="214"/>
      <c r="T86" s="214"/>
      <c r="U86" s="214"/>
      <c r="V86" s="214"/>
      <c r="W86" s="214"/>
      <c r="X86" s="214"/>
      <c r="Z86" s="214"/>
      <c r="AA86" s="214"/>
      <c r="AB86" s="214"/>
      <c r="AC86" s="214"/>
      <c r="AD86" s="214"/>
      <c r="AE86" s="214"/>
      <c r="AF86" s="214"/>
      <c r="AG86" s="214"/>
      <c r="AH86" s="214"/>
      <c r="AI86" s="214"/>
      <c r="AJ86" s="214"/>
      <c r="AK86" s="214"/>
      <c r="AL86" s="214"/>
      <c r="AM86" s="214"/>
      <c r="AN86" s="214"/>
    </row>
    <row r="87" spans="16:40">
      <c r="P87" s="214"/>
      <c r="Q87" s="214"/>
      <c r="R87" s="214"/>
      <c r="S87" s="214"/>
      <c r="T87" s="214"/>
      <c r="U87" s="214"/>
      <c r="V87" s="214"/>
      <c r="W87" s="214"/>
      <c r="X87" s="214"/>
      <c r="Z87" s="214"/>
      <c r="AA87" s="214"/>
      <c r="AB87" s="214"/>
      <c r="AC87" s="214"/>
      <c r="AD87" s="214"/>
      <c r="AE87" s="214"/>
      <c r="AF87" s="214"/>
      <c r="AG87" s="214"/>
      <c r="AH87" s="214"/>
      <c r="AI87" s="214"/>
      <c r="AJ87" s="214"/>
      <c r="AK87" s="214"/>
      <c r="AL87" s="214"/>
      <c r="AM87" s="214"/>
      <c r="AN87" s="214"/>
    </row>
    <row r="88" spans="16:40">
      <c r="P88" s="214"/>
      <c r="Q88" s="214"/>
      <c r="R88" s="214"/>
      <c r="S88" s="214"/>
      <c r="T88" s="214"/>
      <c r="U88" s="214"/>
      <c r="V88" s="214"/>
      <c r="W88" s="214"/>
      <c r="X88" s="214"/>
      <c r="Z88" s="214"/>
      <c r="AA88" s="214"/>
      <c r="AB88" s="214"/>
      <c r="AC88" s="214"/>
      <c r="AD88" s="214"/>
      <c r="AE88" s="214"/>
      <c r="AF88" s="214"/>
      <c r="AG88" s="214"/>
      <c r="AH88" s="214"/>
      <c r="AI88" s="214"/>
      <c r="AJ88" s="214"/>
      <c r="AK88" s="214"/>
      <c r="AL88" s="214"/>
      <c r="AM88" s="214"/>
      <c r="AN88" s="214"/>
    </row>
    <row r="89" spans="16:40">
      <c r="P89" s="214"/>
      <c r="Q89" s="214"/>
      <c r="R89" s="214"/>
      <c r="S89" s="214"/>
      <c r="T89" s="214"/>
      <c r="U89" s="214"/>
      <c r="V89" s="214"/>
      <c r="W89" s="214"/>
      <c r="X89" s="214"/>
      <c r="Z89" s="214"/>
      <c r="AA89" s="214"/>
      <c r="AB89" s="214"/>
      <c r="AC89" s="214"/>
      <c r="AD89" s="214"/>
      <c r="AE89" s="214"/>
      <c r="AF89" s="214"/>
      <c r="AG89" s="214"/>
      <c r="AH89" s="214"/>
      <c r="AI89" s="214"/>
      <c r="AJ89" s="214"/>
      <c r="AK89" s="214"/>
      <c r="AL89" s="214"/>
      <c r="AM89" s="214"/>
      <c r="AN89" s="214"/>
    </row>
    <row r="90" spans="16:40">
      <c r="P90" s="214"/>
      <c r="Q90" s="214"/>
      <c r="R90" s="214"/>
      <c r="S90" s="214"/>
      <c r="T90" s="214"/>
      <c r="U90" s="214"/>
      <c r="V90" s="214"/>
      <c r="W90" s="214"/>
      <c r="X90" s="214"/>
      <c r="Z90" s="214"/>
      <c r="AA90" s="214"/>
      <c r="AB90" s="214"/>
      <c r="AC90" s="214"/>
      <c r="AD90" s="214"/>
      <c r="AE90" s="214"/>
      <c r="AF90" s="214"/>
      <c r="AG90" s="214"/>
      <c r="AH90" s="214"/>
      <c r="AI90" s="214"/>
      <c r="AJ90" s="214"/>
      <c r="AK90" s="214"/>
      <c r="AL90" s="214"/>
      <c r="AM90" s="214"/>
      <c r="AN90" s="214"/>
    </row>
    <row r="91" spans="16:40">
      <c r="P91" s="214"/>
      <c r="Q91" s="214"/>
      <c r="R91" s="214"/>
      <c r="S91" s="214"/>
      <c r="T91" s="214"/>
      <c r="U91" s="214"/>
      <c r="V91" s="214"/>
      <c r="W91" s="214"/>
      <c r="X91" s="214"/>
      <c r="Z91" s="214"/>
      <c r="AA91" s="214"/>
      <c r="AB91" s="214"/>
      <c r="AC91" s="214"/>
      <c r="AD91" s="214"/>
      <c r="AE91" s="214"/>
      <c r="AF91" s="214"/>
      <c r="AG91" s="214"/>
      <c r="AH91" s="214"/>
      <c r="AI91" s="214"/>
      <c r="AJ91" s="214"/>
      <c r="AK91" s="214"/>
      <c r="AL91" s="214"/>
      <c r="AM91" s="214"/>
      <c r="AN91" s="214"/>
    </row>
    <row r="92" spans="16:40">
      <c r="P92" s="214"/>
      <c r="Q92" s="214"/>
      <c r="R92" s="214"/>
      <c r="S92" s="214"/>
      <c r="T92" s="214"/>
      <c r="U92" s="214"/>
      <c r="V92" s="214"/>
      <c r="W92" s="214"/>
      <c r="X92" s="214"/>
      <c r="Z92" s="214"/>
      <c r="AA92" s="214"/>
      <c r="AB92" s="214"/>
      <c r="AC92" s="214"/>
      <c r="AD92" s="214"/>
      <c r="AE92" s="214"/>
      <c r="AF92" s="214"/>
      <c r="AG92" s="214"/>
      <c r="AH92" s="214"/>
      <c r="AI92" s="214"/>
      <c r="AJ92" s="214"/>
      <c r="AK92" s="214"/>
      <c r="AL92" s="214"/>
      <c r="AM92" s="214"/>
      <c r="AN92" s="214"/>
    </row>
    <row r="93" spans="16:40">
      <c r="P93" s="214"/>
      <c r="Q93" s="214"/>
      <c r="R93" s="214"/>
      <c r="S93" s="214"/>
      <c r="T93" s="214"/>
      <c r="U93" s="214"/>
      <c r="V93" s="214"/>
      <c r="W93" s="214"/>
      <c r="X93" s="214"/>
      <c r="Z93" s="214"/>
      <c r="AA93" s="214"/>
      <c r="AB93" s="214"/>
      <c r="AC93" s="214"/>
      <c r="AD93" s="214"/>
      <c r="AE93" s="214"/>
      <c r="AF93" s="214"/>
      <c r="AG93" s="214"/>
      <c r="AH93" s="214"/>
      <c r="AI93" s="214"/>
      <c r="AJ93" s="214"/>
      <c r="AK93" s="214"/>
      <c r="AL93" s="214"/>
      <c r="AM93" s="214"/>
      <c r="AN93" s="214"/>
    </row>
    <row r="94" spans="16:40">
      <c r="P94" s="214"/>
      <c r="Q94" s="214"/>
      <c r="R94" s="214"/>
      <c r="S94" s="214"/>
      <c r="T94" s="214"/>
      <c r="U94" s="214"/>
      <c r="V94" s="214"/>
      <c r="W94" s="214"/>
      <c r="X94" s="214"/>
      <c r="Z94" s="214"/>
      <c r="AA94" s="214"/>
      <c r="AB94" s="214"/>
      <c r="AC94" s="214"/>
      <c r="AD94" s="214"/>
      <c r="AE94" s="214"/>
      <c r="AF94" s="214"/>
      <c r="AG94" s="214"/>
      <c r="AH94" s="214"/>
      <c r="AI94" s="214"/>
      <c r="AJ94" s="214"/>
      <c r="AK94" s="214"/>
      <c r="AL94" s="214"/>
      <c r="AM94" s="214"/>
      <c r="AN94" s="214"/>
    </row>
    <row r="95" spans="16:40">
      <c r="P95" s="214"/>
      <c r="Q95" s="214"/>
      <c r="R95" s="214"/>
      <c r="S95" s="214"/>
      <c r="T95" s="214"/>
      <c r="U95" s="214"/>
      <c r="V95" s="214"/>
      <c r="W95" s="214"/>
      <c r="X95" s="214"/>
      <c r="Z95" s="214"/>
      <c r="AA95" s="214"/>
      <c r="AB95" s="214"/>
      <c r="AC95" s="214"/>
      <c r="AD95" s="214"/>
      <c r="AE95" s="214"/>
      <c r="AF95" s="214"/>
      <c r="AG95" s="214"/>
      <c r="AH95" s="214"/>
      <c r="AI95" s="214"/>
      <c r="AJ95" s="214"/>
      <c r="AK95" s="214"/>
      <c r="AL95" s="214"/>
      <c r="AM95" s="214"/>
      <c r="AN95" s="214"/>
    </row>
    <row r="96" spans="16:40">
      <c r="P96" s="214"/>
      <c r="Q96" s="214"/>
      <c r="R96" s="214"/>
      <c r="S96" s="214"/>
      <c r="T96" s="214"/>
      <c r="U96" s="214"/>
      <c r="V96" s="214"/>
      <c r="W96" s="214"/>
      <c r="X96" s="214"/>
      <c r="Z96" s="214"/>
      <c r="AA96" s="214"/>
      <c r="AB96" s="214"/>
      <c r="AC96" s="214"/>
      <c r="AD96" s="214"/>
      <c r="AE96" s="214"/>
      <c r="AF96" s="214"/>
      <c r="AG96" s="214"/>
      <c r="AH96" s="214"/>
      <c r="AI96" s="214"/>
      <c r="AJ96" s="214"/>
      <c r="AK96" s="214"/>
      <c r="AL96" s="214"/>
      <c r="AM96" s="214"/>
      <c r="AN96" s="214"/>
    </row>
    <row r="97" spans="16:40">
      <c r="P97" s="214"/>
      <c r="Q97" s="214"/>
      <c r="R97" s="214"/>
      <c r="S97" s="214"/>
      <c r="T97" s="214"/>
      <c r="U97" s="214"/>
      <c r="V97" s="214"/>
      <c r="W97" s="214"/>
      <c r="X97" s="214"/>
      <c r="Z97" s="214"/>
      <c r="AA97" s="214"/>
      <c r="AB97" s="214"/>
      <c r="AC97" s="214"/>
      <c r="AD97" s="214"/>
      <c r="AE97" s="214"/>
      <c r="AF97" s="214"/>
      <c r="AG97" s="214"/>
      <c r="AH97" s="214"/>
      <c r="AI97" s="214"/>
      <c r="AJ97" s="214"/>
      <c r="AK97" s="214"/>
      <c r="AL97" s="214"/>
      <c r="AM97" s="214"/>
      <c r="AN97" s="214"/>
    </row>
    <row r="98" spans="16:40">
      <c r="P98" s="214"/>
      <c r="Q98" s="214"/>
      <c r="R98" s="214"/>
      <c r="S98" s="214"/>
      <c r="T98" s="214"/>
      <c r="U98" s="214"/>
      <c r="V98" s="214"/>
      <c r="W98" s="214"/>
      <c r="X98" s="214"/>
      <c r="Z98" s="214"/>
      <c r="AA98" s="214"/>
      <c r="AB98" s="214"/>
      <c r="AC98" s="214"/>
      <c r="AD98" s="214"/>
      <c r="AE98" s="214"/>
      <c r="AF98" s="214"/>
      <c r="AG98" s="214"/>
      <c r="AH98" s="214"/>
      <c r="AI98" s="214"/>
      <c r="AJ98" s="214"/>
      <c r="AK98" s="214"/>
      <c r="AL98" s="214"/>
      <c r="AM98" s="214"/>
      <c r="AN98" s="214"/>
    </row>
    <row r="99" spans="16:40">
      <c r="P99" s="214"/>
      <c r="Q99" s="214"/>
      <c r="R99" s="214"/>
      <c r="S99" s="214"/>
      <c r="T99" s="214"/>
      <c r="U99" s="214"/>
      <c r="V99" s="214"/>
      <c r="W99" s="214"/>
      <c r="X99" s="214"/>
      <c r="Z99" s="214"/>
      <c r="AA99" s="214"/>
      <c r="AB99" s="214"/>
      <c r="AC99" s="214"/>
      <c r="AD99" s="214"/>
      <c r="AE99" s="214"/>
      <c r="AF99" s="214"/>
      <c r="AG99" s="214"/>
      <c r="AH99" s="214"/>
      <c r="AI99" s="214"/>
      <c r="AJ99" s="214"/>
      <c r="AK99" s="214"/>
      <c r="AL99" s="214"/>
      <c r="AM99" s="214"/>
      <c r="AN99" s="214"/>
    </row>
    <row r="100" spans="16:40">
      <c r="P100" s="214"/>
      <c r="Q100" s="214"/>
      <c r="R100" s="214"/>
      <c r="S100" s="214"/>
      <c r="T100" s="214"/>
      <c r="U100" s="214"/>
      <c r="V100" s="214"/>
      <c r="W100" s="214"/>
      <c r="X100" s="214"/>
      <c r="Z100" s="214"/>
      <c r="AA100" s="214"/>
      <c r="AB100" s="214"/>
      <c r="AC100" s="214"/>
      <c r="AD100" s="214"/>
      <c r="AE100" s="214"/>
      <c r="AF100" s="214"/>
      <c r="AG100" s="214"/>
      <c r="AH100" s="214"/>
      <c r="AI100" s="214"/>
      <c r="AJ100" s="214"/>
      <c r="AK100" s="214"/>
      <c r="AL100" s="214"/>
      <c r="AM100" s="214"/>
      <c r="AN100" s="214"/>
    </row>
    <row r="101" spans="16:40">
      <c r="P101" s="214"/>
      <c r="Q101" s="214"/>
      <c r="R101" s="214"/>
      <c r="S101" s="214"/>
      <c r="T101" s="214"/>
      <c r="U101" s="214"/>
      <c r="V101" s="214"/>
      <c r="W101" s="214"/>
      <c r="X101" s="214"/>
      <c r="Z101" s="214"/>
      <c r="AA101" s="214"/>
      <c r="AB101" s="214"/>
      <c r="AC101" s="214"/>
      <c r="AD101" s="214"/>
      <c r="AE101" s="214"/>
      <c r="AF101" s="214"/>
      <c r="AG101" s="214"/>
      <c r="AH101" s="214"/>
      <c r="AI101" s="214"/>
      <c r="AJ101" s="214"/>
      <c r="AK101" s="214"/>
      <c r="AL101" s="214"/>
      <c r="AM101" s="214"/>
      <c r="AN101" s="214"/>
    </row>
    <row r="102" spans="16:40">
      <c r="P102" s="214"/>
      <c r="Q102" s="214"/>
      <c r="R102" s="214"/>
      <c r="S102" s="214"/>
      <c r="T102" s="214"/>
      <c r="U102" s="214"/>
      <c r="V102" s="214"/>
      <c r="W102" s="214"/>
      <c r="X102" s="214"/>
      <c r="Z102" s="214"/>
      <c r="AA102" s="214"/>
      <c r="AB102" s="214"/>
      <c r="AC102" s="214"/>
      <c r="AD102" s="214"/>
      <c r="AE102" s="214"/>
      <c r="AF102" s="214"/>
      <c r="AG102" s="214"/>
      <c r="AH102" s="214"/>
      <c r="AI102" s="214"/>
      <c r="AJ102" s="214"/>
      <c r="AK102" s="214"/>
      <c r="AL102" s="214"/>
      <c r="AM102" s="214"/>
      <c r="AN102" s="214"/>
    </row>
    <row r="103" spans="16:40">
      <c r="P103" s="214"/>
      <c r="Q103" s="214"/>
      <c r="R103" s="214"/>
      <c r="S103" s="214"/>
      <c r="T103" s="214"/>
      <c r="U103" s="214"/>
      <c r="V103" s="214"/>
      <c r="W103" s="214"/>
      <c r="X103" s="214"/>
      <c r="Z103" s="214"/>
      <c r="AA103" s="214"/>
      <c r="AB103" s="214"/>
      <c r="AC103" s="214"/>
      <c r="AD103" s="214"/>
      <c r="AE103" s="214"/>
      <c r="AF103" s="214"/>
      <c r="AG103" s="214"/>
      <c r="AH103" s="214"/>
      <c r="AI103" s="214"/>
      <c r="AJ103" s="214"/>
      <c r="AK103" s="214"/>
      <c r="AL103" s="214"/>
      <c r="AM103" s="214"/>
      <c r="AN103" s="214"/>
    </row>
    <row r="105" spans="14:14">
      <c r="N105" s="215"/>
    </row>
  </sheetData>
  <pageMargins left="0.551181102362205" right="0.551181102362205" top="0.590551181102362" bottom="0.78740157480315" header="0.511811023622047" footer="0.511811023622047"/>
  <pageSetup paperSize="9" scale="16" orientation="landscape"/>
  <headerFooter alignWithMargins="0">
    <oddHeader>&amp;RSafe Cities Index : 2017</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C000"/>
    <pageSetUpPr fitToPage="1"/>
  </sheetPr>
  <dimension ref="A1:BR168"/>
  <sheetViews>
    <sheetView showGridLines="0" showRowColHeaders="0" zoomScale="90" zoomScaleNormal="90" workbookViewId="0">
      <selection activeCell="H16" sqref="H16"/>
    </sheetView>
  </sheetViews>
  <sheetFormatPr defaultColWidth="9" defaultRowHeight="15"/>
  <cols>
    <col min="1" max="1" width="10.8571428571429" style="116" customWidth="1"/>
    <col min="2" max="4" width="10.8571428571429" style="117" customWidth="1"/>
    <col min="5" max="7" width="10.8571428571429" style="118" customWidth="1"/>
    <col min="8" max="8" width="78.4285714285714" style="119" customWidth="1"/>
    <col min="9" max="9" width="12.7142857142857" style="170" customWidth="1"/>
    <col min="10" max="55" width="14.7142857142857" style="120" customWidth="1"/>
    <col min="56" max="56" width="9.14285714285714" style="115"/>
    <col min="57" max="61" width="9" style="115" hidden="1" customWidth="1"/>
    <col min="62" max="63" width="9.14285714285714" style="115" hidden="1" customWidth="1"/>
    <col min="64" max="65" width="9.14285714285714" style="115"/>
    <col min="66" max="76" width="9" style="120" hidden="1" customWidth="1"/>
    <col min="77" max="79" width="9.14285714285714" style="120" hidden="1" customWidth="1"/>
    <col min="80" max="109" width="9" style="120" hidden="1" customWidth="1"/>
    <col min="110" max="16384" width="9.14285714285714" style="120"/>
  </cols>
  <sheetData>
    <row r="1" s="64" customFormat="1" ht="28.5" customHeight="1" spans="2:65">
      <c r="B1" s="121"/>
      <c r="D1" s="79"/>
      <c r="H1" s="79" t="str">
        <f>uxb_works!$B$90</f>
        <v>Safe Cities Index: 2017</v>
      </c>
      <c r="I1" s="172"/>
      <c r="BL1" s="77"/>
      <c r="BM1" s="77"/>
    </row>
    <row r="2" s="64" customFormat="1" ht="28.5" customHeight="1" spans="1:55">
      <c r="A2" s="122"/>
      <c r="B2" s="82"/>
      <c r="C2" s="82"/>
      <c r="D2" s="82"/>
      <c r="E2" s="82"/>
      <c r="F2" s="82"/>
      <c r="G2" s="82"/>
      <c r="H2" s="82"/>
      <c r="I2" s="173"/>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row>
    <row r="3" s="65" customFormat="1" ht="71.1" customHeight="1" spans="1:55">
      <c r="A3" s="85"/>
      <c r="B3" s="85"/>
      <c r="C3" s="85"/>
      <c r="D3" s="85"/>
      <c r="E3" s="85"/>
      <c r="F3" s="85"/>
      <c r="G3" s="85"/>
      <c r="H3" s="85"/>
      <c r="I3" s="174"/>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row>
    <row r="4" ht="23.25" customHeight="1" spans="8:65">
      <c r="H4" s="123"/>
      <c r="I4" s="123">
        <v>0</v>
      </c>
      <c r="J4" s="138">
        <f>I4+1</f>
        <v>1</v>
      </c>
      <c r="K4" s="138">
        <f t="shared" ref="K4:BC4" si="0">J4+1</f>
        <v>2</v>
      </c>
      <c r="L4" s="138">
        <f t="shared" si="0"/>
        <v>3</v>
      </c>
      <c r="M4" s="138">
        <f t="shared" si="0"/>
        <v>4</v>
      </c>
      <c r="N4" s="138">
        <f t="shared" si="0"/>
        <v>5</v>
      </c>
      <c r="O4" s="138">
        <f t="shared" si="0"/>
        <v>6</v>
      </c>
      <c r="P4" s="138">
        <f t="shared" si="0"/>
        <v>7</v>
      </c>
      <c r="Q4" s="138">
        <f t="shared" si="0"/>
        <v>8</v>
      </c>
      <c r="R4" s="138">
        <f t="shared" si="0"/>
        <v>9</v>
      </c>
      <c r="S4" s="138">
        <f t="shared" si="0"/>
        <v>10</v>
      </c>
      <c r="T4" s="138">
        <f t="shared" si="0"/>
        <v>11</v>
      </c>
      <c r="U4" s="138">
        <f t="shared" si="0"/>
        <v>12</v>
      </c>
      <c r="V4" s="138">
        <f t="shared" si="0"/>
        <v>13</v>
      </c>
      <c r="W4" s="138">
        <f t="shared" si="0"/>
        <v>14</v>
      </c>
      <c r="X4" s="138">
        <f t="shared" si="0"/>
        <v>15</v>
      </c>
      <c r="Y4" s="138">
        <f t="shared" si="0"/>
        <v>16</v>
      </c>
      <c r="Z4" s="138">
        <f t="shared" si="0"/>
        <v>17</v>
      </c>
      <c r="AA4" s="138">
        <f t="shared" si="0"/>
        <v>18</v>
      </c>
      <c r="AB4" s="138">
        <f t="shared" si="0"/>
        <v>19</v>
      </c>
      <c r="AC4" s="138">
        <f t="shared" si="0"/>
        <v>20</v>
      </c>
      <c r="AD4" s="138">
        <f t="shared" si="0"/>
        <v>21</v>
      </c>
      <c r="AE4" s="138">
        <f t="shared" si="0"/>
        <v>22</v>
      </c>
      <c r="AF4" s="138">
        <f t="shared" si="0"/>
        <v>23</v>
      </c>
      <c r="AG4" s="138">
        <f t="shared" si="0"/>
        <v>24</v>
      </c>
      <c r="AH4" s="138">
        <f t="shared" si="0"/>
        <v>25</v>
      </c>
      <c r="AI4" s="138">
        <f t="shared" si="0"/>
        <v>26</v>
      </c>
      <c r="AJ4" s="138">
        <f t="shared" si="0"/>
        <v>27</v>
      </c>
      <c r="AK4" s="138">
        <f t="shared" si="0"/>
        <v>28</v>
      </c>
      <c r="AL4" s="138">
        <f t="shared" si="0"/>
        <v>29</v>
      </c>
      <c r="AM4" s="138">
        <f t="shared" si="0"/>
        <v>30</v>
      </c>
      <c r="AN4" s="138">
        <f t="shared" si="0"/>
        <v>31</v>
      </c>
      <c r="AO4" s="138">
        <f t="shared" si="0"/>
        <v>32</v>
      </c>
      <c r="AP4" s="138">
        <f t="shared" si="0"/>
        <v>33</v>
      </c>
      <c r="AQ4" s="138">
        <f t="shared" si="0"/>
        <v>34</v>
      </c>
      <c r="AR4" s="138">
        <f t="shared" si="0"/>
        <v>35</v>
      </c>
      <c r="AS4" s="138">
        <f t="shared" si="0"/>
        <v>36</v>
      </c>
      <c r="AT4" s="138">
        <f t="shared" si="0"/>
        <v>37</v>
      </c>
      <c r="AU4" s="138">
        <f t="shared" si="0"/>
        <v>38</v>
      </c>
      <c r="AV4" s="138">
        <f t="shared" si="0"/>
        <v>39</v>
      </c>
      <c r="AW4" s="138">
        <f t="shared" si="0"/>
        <v>40</v>
      </c>
      <c r="AX4" s="138">
        <f t="shared" si="0"/>
        <v>41</v>
      </c>
      <c r="AY4" s="138">
        <f t="shared" si="0"/>
        <v>42</v>
      </c>
      <c r="AZ4" s="138">
        <f t="shared" si="0"/>
        <v>43</v>
      </c>
      <c r="BA4" s="138">
        <f t="shared" si="0"/>
        <v>44</v>
      </c>
      <c r="BB4" s="138">
        <f t="shared" si="0"/>
        <v>45</v>
      </c>
      <c r="BC4" s="138">
        <f t="shared" si="0"/>
        <v>46</v>
      </c>
      <c r="BD4" s="151"/>
      <c r="BE4" s="151"/>
      <c r="BF4" s="151"/>
      <c r="BG4" s="151"/>
      <c r="BH4" s="151"/>
      <c r="BI4" s="151"/>
      <c r="BJ4" s="151"/>
      <c r="BK4" s="151"/>
      <c r="BL4" s="151"/>
      <c r="BM4" s="151"/>
    </row>
    <row r="5" s="111" customFormat="1" ht="50.1" customHeight="1" spans="1:65">
      <c r="A5" s="124"/>
      <c r="B5" s="125" t="str">
        <f>tblIndicators!A1</f>
        <v>ID</v>
      </c>
      <c r="C5" s="125" t="str">
        <f>tblIndicators!B1</f>
        <v>IS_BG</v>
      </c>
      <c r="D5" s="125" t="s">
        <v>158</v>
      </c>
      <c r="E5" s="126" t="str">
        <f>tblIndicators!E1</f>
        <v>PARENT_CODE</v>
      </c>
      <c r="F5" s="126" t="s">
        <v>159</v>
      </c>
      <c r="G5" s="126" t="str">
        <f>tblIndicators!Z1</f>
        <v>NORM_ID (1=sumproduct, 2=min max set by data values, 2=min max set by user here)</v>
      </c>
      <c r="H5" s="171" t="s">
        <v>97</v>
      </c>
      <c r="I5" s="175" t="s">
        <v>12</v>
      </c>
      <c r="J5" s="176" t="str">
        <f>INDEX(Cities_list!$AF$4:$AF$49,J4)</f>
        <v>Abu Dhabi</v>
      </c>
      <c r="K5" s="176" t="str">
        <f>INDEX(Cities_list!$AF$4:$AF$49,K4)</f>
        <v>Amsterdam</v>
      </c>
      <c r="L5" s="176" t="str">
        <f>INDEX(Cities_list!$AF$4:$AF$49,L4)</f>
        <v>Bangkok</v>
      </c>
      <c r="M5" s="176" t="str">
        <f>INDEX(Cities_list!$AF$4:$AF$49,M4)</f>
        <v>Barcelona</v>
      </c>
      <c r="N5" s="176" t="str">
        <f>INDEX(Cities_list!$AF$4:$AF$49,N4)</f>
        <v>Beijing</v>
      </c>
      <c r="O5" s="176" t="str">
        <f>INDEX(Cities_list!$AF$4:$AF$49,O4)</f>
        <v>Brussels</v>
      </c>
      <c r="P5" s="176" t="str">
        <f>INDEX(Cities_list!$AF$4:$AF$49,P4)</f>
        <v>Buenos Aires</v>
      </c>
      <c r="Q5" s="176" t="str">
        <f>INDEX(Cities_list!$AF$4:$AF$49,Q4)</f>
        <v>Chicago</v>
      </c>
      <c r="R5" s="176" t="str">
        <f>INDEX(Cities_list!$AF$4:$AF$49,R4)</f>
        <v>Delhi</v>
      </c>
      <c r="S5" s="176" t="str">
        <f>INDEX(Cities_list!$AF$4:$AF$49,S4)</f>
        <v>Doha</v>
      </c>
      <c r="T5" s="176" t="str">
        <f>INDEX(Cities_list!$AF$4:$AF$49,T4)</f>
        <v>Frankfurt</v>
      </c>
      <c r="U5" s="176" t="str">
        <f>INDEX(Cities_list!$AF$4:$AF$49,U4)</f>
        <v>Ho Chi Minh City</v>
      </c>
      <c r="V5" s="176" t="str">
        <f>INDEX(Cities_list!$AF$4:$AF$49,V4)</f>
        <v>Hong Kong</v>
      </c>
      <c r="W5" s="176" t="str">
        <f>INDEX(Cities_list!$AF$4:$AF$49,W4)</f>
        <v>Istanbul</v>
      </c>
      <c r="X5" s="176" t="str">
        <f>INDEX(Cities_list!$AF$4:$AF$49,X4)</f>
        <v>Jakarta</v>
      </c>
      <c r="Y5" s="176" t="str">
        <f>INDEX(Cities_list!$AF$4:$AF$49,Y4)</f>
        <v>Johannesburg</v>
      </c>
      <c r="Z5" s="176" t="str">
        <f>INDEX(Cities_list!$AF$4:$AF$49,Z4)</f>
        <v>Kuwait City</v>
      </c>
      <c r="AA5" s="176" t="str">
        <f>INDEX(Cities_list!$AF$4:$AF$49,AA4)</f>
        <v>Lima</v>
      </c>
      <c r="AB5" s="176" t="str">
        <f>INDEX(Cities_list!$AF$4:$AF$49,AB4)</f>
        <v>London</v>
      </c>
      <c r="AC5" s="176" t="str">
        <f>INDEX(Cities_list!$AF$4:$AF$49,AC4)</f>
        <v>Los Angeles</v>
      </c>
      <c r="AD5" s="176" t="str">
        <f>INDEX(Cities_list!$AF$4:$AF$49,AD4)</f>
        <v>Madrid</v>
      </c>
      <c r="AE5" s="176" t="str">
        <f>INDEX(Cities_list!$AF$4:$AF$49,AE4)</f>
        <v>Melbourne</v>
      </c>
      <c r="AF5" s="176" t="str">
        <f>INDEX(Cities_list!$AF$4:$AF$49,AF4)</f>
        <v>Mexico City</v>
      </c>
      <c r="AG5" s="176" t="str">
        <f>INDEX(Cities_list!$AF$4:$AF$49,AG4)</f>
        <v>Milan</v>
      </c>
      <c r="AH5" s="176" t="str">
        <f>INDEX(Cities_list!$AF$4:$AF$49,AH4)</f>
        <v>Moscow</v>
      </c>
      <c r="AI5" s="176" t="str">
        <f>INDEX(Cities_list!$AF$4:$AF$49,AI4)</f>
        <v>Mumbai</v>
      </c>
      <c r="AJ5" s="176" t="str">
        <f>INDEX(Cities_list!$AF$4:$AF$49,AJ4)</f>
        <v>New York</v>
      </c>
      <c r="AK5" s="176" t="str">
        <f>INDEX(Cities_list!$AF$4:$AF$49,AK4)</f>
        <v>Osaka</v>
      </c>
      <c r="AL5" s="176" t="str">
        <f>INDEX(Cities_list!$AF$4:$AF$49,AL4)</f>
        <v>Paris</v>
      </c>
      <c r="AM5" s="176" t="str">
        <f>INDEX(Cities_list!$AF$4:$AF$49,AM4)</f>
        <v>Rio de Janeiro</v>
      </c>
      <c r="AN5" s="176" t="str">
        <f>INDEX(Cities_list!$AF$4:$AF$49,AN4)</f>
        <v>Riyadh</v>
      </c>
      <c r="AO5" s="176" t="str">
        <f>INDEX(Cities_list!$AF$4:$AF$49,AO4)</f>
        <v>Rome</v>
      </c>
      <c r="AP5" s="176" t="str">
        <f>INDEX(Cities_list!$AF$4:$AF$49,AP4)</f>
        <v>San Francisco</v>
      </c>
      <c r="AQ5" s="176" t="str">
        <f>INDEX(Cities_list!$AF$4:$AF$49,AQ4)</f>
        <v>Santiago</v>
      </c>
      <c r="AR5" s="176" t="str">
        <f>INDEX(Cities_list!$AF$4:$AF$49,AR4)</f>
        <v>Sao Paulo</v>
      </c>
      <c r="AS5" s="176" t="str">
        <f>INDEX(Cities_list!$AF$4:$AF$49,AS4)</f>
        <v>Seoul</v>
      </c>
      <c r="AT5" s="176" t="str">
        <f>INDEX(Cities_list!$AF$4:$AF$49,AT4)</f>
        <v>Shanghai</v>
      </c>
      <c r="AU5" s="176" t="str">
        <f>INDEX(Cities_list!$AF$4:$AF$49,AU4)</f>
        <v>Singapore</v>
      </c>
      <c r="AV5" s="176" t="str">
        <f>INDEX(Cities_list!$AF$4:$AF$49,AV4)</f>
        <v>Stockholm</v>
      </c>
      <c r="AW5" s="176" t="str">
        <f>INDEX(Cities_list!$AF$4:$AF$49,AW4)</f>
        <v>Sydney</v>
      </c>
      <c r="AX5" s="176" t="str">
        <f>INDEX(Cities_list!$AF$4:$AF$49,AX4)</f>
        <v>Taipei</v>
      </c>
      <c r="AY5" s="176" t="str">
        <f>INDEX(Cities_list!$AF$4:$AF$49,AY4)</f>
        <v>Tehran</v>
      </c>
      <c r="AZ5" s="176" t="str">
        <f>INDEX(Cities_list!$AF$4:$AF$49,AZ4)</f>
        <v>Tokyo</v>
      </c>
      <c r="BA5" s="176" t="str">
        <f>INDEX(Cities_list!$AF$4:$AF$49,BA4)</f>
        <v>Toronto</v>
      </c>
      <c r="BB5" s="176" t="str">
        <f>INDEX(Cities_list!$AF$4:$AF$49,BB4)</f>
        <v>Washington DC</v>
      </c>
      <c r="BC5" s="176" t="str">
        <f>INDEX(Cities_list!$AF$4:$AF$49,BC4)</f>
        <v>Zurich</v>
      </c>
      <c r="BD5" s="152"/>
      <c r="BE5" s="152"/>
      <c r="BF5" s="152"/>
      <c r="BG5" s="152"/>
      <c r="BH5" s="152"/>
      <c r="BI5" s="152"/>
      <c r="BJ5" s="152"/>
      <c r="BK5" s="152"/>
      <c r="BL5" s="152"/>
      <c r="BM5" s="152"/>
    </row>
    <row r="6" s="112" customFormat="1" ht="30" customHeight="1" spans="1:55">
      <c r="A6" s="129"/>
      <c r="B6" s="130">
        <f>tblIndicators!A2</f>
        <v>1</v>
      </c>
      <c r="C6" s="130">
        <f>tblIndicators!B2</f>
        <v>0</v>
      </c>
      <c r="D6" s="130">
        <f>tblIndicators!F2</f>
        <v>0</v>
      </c>
      <c r="E6" s="130" t="str">
        <f>tblIndicators!E2</f>
        <v>OVERALL SCORE</v>
      </c>
      <c r="F6" s="130" t="str">
        <f>tblIndicators!H2</f>
        <v>OVERALL SCORE</v>
      </c>
      <c r="G6" s="130">
        <f>tblIndicators!Z2</f>
        <v>1</v>
      </c>
      <c r="H6" s="130" t="str">
        <f>tblIndicators!AE2</f>
        <v>OVERALL SCORE</v>
      </c>
      <c r="I6" s="177" t="str">
        <f>IF(G6=1,"",tblIndicators!P2)</f>
        <v/>
      </c>
      <c r="J6" s="178"/>
      <c r="K6" s="179"/>
      <c r="L6" s="178"/>
      <c r="M6" s="179"/>
      <c r="N6" s="178"/>
      <c r="O6" s="179"/>
      <c r="P6" s="178"/>
      <c r="Q6" s="179"/>
      <c r="R6" s="178"/>
      <c r="S6" s="179"/>
      <c r="T6" s="178"/>
      <c r="U6" s="179"/>
      <c r="V6" s="178"/>
      <c r="W6" s="179"/>
      <c r="X6" s="178"/>
      <c r="Y6" s="179"/>
      <c r="Z6" s="178"/>
      <c r="AA6" s="179"/>
      <c r="AB6" s="178"/>
      <c r="AC6" s="179"/>
      <c r="AD6" s="178"/>
      <c r="AE6" s="179"/>
      <c r="AF6" s="179"/>
      <c r="AG6" s="179"/>
      <c r="AH6" s="179"/>
      <c r="AI6" s="179"/>
      <c r="AJ6" s="179"/>
      <c r="AK6" s="179"/>
      <c r="AL6" s="179"/>
      <c r="AM6" s="179"/>
      <c r="AN6" s="179"/>
      <c r="AO6" s="179"/>
      <c r="AP6" s="179"/>
      <c r="AQ6" s="179"/>
      <c r="AR6" s="178"/>
      <c r="AS6" s="179"/>
      <c r="AT6" s="178"/>
      <c r="AU6" s="179"/>
      <c r="AV6" s="178"/>
      <c r="AW6" s="179"/>
      <c r="AX6" s="178"/>
      <c r="AY6" s="179"/>
      <c r="AZ6" s="178"/>
      <c r="BA6" s="179"/>
      <c r="BB6" s="178"/>
      <c r="BC6" s="179"/>
    </row>
    <row r="7" s="112" customFormat="1" ht="22.5" customHeight="1" spans="1:55">
      <c r="A7" s="132"/>
      <c r="B7" s="133">
        <f>tblIndicators!A3</f>
        <v>2</v>
      </c>
      <c r="C7" s="133">
        <f>tblIndicators!B3</f>
        <v>0</v>
      </c>
      <c r="D7" s="133">
        <f>tblIndicators!F3</f>
        <v>1</v>
      </c>
      <c r="E7" s="133" t="str">
        <f>tblIndicators!E3</f>
        <v>OVERALL</v>
      </c>
      <c r="F7" s="133" t="str">
        <f>tblIndicators!H3</f>
        <v>DIGITAL SECURITY</v>
      </c>
      <c r="G7" s="133">
        <f>tblIndicators!Z3</f>
        <v>1</v>
      </c>
      <c r="H7" s="163" t="str">
        <f>REPT(" ",D7)&amp;tblIndicators!AE3</f>
        <v> 1) DIGITAL SECURITY</v>
      </c>
      <c r="I7" s="180" t="str">
        <f>IF(G7=1,"",tblIndicators!P3)</f>
        <v/>
      </c>
      <c r="J7" s="181"/>
      <c r="K7" s="182"/>
      <c r="L7" s="181"/>
      <c r="M7" s="182"/>
      <c r="N7" s="181"/>
      <c r="O7" s="182"/>
      <c r="P7" s="181"/>
      <c r="Q7" s="182"/>
      <c r="R7" s="181"/>
      <c r="S7" s="182"/>
      <c r="T7" s="181"/>
      <c r="U7" s="182"/>
      <c r="V7" s="181"/>
      <c r="W7" s="182"/>
      <c r="X7" s="181"/>
      <c r="Y7" s="182"/>
      <c r="Z7" s="181"/>
      <c r="AA7" s="182"/>
      <c r="AB7" s="181"/>
      <c r="AC7" s="182"/>
      <c r="AD7" s="181"/>
      <c r="AE7" s="182"/>
      <c r="AF7" s="188"/>
      <c r="AG7" s="188"/>
      <c r="AH7" s="188"/>
      <c r="AI7" s="188"/>
      <c r="AJ7" s="188"/>
      <c r="AK7" s="188"/>
      <c r="AL7" s="188"/>
      <c r="AM7" s="188"/>
      <c r="AN7" s="188"/>
      <c r="AO7" s="188"/>
      <c r="AP7" s="188"/>
      <c r="AQ7" s="188"/>
      <c r="AR7" s="181"/>
      <c r="AS7" s="182"/>
      <c r="AT7" s="181"/>
      <c r="AU7" s="182"/>
      <c r="AV7" s="181"/>
      <c r="AW7" s="182"/>
      <c r="AX7" s="181"/>
      <c r="AY7" s="182"/>
      <c r="AZ7" s="181"/>
      <c r="BA7" s="182"/>
      <c r="BB7" s="181"/>
      <c r="BC7" s="182"/>
    </row>
    <row r="8" s="112" customFormat="1" ht="22.5" customHeight="1" spans="1:55">
      <c r="A8" s="132"/>
      <c r="B8" s="133">
        <f>tblIndicators!A4</f>
        <v>3</v>
      </c>
      <c r="C8" s="133">
        <f>tblIndicators!B4</f>
        <v>0</v>
      </c>
      <c r="D8" s="133">
        <f>tblIndicators!F4</f>
        <v>2</v>
      </c>
      <c r="E8" s="133" t="str">
        <f>tblIndicators!E4</f>
        <v>DISE</v>
      </c>
      <c r="F8" s="133" t="str">
        <f>tblIndicators!H4</f>
        <v>Digital security (Inputs)</v>
      </c>
      <c r="G8" s="133">
        <f>tblIndicators!Z4</f>
        <v>1</v>
      </c>
      <c r="H8" s="166" t="str">
        <f>REPT(" ",D8)&amp;tblIndicators!AE4</f>
        <v>  1.1) Digital security (Inputs)</v>
      </c>
      <c r="I8" s="183" t="str">
        <f>IF(G8=1,"",tblIndicators!P4)</f>
        <v/>
      </c>
      <c r="J8" s="184"/>
      <c r="K8" s="185"/>
      <c r="L8" s="184"/>
      <c r="M8" s="185"/>
      <c r="N8" s="184"/>
      <c r="O8" s="185"/>
      <c r="P8" s="184"/>
      <c r="Q8" s="185"/>
      <c r="R8" s="184"/>
      <c r="S8" s="185"/>
      <c r="T8" s="184"/>
      <c r="U8" s="185"/>
      <c r="V8" s="184"/>
      <c r="W8" s="185"/>
      <c r="X8" s="184"/>
      <c r="Y8" s="185"/>
      <c r="Z8" s="184"/>
      <c r="AA8" s="185"/>
      <c r="AB8" s="184"/>
      <c r="AC8" s="185"/>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row>
    <row r="9" s="112" customFormat="1" ht="22.5" customHeight="1" spans="1:70">
      <c r="A9" s="132"/>
      <c r="B9" s="133">
        <f>tblIndicators!A5</f>
        <v>4</v>
      </c>
      <c r="C9" s="133">
        <f>tblIndicators!B5</f>
        <v>0</v>
      </c>
      <c r="D9" s="133">
        <f>tblIndicators!F5</f>
        <v>3</v>
      </c>
      <c r="E9" s="133" t="str">
        <f>tblIndicators!E5</f>
        <v>DISE1.1</v>
      </c>
      <c r="F9" s="133" t="str">
        <f>tblIndicators!H5</f>
        <v>Privacy policy</v>
      </c>
      <c r="G9" s="133">
        <f>tblIndicators!Z5</f>
        <v>3</v>
      </c>
      <c r="H9" s="168" t="str">
        <f>REPT(" ",D9)&amp;tblIndicators!AE5</f>
        <v>   1.1.1) Privacy policy</v>
      </c>
      <c r="I9" s="186" t="str">
        <f>IF(G9=1,"",tblIndicators!P5)</f>
        <v>Scale 1 - 5</v>
      </c>
      <c r="J9" s="184">
        <v>4</v>
      </c>
      <c r="K9" s="187">
        <v>5</v>
      </c>
      <c r="L9" s="184">
        <v>1</v>
      </c>
      <c r="M9" s="187">
        <v>3</v>
      </c>
      <c r="N9" s="184">
        <v>1</v>
      </c>
      <c r="O9" s="187">
        <v>5</v>
      </c>
      <c r="P9" s="184">
        <v>5</v>
      </c>
      <c r="Q9" s="187">
        <v>2</v>
      </c>
      <c r="R9" s="184">
        <v>2</v>
      </c>
      <c r="S9" s="187">
        <v>3</v>
      </c>
      <c r="T9" s="184">
        <v>4</v>
      </c>
      <c r="U9" s="187">
        <v>1</v>
      </c>
      <c r="V9" s="184">
        <v>3</v>
      </c>
      <c r="W9" s="187">
        <v>2</v>
      </c>
      <c r="X9" s="184">
        <v>2</v>
      </c>
      <c r="Y9" s="187">
        <v>4</v>
      </c>
      <c r="Z9" s="184">
        <v>2</v>
      </c>
      <c r="AA9" s="187">
        <v>2</v>
      </c>
      <c r="AB9" s="184">
        <v>3</v>
      </c>
      <c r="AC9" s="187">
        <v>2</v>
      </c>
      <c r="AD9" s="184">
        <v>3</v>
      </c>
      <c r="AE9" s="184">
        <v>3</v>
      </c>
      <c r="AF9" s="184">
        <v>3</v>
      </c>
      <c r="AG9" s="184">
        <v>4</v>
      </c>
      <c r="AH9" s="184">
        <v>2</v>
      </c>
      <c r="AI9" s="184">
        <v>2</v>
      </c>
      <c r="AJ9" s="184">
        <v>2</v>
      </c>
      <c r="AK9" s="184">
        <v>2</v>
      </c>
      <c r="AL9" s="184">
        <v>3</v>
      </c>
      <c r="AM9" s="184">
        <v>2</v>
      </c>
      <c r="AN9" s="184">
        <v>2</v>
      </c>
      <c r="AO9" s="184">
        <v>4</v>
      </c>
      <c r="AP9" s="184">
        <v>2</v>
      </c>
      <c r="AQ9" s="184">
        <v>2</v>
      </c>
      <c r="AR9" s="184">
        <v>2</v>
      </c>
      <c r="AS9" s="184">
        <v>4</v>
      </c>
      <c r="AT9" s="184">
        <v>1</v>
      </c>
      <c r="AU9" s="184">
        <v>2</v>
      </c>
      <c r="AV9" s="184">
        <v>1</v>
      </c>
      <c r="AW9" s="184">
        <v>3</v>
      </c>
      <c r="AX9" s="184">
        <v>2</v>
      </c>
      <c r="AY9" s="184">
        <v>1</v>
      </c>
      <c r="AZ9" s="184">
        <v>2</v>
      </c>
      <c r="BA9" s="184">
        <v>3</v>
      </c>
      <c r="BB9" s="184">
        <v>2</v>
      </c>
      <c r="BC9" s="184">
        <v>3</v>
      </c>
      <c r="BN9" s="112">
        <v>2</v>
      </c>
      <c r="BO9" s="112">
        <v>2</v>
      </c>
      <c r="BP9" s="112">
        <v>2</v>
      </c>
      <c r="BQ9" s="112">
        <v>3</v>
      </c>
      <c r="BR9" s="112">
        <v>2</v>
      </c>
    </row>
    <row r="10" s="112" customFormat="1" ht="22.5" customHeight="1" spans="1:70">
      <c r="A10" s="132"/>
      <c r="B10" s="133">
        <f>tblIndicators!A6</f>
        <v>5</v>
      </c>
      <c r="C10" s="133">
        <f>tblIndicators!B6</f>
        <v>0</v>
      </c>
      <c r="D10" s="133">
        <f>tblIndicators!F6</f>
        <v>3</v>
      </c>
      <c r="E10" s="133" t="str">
        <f>tblIndicators!E6</f>
        <v>DISE1.1</v>
      </c>
      <c r="F10" s="133" t="str">
        <f>tblIndicators!H6</f>
        <v>Citizen awareness of digital threats</v>
      </c>
      <c r="G10" s="133">
        <f>tblIndicators!Z6</f>
        <v>3</v>
      </c>
      <c r="H10" s="168" t="str">
        <f>REPT(" ",D10)&amp;tblIndicators!AE6</f>
        <v>   1.1.2) Citizen awareness of digital threats</v>
      </c>
      <c r="I10" s="186" t="str">
        <f>IF(G10=1,"",tblIndicators!P6)</f>
        <v>Scale 0 - 3</v>
      </c>
      <c r="J10" s="184">
        <v>2</v>
      </c>
      <c r="K10" s="187">
        <v>1</v>
      </c>
      <c r="L10" s="184">
        <v>1</v>
      </c>
      <c r="M10" s="187">
        <v>2</v>
      </c>
      <c r="N10" s="184">
        <v>1</v>
      </c>
      <c r="O10" s="187">
        <v>2</v>
      </c>
      <c r="P10" s="184">
        <v>2</v>
      </c>
      <c r="Q10" s="187">
        <v>2</v>
      </c>
      <c r="R10" s="184">
        <v>3</v>
      </c>
      <c r="S10" s="187">
        <v>1</v>
      </c>
      <c r="T10" s="184">
        <v>1</v>
      </c>
      <c r="U10" s="187">
        <v>1</v>
      </c>
      <c r="V10" s="184">
        <v>2</v>
      </c>
      <c r="W10" s="187">
        <v>1</v>
      </c>
      <c r="X10" s="184">
        <v>2</v>
      </c>
      <c r="Y10" s="187">
        <v>1</v>
      </c>
      <c r="Z10" s="184">
        <v>1</v>
      </c>
      <c r="AA10" s="187">
        <v>2</v>
      </c>
      <c r="AB10" s="184">
        <v>2</v>
      </c>
      <c r="AC10" s="187">
        <v>2</v>
      </c>
      <c r="AD10" s="184">
        <v>2</v>
      </c>
      <c r="AE10" s="184">
        <v>2</v>
      </c>
      <c r="AF10" s="184">
        <v>2</v>
      </c>
      <c r="AG10" s="184">
        <v>0</v>
      </c>
      <c r="AH10" s="184">
        <v>1</v>
      </c>
      <c r="AI10" s="184">
        <v>3</v>
      </c>
      <c r="AJ10" s="184">
        <v>2</v>
      </c>
      <c r="AK10" s="184">
        <v>1</v>
      </c>
      <c r="AL10" s="184">
        <v>0</v>
      </c>
      <c r="AM10" s="184">
        <v>1</v>
      </c>
      <c r="AN10" s="184">
        <v>1</v>
      </c>
      <c r="AO10" s="184">
        <v>0</v>
      </c>
      <c r="AP10" s="184">
        <v>2</v>
      </c>
      <c r="AQ10" s="184">
        <v>2</v>
      </c>
      <c r="AR10" s="184">
        <v>1</v>
      </c>
      <c r="AS10" s="184">
        <v>2</v>
      </c>
      <c r="AT10" s="184">
        <v>1</v>
      </c>
      <c r="AU10" s="184">
        <v>2</v>
      </c>
      <c r="AV10" s="184">
        <v>2</v>
      </c>
      <c r="AW10" s="184">
        <v>2</v>
      </c>
      <c r="AX10" s="184">
        <v>1</v>
      </c>
      <c r="AY10" s="184">
        <v>0</v>
      </c>
      <c r="AZ10" s="184">
        <v>1</v>
      </c>
      <c r="BA10" s="184">
        <v>2</v>
      </c>
      <c r="BB10" s="184">
        <v>2</v>
      </c>
      <c r="BC10" s="184">
        <v>1</v>
      </c>
      <c r="BN10" s="112">
        <v>2</v>
      </c>
      <c r="BO10" s="112">
        <v>2</v>
      </c>
      <c r="BP10" s="112">
        <v>2</v>
      </c>
      <c r="BQ10" s="112">
        <v>2</v>
      </c>
      <c r="BR10" s="112">
        <v>2</v>
      </c>
    </row>
    <row r="11" s="112" customFormat="1" ht="22.5" customHeight="1" spans="1:70">
      <c r="A11" s="132"/>
      <c r="B11" s="133">
        <f>tblIndicators!A7</f>
        <v>6</v>
      </c>
      <c r="C11" s="133">
        <f>tblIndicators!B7</f>
        <v>0</v>
      </c>
      <c r="D11" s="133">
        <f>tblIndicators!F7</f>
        <v>3</v>
      </c>
      <c r="E11" s="133" t="str">
        <f>tblIndicators!E7</f>
        <v>DISE1.1</v>
      </c>
      <c r="F11" s="133" t="str">
        <f>tblIndicators!H7</f>
        <v>Public-private partnerships</v>
      </c>
      <c r="G11" s="133">
        <f>tblIndicators!Z7</f>
        <v>3</v>
      </c>
      <c r="H11" s="168" t="str">
        <f>REPT(" ",D11)&amp;tblIndicators!AE7</f>
        <v>   1.1.3) Public-private partnerships</v>
      </c>
      <c r="I11" s="186" t="str">
        <f>IF(G11=1,"",tblIndicators!P7)</f>
        <v>Scale 0 - 2</v>
      </c>
      <c r="J11" s="184">
        <v>1</v>
      </c>
      <c r="K11" s="187">
        <v>1</v>
      </c>
      <c r="L11" s="184">
        <v>1</v>
      </c>
      <c r="M11" s="187">
        <v>0</v>
      </c>
      <c r="N11" s="184">
        <v>1</v>
      </c>
      <c r="O11" s="187">
        <v>1</v>
      </c>
      <c r="P11" s="184">
        <v>0</v>
      </c>
      <c r="Q11" s="187">
        <v>1</v>
      </c>
      <c r="R11" s="184">
        <v>2</v>
      </c>
      <c r="S11" s="187">
        <v>0</v>
      </c>
      <c r="T11" s="184">
        <v>1</v>
      </c>
      <c r="U11" s="187">
        <v>1</v>
      </c>
      <c r="V11" s="184">
        <v>2</v>
      </c>
      <c r="W11" s="187">
        <v>0</v>
      </c>
      <c r="X11" s="184">
        <v>0</v>
      </c>
      <c r="Y11" s="187">
        <v>1</v>
      </c>
      <c r="Z11" s="184">
        <v>1</v>
      </c>
      <c r="AA11" s="187">
        <v>1</v>
      </c>
      <c r="AB11" s="184">
        <v>1</v>
      </c>
      <c r="AC11" s="187">
        <v>1</v>
      </c>
      <c r="AD11" s="184">
        <v>1</v>
      </c>
      <c r="AE11" s="184">
        <v>1</v>
      </c>
      <c r="AF11" s="184">
        <v>1</v>
      </c>
      <c r="AG11" s="184">
        <v>1</v>
      </c>
      <c r="AH11" s="184">
        <v>1</v>
      </c>
      <c r="AI11" s="184">
        <v>2</v>
      </c>
      <c r="AJ11" s="184">
        <v>2</v>
      </c>
      <c r="AK11" s="184">
        <v>1</v>
      </c>
      <c r="AL11" s="184">
        <v>1</v>
      </c>
      <c r="AM11" s="184">
        <v>1</v>
      </c>
      <c r="AN11" s="184">
        <v>1</v>
      </c>
      <c r="AO11" s="184">
        <v>1</v>
      </c>
      <c r="AP11" s="184">
        <v>1</v>
      </c>
      <c r="AQ11" s="184">
        <v>1</v>
      </c>
      <c r="AR11" s="184">
        <v>1</v>
      </c>
      <c r="AS11" s="184">
        <v>1</v>
      </c>
      <c r="AT11" s="184">
        <v>1</v>
      </c>
      <c r="AU11" s="184">
        <v>2</v>
      </c>
      <c r="AV11" s="184">
        <v>1</v>
      </c>
      <c r="AW11" s="184">
        <v>1</v>
      </c>
      <c r="AX11" s="184">
        <v>0</v>
      </c>
      <c r="AY11" s="184">
        <v>0</v>
      </c>
      <c r="AZ11" s="184">
        <v>2</v>
      </c>
      <c r="BA11" s="184">
        <v>1</v>
      </c>
      <c r="BB11" s="184">
        <v>1</v>
      </c>
      <c r="BC11" s="184">
        <v>1</v>
      </c>
      <c r="BN11" s="112">
        <v>1</v>
      </c>
      <c r="BO11" s="112">
        <v>2</v>
      </c>
      <c r="BP11" s="112">
        <v>1</v>
      </c>
      <c r="BQ11" s="112">
        <v>1</v>
      </c>
      <c r="BR11" s="112">
        <v>1</v>
      </c>
    </row>
    <row r="12" s="112" customFormat="1" ht="22.5" customHeight="1" spans="1:70">
      <c r="A12" s="132"/>
      <c r="B12" s="133">
        <f>tblIndicators!A8</f>
        <v>7</v>
      </c>
      <c r="C12" s="133">
        <f>tblIndicators!B8</f>
        <v>0</v>
      </c>
      <c r="D12" s="133">
        <f>tblIndicators!F8</f>
        <v>3</v>
      </c>
      <c r="E12" s="133" t="str">
        <f>tblIndicators!E8</f>
        <v>DISE1.1</v>
      </c>
      <c r="F12" s="133" t="str">
        <f>tblIndicators!H8</f>
        <v>Level of technology employed</v>
      </c>
      <c r="G12" s="133">
        <f>tblIndicators!Z8</f>
        <v>3</v>
      </c>
      <c r="H12" s="168" t="str">
        <f>REPT(" ",D12)&amp;tblIndicators!AE8</f>
        <v>   1.1.4) Level of technology employed</v>
      </c>
      <c r="I12" s="186" t="str">
        <f>IF(G12=1,"",tblIndicators!P8)</f>
        <v>Scale 0 - 100</v>
      </c>
      <c r="J12" s="184">
        <v>100</v>
      </c>
      <c r="K12" s="187">
        <v>100</v>
      </c>
      <c r="L12" s="184">
        <v>75</v>
      </c>
      <c r="M12" s="187">
        <v>100</v>
      </c>
      <c r="N12" s="184">
        <v>75</v>
      </c>
      <c r="O12" s="187">
        <v>100</v>
      </c>
      <c r="P12" s="184">
        <v>75</v>
      </c>
      <c r="Q12" s="187">
        <v>100</v>
      </c>
      <c r="R12" s="184">
        <v>75</v>
      </c>
      <c r="S12" s="187">
        <v>75</v>
      </c>
      <c r="T12" s="184">
        <v>100</v>
      </c>
      <c r="U12" s="187">
        <v>75</v>
      </c>
      <c r="V12" s="184">
        <v>100</v>
      </c>
      <c r="W12" s="187">
        <v>75</v>
      </c>
      <c r="X12" s="184">
        <v>75</v>
      </c>
      <c r="Y12" s="187">
        <v>75</v>
      </c>
      <c r="Z12" s="184">
        <v>75</v>
      </c>
      <c r="AA12" s="187">
        <v>75</v>
      </c>
      <c r="AB12" s="184">
        <v>100</v>
      </c>
      <c r="AC12" s="187">
        <v>100</v>
      </c>
      <c r="AD12" s="184">
        <v>100</v>
      </c>
      <c r="AE12" s="184">
        <v>100</v>
      </c>
      <c r="AF12" s="184">
        <v>75</v>
      </c>
      <c r="AG12" s="184">
        <v>100</v>
      </c>
      <c r="AH12" s="184">
        <v>75</v>
      </c>
      <c r="AI12" s="184">
        <v>75</v>
      </c>
      <c r="AJ12" s="184">
        <v>100</v>
      </c>
      <c r="AK12" s="184">
        <v>100</v>
      </c>
      <c r="AL12" s="184">
        <v>100</v>
      </c>
      <c r="AM12" s="184">
        <v>75</v>
      </c>
      <c r="AN12" s="184">
        <v>75</v>
      </c>
      <c r="AO12" s="184">
        <v>100</v>
      </c>
      <c r="AP12" s="184">
        <v>100</v>
      </c>
      <c r="AQ12" s="184">
        <v>75</v>
      </c>
      <c r="AR12" s="184">
        <v>75</v>
      </c>
      <c r="AS12" s="184">
        <v>100</v>
      </c>
      <c r="AT12" s="184">
        <v>75</v>
      </c>
      <c r="AU12" s="184">
        <v>100</v>
      </c>
      <c r="AV12" s="184">
        <v>100</v>
      </c>
      <c r="AW12" s="184">
        <v>100</v>
      </c>
      <c r="AX12" s="184">
        <v>100</v>
      </c>
      <c r="AY12" s="184">
        <v>50</v>
      </c>
      <c r="AZ12" s="184">
        <v>100</v>
      </c>
      <c r="BA12" s="184">
        <v>100</v>
      </c>
      <c r="BB12" s="184">
        <v>100</v>
      </c>
      <c r="BC12" s="184">
        <v>100</v>
      </c>
      <c r="BN12" s="112">
        <v>100</v>
      </c>
      <c r="BO12" s="112">
        <v>100</v>
      </c>
      <c r="BP12" s="112">
        <v>100</v>
      </c>
      <c r="BQ12" s="112">
        <v>100</v>
      </c>
      <c r="BR12" s="112">
        <v>100</v>
      </c>
    </row>
    <row r="13" s="112" customFormat="1" ht="22.5" customHeight="1" spans="1:70">
      <c r="A13" s="132"/>
      <c r="B13" s="133">
        <f>tblIndicators!A9</f>
        <v>8</v>
      </c>
      <c r="C13" s="133">
        <f>tblIndicators!B9</f>
        <v>0</v>
      </c>
      <c r="D13" s="133">
        <f>tblIndicators!F9</f>
        <v>3</v>
      </c>
      <c r="E13" s="133" t="str">
        <f>tblIndicators!E9</f>
        <v>DISE1.1</v>
      </c>
      <c r="F13" s="133" t="str">
        <f>tblIndicators!H9</f>
        <v>Dedicated cyber security teams</v>
      </c>
      <c r="G13" s="133">
        <f>tblIndicators!Z9</f>
        <v>3</v>
      </c>
      <c r="H13" s="168" t="str">
        <f>REPT(" ",D13)&amp;tblIndicators!AE9</f>
        <v>   1.1.5) Dedicated cyber security teams</v>
      </c>
      <c r="I13" s="186" t="str">
        <f>IF(G13=1,"",tblIndicators!P9)</f>
        <v>Scale 0 - 2</v>
      </c>
      <c r="J13" s="184">
        <v>2</v>
      </c>
      <c r="K13" s="187">
        <v>1</v>
      </c>
      <c r="L13" s="184">
        <v>1</v>
      </c>
      <c r="M13" s="187">
        <v>2</v>
      </c>
      <c r="N13" s="184">
        <v>1</v>
      </c>
      <c r="O13" s="187">
        <v>1</v>
      </c>
      <c r="P13" s="184">
        <v>1</v>
      </c>
      <c r="Q13" s="187">
        <v>2</v>
      </c>
      <c r="R13" s="184">
        <v>1</v>
      </c>
      <c r="S13" s="187">
        <v>1</v>
      </c>
      <c r="T13" s="184">
        <v>1</v>
      </c>
      <c r="U13" s="187">
        <v>1</v>
      </c>
      <c r="V13" s="184">
        <v>2</v>
      </c>
      <c r="W13" s="187">
        <v>1</v>
      </c>
      <c r="X13" s="184">
        <v>1</v>
      </c>
      <c r="Y13" s="187">
        <v>1</v>
      </c>
      <c r="Z13" s="184">
        <v>1</v>
      </c>
      <c r="AA13" s="187">
        <v>1</v>
      </c>
      <c r="AB13" s="184">
        <v>1</v>
      </c>
      <c r="AC13" s="187">
        <v>2</v>
      </c>
      <c r="AD13" s="184">
        <v>1</v>
      </c>
      <c r="AE13" s="184">
        <v>1</v>
      </c>
      <c r="AF13" s="184">
        <v>1</v>
      </c>
      <c r="AG13" s="184">
        <v>2</v>
      </c>
      <c r="AH13" s="184">
        <v>1</v>
      </c>
      <c r="AI13" s="184">
        <v>2</v>
      </c>
      <c r="AJ13" s="184">
        <v>2</v>
      </c>
      <c r="AK13" s="184">
        <v>1</v>
      </c>
      <c r="AL13" s="184">
        <v>1</v>
      </c>
      <c r="AM13" s="184">
        <v>1</v>
      </c>
      <c r="AN13" s="184">
        <v>1</v>
      </c>
      <c r="AO13" s="184">
        <v>1</v>
      </c>
      <c r="AP13" s="184">
        <v>2</v>
      </c>
      <c r="AQ13" s="184">
        <v>1</v>
      </c>
      <c r="AR13" s="184">
        <v>1</v>
      </c>
      <c r="AS13" s="184">
        <v>1</v>
      </c>
      <c r="AT13" s="184">
        <v>1</v>
      </c>
      <c r="AU13" s="184">
        <v>2</v>
      </c>
      <c r="AV13" s="184">
        <v>1</v>
      </c>
      <c r="AW13" s="184">
        <v>2</v>
      </c>
      <c r="AX13" s="184">
        <v>1</v>
      </c>
      <c r="AY13" s="184">
        <v>1</v>
      </c>
      <c r="AZ13" s="184">
        <v>2</v>
      </c>
      <c r="BA13" s="184">
        <v>2</v>
      </c>
      <c r="BB13" s="184">
        <v>1</v>
      </c>
      <c r="BC13" s="184">
        <v>1</v>
      </c>
      <c r="BN13" s="112">
        <v>2</v>
      </c>
      <c r="BO13" s="112">
        <v>2</v>
      </c>
      <c r="BP13" s="112">
        <v>2</v>
      </c>
      <c r="BQ13" s="112">
        <v>2</v>
      </c>
      <c r="BR13" s="112">
        <v>1</v>
      </c>
    </row>
    <row r="14" s="112" customFormat="1" ht="22.5" customHeight="1" spans="1:55">
      <c r="A14" s="132"/>
      <c r="B14" s="133">
        <f>tblIndicators!A10</f>
        <v>9</v>
      </c>
      <c r="C14" s="133">
        <f>tblIndicators!B10</f>
        <v>0</v>
      </c>
      <c r="D14" s="133">
        <f>tblIndicators!F10</f>
        <v>2</v>
      </c>
      <c r="E14" s="133" t="str">
        <f>tblIndicators!E10</f>
        <v>DISE</v>
      </c>
      <c r="F14" s="133" t="str">
        <f>tblIndicators!H10</f>
        <v>Digital security (Outputs)</v>
      </c>
      <c r="G14" s="133">
        <f>tblIndicators!Z10</f>
        <v>1</v>
      </c>
      <c r="H14" s="168" t="str">
        <f>REPT(" ",D14)&amp;tblIndicators!AE10</f>
        <v>  1.2) Digital security (Outputs)</v>
      </c>
      <c r="I14" s="186" t="str">
        <f>IF(G14=1,"",tblIndicators!P10)</f>
        <v/>
      </c>
      <c r="J14" s="184"/>
      <c r="K14" s="187"/>
      <c r="L14" s="184"/>
      <c r="M14" s="187"/>
      <c r="N14" s="184"/>
      <c r="O14" s="187"/>
      <c r="P14" s="184"/>
      <c r="Q14" s="187"/>
      <c r="R14" s="184"/>
      <c r="S14" s="187"/>
      <c r="T14" s="184"/>
      <c r="U14" s="187"/>
      <c r="V14" s="184"/>
      <c r="W14" s="187"/>
      <c r="X14" s="184"/>
      <c r="Y14" s="187"/>
      <c r="Z14" s="184"/>
      <c r="AA14" s="187"/>
      <c r="AB14" s="184"/>
      <c r="AC14" s="187"/>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row>
    <row r="15" s="112" customFormat="1" ht="22.5" customHeight="1" spans="1:70">
      <c r="A15" s="132"/>
      <c r="B15" s="133">
        <f>tblIndicators!A11</f>
        <v>10</v>
      </c>
      <c r="C15" s="133">
        <f>tblIndicators!B11</f>
        <v>0</v>
      </c>
      <c r="D15" s="133">
        <f>tblIndicators!F11</f>
        <v>3</v>
      </c>
      <c r="E15" s="133" t="str">
        <f>tblIndicators!E11</f>
        <v>DISE1.2</v>
      </c>
      <c r="F15" s="133" t="str">
        <f>tblIndicators!H11</f>
        <v>Frequency of identity theft</v>
      </c>
      <c r="G15" s="133">
        <f>tblIndicators!Z11</f>
        <v>2</v>
      </c>
      <c r="H15" s="168" t="str">
        <f>REPT(" ",D15)&amp;tblIndicators!AE11</f>
        <v>   1.2.1) Frequency of identity theft</v>
      </c>
      <c r="I15" s="186" t="str">
        <f>IF(G15=1,"",tblIndicators!P11)</f>
        <v>%</v>
      </c>
      <c r="J15" s="184">
        <v>0.5</v>
      </c>
      <c r="K15" s="187">
        <v>0.3</v>
      </c>
      <c r="L15" s="184">
        <v>0.5</v>
      </c>
      <c r="M15" s="187">
        <v>6</v>
      </c>
      <c r="N15" s="184">
        <v>14</v>
      </c>
      <c r="O15" s="187">
        <v>2</v>
      </c>
      <c r="P15" s="184">
        <v>0.5</v>
      </c>
      <c r="Q15" s="187">
        <v>4</v>
      </c>
      <c r="R15" s="184">
        <v>12</v>
      </c>
      <c r="S15" s="187">
        <v>0.5</v>
      </c>
      <c r="T15" s="184">
        <v>5</v>
      </c>
      <c r="U15" s="187">
        <v>0.5</v>
      </c>
      <c r="V15" s="184">
        <v>0.5</v>
      </c>
      <c r="W15" s="187">
        <v>5</v>
      </c>
      <c r="X15" s="184">
        <v>11</v>
      </c>
      <c r="Y15" s="187">
        <v>12</v>
      </c>
      <c r="Z15" s="184">
        <v>0.5</v>
      </c>
      <c r="AA15" s="187">
        <v>0.11</v>
      </c>
      <c r="AB15" s="184">
        <v>3</v>
      </c>
      <c r="AC15" s="187">
        <v>4</v>
      </c>
      <c r="AD15" s="184">
        <v>6</v>
      </c>
      <c r="AE15" s="184">
        <v>5</v>
      </c>
      <c r="AF15" s="184">
        <v>6</v>
      </c>
      <c r="AG15" s="184">
        <v>0</v>
      </c>
      <c r="AH15" s="184">
        <v>7</v>
      </c>
      <c r="AI15" s="184">
        <v>12</v>
      </c>
      <c r="AJ15" s="184">
        <v>4</v>
      </c>
      <c r="AK15" s="184">
        <v>1</v>
      </c>
      <c r="AL15" s="184">
        <v>1</v>
      </c>
      <c r="AM15" s="184">
        <v>7</v>
      </c>
      <c r="AN15" s="184">
        <v>5</v>
      </c>
      <c r="AO15" s="184">
        <v>0</v>
      </c>
      <c r="AP15" s="184">
        <v>4</v>
      </c>
      <c r="AQ15" s="184">
        <v>0.5</v>
      </c>
      <c r="AR15" s="184">
        <v>7</v>
      </c>
      <c r="AS15" s="184">
        <v>25</v>
      </c>
      <c r="AT15" s="184">
        <v>14</v>
      </c>
      <c r="AU15" s="184">
        <v>7</v>
      </c>
      <c r="AV15" s="184">
        <v>2.27</v>
      </c>
      <c r="AW15" s="184">
        <v>5</v>
      </c>
      <c r="AX15" s="184">
        <v>0.5</v>
      </c>
      <c r="AY15" s="184">
        <v>0</v>
      </c>
      <c r="AZ15" s="184">
        <v>1</v>
      </c>
      <c r="BA15" s="184">
        <v>4</v>
      </c>
      <c r="BB15" s="184">
        <v>4</v>
      </c>
      <c r="BC15" s="184">
        <v>1</v>
      </c>
      <c r="BN15" s="112">
        <v>4</v>
      </c>
      <c r="BO15" s="112">
        <v>4</v>
      </c>
      <c r="BP15" s="112">
        <v>4</v>
      </c>
      <c r="BQ15" s="112">
        <v>4</v>
      </c>
      <c r="BR15" s="112">
        <v>4</v>
      </c>
    </row>
    <row r="16" s="112" customFormat="1" ht="22.5" customHeight="1" spans="1:70">
      <c r="A16" s="132"/>
      <c r="B16" s="133">
        <f>tblIndicators!A12</f>
        <v>11</v>
      </c>
      <c r="C16" s="133">
        <f>tblIndicators!B12</f>
        <v>0</v>
      </c>
      <c r="D16" s="133">
        <f>tblIndicators!F12</f>
        <v>3</v>
      </c>
      <c r="E16" s="133" t="str">
        <f>tblIndicators!E12</f>
        <v>DISE1.2</v>
      </c>
      <c r="F16" s="133" t="str">
        <f>tblIndicators!H12</f>
        <v>Percentage of computers infected</v>
      </c>
      <c r="G16" s="133">
        <f>tblIndicators!Z12</f>
        <v>3</v>
      </c>
      <c r="H16" s="168" t="str">
        <f>REPT(" ",D16)&amp;tblIndicators!AE12</f>
        <v>   1.2.2) Percentage of computers infected</v>
      </c>
      <c r="I16" s="186" t="str">
        <f>IF(G16=1,"",tblIndicators!P12)</f>
        <v>Scale 1-5 (1 best, 5 worst)</v>
      </c>
      <c r="J16" s="184">
        <v>3</v>
      </c>
      <c r="K16" s="187">
        <v>2</v>
      </c>
      <c r="L16" s="184">
        <v>4</v>
      </c>
      <c r="M16" s="187">
        <v>4</v>
      </c>
      <c r="N16" s="184">
        <v>3</v>
      </c>
      <c r="O16" s="187">
        <v>3</v>
      </c>
      <c r="P16" s="184">
        <v>2</v>
      </c>
      <c r="Q16" s="187">
        <v>3</v>
      </c>
      <c r="R16" s="184">
        <v>3</v>
      </c>
      <c r="S16" s="187">
        <v>3</v>
      </c>
      <c r="T16" s="184">
        <v>4</v>
      </c>
      <c r="U16" s="187">
        <v>5</v>
      </c>
      <c r="V16" s="184">
        <v>3</v>
      </c>
      <c r="W16" s="187">
        <v>4</v>
      </c>
      <c r="X16" s="184">
        <v>3</v>
      </c>
      <c r="Y16" s="187">
        <v>2</v>
      </c>
      <c r="Z16" s="184">
        <v>3</v>
      </c>
      <c r="AA16" s="187">
        <v>3</v>
      </c>
      <c r="AB16" s="184">
        <v>3</v>
      </c>
      <c r="AC16" s="187">
        <v>3</v>
      </c>
      <c r="AD16" s="184">
        <v>4</v>
      </c>
      <c r="AE16" s="184">
        <v>3</v>
      </c>
      <c r="AF16" s="184">
        <v>2</v>
      </c>
      <c r="AG16" s="184">
        <v>3</v>
      </c>
      <c r="AH16" s="184">
        <v>5</v>
      </c>
      <c r="AI16" s="184">
        <v>3</v>
      </c>
      <c r="AJ16" s="184">
        <v>3</v>
      </c>
      <c r="AK16" s="184">
        <v>1</v>
      </c>
      <c r="AL16" s="184">
        <v>4</v>
      </c>
      <c r="AM16" s="184">
        <v>3</v>
      </c>
      <c r="AN16" s="184">
        <v>4</v>
      </c>
      <c r="AO16" s="184">
        <v>3</v>
      </c>
      <c r="AP16" s="184">
        <v>3</v>
      </c>
      <c r="AQ16" s="184">
        <v>2</v>
      </c>
      <c r="AR16" s="184">
        <v>3</v>
      </c>
      <c r="AS16" s="184">
        <v>3</v>
      </c>
      <c r="AT16" s="184">
        <v>3</v>
      </c>
      <c r="AU16" s="184">
        <v>1</v>
      </c>
      <c r="AV16" s="184">
        <v>3</v>
      </c>
      <c r="AW16" s="184">
        <v>3</v>
      </c>
      <c r="AX16" s="184">
        <v>2</v>
      </c>
      <c r="AY16" s="184">
        <v>3</v>
      </c>
      <c r="AZ16" s="184">
        <v>1</v>
      </c>
      <c r="BA16" s="184">
        <v>3</v>
      </c>
      <c r="BB16" s="184">
        <v>3</v>
      </c>
      <c r="BC16" s="184">
        <v>3</v>
      </c>
      <c r="BN16" s="112">
        <v>3</v>
      </c>
      <c r="BO16" s="112">
        <v>3</v>
      </c>
      <c r="BP16" s="112">
        <v>3</v>
      </c>
      <c r="BQ16" s="112">
        <v>3</v>
      </c>
      <c r="BR16" s="112">
        <v>3</v>
      </c>
    </row>
    <row r="17" s="112" customFormat="1" ht="22.5" customHeight="1" spans="1:70">
      <c r="A17" s="132"/>
      <c r="B17" s="133">
        <f>tblIndicators!A13</f>
        <v>12</v>
      </c>
      <c r="C17" s="133">
        <f>tblIndicators!B13</f>
        <v>0</v>
      </c>
      <c r="D17" s="133">
        <f>tblIndicators!F13</f>
        <v>3</v>
      </c>
      <c r="E17" s="133" t="str">
        <f>tblIndicators!E13</f>
        <v>DISE1.2</v>
      </c>
      <c r="F17" s="133" t="str">
        <f>tblIndicators!H13</f>
        <v>Percentage with Internet access</v>
      </c>
      <c r="G17" s="133">
        <f>tblIndicators!Z13</f>
        <v>2</v>
      </c>
      <c r="H17" s="168" t="str">
        <f>REPT(" ",D17)&amp;tblIndicators!AE13</f>
        <v>   1.2.3) Percentage with Internet access</v>
      </c>
      <c r="I17" s="186" t="str">
        <f>IF(G17=1,"",tblIndicators!P13)</f>
        <v>%</v>
      </c>
      <c r="J17" s="184">
        <v>0.88</v>
      </c>
      <c r="K17" s="187">
        <v>0.94</v>
      </c>
      <c r="L17" s="184">
        <v>0.2576</v>
      </c>
      <c r="M17" s="187">
        <v>0.744</v>
      </c>
      <c r="N17" s="184">
        <v>0.722</v>
      </c>
      <c r="O17" s="187">
        <v>0.8217</v>
      </c>
      <c r="P17" s="184">
        <v>0.6809</v>
      </c>
      <c r="Q17" s="187">
        <v>0.75</v>
      </c>
      <c r="R17" s="184">
        <v>0.4835</v>
      </c>
      <c r="S17" s="187">
        <v>0.82</v>
      </c>
      <c r="T17" s="184">
        <v>0.84</v>
      </c>
      <c r="U17" s="187">
        <v>0.5</v>
      </c>
      <c r="V17" s="184">
        <v>0.779</v>
      </c>
      <c r="W17" s="187">
        <v>0.466</v>
      </c>
      <c r="X17" s="184">
        <v>0.369</v>
      </c>
      <c r="Y17" s="187">
        <v>0.54</v>
      </c>
      <c r="Z17" s="184">
        <v>0.74</v>
      </c>
      <c r="AA17" s="187">
        <v>0.072</v>
      </c>
      <c r="AB17" s="184">
        <v>0.9</v>
      </c>
      <c r="AC17" s="187">
        <v>0.86</v>
      </c>
      <c r="AD17" s="184">
        <v>0.77</v>
      </c>
      <c r="AE17" s="184">
        <v>0.76</v>
      </c>
      <c r="AF17" s="184">
        <v>0.5113</v>
      </c>
      <c r="AG17" s="184">
        <v>0.63</v>
      </c>
      <c r="AH17" s="184">
        <v>0.74</v>
      </c>
      <c r="AI17" s="184">
        <v>0.47</v>
      </c>
      <c r="AJ17" s="184">
        <v>0.83</v>
      </c>
      <c r="AK17" s="184">
        <v>0.8603</v>
      </c>
      <c r="AL17" s="184">
        <v>0.82</v>
      </c>
      <c r="AM17" s="184">
        <v>0.47</v>
      </c>
      <c r="AN17" s="184">
        <v>0.541</v>
      </c>
      <c r="AO17" s="184">
        <v>0.58</v>
      </c>
      <c r="AP17" s="184">
        <v>0.8</v>
      </c>
      <c r="AQ17" s="184">
        <v>0.677</v>
      </c>
      <c r="AR17" s="184">
        <v>0.48</v>
      </c>
      <c r="AS17" s="184">
        <v>0.832</v>
      </c>
      <c r="AT17" s="184">
        <v>0.684</v>
      </c>
      <c r="AU17" s="184">
        <v>0.73</v>
      </c>
      <c r="AV17" s="184">
        <v>0.948</v>
      </c>
      <c r="AW17" s="184">
        <v>0.763</v>
      </c>
      <c r="AX17" s="184">
        <v>0.7</v>
      </c>
      <c r="AY17" s="184">
        <v>0.26</v>
      </c>
      <c r="AZ17" s="184">
        <v>0.87</v>
      </c>
      <c r="BA17" s="184">
        <v>0.81</v>
      </c>
      <c r="BB17" s="184">
        <v>0.86</v>
      </c>
      <c r="BC17" s="184">
        <v>0.88</v>
      </c>
      <c r="BN17" s="112">
        <v>0.86</v>
      </c>
      <c r="BO17" s="112">
        <v>0.83</v>
      </c>
      <c r="BP17" s="112">
        <v>0.8</v>
      </c>
      <c r="BQ17" s="112">
        <v>0.81</v>
      </c>
      <c r="BR17" s="112">
        <v>0.86</v>
      </c>
    </row>
    <row r="18" s="112" customFormat="1" ht="22.5" customHeight="1" spans="1:55">
      <c r="A18" s="132"/>
      <c r="B18" s="133">
        <f>tblIndicators!A14</f>
        <v>13</v>
      </c>
      <c r="C18" s="133">
        <f>tblIndicators!B14</f>
        <v>0</v>
      </c>
      <c r="D18" s="133">
        <f>tblIndicators!F14</f>
        <v>1</v>
      </c>
      <c r="E18" s="133" t="str">
        <f>tblIndicators!E14</f>
        <v>OVERALL</v>
      </c>
      <c r="F18" s="133" t="str">
        <f>tblIndicators!H14</f>
        <v>HEALTH SECURITY</v>
      </c>
      <c r="G18" s="133">
        <f>tblIndicators!Z14</f>
        <v>1</v>
      </c>
      <c r="H18" s="168" t="str">
        <f>REPT(" ",D18)&amp;tblIndicators!AE14</f>
        <v> 2) HEALTH SECURITY</v>
      </c>
      <c r="I18" s="186" t="str">
        <f>IF(G18=1,"",tblIndicators!P14)</f>
        <v/>
      </c>
      <c r="J18" s="184"/>
      <c r="K18" s="187"/>
      <c r="L18" s="184"/>
      <c r="M18" s="187"/>
      <c r="N18" s="184"/>
      <c r="O18" s="187"/>
      <c r="P18" s="184"/>
      <c r="Q18" s="187"/>
      <c r="R18" s="184"/>
      <c r="S18" s="187"/>
      <c r="T18" s="184"/>
      <c r="U18" s="187"/>
      <c r="V18" s="184"/>
      <c r="W18" s="187"/>
      <c r="X18" s="184"/>
      <c r="Y18" s="187"/>
      <c r="Z18" s="184"/>
      <c r="AA18" s="187"/>
      <c r="AB18" s="184"/>
      <c r="AC18" s="187"/>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row>
    <row r="19" s="112" customFormat="1" ht="22.5" customHeight="1" spans="1:55">
      <c r="A19" s="132"/>
      <c r="B19" s="133">
        <f>tblIndicators!A15</f>
        <v>14</v>
      </c>
      <c r="C19" s="133">
        <f>tblIndicators!B15</f>
        <v>0</v>
      </c>
      <c r="D19" s="133">
        <f>tblIndicators!F15</f>
        <v>2</v>
      </c>
      <c r="E19" s="133" t="str">
        <f>tblIndicators!E15</f>
        <v>HESE</v>
      </c>
      <c r="F19" s="133" t="str">
        <f>tblIndicators!H15</f>
        <v>Health security (Inputs)</v>
      </c>
      <c r="G19" s="133">
        <f>tblIndicators!Z15</f>
        <v>1</v>
      </c>
      <c r="H19" s="168" t="str">
        <f>REPT(" ",D19)&amp;tblIndicators!AE15</f>
        <v>  2.1) Health security (Inputs)</v>
      </c>
      <c r="I19" s="186" t="str">
        <f>IF(G19=1,"",tblIndicators!P15)</f>
        <v/>
      </c>
      <c r="J19" s="184"/>
      <c r="K19" s="187"/>
      <c r="L19" s="184"/>
      <c r="M19" s="187"/>
      <c r="N19" s="184"/>
      <c r="O19" s="187"/>
      <c r="P19" s="184"/>
      <c r="Q19" s="187"/>
      <c r="R19" s="184"/>
      <c r="S19" s="187"/>
      <c r="T19" s="184"/>
      <c r="U19" s="187"/>
      <c r="V19" s="184"/>
      <c r="W19" s="187"/>
      <c r="X19" s="184"/>
      <c r="Y19" s="187"/>
      <c r="Z19" s="184"/>
      <c r="AA19" s="187"/>
      <c r="AB19" s="184"/>
      <c r="AC19" s="187"/>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row>
    <row r="20" s="112" customFormat="1" ht="22.5" customHeight="1" spans="1:70">
      <c r="A20" s="132"/>
      <c r="B20" s="133">
        <f>tblIndicators!A16</f>
        <v>15</v>
      </c>
      <c r="C20" s="133">
        <f>tblIndicators!B16</f>
        <v>0</v>
      </c>
      <c r="D20" s="133">
        <f>tblIndicators!F16</f>
        <v>3</v>
      </c>
      <c r="E20" s="133" t="str">
        <f>tblIndicators!E16</f>
        <v>HESE2.1</v>
      </c>
      <c r="F20" s="133" t="str">
        <f>tblIndicators!H16</f>
        <v>Environmental policies</v>
      </c>
      <c r="G20" s="133">
        <f>tblIndicators!Z16</f>
        <v>2</v>
      </c>
      <c r="H20" s="168" t="str">
        <f>REPT(" ",D20)&amp;tblIndicators!AE16</f>
        <v>   2.1.1) Environmental policies</v>
      </c>
      <c r="I20" s="186" t="str">
        <f>IF(G20=1,"",tblIndicators!P16)</f>
        <v>Score 0 - 100</v>
      </c>
      <c r="J20" s="184">
        <v>64</v>
      </c>
      <c r="K20" s="187">
        <v>91.1</v>
      </c>
      <c r="L20" s="184">
        <v>93.1</v>
      </c>
      <c r="M20" s="187">
        <v>80</v>
      </c>
      <c r="N20" s="184">
        <v>79.4</v>
      </c>
      <c r="O20" s="187">
        <v>100</v>
      </c>
      <c r="P20" s="184">
        <v>74.7</v>
      </c>
      <c r="Q20" s="187">
        <v>87.8</v>
      </c>
      <c r="R20" s="184">
        <v>88.2</v>
      </c>
      <c r="S20" s="187">
        <v>36</v>
      </c>
      <c r="T20" s="184">
        <v>75.6</v>
      </c>
      <c r="U20" s="187">
        <v>43.9</v>
      </c>
      <c r="V20" s="184">
        <v>98.3</v>
      </c>
      <c r="W20" s="187">
        <v>31.1</v>
      </c>
      <c r="X20" s="184">
        <v>89.6</v>
      </c>
      <c r="Y20" s="187">
        <v>69.4</v>
      </c>
      <c r="Z20" s="184">
        <v>22</v>
      </c>
      <c r="AA20" s="187">
        <v>61.5</v>
      </c>
      <c r="AB20" s="184">
        <v>76.7</v>
      </c>
      <c r="AC20" s="187">
        <v>94.4</v>
      </c>
      <c r="AD20" s="184">
        <v>80</v>
      </c>
      <c r="AE20" s="184">
        <v>78</v>
      </c>
      <c r="AF20" s="184">
        <v>93.9</v>
      </c>
      <c r="AG20" s="184">
        <v>52.2</v>
      </c>
      <c r="AH20" s="184">
        <v>89</v>
      </c>
      <c r="AI20" s="184">
        <v>62</v>
      </c>
      <c r="AJ20" s="184">
        <v>100</v>
      </c>
      <c r="AK20" s="184">
        <v>96.5</v>
      </c>
      <c r="AL20" s="184">
        <v>94.4</v>
      </c>
      <c r="AM20" s="184">
        <v>93.1</v>
      </c>
      <c r="AN20" s="184">
        <v>22</v>
      </c>
      <c r="AO20" s="184">
        <v>52.2</v>
      </c>
      <c r="AP20" s="184">
        <v>93.3</v>
      </c>
      <c r="AQ20" s="184">
        <v>69.4</v>
      </c>
      <c r="AR20" s="184">
        <v>66.7</v>
      </c>
      <c r="AS20" s="184">
        <v>93.1</v>
      </c>
      <c r="AT20" s="184">
        <v>85</v>
      </c>
      <c r="AU20" s="184">
        <v>97.5</v>
      </c>
      <c r="AV20" s="184">
        <v>100</v>
      </c>
      <c r="AW20" s="184">
        <v>67</v>
      </c>
      <c r="AX20" s="184">
        <v>93.1</v>
      </c>
      <c r="AY20" s="184">
        <v>71</v>
      </c>
      <c r="AZ20" s="184">
        <v>96.5</v>
      </c>
      <c r="BA20" s="184">
        <v>60</v>
      </c>
      <c r="BB20" s="184">
        <v>100</v>
      </c>
      <c r="BC20" s="184">
        <v>87.8</v>
      </c>
      <c r="BN20" s="112">
        <v>94.4</v>
      </c>
      <c r="BO20" s="112">
        <v>100</v>
      </c>
      <c r="BP20" s="112">
        <v>93.3</v>
      </c>
      <c r="BQ20" s="112">
        <v>60</v>
      </c>
      <c r="BR20" s="112">
        <v>100</v>
      </c>
    </row>
    <row r="21" s="112" customFormat="1" ht="22.5" customHeight="1" spans="1:70">
      <c r="A21" s="132"/>
      <c r="B21" s="133">
        <f>tblIndicators!A17</f>
        <v>16</v>
      </c>
      <c r="C21" s="133">
        <f>tblIndicators!B17</f>
        <v>0</v>
      </c>
      <c r="D21" s="133">
        <f>tblIndicators!F17</f>
        <v>3</v>
      </c>
      <c r="E21" s="133" t="str">
        <f>tblIndicators!E17</f>
        <v>HESE2.1</v>
      </c>
      <c r="F21" s="133" t="str">
        <f>tblIndicators!H17</f>
        <v>Access to healthcare</v>
      </c>
      <c r="G21" s="133">
        <f>tblIndicators!Z17</f>
        <v>3</v>
      </c>
      <c r="H21" s="168" t="str">
        <f>REPT(" ",D21)&amp;tblIndicators!AE17</f>
        <v>   2.1.2) Access to healthcare</v>
      </c>
      <c r="I21" s="186" t="str">
        <f>IF(G21=1,"",tblIndicators!P17)</f>
        <v>Score 0 - 100</v>
      </c>
      <c r="J21" s="184">
        <v>66.6666666666667</v>
      </c>
      <c r="K21" s="187">
        <v>100</v>
      </c>
      <c r="L21" s="184">
        <v>75</v>
      </c>
      <c r="M21" s="187">
        <v>91.6666666666667</v>
      </c>
      <c r="N21" s="184">
        <v>83.3333333333333</v>
      </c>
      <c r="O21" s="187">
        <v>100</v>
      </c>
      <c r="P21" s="184">
        <v>91.6666666666667</v>
      </c>
      <c r="Q21" s="187">
        <v>91.6666666666667</v>
      </c>
      <c r="R21" s="184">
        <v>75</v>
      </c>
      <c r="S21" s="187">
        <v>75</v>
      </c>
      <c r="T21" s="184">
        <v>100</v>
      </c>
      <c r="U21" s="187">
        <v>66.6666666666667</v>
      </c>
      <c r="V21" s="184">
        <v>91.6666666666667</v>
      </c>
      <c r="W21" s="187">
        <v>50</v>
      </c>
      <c r="X21" s="184">
        <v>66.6666666666667</v>
      </c>
      <c r="Y21" s="187">
        <v>75</v>
      </c>
      <c r="Z21" s="184">
        <v>75</v>
      </c>
      <c r="AA21" s="187">
        <v>83.3333333333333</v>
      </c>
      <c r="AB21" s="184">
        <v>83.3333333333333</v>
      </c>
      <c r="AC21" s="187">
        <v>91.6666666666667</v>
      </c>
      <c r="AD21" s="184">
        <v>91.6666666666667</v>
      </c>
      <c r="AE21" s="184">
        <v>100</v>
      </c>
      <c r="AF21" s="184">
        <v>83.3333333333333</v>
      </c>
      <c r="AG21" s="184">
        <v>91.6666666666667</v>
      </c>
      <c r="AH21" s="184">
        <v>75</v>
      </c>
      <c r="AI21" s="184">
        <v>83.3333333333333</v>
      </c>
      <c r="AJ21" s="184">
        <v>91.6666666666667</v>
      </c>
      <c r="AK21" s="184">
        <v>100</v>
      </c>
      <c r="AL21" s="184">
        <v>100</v>
      </c>
      <c r="AM21" s="184">
        <v>66.6666666666667</v>
      </c>
      <c r="AN21" s="184">
        <v>75</v>
      </c>
      <c r="AO21" s="184">
        <v>91.6666666666667</v>
      </c>
      <c r="AP21" s="184">
        <v>91.6666666666667</v>
      </c>
      <c r="AQ21" s="184">
        <v>75</v>
      </c>
      <c r="AR21" s="184">
        <v>75</v>
      </c>
      <c r="AS21" s="184">
        <v>91.6666666666667</v>
      </c>
      <c r="AT21" s="184">
        <v>66.6666666666667</v>
      </c>
      <c r="AU21" s="184">
        <v>91.6666666666667</v>
      </c>
      <c r="AV21" s="184">
        <v>91.6666666666667</v>
      </c>
      <c r="AW21" s="184">
        <v>100</v>
      </c>
      <c r="AX21" s="184">
        <v>83.3333333333333</v>
      </c>
      <c r="AY21" s="184">
        <v>58.3333333333333</v>
      </c>
      <c r="AZ21" s="184">
        <v>100</v>
      </c>
      <c r="BA21" s="184">
        <v>100</v>
      </c>
      <c r="BB21" s="184">
        <v>91.6666666666667</v>
      </c>
      <c r="BC21" s="184">
        <v>100</v>
      </c>
      <c r="BN21" s="112">
        <v>91.6666666666667</v>
      </c>
      <c r="BO21" s="112">
        <v>91.6666666666667</v>
      </c>
      <c r="BP21" s="112">
        <v>91.6666666666667</v>
      </c>
      <c r="BQ21" s="112">
        <v>100</v>
      </c>
      <c r="BR21" s="112">
        <v>91.6666666666667</v>
      </c>
    </row>
    <row r="22" s="112" customFormat="1" ht="22.5" customHeight="1" spans="1:70">
      <c r="A22" s="132"/>
      <c r="B22" s="133">
        <f>tblIndicators!A18</f>
        <v>17</v>
      </c>
      <c r="C22" s="133">
        <f>tblIndicators!B18</f>
        <v>0</v>
      </c>
      <c r="D22" s="133">
        <f>tblIndicators!F18</f>
        <v>3</v>
      </c>
      <c r="E22" s="133" t="str">
        <f>tblIndicators!E18</f>
        <v>HESE2.1</v>
      </c>
      <c r="F22" s="133" t="str">
        <f>tblIndicators!H18</f>
        <v>No. of beds per 1,000</v>
      </c>
      <c r="G22" s="133">
        <f>tblIndicators!Z18</f>
        <v>2</v>
      </c>
      <c r="H22" s="168" t="str">
        <f>REPT(" ",D22)&amp;tblIndicators!AE18</f>
        <v>   2.1.3) No. of beds per 1,000</v>
      </c>
      <c r="I22" s="186" t="str">
        <f>IF(G22=1,"",tblIndicators!P18)</f>
        <v>#/1000</v>
      </c>
      <c r="J22" s="184">
        <v>2.7</v>
      </c>
      <c r="K22" s="187">
        <v>4.7</v>
      </c>
      <c r="L22" s="184">
        <v>3.76</v>
      </c>
      <c r="M22" s="187">
        <v>3.22</v>
      </c>
      <c r="N22" s="184">
        <v>4.84</v>
      </c>
      <c r="O22" s="187">
        <v>7.63</v>
      </c>
      <c r="P22" s="184">
        <v>4.5</v>
      </c>
      <c r="Q22" s="187">
        <v>2.5</v>
      </c>
      <c r="R22" s="184">
        <v>2.25</v>
      </c>
      <c r="S22" s="187">
        <v>1.2</v>
      </c>
      <c r="T22" s="184">
        <v>8.3</v>
      </c>
      <c r="U22" s="187">
        <v>3.8</v>
      </c>
      <c r="V22" s="184">
        <v>4.99</v>
      </c>
      <c r="W22" s="187">
        <v>0.017</v>
      </c>
      <c r="X22" s="184">
        <v>1.6</v>
      </c>
      <c r="Y22" s="187">
        <v>1.5</v>
      </c>
      <c r="Z22" s="184">
        <v>2.2</v>
      </c>
      <c r="AA22" s="187">
        <v>1.6</v>
      </c>
      <c r="AB22" s="184">
        <v>2.2</v>
      </c>
      <c r="AC22" s="187">
        <v>1.23</v>
      </c>
      <c r="AD22" s="184">
        <v>3.04</v>
      </c>
      <c r="AE22" s="184">
        <v>2.32</v>
      </c>
      <c r="AF22" s="184">
        <v>1.1</v>
      </c>
      <c r="AG22" s="184">
        <v>5.6</v>
      </c>
      <c r="AH22" s="184">
        <v>9.7</v>
      </c>
      <c r="AI22" s="184">
        <v>1.92</v>
      </c>
      <c r="AJ22" s="184">
        <v>3.1</v>
      </c>
      <c r="AK22" s="184">
        <v>10.3</v>
      </c>
      <c r="AL22" s="184">
        <v>7.11</v>
      </c>
      <c r="AM22" s="184">
        <v>1.9</v>
      </c>
      <c r="AN22" s="184">
        <v>2.21</v>
      </c>
      <c r="AO22" s="184">
        <v>4.3</v>
      </c>
      <c r="AP22" s="184">
        <v>3</v>
      </c>
      <c r="AQ22" s="184">
        <v>2.1</v>
      </c>
      <c r="AR22" s="184">
        <v>2.6</v>
      </c>
      <c r="AS22" s="184">
        <v>4.8</v>
      </c>
      <c r="AT22" s="184">
        <v>4.61</v>
      </c>
      <c r="AU22" s="184">
        <v>2</v>
      </c>
      <c r="AV22" s="184">
        <v>24</v>
      </c>
      <c r="AW22" s="184">
        <v>2.99</v>
      </c>
      <c r="AX22" s="184">
        <v>8.2</v>
      </c>
      <c r="AY22" s="184">
        <v>0.1</v>
      </c>
      <c r="AZ22" s="184">
        <v>8.38</v>
      </c>
      <c r="BA22" s="184">
        <v>2.5</v>
      </c>
      <c r="BB22" s="184">
        <v>5.9</v>
      </c>
      <c r="BC22" s="184">
        <v>4.4</v>
      </c>
      <c r="BN22" s="112">
        <v>1.23</v>
      </c>
      <c r="BO22" s="112">
        <v>3.1</v>
      </c>
      <c r="BP22" s="112">
        <v>3</v>
      </c>
      <c r="BQ22" s="112">
        <v>2.5</v>
      </c>
      <c r="BR22" s="112">
        <v>5.9</v>
      </c>
    </row>
    <row r="23" s="112" customFormat="1" ht="22.5" customHeight="1" spans="1:70">
      <c r="A23" s="132"/>
      <c r="B23" s="133">
        <f>tblIndicators!A19</f>
        <v>18</v>
      </c>
      <c r="C23" s="133">
        <f>tblIndicators!B19</f>
        <v>0</v>
      </c>
      <c r="D23" s="133">
        <f>tblIndicators!F19</f>
        <v>3</v>
      </c>
      <c r="E23" s="133" t="str">
        <f>tblIndicators!E19</f>
        <v>HESE2.1</v>
      </c>
      <c r="F23" s="133" t="str">
        <f>tblIndicators!H19</f>
        <v>No. of doctors per 1,000</v>
      </c>
      <c r="G23" s="133">
        <f>tblIndicators!Z19</f>
        <v>2</v>
      </c>
      <c r="H23" s="168" t="str">
        <f>REPT(" ",D23)&amp;tblIndicators!AE19</f>
        <v>   2.1.4) No. of doctors per 1,000</v>
      </c>
      <c r="I23" s="186" t="str">
        <f>IF(G23=1,"",tblIndicators!P19)</f>
        <v>#/1000</v>
      </c>
      <c r="J23" s="184">
        <v>2.3</v>
      </c>
      <c r="K23" s="187">
        <v>2.9</v>
      </c>
      <c r="L23" s="184">
        <v>0.3</v>
      </c>
      <c r="M23" s="187">
        <v>4.7</v>
      </c>
      <c r="N23" s="184">
        <v>3.59</v>
      </c>
      <c r="O23" s="187">
        <v>5.7</v>
      </c>
      <c r="P23" s="184">
        <v>3.2</v>
      </c>
      <c r="Q23" s="187">
        <v>2.63</v>
      </c>
      <c r="R23" s="184">
        <v>3.1</v>
      </c>
      <c r="S23" s="187">
        <v>8.34</v>
      </c>
      <c r="T23" s="184">
        <v>3.69</v>
      </c>
      <c r="U23" s="187">
        <v>1.22</v>
      </c>
      <c r="V23" s="184">
        <v>1.84</v>
      </c>
      <c r="W23" s="187">
        <v>0.94</v>
      </c>
      <c r="X23" s="184">
        <v>0.3</v>
      </c>
      <c r="Y23" s="187">
        <v>0.6</v>
      </c>
      <c r="Z23" s="184">
        <v>2.17</v>
      </c>
      <c r="AA23" s="187">
        <v>1.1</v>
      </c>
      <c r="AB23" s="184">
        <v>3.48</v>
      </c>
      <c r="AC23" s="187">
        <v>2.58</v>
      </c>
      <c r="AD23" s="184">
        <v>5.07</v>
      </c>
      <c r="AE23" s="184">
        <v>3.33</v>
      </c>
      <c r="AF23" s="184">
        <v>2.5</v>
      </c>
      <c r="AG23" s="184">
        <v>1.33</v>
      </c>
      <c r="AH23" s="184">
        <v>3.9</v>
      </c>
      <c r="AI23" s="184">
        <v>0.54</v>
      </c>
      <c r="AJ23" s="184">
        <v>3.48</v>
      </c>
      <c r="AK23" s="184">
        <v>5</v>
      </c>
      <c r="AL23" s="184">
        <v>3.5</v>
      </c>
      <c r="AM23" s="184">
        <v>3.6</v>
      </c>
      <c r="AN23" s="184">
        <v>2.2</v>
      </c>
      <c r="AO23" s="184">
        <v>4.1</v>
      </c>
      <c r="AP23" s="184">
        <v>2.39</v>
      </c>
      <c r="AQ23" s="184">
        <v>1.01</v>
      </c>
      <c r="AR23" s="184">
        <v>4</v>
      </c>
      <c r="AS23" s="184">
        <v>3.49</v>
      </c>
      <c r="AT23" s="184">
        <v>2.34</v>
      </c>
      <c r="AU23" s="184">
        <v>1.6</v>
      </c>
      <c r="AV23" s="184">
        <v>4.54</v>
      </c>
      <c r="AW23" s="184">
        <v>3.09</v>
      </c>
      <c r="AX23" s="184">
        <v>17.7</v>
      </c>
      <c r="AY23" s="184">
        <v>0.89</v>
      </c>
      <c r="AZ23" s="184">
        <v>3.04</v>
      </c>
      <c r="BA23" s="184">
        <v>0.9</v>
      </c>
      <c r="BB23" s="184">
        <v>7.64</v>
      </c>
      <c r="BC23" s="184">
        <v>4.65</v>
      </c>
      <c r="BN23" s="112">
        <v>2.58</v>
      </c>
      <c r="BO23" s="112">
        <v>3.48</v>
      </c>
      <c r="BP23" s="112">
        <v>2.39</v>
      </c>
      <c r="BQ23" s="112">
        <v>0.9</v>
      </c>
      <c r="BR23" s="112">
        <v>7.64</v>
      </c>
    </row>
    <row r="24" s="112" customFormat="1" ht="22.5" customHeight="1" spans="1:70">
      <c r="A24" s="132"/>
      <c r="B24" s="133">
        <f>tblIndicators!A20</f>
        <v>19</v>
      </c>
      <c r="C24" s="133">
        <f>tblIndicators!B20</f>
        <v>0</v>
      </c>
      <c r="D24" s="133">
        <f>tblIndicators!F20</f>
        <v>3</v>
      </c>
      <c r="E24" s="133" t="str">
        <f>tblIndicators!E20</f>
        <v>HESE2.1</v>
      </c>
      <c r="F24" s="133" t="str">
        <f>tblIndicators!H20</f>
        <v>Access to safe and quality food</v>
      </c>
      <c r="G24" s="133">
        <f>tblIndicators!Z20</f>
        <v>3</v>
      </c>
      <c r="H24" s="168" t="str">
        <f>REPT(" ",D24)&amp;tblIndicators!AE20</f>
        <v>   2.1.5) Access to safe and quality food</v>
      </c>
      <c r="I24" s="186" t="str">
        <f>IF(G24=1,"",tblIndicators!P20)</f>
        <v>Scale 0 - 100</v>
      </c>
      <c r="J24" s="184">
        <v>99.7</v>
      </c>
      <c r="K24" s="187">
        <v>100</v>
      </c>
      <c r="L24" s="184">
        <v>97.6</v>
      </c>
      <c r="M24" s="187">
        <v>100</v>
      </c>
      <c r="N24" s="184">
        <v>94.4</v>
      </c>
      <c r="O24" s="187">
        <v>100</v>
      </c>
      <c r="P24" s="184">
        <v>98.9</v>
      </c>
      <c r="Q24" s="187">
        <v>99.3</v>
      </c>
      <c r="R24" s="184">
        <v>81.1</v>
      </c>
      <c r="S24" s="187">
        <v>87.5</v>
      </c>
      <c r="T24" s="184">
        <v>100</v>
      </c>
      <c r="U24" s="187">
        <v>82.4</v>
      </c>
      <c r="V24" s="184">
        <v>94.4</v>
      </c>
      <c r="W24" s="187">
        <v>99.6</v>
      </c>
      <c r="X24" s="184">
        <v>75.8</v>
      </c>
      <c r="Y24" s="187">
        <v>93.4</v>
      </c>
      <c r="Z24" s="184">
        <v>99.2</v>
      </c>
      <c r="AA24" s="187">
        <v>75.6</v>
      </c>
      <c r="AB24" s="184">
        <v>100</v>
      </c>
      <c r="AC24" s="187">
        <v>99.3</v>
      </c>
      <c r="AD24" s="184">
        <v>100</v>
      </c>
      <c r="AE24" s="184">
        <v>100</v>
      </c>
      <c r="AF24" s="184">
        <v>96</v>
      </c>
      <c r="AG24" s="184">
        <v>100</v>
      </c>
      <c r="AH24" s="184">
        <v>97.2</v>
      </c>
      <c r="AI24" s="184">
        <v>81.1</v>
      </c>
      <c r="AJ24" s="184">
        <v>99.3</v>
      </c>
      <c r="AK24" s="184">
        <v>100</v>
      </c>
      <c r="AL24" s="184">
        <v>100</v>
      </c>
      <c r="AM24" s="184">
        <v>97.9</v>
      </c>
      <c r="AN24" s="184">
        <v>97.5</v>
      </c>
      <c r="AO24" s="184">
        <v>100</v>
      </c>
      <c r="AP24" s="184">
        <v>99.3</v>
      </c>
      <c r="AQ24" s="184">
        <v>98.9</v>
      </c>
      <c r="AR24" s="184">
        <v>97.9</v>
      </c>
      <c r="AS24" s="184">
        <v>98</v>
      </c>
      <c r="AT24" s="184">
        <v>94.4</v>
      </c>
      <c r="AU24" s="184">
        <v>100</v>
      </c>
      <c r="AV24" s="184">
        <v>100</v>
      </c>
      <c r="AW24" s="184">
        <v>100</v>
      </c>
      <c r="AX24" s="184">
        <v>94.4</v>
      </c>
      <c r="AY24" s="184">
        <v>87.6</v>
      </c>
      <c r="AZ24" s="184">
        <v>100</v>
      </c>
      <c r="BA24" s="184">
        <v>99.8</v>
      </c>
      <c r="BB24" s="184">
        <v>99.3</v>
      </c>
      <c r="BC24" s="184">
        <v>100</v>
      </c>
      <c r="BN24" s="112">
        <v>86.9</v>
      </c>
      <c r="BO24" s="112">
        <v>86.9</v>
      </c>
      <c r="BP24" s="112">
        <v>86.9</v>
      </c>
      <c r="BQ24" s="112">
        <v>83.8</v>
      </c>
      <c r="BR24" s="112">
        <v>86.9</v>
      </c>
    </row>
    <row r="25" s="112" customFormat="1" ht="22.5" customHeight="1" spans="1:70">
      <c r="A25" s="132"/>
      <c r="B25" s="133">
        <f>tblIndicators!A21</f>
        <v>20</v>
      </c>
      <c r="C25" s="133">
        <f>tblIndicators!B21</f>
        <v>0</v>
      </c>
      <c r="D25" s="133">
        <f>tblIndicators!F21</f>
        <v>3</v>
      </c>
      <c r="E25" s="133" t="str">
        <f>tblIndicators!E21</f>
        <v>HESE2.1</v>
      </c>
      <c r="F25" s="133" t="str">
        <f>tblIndicators!H21</f>
        <v>Quality of health services</v>
      </c>
      <c r="G25" s="133">
        <f>tblIndicators!Z21</f>
        <v>3</v>
      </c>
      <c r="H25" s="168" t="str">
        <f>REPT(" ",D25)&amp;tblIndicators!AE21</f>
        <v>   2.1.6) Quality of health services</v>
      </c>
      <c r="I25" s="186" t="str">
        <f>IF(G25=1,"",tblIndicators!P21)</f>
        <v>Scale 1 - 5</v>
      </c>
      <c r="J25" s="184">
        <v>4</v>
      </c>
      <c r="K25" s="187">
        <v>5</v>
      </c>
      <c r="L25" s="184">
        <v>3.5</v>
      </c>
      <c r="M25" s="187">
        <v>5</v>
      </c>
      <c r="N25" s="184">
        <v>3.5</v>
      </c>
      <c r="O25" s="187">
        <v>5</v>
      </c>
      <c r="P25" s="184">
        <v>4</v>
      </c>
      <c r="Q25" s="187">
        <v>4.5</v>
      </c>
      <c r="R25" s="184">
        <v>3.5</v>
      </c>
      <c r="S25" s="187">
        <v>4</v>
      </c>
      <c r="T25" s="184">
        <v>5</v>
      </c>
      <c r="U25" s="187">
        <v>2.5</v>
      </c>
      <c r="V25" s="184">
        <v>4.5</v>
      </c>
      <c r="W25" s="187">
        <v>3</v>
      </c>
      <c r="X25" s="184">
        <v>2.5</v>
      </c>
      <c r="Y25" s="187">
        <v>3</v>
      </c>
      <c r="Z25" s="184">
        <v>4.5</v>
      </c>
      <c r="AA25" s="187">
        <v>3.5</v>
      </c>
      <c r="AB25" s="184">
        <v>4.5</v>
      </c>
      <c r="AC25" s="187">
        <v>4.5</v>
      </c>
      <c r="AD25" s="184">
        <v>4.5</v>
      </c>
      <c r="AE25" s="184">
        <v>5</v>
      </c>
      <c r="AF25" s="184">
        <v>3</v>
      </c>
      <c r="AG25" s="184">
        <v>4</v>
      </c>
      <c r="AH25" s="184">
        <v>4</v>
      </c>
      <c r="AI25" s="184">
        <v>2.5</v>
      </c>
      <c r="AJ25" s="184">
        <v>4.5</v>
      </c>
      <c r="AK25" s="184">
        <v>5</v>
      </c>
      <c r="AL25" s="184">
        <v>5</v>
      </c>
      <c r="AM25" s="184">
        <v>3.5</v>
      </c>
      <c r="AN25" s="184">
        <v>3.5</v>
      </c>
      <c r="AO25" s="184">
        <v>4</v>
      </c>
      <c r="AP25" s="184">
        <v>4.5</v>
      </c>
      <c r="AQ25" s="184">
        <v>3.5</v>
      </c>
      <c r="AR25" s="184">
        <v>3.5</v>
      </c>
      <c r="AS25" s="184">
        <v>4.5</v>
      </c>
      <c r="AT25" s="184">
        <v>3.5</v>
      </c>
      <c r="AU25" s="184">
        <v>5</v>
      </c>
      <c r="AV25" s="184">
        <v>5</v>
      </c>
      <c r="AW25" s="184">
        <v>5</v>
      </c>
      <c r="AX25" s="184">
        <v>4.5</v>
      </c>
      <c r="AY25" s="184">
        <v>3.5</v>
      </c>
      <c r="AZ25" s="184">
        <v>5</v>
      </c>
      <c r="BA25" s="184">
        <v>5</v>
      </c>
      <c r="BB25" s="184">
        <v>4.5</v>
      </c>
      <c r="BC25" s="184">
        <v>5</v>
      </c>
      <c r="BN25" s="112">
        <v>1.5</v>
      </c>
      <c r="BO25" s="112">
        <v>1.5</v>
      </c>
      <c r="BP25" s="112">
        <v>1.5</v>
      </c>
      <c r="BQ25" s="112">
        <v>1</v>
      </c>
      <c r="BR25" s="112">
        <v>1.5</v>
      </c>
    </row>
    <row r="26" s="112" customFormat="1" ht="22.5" customHeight="1" spans="1:55">
      <c r="A26" s="132"/>
      <c r="B26" s="133">
        <f>tblIndicators!A22</f>
        <v>21</v>
      </c>
      <c r="C26" s="133">
        <f>tblIndicators!B22</f>
        <v>0</v>
      </c>
      <c r="D26" s="133">
        <f>tblIndicators!F22</f>
        <v>2</v>
      </c>
      <c r="E26" s="133" t="str">
        <f>tblIndicators!E22</f>
        <v>HESE</v>
      </c>
      <c r="F26" s="133" t="str">
        <f>tblIndicators!H22</f>
        <v>Health security (Outputs)</v>
      </c>
      <c r="G26" s="133">
        <f>tblIndicators!Z22</f>
        <v>1</v>
      </c>
      <c r="H26" s="168" t="str">
        <f>REPT(" ",D26)&amp;tblIndicators!AE22</f>
        <v>  2.2) Health security (Outputs)</v>
      </c>
      <c r="I26" s="186" t="str">
        <f>IF(G26=1,"",tblIndicators!P22)</f>
        <v/>
      </c>
      <c r="J26" s="184"/>
      <c r="K26" s="187"/>
      <c r="L26" s="184"/>
      <c r="M26" s="187"/>
      <c r="N26" s="184"/>
      <c r="O26" s="187"/>
      <c r="P26" s="184"/>
      <c r="Q26" s="187"/>
      <c r="R26" s="184"/>
      <c r="S26" s="187"/>
      <c r="T26" s="184"/>
      <c r="U26" s="187"/>
      <c r="V26" s="184"/>
      <c r="W26" s="187"/>
      <c r="X26" s="184"/>
      <c r="Y26" s="187"/>
      <c r="Z26" s="184"/>
      <c r="AA26" s="187"/>
      <c r="AB26" s="184"/>
      <c r="AC26" s="187"/>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row>
    <row r="27" s="112" customFormat="1" ht="22.5" customHeight="1" spans="1:70">
      <c r="A27" s="132"/>
      <c r="B27" s="133">
        <f>tblIndicators!A23</f>
        <v>22</v>
      </c>
      <c r="C27" s="133">
        <f>tblIndicators!B23</f>
        <v>0</v>
      </c>
      <c r="D27" s="133">
        <f>tblIndicators!F23</f>
        <v>3</v>
      </c>
      <c r="E27" s="133" t="str">
        <f>tblIndicators!E23</f>
        <v>HESE2.2</v>
      </c>
      <c r="F27" s="133" t="str">
        <f>tblIndicators!H23</f>
        <v>Air quality (PM 2.5 levels)</v>
      </c>
      <c r="G27" s="133">
        <f>tblIndicators!Z23</f>
        <v>3</v>
      </c>
      <c r="H27" s="168" t="str">
        <f>REPT(" ",D27)&amp;tblIndicators!AE23</f>
        <v>   2.2.1) Air quality (PM 2.5 levels)</v>
      </c>
      <c r="I27" s="186" t="str">
        <f>IF(G27=1,"",tblIndicators!P23)</f>
        <v>PM 2.5 levels</v>
      </c>
      <c r="J27" s="184">
        <v>64</v>
      </c>
      <c r="K27" s="187">
        <v>18</v>
      </c>
      <c r="L27" s="184">
        <v>20</v>
      </c>
      <c r="M27" s="187">
        <v>16</v>
      </c>
      <c r="N27" s="184">
        <v>56</v>
      </c>
      <c r="O27" s="187">
        <v>18</v>
      </c>
      <c r="P27" s="184">
        <v>16</v>
      </c>
      <c r="Q27" s="187">
        <v>13</v>
      </c>
      <c r="R27" s="184">
        <v>153</v>
      </c>
      <c r="S27" s="187">
        <v>93</v>
      </c>
      <c r="T27" s="184">
        <v>18</v>
      </c>
      <c r="U27" s="187">
        <v>27</v>
      </c>
      <c r="V27" s="184">
        <v>21</v>
      </c>
      <c r="W27" s="187">
        <v>32</v>
      </c>
      <c r="X27" s="184">
        <v>21</v>
      </c>
      <c r="Y27" s="187">
        <v>51</v>
      </c>
      <c r="Z27" s="184">
        <v>60</v>
      </c>
      <c r="AA27" s="187">
        <v>38</v>
      </c>
      <c r="AB27" s="184">
        <v>16</v>
      </c>
      <c r="AC27" s="187">
        <v>20</v>
      </c>
      <c r="AD27" s="184">
        <v>11</v>
      </c>
      <c r="AE27" s="184">
        <v>5</v>
      </c>
      <c r="AF27" s="184">
        <v>25</v>
      </c>
      <c r="AG27" s="184">
        <v>33</v>
      </c>
      <c r="AH27" s="184">
        <v>22</v>
      </c>
      <c r="AI27" s="184">
        <v>45</v>
      </c>
      <c r="AJ27" s="184">
        <v>14</v>
      </c>
      <c r="AK27" s="184">
        <v>9</v>
      </c>
      <c r="AL27" s="184">
        <v>17</v>
      </c>
      <c r="AM27" s="184">
        <v>36</v>
      </c>
      <c r="AN27" s="184">
        <v>28</v>
      </c>
      <c r="AO27" s="184">
        <v>21</v>
      </c>
      <c r="AP27" s="184">
        <v>10</v>
      </c>
      <c r="AQ27" s="184">
        <v>26</v>
      </c>
      <c r="AR27" s="184">
        <v>19</v>
      </c>
      <c r="AS27" s="184">
        <v>22</v>
      </c>
      <c r="AT27" s="184">
        <v>36</v>
      </c>
      <c r="AU27" s="184">
        <v>17</v>
      </c>
      <c r="AV27" s="184">
        <v>7</v>
      </c>
      <c r="AW27" s="184">
        <v>5</v>
      </c>
      <c r="AX27" s="184">
        <v>41</v>
      </c>
      <c r="AY27" s="184">
        <v>30</v>
      </c>
      <c r="AZ27" s="184">
        <v>10</v>
      </c>
      <c r="BA27" s="184">
        <v>8</v>
      </c>
      <c r="BB27" s="184">
        <v>12</v>
      </c>
      <c r="BC27" s="184">
        <v>14</v>
      </c>
      <c r="BN27" s="112">
        <v>20</v>
      </c>
      <c r="BO27" s="112">
        <v>14</v>
      </c>
      <c r="BP27" s="112">
        <v>10</v>
      </c>
      <c r="BQ27" s="112">
        <v>8</v>
      </c>
      <c r="BR27" s="112">
        <v>12</v>
      </c>
    </row>
    <row r="28" s="112" customFormat="1" ht="22.5" customHeight="1" spans="1:70">
      <c r="A28" s="132"/>
      <c r="B28" s="133">
        <f>tblIndicators!A24</f>
        <v>23</v>
      </c>
      <c r="C28" s="133">
        <f>tblIndicators!B24</f>
        <v>0</v>
      </c>
      <c r="D28" s="133">
        <f>tblIndicators!F24</f>
        <v>3</v>
      </c>
      <c r="E28" s="133" t="str">
        <f>tblIndicators!E24</f>
        <v>HESE2.2</v>
      </c>
      <c r="F28" s="133" t="str">
        <f>tblIndicators!H24</f>
        <v>Water quality</v>
      </c>
      <c r="G28" s="133">
        <f>tblIndicators!Z24</f>
        <v>3</v>
      </c>
      <c r="H28" s="168" t="str">
        <f>REPT(" ",D28)&amp;tblIndicators!AE24</f>
        <v>   2.2.2) Water quality</v>
      </c>
      <c r="I28" s="186" t="str">
        <f>IF(G28=1,"",tblIndicators!P24)</f>
        <v>Scale 0 - 100</v>
      </c>
      <c r="J28" s="184">
        <v>61</v>
      </c>
      <c r="K28" s="187">
        <v>92.1</v>
      </c>
      <c r="L28" s="184">
        <v>48.5</v>
      </c>
      <c r="M28" s="187">
        <v>85.9</v>
      </c>
      <c r="N28" s="184">
        <v>72.4</v>
      </c>
      <c r="O28" s="187">
        <v>90.5</v>
      </c>
      <c r="P28" s="184">
        <v>43.4</v>
      </c>
      <c r="Q28" s="187">
        <v>82.2</v>
      </c>
      <c r="R28" s="184">
        <v>56.3</v>
      </c>
      <c r="S28" s="187">
        <v>35</v>
      </c>
      <c r="T28" s="184">
        <v>88.6</v>
      </c>
      <c r="U28" s="187">
        <v>55.2</v>
      </c>
      <c r="V28" s="184">
        <v>64.5</v>
      </c>
      <c r="W28" s="187">
        <v>55.9</v>
      </c>
      <c r="X28" s="184">
        <v>49.2</v>
      </c>
      <c r="Y28" s="187">
        <v>59.9</v>
      </c>
      <c r="Z28" s="184">
        <v>59</v>
      </c>
      <c r="AA28" s="187">
        <v>59</v>
      </c>
      <c r="AB28" s="184">
        <v>85.8</v>
      </c>
      <c r="AC28" s="187">
        <v>81.7</v>
      </c>
      <c r="AD28" s="184">
        <v>85.9</v>
      </c>
      <c r="AE28" s="184">
        <v>67.6</v>
      </c>
      <c r="AF28" s="184">
        <v>66</v>
      </c>
      <c r="AG28" s="184">
        <v>68.8</v>
      </c>
      <c r="AH28" s="184">
        <v>67.4181818181818</v>
      </c>
      <c r="AI28" s="184">
        <v>64.5</v>
      </c>
      <c r="AJ28" s="184">
        <v>88.8</v>
      </c>
      <c r="AK28" s="184">
        <v>71.3</v>
      </c>
      <c r="AL28" s="184">
        <v>85.5</v>
      </c>
      <c r="AM28" s="184">
        <v>54.6</v>
      </c>
      <c r="AN28" s="184">
        <v>48</v>
      </c>
      <c r="AO28" s="184">
        <v>68.8</v>
      </c>
      <c r="AP28" s="184">
        <v>87.4</v>
      </c>
      <c r="AQ28" s="184">
        <v>70.2</v>
      </c>
      <c r="AR28" s="184">
        <v>73.6</v>
      </c>
      <c r="AS28" s="184">
        <v>73.2</v>
      </c>
      <c r="AT28" s="184">
        <v>63</v>
      </c>
      <c r="AU28" s="184">
        <v>78.8</v>
      </c>
      <c r="AV28" s="184">
        <v>71.4</v>
      </c>
      <c r="AW28" s="184">
        <v>82</v>
      </c>
      <c r="AX28" s="184">
        <v>62.9</v>
      </c>
      <c r="AY28" s="184">
        <v>46</v>
      </c>
      <c r="AZ28" s="184">
        <v>79.5</v>
      </c>
      <c r="BA28" s="184">
        <v>83.5</v>
      </c>
      <c r="BB28" s="184">
        <v>67.3</v>
      </c>
      <c r="BC28" s="184">
        <v>88.8</v>
      </c>
      <c r="BN28" s="112">
        <v>81.7</v>
      </c>
      <c r="BO28" s="112">
        <v>88.8</v>
      </c>
      <c r="BP28" s="112">
        <v>87.4</v>
      </c>
      <c r="BQ28" s="112">
        <v>83.5</v>
      </c>
      <c r="BR28" s="112">
        <v>67.3</v>
      </c>
    </row>
    <row r="29" s="112" customFormat="1" ht="22.5" customHeight="1" spans="1:70">
      <c r="A29" s="132"/>
      <c r="B29" s="133">
        <f>tblIndicators!A25</f>
        <v>24</v>
      </c>
      <c r="C29" s="133">
        <f>tblIndicators!B25</f>
        <v>0</v>
      </c>
      <c r="D29" s="133">
        <f>tblIndicators!F25</f>
        <v>3</v>
      </c>
      <c r="E29" s="133" t="str">
        <f>tblIndicators!E25</f>
        <v>HESE2.2</v>
      </c>
      <c r="F29" s="133" t="str">
        <f>tblIndicators!H25</f>
        <v>Life expectancy years</v>
      </c>
      <c r="G29" s="133">
        <f>tblIndicators!Z25</f>
        <v>2</v>
      </c>
      <c r="H29" s="168" t="str">
        <f>REPT(" ",D29)&amp;tblIndicators!AE25</f>
        <v>   2.2.3) Life expectancy years</v>
      </c>
      <c r="I29" s="186" t="str">
        <f>IF(G29=1,"",tblIndicators!P25)</f>
        <v>Years (the longer, the better)</v>
      </c>
      <c r="J29" s="184">
        <v>77</v>
      </c>
      <c r="K29" s="187">
        <v>78.84</v>
      </c>
      <c r="L29" s="184">
        <v>73.9</v>
      </c>
      <c r="M29" s="187">
        <v>82.2</v>
      </c>
      <c r="N29" s="184">
        <v>81.35</v>
      </c>
      <c r="O29" s="187">
        <v>80.5</v>
      </c>
      <c r="P29" s="184">
        <v>76.4</v>
      </c>
      <c r="Q29" s="187">
        <v>77.8</v>
      </c>
      <c r="R29" s="184">
        <v>69.6</v>
      </c>
      <c r="S29" s="187">
        <v>78.28</v>
      </c>
      <c r="T29" s="184">
        <v>79.26</v>
      </c>
      <c r="U29" s="187">
        <v>72.65</v>
      </c>
      <c r="V29" s="184">
        <v>83.96</v>
      </c>
      <c r="W29" s="187">
        <v>72.4</v>
      </c>
      <c r="X29" s="184">
        <v>73.23</v>
      </c>
      <c r="Y29" s="187">
        <v>59.6</v>
      </c>
      <c r="Z29" s="184">
        <v>77.64</v>
      </c>
      <c r="AA29" s="187">
        <v>74.1</v>
      </c>
      <c r="AB29" s="184">
        <v>81.61</v>
      </c>
      <c r="AC29" s="187">
        <v>80.3</v>
      </c>
      <c r="AD29" s="184">
        <v>82.2</v>
      </c>
      <c r="AE29" s="184">
        <v>85.9</v>
      </c>
      <c r="AF29" s="184">
        <v>76.9</v>
      </c>
      <c r="AG29" s="184">
        <v>82.8</v>
      </c>
      <c r="AH29" s="184">
        <v>75.5</v>
      </c>
      <c r="AI29" s="184">
        <v>71</v>
      </c>
      <c r="AJ29" s="184">
        <v>80.9</v>
      </c>
      <c r="AK29" s="184">
        <v>83.2</v>
      </c>
      <c r="AL29" s="184">
        <v>81.46</v>
      </c>
      <c r="AM29" s="184">
        <v>72.75</v>
      </c>
      <c r="AN29" s="184">
        <v>75</v>
      </c>
      <c r="AO29" s="184">
        <v>82.4</v>
      </c>
      <c r="AP29" s="184">
        <v>79.9</v>
      </c>
      <c r="AQ29" s="184">
        <v>78.44</v>
      </c>
      <c r="AR29" s="184">
        <v>71</v>
      </c>
      <c r="AS29" s="184">
        <v>83.06</v>
      </c>
      <c r="AT29" s="184">
        <v>80.26</v>
      </c>
      <c r="AU29" s="184">
        <v>81.8</v>
      </c>
      <c r="AV29" s="184">
        <v>82.4</v>
      </c>
      <c r="AW29" s="184">
        <v>81.4</v>
      </c>
      <c r="AX29" s="184">
        <v>82.66</v>
      </c>
      <c r="AY29" s="184">
        <v>76.5</v>
      </c>
      <c r="AZ29" s="184">
        <v>82.46</v>
      </c>
      <c r="BA29" s="184">
        <v>80.6</v>
      </c>
      <c r="BB29" s="184">
        <v>75.61</v>
      </c>
      <c r="BC29" s="184">
        <v>83.52</v>
      </c>
      <c r="BN29" s="112">
        <v>80.3</v>
      </c>
      <c r="BO29" s="112">
        <v>80.9</v>
      </c>
      <c r="BP29" s="112">
        <v>79.9</v>
      </c>
      <c r="BQ29" s="112">
        <v>80.6</v>
      </c>
      <c r="BR29" s="112">
        <v>75.61</v>
      </c>
    </row>
    <row r="30" s="112" customFormat="1" ht="22.5" customHeight="1" spans="1:70">
      <c r="A30" s="132"/>
      <c r="B30" s="133">
        <f>tblIndicators!A26</f>
        <v>25</v>
      </c>
      <c r="C30" s="133">
        <f>tblIndicators!B26</f>
        <v>0</v>
      </c>
      <c r="D30" s="133">
        <f>tblIndicators!F26</f>
        <v>3</v>
      </c>
      <c r="E30" s="133" t="str">
        <f>tblIndicators!E26</f>
        <v>HESE2.2</v>
      </c>
      <c r="F30" s="133" t="str">
        <f>tblIndicators!H26</f>
        <v>Infant mortality</v>
      </c>
      <c r="G30" s="133">
        <f>tblIndicators!Z26</f>
        <v>2</v>
      </c>
      <c r="H30" s="168" t="str">
        <f>REPT(" ",D30)&amp;tblIndicators!AE26</f>
        <v>   2.2.4) Infant mortality</v>
      </c>
      <c r="I30" s="186" t="str">
        <f>IF(G30=1,"",tblIndicators!P26)</f>
        <v>Deaths per 1,000 births</v>
      </c>
      <c r="J30" s="184">
        <v>6.3</v>
      </c>
      <c r="K30" s="187">
        <v>4.2</v>
      </c>
      <c r="L30" s="184">
        <v>7.1</v>
      </c>
      <c r="M30" s="187">
        <v>3.33</v>
      </c>
      <c r="N30" s="184">
        <v>2.84</v>
      </c>
      <c r="O30" s="187">
        <v>2.8</v>
      </c>
      <c r="P30" s="184">
        <v>8.1</v>
      </c>
      <c r="Q30" s="187">
        <v>6.8</v>
      </c>
      <c r="R30" s="184">
        <v>23.93</v>
      </c>
      <c r="S30" s="187">
        <v>6.42</v>
      </c>
      <c r="T30" s="184">
        <v>0.8</v>
      </c>
      <c r="U30" s="187">
        <v>20.24</v>
      </c>
      <c r="V30" s="184">
        <v>1.3</v>
      </c>
      <c r="W30" s="187">
        <v>5.5</v>
      </c>
      <c r="X30" s="184">
        <v>14</v>
      </c>
      <c r="Y30" s="187">
        <v>5</v>
      </c>
      <c r="Z30" s="184">
        <v>7.51</v>
      </c>
      <c r="AA30" s="187">
        <v>10</v>
      </c>
      <c r="AB30" s="184">
        <v>4.6</v>
      </c>
      <c r="AC30" s="187">
        <v>4.7</v>
      </c>
      <c r="AD30" s="184">
        <v>3.4</v>
      </c>
      <c r="AE30" s="184">
        <v>3.3</v>
      </c>
      <c r="AF30" s="184">
        <v>18</v>
      </c>
      <c r="AG30" s="184">
        <v>2.71</v>
      </c>
      <c r="AH30" s="184">
        <v>7.4</v>
      </c>
      <c r="AI30" s="184">
        <v>34.6</v>
      </c>
      <c r="AJ30" s="184">
        <v>4.7</v>
      </c>
      <c r="AK30" s="184">
        <v>2.1</v>
      </c>
      <c r="AL30" s="184">
        <v>3.37</v>
      </c>
      <c r="AM30" s="184">
        <v>19.88</v>
      </c>
      <c r="AN30" s="184">
        <v>15.61</v>
      </c>
      <c r="AO30" s="184">
        <v>6.5</v>
      </c>
      <c r="AP30" s="184">
        <v>2.9</v>
      </c>
      <c r="AQ30" s="184">
        <v>7.1</v>
      </c>
      <c r="AR30" s="184">
        <v>12.4</v>
      </c>
      <c r="AS30" s="184">
        <v>4.77</v>
      </c>
      <c r="AT30" s="184">
        <v>5.7</v>
      </c>
      <c r="AU30" s="184">
        <v>2.7</v>
      </c>
      <c r="AV30" s="184">
        <v>2</v>
      </c>
      <c r="AW30" s="184">
        <v>3.2</v>
      </c>
      <c r="AX30" s="184">
        <v>3.77</v>
      </c>
      <c r="AY30" s="184">
        <v>39</v>
      </c>
      <c r="AZ30" s="184">
        <v>2.2</v>
      </c>
      <c r="BA30" s="184">
        <v>6.4</v>
      </c>
      <c r="BB30" s="184">
        <v>5.1</v>
      </c>
      <c r="BC30" s="184">
        <v>4.6</v>
      </c>
      <c r="BN30" s="112">
        <v>4.7</v>
      </c>
      <c r="BO30" s="112">
        <v>4.7</v>
      </c>
      <c r="BP30" s="112">
        <v>2.9</v>
      </c>
      <c r="BQ30" s="112">
        <v>6.4</v>
      </c>
      <c r="BR30" s="112">
        <v>5.1</v>
      </c>
    </row>
    <row r="31" s="112" customFormat="1" ht="22.5" customHeight="1" spans="1:70">
      <c r="A31" s="132"/>
      <c r="B31" s="133">
        <f>tblIndicators!A27</f>
        <v>26</v>
      </c>
      <c r="C31" s="133">
        <f>tblIndicators!B27</f>
        <v>0</v>
      </c>
      <c r="D31" s="133">
        <f>tblIndicators!F27</f>
        <v>3</v>
      </c>
      <c r="E31" s="133" t="str">
        <f>tblIndicators!E27</f>
        <v>HESE2.2</v>
      </c>
      <c r="F31" s="133" t="str">
        <f>tblIndicators!H27</f>
        <v>Cancer mortality rate</v>
      </c>
      <c r="G31" s="133">
        <f>tblIndicators!Z27</f>
        <v>2</v>
      </c>
      <c r="H31" s="168" t="str">
        <f>REPT(" ",D31)&amp;tblIndicators!AE27</f>
        <v>   2.2.5) Cancer mortality rate</v>
      </c>
      <c r="I31" s="186" t="str">
        <f>IF(G31=1,"",tblIndicators!P27)</f>
        <v>Cancer deaths per 100,000</v>
      </c>
      <c r="J31" s="184">
        <v>406</v>
      </c>
      <c r="K31" s="187">
        <v>199.36</v>
      </c>
      <c r="L31" s="184">
        <v>145.1</v>
      </c>
      <c r="M31" s="187">
        <v>98.06</v>
      </c>
      <c r="N31" s="184">
        <v>122.19</v>
      </c>
      <c r="O31" s="187">
        <v>231.5</v>
      </c>
      <c r="P31" s="184">
        <v>115.13</v>
      </c>
      <c r="Q31" s="187">
        <v>187.3</v>
      </c>
      <c r="R31" s="184">
        <v>37.81</v>
      </c>
      <c r="S31" s="187">
        <v>69.39</v>
      </c>
      <c r="T31" s="184">
        <v>100.82</v>
      </c>
      <c r="U31" s="187">
        <v>108.65</v>
      </c>
      <c r="V31" s="184">
        <v>109.7</v>
      </c>
      <c r="W31" s="187">
        <v>128.85</v>
      </c>
      <c r="X31" s="184">
        <v>89.28</v>
      </c>
      <c r="Y31" s="187">
        <v>67.21</v>
      </c>
      <c r="Z31" s="184">
        <v>54.75</v>
      </c>
      <c r="AA31" s="187">
        <v>92.1</v>
      </c>
      <c r="AB31" s="184">
        <v>171.43</v>
      </c>
      <c r="AC31" s="187">
        <v>354.01</v>
      </c>
      <c r="AD31" s="184">
        <v>98.06</v>
      </c>
      <c r="AE31" s="184">
        <v>189</v>
      </c>
      <c r="AF31" s="184">
        <v>68.91</v>
      </c>
      <c r="AG31" s="184">
        <v>136.84</v>
      </c>
      <c r="AH31" s="184">
        <v>122.55</v>
      </c>
      <c r="AI31" s="184">
        <v>64.49</v>
      </c>
      <c r="AJ31" s="184">
        <v>1.63</v>
      </c>
      <c r="AK31" s="184">
        <v>291</v>
      </c>
      <c r="AL31" s="184">
        <v>177</v>
      </c>
      <c r="AM31" s="184">
        <v>103.72</v>
      </c>
      <c r="AN31" s="184">
        <v>53.85</v>
      </c>
      <c r="AO31" s="184">
        <v>134.04</v>
      </c>
      <c r="AP31" s="184">
        <v>166.04</v>
      </c>
      <c r="AQ31" s="184">
        <v>1.77</v>
      </c>
      <c r="AR31" s="184">
        <v>103.72</v>
      </c>
      <c r="AS31" s="184">
        <v>119.6</v>
      </c>
      <c r="AT31" s="184">
        <v>133</v>
      </c>
      <c r="AU31" s="184">
        <v>90.5</v>
      </c>
      <c r="AV31" s="184">
        <v>179.5</v>
      </c>
      <c r="AW31" s="184">
        <v>174</v>
      </c>
      <c r="AX31" s="184">
        <v>193.01</v>
      </c>
      <c r="AY31" s="184">
        <v>81.9</v>
      </c>
      <c r="AZ31" s="184">
        <v>254.9</v>
      </c>
      <c r="BA31" s="184">
        <v>143.2</v>
      </c>
      <c r="BB31" s="184">
        <v>198.41</v>
      </c>
      <c r="BC31" s="184">
        <v>92.48</v>
      </c>
      <c r="BN31" s="112">
        <v>354.01</v>
      </c>
      <c r="BO31" s="112">
        <v>1.63</v>
      </c>
      <c r="BP31" s="112">
        <v>166.04</v>
      </c>
      <c r="BQ31" s="112">
        <v>143.2</v>
      </c>
      <c r="BR31" s="112">
        <v>198.41</v>
      </c>
    </row>
    <row r="32" s="112" customFormat="1" ht="22.5" customHeight="1" spans="1:70">
      <c r="A32" s="132"/>
      <c r="B32" s="133">
        <f>tblIndicators!A28</f>
        <v>27</v>
      </c>
      <c r="C32" s="133">
        <f>tblIndicators!B28</f>
        <v>0</v>
      </c>
      <c r="D32" s="133">
        <f>tblIndicators!F28</f>
        <v>3</v>
      </c>
      <c r="E32" s="133" t="str">
        <f>tblIndicators!E28</f>
        <v>HESE2.2</v>
      </c>
      <c r="F32" s="133" t="str">
        <f>tblIndicators!H28</f>
        <v>Number of attacks using biological, chemical and/or radiological weapons</v>
      </c>
      <c r="G32" s="133">
        <f>tblIndicators!Z28</f>
        <v>2</v>
      </c>
      <c r="H32" s="168" t="str">
        <f>REPT(" ",D32)&amp;tblIndicators!AE28</f>
        <v>   2.2.6) Number of attacks using biological, chemical and/or radiological weapons</v>
      </c>
      <c r="I32" s="186" t="str">
        <f>IF(G32=1,"",tblIndicators!P28)</f>
        <v>#/year</v>
      </c>
      <c r="J32" s="184">
        <v>0</v>
      </c>
      <c r="K32" s="187">
        <v>0</v>
      </c>
      <c r="L32" s="184">
        <v>0</v>
      </c>
      <c r="M32" s="187">
        <v>0</v>
      </c>
      <c r="N32" s="184">
        <v>0</v>
      </c>
      <c r="O32" s="187">
        <v>0</v>
      </c>
      <c r="P32" s="184">
        <v>0</v>
      </c>
      <c r="Q32" s="187">
        <v>0</v>
      </c>
      <c r="R32" s="184">
        <v>0</v>
      </c>
      <c r="S32" s="187">
        <v>0</v>
      </c>
      <c r="T32" s="184">
        <v>0</v>
      </c>
      <c r="U32" s="187">
        <v>0</v>
      </c>
      <c r="V32" s="184">
        <v>1</v>
      </c>
      <c r="W32" s="187">
        <v>0</v>
      </c>
      <c r="X32" s="184">
        <v>0</v>
      </c>
      <c r="Y32" s="187">
        <v>0</v>
      </c>
      <c r="Z32" s="184">
        <v>0</v>
      </c>
      <c r="AA32" s="187">
        <v>0</v>
      </c>
      <c r="AB32" s="184">
        <v>0</v>
      </c>
      <c r="AC32" s="187">
        <v>0</v>
      </c>
      <c r="AD32" s="184">
        <v>0</v>
      </c>
      <c r="AE32" s="184">
        <v>0</v>
      </c>
      <c r="AF32" s="184">
        <v>0</v>
      </c>
      <c r="AG32" s="184">
        <v>0</v>
      </c>
      <c r="AH32" s="184">
        <v>0</v>
      </c>
      <c r="AI32" s="184">
        <v>0</v>
      </c>
      <c r="AJ32" s="184">
        <v>0</v>
      </c>
      <c r="AK32" s="184">
        <v>0</v>
      </c>
      <c r="AL32" s="184">
        <v>0</v>
      </c>
      <c r="AM32" s="184">
        <v>0</v>
      </c>
      <c r="AN32" s="184">
        <v>0</v>
      </c>
      <c r="AO32" s="184">
        <v>0</v>
      </c>
      <c r="AP32" s="184">
        <v>0</v>
      </c>
      <c r="AQ32" s="184">
        <v>0</v>
      </c>
      <c r="AR32" s="184">
        <v>0</v>
      </c>
      <c r="AS32" s="184">
        <v>0</v>
      </c>
      <c r="AT32" s="184">
        <v>0</v>
      </c>
      <c r="AU32" s="184">
        <v>0</v>
      </c>
      <c r="AV32" s="184">
        <v>0</v>
      </c>
      <c r="AW32" s="184">
        <v>0</v>
      </c>
      <c r="AX32" s="184">
        <v>0</v>
      </c>
      <c r="AY32" s="184">
        <v>0</v>
      </c>
      <c r="AZ32" s="184">
        <v>0</v>
      </c>
      <c r="BA32" s="184">
        <v>0</v>
      </c>
      <c r="BB32" s="184">
        <v>0</v>
      </c>
      <c r="BC32" s="184">
        <v>0</v>
      </c>
      <c r="BN32" s="112">
        <v>0.1</v>
      </c>
      <c r="BO32" s="112">
        <v>0.1</v>
      </c>
      <c r="BP32" s="112">
        <v>0</v>
      </c>
      <c r="BQ32" s="112">
        <v>0</v>
      </c>
      <c r="BR32" s="112">
        <v>0.3</v>
      </c>
    </row>
    <row r="33" s="112" customFormat="1" ht="22.5" customHeight="1" spans="1:55">
      <c r="A33" s="132"/>
      <c r="B33" s="133">
        <f>tblIndicators!A29</f>
        <v>28</v>
      </c>
      <c r="C33" s="133">
        <f>tblIndicators!B29</f>
        <v>0</v>
      </c>
      <c r="D33" s="133">
        <f>tblIndicators!F29</f>
        <v>1</v>
      </c>
      <c r="E33" s="133" t="str">
        <f>tblIndicators!E29</f>
        <v>OVERALL</v>
      </c>
      <c r="F33" s="133" t="str">
        <f>tblIndicators!H29</f>
        <v>INFRASTRUCTURE SECURITY</v>
      </c>
      <c r="G33" s="133">
        <f>tblIndicators!Z29</f>
        <v>1</v>
      </c>
      <c r="H33" s="168" t="str">
        <f>REPT(" ",D33)&amp;tblIndicators!AE29</f>
        <v> 3) INFRASTRUCTURE SECURITY</v>
      </c>
      <c r="I33" s="186"/>
      <c r="J33" s="184"/>
      <c r="K33" s="187"/>
      <c r="L33" s="184"/>
      <c r="M33" s="187"/>
      <c r="N33" s="184"/>
      <c r="O33" s="187"/>
      <c r="P33" s="184"/>
      <c r="Q33" s="187"/>
      <c r="R33" s="184"/>
      <c r="S33" s="187"/>
      <c r="T33" s="184"/>
      <c r="U33" s="187"/>
      <c r="V33" s="184"/>
      <c r="W33" s="187"/>
      <c r="X33" s="184"/>
      <c r="Y33" s="187"/>
      <c r="Z33" s="184"/>
      <c r="AA33" s="187"/>
      <c r="AB33" s="184"/>
      <c r="AC33" s="187"/>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row>
    <row r="34" s="112" customFormat="1" ht="22.5" customHeight="1" spans="1:55">
      <c r="A34" s="132"/>
      <c r="B34" s="133">
        <f>tblIndicators!A30</f>
        <v>29</v>
      </c>
      <c r="C34" s="133">
        <f>tblIndicators!B30</f>
        <v>0</v>
      </c>
      <c r="D34" s="133">
        <f>tblIndicators!F30</f>
        <v>2</v>
      </c>
      <c r="E34" s="133" t="str">
        <f>tblIndicators!E30</f>
        <v>INSE</v>
      </c>
      <c r="F34" s="133" t="str">
        <f>tblIndicators!H30</f>
        <v>Infrastructure security (Inputs)</v>
      </c>
      <c r="G34" s="133">
        <f>tblIndicators!Z30</f>
        <v>1</v>
      </c>
      <c r="H34" s="168" t="str">
        <f>REPT(" ",D34)&amp;tblIndicators!AE30</f>
        <v>  3.1) Infrastructure security (Inputs)</v>
      </c>
      <c r="I34" s="186"/>
      <c r="J34" s="184"/>
      <c r="K34" s="187"/>
      <c r="L34" s="184"/>
      <c r="M34" s="187"/>
      <c r="N34" s="184"/>
      <c r="O34" s="187"/>
      <c r="P34" s="184"/>
      <c r="Q34" s="187"/>
      <c r="R34" s="184"/>
      <c r="S34" s="187"/>
      <c r="T34" s="184"/>
      <c r="U34" s="187"/>
      <c r="V34" s="184"/>
      <c r="W34" s="187"/>
      <c r="X34" s="184"/>
      <c r="Y34" s="187"/>
      <c r="Z34" s="184"/>
      <c r="AA34" s="187"/>
      <c r="AB34" s="184"/>
      <c r="AC34" s="187"/>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row>
    <row r="35" s="112" customFormat="1" ht="22.5" customHeight="1" spans="1:70">
      <c r="A35" s="132"/>
      <c r="B35" s="133">
        <f>tblIndicators!A31</f>
        <v>30</v>
      </c>
      <c r="C35" s="133">
        <f>tblIndicators!B31</f>
        <v>0</v>
      </c>
      <c r="D35" s="133">
        <f>tblIndicators!F31</f>
        <v>3</v>
      </c>
      <c r="E35" s="133" t="str">
        <f>tblIndicators!E31</f>
        <v>INSE3.1</v>
      </c>
      <c r="F35" s="133" t="str">
        <f>tblIndicators!H31</f>
        <v>Enforcement of transport safety</v>
      </c>
      <c r="G35" s="133">
        <f>tblIndicators!Z31</f>
        <v>3</v>
      </c>
      <c r="H35" s="168" t="str">
        <f>REPT(" ",D35)&amp;tblIndicators!AE31</f>
        <v>   3.1.1) Enforcement of transport safety</v>
      </c>
      <c r="I35" s="186" t="str">
        <f>IF(G35=1,"",tblIndicators!P31)</f>
        <v>Scale 0 - 10, 10 = best</v>
      </c>
      <c r="J35" s="184">
        <v>8.25</v>
      </c>
      <c r="K35" s="187">
        <v>7</v>
      </c>
      <c r="L35" s="184">
        <v>5</v>
      </c>
      <c r="M35" s="187">
        <v>7.25</v>
      </c>
      <c r="N35" s="184">
        <v>4.25</v>
      </c>
      <c r="O35" s="187">
        <v>6</v>
      </c>
      <c r="P35" s="184">
        <v>6</v>
      </c>
      <c r="Q35" s="187">
        <v>7.5</v>
      </c>
      <c r="R35" s="184">
        <v>2.5</v>
      </c>
      <c r="S35" s="187">
        <v>7</v>
      </c>
      <c r="T35" s="184">
        <v>7.75</v>
      </c>
      <c r="U35" s="187">
        <v>0</v>
      </c>
      <c r="V35" s="184">
        <v>0</v>
      </c>
      <c r="W35" s="187">
        <v>8</v>
      </c>
      <c r="X35" s="184">
        <v>6.25</v>
      </c>
      <c r="Y35" s="187">
        <v>3</v>
      </c>
      <c r="Z35" s="184">
        <v>3</v>
      </c>
      <c r="AA35" s="187">
        <v>4.25</v>
      </c>
      <c r="AB35" s="184">
        <v>7.875</v>
      </c>
      <c r="AC35" s="187">
        <v>7.5</v>
      </c>
      <c r="AD35" s="184">
        <v>7.25</v>
      </c>
      <c r="AE35" s="184">
        <v>7.75</v>
      </c>
      <c r="AF35" s="184">
        <v>5</v>
      </c>
      <c r="AG35" s="184">
        <v>6.75</v>
      </c>
      <c r="AH35" s="184">
        <v>6</v>
      </c>
      <c r="AI35" s="184">
        <v>2.5</v>
      </c>
      <c r="AJ35" s="184">
        <v>7.5</v>
      </c>
      <c r="AK35" s="184">
        <v>7.75</v>
      </c>
      <c r="AL35" s="184">
        <v>8.75</v>
      </c>
      <c r="AM35" s="184">
        <v>6.25</v>
      </c>
      <c r="AN35" s="184">
        <v>6.75</v>
      </c>
      <c r="AO35" s="184">
        <v>6.75</v>
      </c>
      <c r="AP35" s="184">
        <v>7.5</v>
      </c>
      <c r="AQ35" s="184">
        <v>5.5</v>
      </c>
      <c r="AR35" s="184">
        <v>6.25</v>
      </c>
      <c r="AS35" s="184">
        <v>7.25</v>
      </c>
      <c r="AT35" s="184">
        <v>4.25</v>
      </c>
      <c r="AU35" s="184">
        <v>8.25</v>
      </c>
      <c r="AV35" s="184">
        <v>6.26</v>
      </c>
      <c r="AW35" s="184">
        <v>7.75</v>
      </c>
      <c r="AX35" s="184">
        <v>0</v>
      </c>
      <c r="AY35" s="184">
        <v>5.5</v>
      </c>
      <c r="AZ35" s="184">
        <v>7.75</v>
      </c>
      <c r="BA35" s="184">
        <v>7.5</v>
      </c>
      <c r="BB35" s="184">
        <v>7.5</v>
      </c>
      <c r="BC35" s="184">
        <v>7</v>
      </c>
      <c r="BN35" s="112">
        <v>7.5</v>
      </c>
      <c r="BO35" s="112">
        <v>7.5</v>
      </c>
      <c r="BP35" s="112">
        <v>7.5</v>
      </c>
      <c r="BQ35" s="112">
        <v>7.5</v>
      </c>
      <c r="BR35" s="112">
        <v>7.5</v>
      </c>
    </row>
    <row r="36" s="112" customFormat="1" ht="22.5" customHeight="1" spans="1:70">
      <c r="A36" s="132"/>
      <c r="B36" s="133">
        <f>tblIndicators!A32</f>
        <v>31</v>
      </c>
      <c r="C36" s="133">
        <f>tblIndicators!B32</f>
        <v>0</v>
      </c>
      <c r="D36" s="133">
        <f>tblIndicators!F32</f>
        <v>3</v>
      </c>
      <c r="E36" s="133" t="str">
        <f>tblIndicators!E32</f>
        <v>INSE3.1</v>
      </c>
      <c r="F36" s="133" t="str">
        <f>tblIndicators!H32</f>
        <v>Pedestrian friendliness</v>
      </c>
      <c r="G36" s="133">
        <f>tblIndicators!Z32</f>
        <v>3</v>
      </c>
      <c r="H36" s="168" t="str">
        <f>REPT(" ",D36)&amp;tblIndicators!AE32</f>
        <v>   3.1.2) Pedestrian friendliness</v>
      </c>
      <c r="I36" s="186" t="str">
        <f>IF(G36=1,"",tblIndicators!P32)</f>
        <v>Scale 0-5, 5 = best</v>
      </c>
      <c r="J36" s="184">
        <v>5</v>
      </c>
      <c r="K36" s="187">
        <v>5</v>
      </c>
      <c r="L36" s="184">
        <v>0</v>
      </c>
      <c r="M36" s="187">
        <v>5</v>
      </c>
      <c r="N36" s="184">
        <v>5</v>
      </c>
      <c r="O36" s="187">
        <v>5</v>
      </c>
      <c r="P36" s="184">
        <v>5</v>
      </c>
      <c r="Q36" s="187">
        <v>5</v>
      </c>
      <c r="R36" s="184">
        <v>2.5</v>
      </c>
      <c r="S36" s="187">
        <v>0</v>
      </c>
      <c r="T36" s="184">
        <v>5</v>
      </c>
      <c r="U36" s="187">
        <v>0</v>
      </c>
      <c r="V36" s="184">
        <v>5</v>
      </c>
      <c r="W36" s="187">
        <v>5</v>
      </c>
      <c r="X36" s="184">
        <v>2.5</v>
      </c>
      <c r="Y36" s="187">
        <v>5</v>
      </c>
      <c r="Z36" s="184">
        <v>0</v>
      </c>
      <c r="AA36" s="187">
        <v>5</v>
      </c>
      <c r="AB36" s="184">
        <v>0</v>
      </c>
      <c r="AC36" s="187">
        <v>5</v>
      </c>
      <c r="AD36" s="184">
        <v>5</v>
      </c>
      <c r="AE36" s="184">
        <v>5</v>
      </c>
      <c r="AF36" s="184">
        <v>5</v>
      </c>
      <c r="AG36" s="184">
        <v>5</v>
      </c>
      <c r="AH36" s="184">
        <v>5</v>
      </c>
      <c r="AI36" s="184">
        <v>2.5</v>
      </c>
      <c r="AJ36" s="184">
        <v>5</v>
      </c>
      <c r="AK36" s="184">
        <v>5</v>
      </c>
      <c r="AL36" s="184">
        <v>0</v>
      </c>
      <c r="AM36" s="184">
        <v>5</v>
      </c>
      <c r="AN36" s="184">
        <v>0</v>
      </c>
      <c r="AO36" s="184">
        <v>5</v>
      </c>
      <c r="AP36" s="184">
        <v>5</v>
      </c>
      <c r="AQ36" s="184">
        <v>0</v>
      </c>
      <c r="AR36" s="184">
        <v>5</v>
      </c>
      <c r="AS36" s="184">
        <v>5</v>
      </c>
      <c r="AT36" s="184">
        <v>5</v>
      </c>
      <c r="AU36" s="184">
        <v>5</v>
      </c>
      <c r="AV36" s="184">
        <v>5</v>
      </c>
      <c r="AW36" s="184">
        <v>5</v>
      </c>
      <c r="AX36" s="184">
        <v>5</v>
      </c>
      <c r="AY36" s="184">
        <v>2.5</v>
      </c>
      <c r="AZ36" s="184">
        <v>5</v>
      </c>
      <c r="BA36" s="184">
        <v>5</v>
      </c>
      <c r="BB36" s="184">
        <v>5</v>
      </c>
      <c r="BC36" s="184">
        <v>5</v>
      </c>
      <c r="BN36" s="112">
        <v>5</v>
      </c>
      <c r="BO36" s="112">
        <v>5</v>
      </c>
      <c r="BP36" s="112">
        <v>5</v>
      </c>
      <c r="BQ36" s="112">
        <v>5</v>
      </c>
      <c r="BR36" s="112">
        <v>5</v>
      </c>
    </row>
    <row r="37" s="112" customFormat="1" ht="22.5" customHeight="1" spans="1:70">
      <c r="A37" s="132"/>
      <c r="B37" s="133">
        <f>tblIndicators!A33</f>
        <v>32</v>
      </c>
      <c r="C37" s="133">
        <f>tblIndicators!B33</f>
        <v>0</v>
      </c>
      <c r="D37" s="133">
        <f>tblIndicators!F33</f>
        <v>3</v>
      </c>
      <c r="E37" s="133" t="str">
        <f>tblIndicators!E33</f>
        <v>INSE3.1</v>
      </c>
      <c r="F37" s="133" t="str">
        <f>tblIndicators!H33</f>
        <v>Quality of road infrastructure</v>
      </c>
      <c r="G37" s="133">
        <f>tblIndicators!Z33</f>
        <v>3</v>
      </c>
      <c r="H37" s="168" t="str">
        <f>REPT(" ",D37)&amp;tblIndicators!AE33</f>
        <v>   3.1.3) Quality of road infrastructure</v>
      </c>
      <c r="I37" s="186" t="str">
        <f>IF(G37=1,"",tblIndicators!P33)</f>
        <v>Scale 1-5, 5 = best</v>
      </c>
      <c r="J37" s="184">
        <v>1</v>
      </c>
      <c r="K37" s="187">
        <v>1</v>
      </c>
      <c r="L37" s="184">
        <v>4</v>
      </c>
      <c r="M37" s="187">
        <v>1</v>
      </c>
      <c r="N37" s="184">
        <v>2</v>
      </c>
      <c r="O37" s="187">
        <v>2</v>
      </c>
      <c r="P37" s="184">
        <v>2</v>
      </c>
      <c r="Q37" s="187">
        <v>2</v>
      </c>
      <c r="R37" s="184">
        <v>3</v>
      </c>
      <c r="S37" s="187">
        <v>2</v>
      </c>
      <c r="T37" s="184">
        <v>1</v>
      </c>
      <c r="U37" s="187">
        <v>4</v>
      </c>
      <c r="V37" s="184">
        <v>1</v>
      </c>
      <c r="W37" s="187">
        <v>3</v>
      </c>
      <c r="X37" s="184">
        <v>3</v>
      </c>
      <c r="Y37" s="187">
        <v>3</v>
      </c>
      <c r="Z37" s="184">
        <v>2</v>
      </c>
      <c r="AA37" s="187">
        <v>2</v>
      </c>
      <c r="AB37" s="184">
        <v>2</v>
      </c>
      <c r="AC37" s="187">
        <v>2</v>
      </c>
      <c r="AD37" s="184">
        <v>1</v>
      </c>
      <c r="AE37" s="184">
        <v>1</v>
      </c>
      <c r="AF37" s="184">
        <v>3</v>
      </c>
      <c r="AG37" s="184">
        <v>2</v>
      </c>
      <c r="AH37" s="184">
        <v>2</v>
      </c>
      <c r="AI37" s="184">
        <v>5</v>
      </c>
      <c r="AJ37" s="184">
        <v>2</v>
      </c>
      <c r="AK37" s="184">
        <v>1</v>
      </c>
      <c r="AL37" s="184">
        <v>2</v>
      </c>
      <c r="AM37" s="184">
        <v>3</v>
      </c>
      <c r="AN37" s="184">
        <v>3</v>
      </c>
      <c r="AO37" s="184">
        <v>1</v>
      </c>
      <c r="AP37" s="184">
        <v>2</v>
      </c>
      <c r="AQ37" s="184">
        <v>2</v>
      </c>
      <c r="AR37" s="184">
        <v>2</v>
      </c>
      <c r="AS37" s="184">
        <v>2</v>
      </c>
      <c r="AT37" s="184">
        <v>2</v>
      </c>
      <c r="AU37" s="184">
        <v>1</v>
      </c>
      <c r="AV37" s="184">
        <v>4</v>
      </c>
      <c r="AW37" s="184">
        <v>1</v>
      </c>
      <c r="AX37" s="184">
        <v>2</v>
      </c>
      <c r="AY37" s="184">
        <v>3</v>
      </c>
      <c r="AZ37" s="184">
        <v>1</v>
      </c>
      <c r="BA37" s="184">
        <v>2</v>
      </c>
      <c r="BB37" s="184">
        <v>2</v>
      </c>
      <c r="BC37" s="184">
        <v>1</v>
      </c>
      <c r="BN37" s="112">
        <v>2</v>
      </c>
      <c r="BO37" s="112">
        <v>2</v>
      </c>
      <c r="BP37" s="112">
        <v>2</v>
      </c>
      <c r="BQ37" s="112">
        <v>2</v>
      </c>
      <c r="BR37" s="112">
        <v>2</v>
      </c>
    </row>
    <row r="38" s="112" customFormat="1" ht="22.5" customHeight="1" spans="1:70">
      <c r="A38" s="132"/>
      <c r="B38" s="133">
        <f>tblIndicators!A34</f>
        <v>33</v>
      </c>
      <c r="C38" s="133">
        <f>tblIndicators!B34</f>
        <v>0</v>
      </c>
      <c r="D38" s="133">
        <f>tblIndicators!F34</f>
        <v>3</v>
      </c>
      <c r="E38" s="133" t="str">
        <f>tblIndicators!E34</f>
        <v>INSE3.1</v>
      </c>
      <c r="F38" s="133" t="str">
        <f>tblIndicators!H34</f>
        <v>Quality of electricity infrastructure</v>
      </c>
      <c r="G38" s="133">
        <f>tblIndicators!Z34</f>
        <v>3</v>
      </c>
      <c r="H38" s="168" t="str">
        <f>REPT(" ",D38)&amp;tblIndicators!AE34</f>
        <v>   3.1.4) Quality of electricity infrastructure</v>
      </c>
      <c r="I38" s="186" t="str">
        <f>IF(G38=1,"",tblIndicators!P34)</f>
        <v>Scale 1-5, 5 = best</v>
      </c>
      <c r="J38" s="184">
        <v>2</v>
      </c>
      <c r="K38" s="187">
        <v>1</v>
      </c>
      <c r="L38" s="184">
        <v>1</v>
      </c>
      <c r="M38" s="187">
        <v>1</v>
      </c>
      <c r="N38" s="184">
        <v>1</v>
      </c>
      <c r="O38" s="187">
        <v>1</v>
      </c>
      <c r="P38" s="184">
        <v>1</v>
      </c>
      <c r="Q38" s="187">
        <v>1</v>
      </c>
      <c r="R38" s="184">
        <v>3</v>
      </c>
      <c r="S38" s="187">
        <v>2</v>
      </c>
      <c r="T38" s="184">
        <v>1</v>
      </c>
      <c r="U38" s="187">
        <v>3</v>
      </c>
      <c r="V38" s="184">
        <v>1</v>
      </c>
      <c r="W38" s="187">
        <v>2</v>
      </c>
      <c r="X38" s="184">
        <v>3</v>
      </c>
      <c r="Y38" s="187">
        <v>3</v>
      </c>
      <c r="Z38" s="184">
        <v>1</v>
      </c>
      <c r="AA38" s="187">
        <v>1</v>
      </c>
      <c r="AB38" s="184">
        <v>1</v>
      </c>
      <c r="AC38" s="187">
        <v>1</v>
      </c>
      <c r="AD38" s="184">
        <v>1</v>
      </c>
      <c r="AE38" s="184">
        <v>1</v>
      </c>
      <c r="AF38" s="184">
        <v>3</v>
      </c>
      <c r="AG38" s="184">
        <v>1</v>
      </c>
      <c r="AH38" s="184">
        <v>1</v>
      </c>
      <c r="AI38" s="184">
        <v>2</v>
      </c>
      <c r="AJ38" s="184">
        <v>1</v>
      </c>
      <c r="AK38" s="184">
        <v>1</v>
      </c>
      <c r="AL38" s="184">
        <v>1</v>
      </c>
      <c r="AM38" s="184">
        <v>1</v>
      </c>
      <c r="AN38" s="184">
        <v>2</v>
      </c>
      <c r="AO38" s="184">
        <v>1</v>
      </c>
      <c r="AP38" s="184">
        <v>1</v>
      </c>
      <c r="AQ38" s="184">
        <v>1</v>
      </c>
      <c r="AR38" s="184">
        <v>2</v>
      </c>
      <c r="AS38" s="184">
        <v>1</v>
      </c>
      <c r="AT38" s="184">
        <v>1</v>
      </c>
      <c r="AU38" s="184">
        <v>1</v>
      </c>
      <c r="AV38" s="184">
        <v>2</v>
      </c>
      <c r="AW38" s="184">
        <v>1</v>
      </c>
      <c r="AX38" s="184">
        <v>2</v>
      </c>
      <c r="AY38" s="184">
        <v>4</v>
      </c>
      <c r="AZ38" s="184">
        <v>1</v>
      </c>
      <c r="BA38" s="184">
        <v>1</v>
      </c>
      <c r="BB38" s="184">
        <v>1</v>
      </c>
      <c r="BC38" s="184">
        <v>1</v>
      </c>
      <c r="BN38" s="112">
        <v>1</v>
      </c>
      <c r="BO38" s="112">
        <v>1</v>
      </c>
      <c r="BP38" s="112">
        <v>1</v>
      </c>
      <c r="BQ38" s="112">
        <v>1</v>
      </c>
      <c r="BR38" s="112">
        <v>1</v>
      </c>
    </row>
    <row r="39" s="112" customFormat="1" ht="22.5" customHeight="1" spans="1:70">
      <c r="A39" s="132"/>
      <c r="B39" s="133">
        <f>tblIndicators!A35</f>
        <v>34</v>
      </c>
      <c r="C39" s="133">
        <f>tblIndicators!B35</f>
        <v>0</v>
      </c>
      <c r="D39" s="133">
        <f>tblIndicators!F35</f>
        <v>3</v>
      </c>
      <c r="E39" s="133" t="str">
        <f>tblIndicators!E35</f>
        <v>INSE3.1</v>
      </c>
      <c r="F39" s="133" t="str">
        <f>tblIndicators!H35</f>
        <v>Disaster management/business continuity plan</v>
      </c>
      <c r="G39" s="133">
        <f>tblIndicators!Z35</f>
        <v>3</v>
      </c>
      <c r="H39" s="168" t="str">
        <f>REPT(" ",D39)&amp;tblIndicators!AE35</f>
        <v>   3.1.5) Disaster management/business continuity plan</v>
      </c>
      <c r="I39" s="186" t="str">
        <f>IF(G39=1,"",tblIndicators!P35)</f>
        <v>Scale 1-5, 5 = best</v>
      </c>
      <c r="J39" s="184">
        <v>2</v>
      </c>
      <c r="K39" s="187">
        <v>1</v>
      </c>
      <c r="L39" s="184">
        <v>2</v>
      </c>
      <c r="M39" s="187">
        <v>1</v>
      </c>
      <c r="N39" s="184">
        <v>3</v>
      </c>
      <c r="O39" s="187">
        <v>1</v>
      </c>
      <c r="P39" s="184">
        <v>1</v>
      </c>
      <c r="Q39" s="187">
        <v>1</v>
      </c>
      <c r="R39" s="184">
        <v>4</v>
      </c>
      <c r="S39" s="187">
        <v>1</v>
      </c>
      <c r="T39" s="184">
        <v>1</v>
      </c>
      <c r="U39" s="187">
        <v>3</v>
      </c>
      <c r="V39" s="184">
        <v>1</v>
      </c>
      <c r="W39" s="187">
        <v>2</v>
      </c>
      <c r="X39" s="184">
        <v>3</v>
      </c>
      <c r="Y39" s="187">
        <v>3</v>
      </c>
      <c r="Z39" s="184">
        <v>2</v>
      </c>
      <c r="AA39" s="187">
        <v>1</v>
      </c>
      <c r="AB39" s="184">
        <v>1</v>
      </c>
      <c r="AC39" s="187">
        <v>2</v>
      </c>
      <c r="AD39" s="184">
        <v>1</v>
      </c>
      <c r="AE39" s="184">
        <v>1</v>
      </c>
      <c r="AF39" s="184">
        <v>2</v>
      </c>
      <c r="AG39" s="184">
        <v>1</v>
      </c>
      <c r="AH39" s="184">
        <v>3</v>
      </c>
      <c r="AI39" s="184">
        <v>4</v>
      </c>
      <c r="AJ39" s="184">
        <v>1</v>
      </c>
      <c r="AK39" s="184">
        <v>1</v>
      </c>
      <c r="AL39" s="184">
        <v>1</v>
      </c>
      <c r="AM39" s="184">
        <v>3</v>
      </c>
      <c r="AN39" s="184">
        <v>3</v>
      </c>
      <c r="AO39" s="184">
        <v>1</v>
      </c>
      <c r="AP39" s="184">
        <v>1</v>
      </c>
      <c r="AQ39" s="184">
        <v>1</v>
      </c>
      <c r="AR39" s="184">
        <v>2</v>
      </c>
      <c r="AS39" s="184">
        <v>2</v>
      </c>
      <c r="AT39" s="184">
        <v>3</v>
      </c>
      <c r="AU39" s="184">
        <v>1</v>
      </c>
      <c r="AV39" s="184">
        <v>1</v>
      </c>
      <c r="AW39" s="184">
        <v>1</v>
      </c>
      <c r="AX39" s="184">
        <v>2</v>
      </c>
      <c r="AY39" s="184">
        <v>3</v>
      </c>
      <c r="AZ39" s="184">
        <v>1</v>
      </c>
      <c r="BA39" s="184">
        <v>1</v>
      </c>
      <c r="BB39" s="184">
        <v>1</v>
      </c>
      <c r="BC39" s="184">
        <v>1</v>
      </c>
      <c r="BN39" s="112">
        <v>2</v>
      </c>
      <c r="BO39" s="112">
        <v>1</v>
      </c>
      <c r="BP39" s="112">
        <v>1</v>
      </c>
      <c r="BQ39" s="112">
        <v>1</v>
      </c>
      <c r="BR39" s="112">
        <v>1</v>
      </c>
    </row>
    <row r="40" s="112" customFormat="1" ht="22.5" customHeight="1" spans="1:55">
      <c r="A40" s="132"/>
      <c r="B40" s="133">
        <f>tblIndicators!A36</f>
        <v>35</v>
      </c>
      <c r="C40" s="133">
        <f>tblIndicators!B36</f>
        <v>0</v>
      </c>
      <c r="D40" s="133">
        <f>tblIndicators!F36</f>
        <v>2</v>
      </c>
      <c r="E40" s="133" t="str">
        <f>tblIndicators!E36</f>
        <v>INSE</v>
      </c>
      <c r="F40" s="133" t="str">
        <f>tblIndicators!H36</f>
        <v>Infrastructure security (Outputs)</v>
      </c>
      <c r="G40" s="133">
        <f>tblIndicators!Z36</f>
        <v>1</v>
      </c>
      <c r="H40" s="168" t="str">
        <f>REPT(" ",D40)&amp;tblIndicators!AE36</f>
        <v>  3.2) Infrastructure security (Outputs)</v>
      </c>
      <c r="I40" s="186" t="str">
        <f>IF(G40=1,"",tblIndicators!P36)</f>
        <v/>
      </c>
      <c r="J40" s="184"/>
      <c r="K40" s="187"/>
      <c r="L40" s="184"/>
      <c r="M40" s="187"/>
      <c r="N40" s="184"/>
      <c r="O40" s="187"/>
      <c r="P40" s="184"/>
      <c r="Q40" s="187"/>
      <c r="R40" s="184"/>
      <c r="S40" s="187"/>
      <c r="T40" s="184"/>
      <c r="U40" s="187"/>
      <c r="V40" s="184"/>
      <c r="W40" s="187"/>
      <c r="X40" s="184"/>
      <c r="Y40" s="187"/>
      <c r="Z40" s="184"/>
      <c r="AA40" s="187"/>
      <c r="AB40" s="184"/>
      <c r="AC40" s="187"/>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row>
    <row r="41" s="112" customFormat="1" ht="22.5" customHeight="1" spans="1:70">
      <c r="A41" s="132"/>
      <c r="B41" s="133">
        <f>tblIndicators!A37</f>
        <v>36</v>
      </c>
      <c r="C41" s="133">
        <f>tblIndicators!B37</f>
        <v>0</v>
      </c>
      <c r="D41" s="133">
        <f>tblIndicators!F37</f>
        <v>3</v>
      </c>
      <c r="E41" s="133" t="str">
        <f>tblIndicators!E37</f>
        <v>INSE3.2</v>
      </c>
      <c r="F41" s="133" t="str">
        <f>tblIndicators!H37</f>
        <v>Deaths from natural disaster</v>
      </c>
      <c r="G41" s="133">
        <f>tblIndicators!Z37</f>
        <v>2</v>
      </c>
      <c r="H41" s="168" t="str">
        <f>REPT(" ",D41)&amp;tblIndicators!AE37</f>
        <v>   3.2.1) Deaths from natural disaster</v>
      </c>
      <c r="I41" s="186" t="str">
        <f>IF(G41=1,"",tblIndicators!P37)</f>
        <v>#/million/year, average of the last five years</v>
      </c>
      <c r="J41" s="184">
        <v>0</v>
      </c>
      <c r="K41" s="187">
        <v>126.25</v>
      </c>
      <c r="L41" s="184">
        <v>72.3571428571429</v>
      </c>
      <c r="M41" s="187">
        <v>8.66666666666667</v>
      </c>
      <c r="N41" s="184">
        <v>3.67441860465116</v>
      </c>
      <c r="O41" s="187">
        <v>87</v>
      </c>
      <c r="P41" s="184">
        <v>6.12903225806452</v>
      </c>
      <c r="Q41" s="187">
        <v>14.3646408839779</v>
      </c>
      <c r="R41" s="184">
        <v>56.32</v>
      </c>
      <c r="S41" s="187">
        <v>0</v>
      </c>
      <c r="T41" s="184">
        <v>16.6666666666667</v>
      </c>
      <c r="U41" s="187">
        <v>32.1111111111111</v>
      </c>
      <c r="V41" s="184">
        <v>0</v>
      </c>
      <c r="W41" s="187">
        <v>7.92307692307692</v>
      </c>
      <c r="X41" s="184">
        <v>2113.64705882353</v>
      </c>
      <c r="Y41" s="187">
        <v>7.27272727272727</v>
      </c>
      <c r="Z41" s="184">
        <v>0</v>
      </c>
      <c r="AA41" s="187">
        <v>27.7906976744186</v>
      </c>
      <c r="AB41" s="184">
        <v>9.88095238095238</v>
      </c>
      <c r="AC41" s="187">
        <v>3.5</v>
      </c>
      <c r="AD41" s="184">
        <v>4.33333333333333</v>
      </c>
      <c r="AE41" s="184">
        <v>37.0588235294118</v>
      </c>
      <c r="AF41" s="184">
        <v>4.4</v>
      </c>
      <c r="AG41" s="184">
        <v>38.4615384615385</v>
      </c>
      <c r="AH41" s="184">
        <v>470.5</v>
      </c>
      <c r="AI41" s="184">
        <v>0</v>
      </c>
      <c r="AJ41" s="184">
        <v>2.61904761904762</v>
      </c>
      <c r="AK41" s="184">
        <v>796.896551724138</v>
      </c>
      <c r="AL41" s="184">
        <v>15.45</v>
      </c>
      <c r="AM41" s="184">
        <v>34.6456692913386</v>
      </c>
      <c r="AN41" s="184">
        <v>0.642857142857143</v>
      </c>
      <c r="AO41" s="184">
        <v>19.2307692307692</v>
      </c>
      <c r="AP41" s="184">
        <v>17.5</v>
      </c>
      <c r="AQ41" s="184">
        <v>9.71428571428571</v>
      </c>
      <c r="AR41" s="184">
        <v>183.333333333333</v>
      </c>
      <c r="AS41" s="184">
        <v>2.84313725490196</v>
      </c>
      <c r="AT41" s="184">
        <v>0.165631469979296</v>
      </c>
      <c r="AU41" s="184">
        <v>6.85714285714286</v>
      </c>
      <c r="AV41" s="184">
        <v>1.4</v>
      </c>
      <c r="AW41" s="184">
        <v>37.0588235294118</v>
      </c>
      <c r="AX41" s="184">
        <v>34.2307692307692</v>
      </c>
      <c r="AY41" s="184">
        <v>11.1666666666667</v>
      </c>
      <c r="AZ41" s="184">
        <v>212.5</v>
      </c>
      <c r="BA41" s="184">
        <v>1.42857142857143</v>
      </c>
      <c r="BB41" s="184">
        <v>0.579710144927536</v>
      </c>
      <c r="BC41" s="184">
        <v>5</v>
      </c>
      <c r="BN41" s="112">
        <v>3.5</v>
      </c>
      <c r="BO41" s="112">
        <v>2.61904761904762</v>
      </c>
      <c r="BP41" s="112">
        <v>17.5</v>
      </c>
      <c r="BQ41" s="112">
        <v>1.42857142857143</v>
      </c>
      <c r="BR41" s="112">
        <v>0.579710144927536</v>
      </c>
    </row>
    <row r="42" s="112" customFormat="1" ht="22.5" customHeight="1" spans="1:70">
      <c r="A42" s="132"/>
      <c r="B42" s="133">
        <f>tblIndicators!A38</f>
        <v>37</v>
      </c>
      <c r="C42" s="133">
        <f>tblIndicators!B38</f>
        <v>0</v>
      </c>
      <c r="D42" s="133">
        <f>tblIndicators!F38</f>
        <v>3</v>
      </c>
      <c r="E42" s="133" t="str">
        <f>tblIndicators!E38</f>
        <v>INSE3.2</v>
      </c>
      <c r="F42" s="133" t="str">
        <f>tblIndicators!H38</f>
        <v>Frequency of vehicular accidents</v>
      </c>
      <c r="G42" s="133">
        <f>tblIndicators!Z38</f>
        <v>2</v>
      </c>
      <c r="H42" s="168" t="str">
        <f>REPT(" ",D42)&amp;tblIndicators!AE38</f>
        <v>   3.2.2) Frequency of vehicular accidents</v>
      </c>
      <c r="I42" s="186" t="str">
        <f>IF(G42=1,"",tblIndicators!P38)</f>
        <v>#/million/year</v>
      </c>
      <c r="J42" s="184">
        <v>83</v>
      </c>
      <c r="K42" s="187">
        <v>54</v>
      </c>
      <c r="L42" s="184">
        <v>315</v>
      </c>
      <c r="M42" s="187">
        <v>573</v>
      </c>
      <c r="N42" s="184">
        <v>16.29</v>
      </c>
      <c r="O42" s="187">
        <v>341</v>
      </c>
      <c r="P42" s="184">
        <v>235.68</v>
      </c>
      <c r="Q42" s="187">
        <v>597</v>
      </c>
      <c r="R42" s="184">
        <v>36</v>
      </c>
      <c r="S42" s="187">
        <v>222</v>
      </c>
      <c r="T42" s="184">
        <v>2177</v>
      </c>
      <c r="U42" s="187">
        <v>32.5</v>
      </c>
      <c r="V42" s="184">
        <v>225</v>
      </c>
      <c r="W42" s="187">
        <v>1574</v>
      </c>
      <c r="X42" s="184">
        <v>62</v>
      </c>
      <c r="Y42" s="187">
        <v>1951</v>
      </c>
      <c r="Z42" s="184">
        <v>1033.15</v>
      </c>
      <c r="AA42" s="187">
        <v>610</v>
      </c>
      <c r="AB42" s="184">
        <v>217</v>
      </c>
      <c r="AC42" s="187">
        <v>427</v>
      </c>
      <c r="AD42" s="184">
        <v>177</v>
      </c>
      <c r="AE42" s="184">
        <v>341</v>
      </c>
      <c r="AF42" s="184">
        <v>3269</v>
      </c>
      <c r="AG42" s="184">
        <v>1282</v>
      </c>
      <c r="AH42" s="184">
        <v>104</v>
      </c>
      <c r="AI42" s="184">
        <v>19</v>
      </c>
      <c r="AJ42" s="184">
        <v>825</v>
      </c>
      <c r="AK42" s="184">
        <v>544</v>
      </c>
      <c r="AL42" s="184">
        <v>1061</v>
      </c>
      <c r="AM42" s="184">
        <v>344</v>
      </c>
      <c r="AN42" s="184">
        <v>2291</v>
      </c>
      <c r="AO42" s="184">
        <v>706</v>
      </c>
      <c r="AP42" s="184">
        <v>457</v>
      </c>
      <c r="AQ42" s="184">
        <v>365</v>
      </c>
      <c r="AR42" s="184">
        <v>236</v>
      </c>
      <c r="AS42" s="184">
        <v>400.28</v>
      </c>
      <c r="AT42" s="184">
        <v>9.52</v>
      </c>
      <c r="AU42" s="184">
        <v>118</v>
      </c>
      <c r="AV42" s="184">
        <v>155</v>
      </c>
      <c r="AW42" s="184">
        <v>565</v>
      </c>
      <c r="AX42" s="184">
        <v>762.38</v>
      </c>
      <c r="AY42" s="184">
        <v>156</v>
      </c>
      <c r="AZ42" s="184">
        <v>357</v>
      </c>
      <c r="BA42" s="184">
        <v>863</v>
      </c>
      <c r="BB42" s="184">
        <v>2914</v>
      </c>
      <c r="BC42" s="184">
        <v>888</v>
      </c>
      <c r="BN42" s="112">
        <v>427</v>
      </c>
      <c r="BO42" s="112">
        <v>825</v>
      </c>
      <c r="BP42" s="112">
        <v>457</v>
      </c>
      <c r="BQ42" s="112">
        <v>863</v>
      </c>
      <c r="BR42" s="112">
        <v>2914</v>
      </c>
    </row>
    <row r="43" s="112" customFormat="1" ht="22.5" customHeight="1" spans="1:70">
      <c r="A43" s="132"/>
      <c r="B43" s="133">
        <f>tblIndicators!A39</f>
        <v>38</v>
      </c>
      <c r="C43" s="133">
        <f>tblIndicators!B39</f>
        <v>0</v>
      </c>
      <c r="D43" s="133">
        <f>tblIndicators!F39</f>
        <v>3</v>
      </c>
      <c r="E43" s="133" t="str">
        <f>tblIndicators!E39</f>
        <v>INSE3.2</v>
      </c>
      <c r="F43" s="133" t="str">
        <f>tblIndicators!H39</f>
        <v>Frequency of pedestrian deaths</v>
      </c>
      <c r="G43" s="133">
        <f>tblIndicators!Z39</f>
        <v>2</v>
      </c>
      <c r="H43" s="168" t="str">
        <f>REPT(" ",D43)&amp;tblIndicators!AE39</f>
        <v>   3.2.3) Frequency of pedestrian deaths</v>
      </c>
      <c r="I43" s="186" t="str">
        <f>IF(G43=1,"",tblIndicators!P39)</f>
        <v>#/million/year</v>
      </c>
      <c r="J43" s="184">
        <v>1.9</v>
      </c>
      <c r="K43" s="187">
        <v>0.4</v>
      </c>
      <c r="L43" s="184">
        <v>1.45</v>
      </c>
      <c r="M43" s="187">
        <v>0.7</v>
      </c>
      <c r="N43" s="184">
        <v>1.2</v>
      </c>
      <c r="O43" s="187">
        <v>1</v>
      </c>
      <c r="P43" s="184">
        <v>37.4</v>
      </c>
      <c r="Q43" s="187">
        <v>1.8</v>
      </c>
      <c r="R43" s="184">
        <v>2.6</v>
      </c>
      <c r="S43" s="187">
        <v>4.2</v>
      </c>
      <c r="T43" s="184">
        <v>0.6</v>
      </c>
      <c r="U43" s="187">
        <v>0.82</v>
      </c>
      <c r="V43" s="184">
        <v>51</v>
      </c>
      <c r="W43" s="187">
        <v>1.1</v>
      </c>
      <c r="X43" s="184">
        <v>2.7</v>
      </c>
      <c r="Y43" s="187">
        <v>9.4</v>
      </c>
      <c r="Z43" s="184">
        <v>9.1</v>
      </c>
      <c r="AA43" s="187">
        <v>4.9</v>
      </c>
      <c r="AB43" s="184">
        <v>0.8</v>
      </c>
      <c r="AC43" s="187">
        <v>2.6</v>
      </c>
      <c r="AD43" s="184">
        <v>0.3</v>
      </c>
      <c r="AE43" s="184">
        <v>0.6</v>
      </c>
      <c r="AF43" s="184">
        <v>53.8</v>
      </c>
      <c r="AG43" s="184">
        <v>2.6</v>
      </c>
      <c r="AH43" s="184">
        <v>9.8</v>
      </c>
      <c r="AI43" s="184">
        <v>1.4</v>
      </c>
      <c r="AJ43" s="184">
        <v>1.6</v>
      </c>
      <c r="AK43" s="184">
        <v>1.3</v>
      </c>
      <c r="AL43" s="184">
        <v>0.8</v>
      </c>
      <c r="AM43" s="184">
        <v>5.5</v>
      </c>
      <c r="AN43" s="184">
        <v>2.8</v>
      </c>
      <c r="AO43" s="184">
        <v>2.4</v>
      </c>
      <c r="AP43" s="184">
        <v>2</v>
      </c>
      <c r="AQ43" s="184">
        <v>11.7</v>
      </c>
      <c r="AR43" s="184">
        <v>5.6</v>
      </c>
      <c r="AS43" s="184">
        <v>1.6</v>
      </c>
      <c r="AT43" s="184">
        <v>1</v>
      </c>
      <c r="AU43" s="184">
        <v>0.8</v>
      </c>
      <c r="AV43" s="184">
        <v>0.5</v>
      </c>
      <c r="AW43" s="184">
        <v>0.7</v>
      </c>
      <c r="AX43" s="184">
        <v>0.9</v>
      </c>
      <c r="AY43" s="184">
        <v>10.4</v>
      </c>
      <c r="AZ43" s="184">
        <v>1.7</v>
      </c>
      <c r="BA43" s="184">
        <v>0.4</v>
      </c>
      <c r="BB43" s="184">
        <v>1.3</v>
      </c>
      <c r="BC43" s="184">
        <v>0.9</v>
      </c>
      <c r="BN43" s="112">
        <v>2.6</v>
      </c>
      <c r="BO43" s="112">
        <v>1.6</v>
      </c>
      <c r="BP43" s="112">
        <v>2</v>
      </c>
      <c r="BQ43" s="112">
        <v>0.4</v>
      </c>
      <c r="BR43" s="112">
        <v>1.3</v>
      </c>
    </row>
    <row r="44" s="112" customFormat="1" ht="22.5" customHeight="1" spans="1:70">
      <c r="A44" s="132"/>
      <c r="B44" s="133">
        <f>tblIndicators!A40</f>
        <v>39</v>
      </c>
      <c r="C44" s="133">
        <f>tblIndicators!B40</f>
        <v>0</v>
      </c>
      <c r="D44" s="133">
        <f>tblIndicators!F40</f>
        <v>3</v>
      </c>
      <c r="E44" s="133" t="str">
        <f>tblIndicators!E40</f>
        <v>INSE3.2</v>
      </c>
      <c r="F44" s="133" t="str">
        <f>tblIndicators!H40</f>
        <v>Percentage living in slums</v>
      </c>
      <c r="G44" s="133">
        <f>tblIndicators!Z40</f>
        <v>2</v>
      </c>
      <c r="H44" s="168" t="str">
        <f>REPT(" ",D44)&amp;tblIndicators!AE40</f>
        <v>   3.2.4) Percentage living in slums</v>
      </c>
      <c r="I44" s="186" t="str">
        <f>IF(G44=1,"",tblIndicators!P40)</f>
        <v>%</v>
      </c>
      <c r="J44" s="184">
        <v>19.5</v>
      </c>
      <c r="K44" s="187">
        <v>15</v>
      </c>
      <c r="L44" s="184">
        <v>27</v>
      </c>
      <c r="M44" s="187">
        <v>27.3</v>
      </c>
      <c r="N44" s="184">
        <v>29.1</v>
      </c>
      <c r="O44" s="187">
        <v>21.6</v>
      </c>
      <c r="P44" s="184">
        <v>20.8</v>
      </c>
      <c r="Q44" s="187">
        <v>20</v>
      </c>
      <c r="R44" s="184">
        <v>29.4</v>
      </c>
      <c r="S44" s="187">
        <v>19.5</v>
      </c>
      <c r="T44" s="184">
        <v>19.6</v>
      </c>
      <c r="U44" s="187">
        <v>35.2</v>
      </c>
      <c r="V44" s="184">
        <v>18</v>
      </c>
      <c r="W44" s="187">
        <v>13</v>
      </c>
      <c r="X44" s="184">
        <v>23</v>
      </c>
      <c r="Y44" s="187">
        <v>23</v>
      </c>
      <c r="Z44" s="184">
        <v>5</v>
      </c>
      <c r="AA44" s="187">
        <v>36.1</v>
      </c>
      <c r="AB44" s="184">
        <v>24.1</v>
      </c>
      <c r="AC44" s="187">
        <v>20</v>
      </c>
      <c r="AD44" s="184">
        <v>27.3</v>
      </c>
      <c r="AE44" s="184">
        <v>12.6</v>
      </c>
      <c r="AF44" s="184">
        <v>14.4</v>
      </c>
      <c r="AG44" s="184">
        <v>28.4</v>
      </c>
      <c r="AH44" s="184">
        <v>36</v>
      </c>
      <c r="AI44" s="184">
        <v>29.4</v>
      </c>
      <c r="AJ44" s="184">
        <v>20</v>
      </c>
      <c r="AK44" s="184">
        <v>15.7</v>
      </c>
      <c r="AL44" s="184">
        <v>19.1</v>
      </c>
      <c r="AM44" s="184">
        <v>26.9</v>
      </c>
      <c r="AN44" s="184">
        <v>18</v>
      </c>
      <c r="AO44" s="184">
        <v>28.4</v>
      </c>
      <c r="AP44" s="184">
        <v>20</v>
      </c>
      <c r="AQ44" s="184">
        <v>9</v>
      </c>
      <c r="AR44" s="184">
        <v>26.9</v>
      </c>
      <c r="AS44" s="184">
        <v>15</v>
      </c>
      <c r="AT44" s="184">
        <v>29.1</v>
      </c>
      <c r="AU44" s="184">
        <v>26</v>
      </c>
      <c r="AV44" s="184">
        <v>12.1</v>
      </c>
      <c r="AW44" s="184">
        <v>12.6</v>
      </c>
      <c r="AX44" s="184">
        <v>2</v>
      </c>
      <c r="AY44" s="184">
        <v>15</v>
      </c>
      <c r="AZ44" s="184">
        <v>15.7</v>
      </c>
      <c r="BA44" s="184">
        <v>13.2</v>
      </c>
      <c r="BB44" s="184">
        <v>20</v>
      </c>
      <c r="BC44" s="184">
        <v>4.2</v>
      </c>
      <c r="BN44" s="112">
        <v>20</v>
      </c>
      <c r="BO44" s="112">
        <v>20</v>
      </c>
      <c r="BP44" s="112">
        <v>20</v>
      </c>
      <c r="BQ44" s="112">
        <v>13.2</v>
      </c>
      <c r="BR44" s="112">
        <v>20</v>
      </c>
    </row>
    <row r="45" s="112" customFormat="1" ht="22.5" customHeight="1" spans="1:70">
      <c r="A45" s="132"/>
      <c r="B45" s="133">
        <f>tblIndicators!A41</f>
        <v>40</v>
      </c>
      <c r="C45" s="133">
        <f>tblIndicators!B41</f>
        <v>0</v>
      </c>
      <c r="D45" s="133">
        <f>tblIndicators!F41</f>
        <v>3</v>
      </c>
      <c r="E45" s="133" t="str">
        <f>tblIndicators!E41</f>
        <v>INSE3.2</v>
      </c>
      <c r="F45" s="133" t="str">
        <f>tblIndicators!H41</f>
        <v>Number of attacks on facilities/infrastructure</v>
      </c>
      <c r="G45" s="133">
        <f>tblIndicators!Z41</f>
        <v>2</v>
      </c>
      <c r="H45" s="168" t="str">
        <f>REPT(" ",D45)&amp;tblIndicators!AE41</f>
        <v>   3.2.5) Number of attacks on facilities/infrastructure</v>
      </c>
      <c r="I45" s="186" t="str">
        <f>IF(G45=1,"",tblIndicators!P41)</f>
        <v>#/year</v>
      </c>
      <c r="J45" s="184">
        <v>0</v>
      </c>
      <c r="K45" s="187">
        <v>0</v>
      </c>
      <c r="L45" s="184">
        <v>1.2</v>
      </c>
      <c r="M45" s="187">
        <v>0</v>
      </c>
      <c r="N45" s="184">
        <v>0</v>
      </c>
      <c r="O45" s="187">
        <v>0</v>
      </c>
      <c r="P45" s="184">
        <v>0.2</v>
      </c>
      <c r="Q45" s="187">
        <v>0</v>
      </c>
      <c r="R45" s="184">
        <v>0.3</v>
      </c>
      <c r="S45" s="187">
        <v>0</v>
      </c>
      <c r="T45" s="184">
        <v>0</v>
      </c>
      <c r="U45" s="187">
        <v>0</v>
      </c>
      <c r="V45" s="184">
        <v>0</v>
      </c>
      <c r="W45" s="187">
        <v>1</v>
      </c>
      <c r="X45" s="184">
        <v>0.1</v>
      </c>
      <c r="Y45" s="187">
        <v>0</v>
      </c>
      <c r="Z45" s="184">
        <v>0</v>
      </c>
      <c r="AA45" s="187">
        <v>0</v>
      </c>
      <c r="AB45" s="184">
        <v>0.9</v>
      </c>
      <c r="AC45" s="187">
        <v>0.1</v>
      </c>
      <c r="AD45" s="184">
        <v>0.6</v>
      </c>
      <c r="AE45" s="184">
        <v>0</v>
      </c>
      <c r="AF45" s="184">
        <v>0</v>
      </c>
      <c r="AG45" s="184">
        <v>0</v>
      </c>
      <c r="AH45" s="184">
        <v>0.2</v>
      </c>
      <c r="AI45" s="184">
        <v>0.4</v>
      </c>
      <c r="AJ45" s="184">
        <v>0.1</v>
      </c>
      <c r="AK45" s="184">
        <v>0</v>
      </c>
      <c r="AL45" s="184">
        <v>0</v>
      </c>
      <c r="AM45" s="184">
        <v>0</v>
      </c>
      <c r="AN45" s="184">
        <v>0</v>
      </c>
      <c r="AO45" s="184">
        <v>0.1</v>
      </c>
      <c r="AP45" s="184">
        <v>0</v>
      </c>
      <c r="AQ45" s="184">
        <v>0.3</v>
      </c>
      <c r="AR45" s="184">
        <v>0.1</v>
      </c>
      <c r="AS45" s="184">
        <v>0</v>
      </c>
      <c r="AT45" s="184">
        <v>0.1</v>
      </c>
      <c r="AU45" s="184">
        <v>0</v>
      </c>
      <c r="AV45" s="184">
        <v>0</v>
      </c>
      <c r="AW45" s="184">
        <v>0</v>
      </c>
      <c r="AX45" s="184">
        <v>0</v>
      </c>
      <c r="AY45" s="184">
        <v>0.1</v>
      </c>
      <c r="AZ45" s="184">
        <v>0</v>
      </c>
      <c r="BA45" s="184">
        <v>0</v>
      </c>
      <c r="BB45" s="184">
        <v>0</v>
      </c>
      <c r="BC45" s="184">
        <v>0</v>
      </c>
      <c r="BN45" s="112">
        <v>0.5</v>
      </c>
      <c r="BO45" s="112">
        <v>0.4</v>
      </c>
      <c r="BP45" s="112">
        <v>0</v>
      </c>
      <c r="BQ45" s="112">
        <v>0</v>
      </c>
      <c r="BR45" s="112">
        <v>0.1</v>
      </c>
    </row>
    <row r="46" s="112" customFormat="1" ht="22.5" customHeight="1" spans="1:55">
      <c r="A46" s="132"/>
      <c r="B46" s="133">
        <f>tblIndicators!A42</f>
        <v>41</v>
      </c>
      <c r="C46" s="133">
        <f>tblIndicators!B42</f>
        <v>0</v>
      </c>
      <c r="D46" s="133">
        <f>tblIndicators!F42</f>
        <v>1</v>
      </c>
      <c r="E46" s="133" t="str">
        <f>tblIndicators!E42</f>
        <v>OVERALL</v>
      </c>
      <c r="F46" s="133" t="str">
        <f>tblIndicators!H42</f>
        <v>PERSONAL SECURITY</v>
      </c>
      <c r="G46" s="133">
        <f>tblIndicators!Z42</f>
        <v>1</v>
      </c>
      <c r="H46" s="168" t="str">
        <f>REPT(" ",D46)&amp;tblIndicators!AE42</f>
        <v> 4) PERSONAL SECURITY</v>
      </c>
      <c r="I46" s="186" t="str">
        <f>IF(G46=1,"",tblIndicators!P42)</f>
        <v/>
      </c>
      <c r="J46" s="184"/>
      <c r="K46" s="187"/>
      <c r="L46" s="184"/>
      <c r="M46" s="187"/>
      <c r="N46" s="184"/>
      <c r="O46" s="187"/>
      <c r="P46" s="184"/>
      <c r="Q46" s="187"/>
      <c r="R46" s="184"/>
      <c r="S46" s="187"/>
      <c r="T46" s="184"/>
      <c r="U46" s="187"/>
      <c r="V46" s="184"/>
      <c r="W46" s="187"/>
      <c r="X46" s="184"/>
      <c r="Y46" s="187"/>
      <c r="Z46" s="184"/>
      <c r="AA46" s="187"/>
      <c r="AB46" s="184"/>
      <c r="AC46" s="187"/>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row>
    <row r="47" s="112" customFormat="1" ht="22.5" customHeight="1" spans="1:55">
      <c r="A47" s="132"/>
      <c r="B47" s="133">
        <f>tblIndicators!A43</f>
        <v>42</v>
      </c>
      <c r="C47" s="133">
        <f>tblIndicators!B43</f>
        <v>0</v>
      </c>
      <c r="D47" s="133">
        <f>tblIndicators!F43</f>
        <v>2</v>
      </c>
      <c r="E47" s="133" t="str">
        <f>tblIndicators!E43</f>
        <v>PESE</v>
      </c>
      <c r="F47" s="133" t="str">
        <f>tblIndicators!H43</f>
        <v>Personal security (Inputs)</v>
      </c>
      <c r="G47" s="133">
        <f>tblIndicators!Z43</f>
        <v>1</v>
      </c>
      <c r="H47" s="168" t="str">
        <f>REPT(" ",D47)&amp;tblIndicators!AE43</f>
        <v>  4.1) Personal security (Inputs)</v>
      </c>
      <c r="I47" s="186" t="str">
        <f>IF(G47=1,"",tblIndicators!P43)</f>
        <v/>
      </c>
      <c r="J47" s="184"/>
      <c r="K47" s="187"/>
      <c r="L47" s="184"/>
      <c r="M47" s="187"/>
      <c r="N47" s="184"/>
      <c r="O47" s="187"/>
      <c r="P47" s="184"/>
      <c r="Q47" s="187"/>
      <c r="R47" s="184"/>
      <c r="S47" s="187"/>
      <c r="T47" s="184"/>
      <c r="U47" s="187"/>
      <c r="V47" s="184"/>
      <c r="W47" s="187"/>
      <c r="X47" s="184"/>
      <c r="Y47" s="187"/>
      <c r="Z47" s="184"/>
      <c r="AA47" s="187"/>
      <c r="AB47" s="184"/>
      <c r="AC47" s="187"/>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row>
    <row r="48" s="112" customFormat="1" ht="22.5" customHeight="1" spans="1:70">
      <c r="A48" s="132"/>
      <c r="B48" s="133">
        <f>tblIndicators!A44</f>
        <v>43</v>
      </c>
      <c r="C48" s="133">
        <f>tblIndicators!B44</f>
        <v>0</v>
      </c>
      <c r="D48" s="133">
        <f>tblIndicators!F44</f>
        <v>3</v>
      </c>
      <c r="E48" s="133" t="str">
        <f>tblIndicators!E44</f>
        <v>PESE4.1</v>
      </c>
      <c r="F48" s="133" t="str">
        <f>tblIndicators!H44</f>
        <v>Level of police engagement</v>
      </c>
      <c r="G48" s="133">
        <f>tblIndicators!Z44</f>
        <v>3</v>
      </c>
      <c r="H48" s="168" t="str">
        <f>REPT(" ",D48)&amp;tblIndicators!AE44</f>
        <v>   4.1.1) Level of police engagement</v>
      </c>
      <c r="I48" s="186" t="str">
        <f>IF(G48=1,"",tblIndicators!P44)</f>
        <v>Scale 0 - 1, 1 = has police engagement plans</v>
      </c>
      <c r="J48" s="184">
        <v>0.5</v>
      </c>
      <c r="K48" s="187">
        <v>1</v>
      </c>
      <c r="L48" s="184">
        <v>0.5</v>
      </c>
      <c r="M48" s="187">
        <v>1</v>
      </c>
      <c r="N48" s="184">
        <v>1</v>
      </c>
      <c r="O48" s="187">
        <v>1</v>
      </c>
      <c r="P48" s="184">
        <v>0.5</v>
      </c>
      <c r="Q48" s="187">
        <v>1</v>
      </c>
      <c r="R48" s="184">
        <v>1</v>
      </c>
      <c r="S48" s="187">
        <v>0.5</v>
      </c>
      <c r="T48" s="184">
        <v>1</v>
      </c>
      <c r="U48" s="187">
        <v>0.5</v>
      </c>
      <c r="V48" s="184">
        <v>1</v>
      </c>
      <c r="W48" s="187">
        <v>1</v>
      </c>
      <c r="X48" s="184">
        <v>0.5</v>
      </c>
      <c r="Y48" s="187">
        <v>1</v>
      </c>
      <c r="Z48" s="184">
        <v>1</v>
      </c>
      <c r="AA48" s="187">
        <v>1</v>
      </c>
      <c r="AB48" s="184">
        <v>1</v>
      </c>
      <c r="AC48" s="187">
        <v>1</v>
      </c>
      <c r="AD48" s="184">
        <v>0.5</v>
      </c>
      <c r="AE48" s="184">
        <v>1</v>
      </c>
      <c r="AF48" s="184">
        <v>1</v>
      </c>
      <c r="AG48" s="184">
        <v>1</v>
      </c>
      <c r="AH48" s="184">
        <v>0.5</v>
      </c>
      <c r="AI48" s="184">
        <v>1</v>
      </c>
      <c r="AJ48" s="184">
        <v>1</v>
      </c>
      <c r="AK48" s="184">
        <v>1</v>
      </c>
      <c r="AL48" s="184">
        <v>1</v>
      </c>
      <c r="AM48" s="184">
        <v>1</v>
      </c>
      <c r="AN48" s="184">
        <v>1</v>
      </c>
      <c r="AO48" s="184">
        <v>1</v>
      </c>
      <c r="AP48" s="184">
        <v>1</v>
      </c>
      <c r="AQ48" s="184">
        <v>0.5</v>
      </c>
      <c r="AR48" s="184">
        <v>0.5</v>
      </c>
      <c r="AS48" s="184">
        <v>0.5</v>
      </c>
      <c r="AT48" s="184">
        <v>0.5</v>
      </c>
      <c r="AU48" s="184">
        <v>1</v>
      </c>
      <c r="AV48" s="184">
        <v>1</v>
      </c>
      <c r="AW48" s="184">
        <v>1</v>
      </c>
      <c r="AX48" s="184">
        <v>1</v>
      </c>
      <c r="AY48" s="184">
        <v>0.5</v>
      </c>
      <c r="AZ48" s="184">
        <v>1</v>
      </c>
      <c r="BA48" s="184">
        <v>1</v>
      </c>
      <c r="BB48" s="184">
        <v>1</v>
      </c>
      <c r="BC48" s="184">
        <v>1</v>
      </c>
      <c r="BN48" s="112">
        <v>1</v>
      </c>
      <c r="BO48" s="112">
        <v>1</v>
      </c>
      <c r="BP48" s="112">
        <v>1</v>
      </c>
      <c r="BQ48" s="112">
        <v>1</v>
      </c>
      <c r="BR48" s="112">
        <v>1</v>
      </c>
    </row>
    <row r="49" s="112" customFormat="1" ht="22.5" customHeight="1" spans="1:70">
      <c r="A49" s="132"/>
      <c r="B49" s="133">
        <f>tblIndicators!A45</f>
        <v>44</v>
      </c>
      <c r="C49" s="133">
        <f>tblIndicators!B45</f>
        <v>0</v>
      </c>
      <c r="D49" s="133">
        <f>tblIndicators!F45</f>
        <v>3</v>
      </c>
      <c r="E49" s="133" t="str">
        <f>tblIndicators!E45</f>
        <v>PESE4.1</v>
      </c>
      <c r="F49" s="133" t="str">
        <f>tblIndicators!H45</f>
        <v>Community-based patrolling</v>
      </c>
      <c r="G49" s="133">
        <f>tblIndicators!Z45</f>
        <v>2</v>
      </c>
      <c r="H49" s="168" t="str">
        <f>REPT(" ",D49)&amp;tblIndicators!AE45</f>
        <v>   4.1.2) Community-based patrolling</v>
      </c>
      <c r="I49" s="186" t="str">
        <f>IF(G49=1,"",tblIndicators!P45)</f>
        <v>Scale 0 - 1, 1 = yes, 0 = none</v>
      </c>
      <c r="J49" s="184">
        <v>1</v>
      </c>
      <c r="K49" s="187">
        <v>1</v>
      </c>
      <c r="L49" s="184">
        <v>1</v>
      </c>
      <c r="M49" s="187">
        <v>1</v>
      </c>
      <c r="N49" s="184">
        <v>1</v>
      </c>
      <c r="O49" s="187">
        <v>1</v>
      </c>
      <c r="P49" s="184">
        <v>1</v>
      </c>
      <c r="Q49" s="187">
        <v>1</v>
      </c>
      <c r="R49" s="184">
        <v>1</v>
      </c>
      <c r="S49" s="187">
        <v>1</v>
      </c>
      <c r="T49" s="184">
        <v>1</v>
      </c>
      <c r="U49" s="187">
        <v>1</v>
      </c>
      <c r="V49" s="184">
        <v>1</v>
      </c>
      <c r="W49" s="187">
        <v>1</v>
      </c>
      <c r="X49" s="184">
        <v>1</v>
      </c>
      <c r="Y49" s="187">
        <v>1</v>
      </c>
      <c r="Z49" s="184">
        <v>0</v>
      </c>
      <c r="AA49" s="187">
        <v>1</v>
      </c>
      <c r="AB49" s="184">
        <v>1</v>
      </c>
      <c r="AC49" s="187">
        <v>1</v>
      </c>
      <c r="AD49" s="184">
        <v>1</v>
      </c>
      <c r="AE49" s="184">
        <v>1</v>
      </c>
      <c r="AF49" s="184">
        <v>1</v>
      </c>
      <c r="AG49" s="184">
        <v>1</v>
      </c>
      <c r="AH49" s="184">
        <v>1</v>
      </c>
      <c r="AI49" s="184">
        <v>1</v>
      </c>
      <c r="AJ49" s="184">
        <v>1</v>
      </c>
      <c r="AK49" s="184">
        <v>1</v>
      </c>
      <c r="AL49" s="184">
        <v>1</v>
      </c>
      <c r="AM49" s="184">
        <v>1</v>
      </c>
      <c r="AN49" s="184">
        <v>0</v>
      </c>
      <c r="AO49" s="184">
        <v>1</v>
      </c>
      <c r="AP49" s="184">
        <v>1</v>
      </c>
      <c r="AQ49" s="184">
        <v>1</v>
      </c>
      <c r="AR49" s="184">
        <v>1</v>
      </c>
      <c r="AS49" s="184">
        <v>1</v>
      </c>
      <c r="AT49" s="184">
        <v>1</v>
      </c>
      <c r="AU49" s="184">
        <v>1</v>
      </c>
      <c r="AV49" s="184">
        <v>1</v>
      </c>
      <c r="AW49" s="184">
        <v>1</v>
      </c>
      <c r="AX49" s="184">
        <v>1</v>
      </c>
      <c r="AY49" s="184">
        <v>0</v>
      </c>
      <c r="AZ49" s="184">
        <v>1</v>
      </c>
      <c r="BA49" s="184">
        <v>1</v>
      </c>
      <c r="BB49" s="184">
        <v>1</v>
      </c>
      <c r="BC49" s="184">
        <v>1</v>
      </c>
      <c r="BN49" s="112">
        <v>1</v>
      </c>
      <c r="BO49" s="112">
        <v>1</v>
      </c>
      <c r="BP49" s="112">
        <v>1</v>
      </c>
      <c r="BQ49" s="112">
        <v>1</v>
      </c>
      <c r="BR49" s="112">
        <v>1</v>
      </c>
    </row>
    <row r="50" s="112" customFormat="1" ht="22.5" customHeight="1" spans="1:70">
      <c r="A50" s="132"/>
      <c r="B50" s="133">
        <f>tblIndicators!A46</f>
        <v>45</v>
      </c>
      <c r="C50" s="133">
        <f>tblIndicators!B46</f>
        <v>0</v>
      </c>
      <c r="D50" s="133">
        <f>tblIndicators!F46</f>
        <v>3</v>
      </c>
      <c r="E50" s="133" t="str">
        <f>tblIndicators!E46</f>
        <v>PESE4.1</v>
      </c>
      <c r="F50" s="133" t="str">
        <f>tblIndicators!H46</f>
        <v>Available street-level crime data</v>
      </c>
      <c r="G50" s="133">
        <f>tblIndicators!Z46</f>
        <v>2</v>
      </c>
      <c r="H50" s="168" t="str">
        <f>REPT(" ",D50)&amp;tblIndicators!AE46</f>
        <v>   4.1.3) Available street-level crime data</v>
      </c>
      <c r="I50" s="186" t="str">
        <f>IF(G50=1,"",tblIndicators!P46)</f>
        <v>Scale 0 - 1, 1 = yes, 0 = none</v>
      </c>
      <c r="J50" s="184">
        <v>1</v>
      </c>
      <c r="K50" s="187">
        <v>1</v>
      </c>
      <c r="L50" s="184">
        <v>1</v>
      </c>
      <c r="M50" s="187">
        <v>1</v>
      </c>
      <c r="N50" s="184">
        <v>0</v>
      </c>
      <c r="O50" s="187">
        <v>0</v>
      </c>
      <c r="P50" s="184">
        <v>0</v>
      </c>
      <c r="Q50" s="187">
        <v>1</v>
      </c>
      <c r="R50" s="184">
        <v>0</v>
      </c>
      <c r="S50" s="187">
        <v>1</v>
      </c>
      <c r="T50" s="184">
        <v>1</v>
      </c>
      <c r="U50" s="187">
        <v>0</v>
      </c>
      <c r="V50" s="184">
        <v>1</v>
      </c>
      <c r="W50" s="187">
        <v>1</v>
      </c>
      <c r="X50" s="184">
        <v>1</v>
      </c>
      <c r="Y50" s="187">
        <v>1</v>
      </c>
      <c r="Z50" s="184">
        <v>0</v>
      </c>
      <c r="AA50" s="187">
        <v>1</v>
      </c>
      <c r="AB50" s="184">
        <v>1</v>
      </c>
      <c r="AC50" s="187">
        <v>1</v>
      </c>
      <c r="AD50" s="184">
        <v>1</v>
      </c>
      <c r="AE50" s="184">
        <v>1</v>
      </c>
      <c r="AF50" s="184">
        <v>0</v>
      </c>
      <c r="AG50" s="184">
        <v>1</v>
      </c>
      <c r="AH50" s="184">
        <v>0</v>
      </c>
      <c r="AI50" s="184">
        <v>1</v>
      </c>
      <c r="AJ50" s="184">
        <v>1</v>
      </c>
      <c r="AK50" s="184">
        <v>1</v>
      </c>
      <c r="AL50" s="184">
        <v>1</v>
      </c>
      <c r="AM50" s="184">
        <v>1</v>
      </c>
      <c r="AN50" s="184">
        <v>0</v>
      </c>
      <c r="AO50" s="184">
        <v>1</v>
      </c>
      <c r="AP50" s="184">
        <v>1</v>
      </c>
      <c r="AQ50" s="184">
        <v>0</v>
      </c>
      <c r="AR50" s="184">
        <v>0</v>
      </c>
      <c r="AS50" s="184">
        <v>0</v>
      </c>
      <c r="AT50" s="184">
        <v>0</v>
      </c>
      <c r="AU50" s="184">
        <v>1</v>
      </c>
      <c r="AV50" s="184">
        <v>1</v>
      </c>
      <c r="AW50" s="184">
        <v>1</v>
      </c>
      <c r="AX50" s="184">
        <v>1</v>
      </c>
      <c r="AY50" s="184">
        <v>0</v>
      </c>
      <c r="AZ50" s="184">
        <v>1</v>
      </c>
      <c r="BA50" s="184">
        <v>1</v>
      </c>
      <c r="BB50" s="184">
        <v>1</v>
      </c>
      <c r="BC50" s="184">
        <v>1</v>
      </c>
      <c r="BN50" s="112">
        <v>1</v>
      </c>
      <c r="BO50" s="112">
        <v>1</v>
      </c>
      <c r="BP50" s="112">
        <v>1</v>
      </c>
      <c r="BQ50" s="112">
        <v>1</v>
      </c>
      <c r="BR50" s="112">
        <v>1</v>
      </c>
    </row>
    <row r="51" s="112" customFormat="1" ht="22.5" customHeight="1" spans="1:70">
      <c r="A51" s="132"/>
      <c r="B51" s="133">
        <f>tblIndicators!A47</f>
        <v>46</v>
      </c>
      <c r="C51" s="133">
        <f>tblIndicators!B47</f>
        <v>0</v>
      </c>
      <c r="D51" s="133">
        <f>tblIndicators!F47</f>
        <v>3</v>
      </c>
      <c r="E51" s="133" t="str">
        <f>tblIndicators!E47</f>
        <v>PESE4.1</v>
      </c>
      <c r="F51" s="133" t="str">
        <f>tblIndicators!H47</f>
        <v>Use of data-driven techniques for crime</v>
      </c>
      <c r="G51" s="133">
        <f>tblIndicators!Z47</f>
        <v>2</v>
      </c>
      <c r="H51" s="168" t="str">
        <f>REPT(" ",D51)&amp;tblIndicators!AE47</f>
        <v>   4.1.4) Use of data-driven techniques for crime</v>
      </c>
      <c r="I51" s="186" t="str">
        <f>IF(G51=1,"",tblIndicators!P47)</f>
        <v>Scale 0 - 1, 1 = yes, 0 = none</v>
      </c>
      <c r="J51" s="184">
        <v>0</v>
      </c>
      <c r="K51" s="187">
        <v>1</v>
      </c>
      <c r="L51" s="184">
        <v>1</v>
      </c>
      <c r="M51" s="187">
        <v>1</v>
      </c>
      <c r="N51" s="184">
        <v>0</v>
      </c>
      <c r="O51" s="187">
        <v>0</v>
      </c>
      <c r="P51" s="184">
        <v>1</v>
      </c>
      <c r="Q51" s="187">
        <v>1</v>
      </c>
      <c r="R51" s="184">
        <v>1</v>
      </c>
      <c r="S51" s="187">
        <v>1</v>
      </c>
      <c r="T51" s="184">
        <v>1</v>
      </c>
      <c r="U51" s="187">
        <v>0</v>
      </c>
      <c r="V51" s="184">
        <v>1</v>
      </c>
      <c r="W51" s="187">
        <v>1</v>
      </c>
      <c r="X51" s="184">
        <v>0</v>
      </c>
      <c r="Y51" s="187">
        <v>0</v>
      </c>
      <c r="Z51" s="184">
        <v>0</v>
      </c>
      <c r="AA51" s="187">
        <v>1</v>
      </c>
      <c r="AB51" s="184">
        <v>1</v>
      </c>
      <c r="AC51" s="187">
        <v>1</v>
      </c>
      <c r="AD51" s="184">
        <v>0</v>
      </c>
      <c r="AE51" s="184">
        <v>1</v>
      </c>
      <c r="AF51" s="184">
        <v>1</v>
      </c>
      <c r="AG51" s="184">
        <v>1</v>
      </c>
      <c r="AH51" s="184">
        <v>0</v>
      </c>
      <c r="AI51" s="184">
        <v>1</v>
      </c>
      <c r="AJ51" s="184">
        <v>1</v>
      </c>
      <c r="AK51" s="184">
        <v>1</v>
      </c>
      <c r="AL51" s="184">
        <v>1</v>
      </c>
      <c r="AM51" s="184">
        <v>0</v>
      </c>
      <c r="AN51" s="184">
        <v>1</v>
      </c>
      <c r="AO51" s="184">
        <v>0</v>
      </c>
      <c r="AP51" s="184">
        <v>1</v>
      </c>
      <c r="AQ51" s="184">
        <v>1</v>
      </c>
      <c r="AR51" s="184">
        <v>0</v>
      </c>
      <c r="AS51" s="184">
        <v>1</v>
      </c>
      <c r="AT51" s="184">
        <v>1</v>
      </c>
      <c r="AU51" s="184">
        <v>1</v>
      </c>
      <c r="AV51" s="184">
        <v>1</v>
      </c>
      <c r="AW51" s="184">
        <v>1</v>
      </c>
      <c r="AX51" s="184">
        <v>1</v>
      </c>
      <c r="AY51" s="184">
        <v>1</v>
      </c>
      <c r="AZ51" s="184">
        <v>1</v>
      </c>
      <c r="BA51" s="184">
        <v>1</v>
      </c>
      <c r="BB51" s="184">
        <v>1</v>
      </c>
      <c r="BC51" s="184">
        <v>0</v>
      </c>
      <c r="BN51" s="112">
        <v>1</v>
      </c>
      <c r="BO51" s="112">
        <v>1</v>
      </c>
      <c r="BP51" s="112">
        <v>1</v>
      </c>
      <c r="BQ51" s="112">
        <v>1</v>
      </c>
      <c r="BR51" s="112">
        <v>1</v>
      </c>
    </row>
    <row r="52" s="112" customFormat="1" ht="22.5" customHeight="1" spans="1:70">
      <c r="A52" s="132"/>
      <c r="B52" s="133">
        <f>tblIndicators!A48</f>
        <v>47</v>
      </c>
      <c r="C52" s="133">
        <f>tblIndicators!B48</f>
        <v>0</v>
      </c>
      <c r="D52" s="133">
        <f>tblIndicators!F48</f>
        <v>3</v>
      </c>
      <c r="E52" s="133" t="str">
        <f>tblIndicators!E48</f>
        <v>PESE4.1</v>
      </c>
      <c r="F52" s="133" t="str">
        <f>tblIndicators!H48</f>
        <v>Private security measures</v>
      </c>
      <c r="G52" s="133">
        <f>tblIndicators!Z48</f>
        <v>2</v>
      </c>
      <c r="H52" s="168" t="str">
        <f>REPT(" ",D52)&amp;tblIndicators!AE48</f>
        <v>   4.1.5) Private security measures</v>
      </c>
      <c r="I52" s="186" t="str">
        <f>IF(G52=1,"",tblIndicators!P48)</f>
        <v>Scale 0 - 1, 1 = yes, 0 = none</v>
      </c>
      <c r="J52" s="184">
        <v>0</v>
      </c>
      <c r="K52" s="187">
        <v>1</v>
      </c>
      <c r="L52" s="184">
        <v>1</v>
      </c>
      <c r="M52" s="187">
        <v>1</v>
      </c>
      <c r="N52" s="184">
        <v>0</v>
      </c>
      <c r="O52" s="187">
        <v>0</v>
      </c>
      <c r="P52" s="184">
        <v>1</v>
      </c>
      <c r="Q52" s="187">
        <v>1</v>
      </c>
      <c r="R52" s="184">
        <v>1</v>
      </c>
      <c r="S52" s="187">
        <v>1</v>
      </c>
      <c r="T52" s="184">
        <v>0</v>
      </c>
      <c r="U52" s="187">
        <v>1</v>
      </c>
      <c r="V52" s="184">
        <v>1</v>
      </c>
      <c r="W52" s="187">
        <v>1</v>
      </c>
      <c r="X52" s="184">
        <v>0</v>
      </c>
      <c r="Y52" s="187">
        <v>1</v>
      </c>
      <c r="Z52" s="184">
        <v>0</v>
      </c>
      <c r="AA52" s="187">
        <v>1</v>
      </c>
      <c r="AB52" s="184">
        <v>1</v>
      </c>
      <c r="AC52" s="187">
        <v>1</v>
      </c>
      <c r="AD52" s="184">
        <v>1</v>
      </c>
      <c r="AE52" s="184">
        <v>1</v>
      </c>
      <c r="AF52" s="184">
        <v>1</v>
      </c>
      <c r="AG52" s="184">
        <v>0</v>
      </c>
      <c r="AH52" s="184">
        <v>0</v>
      </c>
      <c r="AI52" s="184">
        <v>0</v>
      </c>
      <c r="AJ52" s="184">
        <v>1</v>
      </c>
      <c r="AK52" s="184">
        <v>1</v>
      </c>
      <c r="AL52" s="184">
        <v>0</v>
      </c>
      <c r="AM52" s="184">
        <v>1</v>
      </c>
      <c r="AN52" s="184">
        <v>0</v>
      </c>
      <c r="AO52" s="184">
        <v>0</v>
      </c>
      <c r="AP52" s="184">
        <v>1</v>
      </c>
      <c r="AQ52" s="184">
        <v>0</v>
      </c>
      <c r="AR52" s="184">
        <v>1</v>
      </c>
      <c r="AS52" s="184">
        <v>1</v>
      </c>
      <c r="AT52" s="184">
        <v>1</v>
      </c>
      <c r="AU52" s="184">
        <v>1</v>
      </c>
      <c r="AV52" s="184">
        <v>1</v>
      </c>
      <c r="AW52" s="184">
        <v>1</v>
      </c>
      <c r="AX52" s="184">
        <v>1</v>
      </c>
      <c r="AY52" s="184">
        <v>1</v>
      </c>
      <c r="AZ52" s="184">
        <v>1</v>
      </c>
      <c r="BA52" s="184">
        <v>1</v>
      </c>
      <c r="BB52" s="184">
        <v>1</v>
      </c>
      <c r="BC52" s="184">
        <v>1</v>
      </c>
      <c r="BN52" s="112">
        <v>1</v>
      </c>
      <c r="BO52" s="112">
        <v>1</v>
      </c>
      <c r="BP52" s="112">
        <v>1</v>
      </c>
      <c r="BQ52" s="112">
        <v>1</v>
      </c>
      <c r="BR52" s="112">
        <v>1</v>
      </c>
    </row>
    <row r="53" s="112" customFormat="1" ht="22.5" customHeight="1" spans="1:70">
      <c r="A53" s="132"/>
      <c r="B53" s="133">
        <f>tblIndicators!A49</f>
        <v>48</v>
      </c>
      <c r="C53" s="133">
        <f>tblIndicators!B49</f>
        <v>0</v>
      </c>
      <c r="D53" s="133">
        <f>tblIndicators!F49</f>
        <v>3</v>
      </c>
      <c r="E53" s="133" t="str">
        <f>tblIndicators!E49</f>
        <v>PESE4.1</v>
      </c>
      <c r="F53" s="133" t="str">
        <f>tblIndicators!H49</f>
        <v>Gun regulation and enforcement</v>
      </c>
      <c r="G53" s="133">
        <f>tblIndicators!Z49</f>
        <v>2</v>
      </c>
      <c r="H53" s="168" t="str">
        <f>REPT(" ",D53)&amp;tblIndicators!AE49</f>
        <v>   4.1.6) Gun regulation and enforcement</v>
      </c>
      <c r="I53" s="186" t="str">
        <f>IF(G53=1,"",tblIndicators!P49)</f>
        <v>Scale 0 - 10, 10 = unrestricted</v>
      </c>
      <c r="J53" s="184">
        <v>3.8</v>
      </c>
      <c r="K53" s="187">
        <v>2.5</v>
      </c>
      <c r="L53" s="184">
        <v>4.2</v>
      </c>
      <c r="M53" s="187">
        <v>2.6</v>
      </c>
      <c r="N53" s="184">
        <v>0.5</v>
      </c>
      <c r="O53" s="187">
        <v>3.1</v>
      </c>
      <c r="P53" s="184">
        <v>2.5</v>
      </c>
      <c r="Q53" s="187">
        <v>4.2</v>
      </c>
      <c r="R53" s="184">
        <v>3.7</v>
      </c>
      <c r="S53" s="187">
        <v>3</v>
      </c>
      <c r="T53" s="184">
        <v>3.2</v>
      </c>
      <c r="U53" s="187">
        <v>0.5</v>
      </c>
      <c r="V53" s="184">
        <v>1.5</v>
      </c>
      <c r="W53" s="187">
        <v>5.7</v>
      </c>
      <c r="X53" s="184">
        <v>4</v>
      </c>
      <c r="Y53" s="187">
        <v>6</v>
      </c>
      <c r="Z53" s="184">
        <v>0.8</v>
      </c>
      <c r="AA53" s="187">
        <v>6</v>
      </c>
      <c r="AB53" s="184">
        <v>1.5</v>
      </c>
      <c r="AC53" s="187">
        <v>3.9</v>
      </c>
      <c r="AD53" s="184">
        <v>2.6</v>
      </c>
      <c r="AE53" s="184">
        <v>2</v>
      </c>
      <c r="AF53" s="184">
        <v>3.9</v>
      </c>
      <c r="AG53" s="184">
        <v>3.6</v>
      </c>
      <c r="AH53" s="184">
        <v>3.1</v>
      </c>
      <c r="AI53" s="184">
        <v>3.7</v>
      </c>
      <c r="AJ53" s="184">
        <v>4.6</v>
      </c>
      <c r="AK53" s="184">
        <v>1.5</v>
      </c>
      <c r="AL53" s="184">
        <v>4</v>
      </c>
      <c r="AM53" s="184">
        <v>3.5</v>
      </c>
      <c r="AN53" s="184">
        <v>6.5</v>
      </c>
      <c r="AO53" s="184">
        <v>3.6</v>
      </c>
      <c r="AP53" s="184">
        <v>3.9</v>
      </c>
      <c r="AQ53" s="184">
        <v>4.7</v>
      </c>
      <c r="AR53" s="184">
        <v>3.5</v>
      </c>
      <c r="AS53" s="184">
        <v>2</v>
      </c>
      <c r="AT53" s="184">
        <v>0.5</v>
      </c>
      <c r="AU53" s="184">
        <v>1.5</v>
      </c>
      <c r="AV53" s="184">
        <v>3.2</v>
      </c>
      <c r="AW53" s="184">
        <v>2</v>
      </c>
      <c r="AX53" s="184">
        <v>1</v>
      </c>
      <c r="AY53" s="184">
        <v>3.6</v>
      </c>
      <c r="AZ53" s="184">
        <v>1.5</v>
      </c>
      <c r="BA53" s="184">
        <v>3</v>
      </c>
      <c r="BB53" s="184">
        <v>2</v>
      </c>
      <c r="BC53" s="184">
        <v>6</v>
      </c>
      <c r="BN53" s="112">
        <v>3.9</v>
      </c>
      <c r="BO53" s="112">
        <v>4.6</v>
      </c>
      <c r="BP53" s="112">
        <v>3.9</v>
      </c>
      <c r="BQ53" s="112">
        <v>3</v>
      </c>
      <c r="BR53" s="112">
        <v>2</v>
      </c>
    </row>
    <row r="54" s="112" customFormat="1" ht="22.5" customHeight="1" spans="1:70">
      <c r="A54" s="132"/>
      <c r="B54" s="133">
        <f>tblIndicators!A50</f>
        <v>49</v>
      </c>
      <c r="C54" s="133">
        <f>tblIndicators!B50</f>
        <v>0</v>
      </c>
      <c r="D54" s="133">
        <f>tblIndicators!F50</f>
        <v>3</v>
      </c>
      <c r="E54" s="133" t="str">
        <f>tblIndicators!E50</f>
        <v>PESE4.1</v>
      </c>
      <c r="F54" s="133" t="str">
        <f>tblIndicators!H50</f>
        <v>Political stability risk</v>
      </c>
      <c r="G54" s="133">
        <f>tblIndicators!Z50</f>
        <v>3</v>
      </c>
      <c r="H54" s="168" t="str">
        <f>REPT(" ",D54)&amp;tblIndicators!AE50</f>
        <v>   4.1.7) Political stability risk</v>
      </c>
      <c r="I54" s="186" t="str">
        <f>IF(G54=1,"",tblIndicators!P50)</f>
        <v>Scale 0 - 100, 0 = no risk</v>
      </c>
      <c r="J54" s="184">
        <v>45</v>
      </c>
      <c r="K54" s="187">
        <v>20</v>
      </c>
      <c r="L54" s="184">
        <v>65</v>
      </c>
      <c r="M54" s="187">
        <v>25</v>
      </c>
      <c r="N54" s="184">
        <v>55</v>
      </c>
      <c r="O54" s="187">
        <v>25</v>
      </c>
      <c r="P54" s="184">
        <v>55</v>
      </c>
      <c r="Q54" s="187">
        <v>10</v>
      </c>
      <c r="R54" s="184">
        <v>20</v>
      </c>
      <c r="S54" s="187">
        <v>40</v>
      </c>
      <c r="T54" s="184">
        <v>15</v>
      </c>
      <c r="U54" s="187">
        <v>50</v>
      </c>
      <c r="V54" s="184">
        <v>35</v>
      </c>
      <c r="W54" s="187">
        <v>55</v>
      </c>
      <c r="X54" s="184">
        <v>30</v>
      </c>
      <c r="Y54" s="187">
        <v>35</v>
      </c>
      <c r="Z54" s="184">
        <v>60</v>
      </c>
      <c r="AA54" s="187">
        <v>45</v>
      </c>
      <c r="AB54" s="184">
        <v>30</v>
      </c>
      <c r="AC54" s="187">
        <v>10</v>
      </c>
      <c r="AD54" s="184">
        <v>25</v>
      </c>
      <c r="AE54" s="184">
        <v>10</v>
      </c>
      <c r="AF54" s="184">
        <v>40</v>
      </c>
      <c r="AG54" s="184">
        <v>35</v>
      </c>
      <c r="AH54" s="184">
        <v>65</v>
      </c>
      <c r="AI54" s="184">
        <v>20</v>
      </c>
      <c r="AJ54" s="184">
        <v>10</v>
      </c>
      <c r="AK54" s="184">
        <v>10</v>
      </c>
      <c r="AL54" s="184">
        <v>30</v>
      </c>
      <c r="AM54" s="184">
        <v>35</v>
      </c>
      <c r="AN54" s="184">
        <v>55</v>
      </c>
      <c r="AO54" s="184">
        <v>35</v>
      </c>
      <c r="AP54" s="184">
        <v>10</v>
      </c>
      <c r="AQ54" s="184">
        <v>20</v>
      </c>
      <c r="AR54" s="184">
        <v>35</v>
      </c>
      <c r="AS54" s="184">
        <v>40</v>
      </c>
      <c r="AT54" s="184">
        <v>55</v>
      </c>
      <c r="AU54" s="184">
        <v>20</v>
      </c>
      <c r="AV54" s="184">
        <v>65</v>
      </c>
      <c r="AW54" s="184">
        <v>10</v>
      </c>
      <c r="AX54" s="184">
        <v>30</v>
      </c>
      <c r="AY54" s="184">
        <v>75</v>
      </c>
      <c r="AZ54" s="184">
        <v>10</v>
      </c>
      <c r="BA54" s="184">
        <v>5</v>
      </c>
      <c r="BB54" s="184">
        <v>10</v>
      </c>
      <c r="BC54" s="184">
        <v>10</v>
      </c>
      <c r="BN54" s="112">
        <v>10</v>
      </c>
      <c r="BO54" s="112">
        <v>10</v>
      </c>
      <c r="BP54" s="112">
        <v>10</v>
      </c>
      <c r="BQ54" s="112">
        <v>5</v>
      </c>
      <c r="BR54" s="112">
        <v>10</v>
      </c>
    </row>
    <row r="55" s="112" customFormat="1" ht="22.5" customHeight="1" spans="1:55">
      <c r="A55" s="132"/>
      <c r="B55" s="133">
        <f>tblIndicators!A51</f>
        <v>50</v>
      </c>
      <c r="C55" s="133">
        <f>tblIndicators!B51</f>
        <v>0</v>
      </c>
      <c r="D55" s="133">
        <f>tblIndicators!F51</f>
        <v>2</v>
      </c>
      <c r="E55" s="133" t="str">
        <f>tblIndicators!E51</f>
        <v>PESE</v>
      </c>
      <c r="F55" s="133" t="str">
        <f>tblIndicators!H51</f>
        <v>Personal security (Outputs)</v>
      </c>
      <c r="G55" s="133">
        <f>tblIndicators!Z51</f>
        <v>1</v>
      </c>
      <c r="H55" s="168" t="str">
        <f>REPT(" ",D55)&amp;tblIndicators!AE51</f>
        <v>  4.2) Personal security (Outputs)</v>
      </c>
      <c r="I55" s="186" t="str">
        <f>IF(G55=1,"",tblIndicators!P51)</f>
        <v/>
      </c>
      <c r="J55" s="184"/>
      <c r="K55" s="187"/>
      <c r="L55" s="184"/>
      <c r="M55" s="187"/>
      <c r="N55" s="184"/>
      <c r="O55" s="187"/>
      <c r="P55" s="184"/>
      <c r="Q55" s="187"/>
      <c r="R55" s="184"/>
      <c r="S55" s="187"/>
      <c r="T55" s="184"/>
      <c r="U55" s="187"/>
      <c r="V55" s="184"/>
      <c r="W55" s="187"/>
      <c r="X55" s="184"/>
      <c r="Y55" s="187"/>
      <c r="Z55" s="184"/>
      <c r="AA55" s="187"/>
      <c r="AB55" s="184"/>
      <c r="AC55" s="187"/>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row>
    <row r="56" s="112" customFormat="1" ht="22.5" customHeight="1" spans="1:70">
      <c r="A56" s="132"/>
      <c r="B56" s="133">
        <f>tblIndicators!A52</f>
        <v>51</v>
      </c>
      <c r="C56" s="133">
        <f>tblIndicators!B52</f>
        <v>0</v>
      </c>
      <c r="D56" s="133">
        <f>tblIndicators!F52</f>
        <v>3</v>
      </c>
      <c r="E56" s="133" t="str">
        <f>tblIndicators!E52</f>
        <v>PESE4.2</v>
      </c>
      <c r="F56" s="133" t="str">
        <f>tblIndicators!H52</f>
        <v>Prevalence of petty crime</v>
      </c>
      <c r="G56" s="133">
        <f>tblIndicators!Z52</f>
        <v>3</v>
      </c>
      <c r="H56" s="168" t="str">
        <f>REPT(" ",D56)&amp;tblIndicators!AE52</f>
        <v>   4.2.1) Prevalence of petty crime</v>
      </c>
      <c r="I56" s="186" t="str">
        <f>IF(G56=1,"",tblIndicators!P52)</f>
        <v>Scale 1 - 5</v>
      </c>
      <c r="J56" s="184">
        <v>2</v>
      </c>
      <c r="K56" s="187">
        <v>3</v>
      </c>
      <c r="L56" s="184">
        <v>3</v>
      </c>
      <c r="M56" s="187">
        <v>2</v>
      </c>
      <c r="N56" s="184">
        <v>3</v>
      </c>
      <c r="O56" s="187">
        <v>2</v>
      </c>
      <c r="P56" s="184">
        <v>3</v>
      </c>
      <c r="Q56" s="187">
        <v>2</v>
      </c>
      <c r="R56" s="184">
        <v>3</v>
      </c>
      <c r="S56" s="187">
        <v>2</v>
      </c>
      <c r="T56" s="184">
        <v>2</v>
      </c>
      <c r="U56" s="187">
        <v>4</v>
      </c>
      <c r="V56" s="184">
        <v>2</v>
      </c>
      <c r="W56" s="187">
        <v>3</v>
      </c>
      <c r="X56" s="184">
        <v>4</v>
      </c>
      <c r="Y56" s="187">
        <v>5</v>
      </c>
      <c r="Z56" s="184">
        <v>2</v>
      </c>
      <c r="AA56" s="187">
        <v>3</v>
      </c>
      <c r="AB56" s="184">
        <v>3</v>
      </c>
      <c r="AC56" s="187">
        <v>2</v>
      </c>
      <c r="AD56" s="184">
        <v>2</v>
      </c>
      <c r="AE56" s="184">
        <v>2</v>
      </c>
      <c r="AF56" s="184">
        <v>5</v>
      </c>
      <c r="AG56" s="184">
        <v>2</v>
      </c>
      <c r="AH56" s="184">
        <v>3</v>
      </c>
      <c r="AI56" s="184">
        <v>4</v>
      </c>
      <c r="AJ56" s="184">
        <v>3</v>
      </c>
      <c r="AK56" s="184">
        <v>2</v>
      </c>
      <c r="AL56" s="184">
        <v>2</v>
      </c>
      <c r="AM56" s="184">
        <v>4</v>
      </c>
      <c r="AN56" s="184">
        <v>2</v>
      </c>
      <c r="AO56" s="184">
        <v>3</v>
      </c>
      <c r="AP56" s="184">
        <v>2</v>
      </c>
      <c r="AQ56" s="184">
        <v>3</v>
      </c>
      <c r="AR56" s="184">
        <v>4</v>
      </c>
      <c r="AS56" s="184">
        <v>2</v>
      </c>
      <c r="AT56" s="184">
        <v>3</v>
      </c>
      <c r="AU56" s="184">
        <v>1</v>
      </c>
      <c r="AV56" s="184">
        <v>1</v>
      </c>
      <c r="AW56" s="184">
        <v>2</v>
      </c>
      <c r="AX56" s="184">
        <v>2</v>
      </c>
      <c r="AY56" s="184">
        <v>3</v>
      </c>
      <c r="AZ56" s="184">
        <v>2</v>
      </c>
      <c r="BA56" s="184">
        <v>1</v>
      </c>
      <c r="BB56" s="184">
        <v>2</v>
      </c>
      <c r="BC56" s="184">
        <v>2</v>
      </c>
      <c r="BN56" s="112">
        <v>2</v>
      </c>
      <c r="BO56" s="112">
        <v>3</v>
      </c>
      <c r="BP56" s="112">
        <v>2</v>
      </c>
      <c r="BQ56" s="112">
        <v>1</v>
      </c>
      <c r="BR56" s="112">
        <v>2</v>
      </c>
    </row>
    <row r="57" s="112" customFormat="1" ht="22.5" customHeight="1" spans="1:70">
      <c r="A57" s="132"/>
      <c r="B57" s="133">
        <f>tblIndicators!A53</f>
        <v>52</v>
      </c>
      <c r="C57" s="133">
        <f>tblIndicators!B53</f>
        <v>0</v>
      </c>
      <c r="D57" s="133">
        <f>tblIndicators!F53</f>
        <v>3</v>
      </c>
      <c r="E57" s="133" t="str">
        <f>tblIndicators!E53</f>
        <v>PESE4.2</v>
      </c>
      <c r="F57" s="133" t="str">
        <f>tblIndicators!H53</f>
        <v>Prevalence of violent crime</v>
      </c>
      <c r="G57" s="133">
        <f>tblIndicators!Z53</f>
        <v>3</v>
      </c>
      <c r="H57" s="168" t="str">
        <f>REPT(" ",D57)&amp;tblIndicators!AE53</f>
        <v>   4.2.2) Prevalence of violent crime</v>
      </c>
      <c r="I57" s="186" t="str">
        <f>IF(G57=1,"",tblIndicators!P53)</f>
        <v>Scale 1 - 5</v>
      </c>
      <c r="J57" s="184">
        <v>1</v>
      </c>
      <c r="K57" s="187">
        <v>2</v>
      </c>
      <c r="L57" s="184">
        <v>2</v>
      </c>
      <c r="M57" s="187">
        <v>2</v>
      </c>
      <c r="N57" s="184">
        <v>2</v>
      </c>
      <c r="O57" s="187">
        <v>2</v>
      </c>
      <c r="P57" s="184">
        <v>3</v>
      </c>
      <c r="Q57" s="187">
        <v>2</v>
      </c>
      <c r="R57" s="184">
        <v>3</v>
      </c>
      <c r="S57" s="187">
        <v>1</v>
      </c>
      <c r="T57" s="184">
        <v>2</v>
      </c>
      <c r="U57" s="187">
        <v>3</v>
      </c>
      <c r="V57" s="184">
        <v>1</v>
      </c>
      <c r="W57" s="187">
        <v>3</v>
      </c>
      <c r="X57" s="184">
        <v>2</v>
      </c>
      <c r="Y57" s="187">
        <v>5</v>
      </c>
      <c r="Z57" s="184">
        <v>1</v>
      </c>
      <c r="AA57" s="187">
        <v>3</v>
      </c>
      <c r="AB57" s="184">
        <v>2</v>
      </c>
      <c r="AC57" s="187">
        <v>2</v>
      </c>
      <c r="AD57" s="184">
        <v>2</v>
      </c>
      <c r="AE57" s="184">
        <v>1</v>
      </c>
      <c r="AF57" s="184">
        <v>5</v>
      </c>
      <c r="AG57" s="184">
        <v>2</v>
      </c>
      <c r="AH57" s="184">
        <v>2</v>
      </c>
      <c r="AI57" s="184">
        <v>2</v>
      </c>
      <c r="AJ57" s="184">
        <v>2</v>
      </c>
      <c r="AK57" s="184">
        <v>1</v>
      </c>
      <c r="AL57" s="184">
        <v>2</v>
      </c>
      <c r="AM57" s="184">
        <v>4</v>
      </c>
      <c r="AN57" s="184">
        <v>1</v>
      </c>
      <c r="AO57" s="184">
        <v>2</v>
      </c>
      <c r="AP57" s="184">
        <v>2</v>
      </c>
      <c r="AQ57" s="184">
        <v>3</v>
      </c>
      <c r="AR57" s="184">
        <v>4</v>
      </c>
      <c r="AS57" s="184">
        <v>1</v>
      </c>
      <c r="AT57" s="184">
        <v>2</v>
      </c>
      <c r="AU57" s="184">
        <v>1</v>
      </c>
      <c r="AV57" s="184">
        <v>1</v>
      </c>
      <c r="AW57" s="184">
        <v>2</v>
      </c>
      <c r="AX57" s="184">
        <v>2</v>
      </c>
      <c r="AY57" s="184">
        <v>2</v>
      </c>
      <c r="AZ57" s="184">
        <v>1</v>
      </c>
      <c r="BA57" s="184">
        <v>1</v>
      </c>
      <c r="BB57" s="184">
        <v>2</v>
      </c>
      <c r="BC57" s="184">
        <v>1</v>
      </c>
      <c r="BN57" s="112">
        <v>2</v>
      </c>
      <c r="BO57" s="112">
        <v>3</v>
      </c>
      <c r="BP57" s="112">
        <v>2</v>
      </c>
      <c r="BQ57" s="112">
        <v>1</v>
      </c>
      <c r="BR57" s="112">
        <v>2</v>
      </c>
    </row>
    <row r="58" s="112" customFormat="1" ht="22.5" customHeight="1" spans="1:70">
      <c r="A58" s="132"/>
      <c r="B58" s="133">
        <f>tblIndicators!A54</f>
        <v>53</v>
      </c>
      <c r="C58" s="133">
        <f>tblIndicators!B54</f>
        <v>0</v>
      </c>
      <c r="D58" s="133">
        <f>tblIndicators!F54</f>
        <v>3</v>
      </c>
      <c r="E58" s="133" t="str">
        <f>tblIndicators!E54</f>
        <v>PESE4.2</v>
      </c>
      <c r="F58" s="133" t="str">
        <f>tblIndicators!H54</f>
        <v>Organised crime</v>
      </c>
      <c r="G58" s="133">
        <f>tblIndicators!Z54</f>
        <v>3</v>
      </c>
      <c r="H58" s="168" t="str">
        <f>REPT(" ",D58)&amp;tblIndicators!AE54</f>
        <v>   4.2.3) Organised crime</v>
      </c>
      <c r="I58" s="186" t="str">
        <f>IF(G58=1,"",tblIndicators!P54)</f>
        <v>Scale 0 - 4</v>
      </c>
      <c r="J58" s="184">
        <v>1</v>
      </c>
      <c r="K58" s="187">
        <v>0</v>
      </c>
      <c r="L58" s="184">
        <v>2</v>
      </c>
      <c r="M58" s="187">
        <v>1</v>
      </c>
      <c r="N58" s="184">
        <v>2</v>
      </c>
      <c r="O58" s="187">
        <v>1</v>
      </c>
      <c r="P58" s="184">
        <v>2</v>
      </c>
      <c r="Q58" s="187">
        <v>1</v>
      </c>
      <c r="R58" s="184">
        <v>2</v>
      </c>
      <c r="S58" s="187">
        <v>0</v>
      </c>
      <c r="T58" s="184">
        <v>1</v>
      </c>
      <c r="U58" s="187">
        <v>2</v>
      </c>
      <c r="V58" s="184">
        <v>1</v>
      </c>
      <c r="W58" s="187">
        <v>2</v>
      </c>
      <c r="X58" s="184">
        <v>2</v>
      </c>
      <c r="Y58" s="187">
        <v>3</v>
      </c>
      <c r="Z58" s="184">
        <v>1</v>
      </c>
      <c r="AA58" s="187">
        <v>3</v>
      </c>
      <c r="AB58" s="184">
        <v>1</v>
      </c>
      <c r="AC58" s="187">
        <v>1</v>
      </c>
      <c r="AD58" s="184">
        <v>1</v>
      </c>
      <c r="AE58" s="184">
        <v>1</v>
      </c>
      <c r="AF58" s="184">
        <v>4</v>
      </c>
      <c r="AG58" s="184">
        <v>3</v>
      </c>
      <c r="AH58" s="184">
        <v>3</v>
      </c>
      <c r="AI58" s="184">
        <v>2</v>
      </c>
      <c r="AJ58" s="184">
        <v>1</v>
      </c>
      <c r="AK58" s="184">
        <v>2</v>
      </c>
      <c r="AL58" s="184">
        <v>1</v>
      </c>
      <c r="AM58" s="184">
        <v>2</v>
      </c>
      <c r="AN58" s="184">
        <v>1</v>
      </c>
      <c r="AO58" s="184">
        <v>3</v>
      </c>
      <c r="AP58" s="184">
        <v>1</v>
      </c>
      <c r="AQ58" s="184">
        <v>1</v>
      </c>
      <c r="AR58" s="184">
        <v>2</v>
      </c>
      <c r="AS58" s="184">
        <v>1</v>
      </c>
      <c r="AT58" s="184">
        <v>2</v>
      </c>
      <c r="AU58" s="184">
        <v>0</v>
      </c>
      <c r="AV58" s="184">
        <v>0</v>
      </c>
      <c r="AW58" s="184">
        <v>1</v>
      </c>
      <c r="AX58" s="184">
        <v>1</v>
      </c>
      <c r="AY58" s="184">
        <v>1</v>
      </c>
      <c r="AZ58" s="184">
        <v>2</v>
      </c>
      <c r="BA58" s="184">
        <v>1</v>
      </c>
      <c r="BB58" s="184">
        <v>1</v>
      </c>
      <c r="BC58" s="184">
        <v>1</v>
      </c>
      <c r="BN58" s="112">
        <v>2</v>
      </c>
      <c r="BO58" s="112">
        <v>3</v>
      </c>
      <c r="BP58" s="112">
        <v>2</v>
      </c>
      <c r="BQ58" s="112">
        <v>1</v>
      </c>
      <c r="BR58" s="112">
        <v>2</v>
      </c>
    </row>
    <row r="59" s="112" customFormat="1" ht="22.5" customHeight="1" spans="1:70">
      <c r="A59" s="132"/>
      <c r="B59" s="133">
        <f>tblIndicators!A55</f>
        <v>54</v>
      </c>
      <c r="C59" s="133">
        <f>tblIndicators!B55</f>
        <v>0</v>
      </c>
      <c r="D59" s="133">
        <f>tblIndicators!F55</f>
        <v>3</v>
      </c>
      <c r="E59" s="133" t="str">
        <f>tblIndicators!E55</f>
        <v>PESE4.2</v>
      </c>
      <c r="F59" s="133" t="str">
        <f>tblIndicators!H55</f>
        <v>Level of corruption</v>
      </c>
      <c r="G59" s="133">
        <f>tblIndicators!Z55</f>
        <v>3</v>
      </c>
      <c r="H59" s="168" t="str">
        <f>REPT(" ",D59)&amp;tblIndicators!AE55</f>
        <v>   4.2.4) Level of corruption</v>
      </c>
      <c r="I59" s="186" t="str">
        <f>IF(G59=1,"",tblIndicators!P55)</f>
        <v>Scale 0 - 100</v>
      </c>
      <c r="J59" s="184">
        <v>70</v>
      </c>
      <c r="K59" s="187">
        <v>83</v>
      </c>
      <c r="L59" s="184">
        <v>38</v>
      </c>
      <c r="M59" s="187">
        <v>60</v>
      </c>
      <c r="N59" s="184">
        <v>36</v>
      </c>
      <c r="O59" s="187">
        <v>76</v>
      </c>
      <c r="P59" s="184">
        <v>34</v>
      </c>
      <c r="Q59" s="187">
        <v>74</v>
      </c>
      <c r="R59" s="184">
        <v>38</v>
      </c>
      <c r="S59" s="187">
        <v>69</v>
      </c>
      <c r="T59" s="184">
        <v>79</v>
      </c>
      <c r="U59" s="187">
        <v>31</v>
      </c>
      <c r="V59" s="184">
        <v>74</v>
      </c>
      <c r="W59" s="187">
        <v>45</v>
      </c>
      <c r="X59" s="184">
        <v>34</v>
      </c>
      <c r="Y59" s="187">
        <v>44</v>
      </c>
      <c r="Z59" s="184">
        <v>44</v>
      </c>
      <c r="AA59" s="187">
        <v>38</v>
      </c>
      <c r="AB59" s="184">
        <v>78</v>
      </c>
      <c r="AC59" s="187">
        <v>74</v>
      </c>
      <c r="AD59" s="184">
        <v>60</v>
      </c>
      <c r="AE59" s="184">
        <v>80</v>
      </c>
      <c r="AF59" s="184">
        <v>35</v>
      </c>
      <c r="AG59" s="184">
        <v>43</v>
      </c>
      <c r="AH59" s="184">
        <v>27</v>
      </c>
      <c r="AI59" s="184">
        <v>38</v>
      </c>
      <c r="AJ59" s="184">
        <v>74</v>
      </c>
      <c r="AK59" s="184">
        <v>76</v>
      </c>
      <c r="AL59" s="184">
        <v>69</v>
      </c>
      <c r="AM59" s="184">
        <v>43</v>
      </c>
      <c r="AN59" s="184">
        <v>49</v>
      </c>
      <c r="AO59" s="184">
        <v>43</v>
      </c>
      <c r="AP59" s="184">
        <v>74</v>
      </c>
      <c r="AQ59" s="184">
        <v>73</v>
      </c>
      <c r="AR59" s="184">
        <v>43</v>
      </c>
      <c r="AS59" s="184">
        <v>55</v>
      </c>
      <c r="AT59" s="184">
        <v>36</v>
      </c>
      <c r="AU59" s="184">
        <v>84</v>
      </c>
      <c r="AV59" s="184">
        <v>87</v>
      </c>
      <c r="AW59" s="184">
        <v>80</v>
      </c>
      <c r="AX59" s="184">
        <v>61</v>
      </c>
      <c r="AY59" s="184">
        <v>27</v>
      </c>
      <c r="AZ59" s="184">
        <v>76</v>
      </c>
      <c r="BA59" s="184">
        <v>81</v>
      </c>
      <c r="BB59" s="184">
        <v>74</v>
      </c>
      <c r="BC59" s="184">
        <v>86</v>
      </c>
      <c r="BN59" s="112">
        <v>2</v>
      </c>
      <c r="BO59" s="112">
        <v>3</v>
      </c>
      <c r="BP59" s="112">
        <v>2</v>
      </c>
      <c r="BQ59" s="112">
        <v>1</v>
      </c>
      <c r="BR59" s="112">
        <v>2</v>
      </c>
    </row>
    <row r="60" s="112" customFormat="1" ht="22.5" customHeight="1" spans="1:70">
      <c r="A60" s="132"/>
      <c r="B60" s="133">
        <f>tblIndicators!A56</f>
        <v>55</v>
      </c>
      <c r="C60" s="133">
        <f>tblIndicators!B56</f>
        <v>0</v>
      </c>
      <c r="D60" s="133">
        <f>tblIndicators!F56</f>
        <v>3</v>
      </c>
      <c r="E60" s="133" t="str">
        <f>tblIndicators!E56</f>
        <v>PESE4.2</v>
      </c>
      <c r="F60" s="133" t="str">
        <f>tblIndicators!H56</f>
        <v>Rate of drug use </v>
      </c>
      <c r="G60" s="133">
        <f>tblIndicators!Z56</f>
        <v>2</v>
      </c>
      <c r="H60" s="168" t="str">
        <f>REPT(" ",D60)&amp;tblIndicators!AE56</f>
        <v>   4.2.5) Rate of drug use </v>
      </c>
      <c r="I60" s="186" t="str">
        <f>IF(G60=1,"",tblIndicators!P56)</f>
        <v>%</v>
      </c>
      <c r="J60" s="184">
        <v>0.02</v>
      </c>
      <c r="K60" s="187">
        <v>0.6</v>
      </c>
      <c r="L60" s="184">
        <v>0.1</v>
      </c>
      <c r="M60" s="187">
        <v>2.6</v>
      </c>
      <c r="N60" s="184">
        <v>0.25</v>
      </c>
      <c r="O60" s="187">
        <v>0.9</v>
      </c>
      <c r="P60" s="184">
        <v>2.6</v>
      </c>
      <c r="Q60" s="187">
        <v>2.4</v>
      </c>
      <c r="R60" s="184">
        <v>0.4</v>
      </c>
      <c r="S60" s="187">
        <v>0.06</v>
      </c>
      <c r="T60" s="184">
        <v>0.9</v>
      </c>
      <c r="U60" s="187">
        <v>0.1</v>
      </c>
      <c r="V60" s="184">
        <v>0.3</v>
      </c>
      <c r="W60" s="187">
        <v>0.1</v>
      </c>
      <c r="X60" s="184">
        <v>0.1</v>
      </c>
      <c r="Y60" s="187">
        <v>0.8</v>
      </c>
      <c r="Z60" s="184">
        <v>0.1</v>
      </c>
      <c r="AA60" s="187">
        <v>0.5</v>
      </c>
      <c r="AB60" s="184">
        <v>1.9</v>
      </c>
      <c r="AC60" s="187">
        <v>2.4</v>
      </c>
      <c r="AD60" s="184">
        <v>2.6</v>
      </c>
      <c r="AE60" s="184">
        <v>1.9</v>
      </c>
      <c r="AF60" s="184">
        <v>0.4</v>
      </c>
      <c r="AG60" s="184">
        <v>2.2</v>
      </c>
      <c r="AH60" s="184">
        <v>0.2</v>
      </c>
      <c r="AI60" s="184">
        <v>0.4</v>
      </c>
      <c r="AJ60" s="184">
        <v>2.4</v>
      </c>
      <c r="AK60" s="184">
        <v>0.03</v>
      </c>
      <c r="AL60" s="184">
        <v>0.6</v>
      </c>
      <c r="AM60" s="184">
        <v>0.7</v>
      </c>
      <c r="AN60" s="184">
        <v>0.06</v>
      </c>
      <c r="AO60" s="184">
        <v>2.2</v>
      </c>
      <c r="AP60" s="184">
        <v>2.4</v>
      </c>
      <c r="AQ60" s="184">
        <v>2.4</v>
      </c>
      <c r="AR60" s="184">
        <v>0.7</v>
      </c>
      <c r="AS60" s="184">
        <v>0.1</v>
      </c>
      <c r="AT60" s="184">
        <v>0.25</v>
      </c>
      <c r="AU60" s="184">
        <v>0.01</v>
      </c>
      <c r="AV60" s="184">
        <v>0.5</v>
      </c>
      <c r="AW60" s="184">
        <v>1.9</v>
      </c>
      <c r="AX60" s="184">
        <v>0.1</v>
      </c>
      <c r="AY60" s="184">
        <v>0.1</v>
      </c>
      <c r="AZ60" s="184">
        <v>0.03</v>
      </c>
      <c r="BA60" s="184">
        <v>1.4</v>
      </c>
      <c r="BB60" s="184">
        <v>2.4</v>
      </c>
      <c r="BC60" s="184">
        <v>0.2</v>
      </c>
      <c r="BN60" s="112">
        <v>2</v>
      </c>
      <c r="BO60" s="112">
        <v>3</v>
      </c>
      <c r="BP60" s="112">
        <v>2</v>
      </c>
      <c r="BQ60" s="112">
        <v>1</v>
      </c>
      <c r="BR60" s="112">
        <v>2</v>
      </c>
    </row>
    <row r="61" s="112" customFormat="1" ht="22.5" customHeight="1" spans="1:70">
      <c r="A61" s="132"/>
      <c r="B61" s="133">
        <f>tblIndicators!A57</f>
        <v>56</v>
      </c>
      <c r="C61" s="133">
        <f>tblIndicators!B57</f>
        <v>0</v>
      </c>
      <c r="D61" s="133">
        <f>tblIndicators!F57</f>
        <v>3</v>
      </c>
      <c r="E61" s="133" t="str">
        <f>tblIndicators!E57</f>
        <v>PESE4.2</v>
      </c>
      <c r="F61" s="133" t="str">
        <f>tblIndicators!H57</f>
        <v>Frequency of terrorist attacks </v>
      </c>
      <c r="G61" s="133">
        <f>tblIndicators!Z57</f>
        <v>2</v>
      </c>
      <c r="H61" s="168" t="str">
        <f>REPT(" ",D61)&amp;tblIndicators!AE57</f>
        <v>   4.2.6) Frequency of terrorist attacks </v>
      </c>
      <c r="I61" s="186" t="str">
        <f>IF(G61=1,"",tblIndicators!P57)</f>
        <v>#/year</v>
      </c>
      <c r="J61" s="184">
        <v>0</v>
      </c>
      <c r="K61" s="187">
        <v>0.1</v>
      </c>
      <c r="L61" s="184">
        <v>8.6</v>
      </c>
      <c r="M61" s="187">
        <v>0.1</v>
      </c>
      <c r="N61" s="184">
        <v>0.3</v>
      </c>
      <c r="O61" s="187">
        <v>0.2</v>
      </c>
      <c r="P61" s="184">
        <v>1.1</v>
      </c>
      <c r="Q61" s="187">
        <v>0</v>
      </c>
      <c r="R61" s="184">
        <v>1.4</v>
      </c>
      <c r="S61" s="187">
        <v>0.1</v>
      </c>
      <c r="T61" s="184">
        <v>0.2</v>
      </c>
      <c r="U61" s="187">
        <v>0</v>
      </c>
      <c r="V61" s="184">
        <v>0.1</v>
      </c>
      <c r="W61" s="187">
        <v>5.5</v>
      </c>
      <c r="X61" s="184">
        <v>1.9</v>
      </c>
      <c r="Y61" s="187">
        <v>0.1</v>
      </c>
      <c r="Z61" s="184">
        <v>0</v>
      </c>
      <c r="AA61" s="187">
        <v>0.1</v>
      </c>
      <c r="AB61" s="184">
        <v>2.4</v>
      </c>
      <c r="AC61" s="187">
        <v>0.8</v>
      </c>
      <c r="AD61" s="184">
        <v>1.9</v>
      </c>
      <c r="AE61" s="184">
        <v>0</v>
      </c>
      <c r="AF61" s="184">
        <v>0.6</v>
      </c>
      <c r="AG61" s="184">
        <v>0.7</v>
      </c>
      <c r="AH61" s="184">
        <v>2.2</v>
      </c>
      <c r="AI61" s="184">
        <v>1.3</v>
      </c>
      <c r="AJ61" s="184">
        <v>0.8</v>
      </c>
      <c r="AK61" s="184">
        <v>0</v>
      </c>
      <c r="AL61" s="184">
        <v>1</v>
      </c>
      <c r="AM61" s="184">
        <v>0</v>
      </c>
      <c r="AN61" s="184">
        <v>1.2</v>
      </c>
      <c r="AO61" s="184">
        <v>0.9</v>
      </c>
      <c r="AP61" s="184">
        <v>0.1</v>
      </c>
      <c r="AQ61" s="184">
        <v>3.2</v>
      </c>
      <c r="AR61" s="184">
        <v>0.2</v>
      </c>
      <c r="AS61" s="184">
        <v>0.1</v>
      </c>
      <c r="AT61" s="184">
        <v>0</v>
      </c>
      <c r="AU61" s="184">
        <v>0</v>
      </c>
      <c r="AV61" s="184">
        <v>0.4</v>
      </c>
      <c r="AW61" s="184">
        <v>0</v>
      </c>
      <c r="AX61" s="184">
        <v>0.2</v>
      </c>
      <c r="AY61" s="184">
        <v>1.1</v>
      </c>
      <c r="AZ61" s="184">
        <v>0</v>
      </c>
      <c r="BA61" s="184">
        <v>0.1</v>
      </c>
      <c r="BB61" s="184">
        <v>0.3</v>
      </c>
      <c r="BC61" s="184">
        <v>0.1</v>
      </c>
      <c r="BN61" s="112">
        <v>2</v>
      </c>
      <c r="BO61" s="112">
        <v>3</v>
      </c>
      <c r="BP61" s="112">
        <v>2</v>
      </c>
      <c r="BQ61" s="112">
        <v>1</v>
      </c>
      <c r="BR61" s="112">
        <v>2</v>
      </c>
    </row>
    <row r="62" s="112" customFormat="1" ht="22.5" customHeight="1" spans="1:70">
      <c r="A62" s="132"/>
      <c r="B62" s="133">
        <f>tblIndicators!A58</f>
        <v>57</v>
      </c>
      <c r="C62" s="133">
        <f>tblIndicators!B58</f>
        <v>0</v>
      </c>
      <c r="D62" s="133">
        <f>tblIndicators!F58</f>
        <v>3</v>
      </c>
      <c r="E62" s="133" t="str">
        <f>tblIndicators!E58</f>
        <v>PESE4.2</v>
      </c>
      <c r="F62" s="133" t="str">
        <f>tblIndicators!H58</f>
        <v>Severity of terrorist attacks</v>
      </c>
      <c r="G62" s="133">
        <f>tblIndicators!Z58</f>
        <v>2</v>
      </c>
      <c r="H62" s="168" t="str">
        <f>REPT(" ",D62)&amp;tblIndicators!AE58</f>
        <v>   4.2.7) Severity of terrorist attacks</v>
      </c>
      <c r="I62" s="186" t="str">
        <f>IF(G62=1,"",tblIndicators!P58)</f>
        <v>#/year</v>
      </c>
      <c r="J62" s="184">
        <v>0</v>
      </c>
      <c r="K62" s="187">
        <v>0.3</v>
      </c>
      <c r="L62" s="184">
        <v>28</v>
      </c>
      <c r="M62" s="187">
        <v>0.1</v>
      </c>
      <c r="N62" s="184">
        <v>6.8</v>
      </c>
      <c r="O62" s="187">
        <v>0.2</v>
      </c>
      <c r="P62" s="184">
        <v>0.2</v>
      </c>
      <c r="Q62" s="187">
        <v>0</v>
      </c>
      <c r="R62" s="184">
        <v>52.1</v>
      </c>
      <c r="S62" s="187">
        <v>1.4</v>
      </c>
      <c r="T62" s="184">
        <v>0.4</v>
      </c>
      <c r="U62" s="187">
        <v>0</v>
      </c>
      <c r="V62" s="184">
        <v>10.1</v>
      </c>
      <c r="W62" s="187">
        <v>34</v>
      </c>
      <c r="X62" s="184">
        <v>26.3</v>
      </c>
      <c r="Y62" s="187">
        <v>0</v>
      </c>
      <c r="Z62" s="184">
        <v>0</v>
      </c>
      <c r="AA62" s="187">
        <v>0.4</v>
      </c>
      <c r="AB62" s="184">
        <v>85.5</v>
      </c>
      <c r="AC62" s="187">
        <v>0.5</v>
      </c>
      <c r="AD62" s="184">
        <v>208.9</v>
      </c>
      <c r="AE62" s="184">
        <v>0</v>
      </c>
      <c r="AF62" s="184">
        <v>14.4</v>
      </c>
      <c r="AG62" s="184">
        <v>0.3</v>
      </c>
      <c r="AH62" s="184">
        <v>8.8</v>
      </c>
      <c r="AI62" s="184">
        <v>160.1</v>
      </c>
      <c r="AJ62" s="184">
        <v>0</v>
      </c>
      <c r="AK62" s="184">
        <v>0</v>
      </c>
      <c r="AL62" s="184">
        <v>1.5</v>
      </c>
      <c r="AM62" s="184">
        <v>0</v>
      </c>
      <c r="AN62" s="184">
        <v>25.5</v>
      </c>
      <c r="AO62" s="184">
        <v>0.6</v>
      </c>
      <c r="AP62" s="184">
        <v>0</v>
      </c>
      <c r="AQ62" s="184">
        <v>0.4</v>
      </c>
      <c r="AR62" s="184">
        <v>1.1</v>
      </c>
      <c r="AS62" s="184">
        <v>0.1</v>
      </c>
      <c r="AT62" s="184">
        <v>1.5</v>
      </c>
      <c r="AU62" s="184">
        <v>0</v>
      </c>
      <c r="AV62" s="184">
        <v>0.3</v>
      </c>
      <c r="AW62" s="184">
        <v>0</v>
      </c>
      <c r="AX62" s="184">
        <v>0.1</v>
      </c>
      <c r="AY62" s="184">
        <v>10.8</v>
      </c>
      <c r="AZ62" s="184">
        <v>0</v>
      </c>
      <c r="BA62" s="184">
        <v>0</v>
      </c>
      <c r="BB62" s="184">
        <v>0.2</v>
      </c>
      <c r="BC62" s="184">
        <v>0</v>
      </c>
      <c r="BN62" s="112">
        <v>2</v>
      </c>
      <c r="BO62" s="112">
        <v>3</v>
      </c>
      <c r="BP62" s="112">
        <v>2</v>
      </c>
      <c r="BQ62" s="112">
        <v>1</v>
      </c>
      <c r="BR62" s="112">
        <v>2</v>
      </c>
    </row>
    <row r="63" s="112" customFormat="1" ht="22.5" customHeight="1" spans="1:70">
      <c r="A63" s="132"/>
      <c r="B63" s="133">
        <f>tblIndicators!A59</f>
        <v>58</v>
      </c>
      <c r="C63" s="133">
        <f>tblIndicators!B59</f>
        <v>0</v>
      </c>
      <c r="D63" s="133">
        <f>tblIndicators!F59</f>
        <v>3</v>
      </c>
      <c r="E63" s="133" t="str">
        <f>tblIndicators!E59</f>
        <v>PESE4.2</v>
      </c>
      <c r="F63" s="133" t="str">
        <f>tblIndicators!H59</f>
        <v>Gender safety</v>
      </c>
      <c r="G63" s="133">
        <f>tblIndicators!Z59</f>
        <v>2</v>
      </c>
      <c r="H63" s="168" t="str">
        <f>REPT(" ",D63)&amp;tblIndicators!AE59</f>
        <v>   4.2.8) Gender safety</v>
      </c>
      <c r="I63" s="186" t="str">
        <f>IF(G63=1,"",tblIndicators!P59)</f>
        <v>per 100,000</v>
      </c>
      <c r="J63" s="184">
        <v>1.3</v>
      </c>
      <c r="K63" s="187">
        <v>0.6</v>
      </c>
      <c r="L63" s="184">
        <v>1.3</v>
      </c>
      <c r="M63" s="187">
        <v>0.5</v>
      </c>
      <c r="N63" s="184">
        <v>0.8</v>
      </c>
      <c r="O63" s="187">
        <v>0.8</v>
      </c>
      <c r="P63" s="184">
        <v>1.6</v>
      </c>
      <c r="Q63" s="187">
        <v>3.5322952710496</v>
      </c>
      <c r="R63" s="184">
        <v>1.5</v>
      </c>
      <c r="S63" s="187">
        <v>3.8</v>
      </c>
      <c r="T63" s="184">
        <v>0.8</v>
      </c>
      <c r="U63" s="187">
        <v>1.8</v>
      </c>
      <c r="V63" s="184">
        <v>0.315064806062283</v>
      </c>
      <c r="W63" s="187">
        <v>0.7</v>
      </c>
      <c r="X63" s="184">
        <v>2.1</v>
      </c>
      <c r="Y63" s="187">
        <v>10.7</v>
      </c>
      <c r="Z63" s="184">
        <v>0.7</v>
      </c>
      <c r="AA63" s="187">
        <v>4.3</v>
      </c>
      <c r="AB63" s="184">
        <v>1</v>
      </c>
      <c r="AC63" s="187">
        <v>1.80747567844342</v>
      </c>
      <c r="AD63" s="184">
        <v>0.5</v>
      </c>
      <c r="AE63" s="184">
        <v>0.8</v>
      </c>
      <c r="AF63" s="184">
        <v>4.6</v>
      </c>
      <c r="AG63" s="184">
        <v>0.5</v>
      </c>
      <c r="AH63" s="184">
        <v>6</v>
      </c>
      <c r="AI63" s="184">
        <v>1.5</v>
      </c>
      <c r="AJ63" s="184">
        <v>1.17821782178218</v>
      </c>
      <c r="AK63" s="184">
        <v>0.3</v>
      </c>
      <c r="AL63" s="184">
        <v>0.8</v>
      </c>
      <c r="AM63" s="184">
        <v>5.6</v>
      </c>
      <c r="AN63" s="184">
        <v>5.7</v>
      </c>
      <c r="AO63" s="184">
        <v>0.5</v>
      </c>
      <c r="AP63" s="184">
        <v>1.80747567844342</v>
      </c>
      <c r="AQ63" s="184">
        <v>1.4</v>
      </c>
      <c r="AR63" s="184">
        <v>5.6</v>
      </c>
      <c r="AS63" s="184">
        <v>1.5</v>
      </c>
      <c r="AT63" s="184">
        <v>0.8</v>
      </c>
      <c r="AU63" s="184">
        <v>0.4</v>
      </c>
      <c r="AV63" s="184">
        <v>0.5</v>
      </c>
      <c r="AW63" s="184">
        <v>0.8</v>
      </c>
      <c r="AX63" s="184">
        <v>0.939655172413793</v>
      </c>
      <c r="AY63" s="184">
        <v>1.8</v>
      </c>
      <c r="AZ63" s="184">
        <v>0.3</v>
      </c>
      <c r="BA63" s="184">
        <v>0.8</v>
      </c>
      <c r="BB63" s="184">
        <v>3.33333333333333</v>
      </c>
      <c r="BC63" s="184">
        <v>0.5</v>
      </c>
      <c r="BN63" s="112">
        <v>2</v>
      </c>
      <c r="BO63" s="112">
        <v>3</v>
      </c>
      <c r="BP63" s="112">
        <v>2</v>
      </c>
      <c r="BQ63" s="112">
        <v>1</v>
      </c>
      <c r="BR63" s="112">
        <v>2</v>
      </c>
    </row>
    <row r="64" s="112" customFormat="1" ht="22.5" customHeight="1" spans="1:70">
      <c r="A64" s="132"/>
      <c r="B64" s="133">
        <f>tblIndicators!A60</f>
        <v>59</v>
      </c>
      <c r="C64" s="133">
        <f>tblIndicators!B60</f>
        <v>0</v>
      </c>
      <c r="D64" s="133">
        <f>tblIndicators!F60</f>
        <v>3</v>
      </c>
      <c r="E64" s="133" t="str">
        <f>tblIndicators!E60</f>
        <v>PESE4.2</v>
      </c>
      <c r="F64" s="133" t="str">
        <f>tblIndicators!H60</f>
        <v>Perceptions of safety</v>
      </c>
      <c r="G64" s="133">
        <f>tblIndicators!Z60</f>
        <v>3</v>
      </c>
      <c r="H64" s="168" t="str">
        <f>REPT(" ",D64)&amp;tblIndicators!AE60</f>
        <v>   4.2.9) Perceptions of safety</v>
      </c>
      <c r="I64" s="186" t="str">
        <f>IF(G64=1,"",tblIndicators!P60)</f>
        <v>Scale 0 – 100, 100 = perceived as most safe</v>
      </c>
      <c r="J64" s="184">
        <v>86.02</v>
      </c>
      <c r="K64" s="187">
        <v>68.41</v>
      </c>
      <c r="L64" s="184">
        <v>63.85</v>
      </c>
      <c r="M64" s="187">
        <v>58.33</v>
      </c>
      <c r="N64" s="184">
        <v>58.3</v>
      </c>
      <c r="O64" s="187">
        <v>46.19</v>
      </c>
      <c r="P64" s="184">
        <v>38.49</v>
      </c>
      <c r="Q64" s="187">
        <v>39.99</v>
      </c>
      <c r="R64" s="184">
        <v>41.41</v>
      </c>
      <c r="S64" s="187">
        <v>78.09</v>
      </c>
      <c r="T64" s="184">
        <v>73.06</v>
      </c>
      <c r="U64" s="187">
        <v>52.23</v>
      </c>
      <c r="V64" s="184">
        <v>83.88</v>
      </c>
      <c r="W64" s="187">
        <v>59.86</v>
      </c>
      <c r="X64" s="184">
        <v>52.19</v>
      </c>
      <c r="Y64" s="187">
        <v>17.44</v>
      </c>
      <c r="Z64" s="184">
        <v>57.02</v>
      </c>
      <c r="AA64" s="187">
        <v>30.42</v>
      </c>
      <c r="AB64" s="184">
        <v>52.62</v>
      </c>
      <c r="AC64" s="187">
        <v>48.22</v>
      </c>
      <c r="AD64" s="184">
        <v>62.89</v>
      </c>
      <c r="AE64" s="184">
        <v>57.47</v>
      </c>
      <c r="AF64" s="184">
        <v>37.99</v>
      </c>
      <c r="AG64" s="184">
        <v>46.95</v>
      </c>
      <c r="AH64" s="184">
        <v>46.01</v>
      </c>
      <c r="AI64" s="184">
        <v>51.04</v>
      </c>
      <c r="AJ64" s="184">
        <v>52.53</v>
      </c>
      <c r="AK64" s="184">
        <v>95.03</v>
      </c>
      <c r="AL64" s="184">
        <v>43.88</v>
      </c>
      <c r="AM64" s="184">
        <v>25.32</v>
      </c>
      <c r="AN64" s="184">
        <v>73.83</v>
      </c>
      <c r="AO64" s="184">
        <v>29.69</v>
      </c>
      <c r="AP64" s="184">
        <v>58.25</v>
      </c>
      <c r="AQ64" s="184">
        <v>52.54</v>
      </c>
      <c r="AR64" s="184">
        <v>24.86</v>
      </c>
      <c r="AS64" s="184">
        <v>80.5</v>
      </c>
      <c r="AT64" s="184">
        <v>77.75</v>
      </c>
      <c r="AU64" s="184">
        <v>81.98</v>
      </c>
      <c r="AV64" s="184">
        <v>77.9</v>
      </c>
      <c r="AW64" s="184">
        <v>58.72</v>
      </c>
      <c r="AX64" s="184">
        <v>79.1</v>
      </c>
      <c r="AY64" s="184">
        <v>43.73</v>
      </c>
      <c r="AZ64" s="184">
        <v>80.92</v>
      </c>
      <c r="BA64" s="184">
        <v>68.46</v>
      </c>
      <c r="BB64" s="184">
        <v>41.1</v>
      </c>
      <c r="BC64" s="184">
        <v>79.39</v>
      </c>
      <c r="BN64" s="112">
        <v>2</v>
      </c>
      <c r="BO64" s="112">
        <v>3</v>
      </c>
      <c r="BP64" s="112">
        <v>2</v>
      </c>
      <c r="BQ64" s="112">
        <v>1</v>
      </c>
      <c r="BR64" s="112">
        <v>2</v>
      </c>
    </row>
    <row r="65" s="112" customFormat="1" ht="22.5" customHeight="1" spans="1:70">
      <c r="A65" s="132"/>
      <c r="B65" s="133">
        <f>tblIndicators!A61</f>
        <v>60</v>
      </c>
      <c r="C65" s="133">
        <f>tblIndicators!B61</f>
        <v>0</v>
      </c>
      <c r="D65" s="133">
        <f>tblIndicators!F61</f>
        <v>3</v>
      </c>
      <c r="E65" s="133" t="str">
        <f>tblIndicators!E61</f>
        <v>PESE4.2</v>
      </c>
      <c r="F65" s="133" t="str">
        <f>tblIndicators!H61</f>
        <v>Threat of terrorism</v>
      </c>
      <c r="G65" s="133">
        <f>tblIndicators!Z61</f>
        <v>3</v>
      </c>
      <c r="H65" s="168" t="str">
        <f>REPT(" ",D65)&amp;tblIndicators!AE61</f>
        <v>   4.2.10) Threat of terrorism</v>
      </c>
      <c r="I65" s="186" t="str">
        <f>IF(G65=1,"",tblIndicators!P61)</f>
        <v>Rating 0-4. </v>
      </c>
      <c r="J65" s="184">
        <v>3</v>
      </c>
      <c r="K65" s="187">
        <v>3</v>
      </c>
      <c r="L65" s="184">
        <v>2</v>
      </c>
      <c r="M65" s="187">
        <v>3</v>
      </c>
      <c r="N65" s="184">
        <v>4</v>
      </c>
      <c r="O65" s="187">
        <v>3</v>
      </c>
      <c r="P65" s="184">
        <v>3</v>
      </c>
      <c r="Q65" s="187">
        <v>3</v>
      </c>
      <c r="R65" s="184">
        <v>2</v>
      </c>
      <c r="S65" s="187">
        <v>3</v>
      </c>
      <c r="T65" s="184">
        <v>3</v>
      </c>
      <c r="U65" s="187">
        <v>3</v>
      </c>
      <c r="V65" s="184">
        <v>4</v>
      </c>
      <c r="W65" s="187">
        <v>2</v>
      </c>
      <c r="X65" s="184">
        <v>1</v>
      </c>
      <c r="Y65" s="187">
        <v>3</v>
      </c>
      <c r="Z65" s="184">
        <v>3</v>
      </c>
      <c r="AA65" s="187">
        <v>3</v>
      </c>
      <c r="AB65" s="184">
        <v>2</v>
      </c>
      <c r="AC65" s="187">
        <v>3</v>
      </c>
      <c r="AD65" s="184">
        <v>3</v>
      </c>
      <c r="AE65" s="184">
        <v>4</v>
      </c>
      <c r="AF65" s="184">
        <v>2</v>
      </c>
      <c r="AG65" s="184">
        <v>4</v>
      </c>
      <c r="AH65" s="184">
        <v>2</v>
      </c>
      <c r="AI65" s="184">
        <v>2</v>
      </c>
      <c r="AJ65" s="184">
        <v>2</v>
      </c>
      <c r="AK65" s="184">
        <v>3</v>
      </c>
      <c r="AL65" s="184">
        <v>4</v>
      </c>
      <c r="AM65" s="184">
        <v>3</v>
      </c>
      <c r="AN65" s="184">
        <v>2</v>
      </c>
      <c r="AO65" s="184">
        <v>4</v>
      </c>
      <c r="AP65" s="184">
        <v>3</v>
      </c>
      <c r="AQ65" s="184">
        <v>4</v>
      </c>
      <c r="AR65" s="184">
        <v>3</v>
      </c>
      <c r="AS65" s="184">
        <v>3</v>
      </c>
      <c r="AT65" s="184">
        <v>4</v>
      </c>
      <c r="AU65" s="184">
        <v>3</v>
      </c>
      <c r="AV65" s="184">
        <v>4</v>
      </c>
      <c r="AW65" s="184">
        <v>4</v>
      </c>
      <c r="AX65" s="184">
        <v>4</v>
      </c>
      <c r="AY65" s="184">
        <v>2</v>
      </c>
      <c r="AZ65" s="184">
        <v>3</v>
      </c>
      <c r="BA65" s="184">
        <v>4</v>
      </c>
      <c r="BB65" s="184">
        <v>3</v>
      </c>
      <c r="BC65" s="184">
        <v>4</v>
      </c>
      <c r="BN65" s="112">
        <v>2</v>
      </c>
      <c r="BO65" s="112">
        <v>3</v>
      </c>
      <c r="BP65" s="112">
        <v>2</v>
      </c>
      <c r="BQ65" s="112">
        <v>1</v>
      </c>
      <c r="BR65" s="112">
        <v>2</v>
      </c>
    </row>
    <row r="66" s="112" customFormat="1" ht="22.5" customHeight="1" spans="1:70">
      <c r="A66" s="132"/>
      <c r="B66" s="133">
        <f>tblIndicators!A62</f>
        <v>61</v>
      </c>
      <c r="C66" s="133">
        <f>tblIndicators!B62</f>
        <v>0</v>
      </c>
      <c r="D66" s="133">
        <f>tblIndicators!F62</f>
        <v>3</v>
      </c>
      <c r="E66" s="133" t="str">
        <f>tblIndicators!E62</f>
        <v>PESE4.2</v>
      </c>
      <c r="F66" s="133" t="str">
        <f>tblIndicators!H62</f>
        <v>Threat of military conflict</v>
      </c>
      <c r="G66" s="133">
        <f>tblIndicators!Z62</f>
        <v>3</v>
      </c>
      <c r="H66" s="168" t="str">
        <f>REPT(" ",D66)&amp;tblIndicators!AE62</f>
        <v>   4.2.11) Threat of military conflict</v>
      </c>
      <c r="I66" s="186" t="str">
        <f>IF(G66=1,"",tblIndicators!P62)</f>
        <v>Rating 0-4. </v>
      </c>
      <c r="J66" s="184">
        <v>4</v>
      </c>
      <c r="K66" s="187">
        <v>4</v>
      </c>
      <c r="L66" s="184">
        <v>2</v>
      </c>
      <c r="M66" s="187">
        <v>4</v>
      </c>
      <c r="N66" s="184">
        <v>4</v>
      </c>
      <c r="O66" s="187">
        <v>4</v>
      </c>
      <c r="P66" s="184">
        <v>4</v>
      </c>
      <c r="Q66" s="187">
        <v>4</v>
      </c>
      <c r="R66" s="184">
        <v>3</v>
      </c>
      <c r="S66" s="187">
        <v>3</v>
      </c>
      <c r="T66" s="184">
        <v>4</v>
      </c>
      <c r="U66" s="187">
        <v>3</v>
      </c>
      <c r="V66" s="184">
        <v>4</v>
      </c>
      <c r="W66" s="187">
        <v>3</v>
      </c>
      <c r="X66" s="184">
        <v>4</v>
      </c>
      <c r="Y66" s="187">
        <v>4</v>
      </c>
      <c r="Z66" s="184">
        <v>3</v>
      </c>
      <c r="AA66" s="187">
        <v>3</v>
      </c>
      <c r="AB66" s="184">
        <v>4</v>
      </c>
      <c r="AC66" s="187">
        <v>4</v>
      </c>
      <c r="AD66" s="184">
        <v>4</v>
      </c>
      <c r="AE66" s="184">
        <v>4</v>
      </c>
      <c r="AF66" s="184">
        <v>4</v>
      </c>
      <c r="AG66" s="184">
        <v>4</v>
      </c>
      <c r="AH66" s="184">
        <v>2</v>
      </c>
      <c r="AI66" s="184">
        <v>3</v>
      </c>
      <c r="AJ66" s="184">
        <v>4</v>
      </c>
      <c r="AK66" s="184">
        <v>4</v>
      </c>
      <c r="AL66" s="184">
        <v>4</v>
      </c>
      <c r="AM66" s="184">
        <v>4</v>
      </c>
      <c r="AN66" s="184">
        <v>3</v>
      </c>
      <c r="AO66" s="184">
        <v>4</v>
      </c>
      <c r="AP66" s="184">
        <v>4</v>
      </c>
      <c r="AQ66" s="184">
        <v>4</v>
      </c>
      <c r="AR66" s="184">
        <v>4</v>
      </c>
      <c r="AS66" s="184">
        <v>2</v>
      </c>
      <c r="AT66" s="184">
        <v>4</v>
      </c>
      <c r="AU66" s="184">
        <v>4</v>
      </c>
      <c r="AV66" s="184">
        <v>4</v>
      </c>
      <c r="AW66" s="184">
        <v>4</v>
      </c>
      <c r="AX66" s="184">
        <v>4</v>
      </c>
      <c r="AY66" s="184">
        <v>3</v>
      </c>
      <c r="AZ66" s="184">
        <v>4</v>
      </c>
      <c r="BA66" s="184">
        <v>4</v>
      </c>
      <c r="BB66" s="184">
        <v>4</v>
      </c>
      <c r="BC66" s="184">
        <v>4</v>
      </c>
      <c r="BN66" s="112">
        <v>2</v>
      </c>
      <c r="BO66" s="112">
        <v>3</v>
      </c>
      <c r="BP66" s="112">
        <v>2</v>
      </c>
      <c r="BQ66" s="112">
        <v>1</v>
      </c>
      <c r="BR66" s="112">
        <v>2</v>
      </c>
    </row>
    <row r="67" s="112" customFormat="1" ht="22.5" customHeight="1" spans="1:70">
      <c r="A67" s="132"/>
      <c r="B67" s="133">
        <f>tblIndicators!A63</f>
        <v>62</v>
      </c>
      <c r="C67" s="133">
        <f>tblIndicators!B63</f>
        <v>0</v>
      </c>
      <c r="D67" s="133">
        <f>tblIndicators!F63</f>
        <v>3</v>
      </c>
      <c r="E67" s="133" t="str">
        <f>tblIndicators!E63</f>
        <v>PESE4.2</v>
      </c>
      <c r="F67" s="133" t="str">
        <f>tblIndicators!H63</f>
        <v>Threat of civil unrest</v>
      </c>
      <c r="G67" s="133">
        <f>tblIndicators!Z63</f>
        <v>3</v>
      </c>
      <c r="H67" s="168" t="str">
        <f>REPT(" ",D67)&amp;tblIndicators!AE63</f>
        <v>   4.2.12) Threat of civil unrest</v>
      </c>
      <c r="I67" s="186" t="str">
        <f>IF(G67=1,"",tblIndicators!P63)</f>
        <v>Rating 0-4.</v>
      </c>
      <c r="J67" s="184">
        <v>3</v>
      </c>
      <c r="K67" s="187">
        <v>4</v>
      </c>
      <c r="L67" s="184">
        <v>0</v>
      </c>
      <c r="M67" s="187">
        <v>3</v>
      </c>
      <c r="N67" s="184">
        <v>2</v>
      </c>
      <c r="O67" s="187">
        <v>4</v>
      </c>
      <c r="P67" s="184">
        <v>3</v>
      </c>
      <c r="Q67" s="187">
        <v>4</v>
      </c>
      <c r="R67" s="184">
        <v>2</v>
      </c>
      <c r="S67" s="187">
        <v>3</v>
      </c>
      <c r="T67" s="184">
        <v>4</v>
      </c>
      <c r="U67" s="187">
        <v>2</v>
      </c>
      <c r="V67" s="184">
        <v>4</v>
      </c>
      <c r="W67" s="187">
        <v>2</v>
      </c>
      <c r="X67" s="184">
        <v>1</v>
      </c>
      <c r="Y67" s="187">
        <v>3</v>
      </c>
      <c r="Z67" s="184">
        <v>3</v>
      </c>
      <c r="AA67" s="187">
        <v>2</v>
      </c>
      <c r="AB67" s="184">
        <v>3</v>
      </c>
      <c r="AC67" s="187">
        <v>3</v>
      </c>
      <c r="AD67" s="184">
        <v>3</v>
      </c>
      <c r="AE67" s="184">
        <v>4</v>
      </c>
      <c r="AF67" s="184">
        <v>3</v>
      </c>
      <c r="AG67" s="184">
        <v>3</v>
      </c>
      <c r="AH67" s="184">
        <v>3</v>
      </c>
      <c r="AI67" s="184">
        <v>3</v>
      </c>
      <c r="AJ67" s="184">
        <v>3</v>
      </c>
      <c r="AK67" s="184">
        <v>4</v>
      </c>
      <c r="AL67" s="184">
        <v>3</v>
      </c>
      <c r="AM67" s="184">
        <v>2</v>
      </c>
      <c r="AN67" s="184">
        <v>3</v>
      </c>
      <c r="AO67" s="184">
        <v>3</v>
      </c>
      <c r="AP67" s="184">
        <v>4</v>
      </c>
      <c r="AQ67" s="184">
        <v>3</v>
      </c>
      <c r="AR67" s="184">
        <v>3</v>
      </c>
      <c r="AS67" s="184">
        <v>4</v>
      </c>
      <c r="AT67" s="184">
        <v>2</v>
      </c>
      <c r="AU67" s="184">
        <v>4</v>
      </c>
      <c r="AV67" s="184">
        <v>4</v>
      </c>
      <c r="AW67" s="184">
        <v>4</v>
      </c>
      <c r="AX67" s="184">
        <v>3</v>
      </c>
      <c r="AY67" s="184">
        <v>2</v>
      </c>
      <c r="AZ67" s="184">
        <v>4</v>
      </c>
      <c r="BA67" s="184">
        <v>4</v>
      </c>
      <c r="BB67" s="184">
        <v>3</v>
      </c>
      <c r="BC67" s="184">
        <v>4</v>
      </c>
      <c r="BN67" s="112">
        <v>2</v>
      </c>
      <c r="BO67" s="112">
        <v>3</v>
      </c>
      <c r="BP67" s="112">
        <v>2</v>
      </c>
      <c r="BQ67" s="112">
        <v>1</v>
      </c>
      <c r="BR67" s="112">
        <v>2</v>
      </c>
    </row>
    <row r="68" s="112" customFormat="1" spans="9:9">
      <c r="I68" s="189"/>
    </row>
    <row r="69" s="113" customFormat="1" spans="9:9">
      <c r="I69" s="190"/>
    </row>
    <row r="70" s="113" customFormat="1" spans="9:9">
      <c r="I70" s="190"/>
    </row>
    <row r="71" s="113" customFormat="1" spans="9:9">
      <c r="I71" s="190"/>
    </row>
    <row r="72" s="113" customFormat="1" spans="9:9">
      <c r="I72" s="190"/>
    </row>
    <row r="73" s="113" customFormat="1" spans="9:9">
      <c r="I73" s="190"/>
    </row>
    <row r="74" s="113" customFormat="1" spans="9:9">
      <c r="I74" s="190"/>
    </row>
    <row r="75" s="113" customFormat="1" spans="9:9">
      <c r="I75" s="190"/>
    </row>
    <row r="76" s="113" customFormat="1" spans="9:9">
      <c r="I76" s="190"/>
    </row>
    <row r="77" s="113" customFormat="1" spans="9:9">
      <c r="I77" s="190"/>
    </row>
    <row r="78" s="113" customFormat="1" spans="9:9">
      <c r="I78" s="190"/>
    </row>
    <row r="79" s="113" customFormat="1" spans="9:9">
      <c r="I79" s="190"/>
    </row>
    <row r="80" s="113" customFormat="1" spans="9:9">
      <c r="I80" s="190"/>
    </row>
    <row r="81" s="113" customFormat="1" spans="9:9">
      <c r="I81" s="190"/>
    </row>
    <row r="82" s="113" customFormat="1" spans="9:9">
      <c r="I82" s="190"/>
    </row>
    <row r="83" s="113" customFormat="1" spans="9:9">
      <c r="I83" s="190"/>
    </row>
    <row r="84" s="113" customFormat="1" spans="9:9">
      <c r="I84" s="190"/>
    </row>
    <row r="85" s="113" customFormat="1" spans="9:9">
      <c r="I85" s="190"/>
    </row>
    <row r="86" s="113" customFormat="1" spans="9:9">
      <c r="I86" s="190"/>
    </row>
    <row r="87" s="113" customFormat="1" spans="9:9">
      <c r="I87" s="190"/>
    </row>
    <row r="88" s="113" customFormat="1" spans="9:9">
      <c r="I88" s="190"/>
    </row>
    <row r="89" s="113" customFormat="1" spans="9:9">
      <c r="I89" s="190"/>
    </row>
    <row r="90" s="113" customFormat="1" spans="9:9">
      <c r="I90" s="190"/>
    </row>
    <row r="91" s="113" customFormat="1" spans="9:9">
      <c r="I91" s="190"/>
    </row>
    <row r="92" s="113" customFormat="1" spans="9:9">
      <c r="I92" s="190"/>
    </row>
    <row r="93" s="113" customFormat="1" spans="9:9">
      <c r="I93" s="190"/>
    </row>
    <row r="94" s="113" customFormat="1" spans="9:9">
      <c r="I94" s="190"/>
    </row>
    <row r="95" s="113" customFormat="1" spans="9:9">
      <c r="I95" s="190"/>
    </row>
    <row r="96" s="113" customFormat="1" spans="9:9">
      <c r="I96" s="190"/>
    </row>
    <row r="97" s="113" customFormat="1" spans="9:9">
      <c r="I97" s="190"/>
    </row>
    <row r="98" s="113" customFormat="1" spans="9:9">
      <c r="I98" s="190"/>
    </row>
    <row r="99" s="113" customFormat="1" spans="9:9">
      <c r="I99" s="190"/>
    </row>
    <row r="100" s="113" customFormat="1" spans="9:9">
      <c r="I100" s="190"/>
    </row>
    <row r="101" s="113" customFormat="1" spans="9:9">
      <c r="I101" s="190"/>
    </row>
    <row r="102" s="113" customFormat="1" spans="9:9">
      <c r="I102" s="190"/>
    </row>
    <row r="103" s="113" customFormat="1" spans="9:9">
      <c r="I103" s="190"/>
    </row>
    <row r="104" s="113" customFormat="1" spans="9:9">
      <c r="I104" s="190"/>
    </row>
    <row r="105" s="113" customFormat="1" spans="9:9">
      <c r="I105" s="190"/>
    </row>
    <row r="106" s="113" customFormat="1" spans="9:9">
      <c r="I106" s="190"/>
    </row>
    <row r="107" s="113" customFormat="1" spans="9:9">
      <c r="I107" s="190"/>
    </row>
    <row r="108" s="113" customFormat="1" spans="9:9">
      <c r="I108" s="190"/>
    </row>
    <row r="109" s="113" customFormat="1" spans="9:9">
      <c r="I109" s="190"/>
    </row>
    <row r="110" s="113" customFormat="1" spans="9:9">
      <c r="I110" s="190"/>
    </row>
    <row r="111" s="113" customFormat="1" spans="9:9">
      <c r="I111" s="190"/>
    </row>
    <row r="112" s="113" customFormat="1" spans="9:9">
      <c r="I112" s="190"/>
    </row>
    <row r="113" s="113" customFormat="1" spans="9:9">
      <c r="I113" s="190"/>
    </row>
    <row r="114" s="113" customFormat="1" spans="9:9">
      <c r="I114" s="190"/>
    </row>
    <row r="115" s="113" customFormat="1" spans="9:9">
      <c r="I115" s="190"/>
    </row>
    <row r="116" s="113" customFormat="1" spans="9:9">
      <c r="I116" s="190"/>
    </row>
    <row r="117" s="113" customFormat="1" spans="9:9">
      <c r="I117" s="190"/>
    </row>
    <row r="118" s="113" customFormat="1" spans="9:9">
      <c r="I118" s="190"/>
    </row>
    <row r="119" s="113" customFormat="1" spans="9:9">
      <c r="I119" s="190"/>
    </row>
    <row r="120" s="113" customFormat="1" spans="9:9">
      <c r="I120" s="190"/>
    </row>
    <row r="121" s="113" customFormat="1" spans="9:9">
      <c r="I121" s="190"/>
    </row>
    <row r="122" s="113" customFormat="1" spans="9:9">
      <c r="I122" s="190"/>
    </row>
    <row r="123" s="113" customFormat="1" spans="9:9">
      <c r="I123" s="190"/>
    </row>
    <row r="124" s="113" customFormat="1" spans="9:9">
      <c r="I124" s="190"/>
    </row>
    <row r="125" s="113" customFormat="1" spans="9:9">
      <c r="I125" s="190"/>
    </row>
    <row r="126" s="113" customFormat="1" spans="9:9">
      <c r="I126" s="190"/>
    </row>
    <row r="127" s="113" customFormat="1" spans="9:9">
      <c r="I127" s="190"/>
    </row>
    <row r="128" s="113" customFormat="1" spans="9:9">
      <c r="I128" s="190"/>
    </row>
    <row r="129" s="113" customFormat="1" spans="9:9">
      <c r="I129" s="190"/>
    </row>
    <row r="130" s="113" customFormat="1" spans="9:9">
      <c r="I130" s="190"/>
    </row>
    <row r="131" s="113" customFormat="1" spans="9:9">
      <c r="I131" s="190"/>
    </row>
    <row r="132" s="113" customFormat="1" spans="9:9">
      <c r="I132" s="190"/>
    </row>
    <row r="133" s="113" customFormat="1" spans="9:9">
      <c r="I133" s="190"/>
    </row>
    <row r="134" s="113" customFormat="1" spans="9:9">
      <c r="I134" s="190"/>
    </row>
    <row r="135" s="113" customFormat="1" spans="9:9">
      <c r="I135" s="190"/>
    </row>
    <row r="136" s="113" customFormat="1" spans="9:9">
      <c r="I136" s="190"/>
    </row>
    <row r="137" s="113" customFormat="1" spans="9:9">
      <c r="I137" s="190"/>
    </row>
    <row r="138" s="113" customFormat="1" spans="9:9">
      <c r="I138" s="190"/>
    </row>
    <row r="139" s="113" customFormat="1" spans="9:9">
      <c r="I139" s="190"/>
    </row>
    <row r="140" s="113" customFormat="1" spans="9:9">
      <c r="I140" s="190"/>
    </row>
    <row r="141" s="113" customFormat="1" spans="9:9">
      <c r="I141" s="190"/>
    </row>
    <row r="142" s="113" customFormat="1" spans="9:9">
      <c r="I142" s="190"/>
    </row>
    <row r="143" s="113" customFormat="1" spans="9:9">
      <c r="I143" s="190"/>
    </row>
    <row r="144" s="113" customFormat="1" spans="9:9">
      <c r="I144" s="190"/>
    </row>
    <row r="145" s="113" customFormat="1" spans="9:9">
      <c r="I145" s="190"/>
    </row>
    <row r="146" s="113" customFormat="1" spans="9:9">
      <c r="I146" s="190"/>
    </row>
    <row r="147" s="113" customFormat="1" spans="9:9">
      <c r="I147" s="190"/>
    </row>
    <row r="148" s="113" customFormat="1" spans="9:9">
      <c r="I148" s="190"/>
    </row>
    <row r="149" s="114" customFormat="1" spans="9:9">
      <c r="I149" s="191"/>
    </row>
    <row r="150" s="114" customFormat="1" spans="9:9">
      <c r="I150" s="191"/>
    </row>
    <row r="151" s="114" customFormat="1" spans="9:9">
      <c r="I151" s="191"/>
    </row>
    <row r="152" s="114" customFormat="1" spans="9:9">
      <c r="I152" s="191"/>
    </row>
    <row r="153" s="114" customFormat="1" spans="9:9">
      <c r="I153" s="191"/>
    </row>
    <row r="154" s="114" customFormat="1" spans="9:9">
      <c r="I154" s="191"/>
    </row>
    <row r="155" s="114" customFormat="1" spans="9:9">
      <c r="I155" s="191"/>
    </row>
    <row r="156" s="114" customFormat="1" spans="9:9">
      <c r="I156" s="191"/>
    </row>
    <row r="157" s="114" customFormat="1" spans="9:9">
      <c r="I157" s="191"/>
    </row>
    <row r="158" s="114" customFormat="1" spans="9:9">
      <c r="I158" s="191"/>
    </row>
    <row r="159" s="114" customFormat="1" spans="9:9">
      <c r="I159" s="191"/>
    </row>
    <row r="160" s="114" customFormat="1" spans="9:9">
      <c r="I160" s="191"/>
    </row>
    <row r="161" s="114" customFormat="1" spans="9:9">
      <c r="I161" s="191"/>
    </row>
    <row r="162" s="114" customFormat="1" spans="9:9">
      <c r="I162" s="191"/>
    </row>
    <row r="163" s="114" customFormat="1" spans="9:9">
      <c r="I163" s="191"/>
    </row>
    <row r="164" s="114" customFormat="1" spans="9:9">
      <c r="I164" s="191"/>
    </row>
    <row r="165" s="115" customFormat="1" spans="9:9">
      <c r="I165" s="192"/>
    </row>
    <row r="166" s="115" customFormat="1" spans="9:9">
      <c r="I166" s="192"/>
    </row>
    <row r="167" s="115" customFormat="1" spans="9:9">
      <c r="I167" s="192"/>
    </row>
    <row r="168" s="115" customFormat="1" spans="9:9">
      <c r="I168" s="192"/>
    </row>
  </sheetData>
  <conditionalFormatting sqref="J7">
    <cfRule type="expression" dxfId="17" priority="22">
      <formula>$D7=3</formula>
    </cfRule>
  </conditionalFormatting>
  <conditionalFormatting sqref="L7 N7 P7 R7 T7 V7 X7 Z7 AB7 AD7 AR7 AT7 AV7 AX7 AZ7 BB7">
    <cfRule type="expression" dxfId="17" priority="4">
      <formula>$D7=3</formula>
    </cfRule>
  </conditionalFormatting>
  <pageMargins left="0.551181102362205" right="0.551181102362205" top="0.590551181102362" bottom="0.78740157480315" header="0.511811023622047" footer="0.511811023622047"/>
  <pageSetup paperSize="9" scale="15" orientation="landscape" horizontalDpi="1200" verticalDpi="1200"/>
  <headerFooter alignWithMargins="0">
    <oddHeader>&amp;RSafe Cities Index : 2017</oddHeader>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C000"/>
    <pageSetUpPr fitToPage="1"/>
  </sheetPr>
  <dimension ref="A1:DK86"/>
  <sheetViews>
    <sheetView showGridLines="0" showRowColHeaders="0" zoomScale="90" zoomScaleNormal="90" topLeftCell="K43" workbookViewId="0">
      <selection activeCell="L49" sqref="L49"/>
    </sheetView>
  </sheetViews>
  <sheetFormatPr defaultColWidth="9" defaultRowHeight="15"/>
  <cols>
    <col min="1" max="1" width="9.85714285714286" style="70" customWidth="1"/>
    <col min="2" max="3" width="4.71428571428571" style="71" customWidth="1"/>
    <col min="4" max="5" width="4.71428571428571" style="72" customWidth="1"/>
    <col min="6" max="8" width="4.71428571428571" style="73" customWidth="1"/>
    <col min="9" max="13" width="4.71428571428571" style="72" customWidth="1"/>
    <col min="14" max="14" width="78.4285714285714" style="74" customWidth="1"/>
    <col min="15" max="15" width="12.7142857142857" style="75" customWidth="1"/>
    <col min="16" max="61" width="14.7142857142857" style="76" customWidth="1"/>
    <col min="62" max="112" width="11.8571428571429" customWidth="1"/>
    <col min="116" max="16384" width="9.14285714285714" style="70"/>
  </cols>
  <sheetData>
    <row r="1" s="64" customFormat="1" ht="28.5" customHeight="1" spans="1:65">
      <c r="A1" s="77"/>
      <c r="B1" s="78"/>
      <c r="D1" s="79"/>
      <c r="E1" s="79"/>
      <c r="N1" s="79" t="str">
        <f>uxb_works!$B$90</f>
        <v>Safe Cities Index: 2017</v>
      </c>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L1" s="77"/>
      <c r="BM1" s="77"/>
    </row>
    <row r="2" s="64" customFormat="1" ht="28.5" customHeight="1" spans="1:61">
      <c r="A2" s="80"/>
      <c r="B2" s="81"/>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row>
    <row r="3" s="65" customFormat="1" ht="71.1" customHeight="1" spans="1:61">
      <c r="A3" s="83"/>
      <c r="B3" s="84"/>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row>
    <row r="4" ht="30" customHeight="1" spans="16:61">
      <c r="P4" s="76">
        <f>Data_2014_N!J4</f>
        <v>1</v>
      </c>
      <c r="Q4" s="76">
        <f>Data_2014_N!K4</f>
        <v>2</v>
      </c>
      <c r="R4" s="76">
        <f>Data_2014_N!L4</f>
        <v>3</v>
      </c>
      <c r="S4" s="76">
        <f>Data_2014_N!M4</f>
        <v>4</v>
      </c>
      <c r="T4" s="76">
        <f>Data_2014_N!N4</f>
        <v>5</v>
      </c>
      <c r="U4" s="76">
        <f>Data_2014_N!O4</f>
        <v>6</v>
      </c>
      <c r="V4" s="76">
        <f>Data_2014_N!P4</f>
        <v>7</v>
      </c>
      <c r="W4" s="76">
        <f>Data_2014_N!Q4</f>
        <v>8</v>
      </c>
      <c r="X4" s="76">
        <f>Data_2014_N!R4</f>
        <v>9</v>
      </c>
      <c r="Y4" s="76">
        <f>Data_2014_N!S4</f>
        <v>10</v>
      </c>
      <c r="Z4" s="76">
        <f>Data_2014_N!T4</f>
        <v>11</v>
      </c>
      <c r="AA4" s="76">
        <f>Data_2014_N!U4</f>
        <v>12</v>
      </c>
      <c r="AB4" s="76">
        <f>Data_2014_N!V4</f>
        <v>13</v>
      </c>
      <c r="AC4" s="76">
        <f>Data_2014_N!W4</f>
        <v>14</v>
      </c>
      <c r="AD4" s="76">
        <f>Data_2014_N!X4</f>
        <v>15</v>
      </c>
      <c r="AE4" s="76">
        <f>Data_2014_N!Y4</f>
        <v>16</v>
      </c>
      <c r="AF4" s="76">
        <f>Data_2014_N!Z4</f>
        <v>17</v>
      </c>
      <c r="AG4" s="76">
        <f>Data_2014_N!AA4</f>
        <v>18</v>
      </c>
      <c r="AH4" s="76">
        <f>Data_2014_N!AB4</f>
        <v>19</v>
      </c>
      <c r="AI4" s="76">
        <f>Data_2014_N!AC4</f>
        <v>20</v>
      </c>
      <c r="AJ4" s="76">
        <f>Data_2014_N!AD4</f>
        <v>21</v>
      </c>
      <c r="AK4" s="76">
        <f>Data_2014_N!AE4</f>
        <v>22</v>
      </c>
      <c r="AL4" s="76">
        <f>Data_2014_N!AF4</f>
        <v>23</v>
      </c>
      <c r="AM4" s="76">
        <f>Data_2014_N!AG4</f>
        <v>24</v>
      </c>
      <c r="AN4" s="76">
        <f>Data_2014_N!AH4</f>
        <v>25</v>
      </c>
      <c r="AO4" s="76">
        <f>Data_2014_N!AI4</f>
        <v>26</v>
      </c>
      <c r="AP4" s="76">
        <f>Data_2014_N!AJ4</f>
        <v>27</v>
      </c>
      <c r="AQ4" s="76">
        <f>Data_2014_N!AK4</f>
        <v>28</v>
      </c>
      <c r="AR4" s="76">
        <f>Data_2014_N!AL4</f>
        <v>29</v>
      </c>
      <c r="AS4" s="76">
        <f>Data_2014_N!AM4</f>
        <v>30</v>
      </c>
      <c r="AT4" s="76">
        <f>Data_2014_N!AN4</f>
        <v>31</v>
      </c>
      <c r="AU4" s="76">
        <f>Data_2014_N!AO4</f>
        <v>32</v>
      </c>
      <c r="AV4" s="76">
        <f>Data_2014_N!AP4</f>
        <v>33</v>
      </c>
      <c r="AW4" s="76">
        <f>Data_2014_N!AQ4</f>
        <v>34</v>
      </c>
      <c r="AX4" s="76">
        <f>Data_2014_N!AR4</f>
        <v>35</v>
      </c>
      <c r="AY4" s="76">
        <f>Data_2014_N!AS4</f>
        <v>36</v>
      </c>
      <c r="AZ4" s="76">
        <f>Data_2014_N!AT4</f>
        <v>37</v>
      </c>
      <c r="BA4" s="76">
        <f>Data_2014_N!AU4</f>
        <v>38</v>
      </c>
      <c r="BB4" s="76">
        <f>Data_2014_N!AV4</f>
        <v>39</v>
      </c>
      <c r="BC4" s="76">
        <f>Data_2014_N!AW4</f>
        <v>40</v>
      </c>
      <c r="BD4" s="76">
        <f>Data_2014_N!AX4</f>
        <v>41</v>
      </c>
      <c r="BE4" s="76">
        <f>Data_2014_N!AY4</f>
        <v>42</v>
      </c>
      <c r="BF4" s="76">
        <f>Data_2014_N!AZ4</f>
        <v>43</v>
      </c>
      <c r="BG4" s="76">
        <f>Data_2014_N!BA4</f>
        <v>44</v>
      </c>
      <c r="BH4" s="76">
        <f>Data_2014_N!BB4</f>
        <v>45</v>
      </c>
      <c r="BI4" s="76">
        <f>Data_2014_N!BC4</f>
        <v>46</v>
      </c>
    </row>
    <row r="5" s="66" customFormat="1" ht="50.1" customHeight="1" spans="1:115">
      <c r="A5" s="157"/>
      <c r="B5" s="158" t="str">
        <f>tblIndicators!A1</f>
        <v>ID</v>
      </c>
      <c r="C5" s="158" t="str">
        <f>tblIndicators!B1</f>
        <v>IS_BG</v>
      </c>
      <c r="D5" s="157" t="str">
        <f>tblIndicators!D1</f>
        <v>INDI_CODE</v>
      </c>
      <c r="E5" s="157" t="str">
        <f>tblIndicators!E1</f>
        <v>PARENT_CODE</v>
      </c>
      <c r="F5" s="158" t="str">
        <f>tblIndicators!F1</f>
        <v>DEPTH</v>
      </c>
      <c r="G5" s="158" t="str">
        <f>tblIndicators!Y1</f>
        <v>HIGH_IS</v>
      </c>
      <c r="H5" s="158" t="str">
        <f>tblIndicators!Z1</f>
        <v>NORM_ID (1=sumproduct, 2=min max set by data values, 2=min max set by user here)</v>
      </c>
      <c r="I5" s="157" t="str">
        <f>tblIndicators!AA1</f>
        <v>If NORM = 3 Set Min</v>
      </c>
      <c r="J5" s="157" t="str">
        <f>tblIndicators!AB1</f>
        <v>If NORM = 3 Set Max</v>
      </c>
      <c r="K5" s="157" t="s">
        <v>881</v>
      </c>
      <c r="L5" s="157" t="s">
        <v>882</v>
      </c>
      <c r="M5" s="157" t="s">
        <v>883</v>
      </c>
      <c r="N5" s="159" t="s">
        <v>884</v>
      </c>
      <c r="O5" s="160" t="s">
        <v>21</v>
      </c>
      <c r="P5" s="157" t="str">
        <f>Data_2014_N!J5</f>
        <v>Abu Dhabi</v>
      </c>
      <c r="Q5" s="157" t="str">
        <f>Data_2014_N!K5</f>
        <v>Amsterdam</v>
      </c>
      <c r="R5" s="157" t="str">
        <f>Data_2014_N!L5</f>
        <v>Bangkok</v>
      </c>
      <c r="S5" s="157" t="str">
        <f>Data_2014_N!M5</f>
        <v>Barcelona</v>
      </c>
      <c r="T5" s="157" t="str">
        <f>Data_2014_N!N5</f>
        <v>Beijing</v>
      </c>
      <c r="U5" s="157" t="str">
        <f>Data_2014_N!O5</f>
        <v>Brussels</v>
      </c>
      <c r="V5" s="157" t="str">
        <f>Data_2014_N!P5</f>
        <v>Buenos Aires</v>
      </c>
      <c r="W5" s="157" t="str">
        <f>Data_2014_N!Q5</f>
        <v>Chicago</v>
      </c>
      <c r="X5" s="157" t="str">
        <f>Data_2014_N!R5</f>
        <v>Delhi</v>
      </c>
      <c r="Y5" s="157" t="str">
        <f>Data_2014_N!S5</f>
        <v>Doha</v>
      </c>
      <c r="Z5" s="157" t="str">
        <f>Data_2014_N!T5</f>
        <v>Frankfurt</v>
      </c>
      <c r="AA5" s="157" t="str">
        <f>Data_2014_N!U5</f>
        <v>Ho Chi Minh City</v>
      </c>
      <c r="AB5" s="157" t="str">
        <f>Data_2014_N!V5</f>
        <v>Hong Kong</v>
      </c>
      <c r="AC5" s="157" t="str">
        <f>Data_2014_N!W5</f>
        <v>Istanbul</v>
      </c>
      <c r="AD5" s="157" t="str">
        <f>Data_2014_N!X5</f>
        <v>Jakarta</v>
      </c>
      <c r="AE5" s="157" t="str">
        <f>Data_2014_N!Y5</f>
        <v>Johannesburg</v>
      </c>
      <c r="AF5" s="157" t="str">
        <f>Data_2014_N!Z5</f>
        <v>Kuwait City</v>
      </c>
      <c r="AG5" s="157" t="str">
        <f>Data_2014_N!AA5</f>
        <v>Lima</v>
      </c>
      <c r="AH5" s="157" t="str">
        <f>Data_2014_N!AB5</f>
        <v>London</v>
      </c>
      <c r="AI5" s="157" t="str">
        <f>Data_2014_N!AC5</f>
        <v>Los Angeles</v>
      </c>
      <c r="AJ5" s="157" t="str">
        <f>Data_2014_N!AD5</f>
        <v>Madrid</v>
      </c>
      <c r="AK5" s="157" t="str">
        <f>Data_2014_N!AE5</f>
        <v>Melbourne</v>
      </c>
      <c r="AL5" s="157" t="str">
        <f>Data_2014_N!AF5</f>
        <v>Mexico City</v>
      </c>
      <c r="AM5" s="157" t="str">
        <f>Data_2014_N!AG5</f>
        <v>Milan</v>
      </c>
      <c r="AN5" s="157" t="str">
        <f>Data_2014_N!AH5</f>
        <v>Moscow</v>
      </c>
      <c r="AO5" s="157" t="str">
        <f>Data_2014_N!AI5</f>
        <v>Mumbai</v>
      </c>
      <c r="AP5" s="157" t="str">
        <f>Data_2014_N!AJ5</f>
        <v>New York</v>
      </c>
      <c r="AQ5" s="157" t="str">
        <f>Data_2014_N!AK5</f>
        <v>Osaka</v>
      </c>
      <c r="AR5" s="157" t="str">
        <f>Data_2014_N!AL5</f>
        <v>Paris</v>
      </c>
      <c r="AS5" s="157" t="str">
        <f>Data_2014_N!AM5</f>
        <v>Rio de Janeiro</v>
      </c>
      <c r="AT5" s="157" t="str">
        <f>Data_2014_N!AN5</f>
        <v>Riyadh</v>
      </c>
      <c r="AU5" s="157" t="str">
        <f>Data_2014_N!AO5</f>
        <v>Rome</v>
      </c>
      <c r="AV5" s="157" t="str">
        <f>Data_2014_N!AP5</f>
        <v>San Francisco</v>
      </c>
      <c r="AW5" s="157" t="str">
        <f>Data_2014_N!AQ5</f>
        <v>Santiago</v>
      </c>
      <c r="AX5" s="157" t="str">
        <f>Data_2014_N!AR5</f>
        <v>Sao Paulo</v>
      </c>
      <c r="AY5" s="157" t="str">
        <f>Data_2014_N!AS5</f>
        <v>Seoul</v>
      </c>
      <c r="AZ5" s="157" t="str">
        <f>Data_2014_N!AT5</f>
        <v>Shanghai</v>
      </c>
      <c r="BA5" s="157" t="str">
        <f>Data_2014_N!AU5</f>
        <v>Singapore</v>
      </c>
      <c r="BB5" s="157" t="str">
        <f>Data_2014_N!AV5</f>
        <v>Stockholm</v>
      </c>
      <c r="BC5" s="157" t="str">
        <f>Data_2014_N!AW5</f>
        <v>Sydney</v>
      </c>
      <c r="BD5" s="157" t="str">
        <f>Data_2014_N!AX5</f>
        <v>Taipei</v>
      </c>
      <c r="BE5" s="157" t="str">
        <f>Data_2014_N!AY5</f>
        <v>Tehran</v>
      </c>
      <c r="BF5" s="157" t="str">
        <f>Data_2014_N!AZ5</f>
        <v>Tokyo</v>
      </c>
      <c r="BG5" s="157" t="str">
        <f>Data_2014_N!BA5</f>
        <v>Toronto</v>
      </c>
      <c r="BH5" s="157" t="str">
        <f>Data_2014_N!BB5</f>
        <v>Washington DC</v>
      </c>
      <c r="BI5" s="157" t="str">
        <f>Data_2014_N!BC5</f>
        <v>Zurich</v>
      </c>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row>
    <row r="6" s="67" customFormat="1" ht="30" customHeight="1" spans="1:61">
      <c r="A6" s="88"/>
      <c r="B6" s="89">
        <f>tblIndicators!A2</f>
        <v>1</v>
      </c>
      <c r="C6" s="89">
        <f>tblIndicators!B2</f>
        <v>0</v>
      </c>
      <c r="D6" s="89" t="str">
        <f>tblIndicators!D2</f>
        <v>OVERALL</v>
      </c>
      <c r="E6" s="89" t="str">
        <f>tblIndicators!E2</f>
        <v>OVERALL SCORE</v>
      </c>
      <c r="F6" s="89">
        <f>tblIndicators!F2</f>
        <v>0</v>
      </c>
      <c r="G6" s="89">
        <f>tblIndicators!Y2</f>
        <v>0</v>
      </c>
      <c r="H6" s="89">
        <f>tblIndicators!Z2</f>
        <v>1</v>
      </c>
      <c r="I6" s="96">
        <f>tblIndicators!AA2</f>
        <v>0</v>
      </c>
      <c r="J6" s="89">
        <f>tblIndicators!AB2</f>
        <v>0</v>
      </c>
      <c r="K6" s="89" t="str">
        <f>CHOOSE(H6,"-",MIN(Data_2014_N!J6:BC6),I6)</f>
        <v>-</v>
      </c>
      <c r="L6" s="97" t="str">
        <f>CHOOSE(H6,"-",MAX(Data_2014_N!J6:BC6),J6)</f>
        <v>-</v>
      </c>
      <c r="M6" s="89" t="str">
        <f>CHOOSE(H6,"-",L6-K6,L6-K6)</f>
        <v>-</v>
      </c>
      <c r="N6" s="98" t="str">
        <f>tblIndicators!AE2</f>
        <v>OVERALL SCORE</v>
      </c>
      <c r="O6" s="99" t="str">
        <f>tblIndicators!AD2</f>
        <v/>
      </c>
      <c r="P6" s="161">
        <f>IF($H6=0,0,CHOOSE($H6,SUMPRODUCT($O7:$O$67*P7:P$67*($E7:$E$67=$D6)),IF(ISNUMBER(Data_2014_N!J6),100*ABS($G6-(Data_2014_N!J6-$K6)/$M6),0),IF(ISNUMBER(Data_2014_N!J6),100*ABS($G6-(Data_2014_N!J6-$K6)/$M6),0)))</f>
        <v>72.7346357937991</v>
      </c>
      <c r="Q6" s="161">
        <f>IF($H6=0,0,CHOOSE($H6,SUMPRODUCT($O7:$O$67*Q7:Q$67*($E7:$E$67=$D6)),IF(ISNUMBER(Data_2014_N!K6),100*ABS($G6-(Data_2014_N!K6-$K6)/$M6),0),IF(ISNUMBER(Data_2014_N!K6),100*ABS($G6-(Data_2014_N!K6-$K6)/$M6),0)))</f>
        <v>84.0420225257655</v>
      </c>
      <c r="R6" s="161">
        <f>IF($H6=0,0,CHOOSE($H6,SUMPRODUCT($O7:$O$67*R7:R$67*($E7:$E$67=$D6)),IF(ISNUMBER(Data_2014_N!L6),100*ABS($G6-(Data_2014_N!L6-$K6)/$M6),0),IF(ISNUMBER(Data_2014_N!L6),100*ABS($G6-(Data_2014_N!L6-$K6)/$M6),0)))</f>
        <v>57.4786424718149</v>
      </c>
      <c r="S6" s="161">
        <f>IF($H6=0,0,CHOOSE($H6,SUMPRODUCT($O7:$O$67*S7:S$67*($E7:$E$67=$D6)),IF(ISNUMBER(Data_2014_N!M6),100*ABS($G6-(Data_2014_N!M6-$K6)/$M6),0),IF(ISNUMBER(Data_2014_N!M6),100*ABS($G6-(Data_2014_N!M6-$K6)/$M6),0)))</f>
        <v>77.3949512414496</v>
      </c>
      <c r="T6" s="161">
        <f>IF($H6=0,0,CHOOSE($H6,SUMPRODUCT($O7:$O$67*T7:T$67*($E7:$E$67=$D6)),IF(ISNUMBER(Data_2014_N!N6),100*ABS($G6-(Data_2014_N!N6-$K6)/$M6),0),IF(ISNUMBER(Data_2014_N!N6),100*ABS($G6-(Data_2014_N!N6-$K6)/$M6),0)))</f>
        <v>64.4020920011984</v>
      </c>
      <c r="U6" s="161">
        <f>IF($H6=0,0,CHOOSE($H6,SUMPRODUCT($O7:$O$67*U7:U$67*($E7:$E$67=$D6)),IF(ISNUMBER(Data_2014_N!O6),100*ABS($G6-(Data_2014_N!O6-$K6)/$M6),0),IF(ISNUMBER(Data_2014_N!O6),100*ABS($G6-(Data_2014_N!O6-$K6)/$M6),0)))</f>
        <v>76.181788671683</v>
      </c>
      <c r="V6" s="161">
        <f>IF($H6=0,0,CHOOSE($H6,SUMPRODUCT($O7:$O$67*V7:V$67*($E7:$E$67=$D6)),IF(ISNUMBER(Data_2014_N!P6),100*ABS($G6-(Data_2014_N!P6-$K6)/$M6),0),IF(ISNUMBER(Data_2014_N!P6),100*ABS($G6-(Data_2014_N!P6-$K6)/$M6),0)))</f>
        <v>70.0172226004514</v>
      </c>
      <c r="W6" s="161">
        <f>IF($H6=0,0,CHOOSE($H6,SUMPRODUCT($O7:$O$67*W7:W$67*($E7:$E$67=$D6)),IF(ISNUMBER(Data_2014_N!Q6),100*ABS($G6-(Data_2014_N!Q6-$K6)/$M6),0),IF(ISNUMBER(Data_2014_N!Q6),100*ABS($G6-(Data_2014_N!Q6-$K6)/$M6),0)))</f>
        <v>77.7266441237941</v>
      </c>
      <c r="X6" s="161">
        <f>IF($H6=0,0,CHOOSE($H6,SUMPRODUCT($O7:$O$67*X7:X$67*($E7:$E$67=$D6)),IF(ISNUMBER(Data_2014_N!R6),100*ABS($G6-(Data_2014_N!R6-$K6)/$M6),0),IF(ISNUMBER(Data_2014_N!R6),100*ABS($G6-(Data_2014_N!R6-$K6)/$M6),0)))</f>
        <v>61.4296317022113</v>
      </c>
      <c r="Y6" s="161">
        <f>IF($H6=0,0,CHOOSE($H6,SUMPRODUCT($O7:$O$67*Y7:Y$67*($E7:$E$67=$D6)),IF(ISNUMBER(Data_2014_N!S6),100*ABS($G6-(Data_2014_N!S6-$K6)/$M6),0),IF(ISNUMBER(Data_2014_N!S6),100*ABS($G6-(Data_2014_N!S6-$K6)/$M6),0)))</f>
        <v>68.8072403094343</v>
      </c>
      <c r="Z6" s="161">
        <f>IF($H6=0,0,CHOOSE($H6,SUMPRODUCT($O7:$O$67*Z7:Z$67*($E7:$E$67=$D6)),IF(ISNUMBER(Data_2014_N!T6),100*ABS($G6-(Data_2014_N!T6-$K6)/$M6),0),IF(ISNUMBER(Data_2014_N!T6),100*ABS($G6-(Data_2014_N!T6-$K6)/$M6),0)))</f>
        <v>77.0123935741492</v>
      </c>
      <c r="AA6" s="161">
        <f>IF($H6=0,0,CHOOSE($H6,SUMPRODUCT($O7:$O$67*AA7:AA$67*($E7:$E$67=$D6)),IF(ISNUMBER(Data_2014_N!U6),100*ABS($G6-(Data_2014_N!U6-$K6)/$M6),0),IF(ISNUMBER(Data_2014_N!U6),100*ABS($G6-(Data_2014_N!U6-$K6)/$M6),0)))</f>
        <v>53.0675047563612</v>
      </c>
      <c r="AB6" s="161">
        <f>IF($H6=0,0,CHOOSE($H6,SUMPRODUCT($O7:$O$67*AB7:AB$67*($E7:$E$67=$D6)),IF(ISNUMBER(Data_2014_N!V6),100*ABS($G6-(Data_2014_N!V6-$K6)/$M6),0),IF(ISNUMBER(Data_2014_N!V6),100*ABS($G6-(Data_2014_N!V6-$K6)/$M6),0)))</f>
        <v>78.5313516134246</v>
      </c>
      <c r="AC6" s="161">
        <f>IF($H6=0,0,CHOOSE($H6,SUMPRODUCT($O7:$O$67*AC7:AC$67*($E7:$E$67=$D6)),IF(ISNUMBER(Data_2014_N!W6),100*ABS($G6-(Data_2014_N!W6-$K6)/$M6),0),IF(ISNUMBER(Data_2014_N!W6),100*ABS($G6-(Data_2014_N!W6-$K6)/$M6),0)))</f>
        <v>59.8099667750343</v>
      </c>
      <c r="AD6" s="161">
        <f>IF($H6=0,0,CHOOSE($H6,SUMPRODUCT($O7:$O$67*AD7:AD$67*($E7:$E$67=$D6)),IF(ISNUMBER(Data_2014_N!X6),100*ABS($G6-(Data_2014_N!X6-$K6)/$M6),0),IF(ISNUMBER(Data_2014_N!X6),100*ABS($G6-(Data_2014_N!X6-$K6)/$M6),0)))</f>
        <v>54.4996509121554</v>
      </c>
      <c r="AE6" s="161">
        <f>IF($H6=0,0,CHOOSE($H6,SUMPRODUCT($O7:$O$67*AE7:AE$67*($E7:$E$67=$D6)),IF(ISNUMBER(Data_2014_N!Y6),100*ABS($G6-(Data_2014_N!Y6-$K6)/$M6),0),IF(ISNUMBER(Data_2014_N!Y6),100*ABS($G6-(Data_2014_N!Y6-$K6)/$M6),0)))</f>
        <v>59.3232133084778</v>
      </c>
      <c r="AF6" s="161">
        <f>IF($H6=0,0,CHOOSE($H6,SUMPRODUCT($O7:$O$67*AF7:AF$67*($E7:$E$67=$D6)),IF(ISNUMBER(Data_2014_N!Z6),100*ABS($G6-(Data_2014_N!Z6-$K6)/$M6),0),IF(ISNUMBER(Data_2014_N!Z6),100*ABS($G6-(Data_2014_N!Z6-$K6)/$M6),0)))</f>
        <v>62.5156030593711</v>
      </c>
      <c r="AG6" s="161">
        <f>IF($H6=0,0,CHOOSE($H6,SUMPRODUCT($O7:$O$67*AG7:AG$67*($E7:$E$67=$D6)),IF(ISNUMBER(Data_2014_N!AA6),100*ABS($G6-(Data_2014_N!AA6-$K6)/$M6),0),IF(ISNUMBER(Data_2014_N!AA6),100*ABS($G6-(Data_2014_N!AA6-$K6)/$M6),0)))</f>
        <v>65.1930407511874</v>
      </c>
      <c r="AH6" s="161">
        <f>IF($H6=0,0,CHOOSE($H6,SUMPRODUCT($O7:$O$67*AH7:AH$67*($E7:$E$67=$D6)),IF(ISNUMBER(Data_2014_N!AB6),100*ABS($G6-(Data_2014_N!AB6-$K6)/$M6),0),IF(ISNUMBER(Data_2014_N!AB6),100*ABS($G6-(Data_2014_N!AB6-$K6)/$M6),0)))</f>
        <v>73.4557947586895</v>
      </c>
      <c r="AI6" s="161">
        <f>IF($H6=0,0,CHOOSE($H6,SUMPRODUCT($O7:$O$67*AI7:AI$67*($E7:$E$67=$D6)),IF(ISNUMBER(Data_2014_N!AC6),100*ABS($G6-(Data_2014_N!AC6-$K6)/$M6),0),IF(ISNUMBER(Data_2014_N!AC6),100*ABS($G6-(Data_2014_N!AC6-$K6)/$M6),0)))</f>
        <v>76.867733559834</v>
      </c>
      <c r="AJ6" s="161">
        <f>IF($H6=0,0,CHOOSE($H6,SUMPRODUCT($O7:$O$67*AJ7:AJ$67*($E7:$E$67=$D6)),IF(ISNUMBER(Data_2014_N!AD6),100*ABS($G6-(Data_2014_N!AD6-$K6)/$M6),0),IF(ISNUMBER(Data_2014_N!AD6),100*ABS($G6-(Data_2014_N!AD6-$K6)/$M6),0)))</f>
        <v>72.5745002271391</v>
      </c>
      <c r="AK6" s="161">
        <f>IF($H6=0,0,CHOOSE($H6,SUMPRODUCT($O7:$O$67*AK7:AK$67*($E7:$E$67=$D6)),IF(ISNUMBER(Data_2014_N!AE6),100*ABS($G6-(Data_2014_N!AE6-$K6)/$M6),0),IF(ISNUMBER(Data_2014_N!AE6),100*ABS($G6-(Data_2014_N!AE6-$K6)/$M6),0)))</f>
        <v>81.274379701758</v>
      </c>
      <c r="AL6" s="161">
        <f>IF($H6=0,0,CHOOSE($H6,SUMPRODUCT($O7:$O$67*AL7:AL$67*($E7:$E$67=$D6)),IF(ISNUMBER(Data_2014_N!AF6),100*ABS($G6-(Data_2014_N!AF6-$K6)/$M6),0),IF(ISNUMBER(Data_2014_N!AF6),100*ABS($G6-(Data_2014_N!AF6-$K6)/$M6),0)))</f>
        <v>62.2392590443904</v>
      </c>
      <c r="AM6" s="161">
        <f>IF($H6=0,0,CHOOSE($H6,SUMPRODUCT($O7:$O$67*AM7:AM$67*($E7:$E$67=$D6)),IF(ISNUMBER(Data_2014_N!AG6),100*ABS($G6-(Data_2014_N!AG6-$K6)/$M6),0),IF(ISNUMBER(Data_2014_N!AG6),100*ABS($G6-(Data_2014_N!AG6-$K6)/$M6),0)))</f>
        <v>72.5845226707422</v>
      </c>
      <c r="AN6" s="161">
        <f>IF($H6=0,0,CHOOSE($H6,SUMPRODUCT($O7:$O$67*AN7:AN$67*($E7:$E$67=$D6)),IF(ISNUMBER(Data_2014_N!AH6),100*ABS($G6-(Data_2014_N!AH6-$K6)/$M6),0),IF(ISNUMBER(Data_2014_N!AH6),100*ABS($G6-(Data_2014_N!AH6-$K6)/$M6),0)))</f>
        <v>59.5916399018076</v>
      </c>
      <c r="AO6" s="161">
        <f>IF($H6=0,0,CHOOSE($H6,SUMPRODUCT($O7:$O$67*AO7:AO$67*($E7:$E$67=$D6)),IF(ISNUMBER(Data_2014_N!AI6),100*ABS($G6-(Data_2014_N!AI6-$K6)/$M6),0),IF(ISNUMBER(Data_2014_N!AI6),100*ABS($G6-(Data_2014_N!AI6-$K6)/$M6),0)))</f>
        <v>59.9739605985043</v>
      </c>
      <c r="AP6" s="161">
        <f>IF($H6=0,0,CHOOSE($H6,SUMPRODUCT($O7:$O$67*AP7:AP$67*($E7:$E$67=$D6)),IF(ISNUMBER(Data_2014_N!AJ6),100*ABS($G6-(Data_2014_N!AJ6-$K6)/$M6),0),IF(ISNUMBER(Data_2014_N!AJ6),100*ABS($G6-(Data_2014_N!AJ6-$K6)/$M6),0)))</f>
        <v>80.2794923505372</v>
      </c>
      <c r="AQ6" s="161">
        <f>IF($H6=0,0,CHOOSE($H6,SUMPRODUCT($O7:$O$67*AQ7:AQ$67*($E7:$E$67=$D6)),IF(ISNUMBER(Data_2014_N!AK6),100*ABS($G6-(Data_2014_N!AK6-$K6)/$M6),0),IF(ISNUMBER(Data_2014_N!AK6),100*ABS($G6-(Data_2014_N!AK6-$K6)/$M6),0)))</f>
        <v>83.2155235504185</v>
      </c>
      <c r="AR6" s="161">
        <f>IF($H6=0,0,CHOOSE($H6,SUMPRODUCT($O7:$O$67*AR7:AR$67*($E7:$E$67=$D6)),IF(ISNUMBER(Data_2014_N!AL6),100*ABS($G6-(Data_2014_N!AL6-$K6)/$M6),0),IF(ISNUMBER(Data_2014_N!AL6),100*ABS($G6-(Data_2014_N!AL6-$K6)/$M6),0)))</f>
        <v>73.2133998473612</v>
      </c>
      <c r="AS6" s="161">
        <f>IF($H6=0,0,CHOOSE($H6,SUMPRODUCT($O7:$O$67*AS7:AS$67*($E7:$E$67=$D6)),IF(ISNUMBER(Data_2014_N!AM6),100*ABS($G6-(Data_2014_N!AM6-$K6)/$M6),0),IF(ISNUMBER(Data_2014_N!AM6),100*ABS($G6-(Data_2014_N!AM6-$K6)/$M6),0)))</f>
        <v>64.0422656941413</v>
      </c>
      <c r="AT6" s="161">
        <f>IF($H6=0,0,CHOOSE($H6,SUMPRODUCT($O7:$O$67*AT7:AT$67*($E7:$E$67=$D6)),IF(ISNUMBER(Data_2014_N!AN6),100*ABS($G6-(Data_2014_N!AN6-$K6)/$M6),0),IF(ISNUMBER(Data_2014_N!AN6),100*ABS($G6-(Data_2014_N!AN6-$K6)/$M6),0)))</f>
        <v>55.8432828807946</v>
      </c>
      <c r="AU6" s="161">
        <f>IF($H6=0,0,CHOOSE($H6,SUMPRODUCT($O7:$O$67*AU7:AU$67*($E7:$E$67=$D6)),IF(ISNUMBER(Data_2014_N!AO6),100*ABS($G6-(Data_2014_N!AO6-$K6)/$M6),0),IF(ISNUMBER(Data_2014_N!AO6),100*ABS($G6-(Data_2014_N!AO6-$K6)/$M6),0)))</f>
        <v>69.9803752745955</v>
      </c>
      <c r="AV6" s="161">
        <f>IF($H6=0,0,CHOOSE($H6,SUMPRODUCT($O7:$O$67*AV7:AV$67*($E7:$E$67=$D6)),IF(ISNUMBER(Data_2014_N!AP6),100*ABS($G6-(Data_2014_N!AP6-$K6)/$M6),0),IF(ISNUMBER(Data_2014_N!AP6),100*ABS($G6-(Data_2014_N!AP6-$K6)/$M6),0)))</f>
        <v>79.3199440296499</v>
      </c>
      <c r="AW6" s="161">
        <f>IF($H6=0,0,CHOOSE($H6,SUMPRODUCT($O7:$O$67*AW7:AW$67*($E7:$E$67=$D6)),IF(ISNUMBER(Data_2014_N!AQ6),100*ABS($G6-(Data_2014_N!AQ6-$K6)/$M6),0),IF(ISNUMBER(Data_2014_N!AQ6),100*ABS($G6-(Data_2014_N!AQ6-$K6)/$M6),0)))</f>
        <v>67.5362994284625</v>
      </c>
      <c r="AX6" s="161">
        <f>IF($H6=0,0,CHOOSE($H6,SUMPRODUCT($O7:$O$67*AX7:AX$67*($E7:$E$67=$D6)),IF(ISNUMBER(Data_2014_N!AR6),100*ABS($G6-(Data_2014_N!AR6-$K6)/$M6),0),IF(ISNUMBER(Data_2014_N!AR6),100*ABS($G6-(Data_2014_N!AR6-$K6)/$M6),0)))</f>
        <v>62.5526353038823</v>
      </c>
      <c r="AY6" s="161">
        <f>IF($H6=0,0,CHOOSE($H6,SUMPRODUCT($O7:$O$67*AY7:AY$67*($E7:$E$67=$D6)),IF(ISNUMBER(Data_2014_N!AS6),100*ABS($G6-(Data_2014_N!AS6-$K6)/$M6),0),IF(ISNUMBER(Data_2014_N!AS6),100*ABS($G6-(Data_2014_N!AS6-$K6)/$M6),0)))</f>
        <v>73.9081096966517</v>
      </c>
      <c r="AZ6" s="161">
        <f>IF($H6=0,0,CHOOSE($H6,SUMPRODUCT($O7:$O$67*AZ7:AZ$67*($E7:$E$67=$D6)),IF(ISNUMBER(Data_2014_N!AT6),100*ABS($G6-(Data_2014_N!AT6-$K6)/$M6),0),IF(ISNUMBER(Data_2014_N!AT6),100*ABS($G6-(Data_2014_N!AT6-$K6)/$M6),0)))</f>
        <v>66.5311674356875</v>
      </c>
      <c r="BA6" s="161">
        <f>IF($H6=0,0,CHOOSE($H6,SUMPRODUCT($O7:$O$67*BA7:BA$67*($E7:$E$67=$D6)),IF(ISNUMBER(Data_2014_N!AU6),100*ABS($G6-(Data_2014_N!AU6-$K6)/$M6),0),IF(ISNUMBER(Data_2014_N!AU6),100*ABS($G6-(Data_2014_N!AU6-$K6)/$M6),0)))</f>
        <v>85.7355731435268</v>
      </c>
      <c r="BB6" s="161">
        <f>IF($H6=0,0,CHOOSE($H6,SUMPRODUCT($O7:$O$67*BB7:BB$67*($E7:$E$67=$D6)),IF(ISNUMBER(Data_2014_N!AV6),100*ABS($G6-(Data_2014_N!AV6-$K6)/$M6),0),IF(ISNUMBER(Data_2014_N!AV6),100*ABS($G6-(Data_2014_N!AV6-$K6)/$M6),0)))</f>
        <v>81.0599488713614</v>
      </c>
      <c r="BC6" s="161">
        <f>IF($H6=0,0,CHOOSE($H6,SUMPRODUCT($O7:$O$67*BC7:BC$67*($E7:$E$67=$D6)),IF(ISNUMBER(Data_2014_N!AW6),100*ABS($G6-(Data_2014_N!AW6-$K6)/$M6),0),IF(ISNUMBER(Data_2014_N!AW6),100*ABS($G6-(Data_2014_N!AW6-$K6)/$M6),0)))</f>
        <v>81.8767063108147</v>
      </c>
      <c r="BD6" s="161">
        <f>IF($H6=0,0,CHOOSE($H6,SUMPRODUCT($O7:$O$67*BD7:BD$67*($E7:$E$67=$D6)),IF(ISNUMBER(Data_2014_N!AX6),100*ABS($G6-(Data_2014_N!AX6-$K6)/$M6),0),IF(ISNUMBER(Data_2014_N!AX6),100*ABS($G6-(Data_2014_N!AX6-$K6)/$M6),0)))</f>
        <v>77.5948150027567</v>
      </c>
      <c r="BE6" s="161">
        <f>IF($H6=0,0,CHOOSE($H6,SUMPRODUCT($O7:$O$67*BE7:BE$67*($E7:$E$67=$D6)),IF(ISNUMBER(Data_2014_N!AY6),100*ABS($G6-(Data_2014_N!AY6-$K6)/$M6),0),IF(ISNUMBER(Data_2014_N!AY6),100*ABS($G6-(Data_2014_N!AY6-$K6)/$M6),0)))</f>
        <v>53.582725680099</v>
      </c>
      <c r="BF6" s="161">
        <f>IF($H6=0,0,CHOOSE($H6,SUMPRODUCT($O7:$O$67*BF7:BF$67*($E7:$E$67=$D6)),IF(ISNUMBER(Data_2014_N!AZ6),100*ABS($G6-(Data_2014_N!AZ6-$K6)/$M6),0),IF(ISNUMBER(Data_2014_N!AZ6),100*ABS($G6-(Data_2014_N!AZ6-$K6)/$M6),0)))</f>
        <v>86.3010940710782</v>
      </c>
      <c r="BG6" s="161">
        <f>IF($H6=0,0,CHOOSE($H6,SUMPRODUCT($O7:$O$67*BG7:BG$67*($E7:$E$67=$D6)),IF(ISNUMBER(Data_2014_N!BA6),100*ABS($G6-(Data_2014_N!BA6-$K6)/$M6),0),IF(ISNUMBER(Data_2014_N!BA6),100*ABS($G6-(Data_2014_N!BA6-$K6)/$M6),0)))</f>
        <v>81.3700246447018</v>
      </c>
      <c r="BH6" s="161">
        <f>IF($H6=0,0,CHOOSE($H6,SUMPRODUCT($O7:$O$67*BH7:BH$67*($E7:$E$67=$D6)),IF(ISNUMBER(Data_2014_N!BB6),100*ABS($G6-(Data_2014_N!BB6-$K6)/$M6),0),IF(ISNUMBER(Data_2014_N!BB6),100*ABS($G6-(Data_2014_N!BB6-$K6)/$M6),0)))</f>
        <v>76.4443734516777</v>
      </c>
      <c r="BI6" s="161">
        <f>IF($H6=0,0,CHOOSE($H6,SUMPRODUCT($O7:$O$67*BI7:BI$67*($E7:$E$67=$D6)),IF(ISNUMBER(Data_2014_N!BC6),100*ABS($G6-(Data_2014_N!BC6-$K6)/$M6),0),IF(ISNUMBER(Data_2014_N!BC6),100*ABS($G6-(Data_2014_N!BC6-$K6)/$M6),0)))</f>
        <v>80.8199730934585</v>
      </c>
    </row>
    <row r="7" s="68" customFormat="1" ht="24.95" customHeight="1" spans="1:115">
      <c r="A7" s="90"/>
      <c r="B7" s="91">
        <f>tblIndicators!A3</f>
        <v>2</v>
      </c>
      <c r="C7" s="91">
        <f>tblIndicators!B3</f>
        <v>0</v>
      </c>
      <c r="D7" s="91" t="str">
        <f>tblIndicators!D3</f>
        <v>DISE</v>
      </c>
      <c r="E7" s="91" t="str">
        <f>tblIndicators!E3</f>
        <v>OVERALL</v>
      </c>
      <c r="F7" s="91">
        <f>tblIndicators!F3</f>
        <v>1</v>
      </c>
      <c r="G7" s="91">
        <f>tblIndicators!Y3</f>
        <v>0</v>
      </c>
      <c r="H7" s="91">
        <f>tblIndicators!Z3</f>
        <v>1</v>
      </c>
      <c r="I7" s="101">
        <f>tblIndicators!AA3</f>
        <v>0</v>
      </c>
      <c r="J7" s="91">
        <f>tblIndicators!AB3</f>
        <v>0</v>
      </c>
      <c r="K7" s="91" t="str">
        <f>CHOOSE(H7,"-",MIN(Data_2014_N!J7:BC7),I7)</f>
        <v>-</v>
      </c>
      <c r="L7" s="162" t="str">
        <f>CHOOSE(H7,"-",MAX(Data_2014_N!J7:BC7),J7)</f>
        <v>-</v>
      </c>
      <c r="M7" s="91" t="str">
        <f>CHOOSE(H7,"-",L7-K7,L7-K7)</f>
        <v>-</v>
      </c>
      <c r="N7" s="163" t="str">
        <f>REPT(" ",F7)&amp;tblIndicators!AE3</f>
        <v> 1) DIGITAL SECURITY</v>
      </c>
      <c r="O7" s="164">
        <f>tblIndicators!AD3</f>
        <v>0.25</v>
      </c>
      <c r="P7" s="161">
        <f>IF($H7=0,0,CHOOSE($H7,SUMPRODUCT($O8:$O$67*P8:P$67*($E8:$E$67=$D7)),IF(ISNUMBER(Data_2014_N!J7),100*ABS($G7-(Data_2014_N!J7-$K7)/$M7),0),IF(ISNUMBER(Data_2014_N!J7),100*ABS($G7-(Data_2014_N!J7-$K7)/$M7),0)))</f>
        <v>79.2062404870624</v>
      </c>
      <c r="Q7" s="161">
        <f>IF($H7=0,0,CHOOSE($H7,SUMPRODUCT($O8:$O$67*Q8:Q$67*($E8:$E$67=$D7)),IF(ISNUMBER(Data_2014_N!K7),100*ABS($G7-(Data_2014_N!K7-$K7)/$M7),0),IF(ISNUMBER(Data_2014_N!K7),100*ABS($G7-(Data_2014_N!K7-$K7)/$M7),0)))</f>
        <v>78.8144596651446</v>
      </c>
      <c r="R7" s="161">
        <f>IF($H7=0,0,CHOOSE($H7,SUMPRODUCT($O8:$O$67*R8:R$67*($E8:$E$67=$D7)),IF(ISNUMBER(Data_2014_N!L7),100*ABS($G7-(Data_2014_N!L7-$K7)/$M7),0),IF(ISNUMBER(Data_2014_N!L7),100*ABS($G7-(Data_2014_N!L7-$K7)/$M7),0)))</f>
        <v>44.8645357686454</v>
      </c>
      <c r="S7" s="161">
        <f>IF($H7=0,0,CHOOSE($H7,SUMPRODUCT($O8:$O$67*S8:S$67*($E8:$E$67=$D7)),IF(ISNUMBER(Data_2014_N!M7),100*ABS($G7-(Data_2014_N!M7-$K7)/$M7),0),IF(ISNUMBER(Data_2014_N!M7),100*ABS($G7-(Data_2014_N!M7-$K7)/$M7),0)))</f>
        <v>61.2853881278539</v>
      </c>
      <c r="T7" s="161">
        <f>IF($H7=0,0,CHOOSE($H7,SUMPRODUCT($O8:$O$67*T8:T$67*($E8:$E$67=$D7)),IF(ISNUMBER(Data_2014_N!N7),100*ABS($G7-(Data_2014_N!N7-$K7)/$M7),0),IF(ISNUMBER(Data_2014_N!N7),100*ABS($G7-(Data_2014_N!N7-$K7)/$M7),0)))</f>
        <v>48.8668188736682</v>
      </c>
      <c r="U7" s="161">
        <f>IF($H7=0,0,CHOOSE($H7,SUMPRODUCT($O8:$O$67*U8:U$67*($E8:$E$67=$D7)),IF(ISNUMBER(Data_2014_N!O7),100*ABS($G7-(Data_2014_N!O7-$K7)/$M7),0),IF(ISNUMBER(Data_2014_N!O7),100*ABS($G7-(Data_2014_N!O7-$K7)/$M7),0)))</f>
        <v>74.5970319634703</v>
      </c>
      <c r="V7" s="161">
        <f>IF($H7=0,0,CHOOSE($H7,SUMPRODUCT($O8:$O$67*V8:V$67*($E8:$E$67=$D7)),IF(ISNUMBER(Data_2014_N!P7),100*ABS($G7-(Data_2014_N!P7-$K7)/$M7),0),IF(ISNUMBER(Data_2014_N!P7),100*ABS($G7-(Data_2014_N!P7-$K7)/$M7),0)))</f>
        <v>69.5848554033485</v>
      </c>
      <c r="W7" s="161">
        <f>IF($H7=0,0,CHOOSE($H7,SUMPRODUCT($O8:$O$67*W8:W$67*($E8:$E$67=$D7)),IF(ISNUMBER(Data_2014_N!Q7),100*ABS($G7-(Data_2014_N!Q7-$K7)/$M7),0),IF(ISNUMBER(Data_2014_N!Q7),100*ABS($G7-(Data_2014_N!Q7-$K7)/$M7),0)))</f>
        <v>69.3995433789954</v>
      </c>
      <c r="X7" s="161">
        <f>IF($H7=0,0,CHOOSE($H7,SUMPRODUCT($O8:$O$67*X8:X$67*($E8:$E$67=$D7)),IF(ISNUMBER(Data_2014_N!R7),100*ABS($G7-(Data_2014_N!R7-$K7)/$M7),0),IF(ISNUMBER(Data_2014_N!R7),100*ABS($G7-(Data_2014_N!R7-$K7)/$M7),0)))</f>
        <v>59.8291476407915</v>
      </c>
      <c r="Y7" s="161">
        <f>IF($H7=0,0,CHOOSE($H7,SUMPRODUCT($O8:$O$67*Y8:Y$67*($E8:$E$67=$D7)),IF(ISNUMBER(Data_2014_N!S7),100*ABS($G7-(Data_2014_N!S7-$K7)/$M7),0),IF(ISNUMBER(Data_2014_N!S7),100*ABS($G7-(Data_2014_N!S7-$K7)/$M7),0)))</f>
        <v>59.7313546423135</v>
      </c>
      <c r="Z7" s="161">
        <f>IF($H7=0,0,CHOOSE($H7,SUMPRODUCT($O8:$O$67*Z8:Z$67*($E8:$E$67=$D7)),IF(ISNUMBER(Data_2014_N!T7),100*ABS($G7-(Data_2014_N!T7-$K7)/$M7),0),IF(ISNUMBER(Data_2014_N!T7),100*ABS($G7-(Data_2014_N!T7-$K7)/$M7),0)))</f>
        <v>62.9452054794521</v>
      </c>
      <c r="AA7" s="161">
        <f>IF($H7=0,0,CHOOSE($H7,SUMPRODUCT($O8:$O$67*AA8:AA$67*($E8:$E$67=$D7)),IF(ISNUMBER(Data_2014_N!U7),100*ABS($G7-(Data_2014_N!U7-$K7)/$M7),0),IF(ISNUMBER(Data_2014_N!U7),100*ABS($G7-(Data_2014_N!U7-$K7)/$M7),0)))</f>
        <v>45.3097412480974</v>
      </c>
      <c r="AB7" s="161">
        <f>IF($H7=0,0,CHOOSE($H7,SUMPRODUCT($O8:$O$67*AB8:AB$67*($E8:$E$67=$D7)),IF(ISNUMBER(Data_2014_N!V7),100*ABS($G7-(Data_2014_N!V7-$K7)/$M7),0),IF(ISNUMBER(Data_2014_N!V7),100*ABS($G7-(Data_2014_N!V7-$K7)/$M7),0)))</f>
        <v>79.7846270928463</v>
      </c>
      <c r="AC7" s="161">
        <f>IF($H7=0,0,CHOOSE($H7,SUMPRODUCT($O8:$O$67*AC8:AC$67*($E8:$E$67=$D7)),IF(ISNUMBER(Data_2014_N!W7),100*ABS($G7-(Data_2014_N!W7-$K7)/$M7),0),IF(ISNUMBER(Data_2014_N!W7),100*ABS($G7-(Data_2014_N!W7-$K7)/$M7),0)))</f>
        <v>43.3295281582953</v>
      </c>
      <c r="AD7" s="161">
        <f>IF($H7=0,0,CHOOSE($H7,SUMPRODUCT($O8:$O$67*AD8:AD$67*($E8:$E$67=$D7)),IF(ISNUMBER(Data_2014_N!X7),100*ABS($G7-(Data_2014_N!X7-$K7)/$M7),0),IF(ISNUMBER(Data_2014_N!X7),100*ABS($G7-(Data_2014_N!X7-$K7)/$M7),0)))</f>
        <v>44.9840182648402</v>
      </c>
      <c r="AE7" s="161">
        <f>IF($H7=0,0,CHOOSE($H7,SUMPRODUCT($O8:$O$67*AE8:AE$67*($E8:$E$67=$D7)),IF(ISNUMBER(Data_2014_N!Y7),100*ABS($G7-(Data_2014_N!Y7-$K7)/$M7),0),IF(ISNUMBER(Data_2014_N!Y7),100*ABS($G7-(Data_2014_N!Y7-$K7)/$M7),0)))</f>
        <v>58.4041095890411</v>
      </c>
      <c r="AF7" s="161">
        <f>IF($H7=0,0,CHOOSE($H7,SUMPRODUCT($O8:$O$67*AF8:AF$67*($E8:$E$67=$D7)),IF(ISNUMBER(Data_2014_N!Z7),100*ABS($G7-(Data_2014_N!Z7-$K7)/$M7),0),IF(ISNUMBER(Data_2014_N!Z7),100*ABS($G7-(Data_2014_N!Z7-$K7)/$M7),0)))</f>
        <v>60.7092846270928</v>
      </c>
      <c r="AG7" s="161">
        <f>IF($H7=0,0,CHOOSE($H7,SUMPRODUCT($O8:$O$67*AG8:AG$67*($E8:$E$67=$D7)),IF(ISNUMBER(Data_2014_N!AA7),100*ABS($G7-(Data_2014_N!AA7-$K7)/$M7),0),IF(ISNUMBER(Data_2014_N!AA7),100*ABS($G7-(Data_2014_N!AA7-$K7)/$M7),0)))</f>
        <v>51.5933333333333</v>
      </c>
      <c r="AH7" s="161">
        <f>IF($H7=0,0,CHOOSE($H7,SUMPRODUCT($O8:$O$67*AH8:AH$67*($E8:$E$67=$D7)),IF(ISNUMBER(Data_2014_N!AB7),100*ABS($G7-(Data_2014_N!AB7-$K7)/$M7),0),IF(ISNUMBER(Data_2014_N!AB7),100*ABS($G7-(Data_2014_N!AB7-$K7)/$M7),0)))</f>
        <v>70.4200913242009</v>
      </c>
      <c r="AI7" s="161">
        <f>IF($H7=0,0,CHOOSE($H7,SUMPRODUCT($O8:$O$67*AI8:AI$67*($E8:$E$67=$D7)),IF(ISNUMBER(Data_2014_N!AC7),100*ABS($G7-(Data_2014_N!AC7-$K7)/$M7),0),IF(ISNUMBER(Data_2014_N!AC7),100*ABS($G7-(Data_2014_N!AC7-$K7)/$M7),0)))</f>
        <v>71.4923896499239</v>
      </c>
      <c r="AJ7" s="161">
        <f>IF($H7=0,0,CHOOSE($H7,SUMPRODUCT($O8:$O$67*AJ8:AJ$67*($E8:$E$67=$D7)),IF(ISNUMBER(Data_2014_N!AD7),100*ABS($G7-(Data_2014_N!AD7-$K7)/$M7),0),IF(ISNUMBER(Data_2014_N!AD7),100*ABS($G7-(Data_2014_N!AD7-$K7)/$M7),0)))</f>
        <v>61.7800608828006</v>
      </c>
      <c r="AK7" s="161">
        <f>IF($H7=0,0,CHOOSE($H7,SUMPRODUCT($O8:$O$67*AK8:AK$67*($E8:$E$67=$D7)),IF(ISNUMBER(Data_2014_N!AE7),100*ABS($G7-(Data_2014_N!AE7-$K7)/$M7),0),IF(ISNUMBER(Data_2014_N!AE7),100*ABS($G7-(Data_2014_N!AE7-$K7)/$M7),0)))</f>
        <v>66.4231354642314</v>
      </c>
      <c r="AL7" s="161">
        <f>IF($H7=0,0,CHOOSE($H7,SUMPRODUCT($O8:$O$67*AL8:AL$67*($E8:$E$67=$D7)),IF(ISNUMBER(Data_2014_N!AF7),100*ABS($G7-(Data_2014_N!AF7-$K7)/$M7),0),IF(ISNUMBER(Data_2014_N!AF7),100*ABS($G7-(Data_2014_N!AF7-$K7)/$M7),0)))</f>
        <v>62.691400304414</v>
      </c>
      <c r="AM7" s="161">
        <f>IF($H7=0,0,CHOOSE($H7,SUMPRODUCT($O8:$O$67*AM8:AM$67*($E8:$E$67=$D7)),IF(ISNUMBER(Data_2014_N!AG7),100*ABS($G7-(Data_2014_N!AG7-$K7)/$M7),0),IF(ISNUMBER(Data_2014_N!AG7),100*ABS($G7-(Data_2014_N!AG7-$K7)/$M7),0)))</f>
        <v>68.1164383561644</v>
      </c>
      <c r="AN7" s="161">
        <f>IF($H7=0,0,CHOOSE($H7,SUMPRODUCT($O8:$O$67*AN8:AN$67*($E8:$E$67=$D7)),IF(ISNUMBER(Data_2014_N!AH7),100*ABS($G7-(Data_2014_N!AH7-$K7)/$M7),0),IF(ISNUMBER(Data_2014_N!AH7),100*ABS($G7-(Data_2014_N!AH7-$K7)/$M7),0)))</f>
        <v>48.0426179604262</v>
      </c>
      <c r="AO7" s="161">
        <f>IF($H7=0,0,CHOOSE($H7,SUMPRODUCT($O8:$O$67*AO8:AO$67*($E8:$E$67=$D7)),IF(ISNUMBER(Data_2014_N!AI7),100*ABS($G7-(Data_2014_N!AI7-$K7)/$M7),0),IF(ISNUMBER(Data_2014_N!AI7),100*ABS($G7-(Data_2014_N!AI7-$K7)/$M7),0)))</f>
        <v>64.572298325723</v>
      </c>
      <c r="AP7" s="161">
        <f>IF($H7=0,0,CHOOSE($H7,SUMPRODUCT($O8:$O$67*AP8:AP$67*($E8:$E$67=$D7)),IF(ISNUMBER(Data_2014_N!AJ7),100*ABS($G7-(Data_2014_N!AJ7-$K7)/$M7),0),IF(ISNUMBER(Data_2014_N!AJ7),100*ABS($G7-(Data_2014_N!AJ7-$K7)/$M7),0)))</f>
        <v>75.9216133942161</v>
      </c>
      <c r="AQ7" s="161">
        <f>IF($H7=0,0,CHOOSE($H7,SUMPRODUCT($O8:$O$67*AQ8:AQ$67*($E8:$E$67=$D7)),IF(ISNUMBER(Data_2014_N!AK7),100*ABS($G7-(Data_2014_N!AK7-$K7)/$M7),0),IF(ISNUMBER(Data_2014_N!AK7),100*ABS($G7-(Data_2014_N!AK7-$K7)/$M7),0)))</f>
        <v>73.498097412481</v>
      </c>
      <c r="AR7" s="161">
        <f>IF($H7=0,0,CHOOSE($H7,SUMPRODUCT($O8:$O$67*AR8:AR$67*($E8:$E$67=$D7)),IF(ISNUMBER(Data_2014_N!AL7),100*ABS($G7-(Data_2014_N!AL7-$K7)/$M7),0),IF(ISNUMBER(Data_2014_N!AL7),100*ABS($G7-(Data_2014_N!AL7-$K7)/$M7),0)))</f>
        <v>59.3980213089802</v>
      </c>
      <c r="AS7" s="161">
        <f>IF($H7=0,0,CHOOSE($H7,SUMPRODUCT($O8:$O$67*AS8:AS$67*($E8:$E$67=$D7)),IF(ISNUMBER(Data_2014_N!AM7),100*ABS($G7-(Data_2014_N!AM7-$K7)/$M7),0),IF(ISNUMBER(Data_2014_N!AM7),100*ABS($G7-(Data_2014_N!AM7-$K7)/$M7),0)))</f>
        <v>51.2389649923896</v>
      </c>
      <c r="AT7" s="161">
        <f>IF($H7=0,0,CHOOSE($H7,SUMPRODUCT($O8:$O$67*AT8:AT$67*($E8:$E$67=$D7)),IF(ISNUMBER(Data_2014_N!AN7),100*ABS($G7-(Data_2014_N!AN7-$K7)/$M7),0),IF(ISNUMBER(Data_2014_N!AN7),100*ABS($G7-(Data_2014_N!AN7-$K7)/$M7),0)))</f>
        <v>49.7564687975647</v>
      </c>
      <c r="AU7" s="161">
        <f>IF($H7=0,0,CHOOSE($H7,SUMPRODUCT($O8:$O$67*AU8:AU$67*($E8:$E$67=$D7)),IF(ISNUMBER(Data_2014_N!AO7),100*ABS($G7-(Data_2014_N!AO7-$K7)/$M7),0),IF(ISNUMBER(Data_2014_N!AO7),100*ABS($G7-(Data_2014_N!AO7-$K7)/$M7),0)))</f>
        <v>62.1651445966514</v>
      </c>
      <c r="AV7" s="161">
        <f>IF($H7=0,0,CHOOSE($H7,SUMPRODUCT($O8:$O$67*AV8:AV$67*($E8:$E$67=$D7)),IF(ISNUMBER(Data_2014_N!AP7),100*ABS($G7-(Data_2014_N!AP7-$K7)/$M7),0),IF(ISNUMBER(Data_2014_N!AP7),100*ABS($G7-(Data_2014_N!AP7-$K7)/$M7),0)))</f>
        <v>70.3508371385084</v>
      </c>
      <c r="AW7" s="161">
        <f>IF($H7=0,0,CHOOSE($H7,SUMPRODUCT($O8:$O$67*AW8:AW$67*($E8:$E$67=$D7)),IF(ISNUMBER(Data_2014_N!AQ7),100*ABS($G7-(Data_2014_N!AQ7-$K7)/$M7),0),IF(ISNUMBER(Data_2014_N!AQ7),100*ABS($G7-(Data_2014_N!AQ7-$K7)/$M7),0)))</f>
        <v>67.0106544901065</v>
      </c>
      <c r="AX7" s="161">
        <f>IF($H7=0,0,CHOOSE($H7,SUMPRODUCT($O8:$O$67*AX8:AX$67*($E8:$E$67=$D7)),IF(ISNUMBER(Data_2014_N!AR7),100*ABS($G7-(Data_2014_N!AR7-$K7)/$M7),0),IF(ISNUMBER(Data_2014_N!AR7),100*ABS($G7-(Data_2014_N!AR7-$K7)/$M7),0)))</f>
        <v>51.4292237442922</v>
      </c>
      <c r="AY7" s="161">
        <f>IF($H7=0,0,CHOOSE($H7,SUMPRODUCT($O8:$O$67*AY8:AY$67*($E8:$E$67=$D7)),IF(ISNUMBER(Data_2014_N!AS7),100*ABS($G7-(Data_2014_N!AS7-$K7)/$M7),0),IF(ISNUMBER(Data_2014_N!AS7),100*ABS($G7-(Data_2014_N!AS7-$K7)/$M7),0)))</f>
        <v>56.9596651445966</v>
      </c>
      <c r="AZ7" s="161">
        <f>IF($H7=0,0,CHOOSE($H7,SUMPRODUCT($O8:$O$67*AZ8:AZ$67*($E8:$E$67=$D7)),IF(ISNUMBER(Data_2014_N!AT7),100*ABS($G7-(Data_2014_N!AT7-$K7)/$M7),0),IF(ISNUMBER(Data_2014_N!AT7),100*ABS($G7-(Data_2014_N!AT7-$K7)/$M7),0)))</f>
        <v>48.1438356164384</v>
      </c>
      <c r="BA7" s="161">
        <f>IF($H7=0,0,CHOOSE($H7,SUMPRODUCT($O8:$O$67*BA8:BA$67*($E8:$E$67=$D7)),IF(ISNUMBER(Data_2014_N!AU7),100*ABS($G7-(Data_2014_N!AU7-$K7)/$M7),0),IF(ISNUMBER(Data_2014_N!AU7),100*ABS($G7-(Data_2014_N!AU7-$K7)/$M7),0)))</f>
        <v>80.3523592085236</v>
      </c>
      <c r="BB7" s="161">
        <f>IF($H7=0,0,CHOOSE($H7,SUMPRODUCT($O8:$O$67*BB8:BB$67*($E8:$E$67=$D7)),IF(ISNUMBER(Data_2014_N!AV7),100*ABS($G7-(Data_2014_N!AV7-$K7)/$M7),0),IF(ISNUMBER(Data_2014_N!AV7),100*ABS($G7-(Data_2014_N!AV7-$K7)/$M7),0)))</f>
        <v>66.82</v>
      </c>
      <c r="BC7" s="161">
        <f>IF($H7=0,0,CHOOSE($H7,SUMPRODUCT($O8:$O$67*BC8:BC$67*($E8:$E$67=$D7)),IF(ISNUMBER(Data_2014_N!AW7),100*ABS($G7-(Data_2014_N!AW7-$K7)/$M7),0),IF(ISNUMBER(Data_2014_N!AW7),100*ABS($G7-(Data_2014_N!AW7-$K7)/$M7),0)))</f>
        <v>71.4802130898021</v>
      </c>
      <c r="BD7" s="161">
        <f>IF($H7=0,0,CHOOSE($H7,SUMPRODUCT($O8:$O$67*BD8:BD$67*($E8:$E$67=$D7)),IF(ISNUMBER(Data_2014_N!AX7),100*ABS($G7-(Data_2014_N!AX7-$K7)/$M7),0),IF(ISNUMBER(Data_2014_N!AX7),100*ABS($G7-(Data_2014_N!AX7-$K7)/$M7),0)))</f>
        <v>61.6149162861492</v>
      </c>
      <c r="BE7" s="161">
        <f>IF($H7=0,0,CHOOSE($H7,SUMPRODUCT($O8:$O$67*BE8:BE$67*($E8:$E$67=$D7)),IF(ISNUMBER(Data_2014_N!AY7),100*ABS($G7-(Data_2014_N!AY7-$K7)/$M7),0),IF(ISNUMBER(Data_2014_N!AY7),100*ABS($G7-(Data_2014_N!AY7-$K7)/$M7),0)))</f>
        <v>38.5768645357686</v>
      </c>
      <c r="BF7" s="161">
        <f>IF($H7=0,0,CHOOSE($H7,SUMPRODUCT($O8:$O$67*BF8:BF$67*($E8:$E$67=$D7)),IF(ISNUMBER(Data_2014_N!AZ7),100*ABS($G7-(Data_2014_N!AZ7-$K7)/$M7),0),IF(ISNUMBER(Data_2014_N!AZ7),100*ABS($G7-(Data_2014_N!AZ7-$K7)/$M7),0)))</f>
        <v>83.6826484018265</v>
      </c>
      <c r="BG7" s="161">
        <f>IF($H7=0,0,CHOOSE($H7,SUMPRODUCT($O8:$O$67*BG8:BG$67*($E8:$E$67=$D7)),IF(ISNUMBER(Data_2014_N!BA7),100*ABS($G7-(Data_2014_N!BA7-$K7)/$M7),0),IF(ISNUMBER(Data_2014_N!BA7),100*ABS($G7-(Data_2014_N!BA7-$K7)/$M7),0)))</f>
        <v>73.041095890411</v>
      </c>
      <c r="BH7" s="161">
        <f>IF($H7=0,0,CHOOSE($H7,SUMPRODUCT($O8:$O$67*BH8:BH$67*($E8:$E$67=$D7)),IF(ISNUMBER(Data_2014_N!BB7),100*ABS($G7-(Data_2014_N!BB7-$K7)/$M7),0),IF(ISNUMBER(Data_2014_N!BB7),100*ABS($G7-(Data_2014_N!BB7-$K7)/$M7),0)))</f>
        <v>66.4923896499239</v>
      </c>
      <c r="BI7" s="161">
        <f>IF($H7=0,0,CHOOSE($H7,SUMPRODUCT($O8:$O$67*BI8:BI$67*($E8:$E$67=$D7)),IF(ISNUMBER(Data_2014_N!BC7),100*ABS($G7-(Data_2014_N!BC7-$K7)/$M7),0),IF(ISNUMBER(Data_2014_N!BC7),100*ABS($G7-(Data_2014_N!BC7-$K7)/$M7),0)))</f>
        <v>68.0395738203957</v>
      </c>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row>
    <row r="8" s="69" customFormat="1" ht="35.25" customHeight="1" spans="1:115">
      <c r="A8" s="92"/>
      <c r="B8" s="92">
        <f>tblIndicators!A4</f>
        <v>3</v>
      </c>
      <c r="C8" s="92">
        <f>tblIndicators!B4</f>
        <v>0</v>
      </c>
      <c r="D8" s="92" t="str">
        <f>tblIndicators!D4</f>
        <v>DISE1.1</v>
      </c>
      <c r="E8" s="92" t="str">
        <f>tblIndicators!E4</f>
        <v>DISE</v>
      </c>
      <c r="F8" s="92">
        <f>tblIndicators!F4</f>
        <v>2</v>
      </c>
      <c r="G8" s="92">
        <f>tblIndicators!Y4</f>
        <v>0</v>
      </c>
      <c r="H8" s="92">
        <f>tblIndicators!Z4</f>
        <v>1</v>
      </c>
      <c r="I8" s="104">
        <f>tblIndicators!AA4</f>
        <v>0</v>
      </c>
      <c r="J8" s="92">
        <f>tblIndicators!AB4</f>
        <v>0</v>
      </c>
      <c r="K8" s="92" t="str">
        <f>CHOOSE(H8,"-",MIN(Data_2014_N!J8:BC8),I8)</f>
        <v>-</v>
      </c>
      <c r="L8" s="165" t="str">
        <f>CHOOSE(H8,"-",MAX(Data_2014_N!J8:BC8),J8)</f>
        <v>-</v>
      </c>
      <c r="M8" s="92" t="str">
        <f>CHOOSE(H8,"-",L8-K8,L8-K8)</f>
        <v>-</v>
      </c>
      <c r="N8" s="166" t="str">
        <f>REPT(" ",F8)&amp;tblIndicators!AE4</f>
        <v>  1.1) Digital security (Inputs)</v>
      </c>
      <c r="O8" s="167">
        <f>tblIndicators!AD4</f>
        <v>0.5</v>
      </c>
      <c r="P8" s="161">
        <f>IF($H8=0,0,CHOOSE($H8,SUMPRODUCT($O9:$O$67*P9:P$67*($E9:$E$67=$D8)),IF(ISNUMBER(Data_2014_N!J8),100*ABS($G8-(Data_2014_N!J8-$K8)/$M8),0),IF(ISNUMBER(Data_2014_N!J8),100*ABS($G8-(Data_2014_N!J8-$K8)/$M8),0)))</f>
        <v>78.3333333333333</v>
      </c>
      <c r="Q8" s="161">
        <f>IF($H8=0,0,CHOOSE($H8,SUMPRODUCT($O9:$O$67*Q9:Q$67*($E9:$E$67=$D8)),IF(ISNUMBER(Data_2014_N!K8),100*ABS($G8-(Data_2014_N!K8-$K8)/$M8),0),IF(ISNUMBER(Data_2014_N!K8),100*ABS($G8-(Data_2014_N!K8-$K8)/$M8),0)))</f>
        <v>66.6666666666667</v>
      </c>
      <c r="R8" s="161">
        <f>IF($H8=0,0,CHOOSE($H8,SUMPRODUCT($O9:$O$67*R9:R$67*($E9:$E$67=$D8)),IF(ISNUMBER(Data_2014_N!L8),100*ABS($G8-(Data_2014_N!L8-$K8)/$M8),0),IF(ISNUMBER(Data_2014_N!L8),100*ABS($G8-(Data_2014_N!L8-$K8)/$M8),0)))</f>
        <v>41.6666666666667</v>
      </c>
      <c r="S8" s="161">
        <f>IF($H8=0,0,CHOOSE($H8,SUMPRODUCT($O9:$O$67*S9:S$67*($E9:$E$67=$D8)),IF(ISNUMBER(Data_2014_N!M8),100*ABS($G8-(Data_2014_N!M8-$K8)/$M8),0),IF(ISNUMBER(Data_2014_N!M8),100*ABS($G8-(Data_2014_N!M8-$K8)/$M8),0)))</f>
        <v>63.3333333333333</v>
      </c>
      <c r="T8" s="161">
        <f>IF($H8=0,0,CHOOSE($H8,SUMPRODUCT($O9:$O$67*T9:T$67*($E9:$E$67=$D8)),IF(ISNUMBER(Data_2014_N!N8),100*ABS($G8-(Data_2014_N!N8-$K8)/$M8),0),IF(ISNUMBER(Data_2014_N!N8),100*ABS($G8-(Data_2014_N!N8-$K8)/$M8),0)))</f>
        <v>41.6666666666667</v>
      </c>
      <c r="U8" s="161">
        <f>IF($H8=0,0,CHOOSE($H8,SUMPRODUCT($O9:$O$67*U9:U$67*($E9:$E$67=$D8)),IF(ISNUMBER(Data_2014_N!O8),100*ABS($G8-(Data_2014_N!O8-$K8)/$M8),0),IF(ISNUMBER(Data_2014_N!O8),100*ABS($G8-(Data_2014_N!O8-$K8)/$M8),0)))</f>
        <v>73.3333333333333</v>
      </c>
      <c r="V8" s="161">
        <f>IF($H8=0,0,CHOOSE($H8,SUMPRODUCT($O9:$O$67*V9:V$67*($E9:$E$67=$D8)),IF(ISNUMBER(Data_2014_N!P8),100*ABS($G8-(Data_2014_N!P8-$K8)/$M8),0),IF(ISNUMBER(Data_2014_N!P8),100*ABS($G8-(Data_2014_N!P8-$K8)/$M8),0)))</f>
        <v>58.3333333333333</v>
      </c>
      <c r="W8" s="161">
        <f>IF($H8=0,0,CHOOSE($H8,SUMPRODUCT($O9:$O$67*W9:W$67*($E9:$E$67=$D8)),IF(ISNUMBER(Data_2014_N!Q8),100*ABS($G8-(Data_2014_N!Q8-$K8)/$M8),0),IF(ISNUMBER(Data_2014_N!Q8),100*ABS($G8-(Data_2014_N!Q8-$K8)/$M8),0)))</f>
        <v>68.3333333333333</v>
      </c>
      <c r="X8" s="161">
        <f>IF($H8=0,0,CHOOSE($H8,SUMPRODUCT($O9:$O$67*X9:X$67*($E9:$E$67=$D8)),IF(ISNUMBER(Data_2014_N!R8),100*ABS($G8-(Data_2014_N!R8-$K8)/$M8),0),IF(ISNUMBER(Data_2014_N!R8),100*ABS($G8-(Data_2014_N!R8-$K8)/$M8),0)))</f>
        <v>70</v>
      </c>
      <c r="Y8" s="161">
        <f>IF($H8=0,0,CHOOSE($H8,SUMPRODUCT($O9:$O$67*Y9:Y$67*($E9:$E$67=$D8)),IF(ISNUMBER(Data_2014_N!S8),100*ABS($G8-(Data_2014_N!S8-$K8)/$M8),0),IF(ISNUMBER(Data_2014_N!S8),100*ABS($G8-(Data_2014_N!S8-$K8)/$M8),0)))</f>
        <v>41.6666666666667</v>
      </c>
      <c r="Z8" s="161">
        <f>IF($H8=0,0,CHOOSE($H8,SUMPRODUCT($O9:$O$67*Z9:Z$67*($E9:$E$67=$D8)),IF(ISNUMBER(Data_2014_N!T8),100*ABS($G8-(Data_2014_N!T8-$K8)/$M8),0),IF(ISNUMBER(Data_2014_N!T8),100*ABS($G8-(Data_2014_N!T8-$K8)/$M8),0)))</f>
        <v>61.6666666666667</v>
      </c>
      <c r="AA8" s="161">
        <f>IF($H8=0,0,CHOOSE($H8,SUMPRODUCT($O9:$O$67*AA9:AA$67*($E9:$E$67=$D8)),IF(ISNUMBER(Data_2014_N!U8),100*ABS($G8-(Data_2014_N!U8-$K8)/$M8),0),IF(ISNUMBER(Data_2014_N!U8),100*ABS($G8-(Data_2014_N!U8-$K8)/$M8),0)))</f>
        <v>41.6666666666667</v>
      </c>
      <c r="AB8" s="161">
        <f>IF($H8=0,0,CHOOSE($H8,SUMPRODUCT($O9:$O$67*AB9:AB$67*($E9:$E$67=$D8)),IF(ISNUMBER(Data_2014_N!V8),100*ABS($G8-(Data_2014_N!V8-$K8)/$M8),0),IF(ISNUMBER(Data_2014_N!V8),100*ABS($G8-(Data_2014_N!V8-$K8)/$M8),0)))</f>
        <v>83.3333333333333</v>
      </c>
      <c r="AC8" s="161">
        <f>IF($H8=0,0,CHOOSE($H8,SUMPRODUCT($O9:$O$67*AC9:AC$67*($E9:$E$67=$D8)),IF(ISNUMBER(Data_2014_N!W8),100*ABS($G8-(Data_2014_N!W8-$K8)/$M8),0),IF(ISNUMBER(Data_2014_N!W8),100*ABS($G8-(Data_2014_N!W8-$K8)/$M8),0)))</f>
        <v>36.6666666666667</v>
      </c>
      <c r="AD8" s="161">
        <f>IF($H8=0,0,CHOOSE($H8,SUMPRODUCT($O9:$O$67*AD9:AD$67*($E9:$E$67=$D8)),IF(ISNUMBER(Data_2014_N!X8),100*ABS($G8-(Data_2014_N!X8-$K8)/$M8),0),IF(ISNUMBER(Data_2014_N!X8),100*ABS($G8-(Data_2014_N!X8-$K8)/$M8),0)))</f>
        <v>43.3333333333333</v>
      </c>
      <c r="AE8" s="161">
        <f>IF($H8=0,0,CHOOSE($H8,SUMPRODUCT($O9:$O$67*AE9:AE$67*($E9:$E$67=$D8)),IF(ISNUMBER(Data_2014_N!Y8),100*ABS($G8-(Data_2014_N!Y8-$K8)/$M8),0),IF(ISNUMBER(Data_2014_N!Y8),100*ABS($G8-(Data_2014_N!Y8-$K8)/$M8),0)))</f>
        <v>56.6666666666667</v>
      </c>
      <c r="AF8" s="161">
        <f>IF($H8=0,0,CHOOSE($H8,SUMPRODUCT($O9:$O$67*AF9:AF$67*($E9:$E$67=$D8)),IF(ISNUMBER(Data_2014_N!Z8),100*ABS($G8-(Data_2014_N!Z8-$K8)/$M8),0),IF(ISNUMBER(Data_2014_N!Z8),100*ABS($G8-(Data_2014_N!Z8-$K8)/$M8),0)))</f>
        <v>46.6666666666667</v>
      </c>
      <c r="AG8" s="161">
        <f>IF($H8=0,0,CHOOSE($H8,SUMPRODUCT($O9:$O$67*AG9:AG$67*($E9:$E$67=$D8)),IF(ISNUMBER(Data_2014_N!AA8),100*ABS($G8-(Data_2014_N!AA8-$K8)/$M8),0),IF(ISNUMBER(Data_2014_N!AA8),100*ABS($G8-(Data_2014_N!AA8-$K8)/$M8),0)))</f>
        <v>53.3333333333333</v>
      </c>
      <c r="AH8" s="161">
        <f>IF($H8=0,0,CHOOSE($H8,SUMPRODUCT($O9:$O$67*AH9:AH$67*($E9:$E$67=$D8)),IF(ISNUMBER(Data_2014_N!AB8),100*ABS($G8-(Data_2014_N!AB8-$K8)/$M8),0),IF(ISNUMBER(Data_2014_N!AB8),100*ABS($G8-(Data_2014_N!AB8-$K8)/$M8),0)))</f>
        <v>63.3333333333333</v>
      </c>
      <c r="AI8" s="161">
        <f>IF($H8=0,0,CHOOSE($H8,SUMPRODUCT($O9:$O$67*AI9:AI$67*($E9:$E$67=$D8)),IF(ISNUMBER(Data_2014_N!AC8),100*ABS($G8-(Data_2014_N!AC8-$K8)/$M8),0),IF(ISNUMBER(Data_2014_N!AC8),100*ABS($G8-(Data_2014_N!AC8-$K8)/$M8),0)))</f>
        <v>68.3333333333333</v>
      </c>
      <c r="AJ8" s="161">
        <f>IF($H8=0,0,CHOOSE($H8,SUMPRODUCT($O9:$O$67*AJ9:AJ$67*($E9:$E$67=$D8)),IF(ISNUMBER(Data_2014_N!AD8),100*ABS($G8-(Data_2014_N!AD8-$K8)/$M8),0),IF(ISNUMBER(Data_2014_N!AD8),100*ABS($G8-(Data_2014_N!AD8-$K8)/$M8),0)))</f>
        <v>63.3333333333333</v>
      </c>
      <c r="AK8" s="161">
        <f>IF($H8=0,0,CHOOSE($H8,SUMPRODUCT($O9:$O$67*AK9:AK$67*($E9:$E$67=$D8)),IF(ISNUMBER(Data_2014_N!AE8),100*ABS($G8-(Data_2014_N!AE8-$K8)/$M8),0),IF(ISNUMBER(Data_2014_N!AE8),100*ABS($G8-(Data_2014_N!AE8-$K8)/$M8),0)))</f>
        <v>63.3333333333333</v>
      </c>
      <c r="AL8" s="161">
        <f>IF($H8=0,0,CHOOSE($H8,SUMPRODUCT($O9:$O$67*AL9:AL$67*($E9:$E$67=$D8)),IF(ISNUMBER(Data_2014_N!AF8),100*ABS($G8-(Data_2014_N!AF8-$K8)/$M8),0),IF(ISNUMBER(Data_2014_N!AF8),100*ABS($G8-(Data_2014_N!AF8-$K8)/$M8),0)))</f>
        <v>58.3333333333333</v>
      </c>
      <c r="AM8" s="161">
        <f>IF($H8=0,0,CHOOSE($H8,SUMPRODUCT($O9:$O$67*AM9:AM$67*($E9:$E$67=$D8)),IF(ISNUMBER(Data_2014_N!AG8),100*ABS($G8-(Data_2014_N!AG8-$K8)/$M8),0),IF(ISNUMBER(Data_2014_N!AG8),100*ABS($G8-(Data_2014_N!AG8-$K8)/$M8),0)))</f>
        <v>65</v>
      </c>
      <c r="AN8" s="161">
        <f>IF($H8=0,0,CHOOSE($H8,SUMPRODUCT($O9:$O$67*AN9:AN$67*($E9:$E$67=$D8)),IF(ISNUMBER(Data_2014_N!AH8),100*ABS($G8-(Data_2014_N!AH8-$K8)/$M8),0),IF(ISNUMBER(Data_2014_N!AH8),100*ABS($G8-(Data_2014_N!AH8-$K8)/$M8),0)))</f>
        <v>46.6666666666667</v>
      </c>
      <c r="AO8" s="161">
        <f>IF($H8=0,0,CHOOSE($H8,SUMPRODUCT($O9:$O$67*AO9:AO$67*($E9:$E$67=$D8)),IF(ISNUMBER(Data_2014_N!AI8),100*ABS($G8-(Data_2014_N!AI8-$K8)/$M8),0),IF(ISNUMBER(Data_2014_N!AI8),100*ABS($G8-(Data_2014_N!AI8-$K8)/$M8),0)))</f>
        <v>80</v>
      </c>
      <c r="AP8" s="161">
        <f>IF($H8=0,0,CHOOSE($H8,SUMPRODUCT($O9:$O$67*AP9:AP$67*($E9:$E$67=$D8)),IF(ISNUMBER(Data_2014_N!AJ8),100*ABS($G8-(Data_2014_N!AJ8-$K8)/$M8),0),IF(ISNUMBER(Data_2014_N!AJ8),100*ABS($G8-(Data_2014_N!AJ8-$K8)/$M8),0)))</f>
        <v>78.3333333333333</v>
      </c>
      <c r="AQ8" s="161">
        <f>IF($H8=0,0,CHOOSE($H8,SUMPRODUCT($O9:$O$67*AQ9:AQ$67*($E9:$E$67=$D8)),IF(ISNUMBER(Data_2014_N!AK8),100*ABS($G8-(Data_2014_N!AK8-$K8)/$M8),0),IF(ISNUMBER(Data_2014_N!AK8),100*ABS($G8-(Data_2014_N!AK8-$K8)/$M8),0)))</f>
        <v>51.6666666666667</v>
      </c>
      <c r="AR8" s="161">
        <f>IF($H8=0,0,CHOOSE($H8,SUMPRODUCT($O9:$O$67*AR9:AR$67*($E9:$E$67=$D8)),IF(ISNUMBER(Data_2014_N!AL8),100*ABS($G8-(Data_2014_N!AL8-$K8)/$M8),0),IF(ISNUMBER(Data_2014_N!AL8),100*ABS($G8-(Data_2014_N!AL8-$K8)/$M8),0)))</f>
        <v>50</v>
      </c>
      <c r="AS8" s="161">
        <f>IF($H8=0,0,CHOOSE($H8,SUMPRODUCT($O9:$O$67*AS9:AS$67*($E9:$E$67=$D8)),IF(ISNUMBER(Data_2014_N!AM8),100*ABS($G8-(Data_2014_N!AM8-$K8)/$M8),0),IF(ISNUMBER(Data_2014_N!AM8),100*ABS($G8-(Data_2014_N!AM8-$K8)/$M8),0)))</f>
        <v>46.6666666666667</v>
      </c>
      <c r="AT8" s="161">
        <f>IF($H8=0,0,CHOOSE($H8,SUMPRODUCT($O9:$O$67*AT9:AT$67*($E9:$E$67=$D8)),IF(ISNUMBER(Data_2014_N!AN8),100*ABS($G8-(Data_2014_N!AN8-$K8)/$M8),0),IF(ISNUMBER(Data_2014_N!AN8),100*ABS($G8-(Data_2014_N!AN8-$K8)/$M8),0)))</f>
        <v>46.6666666666667</v>
      </c>
      <c r="AU8" s="161">
        <f>IF($H8=0,0,CHOOSE($H8,SUMPRODUCT($O9:$O$67*AU9:AU$67*($E9:$E$67=$D8)),IF(ISNUMBER(Data_2014_N!AO8),100*ABS($G8-(Data_2014_N!AO8-$K8)/$M8),0),IF(ISNUMBER(Data_2014_N!AO8),100*ABS($G8-(Data_2014_N!AO8-$K8)/$M8),0)))</f>
        <v>55</v>
      </c>
      <c r="AV8" s="161">
        <f>IF($H8=0,0,CHOOSE($H8,SUMPRODUCT($O9:$O$67*AV9:AV$67*($E9:$E$67=$D8)),IF(ISNUMBER(Data_2014_N!AP8),100*ABS($G8-(Data_2014_N!AP8-$K8)/$M8),0),IF(ISNUMBER(Data_2014_N!AP8),100*ABS($G8-(Data_2014_N!AP8-$K8)/$M8),0)))</f>
        <v>68.3333333333333</v>
      </c>
      <c r="AW8" s="161">
        <f>IF($H8=0,0,CHOOSE($H8,SUMPRODUCT($O9:$O$67*AW9:AW$67*($E9:$E$67=$D8)),IF(ISNUMBER(Data_2014_N!AQ8),100*ABS($G8-(Data_2014_N!AQ8-$K8)/$M8),0),IF(ISNUMBER(Data_2014_N!AQ8),100*ABS($G8-(Data_2014_N!AQ8-$K8)/$M8),0)))</f>
        <v>53.3333333333333</v>
      </c>
      <c r="AX8" s="161">
        <f>IF($H8=0,0,CHOOSE($H8,SUMPRODUCT($O9:$O$67*AX9:AX$67*($E9:$E$67=$D8)),IF(ISNUMBER(Data_2014_N!AR8),100*ABS($G8-(Data_2014_N!AR8-$K8)/$M8),0),IF(ISNUMBER(Data_2014_N!AR8),100*ABS($G8-(Data_2014_N!AR8-$K8)/$M8),0)))</f>
        <v>46.6666666666667</v>
      </c>
      <c r="AY8" s="161">
        <f>IF($H8=0,0,CHOOSE($H8,SUMPRODUCT($O9:$O$67*AY9:AY$67*($E9:$E$67=$D8)),IF(ISNUMBER(Data_2014_N!AS8),100*ABS($G8-(Data_2014_N!AS8-$K8)/$M8),0),IF(ISNUMBER(Data_2014_N!AS8),100*ABS($G8-(Data_2014_N!AS8-$K8)/$M8),0)))</f>
        <v>68.3333333333333</v>
      </c>
      <c r="AZ8" s="161">
        <f>IF($H8=0,0,CHOOSE($H8,SUMPRODUCT($O9:$O$67*AZ9:AZ$67*($E9:$E$67=$D8)),IF(ISNUMBER(Data_2014_N!AT8),100*ABS($G8-(Data_2014_N!AT8-$K8)/$M8),0),IF(ISNUMBER(Data_2014_N!AT8),100*ABS($G8-(Data_2014_N!AT8-$K8)/$M8),0)))</f>
        <v>41.6666666666667</v>
      </c>
      <c r="BA8" s="161">
        <f>IF($H8=0,0,CHOOSE($H8,SUMPRODUCT($O9:$O$67*BA9:BA$67*($E9:$E$67=$D8)),IF(ISNUMBER(Data_2014_N!AU8),100*ABS($G8-(Data_2014_N!AU8-$K8)/$M8),0),IF(ISNUMBER(Data_2014_N!AU8),100*ABS($G8-(Data_2014_N!AU8-$K8)/$M8),0)))</f>
        <v>78.3333333333333</v>
      </c>
      <c r="BB8" s="161">
        <f>IF($H8=0,0,CHOOSE($H8,SUMPRODUCT($O9:$O$67*BB9:BB$67*($E9:$E$67=$D8)),IF(ISNUMBER(Data_2014_N!AV8),100*ABS($G8-(Data_2014_N!AV8-$K8)/$M8),0),IF(ISNUMBER(Data_2014_N!AV8),100*ABS($G8-(Data_2014_N!AV8-$K8)/$M8),0)))</f>
        <v>53.3333333333333</v>
      </c>
      <c r="BC8" s="161">
        <f>IF($H8=0,0,CHOOSE($H8,SUMPRODUCT($O9:$O$67*BC9:BC$67*($E9:$E$67=$D8)),IF(ISNUMBER(Data_2014_N!AW8),100*ABS($G8-(Data_2014_N!AW8-$K8)/$M8),0),IF(ISNUMBER(Data_2014_N!AW8),100*ABS($G8-(Data_2014_N!AW8-$K8)/$M8),0)))</f>
        <v>73.3333333333333</v>
      </c>
      <c r="BD8" s="161">
        <f>IF($H8=0,0,CHOOSE($H8,SUMPRODUCT($O9:$O$67*BD9:BD$67*($E9:$E$67=$D8)),IF(ISNUMBER(Data_2014_N!AX8),100*ABS($G8-(Data_2014_N!AX8-$K8)/$M8),0),IF(ISNUMBER(Data_2014_N!AX8),100*ABS($G8-(Data_2014_N!AX8-$K8)/$M8),0)))</f>
        <v>41.6666666666667</v>
      </c>
      <c r="BE8" s="161">
        <f>IF($H8=0,0,CHOOSE($H8,SUMPRODUCT($O9:$O$67*BE9:BE$67*($E9:$E$67=$D8)),IF(ISNUMBER(Data_2014_N!AY8),100*ABS($G8-(Data_2014_N!AY8-$K8)/$M8),0),IF(ISNUMBER(Data_2014_N!AY8),100*ABS($G8-(Data_2014_N!AY8-$K8)/$M8),0)))</f>
        <v>20</v>
      </c>
      <c r="BF8" s="161">
        <f>IF($H8=0,0,CHOOSE($H8,SUMPRODUCT($O9:$O$67*BF9:BF$67*($E9:$E$67=$D8)),IF(ISNUMBER(Data_2014_N!AZ8),100*ABS($G8-(Data_2014_N!AZ8-$K8)/$M8),0),IF(ISNUMBER(Data_2014_N!AZ8),100*ABS($G8-(Data_2014_N!AZ8-$K8)/$M8),0)))</f>
        <v>71.6666666666667</v>
      </c>
      <c r="BG8" s="161">
        <f>IF($H8=0,0,CHOOSE($H8,SUMPRODUCT($O9:$O$67*BG9:BG$67*($E9:$E$67=$D8)),IF(ISNUMBER(Data_2014_N!BA8),100*ABS($G8-(Data_2014_N!BA8-$K8)/$M8),0),IF(ISNUMBER(Data_2014_N!BA8),100*ABS($G8-(Data_2014_N!BA8-$K8)/$M8),0)))</f>
        <v>73.3333333333333</v>
      </c>
      <c r="BH8" s="161">
        <f>IF($H8=0,0,CHOOSE($H8,SUMPRODUCT($O9:$O$67*BH9:BH$67*($E9:$E$67=$D8)),IF(ISNUMBER(Data_2014_N!BB8),100*ABS($G8-(Data_2014_N!BB8-$K8)/$M8),0),IF(ISNUMBER(Data_2014_N!BB8),100*ABS($G8-(Data_2014_N!BB8-$K8)/$M8),0)))</f>
        <v>58.3333333333333</v>
      </c>
      <c r="BI8" s="161">
        <f>IF($H8=0,0,CHOOSE($H8,SUMPRODUCT($O9:$O$67*BI9:BI$67*($E9:$E$67=$D8)),IF(ISNUMBER(Data_2014_N!BC8),100*ABS($G8-(Data_2014_N!BC8-$K8)/$M8),0),IF(ISNUMBER(Data_2014_N!BC8),100*ABS($G8-(Data_2014_N!BC8-$K8)/$M8),0)))</f>
        <v>56.6666666666667</v>
      </c>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row>
    <row r="9" s="69" customFormat="1" ht="24.95" customHeight="1" spans="1:115">
      <c r="A9" s="92"/>
      <c r="B9" s="92">
        <f>tblIndicators!A5</f>
        <v>4</v>
      </c>
      <c r="C9" s="92">
        <f>tblIndicators!B5</f>
        <v>0</v>
      </c>
      <c r="D9" s="92" t="str">
        <f>tblIndicators!D5</f>
        <v>DISE1.1.1</v>
      </c>
      <c r="E9" s="92" t="str">
        <f>tblIndicators!E5</f>
        <v>DISE1.1</v>
      </c>
      <c r="F9" s="92">
        <f>tblIndicators!F5</f>
        <v>3</v>
      </c>
      <c r="G9" s="92">
        <f>tblIndicators!Y5</f>
        <v>0</v>
      </c>
      <c r="H9" s="92">
        <f>tblIndicators!Z5</f>
        <v>3</v>
      </c>
      <c r="I9" s="104">
        <f>tblIndicators!AA5</f>
        <v>1</v>
      </c>
      <c r="J9" s="92">
        <f>tblIndicators!AB5</f>
        <v>5</v>
      </c>
      <c r="K9" s="92">
        <f>CHOOSE(H9,"-",MIN(Data_2014_N!J9:BC9),I9)</f>
        <v>1</v>
      </c>
      <c r="L9" s="165">
        <f>CHOOSE(H9,"-",MAX(Data_2014_N!J9:BC9),J9)</f>
        <v>5</v>
      </c>
      <c r="M9" s="92">
        <f>CHOOSE(H9,"-",L9-K9,L9-K9)</f>
        <v>4</v>
      </c>
      <c r="N9" s="168" t="str">
        <f>REPT(" ",F9)&amp;tblIndicators!AE5</f>
        <v>   1.1.1) Privacy policy</v>
      </c>
      <c r="O9" s="169">
        <f>tblIndicators!AD5</f>
        <v>0.2</v>
      </c>
      <c r="P9" s="161">
        <f>IF($H9=0,0,CHOOSE($H9,SUMPRODUCT($O10:$O$67*P10:P$67*($E10:$E$67=$D9)),IF(ISNUMBER(Data_2014_N!J9),100*ABS($G9-(Data_2014_N!J9-$K9)/$M9),0),IF(ISNUMBER(Data_2014_N!J9),100*ABS($G9-(Data_2014_N!J9-$K9)/$M9),0)))</f>
        <v>75</v>
      </c>
      <c r="Q9" s="161">
        <f>IF($H9=0,0,CHOOSE($H9,SUMPRODUCT($O10:$O$67*Q10:Q$67*($E10:$E$67=$D9)),IF(ISNUMBER(Data_2014_N!K9),100*ABS($G9-(Data_2014_N!K9-$K9)/$M9),0),IF(ISNUMBER(Data_2014_N!K9),100*ABS($G9-(Data_2014_N!K9-$K9)/$M9),0)))</f>
        <v>100</v>
      </c>
      <c r="R9" s="161">
        <f>IF($H9=0,0,CHOOSE($H9,SUMPRODUCT($O10:$O$67*R10:R$67*($E10:$E$67=$D9)),IF(ISNUMBER(Data_2014_N!L9),100*ABS($G9-(Data_2014_N!L9-$K9)/$M9),0),IF(ISNUMBER(Data_2014_N!L9),100*ABS($G9-(Data_2014_N!L9-$K9)/$M9),0)))</f>
        <v>0</v>
      </c>
      <c r="S9" s="161">
        <f>IF($H9=0,0,CHOOSE($H9,SUMPRODUCT($O10:$O$67*S10:S$67*($E10:$E$67=$D9)),IF(ISNUMBER(Data_2014_N!M9),100*ABS($G9-(Data_2014_N!M9-$K9)/$M9),0),IF(ISNUMBER(Data_2014_N!M9),100*ABS($G9-(Data_2014_N!M9-$K9)/$M9),0)))</f>
        <v>50</v>
      </c>
      <c r="T9" s="161">
        <f>IF($H9=0,0,CHOOSE($H9,SUMPRODUCT($O10:$O$67*T10:T$67*($E10:$E$67=$D9)),IF(ISNUMBER(Data_2014_N!N9),100*ABS($G9-(Data_2014_N!N9-$K9)/$M9),0),IF(ISNUMBER(Data_2014_N!N9),100*ABS($G9-(Data_2014_N!N9-$K9)/$M9),0)))</f>
        <v>0</v>
      </c>
      <c r="U9" s="161">
        <f>IF($H9=0,0,CHOOSE($H9,SUMPRODUCT($O10:$O$67*U10:U$67*($E10:$E$67=$D9)),IF(ISNUMBER(Data_2014_N!O9),100*ABS($G9-(Data_2014_N!O9-$K9)/$M9),0),IF(ISNUMBER(Data_2014_N!O9),100*ABS($G9-(Data_2014_N!O9-$K9)/$M9),0)))</f>
        <v>100</v>
      </c>
      <c r="V9" s="161">
        <f>IF($H9=0,0,CHOOSE($H9,SUMPRODUCT($O10:$O$67*V10:V$67*($E10:$E$67=$D9)),IF(ISNUMBER(Data_2014_N!P9),100*ABS($G9-(Data_2014_N!P9-$K9)/$M9),0),IF(ISNUMBER(Data_2014_N!P9),100*ABS($G9-(Data_2014_N!P9-$K9)/$M9),0)))</f>
        <v>100</v>
      </c>
      <c r="W9" s="161">
        <f>IF($H9=0,0,CHOOSE($H9,SUMPRODUCT($O10:$O$67*W10:W$67*($E10:$E$67=$D9)),IF(ISNUMBER(Data_2014_N!Q9),100*ABS($G9-(Data_2014_N!Q9-$K9)/$M9),0),IF(ISNUMBER(Data_2014_N!Q9),100*ABS($G9-(Data_2014_N!Q9-$K9)/$M9),0)))</f>
        <v>25</v>
      </c>
      <c r="X9" s="161">
        <f>IF($H9=0,0,CHOOSE($H9,SUMPRODUCT($O10:$O$67*X10:X$67*($E10:$E$67=$D9)),IF(ISNUMBER(Data_2014_N!R9),100*ABS($G9-(Data_2014_N!R9-$K9)/$M9),0),IF(ISNUMBER(Data_2014_N!R9),100*ABS($G9-(Data_2014_N!R9-$K9)/$M9),0)))</f>
        <v>25</v>
      </c>
      <c r="Y9" s="161">
        <f>IF($H9=0,0,CHOOSE($H9,SUMPRODUCT($O10:$O$67*Y10:Y$67*($E10:$E$67=$D9)),IF(ISNUMBER(Data_2014_N!S9),100*ABS($G9-(Data_2014_N!S9-$K9)/$M9),0),IF(ISNUMBER(Data_2014_N!S9),100*ABS($G9-(Data_2014_N!S9-$K9)/$M9),0)))</f>
        <v>50</v>
      </c>
      <c r="Z9" s="161">
        <f>IF($H9=0,0,CHOOSE($H9,SUMPRODUCT($O10:$O$67*Z10:Z$67*($E10:$E$67=$D9)),IF(ISNUMBER(Data_2014_N!T9),100*ABS($G9-(Data_2014_N!T9-$K9)/$M9),0),IF(ISNUMBER(Data_2014_N!T9),100*ABS($G9-(Data_2014_N!T9-$K9)/$M9),0)))</f>
        <v>75</v>
      </c>
      <c r="AA9" s="161">
        <f>IF($H9=0,0,CHOOSE($H9,SUMPRODUCT($O10:$O$67*AA10:AA$67*($E10:$E$67=$D9)),IF(ISNUMBER(Data_2014_N!U9),100*ABS($G9-(Data_2014_N!U9-$K9)/$M9),0),IF(ISNUMBER(Data_2014_N!U9),100*ABS($G9-(Data_2014_N!U9-$K9)/$M9),0)))</f>
        <v>0</v>
      </c>
      <c r="AB9" s="161">
        <f>IF($H9=0,0,CHOOSE($H9,SUMPRODUCT($O10:$O$67*AB10:AB$67*($E10:$E$67=$D9)),IF(ISNUMBER(Data_2014_N!V9),100*ABS($G9-(Data_2014_N!V9-$K9)/$M9),0),IF(ISNUMBER(Data_2014_N!V9),100*ABS($G9-(Data_2014_N!V9-$K9)/$M9),0)))</f>
        <v>50</v>
      </c>
      <c r="AC9" s="161">
        <f>IF($H9=0,0,CHOOSE($H9,SUMPRODUCT($O10:$O$67*AC10:AC$67*($E10:$E$67=$D9)),IF(ISNUMBER(Data_2014_N!W9),100*ABS($G9-(Data_2014_N!W9-$K9)/$M9),0),IF(ISNUMBER(Data_2014_N!W9),100*ABS($G9-(Data_2014_N!W9-$K9)/$M9),0)))</f>
        <v>25</v>
      </c>
      <c r="AD9" s="161">
        <f>IF($H9=0,0,CHOOSE($H9,SUMPRODUCT($O10:$O$67*AD10:AD$67*($E10:$E$67=$D9)),IF(ISNUMBER(Data_2014_N!X9),100*ABS($G9-(Data_2014_N!X9-$K9)/$M9),0),IF(ISNUMBER(Data_2014_N!X9),100*ABS($G9-(Data_2014_N!X9-$K9)/$M9),0)))</f>
        <v>25</v>
      </c>
      <c r="AE9" s="161">
        <f>IF($H9=0,0,CHOOSE($H9,SUMPRODUCT($O10:$O$67*AE10:AE$67*($E10:$E$67=$D9)),IF(ISNUMBER(Data_2014_N!Y9),100*ABS($G9-(Data_2014_N!Y9-$K9)/$M9),0),IF(ISNUMBER(Data_2014_N!Y9),100*ABS($G9-(Data_2014_N!Y9-$K9)/$M9),0)))</f>
        <v>75</v>
      </c>
      <c r="AF9" s="161">
        <f>IF($H9=0,0,CHOOSE($H9,SUMPRODUCT($O10:$O$67*AF10:AF$67*($E10:$E$67=$D9)),IF(ISNUMBER(Data_2014_N!Z9),100*ABS($G9-(Data_2014_N!Z9-$K9)/$M9),0),IF(ISNUMBER(Data_2014_N!Z9),100*ABS($G9-(Data_2014_N!Z9-$K9)/$M9),0)))</f>
        <v>25</v>
      </c>
      <c r="AG9" s="161">
        <f>IF($H9=0,0,CHOOSE($H9,SUMPRODUCT($O10:$O$67*AG10:AG$67*($E10:$E$67=$D9)),IF(ISNUMBER(Data_2014_N!AA9),100*ABS($G9-(Data_2014_N!AA9-$K9)/$M9),0),IF(ISNUMBER(Data_2014_N!AA9),100*ABS($G9-(Data_2014_N!AA9-$K9)/$M9),0)))</f>
        <v>25</v>
      </c>
      <c r="AH9" s="161">
        <f>IF($H9=0,0,CHOOSE($H9,SUMPRODUCT($O10:$O$67*AH10:AH$67*($E10:$E$67=$D9)),IF(ISNUMBER(Data_2014_N!AB9),100*ABS($G9-(Data_2014_N!AB9-$K9)/$M9),0),IF(ISNUMBER(Data_2014_N!AB9),100*ABS($G9-(Data_2014_N!AB9-$K9)/$M9),0)))</f>
        <v>50</v>
      </c>
      <c r="AI9" s="161">
        <f>IF($H9=0,0,CHOOSE($H9,SUMPRODUCT($O10:$O$67*AI10:AI$67*($E10:$E$67=$D9)),IF(ISNUMBER(Data_2014_N!AC9),100*ABS($G9-(Data_2014_N!AC9-$K9)/$M9),0),IF(ISNUMBER(Data_2014_N!AC9),100*ABS($G9-(Data_2014_N!AC9-$K9)/$M9),0)))</f>
        <v>25</v>
      </c>
      <c r="AJ9" s="161">
        <f>IF($H9=0,0,CHOOSE($H9,SUMPRODUCT($O10:$O$67*AJ10:AJ$67*($E10:$E$67=$D9)),IF(ISNUMBER(Data_2014_N!AD9),100*ABS($G9-(Data_2014_N!AD9-$K9)/$M9),0),IF(ISNUMBER(Data_2014_N!AD9),100*ABS($G9-(Data_2014_N!AD9-$K9)/$M9),0)))</f>
        <v>50</v>
      </c>
      <c r="AK9" s="161">
        <f>IF($H9=0,0,CHOOSE($H9,SUMPRODUCT($O10:$O$67*AK10:AK$67*($E10:$E$67=$D9)),IF(ISNUMBER(Data_2014_N!AE9),100*ABS($G9-(Data_2014_N!AE9-$K9)/$M9),0),IF(ISNUMBER(Data_2014_N!AE9),100*ABS($G9-(Data_2014_N!AE9-$K9)/$M9),0)))</f>
        <v>50</v>
      </c>
      <c r="AL9" s="161">
        <f>IF($H9=0,0,CHOOSE($H9,SUMPRODUCT($O10:$O$67*AL10:AL$67*($E10:$E$67=$D9)),IF(ISNUMBER(Data_2014_N!AF9),100*ABS($G9-(Data_2014_N!AF9-$K9)/$M9),0),IF(ISNUMBER(Data_2014_N!AF9),100*ABS($G9-(Data_2014_N!AF9-$K9)/$M9),0)))</f>
        <v>50</v>
      </c>
      <c r="AM9" s="161">
        <f>IF($H9=0,0,CHOOSE($H9,SUMPRODUCT($O10:$O$67*AM10:AM$67*($E10:$E$67=$D9)),IF(ISNUMBER(Data_2014_N!AG9),100*ABS($G9-(Data_2014_N!AG9-$K9)/$M9),0),IF(ISNUMBER(Data_2014_N!AG9),100*ABS($G9-(Data_2014_N!AG9-$K9)/$M9),0)))</f>
        <v>75</v>
      </c>
      <c r="AN9" s="161">
        <f>IF($H9=0,0,CHOOSE($H9,SUMPRODUCT($O10:$O$67*AN10:AN$67*($E10:$E$67=$D9)),IF(ISNUMBER(Data_2014_N!AH9),100*ABS($G9-(Data_2014_N!AH9-$K9)/$M9),0),IF(ISNUMBER(Data_2014_N!AH9),100*ABS($G9-(Data_2014_N!AH9-$K9)/$M9),0)))</f>
        <v>25</v>
      </c>
      <c r="AO9" s="161">
        <f>IF($H9=0,0,CHOOSE($H9,SUMPRODUCT($O10:$O$67*AO10:AO$67*($E10:$E$67=$D9)),IF(ISNUMBER(Data_2014_N!AI9),100*ABS($G9-(Data_2014_N!AI9-$K9)/$M9),0),IF(ISNUMBER(Data_2014_N!AI9),100*ABS($G9-(Data_2014_N!AI9-$K9)/$M9),0)))</f>
        <v>25</v>
      </c>
      <c r="AP9" s="161">
        <f>IF($H9=0,0,CHOOSE($H9,SUMPRODUCT($O10:$O$67*AP10:AP$67*($E10:$E$67=$D9)),IF(ISNUMBER(Data_2014_N!AJ9),100*ABS($G9-(Data_2014_N!AJ9-$K9)/$M9),0),IF(ISNUMBER(Data_2014_N!AJ9),100*ABS($G9-(Data_2014_N!AJ9-$K9)/$M9),0)))</f>
        <v>25</v>
      </c>
      <c r="AQ9" s="161">
        <f>IF($H9=0,0,CHOOSE($H9,SUMPRODUCT($O10:$O$67*AQ10:AQ$67*($E10:$E$67=$D9)),IF(ISNUMBER(Data_2014_N!AK9),100*ABS($G9-(Data_2014_N!AK9-$K9)/$M9),0),IF(ISNUMBER(Data_2014_N!AK9),100*ABS($G9-(Data_2014_N!AK9-$K9)/$M9),0)))</f>
        <v>25</v>
      </c>
      <c r="AR9" s="161">
        <f>IF($H9=0,0,CHOOSE($H9,SUMPRODUCT($O10:$O$67*AR10:AR$67*($E10:$E$67=$D9)),IF(ISNUMBER(Data_2014_N!AL9),100*ABS($G9-(Data_2014_N!AL9-$K9)/$M9),0),IF(ISNUMBER(Data_2014_N!AL9),100*ABS($G9-(Data_2014_N!AL9-$K9)/$M9),0)))</f>
        <v>50</v>
      </c>
      <c r="AS9" s="161">
        <f>IF($H9=0,0,CHOOSE($H9,SUMPRODUCT($O10:$O$67*AS10:AS$67*($E10:$E$67=$D9)),IF(ISNUMBER(Data_2014_N!AM9),100*ABS($G9-(Data_2014_N!AM9-$K9)/$M9),0),IF(ISNUMBER(Data_2014_N!AM9),100*ABS($G9-(Data_2014_N!AM9-$K9)/$M9),0)))</f>
        <v>25</v>
      </c>
      <c r="AT9" s="161">
        <f>IF($H9=0,0,CHOOSE($H9,SUMPRODUCT($O10:$O$67*AT10:AT$67*($E10:$E$67=$D9)),IF(ISNUMBER(Data_2014_N!AN9),100*ABS($G9-(Data_2014_N!AN9-$K9)/$M9),0),IF(ISNUMBER(Data_2014_N!AN9),100*ABS($G9-(Data_2014_N!AN9-$K9)/$M9),0)))</f>
        <v>25</v>
      </c>
      <c r="AU9" s="161">
        <f>IF($H9=0,0,CHOOSE($H9,SUMPRODUCT($O10:$O$67*AU10:AU$67*($E10:$E$67=$D9)),IF(ISNUMBER(Data_2014_N!AO9),100*ABS($G9-(Data_2014_N!AO9-$K9)/$M9),0),IF(ISNUMBER(Data_2014_N!AO9),100*ABS($G9-(Data_2014_N!AO9-$K9)/$M9),0)))</f>
        <v>75</v>
      </c>
      <c r="AV9" s="161">
        <f>IF($H9=0,0,CHOOSE($H9,SUMPRODUCT($O10:$O$67*AV10:AV$67*($E10:$E$67=$D9)),IF(ISNUMBER(Data_2014_N!AP9),100*ABS($G9-(Data_2014_N!AP9-$K9)/$M9),0),IF(ISNUMBER(Data_2014_N!AP9),100*ABS($G9-(Data_2014_N!AP9-$K9)/$M9),0)))</f>
        <v>25</v>
      </c>
      <c r="AW9" s="161">
        <f>IF($H9=0,0,CHOOSE($H9,SUMPRODUCT($O10:$O$67*AW10:AW$67*($E10:$E$67=$D9)),IF(ISNUMBER(Data_2014_N!AQ9),100*ABS($G9-(Data_2014_N!AQ9-$K9)/$M9),0),IF(ISNUMBER(Data_2014_N!AQ9),100*ABS($G9-(Data_2014_N!AQ9-$K9)/$M9),0)))</f>
        <v>25</v>
      </c>
      <c r="AX9" s="161">
        <f>IF($H9=0,0,CHOOSE($H9,SUMPRODUCT($O10:$O$67*AX10:AX$67*($E10:$E$67=$D9)),IF(ISNUMBER(Data_2014_N!AR9),100*ABS($G9-(Data_2014_N!AR9-$K9)/$M9),0),IF(ISNUMBER(Data_2014_N!AR9),100*ABS($G9-(Data_2014_N!AR9-$K9)/$M9),0)))</f>
        <v>25</v>
      </c>
      <c r="AY9" s="161">
        <f>IF($H9=0,0,CHOOSE($H9,SUMPRODUCT($O10:$O$67*AY10:AY$67*($E10:$E$67=$D9)),IF(ISNUMBER(Data_2014_N!AS9),100*ABS($G9-(Data_2014_N!AS9-$K9)/$M9),0),IF(ISNUMBER(Data_2014_N!AS9),100*ABS($G9-(Data_2014_N!AS9-$K9)/$M9),0)))</f>
        <v>75</v>
      </c>
      <c r="AZ9" s="161">
        <f>IF($H9=0,0,CHOOSE($H9,SUMPRODUCT($O10:$O$67*AZ10:AZ$67*($E10:$E$67=$D9)),IF(ISNUMBER(Data_2014_N!AT9),100*ABS($G9-(Data_2014_N!AT9-$K9)/$M9),0),IF(ISNUMBER(Data_2014_N!AT9),100*ABS($G9-(Data_2014_N!AT9-$K9)/$M9),0)))</f>
        <v>0</v>
      </c>
      <c r="BA9" s="161">
        <f>IF($H9=0,0,CHOOSE($H9,SUMPRODUCT($O10:$O$67*BA10:BA$67*($E10:$E$67=$D9)),IF(ISNUMBER(Data_2014_N!AU9),100*ABS($G9-(Data_2014_N!AU9-$K9)/$M9),0),IF(ISNUMBER(Data_2014_N!AU9),100*ABS($G9-(Data_2014_N!AU9-$K9)/$M9),0)))</f>
        <v>25</v>
      </c>
      <c r="BB9" s="161">
        <f>IF($H9=0,0,CHOOSE($H9,SUMPRODUCT($O10:$O$67*BB10:BB$67*($E10:$E$67=$D9)),IF(ISNUMBER(Data_2014_N!AV9),100*ABS($G9-(Data_2014_N!AV9-$K9)/$M9),0),IF(ISNUMBER(Data_2014_N!AV9),100*ABS($G9-(Data_2014_N!AV9-$K9)/$M9),0)))</f>
        <v>0</v>
      </c>
      <c r="BC9" s="161">
        <f>IF($H9=0,0,CHOOSE($H9,SUMPRODUCT($O10:$O$67*BC10:BC$67*($E10:$E$67=$D9)),IF(ISNUMBER(Data_2014_N!AW9),100*ABS($G9-(Data_2014_N!AW9-$K9)/$M9),0),IF(ISNUMBER(Data_2014_N!AW9),100*ABS($G9-(Data_2014_N!AW9-$K9)/$M9),0)))</f>
        <v>50</v>
      </c>
      <c r="BD9" s="161">
        <f>IF($H9=0,0,CHOOSE($H9,SUMPRODUCT($O10:$O$67*BD10:BD$67*($E10:$E$67=$D9)),IF(ISNUMBER(Data_2014_N!AX9),100*ABS($G9-(Data_2014_N!AX9-$K9)/$M9),0),IF(ISNUMBER(Data_2014_N!AX9),100*ABS($G9-(Data_2014_N!AX9-$K9)/$M9),0)))</f>
        <v>25</v>
      </c>
      <c r="BE9" s="161">
        <f>IF($H9=0,0,CHOOSE($H9,SUMPRODUCT($O10:$O$67*BE10:BE$67*($E10:$E$67=$D9)),IF(ISNUMBER(Data_2014_N!AY9),100*ABS($G9-(Data_2014_N!AY9-$K9)/$M9),0),IF(ISNUMBER(Data_2014_N!AY9),100*ABS($G9-(Data_2014_N!AY9-$K9)/$M9),0)))</f>
        <v>0</v>
      </c>
      <c r="BF9" s="161">
        <f>IF($H9=0,0,CHOOSE($H9,SUMPRODUCT($O10:$O$67*BF10:BF$67*($E10:$E$67=$D9)),IF(ISNUMBER(Data_2014_N!AZ9),100*ABS($G9-(Data_2014_N!AZ9-$K9)/$M9),0),IF(ISNUMBER(Data_2014_N!AZ9),100*ABS($G9-(Data_2014_N!AZ9-$K9)/$M9),0)))</f>
        <v>25</v>
      </c>
      <c r="BG9" s="161">
        <f>IF($H9=0,0,CHOOSE($H9,SUMPRODUCT($O10:$O$67*BG10:BG$67*($E10:$E$67=$D9)),IF(ISNUMBER(Data_2014_N!BA9),100*ABS($G9-(Data_2014_N!BA9-$K9)/$M9),0),IF(ISNUMBER(Data_2014_N!BA9),100*ABS($G9-(Data_2014_N!BA9-$K9)/$M9),0)))</f>
        <v>50</v>
      </c>
      <c r="BH9" s="161">
        <f>IF($H9=0,0,CHOOSE($H9,SUMPRODUCT($O10:$O$67*BH10:BH$67*($E10:$E$67=$D9)),IF(ISNUMBER(Data_2014_N!BB9),100*ABS($G9-(Data_2014_N!BB9-$K9)/$M9),0),IF(ISNUMBER(Data_2014_N!BB9),100*ABS($G9-(Data_2014_N!BB9-$K9)/$M9),0)))</f>
        <v>25</v>
      </c>
      <c r="BI9" s="161">
        <f>IF($H9=0,0,CHOOSE($H9,SUMPRODUCT($O10:$O$67*BI10:BI$67*($E10:$E$67=$D9)),IF(ISNUMBER(Data_2014_N!BC9),100*ABS($G9-(Data_2014_N!BC9-$K9)/$M9),0),IF(ISNUMBER(Data_2014_N!BC9),100*ABS($G9-(Data_2014_N!BC9-$K9)/$M9),0)))</f>
        <v>50</v>
      </c>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row>
    <row r="10" s="69" customFormat="1" ht="24.95" customHeight="1" spans="1:115">
      <c r="A10" s="92"/>
      <c r="B10" s="92">
        <f>tblIndicators!A6</f>
        <v>5</v>
      </c>
      <c r="C10" s="92">
        <f>tblIndicators!B6</f>
        <v>0</v>
      </c>
      <c r="D10" s="92" t="str">
        <f>tblIndicators!D6</f>
        <v>DISE1.1.2</v>
      </c>
      <c r="E10" s="92" t="str">
        <f>tblIndicators!E6</f>
        <v>DISE1.1</v>
      </c>
      <c r="F10" s="92">
        <f>tblIndicators!F6</f>
        <v>3</v>
      </c>
      <c r="G10" s="92">
        <f>tblIndicators!Y6</f>
        <v>0</v>
      </c>
      <c r="H10" s="92">
        <f>tblIndicators!Z6</f>
        <v>3</v>
      </c>
      <c r="I10" s="104">
        <f>tblIndicators!AA6</f>
        <v>0</v>
      </c>
      <c r="J10" s="92">
        <f>tblIndicators!AB6</f>
        <v>3</v>
      </c>
      <c r="K10" s="92">
        <f>CHOOSE(H10,"-",MIN(Data_2014_N!J10:BC10),I10)</f>
        <v>0</v>
      </c>
      <c r="L10" s="165">
        <f>CHOOSE(H10,"-",MAX(Data_2014_N!J10:BC10),J10)</f>
        <v>3</v>
      </c>
      <c r="M10" s="92">
        <f t="shared" ref="M10" si="0">CHOOSE(H10,"-",L10-K10,L10-K10)</f>
        <v>3</v>
      </c>
      <c r="N10" s="168" t="str">
        <f>REPT(" ",F10)&amp;tblIndicators!AE6</f>
        <v>   1.1.2) Citizen awareness of digital threats</v>
      </c>
      <c r="O10" s="169">
        <f>tblIndicators!AD6</f>
        <v>0.2</v>
      </c>
      <c r="P10" s="161">
        <f>IF($H10=0,0,CHOOSE($H10,SUMPRODUCT($O11:$O$67*P11:P$67*($E11:$E$67=$D10)),IF(ISNUMBER(Data_2014_N!J10),100*ABS($G10-(Data_2014_N!J10-$K10)/$M10),0),IF(ISNUMBER(Data_2014_N!J10),100*ABS($G10-(Data_2014_N!J10-$K10)/$M10),0)))</f>
        <v>66.6666666666667</v>
      </c>
      <c r="Q10" s="161">
        <f>IF($H10=0,0,CHOOSE($H10,SUMPRODUCT($O11:$O$67*Q11:Q$67*($E11:$E$67=$D10)),IF(ISNUMBER(Data_2014_N!K10),100*ABS($G10-(Data_2014_N!K10-$K10)/$M10),0),IF(ISNUMBER(Data_2014_N!K10),100*ABS($G10-(Data_2014_N!K10-$K10)/$M10),0)))</f>
        <v>33.3333333333333</v>
      </c>
      <c r="R10" s="161">
        <f>IF($H10=0,0,CHOOSE($H10,SUMPRODUCT($O11:$O$67*R11:R$67*($E11:$E$67=$D10)),IF(ISNUMBER(Data_2014_N!L10),100*ABS($G10-(Data_2014_N!L10-$K10)/$M10),0),IF(ISNUMBER(Data_2014_N!L10),100*ABS($G10-(Data_2014_N!L10-$K10)/$M10),0)))</f>
        <v>33.3333333333333</v>
      </c>
      <c r="S10" s="161">
        <f>IF($H10=0,0,CHOOSE($H10,SUMPRODUCT($O11:$O$67*S11:S$67*($E11:$E$67=$D10)),IF(ISNUMBER(Data_2014_N!M10),100*ABS($G10-(Data_2014_N!M10-$K10)/$M10),0),IF(ISNUMBER(Data_2014_N!M10),100*ABS($G10-(Data_2014_N!M10-$K10)/$M10),0)))</f>
        <v>66.6666666666667</v>
      </c>
      <c r="T10" s="161">
        <f>IF($H10=0,0,CHOOSE($H10,SUMPRODUCT($O11:$O$67*T11:T$67*($E11:$E$67=$D10)),IF(ISNUMBER(Data_2014_N!N10),100*ABS($G10-(Data_2014_N!N10-$K10)/$M10),0),IF(ISNUMBER(Data_2014_N!N10),100*ABS($G10-(Data_2014_N!N10-$K10)/$M10),0)))</f>
        <v>33.3333333333333</v>
      </c>
      <c r="U10" s="161">
        <f>IF($H10=0,0,CHOOSE($H10,SUMPRODUCT($O11:$O$67*U11:U$67*($E11:$E$67=$D10)),IF(ISNUMBER(Data_2014_N!O10),100*ABS($G10-(Data_2014_N!O10-$K10)/$M10),0),IF(ISNUMBER(Data_2014_N!O10),100*ABS($G10-(Data_2014_N!O10-$K10)/$M10),0)))</f>
        <v>66.6666666666667</v>
      </c>
      <c r="V10" s="161">
        <f>IF($H10=0,0,CHOOSE($H10,SUMPRODUCT($O11:$O$67*V11:V$67*($E11:$E$67=$D10)),IF(ISNUMBER(Data_2014_N!P10),100*ABS($G10-(Data_2014_N!P10-$K10)/$M10),0),IF(ISNUMBER(Data_2014_N!P10),100*ABS($G10-(Data_2014_N!P10-$K10)/$M10),0)))</f>
        <v>66.6666666666667</v>
      </c>
      <c r="W10" s="161">
        <f>IF($H10=0,0,CHOOSE($H10,SUMPRODUCT($O11:$O$67*W11:W$67*($E11:$E$67=$D10)),IF(ISNUMBER(Data_2014_N!Q10),100*ABS($G10-(Data_2014_N!Q10-$K10)/$M10),0),IF(ISNUMBER(Data_2014_N!Q10),100*ABS($G10-(Data_2014_N!Q10-$K10)/$M10),0)))</f>
        <v>66.6666666666667</v>
      </c>
      <c r="X10" s="161">
        <f>IF($H10=0,0,CHOOSE($H10,SUMPRODUCT($O11:$O$67*X11:X$67*($E11:$E$67=$D10)),IF(ISNUMBER(Data_2014_N!R10),100*ABS($G10-(Data_2014_N!R10-$K10)/$M10),0),IF(ISNUMBER(Data_2014_N!R10),100*ABS($G10-(Data_2014_N!R10-$K10)/$M10),0)))</f>
        <v>100</v>
      </c>
      <c r="Y10" s="161">
        <f>IF($H10=0,0,CHOOSE($H10,SUMPRODUCT($O11:$O$67*Y11:Y$67*($E11:$E$67=$D10)),IF(ISNUMBER(Data_2014_N!S10),100*ABS($G10-(Data_2014_N!S10-$K10)/$M10),0),IF(ISNUMBER(Data_2014_N!S10),100*ABS($G10-(Data_2014_N!S10-$K10)/$M10),0)))</f>
        <v>33.3333333333333</v>
      </c>
      <c r="Z10" s="161">
        <f>IF($H10=0,0,CHOOSE($H10,SUMPRODUCT($O11:$O$67*Z11:Z$67*($E11:$E$67=$D10)),IF(ISNUMBER(Data_2014_N!T10),100*ABS($G10-(Data_2014_N!T10-$K10)/$M10),0),IF(ISNUMBER(Data_2014_N!T10),100*ABS($G10-(Data_2014_N!T10-$K10)/$M10),0)))</f>
        <v>33.3333333333333</v>
      </c>
      <c r="AA10" s="161">
        <f>IF($H10=0,0,CHOOSE($H10,SUMPRODUCT($O11:$O$67*AA11:AA$67*($E11:$E$67=$D10)),IF(ISNUMBER(Data_2014_N!U10),100*ABS($G10-(Data_2014_N!U10-$K10)/$M10),0),IF(ISNUMBER(Data_2014_N!U10),100*ABS($G10-(Data_2014_N!U10-$K10)/$M10),0)))</f>
        <v>33.3333333333333</v>
      </c>
      <c r="AB10" s="161">
        <f>IF($H10=0,0,CHOOSE($H10,SUMPRODUCT($O11:$O$67*AB11:AB$67*($E11:$E$67=$D10)),IF(ISNUMBER(Data_2014_N!V10),100*ABS($G10-(Data_2014_N!V10-$K10)/$M10),0),IF(ISNUMBER(Data_2014_N!V10),100*ABS($G10-(Data_2014_N!V10-$K10)/$M10),0)))</f>
        <v>66.6666666666667</v>
      </c>
      <c r="AC10" s="161">
        <f>IF($H10=0,0,CHOOSE($H10,SUMPRODUCT($O11:$O$67*AC11:AC$67*($E11:$E$67=$D10)),IF(ISNUMBER(Data_2014_N!W10),100*ABS($G10-(Data_2014_N!W10-$K10)/$M10),0),IF(ISNUMBER(Data_2014_N!W10),100*ABS($G10-(Data_2014_N!W10-$K10)/$M10),0)))</f>
        <v>33.3333333333333</v>
      </c>
      <c r="AD10" s="161">
        <f>IF($H10=0,0,CHOOSE($H10,SUMPRODUCT($O11:$O$67*AD11:AD$67*($E11:$E$67=$D10)),IF(ISNUMBER(Data_2014_N!X10),100*ABS($G10-(Data_2014_N!X10-$K10)/$M10),0),IF(ISNUMBER(Data_2014_N!X10),100*ABS($G10-(Data_2014_N!X10-$K10)/$M10),0)))</f>
        <v>66.6666666666667</v>
      </c>
      <c r="AE10" s="161">
        <f>IF($H10=0,0,CHOOSE($H10,SUMPRODUCT($O11:$O$67*AE11:AE$67*($E11:$E$67=$D10)),IF(ISNUMBER(Data_2014_N!Y10),100*ABS($G10-(Data_2014_N!Y10-$K10)/$M10),0),IF(ISNUMBER(Data_2014_N!Y10),100*ABS($G10-(Data_2014_N!Y10-$K10)/$M10),0)))</f>
        <v>33.3333333333333</v>
      </c>
      <c r="AF10" s="161">
        <f>IF($H10=0,0,CHOOSE($H10,SUMPRODUCT($O11:$O$67*AF11:AF$67*($E11:$E$67=$D10)),IF(ISNUMBER(Data_2014_N!Z10),100*ABS($G10-(Data_2014_N!Z10-$K10)/$M10),0),IF(ISNUMBER(Data_2014_N!Z10),100*ABS($G10-(Data_2014_N!Z10-$K10)/$M10),0)))</f>
        <v>33.3333333333333</v>
      </c>
      <c r="AG10" s="161">
        <f>IF($H10=0,0,CHOOSE($H10,SUMPRODUCT($O11:$O$67*AG11:AG$67*($E11:$E$67=$D10)),IF(ISNUMBER(Data_2014_N!AA10),100*ABS($G10-(Data_2014_N!AA10-$K10)/$M10),0),IF(ISNUMBER(Data_2014_N!AA10),100*ABS($G10-(Data_2014_N!AA10-$K10)/$M10),0)))</f>
        <v>66.6666666666667</v>
      </c>
      <c r="AH10" s="161">
        <f>IF($H10=0,0,CHOOSE($H10,SUMPRODUCT($O11:$O$67*AH11:AH$67*($E11:$E$67=$D10)),IF(ISNUMBER(Data_2014_N!AB10),100*ABS($G10-(Data_2014_N!AB10-$K10)/$M10),0),IF(ISNUMBER(Data_2014_N!AB10),100*ABS($G10-(Data_2014_N!AB10-$K10)/$M10),0)))</f>
        <v>66.6666666666667</v>
      </c>
      <c r="AI10" s="161">
        <f>IF($H10=0,0,CHOOSE($H10,SUMPRODUCT($O11:$O$67*AI11:AI$67*($E11:$E$67=$D10)),IF(ISNUMBER(Data_2014_N!AC10),100*ABS($G10-(Data_2014_N!AC10-$K10)/$M10),0),IF(ISNUMBER(Data_2014_N!AC10),100*ABS($G10-(Data_2014_N!AC10-$K10)/$M10),0)))</f>
        <v>66.6666666666667</v>
      </c>
      <c r="AJ10" s="161">
        <f>IF($H10=0,0,CHOOSE($H10,SUMPRODUCT($O11:$O$67*AJ11:AJ$67*($E11:$E$67=$D10)),IF(ISNUMBER(Data_2014_N!AD10),100*ABS($G10-(Data_2014_N!AD10-$K10)/$M10),0),IF(ISNUMBER(Data_2014_N!AD10),100*ABS($G10-(Data_2014_N!AD10-$K10)/$M10),0)))</f>
        <v>66.6666666666667</v>
      </c>
      <c r="AK10" s="161">
        <f>IF($H10=0,0,CHOOSE($H10,SUMPRODUCT($O11:$O$67*AK11:AK$67*($E11:$E$67=$D10)),IF(ISNUMBER(Data_2014_N!AE10),100*ABS($G10-(Data_2014_N!AE10-$K10)/$M10),0),IF(ISNUMBER(Data_2014_N!AE10),100*ABS($G10-(Data_2014_N!AE10-$K10)/$M10),0)))</f>
        <v>66.6666666666667</v>
      </c>
      <c r="AL10" s="161">
        <f>IF($H10=0,0,CHOOSE($H10,SUMPRODUCT($O11:$O$67*AL11:AL$67*($E11:$E$67=$D10)),IF(ISNUMBER(Data_2014_N!AF10),100*ABS($G10-(Data_2014_N!AF10-$K10)/$M10),0),IF(ISNUMBER(Data_2014_N!AF10),100*ABS($G10-(Data_2014_N!AF10-$K10)/$M10),0)))</f>
        <v>66.6666666666667</v>
      </c>
      <c r="AM10" s="161">
        <f>IF($H10=0,0,CHOOSE($H10,SUMPRODUCT($O11:$O$67*AM11:AM$67*($E11:$E$67=$D10)),IF(ISNUMBER(Data_2014_N!AG10),100*ABS($G10-(Data_2014_N!AG10-$K10)/$M10),0),IF(ISNUMBER(Data_2014_N!AG10),100*ABS($G10-(Data_2014_N!AG10-$K10)/$M10),0)))</f>
        <v>0</v>
      </c>
      <c r="AN10" s="161">
        <f>IF($H10=0,0,CHOOSE($H10,SUMPRODUCT($O11:$O$67*AN11:AN$67*($E11:$E$67=$D10)),IF(ISNUMBER(Data_2014_N!AH10),100*ABS($G10-(Data_2014_N!AH10-$K10)/$M10),0),IF(ISNUMBER(Data_2014_N!AH10),100*ABS($G10-(Data_2014_N!AH10-$K10)/$M10),0)))</f>
        <v>33.3333333333333</v>
      </c>
      <c r="AO10" s="161">
        <f>IF($H10=0,0,CHOOSE($H10,SUMPRODUCT($O11:$O$67*AO11:AO$67*($E11:$E$67=$D10)),IF(ISNUMBER(Data_2014_N!AI10),100*ABS($G10-(Data_2014_N!AI10-$K10)/$M10),0),IF(ISNUMBER(Data_2014_N!AI10),100*ABS($G10-(Data_2014_N!AI10-$K10)/$M10),0)))</f>
        <v>100</v>
      </c>
      <c r="AP10" s="161">
        <f>IF($H10=0,0,CHOOSE($H10,SUMPRODUCT($O11:$O$67*AP11:AP$67*($E11:$E$67=$D10)),IF(ISNUMBER(Data_2014_N!AJ10),100*ABS($G10-(Data_2014_N!AJ10-$K10)/$M10),0),IF(ISNUMBER(Data_2014_N!AJ10),100*ABS($G10-(Data_2014_N!AJ10-$K10)/$M10),0)))</f>
        <v>66.6666666666667</v>
      </c>
      <c r="AQ10" s="161">
        <f>IF($H10=0,0,CHOOSE($H10,SUMPRODUCT($O11:$O$67*AQ11:AQ$67*($E11:$E$67=$D10)),IF(ISNUMBER(Data_2014_N!AK10),100*ABS($G10-(Data_2014_N!AK10-$K10)/$M10),0),IF(ISNUMBER(Data_2014_N!AK10),100*ABS($G10-(Data_2014_N!AK10-$K10)/$M10),0)))</f>
        <v>33.3333333333333</v>
      </c>
      <c r="AR10" s="161">
        <f>IF($H10=0,0,CHOOSE($H10,SUMPRODUCT($O11:$O$67*AR11:AR$67*($E11:$E$67=$D10)),IF(ISNUMBER(Data_2014_N!AL10),100*ABS($G10-(Data_2014_N!AL10-$K10)/$M10),0),IF(ISNUMBER(Data_2014_N!AL10),100*ABS($G10-(Data_2014_N!AL10-$K10)/$M10),0)))</f>
        <v>0</v>
      </c>
      <c r="AS10" s="161">
        <f>IF($H10=0,0,CHOOSE($H10,SUMPRODUCT($O11:$O$67*AS11:AS$67*($E11:$E$67=$D10)),IF(ISNUMBER(Data_2014_N!AM10),100*ABS($G10-(Data_2014_N!AM10-$K10)/$M10),0),IF(ISNUMBER(Data_2014_N!AM10),100*ABS($G10-(Data_2014_N!AM10-$K10)/$M10),0)))</f>
        <v>33.3333333333333</v>
      </c>
      <c r="AT10" s="161">
        <f>IF($H10=0,0,CHOOSE($H10,SUMPRODUCT($O11:$O$67*AT11:AT$67*($E11:$E$67=$D10)),IF(ISNUMBER(Data_2014_N!AN10),100*ABS($G10-(Data_2014_N!AN10-$K10)/$M10),0),IF(ISNUMBER(Data_2014_N!AN10),100*ABS($G10-(Data_2014_N!AN10-$K10)/$M10),0)))</f>
        <v>33.3333333333333</v>
      </c>
      <c r="AU10" s="161">
        <f>IF($H10=0,0,CHOOSE($H10,SUMPRODUCT($O11:$O$67*AU11:AU$67*($E11:$E$67=$D10)),IF(ISNUMBER(Data_2014_N!AO10),100*ABS($G10-(Data_2014_N!AO10-$K10)/$M10),0),IF(ISNUMBER(Data_2014_N!AO10),100*ABS($G10-(Data_2014_N!AO10-$K10)/$M10),0)))</f>
        <v>0</v>
      </c>
      <c r="AV10" s="161">
        <f>IF($H10=0,0,CHOOSE($H10,SUMPRODUCT($O11:$O$67*AV11:AV$67*($E11:$E$67=$D10)),IF(ISNUMBER(Data_2014_N!AP10),100*ABS($G10-(Data_2014_N!AP10-$K10)/$M10),0),IF(ISNUMBER(Data_2014_N!AP10),100*ABS($G10-(Data_2014_N!AP10-$K10)/$M10),0)))</f>
        <v>66.6666666666667</v>
      </c>
      <c r="AW10" s="161">
        <f>IF($H10=0,0,CHOOSE($H10,SUMPRODUCT($O11:$O$67*AW11:AW$67*($E11:$E$67=$D10)),IF(ISNUMBER(Data_2014_N!AQ10),100*ABS($G10-(Data_2014_N!AQ10-$K10)/$M10),0),IF(ISNUMBER(Data_2014_N!AQ10),100*ABS($G10-(Data_2014_N!AQ10-$K10)/$M10),0)))</f>
        <v>66.6666666666667</v>
      </c>
      <c r="AX10" s="161">
        <f>IF($H10=0,0,CHOOSE($H10,SUMPRODUCT($O11:$O$67*AX11:AX$67*($E11:$E$67=$D10)),IF(ISNUMBER(Data_2014_N!AR10),100*ABS($G10-(Data_2014_N!AR10-$K10)/$M10),0),IF(ISNUMBER(Data_2014_N!AR10),100*ABS($G10-(Data_2014_N!AR10-$K10)/$M10),0)))</f>
        <v>33.3333333333333</v>
      </c>
      <c r="AY10" s="161">
        <f>IF($H10=0,0,CHOOSE($H10,SUMPRODUCT($O11:$O$67*AY11:AY$67*($E11:$E$67=$D10)),IF(ISNUMBER(Data_2014_N!AS10),100*ABS($G10-(Data_2014_N!AS10-$K10)/$M10),0),IF(ISNUMBER(Data_2014_N!AS10),100*ABS($G10-(Data_2014_N!AS10-$K10)/$M10),0)))</f>
        <v>66.6666666666667</v>
      </c>
      <c r="AZ10" s="161">
        <f>IF($H10=0,0,CHOOSE($H10,SUMPRODUCT($O11:$O$67*AZ11:AZ$67*($E11:$E$67=$D10)),IF(ISNUMBER(Data_2014_N!AT10),100*ABS($G10-(Data_2014_N!AT10-$K10)/$M10),0),IF(ISNUMBER(Data_2014_N!AT10),100*ABS($G10-(Data_2014_N!AT10-$K10)/$M10),0)))</f>
        <v>33.3333333333333</v>
      </c>
      <c r="BA10" s="161">
        <f>IF($H10=0,0,CHOOSE($H10,SUMPRODUCT($O11:$O$67*BA11:BA$67*($E11:$E$67=$D10)),IF(ISNUMBER(Data_2014_N!AU10),100*ABS($G10-(Data_2014_N!AU10-$K10)/$M10),0),IF(ISNUMBER(Data_2014_N!AU10),100*ABS($G10-(Data_2014_N!AU10-$K10)/$M10),0)))</f>
        <v>66.6666666666667</v>
      </c>
      <c r="BB10" s="161">
        <f>IF($H10=0,0,CHOOSE($H10,SUMPRODUCT($O11:$O$67*BB11:BB$67*($E11:$E$67=$D10)),IF(ISNUMBER(Data_2014_N!AV10),100*ABS($G10-(Data_2014_N!AV10-$K10)/$M10),0),IF(ISNUMBER(Data_2014_N!AV10),100*ABS($G10-(Data_2014_N!AV10-$K10)/$M10),0)))</f>
        <v>66.6666666666667</v>
      </c>
      <c r="BC10" s="161">
        <f>IF($H10=0,0,CHOOSE($H10,SUMPRODUCT($O11:$O$67*BC11:BC$67*($E11:$E$67=$D10)),IF(ISNUMBER(Data_2014_N!AW10),100*ABS($G10-(Data_2014_N!AW10-$K10)/$M10),0),IF(ISNUMBER(Data_2014_N!AW10),100*ABS($G10-(Data_2014_N!AW10-$K10)/$M10),0)))</f>
        <v>66.6666666666667</v>
      </c>
      <c r="BD10" s="161">
        <f>IF($H10=0,0,CHOOSE($H10,SUMPRODUCT($O11:$O$67*BD11:BD$67*($E11:$E$67=$D10)),IF(ISNUMBER(Data_2014_N!AX10),100*ABS($G10-(Data_2014_N!AX10-$K10)/$M10),0),IF(ISNUMBER(Data_2014_N!AX10),100*ABS($G10-(Data_2014_N!AX10-$K10)/$M10),0)))</f>
        <v>33.3333333333333</v>
      </c>
      <c r="BE10" s="161">
        <f>IF($H10=0,0,CHOOSE($H10,SUMPRODUCT($O11:$O$67*BE11:BE$67*($E11:$E$67=$D10)),IF(ISNUMBER(Data_2014_N!AY10),100*ABS($G10-(Data_2014_N!AY10-$K10)/$M10),0),IF(ISNUMBER(Data_2014_N!AY10),100*ABS($G10-(Data_2014_N!AY10-$K10)/$M10),0)))</f>
        <v>0</v>
      </c>
      <c r="BF10" s="161">
        <f>IF($H10=0,0,CHOOSE($H10,SUMPRODUCT($O11:$O$67*BF11:BF$67*($E11:$E$67=$D10)),IF(ISNUMBER(Data_2014_N!AZ10),100*ABS($G10-(Data_2014_N!AZ10-$K10)/$M10),0),IF(ISNUMBER(Data_2014_N!AZ10),100*ABS($G10-(Data_2014_N!AZ10-$K10)/$M10),0)))</f>
        <v>33.3333333333333</v>
      </c>
      <c r="BG10" s="161">
        <f>IF($H10=0,0,CHOOSE($H10,SUMPRODUCT($O11:$O$67*BG11:BG$67*($E11:$E$67=$D10)),IF(ISNUMBER(Data_2014_N!BA10),100*ABS($G10-(Data_2014_N!BA10-$K10)/$M10),0),IF(ISNUMBER(Data_2014_N!BA10),100*ABS($G10-(Data_2014_N!BA10-$K10)/$M10),0)))</f>
        <v>66.6666666666667</v>
      </c>
      <c r="BH10" s="161">
        <f>IF($H10=0,0,CHOOSE($H10,SUMPRODUCT($O11:$O$67*BH11:BH$67*($E11:$E$67=$D10)),IF(ISNUMBER(Data_2014_N!BB10),100*ABS($G10-(Data_2014_N!BB10-$K10)/$M10),0),IF(ISNUMBER(Data_2014_N!BB10),100*ABS($G10-(Data_2014_N!BB10-$K10)/$M10),0)))</f>
        <v>66.6666666666667</v>
      </c>
      <c r="BI10" s="161">
        <f>IF($H10=0,0,CHOOSE($H10,SUMPRODUCT($O11:$O$67*BI11:BI$67*($E11:$E$67=$D10)),IF(ISNUMBER(Data_2014_N!BC10),100*ABS($G10-(Data_2014_N!BC10-$K10)/$M10),0),IF(ISNUMBER(Data_2014_N!BC10),100*ABS($G10-(Data_2014_N!BC10-$K10)/$M10),0)))</f>
        <v>33.3333333333333</v>
      </c>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row>
    <row r="11" s="69" customFormat="1" ht="24.95" customHeight="1" spans="1:115">
      <c r="A11" s="92"/>
      <c r="B11" s="92">
        <f>tblIndicators!A7</f>
        <v>6</v>
      </c>
      <c r="C11" s="92">
        <f>tblIndicators!B7</f>
        <v>0</v>
      </c>
      <c r="D11" s="92" t="str">
        <f>tblIndicators!D7</f>
        <v>DISE1.1.3</v>
      </c>
      <c r="E11" s="92" t="str">
        <f>tblIndicators!E7</f>
        <v>DISE1.1</v>
      </c>
      <c r="F11" s="92">
        <f>tblIndicators!F7</f>
        <v>3</v>
      </c>
      <c r="G11" s="92">
        <f>tblIndicators!Y7</f>
        <v>0</v>
      </c>
      <c r="H11" s="92">
        <f>tblIndicators!Z7</f>
        <v>3</v>
      </c>
      <c r="I11" s="104">
        <f>tblIndicators!AA7</f>
        <v>0</v>
      </c>
      <c r="J11" s="92">
        <f>tblIndicators!AB7</f>
        <v>2</v>
      </c>
      <c r="K11" s="92">
        <f>CHOOSE(H11,"-",MIN(Data_2014_N!J11:BC11),I11)</f>
        <v>0</v>
      </c>
      <c r="L11" s="165">
        <f>CHOOSE(H11,"-",MAX(Data_2014_N!J11:BC11),J11)</f>
        <v>2</v>
      </c>
      <c r="M11" s="92">
        <f t="shared" ref="M11:M67" si="1">CHOOSE(H11,"-",L11-K11,L11-K11)</f>
        <v>2</v>
      </c>
      <c r="N11" s="168" t="str">
        <f>REPT(" ",F11)&amp;tblIndicators!AE7</f>
        <v>   1.1.3) Public-private partnerships</v>
      </c>
      <c r="O11" s="169">
        <f>tblIndicators!AD7</f>
        <v>0.2</v>
      </c>
      <c r="P11" s="161">
        <f>IF($H11=0,0,CHOOSE($H11,SUMPRODUCT($O12:$O$67*P12:P$67*($E12:$E$67=$D11)),IF(ISNUMBER(Data_2014_N!J11),100*ABS($G11-(Data_2014_N!J11-$K11)/$M11),0),IF(ISNUMBER(Data_2014_N!J11),100*ABS($G11-(Data_2014_N!J11-$K11)/$M11),0)))</f>
        <v>50</v>
      </c>
      <c r="Q11" s="161">
        <f>IF($H11=0,0,CHOOSE($H11,SUMPRODUCT($O12:$O$67*Q12:Q$67*($E12:$E$67=$D11)),IF(ISNUMBER(Data_2014_N!K11),100*ABS($G11-(Data_2014_N!K11-$K11)/$M11),0),IF(ISNUMBER(Data_2014_N!K11),100*ABS($G11-(Data_2014_N!K11-$K11)/$M11),0)))</f>
        <v>50</v>
      </c>
      <c r="R11" s="161">
        <f>IF($H11=0,0,CHOOSE($H11,SUMPRODUCT($O12:$O$67*R12:R$67*($E12:$E$67=$D11)),IF(ISNUMBER(Data_2014_N!L11),100*ABS($G11-(Data_2014_N!L11-$K11)/$M11),0),IF(ISNUMBER(Data_2014_N!L11),100*ABS($G11-(Data_2014_N!L11-$K11)/$M11),0)))</f>
        <v>50</v>
      </c>
      <c r="S11" s="161">
        <f>IF($H11=0,0,CHOOSE($H11,SUMPRODUCT($O12:$O$67*S12:S$67*($E12:$E$67=$D11)),IF(ISNUMBER(Data_2014_N!M11),100*ABS($G11-(Data_2014_N!M11-$K11)/$M11),0),IF(ISNUMBER(Data_2014_N!M11),100*ABS($G11-(Data_2014_N!M11-$K11)/$M11),0)))</f>
        <v>0</v>
      </c>
      <c r="T11" s="161">
        <f>IF($H11=0,0,CHOOSE($H11,SUMPRODUCT($O12:$O$67*T12:T$67*($E12:$E$67=$D11)),IF(ISNUMBER(Data_2014_N!N11),100*ABS($G11-(Data_2014_N!N11-$K11)/$M11),0),IF(ISNUMBER(Data_2014_N!N11),100*ABS($G11-(Data_2014_N!N11-$K11)/$M11),0)))</f>
        <v>50</v>
      </c>
      <c r="U11" s="161">
        <f>IF($H11=0,0,CHOOSE($H11,SUMPRODUCT($O12:$O$67*U12:U$67*($E12:$E$67=$D11)),IF(ISNUMBER(Data_2014_N!O11),100*ABS($G11-(Data_2014_N!O11-$K11)/$M11),0),IF(ISNUMBER(Data_2014_N!O11),100*ABS($G11-(Data_2014_N!O11-$K11)/$M11),0)))</f>
        <v>50</v>
      </c>
      <c r="V11" s="161">
        <f>IF($H11=0,0,CHOOSE($H11,SUMPRODUCT($O12:$O$67*V12:V$67*($E12:$E$67=$D11)),IF(ISNUMBER(Data_2014_N!P11),100*ABS($G11-(Data_2014_N!P11-$K11)/$M11),0),IF(ISNUMBER(Data_2014_N!P11),100*ABS($G11-(Data_2014_N!P11-$K11)/$M11),0)))</f>
        <v>0</v>
      </c>
      <c r="W11" s="161">
        <f>IF($H11=0,0,CHOOSE($H11,SUMPRODUCT($O12:$O$67*W12:W$67*($E12:$E$67=$D11)),IF(ISNUMBER(Data_2014_N!Q11),100*ABS($G11-(Data_2014_N!Q11-$K11)/$M11),0),IF(ISNUMBER(Data_2014_N!Q11),100*ABS($G11-(Data_2014_N!Q11-$K11)/$M11),0)))</f>
        <v>50</v>
      </c>
      <c r="X11" s="161">
        <f>IF($H11=0,0,CHOOSE($H11,SUMPRODUCT($O12:$O$67*X12:X$67*($E12:$E$67=$D11)),IF(ISNUMBER(Data_2014_N!R11),100*ABS($G11-(Data_2014_N!R11-$K11)/$M11),0),IF(ISNUMBER(Data_2014_N!R11),100*ABS($G11-(Data_2014_N!R11-$K11)/$M11),0)))</f>
        <v>100</v>
      </c>
      <c r="Y11" s="161">
        <f>IF($H11=0,0,CHOOSE($H11,SUMPRODUCT($O12:$O$67*Y12:Y$67*($E12:$E$67=$D11)),IF(ISNUMBER(Data_2014_N!S11),100*ABS($G11-(Data_2014_N!S11-$K11)/$M11),0),IF(ISNUMBER(Data_2014_N!S11),100*ABS($G11-(Data_2014_N!S11-$K11)/$M11),0)))</f>
        <v>0</v>
      </c>
      <c r="Z11" s="161">
        <f>IF($H11=0,0,CHOOSE($H11,SUMPRODUCT($O12:$O$67*Z12:Z$67*($E12:$E$67=$D11)),IF(ISNUMBER(Data_2014_N!T11),100*ABS($G11-(Data_2014_N!T11-$K11)/$M11),0),IF(ISNUMBER(Data_2014_N!T11),100*ABS($G11-(Data_2014_N!T11-$K11)/$M11),0)))</f>
        <v>50</v>
      </c>
      <c r="AA11" s="161">
        <f>IF($H11=0,0,CHOOSE($H11,SUMPRODUCT($O12:$O$67*AA12:AA$67*($E12:$E$67=$D11)),IF(ISNUMBER(Data_2014_N!U11),100*ABS($G11-(Data_2014_N!U11-$K11)/$M11),0),IF(ISNUMBER(Data_2014_N!U11),100*ABS($G11-(Data_2014_N!U11-$K11)/$M11),0)))</f>
        <v>50</v>
      </c>
      <c r="AB11" s="161">
        <f>IF($H11=0,0,CHOOSE($H11,SUMPRODUCT($O12:$O$67*AB12:AB$67*($E12:$E$67=$D11)),IF(ISNUMBER(Data_2014_N!V11),100*ABS($G11-(Data_2014_N!V11-$K11)/$M11),0),IF(ISNUMBER(Data_2014_N!V11),100*ABS($G11-(Data_2014_N!V11-$K11)/$M11),0)))</f>
        <v>100</v>
      </c>
      <c r="AC11" s="161">
        <f>IF($H11=0,0,CHOOSE($H11,SUMPRODUCT($O12:$O$67*AC12:AC$67*($E12:$E$67=$D11)),IF(ISNUMBER(Data_2014_N!W11),100*ABS($G11-(Data_2014_N!W11-$K11)/$M11),0),IF(ISNUMBER(Data_2014_N!W11),100*ABS($G11-(Data_2014_N!W11-$K11)/$M11),0)))</f>
        <v>0</v>
      </c>
      <c r="AD11" s="161">
        <f>IF($H11=0,0,CHOOSE($H11,SUMPRODUCT($O12:$O$67*AD12:AD$67*($E12:$E$67=$D11)),IF(ISNUMBER(Data_2014_N!X11),100*ABS($G11-(Data_2014_N!X11-$K11)/$M11),0),IF(ISNUMBER(Data_2014_N!X11),100*ABS($G11-(Data_2014_N!X11-$K11)/$M11),0)))</f>
        <v>0</v>
      </c>
      <c r="AE11" s="161">
        <f>IF($H11=0,0,CHOOSE($H11,SUMPRODUCT($O12:$O$67*AE12:AE$67*($E12:$E$67=$D11)),IF(ISNUMBER(Data_2014_N!Y11),100*ABS($G11-(Data_2014_N!Y11-$K11)/$M11),0),IF(ISNUMBER(Data_2014_N!Y11),100*ABS($G11-(Data_2014_N!Y11-$K11)/$M11),0)))</f>
        <v>50</v>
      </c>
      <c r="AF11" s="161">
        <f>IF($H11=0,0,CHOOSE($H11,SUMPRODUCT($O12:$O$67*AF12:AF$67*($E12:$E$67=$D11)),IF(ISNUMBER(Data_2014_N!Z11),100*ABS($G11-(Data_2014_N!Z11-$K11)/$M11),0),IF(ISNUMBER(Data_2014_N!Z11),100*ABS($G11-(Data_2014_N!Z11-$K11)/$M11),0)))</f>
        <v>50</v>
      </c>
      <c r="AG11" s="161">
        <f>IF($H11=0,0,CHOOSE($H11,SUMPRODUCT($O12:$O$67*AG12:AG$67*($E12:$E$67=$D11)),IF(ISNUMBER(Data_2014_N!AA11),100*ABS($G11-(Data_2014_N!AA11-$K11)/$M11),0),IF(ISNUMBER(Data_2014_N!AA11),100*ABS($G11-(Data_2014_N!AA11-$K11)/$M11),0)))</f>
        <v>50</v>
      </c>
      <c r="AH11" s="161">
        <f>IF($H11=0,0,CHOOSE($H11,SUMPRODUCT($O12:$O$67*AH12:AH$67*($E12:$E$67=$D11)),IF(ISNUMBER(Data_2014_N!AB11),100*ABS($G11-(Data_2014_N!AB11-$K11)/$M11),0),IF(ISNUMBER(Data_2014_N!AB11),100*ABS($G11-(Data_2014_N!AB11-$K11)/$M11),0)))</f>
        <v>50</v>
      </c>
      <c r="AI11" s="161">
        <f>IF($H11=0,0,CHOOSE($H11,SUMPRODUCT($O12:$O$67*AI12:AI$67*($E12:$E$67=$D11)),IF(ISNUMBER(Data_2014_N!AC11),100*ABS($G11-(Data_2014_N!AC11-$K11)/$M11),0),IF(ISNUMBER(Data_2014_N!AC11),100*ABS($G11-(Data_2014_N!AC11-$K11)/$M11),0)))</f>
        <v>50</v>
      </c>
      <c r="AJ11" s="161">
        <f>IF($H11=0,0,CHOOSE($H11,SUMPRODUCT($O12:$O$67*AJ12:AJ$67*($E12:$E$67=$D11)),IF(ISNUMBER(Data_2014_N!AD11),100*ABS($G11-(Data_2014_N!AD11-$K11)/$M11),0),IF(ISNUMBER(Data_2014_N!AD11),100*ABS($G11-(Data_2014_N!AD11-$K11)/$M11),0)))</f>
        <v>50</v>
      </c>
      <c r="AK11" s="161">
        <f>IF($H11=0,0,CHOOSE($H11,SUMPRODUCT($O12:$O$67*AK12:AK$67*($E12:$E$67=$D11)),IF(ISNUMBER(Data_2014_N!AE11),100*ABS($G11-(Data_2014_N!AE11-$K11)/$M11),0),IF(ISNUMBER(Data_2014_N!AE11),100*ABS($G11-(Data_2014_N!AE11-$K11)/$M11),0)))</f>
        <v>50</v>
      </c>
      <c r="AL11" s="161">
        <f>IF($H11=0,0,CHOOSE($H11,SUMPRODUCT($O12:$O$67*AL12:AL$67*($E12:$E$67=$D11)),IF(ISNUMBER(Data_2014_N!AF11),100*ABS($G11-(Data_2014_N!AF11-$K11)/$M11),0),IF(ISNUMBER(Data_2014_N!AF11),100*ABS($G11-(Data_2014_N!AF11-$K11)/$M11),0)))</f>
        <v>50</v>
      </c>
      <c r="AM11" s="161">
        <f>IF($H11=0,0,CHOOSE($H11,SUMPRODUCT($O12:$O$67*AM12:AM$67*($E12:$E$67=$D11)),IF(ISNUMBER(Data_2014_N!AG11),100*ABS($G11-(Data_2014_N!AG11-$K11)/$M11),0),IF(ISNUMBER(Data_2014_N!AG11),100*ABS($G11-(Data_2014_N!AG11-$K11)/$M11),0)))</f>
        <v>50</v>
      </c>
      <c r="AN11" s="161">
        <f>IF($H11=0,0,CHOOSE($H11,SUMPRODUCT($O12:$O$67*AN12:AN$67*($E12:$E$67=$D11)),IF(ISNUMBER(Data_2014_N!AH11),100*ABS($G11-(Data_2014_N!AH11-$K11)/$M11),0),IF(ISNUMBER(Data_2014_N!AH11),100*ABS($G11-(Data_2014_N!AH11-$K11)/$M11),0)))</f>
        <v>50</v>
      </c>
      <c r="AO11" s="161">
        <f>IF($H11=0,0,CHOOSE($H11,SUMPRODUCT($O12:$O$67*AO12:AO$67*($E12:$E$67=$D11)),IF(ISNUMBER(Data_2014_N!AI11),100*ABS($G11-(Data_2014_N!AI11-$K11)/$M11),0),IF(ISNUMBER(Data_2014_N!AI11),100*ABS($G11-(Data_2014_N!AI11-$K11)/$M11),0)))</f>
        <v>100</v>
      </c>
      <c r="AP11" s="161">
        <f>IF($H11=0,0,CHOOSE($H11,SUMPRODUCT($O12:$O$67*AP12:AP$67*($E12:$E$67=$D11)),IF(ISNUMBER(Data_2014_N!AJ11),100*ABS($G11-(Data_2014_N!AJ11-$K11)/$M11),0),IF(ISNUMBER(Data_2014_N!AJ11),100*ABS($G11-(Data_2014_N!AJ11-$K11)/$M11),0)))</f>
        <v>100</v>
      </c>
      <c r="AQ11" s="161">
        <f>IF($H11=0,0,CHOOSE($H11,SUMPRODUCT($O12:$O$67*AQ12:AQ$67*($E12:$E$67=$D11)),IF(ISNUMBER(Data_2014_N!AK11),100*ABS($G11-(Data_2014_N!AK11-$K11)/$M11),0),IF(ISNUMBER(Data_2014_N!AK11),100*ABS($G11-(Data_2014_N!AK11-$K11)/$M11),0)))</f>
        <v>50</v>
      </c>
      <c r="AR11" s="161">
        <f>IF($H11=0,0,CHOOSE($H11,SUMPRODUCT($O12:$O$67*AR12:AR$67*($E12:$E$67=$D11)),IF(ISNUMBER(Data_2014_N!AL11),100*ABS($G11-(Data_2014_N!AL11-$K11)/$M11),0),IF(ISNUMBER(Data_2014_N!AL11),100*ABS($G11-(Data_2014_N!AL11-$K11)/$M11),0)))</f>
        <v>50</v>
      </c>
      <c r="AS11" s="161">
        <f>IF($H11=0,0,CHOOSE($H11,SUMPRODUCT($O12:$O$67*AS12:AS$67*($E12:$E$67=$D11)),IF(ISNUMBER(Data_2014_N!AM11),100*ABS($G11-(Data_2014_N!AM11-$K11)/$M11),0),IF(ISNUMBER(Data_2014_N!AM11),100*ABS($G11-(Data_2014_N!AM11-$K11)/$M11),0)))</f>
        <v>50</v>
      </c>
      <c r="AT11" s="161">
        <f>IF($H11=0,0,CHOOSE($H11,SUMPRODUCT($O12:$O$67*AT12:AT$67*($E12:$E$67=$D11)),IF(ISNUMBER(Data_2014_N!AN11),100*ABS($G11-(Data_2014_N!AN11-$K11)/$M11),0),IF(ISNUMBER(Data_2014_N!AN11),100*ABS($G11-(Data_2014_N!AN11-$K11)/$M11),0)))</f>
        <v>50</v>
      </c>
      <c r="AU11" s="161">
        <f>IF($H11=0,0,CHOOSE($H11,SUMPRODUCT($O12:$O$67*AU12:AU$67*($E12:$E$67=$D11)),IF(ISNUMBER(Data_2014_N!AO11),100*ABS($G11-(Data_2014_N!AO11-$K11)/$M11),0),IF(ISNUMBER(Data_2014_N!AO11),100*ABS($G11-(Data_2014_N!AO11-$K11)/$M11),0)))</f>
        <v>50</v>
      </c>
      <c r="AV11" s="161">
        <f>IF($H11=0,0,CHOOSE($H11,SUMPRODUCT($O12:$O$67*AV12:AV$67*($E12:$E$67=$D11)),IF(ISNUMBER(Data_2014_N!AP11),100*ABS($G11-(Data_2014_N!AP11-$K11)/$M11),0),IF(ISNUMBER(Data_2014_N!AP11),100*ABS($G11-(Data_2014_N!AP11-$K11)/$M11),0)))</f>
        <v>50</v>
      </c>
      <c r="AW11" s="161">
        <f>IF($H11=0,0,CHOOSE($H11,SUMPRODUCT($O12:$O$67*AW12:AW$67*($E12:$E$67=$D11)),IF(ISNUMBER(Data_2014_N!AQ11),100*ABS($G11-(Data_2014_N!AQ11-$K11)/$M11),0),IF(ISNUMBER(Data_2014_N!AQ11),100*ABS($G11-(Data_2014_N!AQ11-$K11)/$M11),0)))</f>
        <v>50</v>
      </c>
      <c r="AX11" s="161">
        <f>IF($H11=0,0,CHOOSE($H11,SUMPRODUCT($O12:$O$67*AX12:AX$67*($E12:$E$67=$D11)),IF(ISNUMBER(Data_2014_N!AR11),100*ABS($G11-(Data_2014_N!AR11-$K11)/$M11),0),IF(ISNUMBER(Data_2014_N!AR11),100*ABS($G11-(Data_2014_N!AR11-$K11)/$M11),0)))</f>
        <v>50</v>
      </c>
      <c r="AY11" s="161">
        <f>IF($H11=0,0,CHOOSE($H11,SUMPRODUCT($O12:$O$67*AY12:AY$67*($E12:$E$67=$D11)),IF(ISNUMBER(Data_2014_N!AS11),100*ABS($G11-(Data_2014_N!AS11-$K11)/$M11),0),IF(ISNUMBER(Data_2014_N!AS11),100*ABS($G11-(Data_2014_N!AS11-$K11)/$M11),0)))</f>
        <v>50</v>
      </c>
      <c r="AZ11" s="161">
        <f>IF($H11=0,0,CHOOSE($H11,SUMPRODUCT($O12:$O$67*AZ12:AZ$67*($E12:$E$67=$D11)),IF(ISNUMBER(Data_2014_N!AT11),100*ABS($G11-(Data_2014_N!AT11-$K11)/$M11),0),IF(ISNUMBER(Data_2014_N!AT11),100*ABS($G11-(Data_2014_N!AT11-$K11)/$M11),0)))</f>
        <v>50</v>
      </c>
      <c r="BA11" s="161">
        <f>IF($H11=0,0,CHOOSE($H11,SUMPRODUCT($O12:$O$67*BA12:BA$67*($E12:$E$67=$D11)),IF(ISNUMBER(Data_2014_N!AU11),100*ABS($G11-(Data_2014_N!AU11-$K11)/$M11),0),IF(ISNUMBER(Data_2014_N!AU11),100*ABS($G11-(Data_2014_N!AU11-$K11)/$M11),0)))</f>
        <v>100</v>
      </c>
      <c r="BB11" s="161">
        <f>IF($H11=0,0,CHOOSE($H11,SUMPRODUCT($O12:$O$67*BB12:BB$67*($E12:$E$67=$D11)),IF(ISNUMBER(Data_2014_N!AV11),100*ABS($G11-(Data_2014_N!AV11-$K11)/$M11),0),IF(ISNUMBER(Data_2014_N!AV11),100*ABS($G11-(Data_2014_N!AV11-$K11)/$M11),0)))</f>
        <v>50</v>
      </c>
      <c r="BC11" s="161">
        <f>IF($H11=0,0,CHOOSE($H11,SUMPRODUCT($O12:$O$67*BC12:BC$67*($E12:$E$67=$D11)),IF(ISNUMBER(Data_2014_N!AW11),100*ABS($G11-(Data_2014_N!AW11-$K11)/$M11),0),IF(ISNUMBER(Data_2014_N!AW11),100*ABS($G11-(Data_2014_N!AW11-$K11)/$M11),0)))</f>
        <v>50</v>
      </c>
      <c r="BD11" s="161">
        <f>IF($H11=0,0,CHOOSE($H11,SUMPRODUCT($O12:$O$67*BD12:BD$67*($E12:$E$67=$D11)),IF(ISNUMBER(Data_2014_N!AX11),100*ABS($G11-(Data_2014_N!AX11-$K11)/$M11),0),IF(ISNUMBER(Data_2014_N!AX11),100*ABS($G11-(Data_2014_N!AX11-$K11)/$M11),0)))</f>
        <v>0</v>
      </c>
      <c r="BE11" s="161">
        <f>IF($H11=0,0,CHOOSE($H11,SUMPRODUCT($O12:$O$67*BE12:BE$67*($E12:$E$67=$D11)),IF(ISNUMBER(Data_2014_N!AY11),100*ABS($G11-(Data_2014_N!AY11-$K11)/$M11),0),IF(ISNUMBER(Data_2014_N!AY11),100*ABS($G11-(Data_2014_N!AY11-$K11)/$M11),0)))</f>
        <v>0</v>
      </c>
      <c r="BF11" s="161">
        <f>IF($H11=0,0,CHOOSE($H11,SUMPRODUCT($O12:$O$67*BF12:BF$67*($E12:$E$67=$D11)),IF(ISNUMBER(Data_2014_N!AZ11),100*ABS($G11-(Data_2014_N!AZ11-$K11)/$M11),0),IF(ISNUMBER(Data_2014_N!AZ11),100*ABS($G11-(Data_2014_N!AZ11-$K11)/$M11),0)))</f>
        <v>100</v>
      </c>
      <c r="BG11" s="161">
        <f>IF($H11=0,0,CHOOSE($H11,SUMPRODUCT($O12:$O$67*BG12:BG$67*($E12:$E$67=$D11)),IF(ISNUMBER(Data_2014_N!BA11),100*ABS($G11-(Data_2014_N!BA11-$K11)/$M11),0),IF(ISNUMBER(Data_2014_N!BA11),100*ABS($G11-(Data_2014_N!BA11-$K11)/$M11),0)))</f>
        <v>50</v>
      </c>
      <c r="BH11" s="161">
        <f>IF($H11=0,0,CHOOSE($H11,SUMPRODUCT($O12:$O$67*BH12:BH$67*($E12:$E$67=$D11)),IF(ISNUMBER(Data_2014_N!BB11),100*ABS($G11-(Data_2014_N!BB11-$K11)/$M11),0),IF(ISNUMBER(Data_2014_N!BB11),100*ABS($G11-(Data_2014_N!BB11-$K11)/$M11),0)))</f>
        <v>50</v>
      </c>
      <c r="BI11" s="161">
        <f>IF($H11=0,0,CHOOSE($H11,SUMPRODUCT($O12:$O$67*BI12:BI$67*($E12:$E$67=$D11)),IF(ISNUMBER(Data_2014_N!BC11),100*ABS($G11-(Data_2014_N!BC11-$K11)/$M11),0),IF(ISNUMBER(Data_2014_N!BC11),100*ABS($G11-(Data_2014_N!BC11-$K11)/$M11),0)))</f>
        <v>50</v>
      </c>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row>
    <row r="12" s="69" customFormat="1" ht="24.95" customHeight="1" spans="1:115">
      <c r="A12" s="92"/>
      <c r="B12" s="92">
        <f>tblIndicators!A8</f>
        <v>7</v>
      </c>
      <c r="C12" s="92">
        <f>tblIndicators!B8</f>
        <v>0</v>
      </c>
      <c r="D12" s="92" t="str">
        <f>tblIndicators!D8</f>
        <v>DISE1.1.4</v>
      </c>
      <c r="E12" s="92" t="str">
        <f>tblIndicators!E8</f>
        <v>DISE1.1</v>
      </c>
      <c r="F12" s="92">
        <f>tblIndicators!F8</f>
        <v>3</v>
      </c>
      <c r="G12" s="92">
        <f>tblIndicators!Y8</f>
        <v>0</v>
      </c>
      <c r="H12" s="92">
        <f>tblIndicators!Z8</f>
        <v>3</v>
      </c>
      <c r="I12" s="104">
        <f>tblIndicators!AA8</f>
        <v>0</v>
      </c>
      <c r="J12" s="92">
        <f>tblIndicators!AB8</f>
        <v>100</v>
      </c>
      <c r="K12" s="92">
        <f>CHOOSE(H12,"-",MIN(Data_2014_N!J12:BC12),I12)</f>
        <v>0</v>
      </c>
      <c r="L12" s="165">
        <f>CHOOSE(H12,"-",MAX(Data_2014_N!J12:BC12),J12)</f>
        <v>100</v>
      </c>
      <c r="M12" s="92">
        <f t="shared" si="1"/>
        <v>100</v>
      </c>
      <c r="N12" s="168" t="str">
        <f>REPT(" ",F12)&amp;tblIndicators!AE8</f>
        <v>   1.1.4) Level of technology employed</v>
      </c>
      <c r="O12" s="169">
        <f>tblIndicators!AD8</f>
        <v>0.2</v>
      </c>
      <c r="P12" s="161">
        <f>IF($H12=0,0,CHOOSE($H12,SUMPRODUCT($O13:$O$67*P13:P$67*($E13:$E$67=$D12)),IF(ISNUMBER(Data_2014_N!J12),100*ABS($G12-(Data_2014_N!J12-$K12)/$M12),0),IF(ISNUMBER(Data_2014_N!J12),100*ABS($G12-(Data_2014_N!J12-$K12)/$M12),0)))</f>
        <v>100</v>
      </c>
      <c r="Q12" s="161">
        <f>IF($H12=0,0,CHOOSE($H12,SUMPRODUCT($O13:$O$67*Q13:Q$67*($E13:$E$67=$D12)),IF(ISNUMBER(Data_2014_N!K12),100*ABS($G12-(Data_2014_N!K12-$K12)/$M12),0),IF(ISNUMBER(Data_2014_N!K12),100*ABS($G12-(Data_2014_N!K12-$K12)/$M12),0)))</f>
        <v>100</v>
      </c>
      <c r="R12" s="161">
        <f>IF($H12=0,0,CHOOSE($H12,SUMPRODUCT($O13:$O$67*R13:R$67*($E13:$E$67=$D12)),IF(ISNUMBER(Data_2014_N!L12),100*ABS($G12-(Data_2014_N!L12-$K12)/$M12),0),IF(ISNUMBER(Data_2014_N!L12),100*ABS($G12-(Data_2014_N!L12-$K12)/$M12),0)))</f>
        <v>75</v>
      </c>
      <c r="S12" s="161">
        <f>IF($H12=0,0,CHOOSE($H12,SUMPRODUCT($O13:$O$67*S13:S$67*($E13:$E$67=$D12)),IF(ISNUMBER(Data_2014_N!M12),100*ABS($G12-(Data_2014_N!M12-$K12)/$M12),0),IF(ISNUMBER(Data_2014_N!M12),100*ABS($G12-(Data_2014_N!M12-$K12)/$M12),0)))</f>
        <v>100</v>
      </c>
      <c r="T12" s="161">
        <f>IF($H12=0,0,CHOOSE($H12,SUMPRODUCT($O13:$O$67*T13:T$67*($E13:$E$67=$D12)),IF(ISNUMBER(Data_2014_N!N12),100*ABS($G12-(Data_2014_N!N12-$K12)/$M12),0),IF(ISNUMBER(Data_2014_N!N12),100*ABS($G12-(Data_2014_N!N12-$K12)/$M12),0)))</f>
        <v>75</v>
      </c>
      <c r="U12" s="161">
        <f>IF($H12=0,0,CHOOSE($H12,SUMPRODUCT($O13:$O$67*U13:U$67*($E13:$E$67=$D12)),IF(ISNUMBER(Data_2014_N!O12),100*ABS($G12-(Data_2014_N!O12-$K12)/$M12),0),IF(ISNUMBER(Data_2014_N!O12),100*ABS($G12-(Data_2014_N!O12-$K12)/$M12),0)))</f>
        <v>100</v>
      </c>
      <c r="V12" s="161">
        <f>IF($H12=0,0,CHOOSE($H12,SUMPRODUCT($O13:$O$67*V13:V$67*($E13:$E$67=$D12)),IF(ISNUMBER(Data_2014_N!P12),100*ABS($G12-(Data_2014_N!P12-$K12)/$M12),0),IF(ISNUMBER(Data_2014_N!P12),100*ABS($G12-(Data_2014_N!P12-$K12)/$M12),0)))</f>
        <v>75</v>
      </c>
      <c r="W12" s="161">
        <f>IF($H12=0,0,CHOOSE($H12,SUMPRODUCT($O13:$O$67*W13:W$67*($E13:$E$67=$D12)),IF(ISNUMBER(Data_2014_N!Q12),100*ABS($G12-(Data_2014_N!Q12-$K12)/$M12),0),IF(ISNUMBER(Data_2014_N!Q12),100*ABS($G12-(Data_2014_N!Q12-$K12)/$M12),0)))</f>
        <v>100</v>
      </c>
      <c r="X12" s="161">
        <f>IF($H12=0,0,CHOOSE($H12,SUMPRODUCT($O13:$O$67*X13:X$67*($E13:$E$67=$D12)),IF(ISNUMBER(Data_2014_N!R12),100*ABS($G12-(Data_2014_N!R12-$K12)/$M12),0),IF(ISNUMBER(Data_2014_N!R12),100*ABS($G12-(Data_2014_N!R12-$K12)/$M12),0)))</f>
        <v>75</v>
      </c>
      <c r="Y12" s="161">
        <f>IF($H12=0,0,CHOOSE($H12,SUMPRODUCT($O13:$O$67*Y13:Y$67*($E13:$E$67=$D12)),IF(ISNUMBER(Data_2014_N!S12),100*ABS($G12-(Data_2014_N!S12-$K12)/$M12),0),IF(ISNUMBER(Data_2014_N!S12),100*ABS($G12-(Data_2014_N!S12-$K12)/$M12),0)))</f>
        <v>75</v>
      </c>
      <c r="Z12" s="161">
        <f>IF($H12=0,0,CHOOSE($H12,SUMPRODUCT($O13:$O$67*Z13:Z$67*($E13:$E$67=$D12)),IF(ISNUMBER(Data_2014_N!T12),100*ABS($G12-(Data_2014_N!T12-$K12)/$M12),0),IF(ISNUMBER(Data_2014_N!T12),100*ABS($G12-(Data_2014_N!T12-$K12)/$M12),0)))</f>
        <v>100</v>
      </c>
      <c r="AA12" s="161">
        <f>IF($H12=0,0,CHOOSE($H12,SUMPRODUCT($O13:$O$67*AA13:AA$67*($E13:$E$67=$D12)),IF(ISNUMBER(Data_2014_N!U12),100*ABS($G12-(Data_2014_N!U12-$K12)/$M12),0),IF(ISNUMBER(Data_2014_N!U12),100*ABS($G12-(Data_2014_N!U12-$K12)/$M12),0)))</f>
        <v>75</v>
      </c>
      <c r="AB12" s="161">
        <f>IF($H12=0,0,CHOOSE($H12,SUMPRODUCT($O13:$O$67*AB13:AB$67*($E13:$E$67=$D12)),IF(ISNUMBER(Data_2014_N!V12),100*ABS($G12-(Data_2014_N!V12-$K12)/$M12),0),IF(ISNUMBER(Data_2014_N!V12),100*ABS($G12-(Data_2014_N!V12-$K12)/$M12),0)))</f>
        <v>100</v>
      </c>
      <c r="AC12" s="161">
        <f>IF($H12=0,0,CHOOSE($H12,SUMPRODUCT($O13:$O$67*AC13:AC$67*($E13:$E$67=$D12)),IF(ISNUMBER(Data_2014_N!W12),100*ABS($G12-(Data_2014_N!W12-$K12)/$M12),0),IF(ISNUMBER(Data_2014_N!W12),100*ABS($G12-(Data_2014_N!W12-$K12)/$M12),0)))</f>
        <v>75</v>
      </c>
      <c r="AD12" s="161">
        <f>IF($H12=0,0,CHOOSE($H12,SUMPRODUCT($O13:$O$67*AD13:AD$67*($E13:$E$67=$D12)),IF(ISNUMBER(Data_2014_N!X12),100*ABS($G12-(Data_2014_N!X12-$K12)/$M12),0),IF(ISNUMBER(Data_2014_N!X12),100*ABS($G12-(Data_2014_N!X12-$K12)/$M12),0)))</f>
        <v>75</v>
      </c>
      <c r="AE12" s="161">
        <f>IF($H12=0,0,CHOOSE($H12,SUMPRODUCT($O13:$O$67*AE13:AE$67*($E13:$E$67=$D12)),IF(ISNUMBER(Data_2014_N!Y12),100*ABS($G12-(Data_2014_N!Y12-$K12)/$M12),0),IF(ISNUMBER(Data_2014_N!Y12),100*ABS($G12-(Data_2014_N!Y12-$K12)/$M12),0)))</f>
        <v>75</v>
      </c>
      <c r="AF12" s="161">
        <f>IF($H12=0,0,CHOOSE($H12,SUMPRODUCT($O13:$O$67*AF13:AF$67*($E13:$E$67=$D12)),IF(ISNUMBER(Data_2014_N!Z12),100*ABS($G12-(Data_2014_N!Z12-$K12)/$M12),0),IF(ISNUMBER(Data_2014_N!Z12),100*ABS($G12-(Data_2014_N!Z12-$K12)/$M12),0)))</f>
        <v>75</v>
      </c>
      <c r="AG12" s="161">
        <f>IF($H12=0,0,CHOOSE($H12,SUMPRODUCT($O13:$O$67*AG13:AG$67*($E13:$E$67=$D12)),IF(ISNUMBER(Data_2014_N!AA12),100*ABS($G12-(Data_2014_N!AA12-$K12)/$M12),0),IF(ISNUMBER(Data_2014_N!AA12),100*ABS($G12-(Data_2014_N!AA12-$K12)/$M12),0)))</f>
        <v>75</v>
      </c>
      <c r="AH12" s="161">
        <f>IF($H12=0,0,CHOOSE($H12,SUMPRODUCT($O13:$O$67*AH13:AH$67*($E13:$E$67=$D12)),IF(ISNUMBER(Data_2014_N!AB12),100*ABS($G12-(Data_2014_N!AB12-$K12)/$M12),0),IF(ISNUMBER(Data_2014_N!AB12),100*ABS($G12-(Data_2014_N!AB12-$K12)/$M12),0)))</f>
        <v>100</v>
      </c>
      <c r="AI12" s="161">
        <f>IF($H12=0,0,CHOOSE($H12,SUMPRODUCT($O13:$O$67*AI13:AI$67*($E13:$E$67=$D12)),IF(ISNUMBER(Data_2014_N!AC12),100*ABS($G12-(Data_2014_N!AC12-$K12)/$M12),0),IF(ISNUMBER(Data_2014_N!AC12),100*ABS($G12-(Data_2014_N!AC12-$K12)/$M12),0)))</f>
        <v>100</v>
      </c>
      <c r="AJ12" s="161">
        <f>IF($H12=0,0,CHOOSE($H12,SUMPRODUCT($O13:$O$67*AJ13:AJ$67*($E13:$E$67=$D12)),IF(ISNUMBER(Data_2014_N!AD12),100*ABS($G12-(Data_2014_N!AD12-$K12)/$M12),0),IF(ISNUMBER(Data_2014_N!AD12),100*ABS($G12-(Data_2014_N!AD12-$K12)/$M12),0)))</f>
        <v>100</v>
      </c>
      <c r="AK12" s="161">
        <f>IF($H12=0,0,CHOOSE($H12,SUMPRODUCT($O13:$O$67*AK13:AK$67*($E13:$E$67=$D12)),IF(ISNUMBER(Data_2014_N!AE12),100*ABS($G12-(Data_2014_N!AE12-$K12)/$M12),0),IF(ISNUMBER(Data_2014_N!AE12),100*ABS($G12-(Data_2014_N!AE12-$K12)/$M12),0)))</f>
        <v>100</v>
      </c>
      <c r="AL12" s="161">
        <f>IF($H12=0,0,CHOOSE($H12,SUMPRODUCT($O13:$O$67*AL13:AL$67*($E13:$E$67=$D12)),IF(ISNUMBER(Data_2014_N!AF12),100*ABS($G12-(Data_2014_N!AF12-$K12)/$M12),0),IF(ISNUMBER(Data_2014_N!AF12),100*ABS($G12-(Data_2014_N!AF12-$K12)/$M12),0)))</f>
        <v>75</v>
      </c>
      <c r="AM12" s="161">
        <f>IF($H12=0,0,CHOOSE($H12,SUMPRODUCT($O13:$O$67*AM13:AM$67*($E13:$E$67=$D12)),IF(ISNUMBER(Data_2014_N!AG12),100*ABS($G12-(Data_2014_N!AG12-$K12)/$M12),0),IF(ISNUMBER(Data_2014_N!AG12),100*ABS($G12-(Data_2014_N!AG12-$K12)/$M12),0)))</f>
        <v>100</v>
      </c>
      <c r="AN12" s="161">
        <f>IF($H12=0,0,CHOOSE($H12,SUMPRODUCT($O13:$O$67*AN13:AN$67*($E13:$E$67=$D12)),IF(ISNUMBER(Data_2014_N!AH12),100*ABS($G12-(Data_2014_N!AH12-$K12)/$M12),0),IF(ISNUMBER(Data_2014_N!AH12),100*ABS($G12-(Data_2014_N!AH12-$K12)/$M12),0)))</f>
        <v>75</v>
      </c>
      <c r="AO12" s="161">
        <f>IF($H12=0,0,CHOOSE($H12,SUMPRODUCT($O13:$O$67*AO13:AO$67*($E13:$E$67=$D12)),IF(ISNUMBER(Data_2014_N!AI12),100*ABS($G12-(Data_2014_N!AI12-$K12)/$M12),0),IF(ISNUMBER(Data_2014_N!AI12),100*ABS($G12-(Data_2014_N!AI12-$K12)/$M12),0)))</f>
        <v>75</v>
      </c>
      <c r="AP12" s="161">
        <f>IF($H12=0,0,CHOOSE($H12,SUMPRODUCT($O13:$O$67*AP13:AP$67*($E13:$E$67=$D12)),IF(ISNUMBER(Data_2014_N!AJ12),100*ABS($G12-(Data_2014_N!AJ12-$K12)/$M12),0),IF(ISNUMBER(Data_2014_N!AJ12),100*ABS($G12-(Data_2014_N!AJ12-$K12)/$M12),0)))</f>
        <v>100</v>
      </c>
      <c r="AQ12" s="161">
        <f>IF($H12=0,0,CHOOSE($H12,SUMPRODUCT($O13:$O$67*AQ13:AQ$67*($E13:$E$67=$D12)),IF(ISNUMBER(Data_2014_N!AK12),100*ABS($G12-(Data_2014_N!AK12-$K12)/$M12),0),IF(ISNUMBER(Data_2014_N!AK12),100*ABS($G12-(Data_2014_N!AK12-$K12)/$M12),0)))</f>
        <v>100</v>
      </c>
      <c r="AR12" s="161">
        <f>IF($H12=0,0,CHOOSE($H12,SUMPRODUCT($O13:$O$67*AR13:AR$67*($E13:$E$67=$D12)),IF(ISNUMBER(Data_2014_N!AL12),100*ABS($G12-(Data_2014_N!AL12-$K12)/$M12),0),IF(ISNUMBER(Data_2014_N!AL12),100*ABS($G12-(Data_2014_N!AL12-$K12)/$M12),0)))</f>
        <v>100</v>
      </c>
      <c r="AS12" s="161">
        <f>IF($H12=0,0,CHOOSE($H12,SUMPRODUCT($O13:$O$67*AS13:AS$67*($E13:$E$67=$D12)),IF(ISNUMBER(Data_2014_N!AM12),100*ABS($G12-(Data_2014_N!AM12-$K12)/$M12),0),IF(ISNUMBER(Data_2014_N!AM12),100*ABS($G12-(Data_2014_N!AM12-$K12)/$M12),0)))</f>
        <v>75</v>
      </c>
      <c r="AT12" s="161">
        <f>IF($H12=0,0,CHOOSE($H12,SUMPRODUCT($O13:$O$67*AT13:AT$67*($E13:$E$67=$D12)),IF(ISNUMBER(Data_2014_N!AN12),100*ABS($G12-(Data_2014_N!AN12-$K12)/$M12),0),IF(ISNUMBER(Data_2014_N!AN12),100*ABS($G12-(Data_2014_N!AN12-$K12)/$M12),0)))</f>
        <v>75</v>
      </c>
      <c r="AU12" s="161">
        <f>IF($H12=0,0,CHOOSE($H12,SUMPRODUCT($O13:$O$67*AU13:AU$67*($E13:$E$67=$D12)),IF(ISNUMBER(Data_2014_N!AO12),100*ABS($G12-(Data_2014_N!AO12-$K12)/$M12),0),IF(ISNUMBER(Data_2014_N!AO12),100*ABS($G12-(Data_2014_N!AO12-$K12)/$M12),0)))</f>
        <v>100</v>
      </c>
      <c r="AV12" s="161">
        <f>IF($H12=0,0,CHOOSE($H12,SUMPRODUCT($O13:$O$67*AV13:AV$67*($E13:$E$67=$D12)),IF(ISNUMBER(Data_2014_N!AP12),100*ABS($G12-(Data_2014_N!AP12-$K12)/$M12),0),IF(ISNUMBER(Data_2014_N!AP12),100*ABS($G12-(Data_2014_N!AP12-$K12)/$M12),0)))</f>
        <v>100</v>
      </c>
      <c r="AW12" s="161">
        <f>IF($H12=0,0,CHOOSE($H12,SUMPRODUCT($O13:$O$67*AW13:AW$67*($E13:$E$67=$D12)),IF(ISNUMBER(Data_2014_N!AQ12),100*ABS($G12-(Data_2014_N!AQ12-$K12)/$M12),0),IF(ISNUMBER(Data_2014_N!AQ12),100*ABS($G12-(Data_2014_N!AQ12-$K12)/$M12),0)))</f>
        <v>75</v>
      </c>
      <c r="AX12" s="161">
        <f>IF($H12=0,0,CHOOSE($H12,SUMPRODUCT($O13:$O$67*AX13:AX$67*($E13:$E$67=$D12)),IF(ISNUMBER(Data_2014_N!AR12),100*ABS($G12-(Data_2014_N!AR12-$K12)/$M12),0),IF(ISNUMBER(Data_2014_N!AR12),100*ABS($G12-(Data_2014_N!AR12-$K12)/$M12),0)))</f>
        <v>75</v>
      </c>
      <c r="AY12" s="161">
        <f>IF($H12=0,0,CHOOSE($H12,SUMPRODUCT($O13:$O$67*AY13:AY$67*($E13:$E$67=$D12)),IF(ISNUMBER(Data_2014_N!AS12),100*ABS($G12-(Data_2014_N!AS12-$K12)/$M12),0),IF(ISNUMBER(Data_2014_N!AS12),100*ABS($G12-(Data_2014_N!AS12-$K12)/$M12),0)))</f>
        <v>100</v>
      </c>
      <c r="AZ12" s="161">
        <f>IF($H12=0,0,CHOOSE($H12,SUMPRODUCT($O13:$O$67*AZ13:AZ$67*($E13:$E$67=$D12)),IF(ISNUMBER(Data_2014_N!AT12),100*ABS($G12-(Data_2014_N!AT12-$K12)/$M12),0),IF(ISNUMBER(Data_2014_N!AT12),100*ABS($G12-(Data_2014_N!AT12-$K12)/$M12),0)))</f>
        <v>75</v>
      </c>
      <c r="BA12" s="161">
        <f>IF($H12=0,0,CHOOSE($H12,SUMPRODUCT($O13:$O$67*BA13:BA$67*($E13:$E$67=$D12)),IF(ISNUMBER(Data_2014_N!AU12),100*ABS($G12-(Data_2014_N!AU12-$K12)/$M12),0),IF(ISNUMBER(Data_2014_N!AU12),100*ABS($G12-(Data_2014_N!AU12-$K12)/$M12),0)))</f>
        <v>100</v>
      </c>
      <c r="BB12" s="161">
        <f>IF($H12=0,0,CHOOSE($H12,SUMPRODUCT($O13:$O$67*BB13:BB$67*($E13:$E$67=$D12)),IF(ISNUMBER(Data_2014_N!AV12),100*ABS($G12-(Data_2014_N!AV12-$K12)/$M12),0),IF(ISNUMBER(Data_2014_N!AV12),100*ABS($G12-(Data_2014_N!AV12-$K12)/$M12),0)))</f>
        <v>100</v>
      </c>
      <c r="BC12" s="161">
        <f>IF($H12=0,0,CHOOSE($H12,SUMPRODUCT($O13:$O$67*BC13:BC$67*($E13:$E$67=$D12)),IF(ISNUMBER(Data_2014_N!AW12),100*ABS($G12-(Data_2014_N!AW12-$K12)/$M12),0),IF(ISNUMBER(Data_2014_N!AW12),100*ABS($G12-(Data_2014_N!AW12-$K12)/$M12),0)))</f>
        <v>100</v>
      </c>
      <c r="BD12" s="161">
        <f>IF($H12=0,0,CHOOSE($H12,SUMPRODUCT($O13:$O$67*BD13:BD$67*($E13:$E$67=$D12)),IF(ISNUMBER(Data_2014_N!AX12),100*ABS($G12-(Data_2014_N!AX12-$K12)/$M12),0),IF(ISNUMBER(Data_2014_N!AX12),100*ABS($G12-(Data_2014_N!AX12-$K12)/$M12),0)))</f>
        <v>100</v>
      </c>
      <c r="BE12" s="161">
        <f>IF($H12=0,0,CHOOSE($H12,SUMPRODUCT($O13:$O$67*BE13:BE$67*($E13:$E$67=$D12)),IF(ISNUMBER(Data_2014_N!AY12),100*ABS($G12-(Data_2014_N!AY12-$K12)/$M12),0),IF(ISNUMBER(Data_2014_N!AY12),100*ABS($G12-(Data_2014_N!AY12-$K12)/$M12),0)))</f>
        <v>50</v>
      </c>
      <c r="BF12" s="161">
        <f>IF($H12=0,0,CHOOSE($H12,SUMPRODUCT($O13:$O$67*BF13:BF$67*($E13:$E$67=$D12)),IF(ISNUMBER(Data_2014_N!AZ12),100*ABS($G12-(Data_2014_N!AZ12-$K12)/$M12),0),IF(ISNUMBER(Data_2014_N!AZ12),100*ABS($G12-(Data_2014_N!AZ12-$K12)/$M12),0)))</f>
        <v>100</v>
      </c>
      <c r="BG12" s="161">
        <f>IF($H12=0,0,CHOOSE($H12,SUMPRODUCT($O13:$O$67*BG13:BG$67*($E13:$E$67=$D12)),IF(ISNUMBER(Data_2014_N!BA12),100*ABS($G12-(Data_2014_N!BA12-$K12)/$M12),0),IF(ISNUMBER(Data_2014_N!BA12),100*ABS($G12-(Data_2014_N!BA12-$K12)/$M12),0)))</f>
        <v>100</v>
      </c>
      <c r="BH12" s="161">
        <f>IF($H12=0,0,CHOOSE($H12,SUMPRODUCT($O13:$O$67*BH13:BH$67*($E13:$E$67=$D12)),IF(ISNUMBER(Data_2014_N!BB12),100*ABS($G12-(Data_2014_N!BB12-$K12)/$M12),0),IF(ISNUMBER(Data_2014_N!BB12),100*ABS($G12-(Data_2014_N!BB12-$K12)/$M12),0)))</f>
        <v>100</v>
      </c>
      <c r="BI12" s="161">
        <f>IF($H12=0,0,CHOOSE($H12,SUMPRODUCT($O13:$O$67*BI13:BI$67*($E13:$E$67=$D12)),IF(ISNUMBER(Data_2014_N!BC12),100*ABS($G12-(Data_2014_N!BC12-$K12)/$M12),0),IF(ISNUMBER(Data_2014_N!BC12),100*ABS($G12-(Data_2014_N!BC12-$K12)/$M12),0)))</f>
        <v>100</v>
      </c>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row>
    <row r="13" s="69" customFormat="1" ht="24.95" customHeight="1" spans="1:115">
      <c r="A13" s="92"/>
      <c r="B13" s="92">
        <f>tblIndicators!A9</f>
        <v>8</v>
      </c>
      <c r="C13" s="92">
        <f>tblIndicators!B9</f>
        <v>0</v>
      </c>
      <c r="D13" s="92" t="str">
        <f>tblIndicators!D9</f>
        <v>DISE1.1.5</v>
      </c>
      <c r="E13" s="92" t="str">
        <f>tblIndicators!E9</f>
        <v>DISE1.1</v>
      </c>
      <c r="F13" s="92">
        <f>tblIndicators!F9</f>
        <v>3</v>
      </c>
      <c r="G13" s="92">
        <f>tblIndicators!Y9</f>
        <v>0</v>
      </c>
      <c r="H13" s="92">
        <f>tblIndicators!Z9</f>
        <v>3</v>
      </c>
      <c r="I13" s="104">
        <f>tblIndicators!AA9</f>
        <v>0</v>
      </c>
      <c r="J13" s="92">
        <f>tblIndicators!AB9</f>
        <v>2</v>
      </c>
      <c r="K13" s="92">
        <f>CHOOSE(H13,"-",MIN(Data_2014_N!J13:BC13),I13)</f>
        <v>0</v>
      </c>
      <c r="L13" s="165">
        <f>CHOOSE(H13,"-",MAX(Data_2014_N!J13:BC13),J13)</f>
        <v>2</v>
      </c>
      <c r="M13" s="92">
        <f t="shared" si="1"/>
        <v>2</v>
      </c>
      <c r="N13" s="168" t="str">
        <f>REPT(" ",F13)&amp;tblIndicators!AE9</f>
        <v>   1.1.5) Dedicated cyber security teams</v>
      </c>
      <c r="O13" s="169">
        <f>tblIndicators!AD9</f>
        <v>0.2</v>
      </c>
      <c r="P13" s="161">
        <f>IF($H13=0,0,CHOOSE($H13,SUMPRODUCT($O14:$O$67*P14:P$67*($E14:$E$67=$D13)),IF(ISNUMBER(Data_2014_N!J13),100*ABS($G13-(Data_2014_N!J13-$K13)/$M13),0),IF(ISNUMBER(Data_2014_N!J13),100*ABS($G13-(Data_2014_N!J13-$K13)/$M13),0)))</f>
        <v>100</v>
      </c>
      <c r="Q13" s="161">
        <f>IF($H13=0,0,CHOOSE($H13,SUMPRODUCT($O14:$O$67*Q14:Q$67*($E14:$E$67=$D13)),IF(ISNUMBER(Data_2014_N!K13),100*ABS($G13-(Data_2014_N!K13-$K13)/$M13),0),IF(ISNUMBER(Data_2014_N!K13),100*ABS($G13-(Data_2014_N!K13-$K13)/$M13),0)))</f>
        <v>50</v>
      </c>
      <c r="R13" s="161">
        <f>IF($H13=0,0,CHOOSE($H13,SUMPRODUCT($O14:$O$67*R14:R$67*($E14:$E$67=$D13)),IF(ISNUMBER(Data_2014_N!L13),100*ABS($G13-(Data_2014_N!L13-$K13)/$M13),0),IF(ISNUMBER(Data_2014_N!L13),100*ABS($G13-(Data_2014_N!L13-$K13)/$M13),0)))</f>
        <v>50</v>
      </c>
      <c r="S13" s="161">
        <f>IF($H13=0,0,CHOOSE($H13,SUMPRODUCT($O14:$O$67*S14:S$67*($E14:$E$67=$D13)),IF(ISNUMBER(Data_2014_N!M13),100*ABS($G13-(Data_2014_N!M13-$K13)/$M13),0),IF(ISNUMBER(Data_2014_N!M13),100*ABS($G13-(Data_2014_N!M13-$K13)/$M13),0)))</f>
        <v>100</v>
      </c>
      <c r="T13" s="161">
        <f>IF($H13=0,0,CHOOSE($H13,SUMPRODUCT($O14:$O$67*T14:T$67*($E14:$E$67=$D13)),IF(ISNUMBER(Data_2014_N!N13),100*ABS($G13-(Data_2014_N!N13-$K13)/$M13),0),IF(ISNUMBER(Data_2014_N!N13),100*ABS($G13-(Data_2014_N!N13-$K13)/$M13),0)))</f>
        <v>50</v>
      </c>
      <c r="U13" s="161">
        <f>IF($H13=0,0,CHOOSE($H13,SUMPRODUCT($O14:$O$67*U14:U$67*($E14:$E$67=$D13)),IF(ISNUMBER(Data_2014_N!O13),100*ABS($G13-(Data_2014_N!O13-$K13)/$M13),0),IF(ISNUMBER(Data_2014_N!O13),100*ABS($G13-(Data_2014_N!O13-$K13)/$M13),0)))</f>
        <v>50</v>
      </c>
      <c r="V13" s="161">
        <f>IF($H13=0,0,CHOOSE($H13,SUMPRODUCT($O14:$O$67*V14:V$67*($E14:$E$67=$D13)),IF(ISNUMBER(Data_2014_N!P13),100*ABS($G13-(Data_2014_N!P13-$K13)/$M13),0),IF(ISNUMBER(Data_2014_N!P13),100*ABS($G13-(Data_2014_N!P13-$K13)/$M13),0)))</f>
        <v>50</v>
      </c>
      <c r="W13" s="161">
        <f>IF($H13=0,0,CHOOSE($H13,SUMPRODUCT($O14:$O$67*W14:W$67*($E14:$E$67=$D13)),IF(ISNUMBER(Data_2014_N!Q13),100*ABS($G13-(Data_2014_N!Q13-$K13)/$M13),0),IF(ISNUMBER(Data_2014_N!Q13),100*ABS($G13-(Data_2014_N!Q13-$K13)/$M13),0)))</f>
        <v>100</v>
      </c>
      <c r="X13" s="161">
        <f>IF($H13=0,0,CHOOSE($H13,SUMPRODUCT($O14:$O$67*X14:X$67*($E14:$E$67=$D13)),IF(ISNUMBER(Data_2014_N!R13),100*ABS($G13-(Data_2014_N!R13-$K13)/$M13),0),IF(ISNUMBER(Data_2014_N!R13),100*ABS($G13-(Data_2014_N!R13-$K13)/$M13),0)))</f>
        <v>50</v>
      </c>
      <c r="Y13" s="161">
        <f>IF($H13=0,0,CHOOSE($H13,SUMPRODUCT($O14:$O$67*Y14:Y$67*($E14:$E$67=$D13)),IF(ISNUMBER(Data_2014_N!S13),100*ABS($G13-(Data_2014_N!S13-$K13)/$M13),0),IF(ISNUMBER(Data_2014_N!S13),100*ABS($G13-(Data_2014_N!S13-$K13)/$M13),0)))</f>
        <v>50</v>
      </c>
      <c r="Z13" s="161">
        <f>IF($H13=0,0,CHOOSE($H13,SUMPRODUCT($O14:$O$67*Z14:Z$67*($E14:$E$67=$D13)),IF(ISNUMBER(Data_2014_N!T13),100*ABS($G13-(Data_2014_N!T13-$K13)/$M13),0),IF(ISNUMBER(Data_2014_N!T13),100*ABS($G13-(Data_2014_N!T13-$K13)/$M13),0)))</f>
        <v>50</v>
      </c>
      <c r="AA13" s="161">
        <f>IF($H13=0,0,CHOOSE($H13,SUMPRODUCT($O14:$O$67*AA14:AA$67*($E14:$E$67=$D13)),IF(ISNUMBER(Data_2014_N!U13),100*ABS($G13-(Data_2014_N!U13-$K13)/$M13),0),IF(ISNUMBER(Data_2014_N!U13),100*ABS($G13-(Data_2014_N!U13-$K13)/$M13),0)))</f>
        <v>50</v>
      </c>
      <c r="AB13" s="161">
        <f>IF($H13=0,0,CHOOSE($H13,SUMPRODUCT($O14:$O$67*AB14:AB$67*($E14:$E$67=$D13)),IF(ISNUMBER(Data_2014_N!V13),100*ABS($G13-(Data_2014_N!V13-$K13)/$M13),0),IF(ISNUMBER(Data_2014_N!V13),100*ABS($G13-(Data_2014_N!V13-$K13)/$M13),0)))</f>
        <v>100</v>
      </c>
      <c r="AC13" s="161">
        <f>IF($H13=0,0,CHOOSE($H13,SUMPRODUCT($O14:$O$67*AC14:AC$67*($E14:$E$67=$D13)),IF(ISNUMBER(Data_2014_N!W13),100*ABS($G13-(Data_2014_N!W13-$K13)/$M13),0),IF(ISNUMBER(Data_2014_N!W13),100*ABS($G13-(Data_2014_N!W13-$K13)/$M13),0)))</f>
        <v>50</v>
      </c>
      <c r="AD13" s="161">
        <f>IF($H13=0,0,CHOOSE($H13,SUMPRODUCT($O14:$O$67*AD14:AD$67*($E14:$E$67=$D13)),IF(ISNUMBER(Data_2014_N!X13),100*ABS($G13-(Data_2014_N!X13-$K13)/$M13),0),IF(ISNUMBER(Data_2014_N!X13),100*ABS($G13-(Data_2014_N!X13-$K13)/$M13),0)))</f>
        <v>50</v>
      </c>
      <c r="AE13" s="161">
        <f>IF($H13=0,0,CHOOSE($H13,SUMPRODUCT($O14:$O$67*AE14:AE$67*($E14:$E$67=$D13)),IF(ISNUMBER(Data_2014_N!Y13),100*ABS($G13-(Data_2014_N!Y13-$K13)/$M13),0),IF(ISNUMBER(Data_2014_N!Y13),100*ABS($G13-(Data_2014_N!Y13-$K13)/$M13),0)))</f>
        <v>50</v>
      </c>
      <c r="AF13" s="161">
        <f>IF($H13=0,0,CHOOSE($H13,SUMPRODUCT($O14:$O$67*AF14:AF$67*($E14:$E$67=$D13)),IF(ISNUMBER(Data_2014_N!Z13),100*ABS($G13-(Data_2014_N!Z13-$K13)/$M13),0),IF(ISNUMBER(Data_2014_N!Z13),100*ABS($G13-(Data_2014_N!Z13-$K13)/$M13),0)))</f>
        <v>50</v>
      </c>
      <c r="AG13" s="161">
        <f>IF($H13=0,0,CHOOSE($H13,SUMPRODUCT($O14:$O$67*AG14:AG$67*($E14:$E$67=$D13)),IF(ISNUMBER(Data_2014_N!AA13),100*ABS($G13-(Data_2014_N!AA13-$K13)/$M13),0),IF(ISNUMBER(Data_2014_N!AA13),100*ABS($G13-(Data_2014_N!AA13-$K13)/$M13),0)))</f>
        <v>50</v>
      </c>
      <c r="AH13" s="161">
        <f>IF($H13=0,0,CHOOSE($H13,SUMPRODUCT($O14:$O$67*AH14:AH$67*($E14:$E$67=$D13)),IF(ISNUMBER(Data_2014_N!AB13),100*ABS($G13-(Data_2014_N!AB13-$K13)/$M13),0),IF(ISNUMBER(Data_2014_N!AB13),100*ABS($G13-(Data_2014_N!AB13-$K13)/$M13),0)))</f>
        <v>50</v>
      </c>
      <c r="AI13" s="161">
        <f>IF($H13=0,0,CHOOSE($H13,SUMPRODUCT($O14:$O$67*AI14:AI$67*($E14:$E$67=$D13)),IF(ISNUMBER(Data_2014_N!AC13),100*ABS($G13-(Data_2014_N!AC13-$K13)/$M13),0),IF(ISNUMBER(Data_2014_N!AC13),100*ABS($G13-(Data_2014_N!AC13-$K13)/$M13),0)))</f>
        <v>100</v>
      </c>
      <c r="AJ13" s="161">
        <f>IF($H13=0,0,CHOOSE($H13,SUMPRODUCT($O14:$O$67*AJ14:AJ$67*($E14:$E$67=$D13)),IF(ISNUMBER(Data_2014_N!AD13),100*ABS($G13-(Data_2014_N!AD13-$K13)/$M13),0),IF(ISNUMBER(Data_2014_N!AD13),100*ABS($G13-(Data_2014_N!AD13-$K13)/$M13),0)))</f>
        <v>50</v>
      </c>
      <c r="AK13" s="161">
        <f>IF($H13=0,0,CHOOSE($H13,SUMPRODUCT($O14:$O$67*AK14:AK$67*($E14:$E$67=$D13)),IF(ISNUMBER(Data_2014_N!AE13),100*ABS($G13-(Data_2014_N!AE13-$K13)/$M13),0),IF(ISNUMBER(Data_2014_N!AE13),100*ABS($G13-(Data_2014_N!AE13-$K13)/$M13),0)))</f>
        <v>50</v>
      </c>
      <c r="AL13" s="161">
        <f>IF($H13=0,0,CHOOSE($H13,SUMPRODUCT($O14:$O$67*AL14:AL$67*($E14:$E$67=$D13)),IF(ISNUMBER(Data_2014_N!AF13),100*ABS($G13-(Data_2014_N!AF13-$K13)/$M13),0),IF(ISNUMBER(Data_2014_N!AF13),100*ABS($G13-(Data_2014_N!AF13-$K13)/$M13),0)))</f>
        <v>50</v>
      </c>
      <c r="AM13" s="161">
        <f>IF($H13=0,0,CHOOSE($H13,SUMPRODUCT($O14:$O$67*AM14:AM$67*($E14:$E$67=$D13)),IF(ISNUMBER(Data_2014_N!AG13),100*ABS($G13-(Data_2014_N!AG13-$K13)/$M13),0),IF(ISNUMBER(Data_2014_N!AG13),100*ABS($G13-(Data_2014_N!AG13-$K13)/$M13),0)))</f>
        <v>100</v>
      </c>
      <c r="AN13" s="161">
        <f>IF($H13=0,0,CHOOSE($H13,SUMPRODUCT($O14:$O$67*AN14:AN$67*($E14:$E$67=$D13)),IF(ISNUMBER(Data_2014_N!AH13),100*ABS($G13-(Data_2014_N!AH13-$K13)/$M13),0),IF(ISNUMBER(Data_2014_N!AH13),100*ABS($G13-(Data_2014_N!AH13-$K13)/$M13),0)))</f>
        <v>50</v>
      </c>
      <c r="AO13" s="161">
        <f>IF($H13=0,0,CHOOSE($H13,SUMPRODUCT($O14:$O$67*AO14:AO$67*($E14:$E$67=$D13)),IF(ISNUMBER(Data_2014_N!AI13),100*ABS($G13-(Data_2014_N!AI13-$K13)/$M13),0),IF(ISNUMBER(Data_2014_N!AI13),100*ABS($G13-(Data_2014_N!AI13-$K13)/$M13),0)))</f>
        <v>100</v>
      </c>
      <c r="AP13" s="161">
        <f>IF($H13=0,0,CHOOSE($H13,SUMPRODUCT($O14:$O$67*AP14:AP$67*($E14:$E$67=$D13)),IF(ISNUMBER(Data_2014_N!AJ13),100*ABS($G13-(Data_2014_N!AJ13-$K13)/$M13),0),IF(ISNUMBER(Data_2014_N!AJ13),100*ABS($G13-(Data_2014_N!AJ13-$K13)/$M13),0)))</f>
        <v>100</v>
      </c>
      <c r="AQ13" s="161">
        <f>IF($H13=0,0,CHOOSE($H13,SUMPRODUCT($O14:$O$67*AQ14:AQ$67*($E14:$E$67=$D13)),IF(ISNUMBER(Data_2014_N!AK13),100*ABS($G13-(Data_2014_N!AK13-$K13)/$M13),0),IF(ISNUMBER(Data_2014_N!AK13),100*ABS($G13-(Data_2014_N!AK13-$K13)/$M13),0)))</f>
        <v>50</v>
      </c>
      <c r="AR13" s="161">
        <f>IF($H13=0,0,CHOOSE($H13,SUMPRODUCT($O14:$O$67*AR14:AR$67*($E14:$E$67=$D13)),IF(ISNUMBER(Data_2014_N!AL13),100*ABS($G13-(Data_2014_N!AL13-$K13)/$M13),0),IF(ISNUMBER(Data_2014_N!AL13),100*ABS($G13-(Data_2014_N!AL13-$K13)/$M13),0)))</f>
        <v>50</v>
      </c>
      <c r="AS13" s="161">
        <f>IF($H13=0,0,CHOOSE($H13,SUMPRODUCT($O14:$O$67*AS14:AS$67*($E14:$E$67=$D13)),IF(ISNUMBER(Data_2014_N!AM13),100*ABS($G13-(Data_2014_N!AM13-$K13)/$M13),0),IF(ISNUMBER(Data_2014_N!AM13),100*ABS($G13-(Data_2014_N!AM13-$K13)/$M13),0)))</f>
        <v>50</v>
      </c>
      <c r="AT13" s="161">
        <f>IF($H13=0,0,CHOOSE($H13,SUMPRODUCT($O14:$O$67*AT14:AT$67*($E14:$E$67=$D13)),IF(ISNUMBER(Data_2014_N!AN13),100*ABS($G13-(Data_2014_N!AN13-$K13)/$M13),0),IF(ISNUMBER(Data_2014_N!AN13),100*ABS($G13-(Data_2014_N!AN13-$K13)/$M13),0)))</f>
        <v>50</v>
      </c>
      <c r="AU13" s="161">
        <f>IF($H13=0,0,CHOOSE($H13,SUMPRODUCT($O14:$O$67*AU14:AU$67*($E14:$E$67=$D13)),IF(ISNUMBER(Data_2014_N!AO13),100*ABS($G13-(Data_2014_N!AO13-$K13)/$M13),0),IF(ISNUMBER(Data_2014_N!AO13),100*ABS($G13-(Data_2014_N!AO13-$K13)/$M13),0)))</f>
        <v>50</v>
      </c>
      <c r="AV13" s="161">
        <f>IF($H13=0,0,CHOOSE($H13,SUMPRODUCT($O14:$O$67*AV14:AV$67*($E14:$E$67=$D13)),IF(ISNUMBER(Data_2014_N!AP13),100*ABS($G13-(Data_2014_N!AP13-$K13)/$M13),0),IF(ISNUMBER(Data_2014_N!AP13),100*ABS($G13-(Data_2014_N!AP13-$K13)/$M13),0)))</f>
        <v>100</v>
      </c>
      <c r="AW13" s="161">
        <f>IF($H13=0,0,CHOOSE($H13,SUMPRODUCT($O14:$O$67*AW14:AW$67*($E14:$E$67=$D13)),IF(ISNUMBER(Data_2014_N!AQ13),100*ABS($G13-(Data_2014_N!AQ13-$K13)/$M13),0),IF(ISNUMBER(Data_2014_N!AQ13),100*ABS($G13-(Data_2014_N!AQ13-$K13)/$M13),0)))</f>
        <v>50</v>
      </c>
      <c r="AX13" s="161">
        <f>IF($H13=0,0,CHOOSE($H13,SUMPRODUCT($O14:$O$67*AX14:AX$67*($E14:$E$67=$D13)),IF(ISNUMBER(Data_2014_N!AR13),100*ABS($G13-(Data_2014_N!AR13-$K13)/$M13),0),IF(ISNUMBER(Data_2014_N!AR13),100*ABS($G13-(Data_2014_N!AR13-$K13)/$M13),0)))</f>
        <v>50</v>
      </c>
      <c r="AY13" s="161">
        <f>IF($H13=0,0,CHOOSE($H13,SUMPRODUCT($O14:$O$67*AY14:AY$67*($E14:$E$67=$D13)),IF(ISNUMBER(Data_2014_N!AS13),100*ABS($G13-(Data_2014_N!AS13-$K13)/$M13),0),IF(ISNUMBER(Data_2014_N!AS13),100*ABS($G13-(Data_2014_N!AS13-$K13)/$M13),0)))</f>
        <v>50</v>
      </c>
      <c r="AZ13" s="161">
        <f>IF($H13=0,0,CHOOSE($H13,SUMPRODUCT($O14:$O$67*AZ14:AZ$67*($E14:$E$67=$D13)),IF(ISNUMBER(Data_2014_N!AT13),100*ABS($G13-(Data_2014_N!AT13-$K13)/$M13),0),IF(ISNUMBER(Data_2014_N!AT13),100*ABS($G13-(Data_2014_N!AT13-$K13)/$M13),0)))</f>
        <v>50</v>
      </c>
      <c r="BA13" s="161">
        <f>IF($H13=0,0,CHOOSE($H13,SUMPRODUCT($O14:$O$67*BA14:BA$67*($E14:$E$67=$D13)),IF(ISNUMBER(Data_2014_N!AU13),100*ABS($G13-(Data_2014_N!AU13-$K13)/$M13),0),IF(ISNUMBER(Data_2014_N!AU13),100*ABS($G13-(Data_2014_N!AU13-$K13)/$M13),0)))</f>
        <v>100</v>
      </c>
      <c r="BB13" s="161">
        <f>IF($H13=0,0,CHOOSE($H13,SUMPRODUCT($O14:$O$67*BB14:BB$67*($E14:$E$67=$D13)),IF(ISNUMBER(Data_2014_N!AV13),100*ABS($G13-(Data_2014_N!AV13-$K13)/$M13),0),IF(ISNUMBER(Data_2014_N!AV13),100*ABS($G13-(Data_2014_N!AV13-$K13)/$M13),0)))</f>
        <v>50</v>
      </c>
      <c r="BC13" s="161">
        <f>IF($H13=0,0,CHOOSE($H13,SUMPRODUCT($O14:$O$67*BC14:BC$67*($E14:$E$67=$D13)),IF(ISNUMBER(Data_2014_N!AW13),100*ABS($G13-(Data_2014_N!AW13-$K13)/$M13),0),IF(ISNUMBER(Data_2014_N!AW13),100*ABS($G13-(Data_2014_N!AW13-$K13)/$M13),0)))</f>
        <v>100</v>
      </c>
      <c r="BD13" s="161">
        <f>IF($H13=0,0,CHOOSE($H13,SUMPRODUCT($O14:$O$67*BD14:BD$67*($E14:$E$67=$D13)),IF(ISNUMBER(Data_2014_N!AX13),100*ABS($G13-(Data_2014_N!AX13-$K13)/$M13),0),IF(ISNUMBER(Data_2014_N!AX13),100*ABS($G13-(Data_2014_N!AX13-$K13)/$M13),0)))</f>
        <v>50</v>
      </c>
      <c r="BE13" s="161">
        <f>IF($H13=0,0,CHOOSE($H13,SUMPRODUCT($O14:$O$67*BE14:BE$67*($E14:$E$67=$D13)),IF(ISNUMBER(Data_2014_N!AY13),100*ABS($G13-(Data_2014_N!AY13-$K13)/$M13),0),IF(ISNUMBER(Data_2014_N!AY13),100*ABS($G13-(Data_2014_N!AY13-$K13)/$M13),0)))</f>
        <v>50</v>
      </c>
      <c r="BF13" s="161">
        <f>IF($H13=0,0,CHOOSE($H13,SUMPRODUCT($O14:$O$67*BF14:BF$67*($E14:$E$67=$D13)),IF(ISNUMBER(Data_2014_N!AZ13),100*ABS($G13-(Data_2014_N!AZ13-$K13)/$M13),0),IF(ISNUMBER(Data_2014_N!AZ13),100*ABS($G13-(Data_2014_N!AZ13-$K13)/$M13),0)))</f>
        <v>100</v>
      </c>
      <c r="BG13" s="161">
        <f>IF($H13=0,0,CHOOSE($H13,SUMPRODUCT($O14:$O$67*BG14:BG$67*($E14:$E$67=$D13)),IF(ISNUMBER(Data_2014_N!BA13),100*ABS($G13-(Data_2014_N!BA13-$K13)/$M13),0),IF(ISNUMBER(Data_2014_N!BA13),100*ABS($G13-(Data_2014_N!BA13-$K13)/$M13),0)))</f>
        <v>100</v>
      </c>
      <c r="BH13" s="161">
        <f>IF($H13=0,0,CHOOSE($H13,SUMPRODUCT($O14:$O$67*BH14:BH$67*($E14:$E$67=$D13)),IF(ISNUMBER(Data_2014_N!BB13),100*ABS($G13-(Data_2014_N!BB13-$K13)/$M13),0),IF(ISNUMBER(Data_2014_N!BB13),100*ABS($G13-(Data_2014_N!BB13-$K13)/$M13),0)))</f>
        <v>50</v>
      </c>
      <c r="BI13" s="161">
        <f>IF($H13=0,0,CHOOSE($H13,SUMPRODUCT($O14:$O$67*BI14:BI$67*($E14:$E$67=$D13)),IF(ISNUMBER(Data_2014_N!BC13),100*ABS($G13-(Data_2014_N!BC13-$K13)/$M13),0),IF(ISNUMBER(Data_2014_N!BC13),100*ABS($G13-(Data_2014_N!BC13-$K13)/$M13),0)))</f>
        <v>50</v>
      </c>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row>
    <row r="14" s="69" customFormat="1" ht="24.95" customHeight="1" spans="1:115">
      <c r="A14" s="92"/>
      <c r="B14" s="92">
        <f>tblIndicators!A10</f>
        <v>9</v>
      </c>
      <c r="C14" s="92">
        <f>tblIndicators!B10</f>
        <v>0</v>
      </c>
      <c r="D14" s="92" t="str">
        <f>tblIndicators!D10</f>
        <v>DISE1.2</v>
      </c>
      <c r="E14" s="92" t="str">
        <f>tblIndicators!E10</f>
        <v>DISE</v>
      </c>
      <c r="F14" s="92">
        <f>tblIndicators!F10</f>
        <v>2</v>
      </c>
      <c r="G14" s="92" t="str">
        <f>tblIndicators!Y10</f>
        <v/>
      </c>
      <c r="H14" s="92">
        <f>tblIndicators!Z10</f>
        <v>1</v>
      </c>
      <c r="I14" s="104">
        <f>tblIndicators!AA10</f>
        <v>0</v>
      </c>
      <c r="J14" s="92">
        <f>tblIndicators!AB10</f>
        <v>0</v>
      </c>
      <c r="K14" s="92" t="str">
        <f>CHOOSE(H14,"-",MIN(Data_2014_N!J14:BC14),I14)</f>
        <v>-</v>
      </c>
      <c r="L14" s="165" t="str">
        <f>CHOOSE(H14,"-",MAX(Data_2014_N!J14:BC14),J14)</f>
        <v>-</v>
      </c>
      <c r="M14" s="92" t="str">
        <f t="shared" si="1"/>
        <v>-</v>
      </c>
      <c r="N14" s="168" t="str">
        <f>REPT(" ",F14)&amp;tblIndicators!AE10</f>
        <v>  1.2) Digital security (Outputs)</v>
      </c>
      <c r="O14" s="169">
        <f>tblIndicators!AD10</f>
        <v>0.5</v>
      </c>
      <c r="P14" s="161">
        <f>IF($H14=0,0,CHOOSE($H14,SUMPRODUCT($O15:$O$67*P15:P$67*($E15:$E$67=$D14)),IF(ISNUMBER(Data_2014_N!J14),100*ABS($G14-(Data_2014_N!J14-$K14)/$M14),0),IF(ISNUMBER(Data_2014_N!J14),100*ABS($G14-(Data_2014_N!J14-$K14)/$M14),0)))</f>
        <v>80.0791476407915</v>
      </c>
      <c r="Q14" s="161">
        <f>IF($H14=0,0,CHOOSE($H14,SUMPRODUCT($O15:$O$67*Q15:Q$67*($E15:$E$67=$D14)),IF(ISNUMBER(Data_2014_N!K14),100*ABS($G14-(Data_2014_N!K14-$K14)/$M14),0),IF(ISNUMBER(Data_2014_N!K14),100*ABS($G14-(Data_2014_N!K14-$K14)/$M14),0)))</f>
        <v>90.9622526636225</v>
      </c>
      <c r="R14" s="161">
        <f>IF($H14=0,0,CHOOSE($H14,SUMPRODUCT($O15:$O$67*R15:R$67*($E15:$E$67=$D14)),IF(ISNUMBER(Data_2014_N!L14),100*ABS($G14-(Data_2014_N!L14-$K14)/$M14),0),IF(ISNUMBER(Data_2014_N!L14),100*ABS($G14-(Data_2014_N!L14-$K14)/$M14),0)))</f>
        <v>48.0624048706241</v>
      </c>
      <c r="S14" s="161">
        <f>IF($H14=0,0,CHOOSE($H14,SUMPRODUCT($O15:$O$67*S15:S$67*($E15:$E$67=$D14)),IF(ISNUMBER(Data_2014_N!M14),100*ABS($G14-(Data_2014_N!M14-$K14)/$M14),0),IF(ISNUMBER(Data_2014_N!M14),100*ABS($G14-(Data_2014_N!M14-$K14)/$M14),0)))</f>
        <v>59.2374429223744</v>
      </c>
      <c r="T14" s="161">
        <f>IF($H14=0,0,CHOOSE($H14,SUMPRODUCT($O15:$O$67*T15:T$67*($E15:$E$67=$D14)),IF(ISNUMBER(Data_2014_N!N14),100*ABS($G14-(Data_2014_N!N14-$K14)/$M14),0),IF(ISNUMBER(Data_2014_N!N14),100*ABS($G14-(Data_2014_N!N14-$K14)/$M14),0)))</f>
        <v>56.0669710806697</v>
      </c>
      <c r="U14" s="161">
        <f>IF($H14=0,0,CHOOSE($H14,SUMPRODUCT($O15:$O$67*U15:U$67*($E15:$E$67=$D14)),IF(ISNUMBER(Data_2014_N!O14),100*ABS($G14-(Data_2014_N!O14-$K14)/$M14),0),IF(ISNUMBER(Data_2014_N!O14),100*ABS($G14-(Data_2014_N!O14-$K14)/$M14),0)))</f>
        <v>75.8607305936073</v>
      </c>
      <c r="V14" s="161">
        <f>IF($H14=0,0,CHOOSE($H14,SUMPRODUCT($O15:$O$67*V15:V$67*($E15:$E$67=$D14)),IF(ISNUMBER(Data_2014_N!P14),100*ABS($G14-(Data_2014_N!P14-$K14)/$M14),0),IF(ISNUMBER(Data_2014_N!P14),100*ABS($G14-(Data_2014_N!P14-$K14)/$M14),0)))</f>
        <v>80.8363774733638</v>
      </c>
      <c r="W14" s="161">
        <f>IF($H14=0,0,CHOOSE($H14,SUMPRODUCT($O15:$O$67*W15:W$67*($E15:$E$67=$D14)),IF(ISNUMBER(Data_2014_N!Q14),100*ABS($G14-(Data_2014_N!Q14-$K14)/$M14),0),IF(ISNUMBER(Data_2014_N!Q14),100*ABS($G14-(Data_2014_N!Q14-$K14)/$M14),0)))</f>
        <v>70.4657534246575</v>
      </c>
      <c r="X14" s="161">
        <f>IF($H14=0,0,CHOOSE($H14,SUMPRODUCT($O15:$O$67*X15:X$67*($E15:$E$67=$D14)),IF(ISNUMBER(Data_2014_N!R14),100*ABS($G14-(Data_2014_N!R14-$K14)/$M14),0),IF(ISNUMBER(Data_2014_N!R14),100*ABS($G14-(Data_2014_N!R14-$K14)/$M14),0)))</f>
        <v>49.658295281583</v>
      </c>
      <c r="Y14" s="161">
        <f>IF($H14=0,0,CHOOSE($H14,SUMPRODUCT($O15:$O$67*Y15:Y$67*($E15:$E$67=$D14)),IF(ISNUMBER(Data_2014_N!S14),100*ABS($G14-(Data_2014_N!S14-$K14)/$M14),0),IF(ISNUMBER(Data_2014_N!S14),100*ABS($G14-(Data_2014_N!S14-$K14)/$M14),0)))</f>
        <v>77.7960426179604</v>
      </c>
      <c r="Z14" s="161">
        <f>IF($H14=0,0,CHOOSE($H14,SUMPRODUCT($O15:$O$67*Z15:Z$67*($E15:$E$67=$D14)),IF(ISNUMBER(Data_2014_N!T14),100*ABS($G14-(Data_2014_N!T14-$K14)/$M14),0),IF(ISNUMBER(Data_2014_N!T14),100*ABS($G14-(Data_2014_N!T14-$K14)/$M14),0)))</f>
        <v>64.2237442922374</v>
      </c>
      <c r="AA14" s="161">
        <f>IF($H14=0,0,CHOOSE($H14,SUMPRODUCT($O15:$O$67*AA15:AA$67*($E15:$E$67=$D14)),IF(ISNUMBER(Data_2014_N!U14),100*ABS($G14-(Data_2014_N!U14-$K14)/$M14),0),IF(ISNUMBER(Data_2014_N!U14),100*ABS($G14-(Data_2014_N!U14-$K14)/$M14),0)))</f>
        <v>48.9528158295282</v>
      </c>
      <c r="AB14" s="161">
        <f>IF($H14=0,0,CHOOSE($H14,SUMPRODUCT($O15:$O$67*AB15:AB$67*($E15:$E$67=$D14)),IF(ISNUMBER(Data_2014_N!V14),100*ABS($G14-(Data_2014_N!V14-$K14)/$M14),0),IF(ISNUMBER(Data_2014_N!V14),100*ABS($G14-(Data_2014_N!V14-$K14)/$M14),0)))</f>
        <v>76.2359208523592</v>
      </c>
      <c r="AC14" s="161">
        <f>IF($H14=0,0,CHOOSE($H14,SUMPRODUCT($O15:$O$67*AC15:AC$67*($E15:$E$67=$D14)),IF(ISNUMBER(Data_2014_N!W14),100*ABS($G14-(Data_2014_N!W14-$K14)/$M14),0),IF(ISNUMBER(Data_2014_N!W14),100*ABS($G14-(Data_2014_N!W14-$K14)/$M14),0)))</f>
        <v>49.9923896499239</v>
      </c>
      <c r="AD14" s="161">
        <f>IF($H14=0,0,CHOOSE($H14,SUMPRODUCT($O15:$O$67*AD15:AD$67*($E15:$E$67=$D14)),IF(ISNUMBER(Data_2014_N!X14),100*ABS($G14-(Data_2014_N!X14-$K14)/$M14),0),IF(ISNUMBER(Data_2014_N!X14),100*ABS($G14-(Data_2014_N!X14-$K14)/$M14),0)))</f>
        <v>46.634703196347</v>
      </c>
      <c r="AE14" s="161">
        <f>IF($H14=0,0,CHOOSE($H14,SUMPRODUCT($O15:$O$67*AE15:AE$67*($E15:$E$67=$D14)),IF(ISNUMBER(Data_2014_N!Y14),100*ABS($G14-(Data_2014_N!Y14-$K14)/$M14),0),IF(ISNUMBER(Data_2014_N!Y14),100*ABS($G14-(Data_2014_N!Y14-$K14)/$M14),0)))</f>
        <v>60.1415525114155</v>
      </c>
      <c r="AF14" s="161">
        <f>IF($H14=0,0,CHOOSE($H14,SUMPRODUCT($O15:$O$67*AF15:AF$67*($E15:$E$67=$D14)),IF(ISNUMBER(Data_2014_N!Z14),100*ABS($G14-(Data_2014_N!Z14-$K14)/$M14),0),IF(ISNUMBER(Data_2014_N!Z14),100*ABS($G14-(Data_2014_N!Z14-$K14)/$M14),0)))</f>
        <v>74.751902587519</v>
      </c>
      <c r="AG14" s="161">
        <f>IF($H14=0,0,CHOOSE($H14,SUMPRODUCT($O15:$O$67*AG15:AG$67*($E15:$E$67=$D14)),IF(ISNUMBER(Data_2014_N!AA14),100*ABS($G14-(Data_2014_N!AA14-$K14)/$M14),0),IF(ISNUMBER(Data_2014_N!AA14),100*ABS($G14-(Data_2014_N!AA14-$K14)/$M14),0)))</f>
        <v>49.8533333333333</v>
      </c>
      <c r="AH14" s="161">
        <f>IF($H14=0,0,CHOOSE($H14,SUMPRODUCT($O15:$O$67*AH15:AH$67*($E15:$E$67=$D14)),IF(ISNUMBER(Data_2014_N!AB14),100*ABS($G14-(Data_2014_N!AB14-$K14)/$M14),0),IF(ISNUMBER(Data_2014_N!AB14),100*ABS($G14-(Data_2014_N!AB14-$K14)/$M14),0)))</f>
        <v>77.5068493150685</v>
      </c>
      <c r="AI14" s="161">
        <f>IF($H14=0,0,CHOOSE($H14,SUMPRODUCT($O15:$O$67*AI15:AI$67*($E15:$E$67=$D14)),IF(ISNUMBER(Data_2014_N!AC14),100*ABS($G14-(Data_2014_N!AC14-$K14)/$M14),0),IF(ISNUMBER(Data_2014_N!AC14),100*ABS($G14-(Data_2014_N!AC14-$K14)/$M14),0)))</f>
        <v>74.6514459665145</v>
      </c>
      <c r="AJ14" s="161">
        <f>IF($H14=0,0,CHOOSE($H14,SUMPRODUCT($O15:$O$67*AJ15:AJ$67*($E15:$E$67=$D14)),IF(ISNUMBER(Data_2014_N!AD14),100*ABS($G14-(Data_2014_N!AD14-$K14)/$M14),0),IF(ISNUMBER(Data_2014_N!AD14),100*ABS($G14-(Data_2014_N!AD14-$K14)/$M14),0)))</f>
        <v>60.2267884322679</v>
      </c>
      <c r="AK14" s="161">
        <f>IF($H14=0,0,CHOOSE($H14,SUMPRODUCT($O15:$O$67*AK15:AK$67*($E15:$E$67=$D14)),IF(ISNUMBER(Data_2014_N!AE14),100*ABS($G14-(Data_2014_N!AE14-$K14)/$M14),0),IF(ISNUMBER(Data_2014_N!AE14),100*ABS($G14-(Data_2014_N!AE14-$K14)/$M14),0)))</f>
        <v>69.5129375951294</v>
      </c>
      <c r="AL14" s="161">
        <f>IF($H14=0,0,CHOOSE($H14,SUMPRODUCT($O15:$O$67*AL15:AL$67*($E15:$E$67=$D14)),IF(ISNUMBER(Data_2014_N!AF14),100*ABS($G14-(Data_2014_N!AF14-$K14)/$M14),0),IF(ISNUMBER(Data_2014_N!AF14),100*ABS($G14-(Data_2014_N!AF14-$K14)/$M14),0)))</f>
        <v>67.0494672754947</v>
      </c>
      <c r="AM14" s="161">
        <f>IF($H14=0,0,CHOOSE($H14,SUMPRODUCT($O15:$O$67*AM15:AM$67*($E15:$E$67=$D14)),IF(ISNUMBER(Data_2014_N!AG14),100*ABS($G14-(Data_2014_N!AG14-$K14)/$M14),0),IF(ISNUMBER(Data_2014_N!AG14),100*ABS($G14-(Data_2014_N!AG14-$K14)/$M14),0)))</f>
        <v>71.2328767123288</v>
      </c>
      <c r="AN14" s="161">
        <f>IF($H14=0,0,CHOOSE($H14,SUMPRODUCT($O15:$O$67*AN15:AN$67*($E15:$E$67=$D14)),IF(ISNUMBER(Data_2014_N!AH14),100*ABS($G14-(Data_2014_N!AH14-$K14)/$M14),0),IF(ISNUMBER(Data_2014_N!AH14),100*ABS($G14-(Data_2014_N!AH14-$K14)/$M14),0)))</f>
        <v>49.4185692541857</v>
      </c>
      <c r="AO14" s="161">
        <f>IF($H14=0,0,CHOOSE($H14,SUMPRODUCT($O15:$O$67*AO15:AO$67*($E15:$E$67=$D14)),IF(ISNUMBER(Data_2014_N!AI14),100*ABS($G14-(Data_2014_N!AI14-$K14)/$M14),0),IF(ISNUMBER(Data_2014_N!AI14),100*ABS($G14-(Data_2014_N!AI14-$K14)/$M14),0)))</f>
        <v>49.144596651446</v>
      </c>
      <c r="AP14" s="161">
        <f>IF($H14=0,0,CHOOSE($H14,SUMPRODUCT($O15:$O$67*AP15:AP$67*($E15:$E$67=$D14)),IF(ISNUMBER(Data_2014_N!AJ14),100*ABS($G14-(Data_2014_N!AJ14-$K14)/$M14),0),IF(ISNUMBER(Data_2014_N!AJ14),100*ABS($G14-(Data_2014_N!AJ14-$K14)/$M14),0)))</f>
        <v>73.5098934550989</v>
      </c>
      <c r="AQ14" s="161">
        <f>IF($H14=0,0,CHOOSE($H14,SUMPRODUCT($O15:$O$67*AQ15:AQ$67*($E15:$E$67=$D14)),IF(ISNUMBER(Data_2014_N!AK14),100*ABS($G14-(Data_2014_N!AK14-$K14)/$M14),0),IF(ISNUMBER(Data_2014_N!AK14),100*ABS($G14-(Data_2014_N!AK14-$K14)/$M14),0)))</f>
        <v>95.3295281582953</v>
      </c>
      <c r="AR14" s="161">
        <f>IF($H14=0,0,CHOOSE($H14,SUMPRODUCT($O15:$O$67*AR15:AR$67*($E15:$E$67=$D14)),IF(ISNUMBER(Data_2014_N!AL14),100*ABS($G14-(Data_2014_N!AL14-$K14)/$M14),0),IF(ISNUMBER(Data_2014_N!AL14),100*ABS($G14-(Data_2014_N!AL14-$K14)/$M14),0)))</f>
        <v>68.7960426179604</v>
      </c>
      <c r="AS14" s="161">
        <f>IF($H14=0,0,CHOOSE($H14,SUMPRODUCT($O15:$O$67*AS15:AS$67*($E15:$E$67=$D14)),IF(ISNUMBER(Data_2014_N!AM14),100*ABS($G14-(Data_2014_N!AM14-$K14)/$M14),0),IF(ISNUMBER(Data_2014_N!AM14),100*ABS($G14-(Data_2014_N!AM14-$K14)/$M14),0)))</f>
        <v>55.8112633181126</v>
      </c>
      <c r="AT14" s="161">
        <f>IF($H14=0,0,CHOOSE($H14,SUMPRODUCT($O15:$O$67*AT15:AT$67*($E15:$E$67=$D14)),IF(ISNUMBER(Data_2014_N!AN14),100*ABS($G14-(Data_2014_N!AN14-$K14)/$M14),0),IF(ISNUMBER(Data_2014_N!AN14),100*ABS($G14-(Data_2014_N!AN14-$K14)/$M14),0)))</f>
        <v>52.8462709284627</v>
      </c>
      <c r="AU14" s="161">
        <f>IF($H14=0,0,CHOOSE($H14,SUMPRODUCT($O15:$O$67*AU15:AU$67*($E15:$E$67=$D14)),IF(ISNUMBER(Data_2014_N!AO14),100*ABS($G14-(Data_2014_N!AO14-$K14)/$M14),0),IF(ISNUMBER(Data_2014_N!AO14),100*ABS($G14-(Data_2014_N!AO14-$K14)/$M14),0)))</f>
        <v>69.3302891933029</v>
      </c>
      <c r="AV14" s="161">
        <f>IF($H14=0,0,CHOOSE($H14,SUMPRODUCT($O15:$O$67*AV15:AV$67*($E15:$E$67=$D14)),IF(ISNUMBER(Data_2014_N!AP14),100*ABS($G14-(Data_2014_N!AP14-$K14)/$M14),0),IF(ISNUMBER(Data_2014_N!AP14),100*ABS($G14-(Data_2014_N!AP14-$K14)/$M14),0)))</f>
        <v>72.3683409436834</v>
      </c>
      <c r="AW14" s="161">
        <f>IF($H14=0,0,CHOOSE($H14,SUMPRODUCT($O15:$O$67*AW15:AW$67*($E15:$E$67=$D14)),IF(ISNUMBER(Data_2014_N!AQ14),100*ABS($G14-(Data_2014_N!AQ14-$K14)/$M14),0),IF(ISNUMBER(Data_2014_N!AQ14),100*ABS($G14-(Data_2014_N!AQ14-$K14)/$M14),0)))</f>
        <v>80.6879756468797</v>
      </c>
      <c r="AX14" s="161">
        <f>IF($H14=0,0,CHOOSE($H14,SUMPRODUCT($O15:$O$67*AX15:AX$67*($E15:$E$67=$D14)),IF(ISNUMBER(Data_2014_N!AR14),100*ABS($G14-(Data_2014_N!AR14-$K14)/$M14),0),IF(ISNUMBER(Data_2014_N!AR14),100*ABS($G14-(Data_2014_N!AR14-$K14)/$M14),0)))</f>
        <v>56.1917808219178</v>
      </c>
      <c r="AY14" s="161">
        <f>IF($H14=0,0,CHOOSE($H14,SUMPRODUCT($O15:$O$67*AY15:AY$67*($E15:$E$67=$D14)),IF(ISNUMBER(Data_2014_N!AS14),100*ABS($G14-(Data_2014_N!AS14-$K14)/$M14),0),IF(ISNUMBER(Data_2014_N!AS14),100*ABS($G14-(Data_2014_N!AS14-$K14)/$M14),0)))</f>
        <v>45.58599695586</v>
      </c>
      <c r="AZ14" s="161">
        <f>IF($H14=0,0,CHOOSE($H14,SUMPRODUCT($O15:$O$67*AZ15:AZ$67*($E15:$E$67=$D14)),IF(ISNUMBER(Data_2014_N!AT14),100*ABS($G14-(Data_2014_N!AT14-$K14)/$M14),0),IF(ISNUMBER(Data_2014_N!AT14),100*ABS($G14-(Data_2014_N!AT14-$K14)/$M14),0)))</f>
        <v>54.62100456621</v>
      </c>
      <c r="BA14" s="161">
        <f>IF($H14=0,0,CHOOSE($H14,SUMPRODUCT($O15:$O$67*BA15:BA$67*($E15:$E$67=$D14)),IF(ISNUMBER(Data_2014_N!AU14),100*ABS($G14-(Data_2014_N!AU14-$K14)/$M14),0),IF(ISNUMBER(Data_2014_N!AU14),100*ABS($G14-(Data_2014_N!AU14-$K14)/$M14),0)))</f>
        <v>82.3713850837138</v>
      </c>
      <c r="BB14" s="161">
        <f>IF($H14=0,0,CHOOSE($H14,SUMPRODUCT($O15:$O$67*BB15:BB$67*($E15:$E$67=$D14)),IF(ISNUMBER(Data_2014_N!AV14),100*ABS($G14-(Data_2014_N!AV14-$K14)/$M14),0),IF(ISNUMBER(Data_2014_N!AV14),100*ABS($G14-(Data_2014_N!AV14-$K14)/$M14),0)))</f>
        <v>80.3066666666667</v>
      </c>
      <c r="BC14" s="161">
        <f>IF($H14=0,0,CHOOSE($H14,SUMPRODUCT($O15:$O$67*BC15:BC$67*($E15:$E$67=$D14)),IF(ISNUMBER(Data_2014_N!AW14),100*ABS($G14-(Data_2014_N!AW14-$K14)/$M14),0),IF(ISNUMBER(Data_2014_N!AW14),100*ABS($G14-(Data_2014_N!AW14-$K14)/$M14),0)))</f>
        <v>69.6270928462709</v>
      </c>
      <c r="BD14" s="161">
        <f>IF($H14=0,0,CHOOSE($H14,SUMPRODUCT($O15:$O$67*BD15:BD$67*($E15:$E$67=$D14)),IF(ISNUMBER(Data_2014_N!AX14),100*ABS($G14-(Data_2014_N!AX14-$K14)/$M14),0),IF(ISNUMBER(Data_2014_N!AX14),100*ABS($G14-(Data_2014_N!AX14-$K14)/$M14),0)))</f>
        <v>81.5631659056316</v>
      </c>
      <c r="BE14" s="161">
        <f>IF($H14=0,0,CHOOSE($H14,SUMPRODUCT($O15:$O$67*BE15:BE$67*($E15:$E$67=$D14)),IF(ISNUMBER(Data_2014_N!AY14),100*ABS($G14-(Data_2014_N!AY14-$K14)/$M14),0),IF(ISNUMBER(Data_2014_N!AY14),100*ABS($G14-(Data_2014_N!AY14-$K14)/$M14),0)))</f>
        <v>57.1537290715373</v>
      </c>
      <c r="BF14" s="161">
        <f>IF($H14=0,0,CHOOSE($H14,SUMPRODUCT($O15:$O$67*BF15:BF$67*($E15:$E$67=$D14)),IF(ISNUMBER(Data_2014_N!AZ14),100*ABS($G14-(Data_2014_N!AZ14-$K14)/$M14),0),IF(ISNUMBER(Data_2014_N!AZ14),100*ABS($G14-(Data_2014_N!AZ14-$K14)/$M14),0)))</f>
        <v>95.6986301369863</v>
      </c>
      <c r="BG14" s="161">
        <f>IF($H14=0,0,CHOOSE($H14,SUMPRODUCT($O15:$O$67*BG15:BG$67*($E15:$E$67=$D14)),IF(ISNUMBER(Data_2014_N!BA14),100*ABS($G14-(Data_2014_N!BA14-$K14)/$M14),0),IF(ISNUMBER(Data_2014_N!BA14),100*ABS($G14-(Data_2014_N!BA14-$K14)/$M14),0)))</f>
        <v>72.7488584474886</v>
      </c>
      <c r="BH14" s="161">
        <f>IF($H14=0,0,CHOOSE($H14,SUMPRODUCT($O15:$O$67*BH15:BH$67*($E15:$E$67=$D14)),IF(ISNUMBER(Data_2014_N!BB14),100*ABS($G14-(Data_2014_N!BB14-$K14)/$M14),0),IF(ISNUMBER(Data_2014_N!BB14),100*ABS($G14-(Data_2014_N!BB14-$K14)/$M14),0)))</f>
        <v>74.6514459665145</v>
      </c>
      <c r="BI14" s="161">
        <f>IF($H14=0,0,CHOOSE($H14,SUMPRODUCT($O15:$O$67*BI15:BI$67*($E15:$E$67=$D14)),IF(ISNUMBER(Data_2014_N!BC14),100*ABS($G14-(Data_2014_N!BC14-$K14)/$M14),0),IF(ISNUMBER(Data_2014_N!BC14),100*ABS($G14-(Data_2014_N!BC14-$K14)/$M14),0)))</f>
        <v>79.4124809741248</v>
      </c>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row>
    <row r="15" s="69" customFormat="1" ht="24.95" customHeight="1" spans="1:115">
      <c r="A15" s="92"/>
      <c r="B15" s="92">
        <f>tblIndicators!A11</f>
        <v>10</v>
      </c>
      <c r="C15" s="92">
        <f>tblIndicators!B11</f>
        <v>0</v>
      </c>
      <c r="D15" s="92" t="str">
        <f>tblIndicators!D11</f>
        <v>DISE1.2.1</v>
      </c>
      <c r="E15" s="92" t="str">
        <f>tblIndicators!E11</f>
        <v>DISE1.2</v>
      </c>
      <c r="F15" s="92">
        <f>tblIndicators!F11</f>
        <v>3</v>
      </c>
      <c r="G15" s="92">
        <f>tblIndicators!Y11</f>
        <v>1</v>
      </c>
      <c r="H15" s="92">
        <f>tblIndicators!Z11</f>
        <v>2</v>
      </c>
      <c r="I15" s="104">
        <f>tblIndicators!AA11</f>
        <v>0</v>
      </c>
      <c r="J15" s="92">
        <f>tblIndicators!AB11</f>
        <v>0</v>
      </c>
      <c r="K15" s="92">
        <f>CHOOSE(H15,"-",MIN(Data_2014_N!J15:BC15),I15)</f>
        <v>0</v>
      </c>
      <c r="L15" s="165">
        <f>CHOOSE(H15,"-",MAX(Data_2014_N!J15:BC15),J15)</f>
        <v>25</v>
      </c>
      <c r="M15" s="92">
        <f t="shared" si="1"/>
        <v>25</v>
      </c>
      <c r="N15" s="168" t="str">
        <f>REPT(" ",F15)&amp;tblIndicators!AE11</f>
        <v>   1.2.1) Frequency of identity theft</v>
      </c>
      <c r="O15" s="169">
        <f>tblIndicators!AD11</f>
        <v>0.333333333333333</v>
      </c>
      <c r="P15" s="161">
        <f>IF($H15=0,0,CHOOSE($H15,SUMPRODUCT($O16:$O$67*P16:P$67*($E16:$E$67=$D15)),IF(ISNUMBER(Data_2014_N!J15),100*ABS($G15-(Data_2014_N!J15-$K15)/$M15),0),IF(ISNUMBER(Data_2014_N!J15),100*ABS($G15-(Data_2014_N!J15-$K15)/$M15),0)))</f>
        <v>98</v>
      </c>
      <c r="Q15" s="161">
        <f>IF($H15=0,0,CHOOSE($H15,SUMPRODUCT($O16:$O$67*Q16:Q$67*($E16:$E$67=$D15)),IF(ISNUMBER(Data_2014_N!K15),100*ABS($G15-(Data_2014_N!K15-$K15)/$M15),0),IF(ISNUMBER(Data_2014_N!K15),100*ABS($G15-(Data_2014_N!K15-$K15)/$M15),0)))</f>
        <v>98.8</v>
      </c>
      <c r="R15" s="161">
        <f>IF($H15=0,0,CHOOSE($H15,SUMPRODUCT($O16:$O$67*R16:R$67*($E16:$E$67=$D15)),IF(ISNUMBER(Data_2014_N!L15),100*ABS($G15-(Data_2014_N!L15-$K15)/$M15),0),IF(ISNUMBER(Data_2014_N!L15),100*ABS($G15-(Data_2014_N!L15-$K15)/$M15),0)))</f>
        <v>98</v>
      </c>
      <c r="S15" s="161">
        <f>IF($H15=0,0,CHOOSE($H15,SUMPRODUCT($O16:$O$67*S16:S$67*($E16:$E$67=$D15)),IF(ISNUMBER(Data_2014_N!M15),100*ABS($G15-(Data_2014_N!M15-$K15)/$M15),0),IF(ISNUMBER(Data_2014_N!M15),100*ABS($G15-(Data_2014_N!M15-$K15)/$M15),0)))</f>
        <v>76</v>
      </c>
      <c r="T15" s="161">
        <f>IF($H15=0,0,CHOOSE($H15,SUMPRODUCT($O16:$O$67*T16:T$67*($E16:$E$67=$D15)),IF(ISNUMBER(Data_2014_N!N15),100*ABS($G15-(Data_2014_N!N15-$K15)/$M15),0),IF(ISNUMBER(Data_2014_N!N15),100*ABS($G15-(Data_2014_N!N15-$K15)/$M15),0)))</f>
        <v>44</v>
      </c>
      <c r="U15" s="161">
        <f>IF($H15=0,0,CHOOSE($H15,SUMPRODUCT($O16:$O$67*U16:U$67*($E16:$E$67=$D15)),IF(ISNUMBER(Data_2014_N!O15),100*ABS($G15-(Data_2014_N!O15-$K15)/$M15),0),IF(ISNUMBER(Data_2014_N!O15),100*ABS($G15-(Data_2014_N!O15-$K15)/$M15),0)))</f>
        <v>92</v>
      </c>
      <c r="V15" s="161">
        <f>IF($H15=0,0,CHOOSE($H15,SUMPRODUCT($O16:$O$67*V16:V$67*($E16:$E$67=$D15)),IF(ISNUMBER(Data_2014_N!P15),100*ABS($G15-(Data_2014_N!P15-$K15)/$M15),0),IF(ISNUMBER(Data_2014_N!P15),100*ABS($G15-(Data_2014_N!P15-$K15)/$M15),0)))</f>
        <v>98</v>
      </c>
      <c r="W15" s="161">
        <f>IF($H15=0,0,CHOOSE($H15,SUMPRODUCT($O16:$O$67*W16:W$67*($E16:$E$67=$D15)),IF(ISNUMBER(Data_2014_N!Q15),100*ABS($G15-(Data_2014_N!Q15-$K15)/$M15),0),IF(ISNUMBER(Data_2014_N!Q15),100*ABS($G15-(Data_2014_N!Q15-$K15)/$M15),0)))</f>
        <v>84</v>
      </c>
      <c r="X15" s="161">
        <f>IF($H15=0,0,CHOOSE($H15,SUMPRODUCT($O16:$O$67*X16:X$67*($E16:$E$67=$D15)),IF(ISNUMBER(Data_2014_N!R15),100*ABS($G15-(Data_2014_N!R15-$K15)/$M15),0),IF(ISNUMBER(Data_2014_N!R15),100*ABS($G15-(Data_2014_N!R15-$K15)/$M15),0)))</f>
        <v>52</v>
      </c>
      <c r="Y15" s="161">
        <f>IF($H15=0,0,CHOOSE($H15,SUMPRODUCT($O16:$O$67*Y16:Y$67*($E16:$E$67=$D15)),IF(ISNUMBER(Data_2014_N!S15),100*ABS($G15-(Data_2014_N!S15-$K15)/$M15),0),IF(ISNUMBER(Data_2014_N!S15),100*ABS($G15-(Data_2014_N!S15-$K15)/$M15),0)))</f>
        <v>98</v>
      </c>
      <c r="Z15" s="161">
        <f>IF($H15=0,0,CHOOSE($H15,SUMPRODUCT($O16:$O$67*Z16:Z$67*($E16:$E$67=$D15)),IF(ISNUMBER(Data_2014_N!T15),100*ABS($G15-(Data_2014_N!T15-$K15)/$M15),0),IF(ISNUMBER(Data_2014_N!T15),100*ABS($G15-(Data_2014_N!T15-$K15)/$M15),0)))</f>
        <v>80</v>
      </c>
      <c r="AA15" s="161">
        <f>IF($H15=0,0,CHOOSE($H15,SUMPRODUCT($O16:$O$67*AA16:AA$67*($E16:$E$67=$D15)),IF(ISNUMBER(Data_2014_N!U15),100*ABS($G15-(Data_2014_N!U15-$K15)/$M15),0),IF(ISNUMBER(Data_2014_N!U15),100*ABS($G15-(Data_2014_N!U15-$K15)/$M15),0)))</f>
        <v>98</v>
      </c>
      <c r="AB15" s="161">
        <f>IF($H15=0,0,CHOOSE($H15,SUMPRODUCT($O16:$O$67*AB16:AB$67*($E16:$E$67=$D15)),IF(ISNUMBER(Data_2014_N!V15),100*ABS($G15-(Data_2014_N!V15-$K15)/$M15),0),IF(ISNUMBER(Data_2014_N!V15),100*ABS($G15-(Data_2014_N!V15-$K15)/$M15),0)))</f>
        <v>98</v>
      </c>
      <c r="AC15" s="161">
        <f>IF($H15=0,0,CHOOSE($H15,SUMPRODUCT($O16:$O$67*AC16:AC$67*($E16:$E$67=$D15)),IF(ISNUMBER(Data_2014_N!W15),100*ABS($G15-(Data_2014_N!W15-$K15)/$M15),0),IF(ISNUMBER(Data_2014_N!W15),100*ABS($G15-(Data_2014_N!W15-$K15)/$M15),0)))</f>
        <v>80</v>
      </c>
      <c r="AD15" s="161">
        <f>IF($H15=0,0,CHOOSE($H15,SUMPRODUCT($O16:$O$67*AD16:AD$67*($E16:$E$67=$D15)),IF(ISNUMBER(Data_2014_N!X15),100*ABS($G15-(Data_2014_N!X15-$K15)/$M15),0),IF(ISNUMBER(Data_2014_N!X15),100*ABS($G15-(Data_2014_N!X15-$K15)/$M15),0)))</f>
        <v>56</v>
      </c>
      <c r="AE15" s="161">
        <f>IF($H15=0,0,CHOOSE($H15,SUMPRODUCT($O16:$O$67*AE16:AE$67*($E16:$E$67=$D15)),IF(ISNUMBER(Data_2014_N!Y15),100*ABS($G15-(Data_2014_N!Y15-$K15)/$M15),0),IF(ISNUMBER(Data_2014_N!Y15),100*ABS($G15-(Data_2014_N!Y15-$K15)/$M15),0)))</f>
        <v>52</v>
      </c>
      <c r="AF15" s="161">
        <f>IF($H15=0,0,CHOOSE($H15,SUMPRODUCT($O16:$O$67*AF16:AF$67*($E16:$E$67=$D15)),IF(ISNUMBER(Data_2014_N!Z15),100*ABS($G15-(Data_2014_N!Z15-$K15)/$M15),0),IF(ISNUMBER(Data_2014_N!Z15),100*ABS($G15-(Data_2014_N!Z15-$K15)/$M15),0)))</f>
        <v>98</v>
      </c>
      <c r="AG15" s="161">
        <f>IF($H15=0,0,CHOOSE($H15,SUMPRODUCT($O16:$O$67*AG16:AG$67*($E16:$E$67=$D15)),IF(ISNUMBER(Data_2014_N!AA15),100*ABS($G15-(Data_2014_N!AA15-$K15)/$M15),0),IF(ISNUMBER(Data_2014_N!AA15),100*ABS($G15-(Data_2014_N!AA15-$K15)/$M15),0)))</f>
        <v>99.56</v>
      </c>
      <c r="AH15" s="161">
        <f>IF($H15=0,0,CHOOSE($H15,SUMPRODUCT($O16:$O$67*AH16:AH$67*($E16:$E$67=$D15)),IF(ISNUMBER(Data_2014_N!AB15),100*ABS($G15-(Data_2014_N!AB15-$K15)/$M15),0),IF(ISNUMBER(Data_2014_N!AB15),100*ABS($G15-(Data_2014_N!AB15-$K15)/$M15),0)))</f>
        <v>88</v>
      </c>
      <c r="AI15" s="161">
        <f>IF($H15=0,0,CHOOSE($H15,SUMPRODUCT($O16:$O$67*AI16:AI$67*($E16:$E$67=$D15)),IF(ISNUMBER(Data_2014_N!AC15),100*ABS($G15-(Data_2014_N!AC15-$K15)/$M15),0),IF(ISNUMBER(Data_2014_N!AC15),100*ABS($G15-(Data_2014_N!AC15-$K15)/$M15),0)))</f>
        <v>84</v>
      </c>
      <c r="AJ15" s="161">
        <f>IF($H15=0,0,CHOOSE($H15,SUMPRODUCT($O16:$O$67*AJ16:AJ$67*($E16:$E$67=$D15)),IF(ISNUMBER(Data_2014_N!AD15),100*ABS($G15-(Data_2014_N!AD15-$K15)/$M15),0),IF(ISNUMBER(Data_2014_N!AD15),100*ABS($G15-(Data_2014_N!AD15-$K15)/$M15),0)))</f>
        <v>76</v>
      </c>
      <c r="AK15" s="161">
        <f>IF($H15=0,0,CHOOSE($H15,SUMPRODUCT($O16:$O$67*AK16:AK$67*($E16:$E$67=$D15)),IF(ISNUMBER(Data_2014_N!AE15),100*ABS($G15-(Data_2014_N!AE15-$K15)/$M15),0),IF(ISNUMBER(Data_2014_N!AE15),100*ABS($G15-(Data_2014_N!AE15-$K15)/$M15),0)))</f>
        <v>80</v>
      </c>
      <c r="AL15" s="161">
        <f>IF($H15=0,0,CHOOSE($H15,SUMPRODUCT($O16:$O$67*AL16:AL$67*($E16:$E$67=$D15)),IF(ISNUMBER(Data_2014_N!AF15),100*ABS($G15-(Data_2014_N!AF15-$K15)/$M15),0),IF(ISNUMBER(Data_2014_N!AF15),100*ABS($G15-(Data_2014_N!AF15-$K15)/$M15),0)))</f>
        <v>76</v>
      </c>
      <c r="AM15" s="161">
        <f>IF($H15=0,0,CHOOSE($H15,SUMPRODUCT($O16:$O$67*AM16:AM$67*($E16:$E$67=$D15)),IF(ISNUMBER(Data_2014_N!AG15),100*ABS($G15-(Data_2014_N!AG15-$K15)/$M15),0),IF(ISNUMBER(Data_2014_N!AG15),100*ABS($G15-(Data_2014_N!AG15-$K15)/$M15),0)))</f>
        <v>100</v>
      </c>
      <c r="AN15" s="161">
        <f>IF($H15=0,0,CHOOSE($H15,SUMPRODUCT($O16:$O$67*AN16:AN$67*($E16:$E$67=$D15)),IF(ISNUMBER(Data_2014_N!AH15),100*ABS($G15-(Data_2014_N!AH15-$K15)/$M15),0),IF(ISNUMBER(Data_2014_N!AH15),100*ABS($G15-(Data_2014_N!AH15-$K15)/$M15),0)))</f>
        <v>72</v>
      </c>
      <c r="AO15" s="161">
        <f>IF($H15=0,0,CHOOSE($H15,SUMPRODUCT($O16:$O$67*AO16:AO$67*($E16:$E$67=$D15)),IF(ISNUMBER(Data_2014_N!AI15),100*ABS($G15-(Data_2014_N!AI15-$K15)/$M15),0),IF(ISNUMBER(Data_2014_N!AI15),100*ABS($G15-(Data_2014_N!AI15-$K15)/$M15),0)))</f>
        <v>52</v>
      </c>
      <c r="AP15" s="161">
        <f>IF($H15=0,0,CHOOSE($H15,SUMPRODUCT($O16:$O$67*AP16:AP$67*($E16:$E$67=$D15)),IF(ISNUMBER(Data_2014_N!AJ15),100*ABS($G15-(Data_2014_N!AJ15-$K15)/$M15),0),IF(ISNUMBER(Data_2014_N!AJ15),100*ABS($G15-(Data_2014_N!AJ15-$K15)/$M15),0)))</f>
        <v>84</v>
      </c>
      <c r="AQ15" s="161">
        <f>IF($H15=0,0,CHOOSE($H15,SUMPRODUCT($O16:$O$67*AQ16:AQ$67*($E16:$E$67=$D15)),IF(ISNUMBER(Data_2014_N!AK15),100*ABS($G15-(Data_2014_N!AK15-$K15)/$M15),0),IF(ISNUMBER(Data_2014_N!AK15),100*ABS($G15-(Data_2014_N!AK15-$K15)/$M15),0)))</f>
        <v>96</v>
      </c>
      <c r="AR15" s="161">
        <f>IF($H15=0,0,CHOOSE($H15,SUMPRODUCT($O16:$O$67*AR16:AR$67*($E16:$E$67=$D15)),IF(ISNUMBER(Data_2014_N!AL15),100*ABS($G15-(Data_2014_N!AL15-$K15)/$M15),0),IF(ISNUMBER(Data_2014_N!AL15),100*ABS($G15-(Data_2014_N!AL15-$K15)/$M15),0)))</f>
        <v>96</v>
      </c>
      <c r="AS15" s="161">
        <f>IF($H15=0,0,CHOOSE($H15,SUMPRODUCT($O16:$O$67*AS16:AS$67*($E16:$E$67=$D15)),IF(ISNUMBER(Data_2014_N!AM15),100*ABS($G15-(Data_2014_N!AM15-$K15)/$M15),0),IF(ISNUMBER(Data_2014_N!AM15),100*ABS($G15-(Data_2014_N!AM15-$K15)/$M15),0)))</f>
        <v>72</v>
      </c>
      <c r="AT15" s="161">
        <f>IF($H15=0,0,CHOOSE($H15,SUMPRODUCT($O16:$O$67*AT16:AT$67*($E16:$E$67=$D15)),IF(ISNUMBER(Data_2014_N!AN15),100*ABS($G15-(Data_2014_N!AN15-$K15)/$M15),0),IF(ISNUMBER(Data_2014_N!AN15),100*ABS($G15-(Data_2014_N!AN15-$K15)/$M15),0)))</f>
        <v>80</v>
      </c>
      <c r="AU15" s="161">
        <f>IF($H15=0,0,CHOOSE($H15,SUMPRODUCT($O16:$O$67*AU16:AU$67*($E16:$E$67=$D15)),IF(ISNUMBER(Data_2014_N!AO15),100*ABS($G15-(Data_2014_N!AO15-$K15)/$M15),0),IF(ISNUMBER(Data_2014_N!AO15),100*ABS($G15-(Data_2014_N!AO15-$K15)/$M15),0)))</f>
        <v>100</v>
      </c>
      <c r="AV15" s="161">
        <f>IF($H15=0,0,CHOOSE($H15,SUMPRODUCT($O16:$O$67*AV16:AV$67*($E16:$E$67=$D15)),IF(ISNUMBER(Data_2014_N!AP15),100*ABS($G15-(Data_2014_N!AP15-$K15)/$M15),0),IF(ISNUMBER(Data_2014_N!AP15),100*ABS($G15-(Data_2014_N!AP15-$K15)/$M15),0)))</f>
        <v>84</v>
      </c>
      <c r="AW15" s="161">
        <f>IF($H15=0,0,CHOOSE($H15,SUMPRODUCT($O16:$O$67*AW16:AW$67*($E16:$E$67=$D15)),IF(ISNUMBER(Data_2014_N!AQ15),100*ABS($G15-(Data_2014_N!AQ15-$K15)/$M15),0),IF(ISNUMBER(Data_2014_N!AQ15),100*ABS($G15-(Data_2014_N!AQ15-$K15)/$M15),0)))</f>
        <v>98</v>
      </c>
      <c r="AX15" s="161">
        <f>IF($H15=0,0,CHOOSE($H15,SUMPRODUCT($O16:$O$67*AX16:AX$67*($E16:$E$67=$D15)),IF(ISNUMBER(Data_2014_N!AR15),100*ABS($G15-(Data_2014_N!AR15-$K15)/$M15),0),IF(ISNUMBER(Data_2014_N!AR15),100*ABS($G15-(Data_2014_N!AR15-$K15)/$M15),0)))</f>
        <v>72</v>
      </c>
      <c r="AY15" s="161">
        <f>IF($H15=0,0,CHOOSE($H15,SUMPRODUCT($O16:$O$67*AY16:AY$67*($E16:$E$67=$D15)),IF(ISNUMBER(Data_2014_N!AS15),100*ABS($G15-(Data_2014_N!AS15-$K15)/$M15),0),IF(ISNUMBER(Data_2014_N!AS15),100*ABS($G15-(Data_2014_N!AS15-$K15)/$M15),0)))</f>
        <v>0</v>
      </c>
      <c r="AZ15" s="161">
        <f>IF($H15=0,0,CHOOSE($H15,SUMPRODUCT($O16:$O$67*AZ16:AZ$67*($E16:$E$67=$D15)),IF(ISNUMBER(Data_2014_N!AT15),100*ABS($G15-(Data_2014_N!AT15-$K15)/$M15),0),IF(ISNUMBER(Data_2014_N!AT15),100*ABS($G15-(Data_2014_N!AT15-$K15)/$M15),0)))</f>
        <v>44</v>
      </c>
      <c r="BA15" s="161">
        <f>IF($H15=0,0,CHOOSE($H15,SUMPRODUCT($O16:$O$67*BA16:BA$67*($E16:$E$67=$D15)),IF(ISNUMBER(Data_2014_N!AU15),100*ABS($G15-(Data_2014_N!AU15-$K15)/$M15),0),IF(ISNUMBER(Data_2014_N!AU15),100*ABS($G15-(Data_2014_N!AU15-$K15)/$M15),0)))</f>
        <v>72</v>
      </c>
      <c r="BB15" s="161">
        <f>IF($H15=0,0,CHOOSE($H15,SUMPRODUCT($O16:$O$67*BB16:BB$67*($E16:$E$67=$D15)),IF(ISNUMBER(Data_2014_N!AV15),100*ABS($G15-(Data_2014_N!AV15-$K15)/$M15),0),IF(ISNUMBER(Data_2014_N!AV15),100*ABS($G15-(Data_2014_N!AV15-$K15)/$M15),0)))</f>
        <v>90.92</v>
      </c>
      <c r="BC15" s="161">
        <f>IF($H15=0,0,CHOOSE($H15,SUMPRODUCT($O16:$O$67*BC16:BC$67*($E16:$E$67=$D15)),IF(ISNUMBER(Data_2014_N!AW15),100*ABS($G15-(Data_2014_N!AW15-$K15)/$M15),0),IF(ISNUMBER(Data_2014_N!AW15),100*ABS($G15-(Data_2014_N!AW15-$K15)/$M15),0)))</f>
        <v>80</v>
      </c>
      <c r="BD15" s="161">
        <f>IF($H15=0,0,CHOOSE($H15,SUMPRODUCT($O16:$O$67*BD16:BD$67*($E16:$E$67=$D15)),IF(ISNUMBER(Data_2014_N!AX15),100*ABS($G15-(Data_2014_N!AX15-$K15)/$M15),0),IF(ISNUMBER(Data_2014_N!AX15),100*ABS($G15-(Data_2014_N!AX15-$K15)/$M15),0)))</f>
        <v>98</v>
      </c>
      <c r="BE15" s="161">
        <f>IF($H15=0,0,CHOOSE($H15,SUMPRODUCT($O16:$O$67*BE16:BE$67*($E16:$E$67=$D15)),IF(ISNUMBER(Data_2014_N!AY15),100*ABS($G15-(Data_2014_N!AY15-$K15)/$M15),0),IF(ISNUMBER(Data_2014_N!AY15),100*ABS($G15-(Data_2014_N!AY15-$K15)/$M15),0)))</f>
        <v>100</v>
      </c>
      <c r="BF15" s="161">
        <f>IF($H15=0,0,CHOOSE($H15,SUMPRODUCT($O16:$O$67*BF16:BF$67*($E16:$E$67=$D15)),IF(ISNUMBER(Data_2014_N!AZ15),100*ABS($G15-(Data_2014_N!AZ15-$K15)/$M15),0),IF(ISNUMBER(Data_2014_N!AZ15),100*ABS($G15-(Data_2014_N!AZ15-$K15)/$M15),0)))</f>
        <v>96</v>
      </c>
      <c r="BG15" s="161">
        <f>IF($H15=0,0,CHOOSE($H15,SUMPRODUCT($O16:$O$67*BG16:BG$67*($E16:$E$67=$D15)),IF(ISNUMBER(Data_2014_N!BA15),100*ABS($G15-(Data_2014_N!BA15-$K15)/$M15),0),IF(ISNUMBER(Data_2014_N!BA15),100*ABS($G15-(Data_2014_N!BA15-$K15)/$M15),0)))</f>
        <v>84</v>
      </c>
      <c r="BH15" s="161">
        <f>IF($H15=0,0,CHOOSE($H15,SUMPRODUCT($O16:$O$67*BH16:BH$67*($E16:$E$67=$D15)),IF(ISNUMBER(Data_2014_N!BB15),100*ABS($G15-(Data_2014_N!BB15-$K15)/$M15),0),IF(ISNUMBER(Data_2014_N!BB15),100*ABS($G15-(Data_2014_N!BB15-$K15)/$M15),0)))</f>
        <v>84</v>
      </c>
      <c r="BI15" s="161">
        <f>IF($H15=0,0,CHOOSE($H15,SUMPRODUCT($O16:$O$67*BI16:BI$67*($E16:$E$67=$D15)),IF(ISNUMBER(Data_2014_N!BC15),100*ABS($G15-(Data_2014_N!BC15-$K15)/$M15),0),IF(ISNUMBER(Data_2014_N!BC15),100*ABS($G15-(Data_2014_N!BC15-$K15)/$M15),0)))</f>
        <v>96</v>
      </c>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row>
    <row r="16" s="69" customFormat="1" ht="24.95" customHeight="1" spans="1:115">
      <c r="A16" s="92"/>
      <c r="B16" s="92">
        <f>tblIndicators!A12</f>
        <v>11</v>
      </c>
      <c r="C16" s="92">
        <f>tblIndicators!B12</f>
        <v>0</v>
      </c>
      <c r="D16" s="92" t="str">
        <f>tblIndicators!D12</f>
        <v>DISE1.2.2</v>
      </c>
      <c r="E16" s="92" t="str">
        <f>tblIndicators!E12</f>
        <v>DISE1.2</v>
      </c>
      <c r="F16" s="92">
        <f>tblIndicators!F12</f>
        <v>3</v>
      </c>
      <c r="G16" s="92">
        <f>tblIndicators!Y12</f>
        <v>1</v>
      </c>
      <c r="H16" s="92">
        <f>tblIndicators!Z12</f>
        <v>3</v>
      </c>
      <c r="I16" s="104">
        <f>tblIndicators!AA12</f>
        <v>1</v>
      </c>
      <c r="J16" s="92">
        <f>tblIndicators!AB12</f>
        <v>5</v>
      </c>
      <c r="K16" s="92">
        <f>CHOOSE(H16,"-",MIN(Data_2014_N!J16:BC16),I16)</f>
        <v>1</v>
      </c>
      <c r="L16" s="165">
        <f>CHOOSE(H16,"-",MAX(Data_2014_N!J16:BC16),J16)</f>
        <v>5</v>
      </c>
      <c r="M16" s="92">
        <f t="shared" si="1"/>
        <v>4</v>
      </c>
      <c r="N16" s="168" t="str">
        <f>REPT(" ",F16)&amp;tblIndicators!AE12</f>
        <v>   1.2.2) Percentage of computers infected</v>
      </c>
      <c r="O16" s="169">
        <f>tblIndicators!AD12</f>
        <v>0.333333333333333</v>
      </c>
      <c r="P16" s="161">
        <f>IF($H16=0,0,CHOOSE($H16,SUMPRODUCT($O17:$O$67*P17:P$67*($E17:$E$67=$D16)),IF(ISNUMBER(Data_2014_N!J16),100*ABS($G16-(Data_2014_N!J16-$K16)/$M16),0),IF(ISNUMBER(Data_2014_N!J16),100*ABS($G16-(Data_2014_N!J16-$K16)/$M16),0)))</f>
        <v>50</v>
      </c>
      <c r="Q16" s="161">
        <f>IF($H16=0,0,CHOOSE($H16,SUMPRODUCT($O17:$O$67*Q17:Q$67*($E17:$E$67=$D16)),IF(ISNUMBER(Data_2014_N!K16),100*ABS($G16-(Data_2014_N!K16-$K16)/$M16),0),IF(ISNUMBER(Data_2014_N!K16),100*ABS($G16-(Data_2014_N!K16-$K16)/$M16),0)))</f>
        <v>75</v>
      </c>
      <c r="R16" s="161">
        <f>IF($H16=0,0,CHOOSE($H16,SUMPRODUCT($O17:$O$67*R17:R$67*($E17:$E$67=$D16)),IF(ISNUMBER(Data_2014_N!L16),100*ABS($G16-(Data_2014_N!L16-$K16)/$M16),0),IF(ISNUMBER(Data_2014_N!L16),100*ABS($G16-(Data_2014_N!L16-$K16)/$M16),0)))</f>
        <v>25</v>
      </c>
      <c r="S16" s="161">
        <f>IF($H16=0,0,CHOOSE($H16,SUMPRODUCT($O17:$O$67*S17:S$67*($E17:$E$67=$D16)),IF(ISNUMBER(Data_2014_N!M16),100*ABS($G16-(Data_2014_N!M16-$K16)/$M16),0),IF(ISNUMBER(Data_2014_N!M16),100*ABS($G16-(Data_2014_N!M16-$K16)/$M16),0)))</f>
        <v>25</v>
      </c>
      <c r="T16" s="161">
        <f>IF($H16=0,0,CHOOSE($H16,SUMPRODUCT($O17:$O$67*T17:T$67*($E17:$E$67=$D16)),IF(ISNUMBER(Data_2014_N!N16),100*ABS($G16-(Data_2014_N!N16-$K16)/$M16),0),IF(ISNUMBER(Data_2014_N!N16),100*ABS($G16-(Data_2014_N!N16-$K16)/$M16),0)))</f>
        <v>50</v>
      </c>
      <c r="U16" s="161">
        <f>IF($H16=0,0,CHOOSE($H16,SUMPRODUCT($O17:$O$67*U17:U$67*($E17:$E$67=$D16)),IF(ISNUMBER(Data_2014_N!O16),100*ABS($G16-(Data_2014_N!O16-$K16)/$M16),0),IF(ISNUMBER(Data_2014_N!O16),100*ABS($G16-(Data_2014_N!O16-$K16)/$M16),0)))</f>
        <v>50</v>
      </c>
      <c r="V16" s="161">
        <f>IF($H16=0,0,CHOOSE($H16,SUMPRODUCT($O17:$O$67*V17:V$67*($E17:$E$67=$D16)),IF(ISNUMBER(Data_2014_N!P16),100*ABS($G16-(Data_2014_N!P16-$K16)/$M16),0),IF(ISNUMBER(Data_2014_N!P16),100*ABS($G16-(Data_2014_N!P16-$K16)/$M16),0)))</f>
        <v>75</v>
      </c>
      <c r="W16" s="161">
        <f>IF($H16=0,0,CHOOSE($H16,SUMPRODUCT($O17:$O$67*W17:W$67*($E17:$E$67=$D16)),IF(ISNUMBER(Data_2014_N!Q16),100*ABS($G16-(Data_2014_N!Q16-$K16)/$M16),0),IF(ISNUMBER(Data_2014_N!Q16),100*ABS($G16-(Data_2014_N!Q16-$K16)/$M16),0)))</f>
        <v>50</v>
      </c>
      <c r="X16" s="161">
        <f>IF($H16=0,0,CHOOSE($H16,SUMPRODUCT($O17:$O$67*X17:X$67*($E17:$E$67=$D16)),IF(ISNUMBER(Data_2014_N!R16),100*ABS($G16-(Data_2014_N!R16-$K16)/$M16),0),IF(ISNUMBER(Data_2014_N!R16),100*ABS($G16-(Data_2014_N!R16-$K16)/$M16),0)))</f>
        <v>50</v>
      </c>
      <c r="Y16" s="161">
        <f>IF($H16=0,0,CHOOSE($H16,SUMPRODUCT($O17:$O$67*Y17:Y$67*($E17:$E$67=$D16)),IF(ISNUMBER(Data_2014_N!S16),100*ABS($G16-(Data_2014_N!S16-$K16)/$M16),0),IF(ISNUMBER(Data_2014_N!S16),100*ABS($G16-(Data_2014_N!S16-$K16)/$M16),0)))</f>
        <v>50</v>
      </c>
      <c r="Z16" s="161">
        <f>IF($H16=0,0,CHOOSE($H16,SUMPRODUCT($O17:$O$67*Z17:Z$67*($E17:$E$67=$D16)),IF(ISNUMBER(Data_2014_N!T16),100*ABS($G16-(Data_2014_N!T16-$K16)/$M16),0),IF(ISNUMBER(Data_2014_N!T16),100*ABS($G16-(Data_2014_N!T16-$K16)/$M16),0)))</f>
        <v>25</v>
      </c>
      <c r="AA16" s="161">
        <f>IF($H16=0,0,CHOOSE($H16,SUMPRODUCT($O17:$O$67*AA17:AA$67*($E17:$E$67=$D16)),IF(ISNUMBER(Data_2014_N!U16),100*ABS($G16-(Data_2014_N!U16-$K16)/$M16),0),IF(ISNUMBER(Data_2014_N!U16),100*ABS($G16-(Data_2014_N!U16-$K16)/$M16),0)))</f>
        <v>0</v>
      </c>
      <c r="AB16" s="161">
        <f>IF($H16=0,0,CHOOSE($H16,SUMPRODUCT($O17:$O$67*AB17:AB$67*($E17:$E$67=$D16)),IF(ISNUMBER(Data_2014_N!V16),100*ABS($G16-(Data_2014_N!V16-$K16)/$M16),0),IF(ISNUMBER(Data_2014_N!V16),100*ABS($G16-(Data_2014_N!V16-$K16)/$M16),0)))</f>
        <v>50</v>
      </c>
      <c r="AC16" s="161">
        <f>IF($H16=0,0,CHOOSE($H16,SUMPRODUCT($O17:$O$67*AC17:AC$67*($E17:$E$67=$D16)),IF(ISNUMBER(Data_2014_N!W16),100*ABS($G16-(Data_2014_N!W16-$K16)/$M16),0),IF(ISNUMBER(Data_2014_N!W16),100*ABS($G16-(Data_2014_N!W16-$K16)/$M16),0)))</f>
        <v>25</v>
      </c>
      <c r="AD16" s="161">
        <f>IF($H16=0,0,CHOOSE($H16,SUMPRODUCT($O17:$O$67*AD17:AD$67*($E17:$E$67=$D16)),IF(ISNUMBER(Data_2014_N!X16),100*ABS($G16-(Data_2014_N!X16-$K16)/$M16),0),IF(ISNUMBER(Data_2014_N!X16),100*ABS($G16-(Data_2014_N!X16-$K16)/$M16),0)))</f>
        <v>50</v>
      </c>
      <c r="AE16" s="161">
        <f>IF($H16=0,0,CHOOSE($H16,SUMPRODUCT($O17:$O$67*AE17:AE$67*($E17:$E$67=$D16)),IF(ISNUMBER(Data_2014_N!Y16),100*ABS($G16-(Data_2014_N!Y16-$K16)/$M16),0),IF(ISNUMBER(Data_2014_N!Y16),100*ABS($G16-(Data_2014_N!Y16-$K16)/$M16),0)))</f>
        <v>75</v>
      </c>
      <c r="AF16" s="161">
        <f>IF($H16=0,0,CHOOSE($H16,SUMPRODUCT($O17:$O$67*AF17:AF$67*($E17:$E$67=$D16)),IF(ISNUMBER(Data_2014_N!Z16),100*ABS($G16-(Data_2014_N!Z16-$K16)/$M16),0),IF(ISNUMBER(Data_2014_N!Z16),100*ABS($G16-(Data_2014_N!Z16-$K16)/$M16),0)))</f>
        <v>50</v>
      </c>
      <c r="AG16" s="161">
        <f>IF($H16=0,0,CHOOSE($H16,SUMPRODUCT($O17:$O$67*AG17:AG$67*($E17:$E$67=$D16)),IF(ISNUMBER(Data_2014_N!AA16),100*ABS($G16-(Data_2014_N!AA16-$K16)/$M16),0),IF(ISNUMBER(Data_2014_N!AA16),100*ABS($G16-(Data_2014_N!AA16-$K16)/$M16),0)))</f>
        <v>50</v>
      </c>
      <c r="AH16" s="161">
        <f>IF($H16=0,0,CHOOSE($H16,SUMPRODUCT($O17:$O$67*AH17:AH$67*($E17:$E$67=$D16)),IF(ISNUMBER(Data_2014_N!AB16),100*ABS($G16-(Data_2014_N!AB16-$K16)/$M16),0),IF(ISNUMBER(Data_2014_N!AB16),100*ABS($G16-(Data_2014_N!AB16-$K16)/$M16),0)))</f>
        <v>50</v>
      </c>
      <c r="AI16" s="161">
        <f>IF($H16=0,0,CHOOSE($H16,SUMPRODUCT($O17:$O$67*AI17:AI$67*($E17:$E$67=$D16)),IF(ISNUMBER(Data_2014_N!AC16),100*ABS($G16-(Data_2014_N!AC16-$K16)/$M16),0),IF(ISNUMBER(Data_2014_N!AC16),100*ABS($G16-(Data_2014_N!AC16-$K16)/$M16),0)))</f>
        <v>50</v>
      </c>
      <c r="AJ16" s="161">
        <f>IF($H16=0,0,CHOOSE($H16,SUMPRODUCT($O17:$O$67*AJ17:AJ$67*($E17:$E$67=$D16)),IF(ISNUMBER(Data_2014_N!AD16),100*ABS($G16-(Data_2014_N!AD16-$K16)/$M16),0),IF(ISNUMBER(Data_2014_N!AD16),100*ABS($G16-(Data_2014_N!AD16-$K16)/$M16),0)))</f>
        <v>25</v>
      </c>
      <c r="AK16" s="161">
        <f>IF($H16=0,0,CHOOSE($H16,SUMPRODUCT($O17:$O$67*AK17:AK$67*($E17:$E$67=$D16)),IF(ISNUMBER(Data_2014_N!AE16),100*ABS($G16-(Data_2014_N!AE16-$K16)/$M16),0),IF(ISNUMBER(Data_2014_N!AE16),100*ABS($G16-(Data_2014_N!AE16-$K16)/$M16),0)))</f>
        <v>50</v>
      </c>
      <c r="AL16" s="161">
        <f>IF($H16=0,0,CHOOSE($H16,SUMPRODUCT($O17:$O$67*AL17:AL$67*($E17:$E$67=$D16)),IF(ISNUMBER(Data_2014_N!AF16),100*ABS($G16-(Data_2014_N!AF16-$K16)/$M16),0),IF(ISNUMBER(Data_2014_N!AF16),100*ABS($G16-(Data_2014_N!AF16-$K16)/$M16),0)))</f>
        <v>75</v>
      </c>
      <c r="AM16" s="161">
        <f>IF($H16=0,0,CHOOSE($H16,SUMPRODUCT($O17:$O$67*AM17:AM$67*($E17:$E$67=$D16)),IF(ISNUMBER(Data_2014_N!AG16),100*ABS($G16-(Data_2014_N!AG16-$K16)/$M16),0),IF(ISNUMBER(Data_2014_N!AG16),100*ABS($G16-(Data_2014_N!AG16-$K16)/$M16),0)))</f>
        <v>50</v>
      </c>
      <c r="AN16" s="161">
        <f>IF($H16=0,0,CHOOSE($H16,SUMPRODUCT($O17:$O$67*AN17:AN$67*($E17:$E$67=$D16)),IF(ISNUMBER(Data_2014_N!AH16),100*ABS($G16-(Data_2014_N!AH16-$K16)/$M16),0),IF(ISNUMBER(Data_2014_N!AH16),100*ABS($G16-(Data_2014_N!AH16-$K16)/$M16),0)))</f>
        <v>0</v>
      </c>
      <c r="AO16" s="161">
        <f>IF($H16=0,0,CHOOSE($H16,SUMPRODUCT($O17:$O$67*AO17:AO$67*($E17:$E$67=$D16)),IF(ISNUMBER(Data_2014_N!AI16),100*ABS($G16-(Data_2014_N!AI16-$K16)/$M16),0),IF(ISNUMBER(Data_2014_N!AI16),100*ABS($G16-(Data_2014_N!AI16-$K16)/$M16),0)))</f>
        <v>50</v>
      </c>
      <c r="AP16" s="161">
        <f>IF($H16=0,0,CHOOSE($H16,SUMPRODUCT($O17:$O$67*AP17:AP$67*($E17:$E$67=$D16)),IF(ISNUMBER(Data_2014_N!AJ16),100*ABS($G16-(Data_2014_N!AJ16-$K16)/$M16),0),IF(ISNUMBER(Data_2014_N!AJ16),100*ABS($G16-(Data_2014_N!AJ16-$K16)/$M16),0)))</f>
        <v>50</v>
      </c>
      <c r="AQ16" s="161">
        <f>IF($H16=0,0,CHOOSE($H16,SUMPRODUCT($O17:$O$67*AQ17:AQ$67*($E17:$E$67=$D16)),IF(ISNUMBER(Data_2014_N!AK16),100*ABS($G16-(Data_2014_N!AK16-$K16)/$M16),0),IF(ISNUMBER(Data_2014_N!AK16),100*ABS($G16-(Data_2014_N!AK16-$K16)/$M16),0)))</f>
        <v>100</v>
      </c>
      <c r="AR16" s="161">
        <f>IF($H16=0,0,CHOOSE($H16,SUMPRODUCT($O17:$O$67*AR17:AR$67*($E17:$E$67=$D16)),IF(ISNUMBER(Data_2014_N!AL16),100*ABS($G16-(Data_2014_N!AL16-$K16)/$M16),0),IF(ISNUMBER(Data_2014_N!AL16),100*ABS($G16-(Data_2014_N!AL16-$K16)/$M16),0)))</f>
        <v>25</v>
      </c>
      <c r="AS16" s="161">
        <f>IF($H16=0,0,CHOOSE($H16,SUMPRODUCT($O17:$O$67*AS17:AS$67*($E17:$E$67=$D16)),IF(ISNUMBER(Data_2014_N!AM16),100*ABS($G16-(Data_2014_N!AM16-$K16)/$M16),0),IF(ISNUMBER(Data_2014_N!AM16),100*ABS($G16-(Data_2014_N!AM16-$K16)/$M16),0)))</f>
        <v>50</v>
      </c>
      <c r="AT16" s="161">
        <f>IF($H16=0,0,CHOOSE($H16,SUMPRODUCT($O17:$O$67*AT17:AT$67*($E17:$E$67=$D16)),IF(ISNUMBER(Data_2014_N!AN16),100*ABS($G16-(Data_2014_N!AN16-$K16)/$M16),0),IF(ISNUMBER(Data_2014_N!AN16),100*ABS($G16-(Data_2014_N!AN16-$K16)/$M16),0)))</f>
        <v>25</v>
      </c>
      <c r="AU16" s="161">
        <f>IF($H16=0,0,CHOOSE($H16,SUMPRODUCT($O17:$O$67*AU17:AU$67*($E17:$E$67=$D16)),IF(ISNUMBER(Data_2014_N!AO16),100*ABS($G16-(Data_2014_N!AO16-$K16)/$M16),0),IF(ISNUMBER(Data_2014_N!AO16),100*ABS($G16-(Data_2014_N!AO16-$K16)/$M16),0)))</f>
        <v>50</v>
      </c>
      <c r="AV16" s="161">
        <f>IF($H16=0,0,CHOOSE($H16,SUMPRODUCT($O17:$O$67*AV17:AV$67*($E17:$E$67=$D16)),IF(ISNUMBER(Data_2014_N!AP16),100*ABS($G16-(Data_2014_N!AP16-$K16)/$M16),0),IF(ISNUMBER(Data_2014_N!AP16),100*ABS($G16-(Data_2014_N!AP16-$K16)/$M16),0)))</f>
        <v>50</v>
      </c>
      <c r="AW16" s="161">
        <f>IF($H16=0,0,CHOOSE($H16,SUMPRODUCT($O17:$O$67*AW17:AW$67*($E17:$E$67=$D16)),IF(ISNUMBER(Data_2014_N!AQ16),100*ABS($G16-(Data_2014_N!AQ16-$K16)/$M16),0),IF(ISNUMBER(Data_2014_N!AQ16),100*ABS($G16-(Data_2014_N!AQ16-$K16)/$M16),0)))</f>
        <v>75</v>
      </c>
      <c r="AX16" s="161">
        <f>IF($H16=0,0,CHOOSE($H16,SUMPRODUCT($O17:$O$67*AX17:AX$67*($E17:$E$67=$D16)),IF(ISNUMBER(Data_2014_N!AR16),100*ABS($G16-(Data_2014_N!AR16-$K16)/$M16),0),IF(ISNUMBER(Data_2014_N!AR16),100*ABS($G16-(Data_2014_N!AR16-$K16)/$M16),0)))</f>
        <v>50</v>
      </c>
      <c r="AY16" s="161">
        <f>IF($H16=0,0,CHOOSE($H16,SUMPRODUCT($O17:$O$67*AY17:AY$67*($E17:$E$67=$D16)),IF(ISNUMBER(Data_2014_N!AS16),100*ABS($G16-(Data_2014_N!AS16-$K16)/$M16),0),IF(ISNUMBER(Data_2014_N!AS16),100*ABS($G16-(Data_2014_N!AS16-$K16)/$M16),0)))</f>
        <v>50</v>
      </c>
      <c r="AZ16" s="161">
        <f>IF($H16=0,0,CHOOSE($H16,SUMPRODUCT($O17:$O$67*AZ17:AZ$67*($E17:$E$67=$D16)),IF(ISNUMBER(Data_2014_N!AT16),100*ABS($G16-(Data_2014_N!AT16-$K16)/$M16),0),IF(ISNUMBER(Data_2014_N!AT16),100*ABS($G16-(Data_2014_N!AT16-$K16)/$M16),0)))</f>
        <v>50</v>
      </c>
      <c r="BA16" s="161">
        <f>IF($H16=0,0,CHOOSE($H16,SUMPRODUCT($O17:$O$67*BA17:BA$67*($E17:$E$67=$D16)),IF(ISNUMBER(Data_2014_N!AU16),100*ABS($G16-(Data_2014_N!AU16-$K16)/$M16),0),IF(ISNUMBER(Data_2014_N!AU16),100*ABS($G16-(Data_2014_N!AU16-$K16)/$M16),0)))</f>
        <v>100</v>
      </c>
      <c r="BB16" s="161">
        <f>IF($H16=0,0,CHOOSE($H16,SUMPRODUCT($O17:$O$67*BB17:BB$67*($E17:$E$67=$D16)),IF(ISNUMBER(Data_2014_N!AV16),100*ABS($G16-(Data_2014_N!AV16-$K16)/$M16),0),IF(ISNUMBER(Data_2014_N!AV16),100*ABS($G16-(Data_2014_N!AV16-$K16)/$M16),0)))</f>
        <v>50</v>
      </c>
      <c r="BC16" s="161">
        <f>IF($H16=0,0,CHOOSE($H16,SUMPRODUCT($O17:$O$67*BC17:BC$67*($E17:$E$67=$D16)),IF(ISNUMBER(Data_2014_N!AW16),100*ABS($G16-(Data_2014_N!AW16-$K16)/$M16),0),IF(ISNUMBER(Data_2014_N!AW16),100*ABS($G16-(Data_2014_N!AW16-$K16)/$M16),0)))</f>
        <v>50</v>
      </c>
      <c r="BD16" s="161">
        <f>IF($H16=0,0,CHOOSE($H16,SUMPRODUCT($O17:$O$67*BD17:BD$67*($E17:$E$67=$D16)),IF(ISNUMBER(Data_2014_N!AX16),100*ABS($G16-(Data_2014_N!AX16-$K16)/$M16),0),IF(ISNUMBER(Data_2014_N!AX16),100*ABS($G16-(Data_2014_N!AX16-$K16)/$M16),0)))</f>
        <v>75</v>
      </c>
      <c r="BE16" s="161">
        <f>IF($H16=0,0,CHOOSE($H16,SUMPRODUCT($O17:$O$67*BE17:BE$67*($E17:$E$67=$D16)),IF(ISNUMBER(Data_2014_N!AY16),100*ABS($G16-(Data_2014_N!AY16-$K16)/$M16),0),IF(ISNUMBER(Data_2014_N!AY16),100*ABS($G16-(Data_2014_N!AY16-$K16)/$M16),0)))</f>
        <v>50</v>
      </c>
      <c r="BF16" s="161">
        <f>IF($H16=0,0,CHOOSE($H16,SUMPRODUCT($O17:$O$67*BF17:BF$67*($E17:$E$67=$D16)),IF(ISNUMBER(Data_2014_N!AZ16),100*ABS($G16-(Data_2014_N!AZ16-$K16)/$M16),0),IF(ISNUMBER(Data_2014_N!AZ16),100*ABS($G16-(Data_2014_N!AZ16-$K16)/$M16),0)))</f>
        <v>100</v>
      </c>
      <c r="BG16" s="161">
        <f>IF($H16=0,0,CHOOSE($H16,SUMPRODUCT($O17:$O$67*BG17:BG$67*($E17:$E$67=$D16)),IF(ISNUMBER(Data_2014_N!BA16),100*ABS($G16-(Data_2014_N!BA16-$K16)/$M16),0),IF(ISNUMBER(Data_2014_N!BA16),100*ABS($G16-(Data_2014_N!BA16-$K16)/$M16),0)))</f>
        <v>50</v>
      </c>
      <c r="BH16" s="161">
        <f>IF($H16=0,0,CHOOSE($H16,SUMPRODUCT($O17:$O$67*BH17:BH$67*($E17:$E$67=$D16)),IF(ISNUMBER(Data_2014_N!BB16),100*ABS($G16-(Data_2014_N!BB16-$K16)/$M16),0),IF(ISNUMBER(Data_2014_N!BB16),100*ABS($G16-(Data_2014_N!BB16-$K16)/$M16),0)))</f>
        <v>50</v>
      </c>
      <c r="BI16" s="161">
        <f>IF($H16=0,0,CHOOSE($H16,SUMPRODUCT($O17:$O$67*BI17:BI$67*($E17:$E$67=$D16)),IF(ISNUMBER(Data_2014_N!BC16),100*ABS($G16-(Data_2014_N!BC16-$K16)/$M16),0),IF(ISNUMBER(Data_2014_N!BC16),100*ABS($G16-(Data_2014_N!BC16-$K16)/$M16),0)))</f>
        <v>50</v>
      </c>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row>
    <row r="17" s="69" customFormat="1" ht="24.95" customHeight="1" spans="1:115">
      <c r="A17" s="92"/>
      <c r="B17" s="92">
        <f>tblIndicators!A13</f>
        <v>12</v>
      </c>
      <c r="C17" s="92">
        <f>tblIndicators!B13</f>
        <v>0</v>
      </c>
      <c r="D17" s="92" t="str">
        <f>tblIndicators!D13</f>
        <v>DISE1.2.3</v>
      </c>
      <c r="E17" s="92" t="str">
        <f>tblIndicators!E13</f>
        <v>DISE1.2</v>
      </c>
      <c r="F17" s="92">
        <f>tblIndicators!F13</f>
        <v>3</v>
      </c>
      <c r="G17" s="92">
        <f>tblIndicators!Y13</f>
        <v>0</v>
      </c>
      <c r="H17" s="92">
        <f>tblIndicators!Z13</f>
        <v>2</v>
      </c>
      <c r="I17" s="104">
        <f>tblIndicators!AA13</f>
        <v>0</v>
      </c>
      <c r="J17" s="92">
        <f>tblIndicators!AB13</f>
        <v>0</v>
      </c>
      <c r="K17" s="92">
        <f>CHOOSE(H17,"-",MIN(Data_2014_N!J17:BC17),I17)</f>
        <v>0.072</v>
      </c>
      <c r="L17" s="165">
        <f>CHOOSE(H17,"-",MAX(Data_2014_N!J17:BC17),J17)</f>
        <v>0.948</v>
      </c>
      <c r="M17" s="92">
        <f t="shared" si="1"/>
        <v>0.876</v>
      </c>
      <c r="N17" s="168" t="str">
        <f>REPT(" ",F17)&amp;tblIndicators!AE13</f>
        <v>   1.2.3) Percentage with Internet access</v>
      </c>
      <c r="O17" s="169">
        <f>tblIndicators!AD13</f>
        <v>0.333333333333333</v>
      </c>
      <c r="P17" s="161">
        <f>IF($H17=0,0,CHOOSE($H17,SUMPRODUCT($O18:$O$67*P18:P$67*($E18:$E$67=$D17)),IF(ISNUMBER(Data_2014_N!J17),100*ABS($G17-(Data_2014_N!J17-$K17)/$M17),0),IF(ISNUMBER(Data_2014_N!J17),100*ABS($G17-(Data_2014_N!J17-$K17)/$M17),0)))</f>
        <v>92.2374429223744</v>
      </c>
      <c r="Q17" s="161">
        <f>IF($H17=0,0,CHOOSE($H17,SUMPRODUCT($O18:$O$67*Q18:Q$67*($E18:$E$67=$D17)),IF(ISNUMBER(Data_2014_N!K17),100*ABS($G17-(Data_2014_N!K17-$K17)/$M17),0),IF(ISNUMBER(Data_2014_N!K17),100*ABS($G17-(Data_2014_N!K17-$K17)/$M17),0)))</f>
        <v>99.0867579908676</v>
      </c>
      <c r="R17" s="161">
        <f>IF($H17=0,0,CHOOSE($H17,SUMPRODUCT($O18:$O$67*R18:R$67*($E18:$E$67=$D17)),IF(ISNUMBER(Data_2014_N!L17),100*ABS($G17-(Data_2014_N!L17-$K17)/$M17),0),IF(ISNUMBER(Data_2014_N!L17),100*ABS($G17-(Data_2014_N!L17-$K17)/$M17),0)))</f>
        <v>21.1872146118721</v>
      </c>
      <c r="S17" s="161">
        <f>IF($H17=0,0,CHOOSE($H17,SUMPRODUCT($O18:$O$67*S18:S$67*($E18:$E$67=$D17)),IF(ISNUMBER(Data_2014_N!M17),100*ABS($G17-(Data_2014_N!M17-$K17)/$M17),0),IF(ISNUMBER(Data_2014_N!M17),100*ABS($G17-(Data_2014_N!M17-$K17)/$M17),0)))</f>
        <v>76.7123287671233</v>
      </c>
      <c r="T17" s="161">
        <f>IF($H17=0,0,CHOOSE($H17,SUMPRODUCT($O18:$O$67*T18:T$67*($E18:$E$67=$D17)),IF(ISNUMBER(Data_2014_N!N17),100*ABS($G17-(Data_2014_N!N17-$K17)/$M17),0),IF(ISNUMBER(Data_2014_N!N17),100*ABS($G17-(Data_2014_N!N17-$K17)/$M17),0)))</f>
        <v>74.2009132420091</v>
      </c>
      <c r="U17" s="161">
        <f>IF($H17=0,0,CHOOSE($H17,SUMPRODUCT($O18:$O$67*U18:U$67*($E18:$E$67=$D17)),IF(ISNUMBER(Data_2014_N!O17),100*ABS($G17-(Data_2014_N!O17-$K17)/$M17),0),IF(ISNUMBER(Data_2014_N!O17),100*ABS($G17-(Data_2014_N!O17-$K17)/$M17),0)))</f>
        <v>85.5821917808219</v>
      </c>
      <c r="V17" s="161">
        <f>IF($H17=0,0,CHOOSE($H17,SUMPRODUCT($O18:$O$67*V18:V$67*($E18:$E$67=$D17)),IF(ISNUMBER(Data_2014_N!P17),100*ABS($G17-(Data_2014_N!P17-$K17)/$M17),0),IF(ISNUMBER(Data_2014_N!P17),100*ABS($G17-(Data_2014_N!P17-$K17)/$M17),0)))</f>
        <v>69.5091324200913</v>
      </c>
      <c r="W17" s="161">
        <f>IF($H17=0,0,CHOOSE($H17,SUMPRODUCT($O18:$O$67*W18:W$67*($E18:$E$67=$D17)),IF(ISNUMBER(Data_2014_N!Q17),100*ABS($G17-(Data_2014_N!Q17-$K17)/$M17),0),IF(ISNUMBER(Data_2014_N!Q17),100*ABS($G17-(Data_2014_N!Q17-$K17)/$M17),0)))</f>
        <v>77.3972602739726</v>
      </c>
      <c r="X17" s="161">
        <f>IF($H17=0,0,CHOOSE($H17,SUMPRODUCT($O18:$O$67*X18:X$67*($E18:$E$67=$D17)),IF(ISNUMBER(Data_2014_N!R17),100*ABS($G17-(Data_2014_N!R17-$K17)/$M17),0),IF(ISNUMBER(Data_2014_N!R17),100*ABS($G17-(Data_2014_N!R17-$K17)/$M17),0)))</f>
        <v>46.9748858447489</v>
      </c>
      <c r="Y17" s="161">
        <f>IF($H17=0,0,CHOOSE($H17,SUMPRODUCT($O18:$O$67*Y18:Y$67*($E18:$E$67=$D17)),IF(ISNUMBER(Data_2014_N!S17),100*ABS($G17-(Data_2014_N!S17-$K17)/$M17),0),IF(ISNUMBER(Data_2014_N!S17),100*ABS($G17-(Data_2014_N!S17-$K17)/$M17),0)))</f>
        <v>85.3881278538813</v>
      </c>
      <c r="Z17" s="161">
        <f>IF($H17=0,0,CHOOSE($H17,SUMPRODUCT($O18:$O$67*Z18:Z$67*($E18:$E$67=$D17)),IF(ISNUMBER(Data_2014_N!T17),100*ABS($G17-(Data_2014_N!T17-$K17)/$M17),0),IF(ISNUMBER(Data_2014_N!T17),100*ABS($G17-(Data_2014_N!T17-$K17)/$M17),0)))</f>
        <v>87.6712328767123</v>
      </c>
      <c r="AA17" s="161">
        <f>IF($H17=0,0,CHOOSE($H17,SUMPRODUCT($O18:$O$67*AA18:AA$67*($E18:$E$67=$D17)),IF(ISNUMBER(Data_2014_N!U17),100*ABS($G17-(Data_2014_N!U17-$K17)/$M17),0),IF(ISNUMBER(Data_2014_N!U17),100*ABS($G17-(Data_2014_N!U17-$K17)/$M17),0)))</f>
        <v>48.8584474885845</v>
      </c>
      <c r="AB17" s="161">
        <f>IF($H17=0,0,CHOOSE($H17,SUMPRODUCT($O18:$O$67*AB18:AB$67*($E18:$E$67=$D17)),IF(ISNUMBER(Data_2014_N!V17),100*ABS($G17-(Data_2014_N!V17-$K17)/$M17),0),IF(ISNUMBER(Data_2014_N!V17),100*ABS($G17-(Data_2014_N!V17-$K17)/$M17),0)))</f>
        <v>80.7077625570776</v>
      </c>
      <c r="AC17" s="161">
        <f>IF($H17=0,0,CHOOSE($H17,SUMPRODUCT($O18:$O$67*AC18:AC$67*($E18:$E$67=$D17)),IF(ISNUMBER(Data_2014_N!W17),100*ABS($G17-(Data_2014_N!W17-$K17)/$M17),0),IF(ISNUMBER(Data_2014_N!W17),100*ABS($G17-(Data_2014_N!W17-$K17)/$M17),0)))</f>
        <v>44.9771689497717</v>
      </c>
      <c r="AD17" s="161">
        <f>IF($H17=0,0,CHOOSE($H17,SUMPRODUCT($O18:$O$67*AD18:AD$67*($E18:$E$67=$D17)),IF(ISNUMBER(Data_2014_N!X17),100*ABS($G17-(Data_2014_N!X17-$K17)/$M17),0),IF(ISNUMBER(Data_2014_N!X17),100*ABS($G17-(Data_2014_N!X17-$K17)/$M17),0)))</f>
        <v>33.9041095890411</v>
      </c>
      <c r="AE17" s="161">
        <f>IF($H17=0,0,CHOOSE($H17,SUMPRODUCT($O18:$O$67*AE18:AE$67*($E18:$E$67=$D17)),IF(ISNUMBER(Data_2014_N!Y17),100*ABS($G17-(Data_2014_N!Y17-$K17)/$M17),0),IF(ISNUMBER(Data_2014_N!Y17),100*ABS($G17-(Data_2014_N!Y17-$K17)/$M17),0)))</f>
        <v>53.4246575342466</v>
      </c>
      <c r="AF17" s="161">
        <f>IF($H17=0,0,CHOOSE($H17,SUMPRODUCT($O18:$O$67*AF18:AF$67*($E18:$E$67=$D17)),IF(ISNUMBER(Data_2014_N!Z17),100*ABS($G17-(Data_2014_N!Z17-$K17)/$M17),0),IF(ISNUMBER(Data_2014_N!Z17),100*ABS($G17-(Data_2014_N!Z17-$K17)/$M17),0)))</f>
        <v>76.2557077625571</v>
      </c>
      <c r="AG17" s="161">
        <f>IF($H17=0,0,CHOOSE($H17,SUMPRODUCT($O18:$O$67*AG18:AG$67*($E18:$E$67=$D17)),IF(ISNUMBER(Data_2014_N!AA17),100*ABS($G17-(Data_2014_N!AA17-$K17)/$M17),0),IF(ISNUMBER(Data_2014_N!AA17),100*ABS($G17-(Data_2014_N!AA17-$K17)/$M17),0)))</f>
        <v>0</v>
      </c>
      <c r="AH17" s="161">
        <f>IF($H17=0,0,CHOOSE($H17,SUMPRODUCT($O18:$O$67*AH18:AH$67*($E18:$E$67=$D17)),IF(ISNUMBER(Data_2014_N!AB17),100*ABS($G17-(Data_2014_N!AB17-$K17)/$M17),0),IF(ISNUMBER(Data_2014_N!AB17),100*ABS($G17-(Data_2014_N!AB17-$K17)/$M17),0)))</f>
        <v>94.5205479452055</v>
      </c>
      <c r="AI17" s="161">
        <f>IF($H17=0,0,CHOOSE($H17,SUMPRODUCT($O18:$O$67*AI18:AI$67*($E18:$E$67=$D17)),IF(ISNUMBER(Data_2014_N!AC17),100*ABS($G17-(Data_2014_N!AC17-$K17)/$M17),0),IF(ISNUMBER(Data_2014_N!AC17),100*ABS($G17-(Data_2014_N!AC17-$K17)/$M17),0)))</f>
        <v>89.9543378995434</v>
      </c>
      <c r="AJ17" s="161">
        <f>IF($H17=0,0,CHOOSE($H17,SUMPRODUCT($O18:$O$67*AJ18:AJ$67*($E18:$E$67=$D17)),IF(ISNUMBER(Data_2014_N!AD17),100*ABS($G17-(Data_2014_N!AD17-$K17)/$M17),0),IF(ISNUMBER(Data_2014_N!AD17),100*ABS($G17-(Data_2014_N!AD17-$K17)/$M17),0)))</f>
        <v>79.6803652968037</v>
      </c>
      <c r="AK17" s="161">
        <f>IF($H17=0,0,CHOOSE($H17,SUMPRODUCT($O18:$O$67*AK18:AK$67*($E18:$E$67=$D17)),IF(ISNUMBER(Data_2014_N!AE17),100*ABS($G17-(Data_2014_N!AE17-$K17)/$M17),0),IF(ISNUMBER(Data_2014_N!AE17),100*ABS($G17-(Data_2014_N!AE17-$K17)/$M17),0)))</f>
        <v>78.5388127853881</v>
      </c>
      <c r="AL17" s="161">
        <f>IF($H17=0,0,CHOOSE($H17,SUMPRODUCT($O18:$O$67*AL18:AL$67*($E18:$E$67=$D17)),IF(ISNUMBER(Data_2014_N!AF17),100*ABS($G17-(Data_2014_N!AF17-$K17)/$M17),0),IF(ISNUMBER(Data_2014_N!AF17),100*ABS($G17-(Data_2014_N!AF17-$K17)/$M17),0)))</f>
        <v>50.148401826484</v>
      </c>
      <c r="AM17" s="161">
        <f>IF($H17=0,0,CHOOSE($H17,SUMPRODUCT($O18:$O$67*AM18:AM$67*($E18:$E$67=$D17)),IF(ISNUMBER(Data_2014_N!AG17),100*ABS($G17-(Data_2014_N!AG17-$K17)/$M17),0),IF(ISNUMBER(Data_2014_N!AG17),100*ABS($G17-(Data_2014_N!AG17-$K17)/$M17),0)))</f>
        <v>63.6986301369863</v>
      </c>
      <c r="AN17" s="161">
        <f>IF($H17=0,0,CHOOSE($H17,SUMPRODUCT($O18:$O$67*AN18:AN$67*($E18:$E$67=$D17)),IF(ISNUMBER(Data_2014_N!AH17),100*ABS($G17-(Data_2014_N!AH17-$K17)/$M17),0),IF(ISNUMBER(Data_2014_N!AH17),100*ABS($G17-(Data_2014_N!AH17-$K17)/$M17),0)))</f>
        <v>76.2557077625571</v>
      </c>
      <c r="AO17" s="161">
        <f>IF($H17=0,0,CHOOSE($H17,SUMPRODUCT($O18:$O$67*AO18:AO$67*($E18:$E$67=$D17)),IF(ISNUMBER(Data_2014_N!AI17),100*ABS($G17-(Data_2014_N!AI17-$K17)/$M17),0),IF(ISNUMBER(Data_2014_N!AI17),100*ABS($G17-(Data_2014_N!AI17-$K17)/$M17),0)))</f>
        <v>45.4337899543379</v>
      </c>
      <c r="AP17" s="161">
        <f>IF($H17=0,0,CHOOSE($H17,SUMPRODUCT($O18:$O$67*AP18:AP$67*($E18:$E$67=$D17)),IF(ISNUMBER(Data_2014_N!AJ17),100*ABS($G17-(Data_2014_N!AJ17-$K17)/$M17),0),IF(ISNUMBER(Data_2014_N!AJ17),100*ABS($G17-(Data_2014_N!AJ17-$K17)/$M17),0)))</f>
        <v>86.5296803652968</v>
      </c>
      <c r="AQ17" s="161">
        <f>IF($H17=0,0,CHOOSE($H17,SUMPRODUCT($O18:$O$67*AQ18:AQ$67*($E18:$E$67=$D17)),IF(ISNUMBER(Data_2014_N!AK17),100*ABS($G17-(Data_2014_N!AK17-$K17)/$M17),0),IF(ISNUMBER(Data_2014_N!AK17),100*ABS($G17-(Data_2014_N!AK17-$K17)/$M17),0)))</f>
        <v>89.9885844748858</v>
      </c>
      <c r="AR17" s="161">
        <f>IF($H17=0,0,CHOOSE($H17,SUMPRODUCT($O18:$O$67*AR18:AR$67*($E18:$E$67=$D17)),IF(ISNUMBER(Data_2014_N!AL17),100*ABS($G17-(Data_2014_N!AL17-$K17)/$M17),0),IF(ISNUMBER(Data_2014_N!AL17),100*ABS($G17-(Data_2014_N!AL17-$K17)/$M17),0)))</f>
        <v>85.3881278538813</v>
      </c>
      <c r="AS17" s="161">
        <f>IF($H17=0,0,CHOOSE($H17,SUMPRODUCT($O18:$O$67*AS18:AS$67*($E18:$E$67=$D17)),IF(ISNUMBER(Data_2014_N!AM17),100*ABS($G17-(Data_2014_N!AM17-$K17)/$M17),0),IF(ISNUMBER(Data_2014_N!AM17),100*ABS($G17-(Data_2014_N!AM17-$K17)/$M17),0)))</f>
        <v>45.4337899543379</v>
      </c>
      <c r="AT17" s="161">
        <f>IF($H17=0,0,CHOOSE($H17,SUMPRODUCT($O18:$O$67*AT18:AT$67*($E18:$E$67=$D17)),IF(ISNUMBER(Data_2014_N!AN17),100*ABS($G17-(Data_2014_N!AN17-$K17)/$M17),0),IF(ISNUMBER(Data_2014_N!AN17),100*ABS($G17-(Data_2014_N!AN17-$K17)/$M17),0)))</f>
        <v>53.5388127853881</v>
      </c>
      <c r="AU17" s="161">
        <f>IF($H17=0,0,CHOOSE($H17,SUMPRODUCT($O18:$O$67*AU18:AU$67*($E18:$E$67=$D17)),IF(ISNUMBER(Data_2014_N!AO17),100*ABS($G17-(Data_2014_N!AO17-$K17)/$M17),0),IF(ISNUMBER(Data_2014_N!AO17),100*ABS($G17-(Data_2014_N!AO17-$K17)/$M17),0)))</f>
        <v>57.9908675799087</v>
      </c>
      <c r="AV17" s="161">
        <f>IF($H17=0,0,CHOOSE($H17,SUMPRODUCT($O18:$O$67*AV18:AV$67*($E18:$E$67=$D17)),IF(ISNUMBER(Data_2014_N!AP17),100*ABS($G17-(Data_2014_N!AP17-$K17)/$M17),0),IF(ISNUMBER(Data_2014_N!AP17),100*ABS($G17-(Data_2014_N!AP17-$K17)/$M17),0)))</f>
        <v>83.1050228310502</v>
      </c>
      <c r="AW17" s="161">
        <f>IF($H17=0,0,CHOOSE($H17,SUMPRODUCT($O18:$O$67*AW18:AW$67*($E18:$E$67=$D17)),IF(ISNUMBER(Data_2014_N!AQ17),100*ABS($G17-(Data_2014_N!AQ17-$K17)/$M17),0),IF(ISNUMBER(Data_2014_N!AQ17),100*ABS($G17-(Data_2014_N!AQ17-$K17)/$M17),0)))</f>
        <v>69.0639269406393</v>
      </c>
      <c r="AX17" s="161">
        <f>IF($H17=0,0,CHOOSE($H17,SUMPRODUCT($O18:$O$67*AX18:AX$67*($E18:$E$67=$D17)),IF(ISNUMBER(Data_2014_N!AR17),100*ABS($G17-(Data_2014_N!AR17-$K17)/$M17),0),IF(ISNUMBER(Data_2014_N!AR17),100*ABS($G17-(Data_2014_N!AR17-$K17)/$M17),0)))</f>
        <v>46.5753424657534</v>
      </c>
      <c r="AY17" s="161">
        <f>IF($H17=0,0,CHOOSE($H17,SUMPRODUCT($O18:$O$67*AY18:AY$67*($E18:$E$67=$D17)),IF(ISNUMBER(Data_2014_N!AS17),100*ABS($G17-(Data_2014_N!AS17-$K17)/$M17),0),IF(ISNUMBER(Data_2014_N!AS17),100*ABS($G17-(Data_2014_N!AS17-$K17)/$M17),0)))</f>
        <v>86.7579908675799</v>
      </c>
      <c r="AZ17" s="161">
        <f>IF($H17=0,0,CHOOSE($H17,SUMPRODUCT($O18:$O$67*AZ18:AZ$67*($E18:$E$67=$D17)),IF(ISNUMBER(Data_2014_N!AT17),100*ABS($G17-(Data_2014_N!AT17-$K17)/$M17),0),IF(ISNUMBER(Data_2014_N!AT17),100*ABS($G17-(Data_2014_N!AT17-$K17)/$M17),0)))</f>
        <v>69.8630136986302</v>
      </c>
      <c r="BA17" s="161">
        <f>IF($H17=0,0,CHOOSE($H17,SUMPRODUCT($O18:$O$67*BA18:BA$67*($E18:$E$67=$D17)),IF(ISNUMBER(Data_2014_N!AU17),100*ABS($G17-(Data_2014_N!AU17-$K17)/$M17),0),IF(ISNUMBER(Data_2014_N!AU17),100*ABS($G17-(Data_2014_N!AU17-$K17)/$M17),0)))</f>
        <v>75.1141552511416</v>
      </c>
      <c r="BB17" s="161">
        <f>IF($H17=0,0,CHOOSE($H17,SUMPRODUCT($O18:$O$67*BB18:BB$67*($E18:$E$67=$D17)),IF(ISNUMBER(Data_2014_N!AV17),100*ABS($G17-(Data_2014_N!AV17-$K17)/$M17),0),IF(ISNUMBER(Data_2014_N!AV17),100*ABS($G17-(Data_2014_N!AV17-$K17)/$M17),0)))</f>
        <v>100</v>
      </c>
      <c r="BC17" s="161">
        <f>IF($H17=0,0,CHOOSE($H17,SUMPRODUCT($O18:$O$67*BC18:BC$67*($E18:$E$67=$D17)),IF(ISNUMBER(Data_2014_N!AW17),100*ABS($G17-(Data_2014_N!AW17-$K17)/$M17),0),IF(ISNUMBER(Data_2014_N!AW17),100*ABS($G17-(Data_2014_N!AW17-$K17)/$M17),0)))</f>
        <v>78.8812785388128</v>
      </c>
      <c r="BD17" s="161">
        <f>IF($H17=0,0,CHOOSE($H17,SUMPRODUCT($O18:$O$67*BD18:BD$67*($E18:$E$67=$D17)),IF(ISNUMBER(Data_2014_N!AX17),100*ABS($G17-(Data_2014_N!AX17-$K17)/$M17),0),IF(ISNUMBER(Data_2014_N!AX17),100*ABS($G17-(Data_2014_N!AX17-$K17)/$M17),0)))</f>
        <v>71.689497716895</v>
      </c>
      <c r="BE17" s="161">
        <f>IF($H17=0,0,CHOOSE($H17,SUMPRODUCT($O18:$O$67*BE18:BE$67*($E18:$E$67=$D17)),IF(ISNUMBER(Data_2014_N!AY17),100*ABS($G17-(Data_2014_N!AY17-$K17)/$M17),0),IF(ISNUMBER(Data_2014_N!AY17),100*ABS($G17-(Data_2014_N!AY17-$K17)/$M17),0)))</f>
        <v>21.4611872146119</v>
      </c>
      <c r="BF17" s="161">
        <f>IF($H17=0,0,CHOOSE($H17,SUMPRODUCT($O18:$O$67*BF18:BF$67*($E18:$E$67=$D17)),IF(ISNUMBER(Data_2014_N!AZ17),100*ABS($G17-(Data_2014_N!AZ17-$K17)/$M17),0),IF(ISNUMBER(Data_2014_N!AZ17),100*ABS($G17-(Data_2014_N!AZ17-$K17)/$M17),0)))</f>
        <v>91.0958904109589</v>
      </c>
      <c r="BG17" s="161">
        <f>IF($H17=0,0,CHOOSE($H17,SUMPRODUCT($O18:$O$67*BG18:BG$67*($E18:$E$67=$D17)),IF(ISNUMBER(Data_2014_N!BA17),100*ABS($G17-(Data_2014_N!BA17-$K17)/$M17),0),IF(ISNUMBER(Data_2014_N!BA17),100*ABS($G17-(Data_2014_N!BA17-$K17)/$M17),0)))</f>
        <v>84.2465753424658</v>
      </c>
      <c r="BH17" s="161">
        <f>IF($H17=0,0,CHOOSE($H17,SUMPRODUCT($O18:$O$67*BH18:BH$67*($E18:$E$67=$D17)),IF(ISNUMBER(Data_2014_N!BB17),100*ABS($G17-(Data_2014_N!BB17-$K17)/$M17),0),IF(ISNUMBER(Data_2014_N!BB17),100*ABS($G17-(Data_2014_N!BB17-$K17)/$M17),0)))</f>
        <v>89.9543378995434</v>
      </c>
      <c r="BI17" s="161">
        <f>IF($H17=0,0,CHOOSE($H17,SUMPRODUCT($O18:$O$67*BI18:BI$67*($E18:$E$67=$D17)),IF(ISNUMBER(Data_2014_N!BC17),100*ABS($G17-(Data_2014_N!BC17-$K17)/$M17),0),IF(ISNUMBER(Data_2014_N!BC17),100*ABS($G17-(Data_2014_N!BC17-$K17)/$M17),0)))</f>
        <v>92.2374429223744</v>
      </c>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row>
    <row r="18" s="69" customFormat="1" ht="24.95" customHeight="1" spans="1:115">
      <c r="A18" s="92"/>
      <c r="B18" s="92">
        <f>tblIndicators!A14</f>
        <v>13</v>
      </c>
      <c r="C18" s="92">
        <f>tblIndicators!B14</f>
        <v>0</v>
      </c>
      <c r="D18" s="92" t="str">
        <f>tblIndicators!D14</f>
        <v>HESE</v>
      </c>
      <c r="E18" s="92" t="str">
        <f>tblIndicators!E14</f>
        <v>OVERALL</v>
      </c>
      <c r="F18" s="92">
        <f>tblIndicators!F14</f>
        <v>1</v>
      </c>
      <c r="G18" s="92" t="str">
        <f>tblIndicators!Y14</f>
        <v/>
      </c>
      <c r="H18" s="92">
        <f>tblIndicators!Z14</f>
        <v>1</v>
      </c>
      <c r="I18" s="104">
        <f>tblIndicators!AA14</f>
        <v>0</v>
      </c>
      <c r="J18" s="92">
        <f>tblIndicators!AB14</f>
        <v>0</v>
      </c>
      <c r="K18" s="92" t="str">
        <f>CHOOSE(H18,"-",MIN(Data_2014_N!J18:BC18),I18)</f>
        <v>-</v>
      </c>
      <c r="L18" s="165" t="str">
        <f>CHOOSE(H18,"-",MAX(Data_2014_N!J18:BC18),J18)</f>
        <v>-</v>
      </c>
      <c r="M18" s="92" t="str">
        <f t="shared" si="1"/>
        <v>-</v>
      </c>
      <c r="N18" s="168" t="str">
        <f>REPT(" ",F18)&amp;tblIndicators!AE14</f>
        <v> 2) HEALTH SECURITY</v>
      </c>
      <c r="O18" s="169">
        <f>tblIndicators!AD14</f>
        <v>0.25</v>
      </c>
      <c r="P18" s="161">
        <f>IF($H18=0,0,CHOOSE($H18,SUMPRODUCT($O19:$O$67*P19:P$67*($E19:$E$67=$D18)),IF(ISNUMBER(Data_2014_N!J18),100*ABS($G18-(Data_2014_N!J18-$K18)/$M18),0),IF(ISNUMBER(Data_2014_N!J18),100*ABS($G18-(Data_2014_N!J18-$K18)/$M18),0)))</f>
        <v>55.5546628583946</v>
      </c>
      <c r="Q18" s="161">
        <f>IF($H18=0,0,CHOOSE($H18,SUMPRODUCT($O19:$O$67*Q19:Q$67*($E19:$E$67=$D18)),IF(ISNUMBER(Data_2014_N!K18),100*ABS($G18-(Data_2014_N!K18-$K18)/$M18),0),IF(ISNUMBER(Data_2014_N!K18),100*ABS($G18-(Data_2014_N!K18-$K18)/$M18),0)))</f>
        <v>76.0429739357922</v>
      </c>
      <c r="R18" s="161">
        <f>IF($H18=0,0,CHOOSE($H18,SUMPRODUCT($O19:$O$67*R19:R$67*($E19:$E$67=$D18)),IF(ISNUMBER(Data_2014_N!L18),100*ABS($G18-(Data_2014_N!L18-$K18)/$M18),0),IF(ISNUMBER(Data_2014_N!L18),100*ABS($G18-(Data_2014_N!L18-$K18)/$M18),0)))</f>
        <v>64.3967774214659</v>
      </c>
      <c r="S18" s="161">
        <f>IF($H18=0,0,CHOOSE($H18,SUMPRODUCT($O19:$O$67*S19:S$67*($E19:$E$67=$D18)),IF(ISNUMBER(Data_2014_N!M18),100*ABS($G18-(Data_2014_N!M18-$K18)/$M18),0),IF(ISNUMBER(Data_2014_N!M18),100*ABS($G18-(Data_2014_N!M18-$K18)/$M18),0)))</f>
        <v>77.5024867611397</v>
      </c>
      <c r="T18" s="161">
        <f>IF($H18=0,0,CHOOSE($H18,SUMPRODUCT($O19:$O$67*T19:T$67*($E19:$E$67=$D18)),IF(ISNUMBER(Data_2014_N!N18),100*ABS($G18-(Data_2014_N!N18-$K18)/$M18),0),IF(ISNUMBER(Data_2014_N!N18),100*ABS($G18-(Data_2014_N!N18-$K18)/$M18),0)))</f>
        <v>68.0655189588182</v>
      </c>
      <c r="U18" s="161">
        <f>IF($H18=0,0,CHOOSE($H18,SUMPRODUCT($O19:$O$67*U19:U$67*($E19:$E$67=$D18)),IF(ISNUMBER(Data_2014_N!O18),100*ABS($G18-(Data_2014_N!O18-$K18)/$M18),0),IF(ISNUMBER(Data_2014_N!O18),100*ABS($G18-(Data_2014_N!O18-$K18)/$M18),0)))</f>
        <v>79.3886189125076</v>
      </c>
      <c r="V18" s="161">
        <f>IF($H18=0,0,CHOOSE($H18,SUMPRODUCT($O19:$O$67*V19:V$67*($E19:$E$67=$D18)),IF(ISNUMBER(Data_2014_N!P18),100*ABS($G18-(Data_2014_N!P18-$K18)/$M18),0),IF(ISNUMBER(Data_2014_N!P18),100*ABS($G18-(Data_2014_N!P18-$K18)/$M18),0)))</f>
        <v>67.7158224275435</v>
      </c>
      <c r="W18" s="161">
        <f>IF($H18=0,0,CHOOSE($H18,SUMPRODUCT($O19:$O$67*W19:W$67*($E19:$E$67=$D18)),IF(ISNUMBER(Data_2014_N!Q18),100*ABS($G18-(Data_2014_N!Q18-$K18)/$M18),0),IF(ISNUMBER(Data_2014_N!Q18),100*ABS($G18-(Data_2014_N!Q18-$K18)/$M18),0)))</f>
        <v>71.9457048291593</v>
      </c>
      <c r="X18" s="161">
        <f>IF($H18=0,0,CHOOSE($H18,SUMPRODUCT($O19:$O$67*X19:X$67*($E19:$E$67=$D18)),IF(ISNUMBER(Data_2014_N!R18),100*ABS($G18-(Data_2014_N!R18-$K18)/$M18),0),IF(ISNUMBER(Data_2014_N!R18),100*ABS($G18-(Data_2014_N!R18-$K18)/$M18),0)))</f>
        <v>58.8916945727445</v>
      </c>
      <c r="Y18" s="161">
        <f>IF($H18=0,0,CHOOSE($H18,SUMPRODUCT($O19:$O$67*Y19:Y$67*($E19:$E$67=$D18)),IF(ISNUMBER(Data_2014_N!S18),100*ABS($G18-(Data_2014_N!S18-$K18)/$M18),0),IF(ISNUMBER(Data_2014_N!S18),100*ABS($G18-(Data_2014_N!S18-$K18)/$M18),0)))</f>
        <v>57.3454932238255</v>
      </c>
      <c r="Z18" s="161">
        <f>IF($H18=0,0,CHOOSE($H18,SUMPRODUCT($O19:$O$67*Z19:Z$67*($E19:$E$67=$D18)),IF(ISNUMBER(Data_2014_N!T18),100*ABS($G18-(Data_2014_N!T18-$K18)/$M18),0),IF(ISNUMBER(Data_2014_N!T18),100*ABS($G18-(Data_2014_N!T18-$K18)/$M18),0)))</f>
        <v>78.6300839736812</v>
      </c>
      <c r="AA18" s="161">
        <f>IF($H18=0,0,CHOOSE($H18,SUMPRODUCT($O19:$O$67*AA19:AA$67*($E19:$E$67=$D18)),IF(ISNUMBER(Data_2014_N!U18),100*ABS($G18-(Data_2014_N!U18-$K18)/$M18),0),IF(ISNUMBER(Data_2014_N!U18),100*ABS($G18-(Data_2014_N!U18-$K18)/$M18),0)))</f>
        <v>53.0140398430496</v>
      </c>
      <c r="AB18" s="161">
        <f>IF($H18=0,0,CHOOSE($H18,SUMPRODUCT($O19:$O$67*AB19:AB$67*($E19:$E$67=$D18)),IF(ISNUMBER(Data_2014_N!V18),100*ABS($G18-(Data_2014_N!V18-$K18)/$M18),0),IF(ISNUMBER(Data_2014_N!V18),100*ABS($G18-(Data_2014_N!V18-$K18)/$M18),0)))</f>
        <v>67.4218687633923</v>
      </c>
      <c r="AC18" s="161">
        <f>IF($H18=0,0,CHOOSE($H18,SUMPRODUCT($O19:$O$67*AC19:AC$67*($E19:$E$67=$D18)),IF(ISNUMBER(Data_2014_N!W18),100*ABS($G18-(Data_2014_N!W18-$K18)/$M18),0),IF(ISNUMBER(Data_2014_N!W18),100*ABS($G18-(Data_2014_N!W18-$K18)/$M18),0)))</f>
        <v>53.645756560772</v>
      </c>
      <c r="AD18" s="161">
        <f>IF($H18=0,0,CHOOSE($H18,SUMPRODUCT($O19:$O$67*AD19:AD$67*($E19:$E$67=$D18)),IF(ISNUMBER(Data_2014_N!X18),100*ABS($G18-(Data_2014_N!X18-$K18)/$M18),0),IF(ISNUMBER(Data_2014_N!X18),100*ABS($G18-(Data_2014_N!X18-$K18)/$M18),0)))</f>
        <v>58.0856891840537</v>
      </c>
      <c r="AE18" s="161">
        <f>IF($H18=0,0,CHOOSE($H18,SUMPRODUCT($O19:$O$67*AE19:AE$67*($E19:$E$67=$D18)),IF(ISNUMBER(Data_2014_N!Y18),100*ABS($G18-(Data_2014_N!Y18-$K18)/$M18),0),IF(ISNUMBER(Data_2014_N!Y18),100*ABS($G18-(Data_2014_N!Y18-$K18)/$M18),0)))</f>
        <v>55.7303608890148</v>
      </c>
      <c r="AF18" s="161">
        <f>IF($H18=0,0,CHOOSE($H18,SUMPRODUCT($O19:$O$67*AF19:AF$67*($E19:$E$67=$D18)),IF(ISNUMBER(Data_2014_N!Z18),100*ABS($G18-(Data_2014_N!Z18-$K18)/$M18),0),IF(ISNUMBER(Data_2014_N!Z18),100*ABS($G18-(Data_2014_N!Z18-$K18)/$M18),0)))</f>
        <v>59.8700528477594</v>
      </c>
      <c r="AG18" s="161">
        <f>IF($H18=0,0,CHOOSE($H18,SUMPRODUCT($O19:$O$67*AG19:AG$67*($E19:$E$67=$D18)),IF(ISNUMBER(Data_2014_N!AA18),100*ABS($G18-(Data_2014_N!AA18-$K18)/$M18),0),IF(ISNUMBER(Data_2014_N!AA18),100*ABS($G18-(Data_2014_N!AA18-$K18)/$M18),0)))</f>
        <v>59.4124004055911</v>
      </c>
      <c r="AH18" s="161">
        <f>IF($H18=0,0,CHOOSE($H18,SUMPRODUCT($O19:$O$67*AH19:AH$67*($E19:$E$67=$D18)),IF(ISNUMBER(Data_2014_N!AB18),100*ABS($G18-(Data_2014_N!AB18-$K18)/$M18),0),IF(ISNUMBER(Data_2014_N!AB18),100*ABS($G18-(Data_2014_N!AB18-$K18)/$M18),0)))</f>
        <v>72.4907503850046</v>
      </c>
      <c r="AI18" s="161">
        <f>IF($H18=0,0,CHOOSE($H18,SUMPRODUCT($O19:$O$67*AI19:AI$67*($E19:$E$67=$D18)),IF(ISNUMBER(Data_2014_N!AC18),100*ABS($G18-(Data_2014_N!AC18-$K18)/$M18),0),IF(ISNUMBER(Data_2014_N!AC18),100*ABS($G18-(Data_2014_N!AC18-$K18)/$M18),0)))</f>
        <v>69.3752678437574</v>
      </c>
      <c r="AJ18" s="161">
        <f>IF($H18=0,0,CHOOSE($H18,SUMPRODUCT($O19:$O$67*AJ19:AJ$67*($E19:$E$67=$D18)),IF(ISNUMBER(Data_2014_N!AD18),100*ABS($G18-(Data_2014_N!AD18-$K18)/$M18),0),IF(ISNUMBER(Data_2014_N!AD18),100*ABS($G18-(Data_2014_N!AD18-$K18)/$M18),0)))</f>
        <v>76.9768750179516</v>
      </c>
      <c r="AK18" s="161">
        <f>IF($H18=0,0,CHOOSE($H18,SUMPRODUCT($O19:$O$67*AK19:AK$67*($E19:$E$67=$D18)),IF(ISNUMBER(Data_2014_N!AE18),100*ABS($G18-(Data_2014_N!AE18-$K18)/$M18),0),IF(ISNUMBER(Data_2014_N!AE18),100*ABS($G18-(Data_2014_N!AE18-$K18)/$M18),0)))</f>
        <v>75.7108767748124</v>
      </c>
      <c r="AL18" s="161">
        <f>IF($H18=0,0,CHOOSE($H18,SUMPRODUCT($O19:$O$67*AL19:AL$67*($E19:$E$67=$D18)),IF(ISNUMBER(Data_2014_N!AF18),100*ABS($G18-(Data_2014_N!AF18-$K18)/$M18),0),IF(ISNUMBER(Data_2014_N!AF18),100*ABS($G18-(Data_2014_N!AF18-$K18)/$M18),0)))</f>
        <v>65.3156049664756</v>
      </c>
      <c r="AM18" s="161">
        <f>IF($H18=0,0,CHOOSE($H18,SUMPRODUCT($O19:$O$67*AM19:AM$67*($E19:$E$67=$D18)),IF(ISNUMBER(Data_2014_N!AG18),100*ABS($G18-(Data_2014_N!AG18-$K18)/$M18),0),IF(ISNUMBER(Data_2014_N!AG18),100*ABS($G18-(Data_2014_N!AG18-$K18)/$M18),0)))</f>
        <v>68.3465728374994</v>
      </c>
      <c r="AN18" s="161">
        <f>IF($H18=0,0,CHOOSE($H18,SUMPRODUCT($O19:$O$67*AN19:AN$67*($E19:$E$67=$D18)),IF(ISNUMBER(Data_2014_N!AH18),100*ABS($G18-(Data_2014_N!AH18-$K18)/$M18),0),IF(ISNUMBER(Data_2014_N!AH18),100*ABS($G18-(Data_2014_N!AH18-$K18)/$M18),0)))</f>
        <v>71.0712654377273</v>
      </c>
      <c r="AO18" s="161">
        <f>IF($H18=0,0,CHOOSE($H18,SUMPRODUCT($O19:$O$67*AO19:AO$67*($E19:$E$67=$D18)),IF(ISNUMBER(Data_2014_N!AI18),100*ABS($G18-(Data_2014_N!AI18-$K18)/$M18),0),IF(ISNUMBER(Data_2014_N!AI18),100*ABS($G18-(Data_2014_N!AI18-$K18)/$M18),0)))</f>
        <v>51.7790537737193</v>
      </c>
      <c r="AP18" s="161">
        <f>IF($H18=0,0,CHOOSE($H18,SUMPRODUCT($O19:$O$67*AP19:AP$67*($E19:$E$67=$D18)),IF(ISNUMBER(Data_2014_N!AJ18),100*ABS($G18-(Data_2014_N!AJ18-$K18)/$M18),0),IF(ISNUMBER(Data_2014_N!AJ18),100*ABS($G18-(Data_2014_N!AJ18-$K18)/$M18),0)))</f>
        <v>79.5980530602351</v>
      </c>
      <c r="AQ18" s="161">
        <f>IF($H18=0,0,CHOOSE($H18,SUMPRODUCT($O19:$O$67*AQ19:AQ$67*($E19:$E$67=$D18)),IF(ISNUMBER(Data_2014_N!AK18),100*ABS($G18-(Data_2014_N!AK18-$K18)/$M18),0),IF(ISNUMBER(Data_2014_N!AK18),100*ABS($G18-(Data_2014_N!AK18-$K18)/$M18),0)))</f>
        <v>78.5392098605784</v>
      </c>
      <c r="AR18" s="161">
        <f>IF($H18=0,0,CHOOSE($H18,SUMPRODUCT($O19:$O$67*AR19:AR$67*($E19:$E$67=$D18)),IF(ISNUMBER(Data_2014_N!AL18),100*ABS($G18-(Data_2014_N!AL18-$K18)/$M18),0),IF(ISNUMBER(Data_2014_N!AL18),100*ABS($G18-(Data_2014_N!AL18-$K18)/$M18),0)))</f>
        <v>78.5256548475894</v>
      </c>
      <c r="AS18" s="161">
        <f>IF($H18=0,0,CHOOSE($H18,SUMPRODUCT($O19:$O$67*AS19:AS$67*($E19:$E$67=$D18)),IF(ISNUMBER(Data_2014_N!AM18),100*ABS($G18-(Data_2014_N!AM18-$K18)/$M18),0),IF(ISNUMBER(Data_2014_N!AM18),100*ABS($G18-(Data_2014_N!AM18-$K18)/$M18),0)))</f>
        <v>61.5369250666667</v>
      </c>
      <c r="AT18" s="161">
        <f>IF($H18=0,0,CHOOSE($H18,SUMPRODUCT($O19:$O$67*AT19:AT$67*($E19:$E$67=$D18)),IF(ISNUMBER(Data_2014_N!AN18),100*ABS($G18-(Data_2014_N!AN18-$K18)/$M18),0),IF(ISNUMBER(Data_2014_N!AN18),100*ABS($G18-(Data_2014_N!AN18-$K18)/$M18),0)))</f>
        <v>56.8279251093437</v>
      </c>
      <c r="AU18" s="161">
        <f>IF($H18=0,0,CHOOSE($H18,SUMPRODUCT($O19:$O$67*AU19:AU$67*($E19:$E$67=$D18)),IF(ISNUMBER(Data_2014_N!AO18),100*ABS($G18-(Data_2014_N!AO18-$K18)/$M18),0),IF(ISNUMBER(Data_2014_N!AO18),100*ABS($G18-(Data_2014_N!AO18-$K18)/$M18),0)))</f>
        <v>69.3256637264922</v>
      </c>
      <c r="AV18" s="161">
        <f>IF($H18=0,0,CHOOSE($H18,SUMPRODUCT($O19:$O$67*AV19:AV$67*($E19:$E$67=$D18)),IF(ISNUMBER(Data_2014_N!AP18),100*ABS($G18-(Data_2014_N!AP18-$K18)/$M18),0),IF(ISNUMBER(Data_2014_N!AP18),100*ABS($G18-(Data_2014_N!AP18-$K18)/$M18),0)))</f>
        <v>75.2297513194133</v>
      </c>
      <c r="AW18" s="161">
        <f>IF($H18=0,0,CHOOSE($H18,SUMPRODUCT($O19:$O$67*AW19:AW$67*($E19:$E$67=$D18)),IF(ISNUMBER(Data_2014_N!AQ18),100*ABS($G18-(Data_2014_N!AQ18-$K18)/$M18),0),IF(ISNUMBER(Data_2014_N!AQ18),100*ABS($G18-(Data_2014_N!AQ18-$K18)/$M18),0)))</f>
        <v>67.4369351617699</v>
      </c>
      <c r="AX18" s="161">
        <f>IF($H18=0,0,CHOOSE($H18,SUMPRODUCT($O19:$O$67*AX19:AX$67*($E19:$E$67=$D18)),IF(ISNUMBER(Data_2014_N!AR18),100*ABS($G18-(Data_2014_N!AR18-$K18)/$M18),0),IF(ISNUMBER(Data_2014_N!AR18),100*ABS($G18-(Data_2014_N!AR18-$K18)/$M18),0)))</f>
        <v>63.9229187001866</v>
      </c>
      <c r="AY18" s="161">
        <f>IF($H18=0,0,CHOOSE($H18,SUMPRODUCT($O19:$O$67*AY19:AY$67*($E19:$E$67=$D18)),IF(ISNUMBER(Data_2014_N!AS18),100*ABS($G18-(Data_2014_N!AS18-$K18)/$M18),0),IF(ISNUMBER(Data_2014_N!AS18),100*ABS($G18-(Data_2014_N!AS18-$K18)/$M18),0)))</f>
        <v>75.6193511319576</v>
      </c>
      <c r="AZ18" s="161">
        <f>IF($H18=0,0,CHOOSE($H18,SUMPRODUCT($O19:$O$67*AZ19:AZ$67*($E19:$E$67=$D18)),IF(ISNUMBER(Data_2014_N!AT18),100*ABS($G18-(Data_2014_N!AT18-$K18)/$M18),0),IF(ISNUMBER(Data_2014_N!AT18),100*ABS($G18-(Data_2014_N!AT18-$K18)/$M18),0)))</f>
        <v>66.2876196159772</v>
      </c>
      <c r="BA18" s="161">
        <f>IF($H18=0,0,CHOOSE($H18,SUMPRODUCT($O19:$O$67*BA19:BA$67*($E19:$E$67=$D18)),IF(ISNUMBER(Data_2014_N!AU18),100*ABS($G18-(Data_2014_N!AU18-$K18)/$M18),0),IF(ISNUMBER(Data_2014_N!AU18),100*ABS($G18-(Data_2014_N!AU18-$K18)/$M18),0)))</f>
        <v>76.9550489201592</v>
      </c>
      <c r="BB18" s="161">
        <f>IF($H18=0,0,CHOOSE($H18,SUMPRODUCT($O19:$O$67*BB19:BB$67*($E19:$E$67=$D18)),IF(ISNUMBER(Data_2014_N!AV18),100*ABS($G18-(Data_2014_N!AV18-$K18)/$M18),0),IF(ISNUMBER(Data_2014_N!AV18),100*ABS($G18-(Data_2014_N!AV18-$K18)/$M18),0)))</f>
        <v>84.9998495049725</v>
      </c>
      <c r="BC18" s="161">
        <f>IF($H18=0,0,CHOOSE($H18,SUMPRODUCT($O19:$O$67*BC19:BC$67*($E19:$E$67=$D18)),IF(ISNUMBER(Data_2014_N!AW18),100*ABS($G18-(Data_2014_N!AW18-$K18)/$M18),0),IF(ISNUMBER(Data_2014_N!AW18),100*ABS($G18-(Data_2014_N!AW18-$K18)/$M18),0)))</f>
        <v>74.7586066909046</v>
      </c>
      <c r="BD18" s="161">
        <f>IF($H18=0,0,CHOOSE($H18,SUMPRODUCT($O19:$O$67*BD19:BD$67*($E19:$E$67=$D18)),IF(ISNUMBER(Data_2014_N!AX18),100*ABS($G18-(Data_2014_N!AX18-$K18)/$M18),0),IF(ISNUMBER(Data_2014_N!AX18),100*ABS($G18-(Data_2014_N!AX18-$K18)/$M18),0)))</f>
        <v>78.7487481815812</v>
      </c>
      <c r="BE18" s="161">
        <f>IF($H18=0,0,CHOOSE($H18,SUMPRODUCT($O19:$O$67*BE19:BE$67*($E19:$E$67=$D18)),IF(ISNUMBER(Data_2014_N!AY18),100*ABS($G18-(Data_2014_N!AY18-$K18)/$M18),0),IF(ISNUMBER(Data_2014_N!AY18),100*ABS($G18-(Data_2014_N!AY18-$K18)/$M18),0)))</f>
        <v>52.9498877091506</v>
      </c>
      <c r="BF18" s="161">
        <f>IF($H18=0,0,CHOOSE($H18,SUMPRODUCT($O19:$O$67*BF19:BF$67*($E19:$E$67=$D18)),IF(ISNUMBER(Data_2014_N!AZ18),100*ABS($G18-(Data_2014_N!AZ18-$K18)/$M18),0),IF(ISNUMBER(Data_2014_N!AZ18),100*ABS($G18-(Data_2014_N!AZ18-$K18)/$M18),0)))</f>
        <v>78.0210399106884</v>
      </c>
      <c r="BG18" s="161">
        <f>IF($H18=0,0,CHOOSE($H18,SUMPRODUCT($O19:$O$67*BG19:BG$67*($E19:$E$67=$D18)),IF(ISNUMBER(Data_2014_N!BA18),100*ABS($G18-(Data_2014_N!BA18-$K18)/$M18),0),IF(ISNUMBER(Data_2014_N!BA18),100*ABS($G18-(Data_2014_N!BA18-$K18)/$M18),0)))</f>
        <v>72.3331332256752</v>
      </c>
      <c r="BH18" s="161">
        <f>IF($H18=0,0,CHOOSE($H18,SUMPRODUCT($O19:$O$67*BH19:BH$67*($E19:$E$67=$D18)),IF(ISNUMBER(Data_2014_N!BB18),100*ABS($G18-(Data_2014_N!BB18-$K18)/$M18),0),IF(ISNUMBER(Data_2014_N!BB18),100*ABS($G18-(Data_2014_N!BB18-$K18)/$M18),0)))</f>
        <v>75.119589781943</v>
      </c>
      <c r="BI18" s="161">
        <f>IF($H18=0,0,CHOOSE($H18,SUMPRODUCT($O19:$O$67*BI19:BI$67*($E19:$E$67=$D18)),IF(ISNUMBER(Data_2014_N!BC18),100*ABS($G18-(Data_2014_N!BC18-$K18)/$M18),0),IF(ISNUMBER(Data_2014_N!BC18),100*ABS($G18-(Data_2014_N!BC18-$K18)/$M18),0)))</f>
        <v>80.0808581935897</v>
      </c>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row>
    <row r="19" s="69" customFormat="1" ht="24.95" customHeight="1" spans="1:115">
      <c r="A19" s="92"/>
      <c r="B19" s="92">
        <f>tblIndicators!A15</f>
        <v>14</v>
      </c>
      <c r="C19" s="92">
        <f>tblIndicators!B15</f>
        <v>0</v>
      </c>
      <c r="D19" s="92" t="str">
        <f>tblIndicators!D15</f>
        <v>HESE2.1</v>
      </c>
      <c r="E19" s="92" t="str">
        <f>tblIndicators!E15</f>
        <v>HESE</v>
      </c>
      <c r="F19" s="92">
        <f>tblIndicators!F15</f>
        <v>2</v>
      </c>
      <c r="G19" s="92" t="str">
        <f>tblIndicators!Y15</f>
        <v/>
      </c>
      <c r="H19" s="92">
        <f>tblIndicators!Z15</f>
        <v>1</v>
      </c>
      <c r="I19" s="104">
        <f>tblIndicators!AA15</f>
        <v>0</v>
      </c>
      <c r="J19" s="92">
        <f>tblIndicators!AB15</f>
        <v>0</v>
      </c>
      <c r="K19" s="92" t="str">
        <f>CHOOSE(H19,"-",MIN(Data_2014_N!J19:BC19),I19)</f>
        <v>-</v>
      </c>
      <c r="L19" s="165" t="str">
        <f>CHOOSE(H19,"-",MAX(Data_2014_N!J19:BC19),J19)</f>
        <v>-</v>
      </c>
      <c r="M19" s="92" t="str">
        <f t="shared" si="1"/>
        <v>-</v>
      </c>
      <c r="N19" s="168" t="str">
        <f>REPT(" ",F19)&amp;tblIndicators!AE15</f>
        <v>  2.1) Health security (Inputs)</v>
      </c>
      <c r="O19" s="169">
        <f>tblIndicators!AD15</f>
        <v>0.5</v>
      </c>
      <c r="P19" s="161">
        <f>IF($H19=0,0,CHOOSE($H19,SUMPRODUCT($O20:$O$67*P20:P$67*($E20:$E$67=$D19)),IF(ISNUMBER(Data_2014_N!J19),100*ABS($G19-(Data_2014_N!J19-$K19)/$M19),0),IF(ISNUMBER(Data_2014_N!J19),100*ABS($G19-(Data_2014_N!J19-$K19)/$M19),0)))</f>
        <v>52.9823607070678</v>
      </c>
      <c r="Q19" s="161">
        <f>IF($H19=0,0,CHOOSE($H19,SUMPRODUCT($O20:$O$67*Q20:Q$67*($E20:$E$67=$D19)),IF(ISNUMBER(Data_2014_N!K19),100*ABS($G19-(Data_2014_N!K19-$K19)/$M19),0),IF(ISNUMBER(Data_2014_N!K19),100*ABS($G19-(Data_2014_N!K19-$K19)/$M19),0)))</f>
        <v>70.5097672461013</v>
      </c>
      <c r="R19" s="161">
        <f>IF($H19=0,0,CHOOSE($H19,SUMPRODUCT($O20:$O$67*R20:R$67*($E20:$E$67=$D19)),IF(ISNUMBER(Data_2014_N!L19),100*ABS($G19-(Data_2014_N!L19-$K19)/$M19),0),IF(ISNUMBER(Data_2014_N!L19),100*ABS($G19-(Data_2014_N!L19-$K19)/$M19),0)))</f>
        <v>56.976789061055</v>
      </c>
      <c r="S19" s="161">
        <f>IF($H19=0,0,CHOOSE($H19,SUMPRODUCT($O20:$O$67*S20:S$67*($E20:$E$67=$D19)),IF(ISNUMBER(Data_2014_N!M19),100*ABS($G19-(Data_2014_N!M19-$K19)/$M19),0),IF(ISNUMBER(Data_2014_N!M19),100*ABS($G19-(Data_2014_N!M19-$K19)/$M19),0)))</f>
        <v>67.4447151133763</v>
      </c>
      <c r="T19" s="161">
        <f>IF($H19=0,0,CHOOSE($H19,SUMPRODUCT($O20:$O$67*T20:T$67*($E20:$E$67=$D19)),IF(ISNUMBER(Data_2014_N!N19),100*ABS($G19-(Data_2014_N!N19-$K19)/$M19),0),IF(ISNUMBER(Data_2014_N!N19),100*ABS($G19-(Data_2014_N!N19-$K19)/$M19),0)))</f>
        <v>58.8068668119975</v>
      </c>
      <c r="U19" s="161">
        <f>IF($H19=0,0,CHOOSE($H19,SUMPRODUCT($O20:$O$67*U20:U$67*($E20:$E$67=$D19)),IF(ISNUMBER(Data_2014_N!O19),100*ABS($G19-(Data_2014_N!O19-$K19)/$M19),0),IF(ISNUMBER(Data_2014_N!O19),100*ABS($G19-(Data_2014_N!O19-$K19)/$M19),0)))</f>
        <v>77.129633490389</v>
      </c>
      <c r="V19" s="161">
        <f>IF($H19=0,0,CHOOSE($H19,SUMPRODUCT($O20:$O$67*V20:V$67*($E20:$E$67=$D19)),IF(ISNUMBER(Data_2014_N!P19),100*ABS($G19-(Data_2014_N!P19-$K19)/$M19),0),IF(ISNUMBER(Data_2014_N!P19),100*ABS($G19-(Data_2014_N!P19-$K19)/$M19),0)))</f>
        <v>61.4149738365245</v>
      </c>
      <c r="W19" s="161">
        <f>IF($H19=0,0,CHOOSE($H19,SUMPRODUCT($O20:$O$67*W20:W$67*($E20:$E$67=$D19)),IF(ISNUMBER(Data_2014_N!Q19),100*ABS($G19-(Data_2014_N!Q19-$K19)/$M19),0),IF(ISNUMBER(Data_2014_N!Q19),100*ABS($G19-(Data_2014_N!Q19-$K19)/$M19),0)))</f>
        <v>64.4282687416407</v>
      </c>
      <c r="X19" s="161">
        <f>IF($H19=0,0,CHOOSE($H19,SUMPRODUCT($O20:$O$67*X20:X$67*($E20:$E$67=$D19)),IF(ISNUMBER(Data_2014_N!R19),100*ABS($G19-(Data_2014_N!R19-$K19)/$M19),0),IF(ISNUMBER(Data_2014_N!R19),100*ABS($G19-(Data_2014_N!R19-$K19)/$M19),0)))</f>
        <v>54.8124184473974</v>
      </c>
      <c r="Y19" s="161">
        <f>IF($H19=0,0,CHOOSE($H19,SUMPRODUCT($O20:$O$67*Y20:Y$67*($E20:$E$67=$D19)),IF(ISNUMBER(Data_2014_N!S19),100*ABS($G19-(Data_2014_N!S19-$K19)/$M19),0),IF(ISNUMBER(Data_2014_N!S19),100*ABS($G19-(Data_2014_N!S19-$K19)/$M19),0)))</f>
        <v>51.098045855843</v>
      </c>
      <c r="Z19" s="161">
        <f>IF($H19=0,0,CHOOSE($H19,SUMPRODUCT($O20:$O$67*Z20:Z$67*($E20:$E$67=$D19)),IF(ISNUMBER(Data_2014_N!T19),100*ABS($G19-(Data_2014_N!T19-$K19)/$M19),0),IF(ISNUMBER(Data_2014_N!T19),100*ABS($G19-(Data_2014_N!T19-$K19)/$M19),0)))</f>
        <v>70.4562785035412</v>
      </c>
      <c r="AA19" s="161">
        <f>IF($H19=0,0,CHOOSE($H19,SUMPRODUCT($O20:$O$67*AA20:AA$67*($E20:$E$67=$D19)),IF(ISNUMBER(Data_2014_N!U19),100*ABS($G19-(Data_2014_N!U19-$K19)/$M19),0),IF(ISNUMBER(Data_2014_N!U19),100*ABS($G19-(Data_2014_N!U19-$K19)/$M19),0)))</f>
        <v>39.2841031806361</v>
      </c>
      <c r="AB19" s="161">
        <f>IF($H19=0,0,CHOOSE($H19,SUMPRODUCT($O20:$O$67*AB20:AB$67*($E20:$E$67=$D19)),IF(ISNUMBER(Data_2014_N!V19),100*ABS($G19-(Data_2014_N!V19-$K19)/$M19),0),IF(ISNUMBER(Data_2014_N!V19),100*ABS($G19-(Data_2014_N!V19-$K19)/$M19),0)))</f>
        <v>66.8288791989768</v>
      </c>
      <c r="AC19" s="161">
        <f>IF($H19=0,0,CHOOSE($H19,SUMPRODUCT($O20:$O$67*AC20:AC$67*($E20:$E$67=$D19)),IF(ISNUMBER(Data_2014_N!W19),100*ABS($G19-(Data_2014_N!W19-$K19)/$M19),0),IF(ISNUMBER(Data_2014_N!W19),100*ABS($G19-(Data_2014_N!W19-$K19)/$M19),0)))</f>
        <v>35.8241379310345</v>
      </c>
      <c r="AD19" s="161">
        <f>IF($H19=0,0,CHOOSE($H19,SUMPRODUCT($O20:$O$67*AD20:AD$67*($E20:$E$67=$D19)),IF(ISNUMBER(Data_2014_N!X19),100*ABS($G19-(Data_2014_N!X19-$K19)/$M19),0),IF(ISNUMBER(Data_2014_N!X19),100*ABS($G19-(Data_2014_N!X19-$K19)/$M19),0)))</f>
        <v>45.5389736711652</v>
      </c>
      <c r="AE19" s="161">
        <f>IF($H19=0,0,CHOOSE($H19,SUMPRODUCT($O20:$O$67*AE20:AE$67*($E20:$E$67=$D19)),IF(ISNUMBER(Data_2014_N!Y19),100*ABS($G19-(Data_2014_N!Y19-$K19)/$M19),0),IF(ISNUMBER(Data_2014_N!Y19),100*ABS($G19-(Data_2014_N!Y19-$K19)/$M19),0)))</f>
        <v>47.8461525631938</v>
      </c>
      <c r="AF19" s="161">
        <f>IF($H19=0,0,CHOOSE($H19,SUMPRODUCT($O20:$O$67*AF20:AF$67*($E20:$E$67=$D19)),IF(ISNUMBER(Data_2014_N!Z19),100*ABS($G19-(Data_2014_N!Z19-$K19)/$M19),0),IF(ISNUMBER(Data_2014_N!Z19),100*ABS($G19-(Data_2014_N!Z19-$K19)/$M19),0)))</f>
        <v>46.9249012031671</v>
      </c>
      <c r="AG19" s="161">
        <f>IF($H19=0,0,CHOOSE($H19,SUMPRODUCT($O20:$O$67*AG20:AG$67*($E20:$E$67=$D19)),IF(ISNUMBER(Data_2014_N!AA19),100*ABS($G19-(Data_2014_N!AA19-$K19)/$M19),0),IF(ISNUMBER(Data_2014_N!AA19),100*ABS($G19-(Data_2014_N!AA19-$K19)/$M19),0)))</f>
        <v>47.212094802907</v>
      </c>
      <c r="AH19" s="161">
        <f>IF($H19=0,0,CHOOSE($H19,SUMPRODUCT($O20:$O$67*AH20:AH$67*($E20:$E$67=$D19)),IF(ISNUMBER(Data_2014_N!AB19),100*ABS($G19-(Data_2014_N!AB19-$K19)/$M19),0),IF(ISNUMBER(Data_2014_N!AB19),100*ABS($G19-(Data_2014_N!AB19-$K19)/$M19),0)))</f>
        <v>61.3899468854541</v>
      </c>
      <c r="AI19" s="161">
        <f>IF($H19=0,0,CHOOSE($H19,SUMPRODUCT($O20:$O$67*AI20:AI$67*($E20:$E$67=$D19)),IF(ISNUMBER(Data_2014_N!AC19),100*ABS($G19-(Data_2014_N!AC19-$K19)/$M19),0),IF(ISNUMBER(Data_2014_N!AC19),100*ABS($G19-(Data_2014_N!AC19-$K19)/$M19),0)))</f>
        <v>64.908062833681</v>
      </c>
      <c r="AJ19" s="161">
        <f>IF($H19=0,0,CHOOSE($H19,SUMPRODUCT($O20:$O$67*AJ20:AJ$67*($E20:$E$67=$D19)),IF(ISNUMBER(Data_2014_N!AD19),100*ABS($G19-(Data_2014_N!AD19-$K19)/$M19),0),IF(ISNUMBER(Data_2014_N!AD19),100*ABS($G19-(Data_2014_N!AD19-$K19)/$M19),0)))</f>
        <v>65.590699305883</v>
      </c>
      <c r="AK19" s="161">
        <f>IF($H19=0,0,CHOOSE($H19,SUMPRODUCT($O20:$O$67*AK20:AK$67*($E20:$E$67=$D19)),IF(ISNUMBER(Data_2014_N!AE19),100*ABS($G19-(Data_2014_N!AE19-$K19)/$M19),0),IF(ISNUMBER(Data_2014_N!AE19),100*ABS($G19-(Data_2014_N!AE19-$K19)/$M19),0)))</f>
        <v>66.4685500163756</v>
      </c>
      <c r="AL19" s="161">
        <f>IF($H19=0,0,CHOOSE($H19,SUMPRODUCT($O20:$O$67*AL20:AL$67*($E20:$E$67=$D19)),IF(ISNUMBER(Data_2014_N!AF19),100*ABS($G19-(Data_2014_N!AF19-$K19)/$M19),0),IF(ISNUMBER(Data_2014_N!AF19),100*ABS($G19-(Data_2014_N!AF19-$K19)/$M19),0)))</f>
        <v>56.4453662155993</v>
      </c>
      <c r="AM19" s="161">
        <f>IF($H19=0,0,CHOOSE($H19,SUMPRODUCT($O20:$O$67*AM20:AM$67*($E20:$E$67=$D19)),IF(ISNUMBER(Data_2014_N!AG19),100*ABS($G19-(Data_2014_N!AG19-$K19)/$M19),0),IF(ISNUMBER(Data_2014_N!AG19),100*ABS($G19-(Data_2014_N!AG19-$K19)/$M19),0)))</f>
        <v>55.7638574830961</v>
      </c>
      <c r="AN19" s="161">
        <f>IF($H19=0,0,CHOOSE($H19,SUMPRODUCT($O20:$O$67*AN20:AN$67*($E20:$E$67=$D19)),IF(ISNUMBER(Data_2014_N!AH19),100*ABS($G19-(Data_2014_N!AH19-$K19)/$M19),0),IF(ISNUMBER(Data_2014_N!AH19),100*ABS($G19-(Data_2014_N!AH19-$K19)/$M19),0)))</f>
        <v>65.6935871598508</v>
      </c>
      <c r="AO19" s="161">
        <f>IF($H19=0,0,CHOOSE($H19,SUMPRODUCT($O20:$O$67*AO20:AO$67*($E20:$E$67=$D19)),IF(ISNUMBER(Data_2014_N!AI19),100*ABS($G19-(Data_2014_N!AI19-$K19)/$M19),0),IF(ISNUMBER(Data_2014_N!AI19),100*ABS($G19-(Data_2014_N!AI19-$K19)/$M19),0)))</f>
        <v>43.7549136835173</v>
      </c>
      <c r="AP19" s="161">
        <f>IF($H19=0,0,CHOOSE($H19,SUMPRODUCT($O20:$O$67*AP20:AP$67*($E20:$E$67=$D19)),IF(ISNUMBER(Data_2014_N!AJ19),100*ABS($G19-(Data_2014_N!AJ19-$K19)/$M19),0),IF(ISNUMBER(Data_2014_N!AJ19),100*ABS($G19-(Data_2014_N!AJ19-$K19)/$M19),0)))</f>
        <v>68.2662446084495</v>
      </c>
      <c r="AQ19" s="161">
        <f>IF($H19=0,0,CHOOSE($H19,SUMPRODUCT($O20:$O$67*AQ20:AQ$67*($E20:$E$67=$D19)),IF(ISNUMBER(Data_2014_N!AK19),100*ABS($G19-(Data_2014_N!AK19-$K19)/$M19),0),IF(ISNUMBER(Data_2014_N!AK19),100*ABS($G19-(Data_2014_N!AK19-$K19)/$M19),0)))</f>
        <v>77.5667531239186</v>
      </c>
      <c r="AR19" s="161">
        <f>IF($H19=0,0,CHOOSE($H19,SUMPRODUCT($O20:$O$67*AR20:AR$67*($E20:$E$67=$D19)),IF(ISNUMBER(Data_2014_N!AL19),100*ABS($G19-(Data_2014_N!AL19-$K19)/$M19),0),IF(ISNUMBER(Data_2014_N!AL19),100*ABS($G19-(Data_2014_N!AL19-$K19)/$M19),0)))</f>
        <v>73.4644055208622</v>
      </c>
      <c r="AS19" s="161">
        <f>IF($H19=0,0,CHOOSE($H19,SUMPRODUCT($O20:$O$67*AS20:AS$67*($E20:$E$67=$D19)),IF(ISNUMBER(Data_2014_N!AM19),100*ABS($G19-(Data_2014_N!AM19-$K19)/$M19),0),IF(ISNUMBER(Data_2014_N!AM19),100*ABS($G19-(Data_2014_N!AM19-$K19)/$M19),0)))</f>
        <v>57.5062374666386</v>
      </c>
      <c r="AT19" s="161">
        <f>IF($H19=0,0,CHOOSE($H19,SUMPRODUCT($O20:$O$67*AT20:AT$67*($E20:$E$67=$D19)),IF(ISNUMBER(Data_2014_N!AN19),100*ABS($G19-(Data_2014_N!AN19-$K19)/$M19),0),IF(ISNUMBER(Data_2014_N!AN19),100*ABS($G19-(Data_2014_N!AN19-$K19)/$M19),0)))</f>
        <v>42.5105862022637</v>
      </c>
      <c r="AU19" s="161">
        <f>IF($H19=0,0,CHOOSE($H19,SUMPRODUCT($O20:$O$67*AU20:AU$67*($E20:$E$67=$D19)),IF(ISNUMBER(Data_2014_N!AO19),100*ABS($G19-(Data_2014_N!AO19-$K19)/$M19),0),IF(ISNUMBER(Data_2014_N!AO19),100*ABS($G19-(Data_2014_N!AO19-$K19)/$M19),0)))</f>
        <v>57.5136964894293</v>
      </c>
      <c r="AV19" s="161">
        <f>IF($H19=0,0,CHOOSE($H19,SUMPRODUCT($O20:$O$67*AV20:AV$67*($E20:$E$67=$D19)),IF(ISNUMBER(Data_2014_N!AP19),100*ABS($G19-(Data_2014_N!AP19-$K19)/$M19),0),IF(ISNUMBER(Data_2014_N!AP19),100*ABS($G19-(Data_2014_N!AP19-$K19)/$M19),0)))</f>
        <v>65.7210657050169</v>
      </c>
      <c r="AW19" s="161">
        <f>IF($H19=0,0,CHOOSE($H19,SUMPRODUCT($O20:$O$67*AW20:AW$67*($E20:$E$67=$D19)),IF(ISNUMBER(Data_2014_N!AQ19),100*ABS($G19-(Data_2014_N!AQ19-$K19)/$M19),0),IF(ISNUMBER(Data_2014_N!AQ19),100*ABS($G19-(Data_2014_N!AQ19-$K19)/$M19),0)))</f>
        <v>51.6558348844677</v>
      </c>
      <c r="AX19" s="161">
        <f>IF($H19=0,0,CHOOSE($H19,SUMPRODUCT($O20:$O$67*AX20:AX$67*($E20:$E$67=$D19)),IF(ISNUMBER(Data_2014_N!AR19),100*ABS($G19-(Data_2014_N!AR19-$K19)/$M19),0),IF(ISNUMBER(Data_2014_N!AR19),100*ABS($G19-(Data_2014_N!AR19-$K19)/$M19),0)))</f>
        <v>54.1236981608411</v>
      </c>
      <c r="AY19" s="161">
        <f>IF($H19=0,0,CHOOSE($H19,SUMPRODUCT($O20:$O$67*AY20:AY$67*($E20:$E$67=$D19)),IF(ISNUMBER(Data_2014_N!AS19),100*ABS($G19-(Data_2014_N!AS19-$K19)/$M19),0),IF(ISNUMBER(Data_2014_N!AS19),100*ABS($G19-(Data_2014_N!AS19-$K19)/$M19),0)))</f>
        <v>67.7661898866398</v>
      </c>
      <c r="AZ19" s="161">
        <f>IF($H19=0,0,CHOOSE($H19,SUMPRODUCT($O20:$O$67*AZ20:AZ$67*($E20:$E$67=$D19)),IF(ISNUMBER(Data_2014_N!AT19),100*ABS($G19-(Data_2014_N!AT19-$K19)/$M19),0),IF(ISNUMBER(Data_2014_N!AT19),100*ABS($G19-(Data_2014_N!AT19-$K19)/$M19),0)))</f>
        <v>55.8685167841466</v>
      </c>
      <c r="BA19" s="161">
        <f>IF($H19=0,0,CHOOSE($H19,SUMPRODUCT($O20:$O$67*BA20:BA$67*($E20:$E$67=$D19)),IF(ISNUMBER(Data_2014_N!AU19),100*ABS($G19-(Data_2014_N!AU19-$K19)/$M19),0),IF(ISNUMBER(Data_2014_N!AU19),100*ABS($G19-(Data_2014_N!AU19-$K19)/$M19),0)))</f>
        <v>67.3668599303424</v>
      </c>
      <c r="BB19" s="161">
        <f>IF($H19=0,0,CHOOSE($H19,SUMPRODUCT($O20:$O$67*BB20:BB$67*($E20:$E$67=$D19)),IF(ISNUMBER(Data_2014_N!AV19),100*ABS($G19-(Data_2014_N!AV19-$K19)/$M19),0),IF(ISNUMBER(Data_2014_N!AV19),100*ABS($G19-(Data_2014_N!AV19-$K19)/$M19),0)))</f>
        <v>86.0057471264368</v>
      </c>
      <c r="BC19" s="161">
        <f>IF($H19=0,0,CHOOSE($H19,SUMPRODUCT($O20:$O$67*BC20:BC$67*($E20:$E$67=$D19)),IF(ISNUMBER(Data_2014_N!AW19),100*ABS($G19-(Data_2014_N!AW19-$K19)/$M19),0),IF(ISNUMBER(Data_2014_N!AW19),100*ABS($G19-(Data_2014_N!AW19-$K19)/$M19),0)))</f>
        <v>64.3538451916261</v>
      </c>
      <c r="BD19" s="161">
        <f>IF($H19=0,0,CHOOSE($H19,SUMPRODUCT($O20:$O$67*BD20:BD$67*($E20:$E$67=$D19)),IF(ISNUMBER(Data_2014_N!AX19),100*ABS($G19-(Data_2014_N!AX19-$K19)/$M19),0),IF(ISNUMBER(Data_2014_N!AX19),100*ABS($G19-(Data_2014_N!AX19-$K19)/$M19),0)))</f>
        <v>81.7511968591713</v>
      </c>
      <c r="BE19" s="161">
        <f>IF($H19=0,0,CHOOSE($H19,SUMPRODUCT($O20:$O$67*BE20:BE$67*($E20:$E$67=$D19)),IF(ISNUMBER(Data_2014_N!AY19),100*ABS($G19-(Data_2014_N!AY19-$K19)/$M19),0),IF(ISNUMBER(Data_2014_N!AY19),100*ABS($G19-(Data_2014_N!AY19-$K19)/$M19),0)))</f>
        <v>45.8317882039664</v>
      </c>
      <c r="BF19" s="161">
        <f>IF($H19=0,0,CHOOSE($H19,SUMPRODUCT($O20:$O$67*BF20:BF$67*($E20:$E$67=$D19)),IF(ISNUMBER(Data_2014_N!AZ19),100*ABS($G19-(Data_2014_N!AZ19-$K19)/$M19),0),IF(ISNUMBER(Data_2014_N!AZ19),100*ABS($G19-(Data_2014_N!AZ19-$K19)/$M19),0)))</f>
        <v>74.3550800406698</v>
      </c>
      <c r="BG19" s="161">
        <f>IF($H19=0,0,CHOOSE($H19,SUMPRODUCT($O20:$O$67*BG20:BG$67*($E20:$E$67=$D19)),IF(ISNUMBER(Data_2014_N!BA19),100*ABS($G19-(Data_2014_N!BA19-$K19)/$M19),0),IF(ISNUMBER(Data_2014_N!BA19),100*ABS($G19-(Data_2014_N!BA19-$K19)/$M19),0)))</f>
        <v>60.38656523442</v>
      </c>
      <c r="BH19" s="161">
        <f>IF($H19=0,0,CHOOSE($H19,SUMPRODUCT($O20:$O$67*BH20:BH$67*($E20:$E$67=$D19)),IF(ISNUMBER(Data_2014_N!BB19),100*ABS($G19-(Data_2014_N!BB19-$K19)/$M19),0),IF(ISNUMBER(Data_2014_N!BB19),100*ABS($G19-(Data_2014_N!BB19-$K19)/$M19),0)))</f>
        <v>74.1967416735002</v>
      </c>
      <c r="BI19" s="161">
        <f>IF($H19=0,0,CHOOSE($H19,SUMPRODUCT($O20:$O$67*BI20:BI$67*($E20:$E$67=$D19)),IF(ISNUMBER(Data_2014_N!BC19),100*ABS($G19-(Data_2014_N!BC19-$K19)/$M19),0),IF(ISNUMBER(Data_2014_N!BC19),100*ABS($G19-(Data_2014_N!BC19-$K19)/$M19),0)))</f>
        <v>71.2724032443209</v>
      </c>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row>
    <row r="20" s="69" customFormat="1" ht="24.95" customHeight="1" spans="1:115">
      <c r="A20" s="92"/>
      <c r="B20" s="92">
        <f>tblIndicators!A16</f>
        <v>15</v>
      </c>
      <c r="C20" s="92">
        <f>tblIndicators!B16</f>
        <v>0</v>
      </c>
      <c r="D20" s="92" t="str">
        <f>tblIndicators!D16</f>
        <v>HESE2.1.1</v>
      </c>
      <c r="E20" s="92" t="str">
        <f>tblIndicators!E16</f>
        <v>HESE2.1</v>
      </c>
      <c r="F20" s="92">
        <f>tblIndicators!F16</f>
        <v>3</v>
      </c>
      <c r="G20" s="92">
        <f>tblIndicators!Y16</f>
        <v>0</v>
      </c>
      <c r="H20" s="92">
        <f>tblIndicators!Z16</f>
        <v>2</v>
      </c>
      <c r="I20" s="104">
        <f>tblIndicators!AA16</f>
        <v>0</v>
      </c>
      <c r="J20" s="92">
        <f>tblIndicators!AB16</f>
        <v>0</v>
      </c>
      <c r="K20" s="92">
        <f>CHOOSE(H20,"-",MIN(Data_2014_N!J20:BC20),I20)</f>
        <v>22</v>
      </c>
      <c r="L20" s="165">
        <f>CHOOSE(H20,"-",MAX(Data_2014_N!J20:BC20),J20)</f>
        <v>100</v>
      </c>
      <c r="M20" s="92">
        <f t="shared" si="1"/>
        <v>78</v>
      </c>
      <c r="N20" s="168" t="str">
        <f>REPT(" ",F20)&amp;tblIndicators!AE16</f>
        <v>   2.1.1) Environmental policies</v>
      </c>
      <c r="O20" s="169">
        <f>tblIndicators!AD16</f>
        <v>0.166666666666667</v>
      </c>
      <c r="P20" s="161">
        <f>IF($H20=0,0,CHOOSE($H20,SUMPRODUCT($O21:$O$67*P21:P$67*($E21:$E$67=$D20)),IF(ISNUMBER(Data_2014_N!J20),100*ABS($G20-(Data_2014_N!J20-$K20)/$M20),0),IF(ISNUMBER(Data_2014_N!J20),100*ABS($G20-(Data_2014_N!J20-$K20)/$M20),0)))</f>
        <v>53.8461538461538</v>
      </c>
      <c r="Q20" s="161">
        <f>IF($H20=0,0,CHOOSE($H20,SUMPRODUCT($O21:$O$67*Q21:Q$67*($E21:$E$67=$D20)),IF(ISNUMBER(Data_2014_N!K20),100*ABS($G20-(Data_2014_N!K20-$K20)/$M20),0),IF(ISNUMBER(Data_2014_N!K20),100*ABS($G20-(Data_2014_N!K20-$K20)/$M20),0)))</f>
        <v>88.5897435897436</v>
      </c>
      <c r="R20" s="161">
        <f>IF($H20=0,0,CHOOSE($H20,SUMPRODUCT($O21:$O$67*R21:R$67*($E21:$E$67=$D20)),IF(ISNUMBER(Data_2014_N!L20),100*ABS($G20-(Data_2014_N!L20-$K20)/$M20),0),IF(ISNUMBER(Data_2014_N!L20),100*ABS($G20-(Data_2014_N!L20-$K20)/$M20),0)))</f>
        <v>91.1538461538461</v>
      </c>
      <c r="S20" s="161">
        <f>IF($H20=0,0,CHOOSE($H20,SUMPRODUCT($O21:$O$67*S21:S$67*($E21:$E$67=$D20)),IF(ISNUMBER(Data_2014_N!M20),100*ABS($G20-(Data_2014_N!M20-$K20)/$M20),0),IF(ISNUMBER(Data_2014_N!M20),100*ABS($G20-(Data_2014_N!M20-$K20)/$M20),0)))</f>
        <v>74.3589743589744</v>
      </c>
      <c r="T20" s="161">
        <f>IF($H20=0,0,CHOOSE($H20,SUMPRODUCT($O21:$O$67*T21:T$67*($E21:$E$67=$D20)),IF(ISNUMBER(Data_2014_N!N20),100*ABS($G20-(Data_2014_N!N20-$K20)/$M20),0),IF(ISNUMBER(Data_2014_N!N20),100*ABS($G20-(Data_2014_N!N20-$K20)/$M20),0)))</f>
        <v>73.5897435897436</v>
      </c>
      <c r="U20" s="161">
        <f>IF($H20=0,0,CHOOSE($H20,SUMPRODUCT($O21:$O$67*U21:U$67*($E21:$E$67=$D20)),IF(ISNUMBER(Data_2014_N!O20),100*ABS($G20-(Data_2014_N!O20-$K20)/$M20),0),IF(ISNUMBER(Data_2014_N!O20),100*ABS($G20-(Data_2014_N!O20-$K20)/$M20),0)))</f>
        <v>100</v>
      </c>
      <c r="V20" s="161">
        <f>IF($H20=0,0,CHOOSE($H20,SUMPRODUCT($O21:$O$67*V21:V$67*($E21:$E$67=$D20)),IF(ISNUMBER(Data_2014_N!P20),100*ABS($G20-(Data_2014_N!P20-$K20)/$M20),0),IF(ISNUMBER(Data_2014_N!P20),100*ABS($G20-(Data_2014_N!P20-$K20)/$M20),0)))</f>
        <v>67.5641025641026</v>
      </c>
      <c r="W20" s="161">
        <f>IF($H20=0,0,CHOOSE($H20,SUMPRODUCT($O21:$O$67*W21:W$67*($E21:$E$67=$D20)),IF(ISNUMBER(Data_2014_N!Q20),100*ABS($G20-(Data_2014_N!Q20-$K20)/$M20),0),IF(ISNUMBER(Data_2014_N!Q20),100*ABS($G20-(Data_2014_N!Q20-$K20)/$M20),0)))</f>
        <v>84.3589743589744</v>
      </c>
      <c r="X20" s="161">
        <f>IF($H20=0,0,CHOOSE($H20,SUMPRODUCT($O21:$O$67*X21:X$67*($E21:$E$67=$D20)),IF(ISNUMBER(Data_2014_N!R20),100*ABS($G20-(Data_2014_N!R20-$K20)/$M20),0),IF(ISNUMBER(Data_2014_N!R20),100*ABS($G20-(Data_2014_N!R20-$K20)/$M20),0)))</f>
        <v>84.8717948717949</v>
      </c>
      <c r="Y20" s="161">
        <f>IF($H20=0,0,CHOOSE($H20,SUMPRODUCT($O21:$O$67*Y21:Y$67*($E21:$E$67=$D20)),IF(ISNUMBER(Data_2014_N!S20),100*ABS($G20-(Data_2014_N!S20-$K20)/$M20),0),IF(ISNUMBER(Data_2014_N!S20),100*ABS($G20-(Data_2014_N!S20-$K20)/$M20),0)))</f>
        <v>17.9487179487179</v>
      </c>
      <c r="Z20" s="161">
        <f>IF($H20=0,0,CHOOSE($H20,SUMPRODUCT($O21:$O$67*Z21:Z$67*($E21:$E$67=$D20)),IF(ISNUMBER(Data_2014_N!T20),100*ABS($G20-(Data_2014_N!T20-$K20)/$M20),0),IF(ISNUMBER(Data_2014_N!T20),100*ABS($G20-(Data_2014_N!T20-$K20)/$M20),0)))</f>
        <v>68.7179487179487</v>
      </c>
      <c r="AA20" s="161">
        <f>IF($H20=0,0,CHOOSE($H20,SUMPRODUCT($O21:$O$67*AA21:AA$67*($E21:$E$67=$D20)),IF(ISNUMBER(Data_2014_N!U20),100*ABS($G20-(Data_2014_N!U20-$K20)/$M20),0),IF(ISNUMBER(Data_2014_N!U20),100*ABS($G20-(Data_2014_N!U20-$K20)/$M20),0)))</f>
        <v>28.0769230769231</v>
      </c>
      <c r="AB20" s="161">
        <f>IF($H20=0,0,CHOOSE($H20,SUMPRODUCT($O21:$O$67*AB21:AB$67*($E21:$E$67=$D20)),IF(ISNUMBER(Data_2014_N!V20),100*ABS($G20-(Data_2014_N!V20-$K20)/$M20),0),IF(ISNUMBER(Data_2014_N!V20),100*ABS($G20-(Data_2014_N!V20-$K20)/$M20),0)))</f>
        <v>97.8205128205128</v>
      </c>
      <c r="AC20" s="161">
        <f>IF($H20=0,0,CHOOSE($H20,SUMPRODUCT($O21:$O$67*AC21:AC$67*($E21:$E$67=$D20)),IF(ISNUMBER(Data_2014_N!W20),100*ABS($G20-(Data_2014_N!W20-$K20)/$M20),0),IF(ISNUMBER(Data_2014_N!W20),100*ABS($G20-(Data_2014_N!W20-$K20)/$M20),0)))</f>
        <v>11.6666666666667</v>
      </c>
      <c r="AD20" s="161">
        <f>IF($H20=0,0,CHOOSE($H20,SUMPRODUCT($O21:$O$67*AD21:AD$67*($E21:$E$67=$D20)),IF(ISNUMBER(Data_2014_N!X20),100*ABS($G20-(Data_2014_N!X20-$K20)/$M20),0),IF(ISNUMBER(Data_2014_N!X20),100*ABS($G20-(Data_2014_N!X20-$K20)/$M20),0)))</f>
        <v>86.6666666666667</v>
      </c>
      <c r="AE20" s="161">
        <f>IF($H20=0,0,CHOOSE($H20,SUMPRODUCT($O21:$O$67*AE21:AE$67*($E21:$E$67=$D20)),IF(ISNUMBER(Data_2014_N!Y20),100*ABS($G20-(Data_2014_N!Y20-$K20)/$M20),0),IF(ISNUMBER(Data_2014_N!Y20),100*ABS($G20-(Data_2014_N!Y20-$K20)/$M20),0)))</f>
        <v>60.7692307692308</v>
      </c>
      <c r="AF20" s="161">
        <f>IF($H20=0,0,CHOOSE($H20,SUMPRODUCT($O21:$O$67*AF21:AF$67*($E21:$E$67=$D20)),IF(ISNUMBER(Data_2014_N!Z20),100*ABS($G20-(Data_2014_N!Z20-$K20)/$M20),0),IF(ISNUMBER(Data_2014_N!Z20),100*ABS($G20-(Data_2014_N!Z20-$K20)/$M20),0)))</f>
        <v>0</v>
      </c>
      <c r="AG20" s="161">
        <f>IF($H20=0,0,CHOOSE($H20,SUMPRODUCT($O21:$O$67*AG21:AG$67*($E21:$E$67=$D20)),IF(ISNUMBER(Data_2014_N!AA20),100*ABS($G20-(Data_2014_N!AA20-$K20)/$M20),0),IF(ISNUMBER(Data_2014_N!AA20),100*ABS($G20-(Data_2014_N!AA20-$K20)/$M20),0)))</f>
        <v>50.6410256410256</v>
      </c>
      <c r="AH20" s="161">
        <f>IF($H20=0,0,CHOOSE($H20,SUMPRODUCT($O21:$O$67*AH21:AH$67*($E21:$E$67=$D20)),IF(ISNUMBER(Data_2014_N!AB20),100*ABS($G20-(Data_2014_N!AB20-$K20)/$M20),0),IF(ISNUMBER(Data_2014_N!AB20),100*ABS($G20-(Data_2014_N!AB20-$K20)/$M20),0)))</f>
        <v>70.1282051282051</v>
      </c>
      <c r="AI20" s="161">
        <f>IF($H20=0,0,CHOOSE($H20,SUMPRODUCT($O21:$O$67*AI21:AI$67*($E21:$E$67=$D20)),IF(ISNUMBER(Data_2014_N!AC20),100*ABS($G20-(Data_2014_N!AC20-$K20)/$M20),0),IF(ISNUMBER(Data_2014_N!AC20),100*ABS($G20-(Data_2014_N!AC20-$K20)/$M20),0)))</f>
        <v>92.8205128205128</v>
      </c>
      <c r="AJ20" s="161">
        <f>IF($H20=0,0,CHOOSE($H20,SUMPRODUCT($O21:$O$67*AJ21:AJ$67*($E21:$E$67=$D20)),IF(ISNUMBER(Data_2014_N!AD20),100*ABS($G20-(Data_2014_N!AD20-$K20)/$M20),0),IF(ISNUMBER(Data_2014_N!AD20),100*ABS($G20-(Data_2014_N!AD20-$K20)/$M20),0)))</f>
        <v>74.3589743589744</v>
      </c>
      <c r="AK20" s="161">
        <f>IF($H20=0,0,CHOOSE($H20,SUMPRODUCT($O21:$O$67*AK21:AK$67*($E21:$E$67=$D20)),IF(ISNUMBER(Data_2014_N!AE20),100*ABS($G20-(Data_2014_N!AE20-$K20)/$M20),0),IF(ISNUMBER(Data_2014_N!AE20),100*ABS($G20-(Data_2014_N!AE20-$K20)/$M20),0)))</f>
        <v>71.7948717948718</v>
      </c>
      <c r="AL20" s="161">
        <f>IF($H20=0,0,CHOOSE($H20,SUMPRODUCT($O21:$O$67*AL21:AL$67*($E21:$E$67=$D20)),IF(ISNUMBER(Data_2014_N!AF20),100*ABS($G20-(Data_2014_N!AF20-$K20)/$M20),0),IF(ISNUMBER(Data_2014_N!AF20),100*ABS($G20-(Data_2014_N!AF20-$K20)/$M20),0)))</f>
        <v>92.1794871794872</v>
      </c>
      <c r="AM20" s="161">
        <f>IF($H20=0,0,CHOOSE($H20,SUMPRODUCT($O21:$O$67*AM21:AM$67*($E21:$E$67=$D20)),IF(ISNUMBER(Data_2014_N!AG20),100*ABS($G20-(Data_2014_N!AG20-$K20)/$M20),0),IF(ISNUMBER(Data_2014_N!AG20),100*ABS($G20-(Data_2014_N!AG20-$K20)/$M20),0)))</f>
        <v>38.7179487179487</v>
      </c>
      <c r="AN20" s="161">
        <f>IF($H20=0,0,CHOOSE($H20,SUMPRODUCT($O21:$O$67*AN21:AN$67*($E21:$E$67=$D20)),IF(ISNUMBER(Data_2014_N!AH20),100*ABS($G20-(Data_2014_N!AH20-$K20)/$M20),0),IF(ISNUMBER(Data_2014_N!AH20),100*ABS($G20-(Data_2014_N!AH20-$K20)/$M20),0)))</f>
        <v>85.8974358974359</v>
      </c>
      <c r="AO20" s="161">
        <f>IF($H20=0,0,CHOOSE($H20,SUMPRODUCT($O21:$O$67*AO21:AO$67*($E21:$E$67=$D20)),IF(ISNUMBER(Data_2014_N!AI20),100*ABS($G20-(Data_2014_N!AI20-$K20)/$M20),0),IF(ISNUMBER(Data_2014_N!AI20),100*ABS($G20-(Data_2014_N!AI20-$K20)/$M20),0)))</f>
        <v>51.2820512820513</v>
      </c>
      <c r="AP20" s="161">
        <f>IF($H20=0,0,CHOOSE($H20,SUMPRODUCT($O21:$O$67*AP21:AP$67*($E21:$E$67=$D20)),IF(ISNUMBER(Data_2014_N!AJ20),100*ABS($G20-(Data_2014_N!AJ20-$K20)/$M20),0),IF(ISNUMBER(Data_2014_N!AJ20),100*ABS($G20-(Data_2014_N!AJ20-$K20)/$M20),0)))</f>
        <v>100</v>
      </c>
      <c r="AQ20" s="161">
        <f>IF($H20=0,0,CHOOSE($H20,SUMPRODUCT($O21:$O$67*AQ21:AQ$67*($E21:$E$67=$D20)),IF(ISNUMBER(Data_2014_N!AK20),100*ABS($G20-(Data_2014_N!AK20-$K20)/$M20),0),IF(ISNUMBER(Data_2014_N!AK20),100*ABS($G20-(Data_2014_N!AK20-$K20)/$M20),0)))</f>
        <v>95.5128205128205</v>
      </c>
      <c r="AR20" s="161">
        <f>IF($H20=0,0,CHOOSE($H20,SUMPRODUCT($O21:$O$67*AR21:AR$67*($E21:$E$67=$D20)),IF(ISNUMBER(Data_2014_N!AL20),100*ABS($G20-(Data_2014_N!AL20-$K20)/$M20),0),IF(ISNUMBER(Data_2014_N!AL20),100*ABS($G20-(Data_2014_N!AL20-$K20)/$M20),0)))</f>
        <v>92.8205128205128</v>
      </c>
      <c r="AS20" s="161">
        <f>IF($H20=0,0,CHOOSE($H20,SUMPRODUCT($O21:$O$67*AS21:AS$67*($E21:$E$67=$D20)),IF(ISNUMBER(Data_2014_N!AM20),100*ABS($G20-(Data_2014_N!AM20-$K20)/$M20),0),IF(ISNUMBER(Data_2014_N!AM20),100*ABS($G20-(Data_2014_N!AM20-$K20)/$M20),0)))</f>
        <v>91.1538461538461</v>
      </c>
      <c r="AT20" s="161">
        <f>IF($H20=0,0,CHOOSE($H20,SUMPRODUCT($O21:$O$67*AT21:AT$67*($E21:$E$67=$D20)),IF(ISNUMBER(Data_2014_N!AN20),100*ABS($G20-(Data_2014_N!AN20-$K20)/$M20),0),IF(ISNUMBER(Data_2014_N!AN20),100*ABS($G20-(Data_2014_N!AN20-$K20)/$M20),0)))</f>
        <v>0</v>
      </c>
      <c r="AU20" s="161">
        <f>IF($H20=0,0,CHOOSE($H20,SUMPRODUCT($O21:$O$67*AU21:AU$67*($E21:$E$67=$D20)),IF(ISNUMBER(Data_2014_N!AO20),100*ABS($G20-(Data_2014_N!AO20-$K20)/$M20),0),IF(ISNUMBER(Data_2014_N!AO20),100*ABS($G20-(Data_2014_N!AO20-$K20)/$M20),0)))</f>
        <v>38.7179487179487</v>
      </c>
      <c r="AV20" s="161">
        <f>IF($H20=0,0,CHOOSE($H20,SUMPRODUCT($O21:$O$67*AV21:AV$67*($E21:$E$67=$D20)),IF(ISNUMBER(Data_2014_N!AP20),100*ABS($G20-(Data_2014_N!AP20-$K20)/$M20),0),IF(ISNUMBER(Data_2014_N!AP20),100*ABS($G20-(Data_2014_N!AP20-$K20)/$M20),0)))</f>
        <v>91.4102564102564</v>
      </c>
      <c r="AW20" s="161">
        <f>IF($H20=0,0,CHOOSE($H20,SUMPRODUCT($O21:$O$67*AW21:AW$67*($E21:$E$67=$D20)),IF(ISNUMBER(Data_2014_N!AQ20),100*ABS($G20-(Data_2014_N!AQ20-$K20)/$M20),0),IF(ISNUMBER(Data_2014_N!AQ20),100*ABS($G20-(Data_2014_N!AQ20-$K20)/$M20),0)))</f>
        <v>60.7692307692308</v>
      </c>
      <c r="AX20" s="161">
        <f>IF($H20=0,0,CHOOSE($H20,SUMPRODUCT($O21:$O$67*AX21:AX$67*($E21:$E$67=$D20)),IF(ISNUMBER(Data_2014_N!AR20),100*ABS($G20-(Data_2014_N!AR20-$K20)/$M20),0),IF(ISNUMBER(Data_2014_N!AR20),100*ABS($G20-(Data_2014_N!AR20-$K20)/$M20),0)))</f>
        <v>57.3076923076923</v>
      </c>
      <c r="AY20" s="161">
        <f>IF($H20=0,0,CHOOSE($H20,SUMPRODUCT($O21:$O$67*AY21:AY$67*($E21:$E$67=$D20)),IF(ISNUMBER(Data_2014_N!AS20),100*ABS($G20-(Data_2014_N!AS20-$K20)/$M20),0),IF(ISNUMBER(Data_2014_N!AS20),100*ABS($G20-(Data_2014_N!AS20-$K20)/$M20),0)))</f>
        <v>91.1538461538461</v>
      </c>
      <c r="AZ20" s="161">
        <f>IF($H20=0,0,CHOOSE($H20,SUMPRODUCT($O21:$O$67*AZ21:AZ$67*($E21:$E$67=$D20)),IF(ISNUMBER(Data_2014_N!AT20),100*ABS($G20-(Data_2014_N!AT20-$K20)/$M20),0),IF(ISNUMBER(Data_2014_N!AT20),100*ABS($G20-(Data_2014_N!AT20-$K20)/$M20),0)))</f>
        <v>80.7692307692308</v>
      </c>
      <c r="BA20" s="161">
        <f>IF($H20=0,0,CHOOSE($H20,SUMPRODUCT($O21:$O$67*BA21:BA$67*($E21:$E$67=$D20)),IF(ISNUMBER(Data_2014_N!AU20),100*ABS($G20-(Data_2014_N!AU20-$K20)/$M20),0),IF(ISNUMBER(Data_2014_N!AU20),100*ABS($G20-(Data_2014_N!AU20-$K20)/$M20),0)))</f>
        <v>96.7948717948718</v>
      </c>
      <c r="BB20" s="161">
        <f>IF($H20=0,0,CHOOSE($H20,SUMPRODUCT($O21:$O$67*BB21:BB$67*($E21:$E$67=$D20)),IF(ISNUMBER(Data_2014_N!AV20),100*ABS($G20-(Data_2014_N!AV20-$K20)/$M20),0),IF(ISNUMBER(Data_2014_N!AV20),100*ABS($G20-(Data_2014_N!AV20-$K20)/$M20),0)))</f>
        <v>100</v>
      </c>
      <c r="BC20" s="161">
        <f>IF($H20=0,0,CHOOSE($H20,SUMPRODUCT($O21:$O$67*BC21:BC$67*($E21:$E$67=$D20)),IF(ISNUMBER(Data_2014_N!AW20),100*ABS($G20-(Data_2014_N!AW20-$K20)/$M20),0),IF(ISNUMBER(Data_2014_N!AW20),100*ABS($G20-(Data_2014_N!AW20-$K20)/$M20),0)))</f>
        <v>57.6923076923077</v>
      </c>
      <c r="BD20" s="161">
        <f>IF($H20=0,0,CHOOSE($H20,SUMPRODUCT($O21:$O$67*BD21:BD$67*($E21:$E$67=$D20)),IF(ISNUMBER(Data_2014_N!AX20),100*ABS($G20-(Data_2014_N!AX20-$K20)/$M20),0),IF(ISNUMBER(Data_2014_N!AX20),100*ABS($G20-(Data_2014_N!AX20-$K20)/$M20),0)))</f>
        <v>91.1538461538461</v>
      </c>
      <c r="BE20" s="161">
        <f>IF($H20=0,0,CHOOSE($H20,SUMPRODUCT($O21:$O$67*BE21:BE$67*($E21:$E$67=$D20)),IF(ISNUMBER(Data_2014_N!AY20),100*ABS($G20-(Data_2014_N!AY20-$K20)/$M20),0),IF(ISNUMBER(Data_2014_N!AY20),100*ABS($G20-(Data_2014_N!AY20-$K20)/$M20),0)))</f>
        <v>62.8205128205128</v>
      </c>
      <c r="BF20" s="161">
        <f>IF($H20=0,0,CHOOSE($H20,SUMPRODUCT($O21:$O$67*BF21:BF$67*($E21:$E$67=$D20)),IF(ISNUMBER(Data_2014_N!AZ20),100*ABS($G20-(Data_2014_N!AZ20-$K20)/$M20),0),IF(ISNUMBER(Data_2014_N!AZ20),100*ABS($G20-(Data_2014_N!AZ20-$K20)/$M20),0)))</f>
        <v>95.5128205128205</v>
      </c>
      <c r="BG20" s="161">
        <f>IF($H20=0,0,CHOOSE($H20,SUMPRODUCT($O21:$O$67*BG21:BG$67*($E21:$E$67=$D20)),IF(ISNUMBER(Data_2014_N!BA20),100*ABS($G20-(Data_2014_N!BA20-$K20)/$M20),0),IF(ISNUMBER(Data_2014_N!BA20),100*ABS($G20-(Data_2014_N!BA20-$K20)/$M20),0)))</f>
        <v>48.7179487179487</v>
      </c>
      <c r="BH20" s="161">
        <f>IF($H20=0,0,CHOOSE($H20,SUMPRODUCT($O21:$O$67*BH21:BH$67*($E21:$E$67=$D20)),IF(ISNUMBER(Data_2014_N!BB20),100*ABS($G20-(Data_2014_N!BB20-$K20)/$M20),0),IF(ISNUMBER(Data_2014_N!BB20),100*ABS($G20-(Data_2014_N!BB20-$K20)/$M20),0)))</f>
        <v>100</v>
      </c>
      <c r="BI20" s="161">
        <f>IF($H20=0,0,CHOOSE($H20,SUMPRODUCT($O21:$O$67*BI21:BI$67*($E21:$E$67=$D20)),IF(ISNUMBER(Data_2014_N!BC20),100*ABS($G20-(Data_2014_N!BC20-$K20)/$M20),0),IF(ISNUMBER(Data_2014_N!BC20),100*ABS($G20-(Data_2014_N!BC20-$K20)/$M20),0)))</f>
        <v>84.3589743589744</v>
      </c>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row>
    <row r="21" s="69" customFormat="1" ht="24.95" customHeight="1" spans="1:115">
      <c r="A21" s="92"/>
      <c r="B21" s="92">
        <f>tblIndicators!A17</f>
        <v>16</v>
      </c>
      <c r="C21" s="92">
        <f>tblIndicators!B17</f>
        <v>0</v>
      </c>
      <c r="D21" s="92" t="str">
        <f>tblIndicators!D17</f>
        <v>HESE2.1.2</v>
      </c>
      <c r="E21" s="92" t="str">
        <f>tblIndicators!E17</f>
        <v>HESE2.1</v>
      </c>
      <c r="F21" s="92">
        <f>tblIndicators!F17</f>
        <v>3</v>
      </c>
      <c r="G21" s="92">
        <f>tblIndicators!Y17</f>
        <v>0</v>
      </c>
      <c r="H21" s="92">
        <f>tblIndicators!Z17</f>
        <v>3</v>
      </c>
      <c r="I21" s="104">
        <f>tblIndicators!AA17</f>
        <v>0</v>
      </c>
      <c r="J21" s="92">
        <f>tblIndicators!AB17</f>
        <v>100</v>
      </c>
      <c r="K21" s="92">
        <f>CHOOSE(H21,"-",MIN(Data_2014_N!J21:BC21),I21)</f>
        <v>0</v>
      </c>
      <c r="L21" s="165">
        <f>CHOOSE(H21,"-",MAX(Data_2014_N!J21:BC21),J21)</f>
        <v>100</v>
      </c>
      <c r="M21" s="92">
        <f t="shared" si="1"/>
        <v>100</v>
      </c>
      <c r="N21" s="168" t="str">
        <f>REPT(" ",F21)&amp;tblIndicators!AE17</f>
        <v>   2.1.2) Access to healthcare</v>
      </c>
      <c r="O21" s="169">
        <f>tblIndicators!AD17</f>
        <v>0.166666666666667</v>
      </c>
      <c r="P21" s="161">
        <f>IF($H21=0,0,CHOOSE($H21,SUMPRODUCT($O22:$O$67*P22:P$67*($E22:$E$67=$D21)),IF(ISNUMBER(Data_2014_N!J21),100*ABS($G21-(Data_2014_N!J21-$K21)/$M21),0),IF(ISNUMBER(Data_2014_N!J21),100*ABS($G21-(Data_2014_N!J21-$K21)/$M21),0)))</f>
        <v>66.6666666666667</v>
      </c>
      <c r="Q21" s="161">
        <f>IF($H21=0,0,CHOOSE($H21,SUMPRODUCT($O22:$O$67*Q22:Q$67*($E22:$E$67=$D21)),IF(ISNUMBER(Data_2014_N!K21),100*ABS($G21-(Data_2014_N!K21-$K21)/$M21),0),IF(ISNUMBER(Data_2014_N!K21),100*ABS($G21-(Data_2014_N!K21-$K21)/$M21),0)))</f>
        <v>100</v>
      </c>
      <c r="R21" s="161">
        <f>IF($H21=0,0,CHOOSE($H21,SUMPRODUCT($O22:$O$67*R22:R$67*($E22:$E$67=$D21)),IF(ISNUMBER(Data_2014_N!L21),100*ABS($G21-(Data_2014_N!L21-$K21)/$M21),0),IF(ISNUMBER(Data_2014_N!L21),100*ABS($G21-(Data_2014_N!L21-$K21)/$M21),0)))</f>
        <v>75</v>
      </c>
      <c r="S21" s="161">
        <f>IF($H21=0,0,CHOOSE($H21,SUMPRODUCT($O22:$O$67*S22:S$67*($E22:$E$67=$D21)),IF(ISNUMBER(Data_2014_N!M21),100*ABS($G21-(Data_2014_N!M21-$K21)/$M21),0),IF(ISNUMBER(Data_2014_N!M21),100*ABS($G21-(Data_2014_N!M21-$K21)/$M21),0)))</f>
        <v>91.6666666666667</v>
      </c>
      <c r="T21" s="161">
        <f>IF($H21=0,0,CHOOSE($H21,SUMPRODUCT($O22:$O$67*T22:T$67*($E22:$E$67=$D21)),IF(ISNUMBER(Data_2014_N!N21),100*ABS($G21-(Data_2014_N!N21-$K21)/$M21),0),IF(ISNUMBER(Data_2014_N!N21),100*ABS($G21-(Data_2014_N!N21-$K21)/$M21),0)))</f>
        <v>83.3333333333333</v>
      </c>
      <c r="U21" s="161">
        <f>IF($H21=0,0,CHOOSE($H21,SUMPRODUCT($O22:$O$67*U22:U$67*($E22:$E$67=$D21)),IF(ISNUMBER(Data_2014_N!O21),100*ABS($G21-(Data_2014_N!O21-$K21)/$M21),0),IF(ISNUMBER(Data_2014_N!O21),100*ABS($G21-(Data_2014_N!O21-$K21)/$M21),0)))</f>
        <v>100</v>
      </c>
      <c r="V21" s="161">
        <f>IF($H21=0,0,CHOOSE($H21,SUMPRODUCT($O22:$O$67*V22:V$67*($E22:$E$67=$D21)),IF(ISNUMBER(Data_2014_N!P21),100*ABS($G21-(Data_2014_N!P21-$K21)/$M21),0),IF(ISNUMBER(Data_2014_N!P21),100*ABS($G21-(Data_2014_N!P21-$K21)/$M21),0)))</f>
        <v>91.6666666666667</v>
      </c>
      <c r="W21" s="161">
        <f>IF($H21=0,0,CHOOSE($H21,SUMPRODUCT($O22:$O$67*W22:W$67*($E22:$E$67=$D21)),IF(ISNUMBER(Data_2014_N!Q21),100*ABS($G21-(Data_2014_N!Q21-$K21)/$M21),0),IF(ISNUMBER(Data_2014_N!Q21),100*ABS($G21-(Data_2014_N!Q21-$K21)/$M21),0)))</f>
        <v>91.6666666666667</v>
      </c>
      <c r="X21" s="161">
        <f>IF($H21=0,0,CHOOSE($H21,SUMPRODUCT($O22:$O$67*X22:X$67*($E22:$E$67=$D21)),IF(ISNUMBER(Data_2014_N!R21),100*ABS($G21-(Data_2014_N!R21-$K21)/$M21),0),IF(ISNUMBER(Data_2014_N!R21),100*ABS($G21-(Data_2014_N!R21-$K21)/$M21),0)))</f>
        <v>75</v>
      </c>
      <c r="Y21" s="161">
        <f>IF($H21=0,0,CHOOSE($H21,SUMPRODUCT($O22:$O$67*Y22:Y$67*($E22:$E$67=$D21)),IF(ISNUMBER(Data_2014_N!S21),100*ABS($G21-(Data_2014_N!S21-$K21)/$M21),0),IF(ISNUMBER(Data_2014_N!S21),100*ABS($G21-(Data_2014_N!S21-$K21)/$M21),0)))</f>
        <v>75</v>
      </c>
      <c r="Z21" s="161">
        <f>IF($H21=0,0,CHOOSE($H21,SUMPRODUCT($O22:$O$67*Z22:Z$67*($E22:$E$67=$D21)),IF(ISNUMBER(Data_2014_N!T21),100*ABS($G21-(Data_2014_N!T21-$K21)/$M21),0),IF(ISNUMBER(Data_2014_N!T21),100*ABS($G21-(Data_2014_N!T21-$K21)/$M21),0)))</f>
        <v>100</v>
      </c>
      <c r="AA21" s="161">
        <f>IF($H21=0,0,CHOOSE($H21,SUMPRODUCT($O22:$O$67*AA22:AA$67*($E22:$E$67=$D21)),IF(ISNUMBER(Data_2014_N!U21),100*ABS($G21-(Data_2014_N!U21-$K21)/$M21),0),IF(ISNUMBER(Data_2014_N!U21),100*ABS($G21-(Data_2014_N!U21-$K21)/$M21),0)))</f>
        <v>66.6666666666667</v>
      </c>
      <c r="AB21" s="161">
        <f>IF($H21=0,0,CHOOSE($H21,SUMPRODUCT($O22:$O$67*AB22:AB$67*($E22:$E$67=$D21)),IF(ISNUMBER(Data_2014_N!V21),100*ABS($G21-(Data_2014_N!V21-$K21)/$M21),0),IF(ISNUMBER(Data_2014_N!V21),100*ABS($G21-(Data_2014_N!V21-$K21)/$M21),0)))</f>
        <v>91.6666666666667</v>
      </c>
      <c r="AC21" s="161">
        <f>IF($H21=0,0,CHOOSE($H21,SUMPRODUCT($O22:$O$67*AC22:AC$67*($E22:$E$67=$D21)),IF(ISNUMBER(Data_2014_N!W21),100*ABS($G21-(Data_2014_N!W21-$K21)/$M21),0),IF(ISNUMBER(Data_2014_N!W21),100*ABS($G21-(Data_2014_N!W21-$K21)/$M21),0)))</f>
        <v>50</v>
      </c>
      <c r="AD21" s="161">
        <f>IF($H21=0,0,CHOOSE($H21,SUMPRODUCT($O22:$O$67*AD22:AD$67*($E22:$E$67=$D21)),IF(ISNUMBER(Data_2014_N!X21),100*ABS($G21-(Data_2014_N!X21-$K21)/$M21),0),IF(ISNUMBER(Data_2014_N!X21),100*ABS($G21-(Data_2014_N!X21-$K21)/$M21),0)))</f>
        <v>66.6666666666667</v>
      </c>
      <c r="AE21" s="161">
        <f>IF($H21=0,0,CHOOSE($H21,SUMPRODUCT($O22:$O$67*AE22:AE$67*($E22:$E$67=$D21)),IF(ISNUMBER(Data_2014_N!Y21),100*ABS($G21-(Data_2014_N!Y21-$K21)/$M21),0),IF(ISNUMBER(Data_2014_N!Y21),100*ABS($G21-(Data_2014_N!Y21-$K21)/$M21),0)))</f>
        <v>75</v>
      </c>
      <c r="AF21" s="161">
        <f>IF($H21=0,0,CHOOSE($H21,SUMPRODUCT($O22:$O$67*AF22:AF$67*($E22:$E$67=$D21)),IF(ISNUMBER(Data_2014_N!Z21),100*ABS($G21-(Data_2014_N!Z21-$K21)/$M21),0),IF(ISNUMBER(Data_2014_N!Z21),100*ABS($G21-(Data_2014_N!Z21-$K21)/$M21),0)))</f>
        <v>75</v>
      </c>
      <c r="AG21" s="161">
        <f>IF($H21=0,0,CHOOSE($H21,SUMPRODUCT($O22:$O$67*AG22:AG$67*($E22:$E$67=$D21)),IF(ISNUMBER(Data_2014_N!AA21),100*ABS($G21-(Data_2014_N!AA21-$K21)/$M21),0),IF(ISNUMBER(Data_2014_N!AA21),100*ABS($G21-(Data_2014_N!AA21-$K21)/$M21),0)))</f>
        <v>83.3333333333333</v>
      </c>
      <c r="AH21" s="161">
        <f>IF($H21=0,0,CHOOSE($H21,SUMPRODUCT($O22:$O$67*AH22:AH$67*($E22:$E$67=$D21)),IF(ISNUMBER(Data_2014_N!AB21),100*ABS($G21-(Data_2014_N!AB21-$K21)/$M21),0),IF(ISNUMBER(Data_2014_N!AB21),100*ABS($G21-(Data_2014_N!AB21-$K21)/$M21),0)))</f>
        <v>83.3333333333333</v>
      </c>
      <c r="AI21" s="161">
        <f>IF($H21=0,0,CHOOSE($H21,SUMPRODUCT($O22:$O$67*AI22:AI$67*($E22:$E$67=$D21)),IF(ISNUMBER(Data_2014_N!AC21),100*ABS($G21-(Data_2014_N!AC21-$K21)/$M21),0),IF(ISNUMBER(Data_2014_N!AC21),100*ABS($G21-(Data_2014_N!AC21-$K21)/$M21),0)))</f>
        <v>91.6666666666667</v>
      </c>
      <c r="AJ21" s="161">
        <f>IF($H21=0,0,CHOOSE($H21,SUMPRODUCT($O22:$O$67*AJ22:AJ$67*($E22:$E$67=$D21)),IF(ISNUMBER(Data_2014_N!AD21),100*ABS($G21-(Data_2014_N!AD21-$K21)/$M21),0),IF(ISNUMBER(Data_2014_N!AD21),100*ABS($G21-(Data_2014_N!AD21-$K21)/$M21),0)))</f>
        <v>91.6666666666667</v>
      </c>
      <c r="AK21" s="161">
        <f>IF($H21=0,0,CHOOSE($H21,SUMPRODUCT($O22:$O$67*AK22:AK$67*($E22:$E$67=$D21)),IF(ISNUMBER(Data_2014_N!AE21),100*ABS($G21-(Data_2014_N!AE21-$K21)/$M21),0),IF(ISNUMBER(Data_2014_N!AE21),100*ABS($G21-(Data_2014_N!AE21-$K21)/$M21),0)))</f>
        <v>100</v>
      </c>
      <c r="AL21" s="161">
        <f>IF($H21=0,0,CHOOSE($H21,SUMPRODUCT($O22:$O$67*AL22:AL$67*($E22:$E$67=$D21)),IF(ISNUMBER(Data_2014_N!AF21),100*ABS($G21-(Data_2014_N!AF21-$K21)/$M21),0),IF(ISNUMBER(Data_2014_N!AF21),100*ABS($G21-(Data_2014_N!AF21-$K21)/$M21),0)))</f>
        <v>83.3333333333333</v>
      </c>
      <c r="AM21" s="161">
        <f>IF($H21=0,0,CHOOSE($H21,SUMPRODUCT($O22:$O$67*AM22:AM$67*($E22:$E$67=$D21)),IF(ISNUMBER(Data_2014_N!AG21),100*ABS($G21-(Data_2014_N!AG21-$K21)/$M21),0),IF(ISNUMBER(Data_2014_N!AG21),100*ABS($G21-(Data_2014_N!AG21-$K21)/$M21),0)))</f>
        <v>91.6666666666667</v>
      </c>
      <c r="AN21" s="161">
        <f>IF($H21=0,0,CHOOSE($H21,SUMPRODUCT($O22:$O$67*AN22:AN$67*($E22:$E$67=$D21)),IF(ISNUMBER(Data_2014_N!AH21),100*ABS($G21-(Data_2014_N!AH21-$K21)/$M21),0),IF(ISNUMBER(Data_2014_N!AH21),100*ABS($G21-(Data_2014_N!AH21-$K21)/$M21),0)))</f>
        <v>75</v>
      </c>
      <c r="AO21" s="161">
        <f>IF($H21=0,0,CHOOSE($H21,SUMPRODUCT($O22:$O$67*AO22:AO$67*($E22:$E$67=$D21)),IF(ISNUMBER(Data_2014_N!AI21),100*ABS($G21-(Data_2014_N!AI21-$K21)/$M21),0),IF(ISNUMBER(Data_2014_N!AI21),100*ABS($G21-(Data_2014_N!AI21-$K21)/$M21),0)))</f>
        <v>83.3333333333333</v>
      </c>
      <c r="AP21" s="161">
        <f>IF($H21=0,0,CHOOSE($H21,SUMPRODUCT($O22:$O$67*AP22:AP$67*($E22:$E$67=$D21)),IF(ISNUMBER(Data_2014_N!AJ21),100*ABS($G21-(Data_2014_N!AJ21-$K21)/$M21),0),IF(ISNUMBER(Data_2014_N!AJ21),100*ABS($G21-(Data_2014_N!AJ21-$K21)/$M21),0)))</f>
        <v>91.6666666666667</v>
      </c>
      <c r="AQ21" s="161">
        <f>IF($H21=0,0,CHOOSE($H21,SUMPRODUCT($O22:$O$67*AQ22:AQ$67*($E22:$E$67=$D21)),IF(ISNUMBER(Data_2014_N!AK21),100*ABS($G21-(Data_2014_N!AK21-$K21)/$M21),0),IF(ISNUMBER(Data_2014_N!AK21),100*ABS($G21-(Data_2014_N!AK21-$K21)/$M21),0)))</f>
        <v>100</v>
      </c>
      <c r="AR21" s="161">
        <f>IF($H21=0,0,CHOOSE($H21,SUMPRODUCT($O22:$O$67*AR22:AR$67*($E22:$E$67=$D21)),IF(ISNUMBER(Data_2014_N!AL21),100*ABS($G21-(Data_2014_N!AL21-$K21)/$M21),0),IF(ISNUMBER(Data_2014_N!AL21),100*ABS($G21-(Data_2014_N!AL21-$K21)/$M21),0)))</f>
        <v>100</v>
      </c>
      <c r="AS21" s="161">
        <f>IF($H21=0,0,CHOOSE($H21,SUMPRODUCT($O22:$O$67*AS22:AS$67*($E22:$E$67=$D21)),IF(ISNUMBER(Data_2014_N!AM21),100*ABS($G21-(Data_2014_N!AM21-$K21)/$M21),0),IF(ISNUMBER(Data_2014_N!AM21),100*ABS($G21-(Data_2014_N!AM21-$K21)/$M21),0)))</f>
        <v>66.6666666666667</v>
      </c>
      <c r="AT21" s="161">
        <f>IF($H21=0,0,CHOOSE($H21,SUMPRODUCT($O22:$O$67*AT22:AT$67*($E22:$E$67=$D21)),IF(ISNUMBER(Data_2014_N!AN21),100*ABS($G21-(Data_2014_N!AN21-$K21)/$M21),0),IF(ISNUMBER(Data_2014_N!AN21),100*ABS($G21-(Data_2014_N!AN21-$K21)/$M21),0)))</f>
        <v>75</v>
      </c>
      <c r="AU21" s="161">
        <f>IF($H21=0,0,CHOOSE($H21,SUMPRODUCT($O22:$O$67*AU22:AU$67*($E22:$E$67=$D21)),IF(ISNUMBER(Data_2014_N!AO21),100*ABS($G21-(Data_2014_N!AO21-$K21)/$M21),0),IF(ISNUMBER(Data_2014_N!AO21),100*ABS($G21-(Data_2014_N!AO21-$K21)/$M21),0)))</f>
        <v>91.6666666666667</v>
      </c>
      <c r="AV21" s="161">
        <f>IF($H21=0,0,CHOOSE($H21,SUMPRODUCT($O22:$O$67*AV22:AV$67*($E22:$E$67=$D21)),IF(ISNUMBER(Data_2014_N!AP21),100*ABS($G21-(Data_2014_N!AP21-$K21)/$M21),0),IF(ISNUMBER(Data_2014_N!AP21),100*ABS($G21-(Data_2014_N!AP21-$K21)/$M21),0)))</f>
        <v>91.6666666666667</v>
      </c>
      <c r="AW21" s="161">
        <f>IF($H21=0,0,CHOOSE($H21,SUMPRODUCT($O22:$O$67*AW22:AW$67*($E22:$E$67=$D21)),IF(ISNUMBER(Data_2014_N!AQ21),100*ABS($G21-(Data_2014_N!AQ21-$K21)/$M21),0),IF(ISNUMBER(Data_2014_N!AQ21),100*ABS($G21-(Data_2014_N!AQ21-$K21)/$M21),0)))</f>
        <v>75</v>
      </c>
      <c r="AX21" s="161">
        <f>IF($H21=0,0,CHOOSE($H21,SUMPRODUCT($O22:$O$67*AX22:AX$67*($E22:$E$67=$D21)),IF(ISNUMBER(Data_2014_N!AR21),100*ABS($G21-(Data_2014_N!AR21-$K21)/$M21),0),IF(ISNUMBER(Data_2014_N!AR21),100*ABS($G21-(Data_2014_N!AR21-$K21)/$M21),0)))</f>
        <v>75</v>
      </c>
      <c r="AY21" s="161">
        <f>IF($H21=0,0,CHOOSE($H21,SUMPRODUCT($O22:$O$67*AY22:AY$67*($E22:$E$67=$D21)),IF(ISNUMBER(Data_2014_N!AS21),100*ABS($G21-(Data_2014_N!AS21-$K21)/$M21),0),IF(ISNUMBER(Data_2014_N!AS21),100*ABS($G21-(Data_2014_N!AS21-$K21)/$M21),0)))</f>
        <v>91.6666666666667</v>
      </c>
      <c r="AZ21" s="161">
        <f>IF($H21=0,0,CHOOSE($H21,SUMPRODUCT($O22:$O$67*AZ22:AZ$67*($E22:$E$67=$D21)),IF(ISNUMBER(Data_2014_N!AT21),100*ABS($G21-(Data_2014_N!AT21-$K21)/$M21),0),IF(ISNUMBER(Data_2014_N!AT21),100*ABS($G21-(Data_2014_N!AT21-$K21)/$M21),0)))</f>
        <v>66.6666666666667</v>
      </c>
      <c r="BA21" s="161">
        <f>IF($H21=0,0,CHOOSE($H21,SUMPRODUCT($O22:$O$67*BA22:BA$67*($E22:$E$67=$D21)),IF(ISNUMBER(Data_2014_N!AU21),100*ABS($G21-(Data_2014_N!AU21-$K21)/$M21),0),IF(ISNUMBER(Data_2014_N!AU21),100*ABS($G21-(Data_2014_N!AU21-$K21)/$M21),0)))</f>
        <v>91.6666666666667</v>
      </c>
      <c r="BB21" s="161">
        <f>IF($H21=0,0,CHOOSE($H21,SUMPRODUCT($O22:$O$67*BB22:BB$67*($E22:$E$67=$D21)),IF(ISNUMBER(Data_2014_N!AV21),100*ABS($G21-(Data_2014_N!AV21-$K21)/$M21),0),IF(ISNUMBER(Data_2014_N!AV21),100*ABS($G21-(Data_2014_N!AV21-$K21)/$M21),0)))</f>
        <v>91.6666666666667</v>
      </c>
      <c r="BC21" s="161">
        <f>IF($H21=0,0,CHOOSE($H21,SUMPRODUCT($O22:$O$67*BC22:BC$67*($E22:$E$67=$D21)),IF(ISNUMBER(Data_2014_N!AW21),100*ABS($G21-(Data_2014_N!AW21-$K21)/$M21),0),IF(ISNUMBER(Data_2014_N!AW21),100*ABS($G21-(Data_2014_N!AW21-$K21)/$M21),0)))</f>
        <v>100</v>
      </c>
      <c r="BD21" s="161">
        <f>IF($H21=0,0,CHOOSE($H21,SUMPRODUCT($O22:$O$67*BD22:BD$67*($E22:$E$67=$D21)),IF(ISNUMBER(Data_2014_N!AX21),100*ABS($G21-(Data_2014_N!AX21-$K21)/$M21),0),IF(ISNUMBER(Data_2014_N!AX21),100*ABS($G21-(Data_2014_N!AX21-$K21)/$M21),0)))</f>
        <v>83.3333333333333</v>
      </c>
      <c r="BE21" s="161">
        <f>IF($H21=0,0,CHOOSE($H21,SUMPRODUCT($O22:$O$67*BE22:BE$67*($E22:$E$67=$D21)),IF(ISNUMBER(Data_2014_N!AY21),100*ABS($G21-(Data_2014_N!AY21-$K21)/$M21),0),IF(ISNUMBER(Data_2014_N!AY21),100*ABS($G21-(Data_2014_N!AY21-$K21)/$M21),0)))</f>
        <v>58.3333333333333</v>
      </c>
      <c r="BF21" s="161">
        <f>IF($H21=0,0,CHOOSE($H21,SUMPRODUCT($O22:$O$67*BF22:BF$67*($E22:$E$67=$D21)),IF(ISNUMBER(Data_2014_N!AZ21),100*ABS($G21-(Data_2014_N!AZ21-$K21)/$M21),0),IF(ISNUMBER(Data_2014_N!AZ21),100*ABS($G21-(Data_2014_N!AZ21-$K21)/$M21),0)))</f>
        <v>100</v>
      </c>
      <c r="BG21" s="161">
        <f>IF($H21=0,0,CHOOSE($H21,SUMPRODUCT($O22:$O$67*BG22:BG$67*($E22:$E$67=$D21)),IF(ISNUMBER(Data_2014_N!BA21),100*ABS($G21-(Data_2014_N!BA21-$K21)/$M21),0),IF(ISNUMBER(Data_2014_N!BA21),100*ABS($G21-(Data_2014_N!BA21-$K21)/$M21),0)))</f>
        <v>100</v>
      </c>
      <c r="BH21" s="161">
        <f>IF($H21=0,0,CHOOSE($H21,SUMPRODUCT($O22:$O$67*BH22:BH$67*($E22:$E$67=$D21)),IF(ISNUMBER(Data_2014_N!BB21),100*ABS($G21-(Data_2014_N!BB21-$K21)/$M21),0),IF(ISNUMBER(Data_2014_N!BB21),100*ABS($G21-(Data_2014_N!BB21-$K21)/$M21),0)))</f>
        <v>91.6666666666667</v>
      </c>
      <c r="BI21" s="161">
        <f>IF($H21=0,0,CHOOSE($H21,SUMPRODUCT($O22:$O$67*BI22:BI$67*($E22:$E$67=$D21)),IF(ISNUMBER(Data_2014_N!BC21),100*ABS($G21-(Data_2014_N!BC21-$K21)/$M21),0),IF(ISNUMBER(Data_2014_N!BC21),100*ABS($G21-(Data_2014_N!BC21-$K21)/$M21),0)))</f>
        <v>100</v>
      </c>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row>
    <row r="22" s="69" customFormat="1" ht="24.95" customHeight="1" spans="1:115">
      <c r="A22" s="92"/>
      <c r="B22" s="92">
        <f>tblIndicators!A18</f>
        <v>17</v>
      </c>
      <c r="C22" s="92">
        <f>tblIndicators!B18</f>
        <v>0</v>
      </c>
      <c r="D22" s="92" t="str">
        <f>tblIndicators!D18</f>
        <v>HESE2.1.3</v>
      </c>
      <c r="E22" s="92" t="str">
        <f>tblIndicators!E18</f>
        <v>HESE2.1</v>
      </c>
      <c r="F22" s="92">
        <f>tblIndicators!F18</f>
        <v>3</v>
      </c>
      <c r="G22" s="92">
        <f>tblIndicators!Y18</f>
        <v>0</v>
      </c>
      <c r="H22" s="92">
        <f>tblIndicators!Z18</f>
        <v>2</v>
      </c>
      <c r="I22" s="104">
        <f>tblIndicators!AA18</f>
        <v>0</v>
      </c>
      <c r="J22" s="92">
        <f>tblIndicators!AB18</f>
        <v>0</v>
      </c>
      <c r="K22" s="92">
        <f>CHOOSE(H22,"-",MIN(Data_2014_N!J22:BC22),I22)</f>
        <v>0.017</v>
      </c>
      <c r="L22" s="165">
        <f>CHOOSE(H22,"-",MAX(Data_2014_N!J22:BC22),J22)</f>
        <v>24</v>
      </c>
      <c r="M22" s="92">
        <f t="shared" si="1"/>
        <v>23.983</v>
      </c>
      <c r="N22" s="168" t="str">
        <f>REPT(" ",F22)&amp;tblIndicators!AE18</f>
        <v>   2.1.3) No. of beds per 1,000</v>
      </c>
      <c r="O22" s="169">
        <f>tblIndicators!AD18</f>
        <v>0.166666666666667</v>
      </c>
      <c r="P22" s="161">
        <f>IF($H22=0,0,CHOOSE($H22,SUMPRODUCT($O23:$O$67*P23:P$67*($E23:$E$67=$D22)),IF(ISNUMBER(Data_2014_N!J22),100*ABS($G22-(Data_2014_N!J22-$K22)/$M22),0),IF(ISNUMBER(Data_2014_N!J22),100*ABS($G22-(Data_2014_N!J22-$K22)/$M22),0)))</f>
        <v>11.187090856023</v>
      </c>
      <c r="Q22" s="161">
        <f>IF($H22=0,0,CHOOSE($H22,SUMPRODUCT($O23:$O$67*Q23:Q$67*($E23:$E$67=$D22)),IF(ISNUMBER(Data_2014_N!K22),100*ABS($G22-(Data_2014_N!K22-$K22)/$M22),0),IF(ISNUMBER(Data_2014_N!K22),100*ABS($G22-(Data_2014_N!K22-$K22)/$M22),0)))</f>
        <v>19.5263311512321</v>
      </c>
      <c r="R22" s="161">
        <f>IF($H22=0,0,CHOOSE($H22,SUMPRODUCT($O23:$O$67*R23:R$67*($E23:$E$67=$D22)),IF(ISNUMBER(Data_2014_N!L22),100*ABS($G22-(Data_2014_N!L22-$K22)/$M22),0),IF(ISNUMBER(Data_2014_N!L22),100*ABS($G22-(Data_2014_N!L22-$K22)/$M22),0)))</f>
        <v>15.6068882124838</v>
      </c>
      <c r="S22" s="161">
        <f>IF($H22=0,0,CHOOSE($H22,SUMPRODUCT($O23:$O$67*S23:S$67*($E23:$E$67=$D22)),IF(ISNUMBER(Data_2014_N!M22),100*ABS($G22-(Data_2014_N!M22-$K22)/$M22),0),IF(ISNUMBER(Data_2014_N!M22),100*ABS($G22-(Data_2014_N!M22-$K22)/$M22),0)))</f>
        <v>13.3552933327774</v>
      </c>
      <c r="T22" s="161">
        <f>IF($H22=0,0,CHOOSE($H22,SUMPRODUCT($O23:$O$67*T23:T$67*($E23:$E$67=$D22)),IF(ISNUMBER(Data_2014_N!N22),100*ABS($G22-(Data_2014_N!N22-$K22)/$M22),0),IF(ISNUMBER(Data_2014_N!N22),100*ABS($G22-(Data_2014_N!N22-$K22)/$M22),0)))</f>
        <v>20.1100779718968</v>
      </c>
      <c r="U22" s="161">
        <f>IF($H22=0,0,CHOOSE($H22,SUMPRODUCT($O23:$O$67*U23:U$67*($E23:$E$67=$D22)),IF(ISNUMBER(Data_2014_N!O22),100*ABS($G22-(Data_2014_N!O22-$K22)/$M22),0),IF(ISNUMBER(Data_2014_N!O22),100*ABS($G22-(Data_2014_N!O22-$K22)/$M22),0)))</f>
        <v>31.7433181837135</v>
      </c>
      <c r="V22" s="161">
        <f>IF($H22=0,0,CHOOSE($H22,SUMPRODUCT($O23:$O$67*V23:V$67*($E23:$E$67=$D22)),IF(ISNUMBER(Data_2014_N!P22),100*ABS($G22-(Data_2014_N!P22-$K22)/$M22),0),IF(ISNUMBER(Data_2014_N!P22),100*ABS($G22-(Data_2014_N!P22-$K22)/$M22),0)))</f>
        <v>18.6924071217112</v>
      </c>
      <c r="W22" s="161">
        <f>IF($H22=0,0,CHOOSE($H22,SUMPRODUCT($O23:$O$67*W23:W$67*($E23:$E$67=$D22)),IF(ISNUMBER(Data_2014_N!Q22),100*ABS($G22-(Data_2014_N!Q22-$K22)/$M22),0),IF(ISNUMBER(Data_2014_N!Q22),100*ABS($G22-(Data_2014_N!Q22-$K22)/$M22),0)))</f>
        <v>10.3531668265021</v>
      </c>
      <c r="X22" s="161">
        <f>IF($H22=0,0,CHOOSE($H22,SUMPRODUCT($O23:$O$67*X23:X$67*($E23:$E$67=$D22)),IF(ISNUMBER(Data_2014_N!R22),100*ABS($G22-(Data_2014_N!R22-$K22)/$M22),0),IF(ISNUMBER(Data_2014_N!R22),100*ABS($G22-(Data_2014_N!R22-$K22)/$M22),0)))</f>
        <v>9.31076178960097</v>
      </c>
      <c r="Y22" s="161">
        <f>IF($H22=0,0,CHOOSE($H22,SUMPRODUCT($O23:$O$67*Y23:Y$67*($E23:$E$67=$D22)),IF(ISNUMBER(Data_2014_N!S22),100*ABS($G22-(Data_2014_N!S22-$K22)/$M22),0),IF(ISNUMBER(Data_2014_N!S22),100*ABS($G22-(Data_2014_N!S22-$K22)/$M22),0)))</f>
        <v>4.93266063461619</v>
      </c>
      <c r="Z22" s="161">
        <f>IF($H22=0,0,CHOOSE($H22,SUMPRODUCT($O23:$O$67*Z23:Z$67*($E23:$E$67=$D22)),IF(ISNUMBER(Data_2014_N!T22),100*ABS($G22-(Data_2014_N!T22-$K22)/$M22),0),IF(ISNUMBER(Data_2014_N!T22),100*ABS($G22-(Data_2014_N!T22-$K22)/$M22),0)))</f>
        <v>34.5369636826085</v>
      </c>
      <c r="AA22" s="161">
        <f>IF($H22=0,0,CHOOSE($H22,SUMPRODUCT($O23:$O$67*AA23:AA$67*($E23:$E$67=$D22)),IF(ISNUMBER(Data_2014_N!U22),100*ABS($G22-(Data_2014_N!U22-$K22)/$M22),0),IF(ISNUMBER(Data_2014_N!U22),100*ABS($G22-(Data_2014_N!U22-$K22)/$M22),0)))</f>
        <v>15.773673018388</v>
      </c>
      <c r="AB22" s="161">
        <f>IF($H22=0,0,CHOOSE($H22,SUMPRODUCT($O23:$O$67*AB23:AB$67*($E23:$E$67=$D22)),IF(ISNUMBER(Data_2014_N!V22),100*ABS($G22-(Data_2014_N!V22-$K22)/$M22),0),IF(ISNUMBER(Data_2014_N!V22),100*ABS($G22-(Data_2014_N!V22-$K22)/$M22),0)))</f>
        <v>20.7355209940374</v>
      </c>
      <c r="AC22" s="161">
        <f>IF($H22=0,0,CHOOSE($H22,SUMPRODUCT($O23:$O$67*AC23:AC$67*($E23:$E$67=$D22)),IF(ISNUMBER(Data_2014_N!W22),100*ABS($G22-(Data_2014_N!W22-$K22)/$M22),0),IF(ISNUMBER(Data_2014_N!W22),100*ABS($G22-(Data_2014_N!W22-$K22)/$M22),0)))</f>
        <v>0</v>
      </c>
      <c r="AD22" s="161">
        <f>IF($H22=0,0,CHOOSE($H22,SUMPRODUCT($O23:$O$67*AD23:AD$67*($E23:$E$67=$D22)),IF(ISNUMBER(Data_2014_N!X22),100*ABS($G22-(Data_2014_N!X22-$K22)/$M22),0),IF(ISNUMBER(Data_2014_N!X22),100*ABS($G22-(Data_2014_N!X22-$K22)/$M22),0)))</f>
        <v>6.60050869365801</v>
      </c>
      <c r="AE22" s="161">
        <f>IF($H22=0,0,CHOOSE($H22,SUMPRODUCT($O23:$O$67*AE23:AE$67*($E23:$E$67=$D22)),IF(ISNUMBER(Data_2014_N!Y22),100*ABS($G22-(Data_2014_N!Y22-$K22)/$M22),0),IF(ISNUMBER(Data_2014_N!Y22),100*ABS($G22-(Data_2014_N!Y22-$K22)/$M22),0)))</f>
        <v>6.18354667889755</v>
      </c>
      <c r="AF22" s="161">
        <f>IF($H22=0,0,CHOOSE($H22,SUMPRODUCT($O23:$O$67*AF23:AF$67*($E23:$E$67=$D22)),IF(ISNUMBER(Data_2014_N!Z22),100*ABS($G22-(Data_2014_N!Z22-$K22)/$M22),0),IF(ISNUMBER(Data_2014_N!Z22),100*ABS($G22-(Data_2014_N!Z22-$K22)/$M22),0)))</f>
        <v>9.10228078222074</v>
      </c>
      <c r="AG22" s="161">
        <f>IF($H22=0,0,CHOOSE($H22,SUMPRODUCT($O23:$O$67*AG23:AG$67*($E23:$E$67=$D22)),IF(ISNUMBER(Data_2014_N!AA22),100*ABS($G22-(Data_2014_N!AA22-$K22)/$M22),0),IF(ISNUMBER(Data_2014_N!AA22),100*ABS($G22-(Data_2014_N!AA22-$K22)/$M22),0)))</f>
        <v>6.60050869365801</v>
      </c>
      <c r="AH22" s="161">
        <f>IF($H22=0,0,CHOOSE($H22,SUMPRODUCT($O23:$O$67*AH23:AH$67*($E23:$E$67=$D22)),IF(ISNUMBER(Data_2014_N!AB22),100*ABS($G22-(Data_2014_N!AB22-$K22)/$M22),0),IF(ISNUMBER(Data_2014_N!AB22),100*ABS($G22-(Data_2014_N!AB22-$K22)/$M22),0)))</f>
        <v>9.10228078222074</v>
      </c>
      <c r="AI22" s="161">
        <f>IF($H22=0,0,CHOOSE($H22,SUMPRODUCT($O23:$O$67*AI23:AI$67*($E23:$E$67=$D22)),IF(ISNUMBER(Data_2014_N!AC22),100*ABS($G22-(Data_2014_N!AC22-$K22)/$M22),0),IF(ISNUMBER(Data_2014_N!AC22),100*ABS($G22-(Data_2014_N!AC22-$K22)/$M22),0)))</f>
        <v>5.05774923904432</v>
      </c>
      <c r="AJ22" s="161">
        <f>IF($H22=0,0,CHOOSE($H22,SUMPRODUCT($O23:$O$67*AJ23:AJ$67*($E23:$E$67=$D22)),IF(ISNUMBER(Data_2014_N!AD22),100*ABS($G22-(Data_2014_N!AD22-$K22)/$M22),0),IF(ISNUMBER(Data_2014_N!AD22),100*ABS($G22-(Data_2014_N!AD22-$K22)/$M22),0)))</f>
        <v>12.6047617062086</v>
      </c>
      <c r="AK22" s="161">
        <f>IF($H22=0,0,CHOOSE($H22,SUMPRODUCT($O23:$O$67*AK23:AK$67*($E23:$E$67=$D22)),IF(ISNUMBER(Data_2014_N!AE22),100*ABS($G22-(Data_2014_N!AE22-$K22)/$M22),0),IF(ISNUMBER(Data_2014_N!AE22),100*ABS($G22-(Data_2014_N!AE22-$K22)/$M22),0)))</f>
        <v>9.60263519993329</v>
      </c>
      <c r="AL22" s="161">
        <f>IF($H22=0,0,CHOOSE($H22,SUMPRODUCT($O23:$O$67*AL23:AL$67*($E23:$E$67=$D22)),IF(ISNUMBER(Data_2014_N!AF22),100*ABS($G22-(Data_2014_N!AF22-$K22)/$M22),0),IF(ISNUMBER(Data_2014_N!AF22),100*ABS($G22-(Data_2014_N!AF22-$K22)/$M22),0)))</f>
        <v>4.51569861985573</v>
      </c>
      <c r="AM22" s="161">
        <f>IF($H22=0,0,CHOOSE($H22,SUMPRODUCT($O23:$O$67*AM23:AM$67*($E23:$E$67=$D22)),IF(ISNUMBER(Data_2014_N!AG22),100*ABS($G22-(Data_2014_N!AG22-$K22)/$M22),0),IF(ISNUMBER(Data_2014_N!AG22),100*ABS($G22-(Data_2014_N!AG22-$K22)/$M22),0)))</f>
        <v>23.2789892840762</v>
      </c>
      <c r="AN22" s="161">
        <f>IF($H22=0,0,CHOOSE($H22,SUMPRODUCT($O23:$O$67*AN23:AN$67*($E23:$E$67=$D22)),IF(ISNUMBER(Data_2014_N!AH22),100*ABS($G22-(Data_2014_N!AH22-$K22)/$M22),0),IF(ISNUMBER(Data_2014_N!AH22),100*ABS($G22-(Data_2014_N!AH22-$K22)/$M22),0)))</f>
        <v>40.3744318892549</v>
      </c>
      <c r="AO22" s="161">
        <f>IF($H22=0,0,CHOOSE($H22,SUMPRODUCT($O23:$O$67*AO23:AO$67*($E23:$E$67=$D22)),IF(ISNUMBER(Data_2014_N!AI22),100*ABS($G22-(Data_2014_N!AI22-$K22)/$M22),0),IF(ISNUMBER(Data_2014_N!AI22),100*ABS($G22-(Data_2014_N!AI22-$K22)/$M22),0)))</f>
        <v>7.93478714089147</v>
      </c>
      <c r="AP22" s="161">
        <f>IF($H22=0,0,CHOOSE($H22,SUMPRODUCT($O23:$O$67*AP23:AP$67*($E23:$E$67=$D22)),IF(ISNUMBER(Data_2014_N!AJ22),100*ABS($G22-(Data_2014_N!AJ22-$K22)/$M22),0),IF(ISNUMBER(Data_2014_N!AJ22),100*ABS($G22-(Data_2014_N!AJ22-$K22)/$M22),0)))</f>
        <v>12.8549389150648</v>
      </c>
      <c r="AQ22" s="161">
        <f>IF($H22=0,0,CHOOSE($H22,SUMPRODUCT($O23:$O$67*AQ23:AQ$67*($E23:$E$67=$D22)),IF(ISNUMBER(Data_2014_N!AK22),100*ABS($G22-(Data_2014_N!AK22-$K22)/$M22),0),IF(ISNUMBER(Data_2014_N!AK22),100*ABS($G22-(Data_2014_N!AK22-$K22)/$M22),0)))</f>
        <v>42.8762039778176</v>
      </c>
      <c r="AR22" s="161">
        <f>IF($H22=0,0,CHOOSE($H22,SUMPRODUCT($O23:$O$67*AR23:AR$67*($E23:$E$67=$D22)),IF(ISNUMBER(Data_2014_N!AL22),100*ABS($G22-(Data_2014_N!AL22-$K22)/$M22),0),IF(ISNUMBER(Data_2014_N!AL22),100*ABS($G22-(Data_2014_N!AL22-$K22)/$M22),0)))</f>
        <v>29.5751157069591</v>
      </c>
      <c r="AS22" s="161">
        <f>IF($H22=0,0,CHOOSE($H22,SUMPRODUCT($O23:$O$67*AS23:AS$67*($E23:$E$67=$D22)),IF(ISNUMBER(Data_2014_N!AM22),100*ABS($G22-(Data_2014_N!AM22-$K22)/$M22),0),IF(ISNUMBER(Data_2014_N!AM22),100*ABS($G22-(Data_2014_N!AM22-$K22)/$M22),0)))</f>
        <v>7.85139473793937</v>
      </c>
      <c r="AT22" s="161">
        <f>IF($H22=0,0,CHOOSE($H22,SUMPRODUCT($O23:$O$67*AT23:AT$67*($E23:$E$67=$D22)),IF(ISNUMBER(Data_2014_N!AN22),100*ABS($G22-(Data_2014_N!AN22-$K22)/$M22),0),IF(ISNUMBER(Data_2014_N!AN22),100*ABS($G22-(Data_2014_N!AN22-$K22)/$M22),0)))</f>
        <v>9.14397698369678</v>
      </c>
      <c r="AU22" s="161">
        <f>IF($H22=0,0,CHOOSE($H22,SUMPRODUCT($O23:$O$67*AU23:AU$67*($E23:$E$67=$D22)),IF(ISNUMBER(Data_2014_N!AO22),100*ABS($G22-(Data_2014_N!AO22-$K22)/$M22),0),IF(ISNUMBER(Data_2014_N!AO22),100*ABS($G22-(Data_2014_N!AO22-$K22)/$M22),0)))</f>
        <v>17.8584830921903</v>
      </c>
      <c r="AV22" s="161">
        <f>IF($H22=0,0,CHOOSE($H22,SUMPRODUCT($O23:$O$67*AV23:AV$67*($E23:$E$67=$D22)),IF(ISNUMBER(Data_2014_N!AP22),100*ABS($G22-(Data_2014_N!AP22-$K22)/$M22),0),IF(ISNUMBER(Data_2014_N!AP22),100*ABS($G22-(Data_2014_N!AP22-$K22)/$M22),0)))</f>
        <v>12.4379769003044</v>
      </c>
      <c r="AW22" s="161">
        <f>IF($H22=0,0,CHOOSE($H22,SUMPRODUCT($O23:$O$67*AW23:AW$67*($E23:$E$67=$D22)),IF(ISNUMBER(Data_2014_N!AQ22),100*ABS($G22-(Data_2014_N!AQ22-$K22)/$M22),0),IF(ISNUMBER(Data_2014_N!AQ22),100*ABS($G22-(Data_2014_N!AQ22-$K22)/$M22),0)))</f>
        <v>8.68531876746028</v>
      </c>
      <c r="AX22" s="161">
        <f>IF($H22=0,0,CHOOSE($H22,SUMPRODUCT($O23:$O$67*AX23:AX$67*($E23:$E$67=$D22)),IF(ISNUMBER(Data_2014_N!AR22),100*ABS($G22-(Data_2014_N!AR22-$K22)/$M22),0),IF(ISNUMBER(Data_2014_N!AR22),100*ABS($G22-(Data_2014_N!AR22-$K22)/$M22),0)))</f>
        <v>10.7701288412626</v>
      </c>
      <c r="AY22" s="161">
        <f>IF($H22=0,0,CHOOSE($H22,SUMPRODUCT($O23:$O$67*AY23:AY$67*($E23:$E$67=$D22)),IF(ISNUMBER(Data_2014_N!AS22),100*ABS($G22-(Data_2014_N!AS22-$K22)/$M22),0),IF(ISNUMBER(Data_2014_N!AS22),100*ABS($G22-(Data_2014_N!AS22-$K22)/$M22),0)))</f>
        <v>19.9432931659926</v>
      </c>
      <c r="AZ22" s="161">
        <f>IF($H22=0,0,CHOOSE($H22,SUMPRODUCT($O23:$O$67*AZ23:AZ$67*($E23:$E$67=$D22)),IF(ISNUMBER(Data_2014_N!AT22),100*ABS($G22-(Data_2014_N!AT22-$K22)/$M22),0),IF(ISNUMBER(Data_2014_N!AT22),100*ABS($G22-(Data_2014_N!AT22-$K22)/$M22),0)))</f>
        <v>19.1510653379477</v>
      </c>
      <c r="BA22" s="161">
        <f>IF($H22=0,0,CHOOSE($H22,SUMPRODUCT($O23:$O$67*BA23:BA$67*($E23:$E$67=$D22)),IF(ISNUMBER(Data_2014_N!AU22),100*ABS($G22-(Data_2014_N!AU22-$K22)/$M22),0),IF(ISNUMBER(Data_2014_N!AU22),100*ABS($G22-(Data_2014_N!AU22-$K22)/$M22),0)))</f>
        <v>8.26835675269983</v>
      </c>
      <c r="BB22" s="161">
        <f>IF($H22=0,0,CHOOSE($H22,SUMPRODUCT($O23:$O$67*BB23:BB$67*($E23:$E$67=$D22)),IF(ISNUMBER(Data_2014_N!AV22),100*ABS($G22-(Data_2014_N!AV22-$K22)/$M22),0),IF(ISNUMBER(Data_2014_N!AV22),100*ABS($G22-(Data_2014_N!AV22-$K22)/$M22),0)))</f>
        <v>100</v>
      </c>
      <c r="BC22" s="161">
        <f>IF($H22=0,0,CHOOSE($H22,SUMPRODUCT($O23:$O$67*BC23:BC$67*($E23:$E$67=$D22)),IF(ISNUMBER(Data_2014_N!AW22),100*ABS($G22-(Data_2014_N!AW22-$K22)/$M22),0),IF(ISNUMBER(Data_2014_N!AW22),100*ABS($G22-(Data_2014_N!AW22-$K22)/$M22),0)))</f>
        <v>12.3962806988283</v>
      </c>
      <c r="BD22" s="161">
        <f>IF($H22=0,0,CHOOSE($H22,SUMPRODUCT($O23:$O$67*BD23:BD$67*($E23:$E$67=$D22)),IF(ISNUMBER(Data_2014_N!AX22),100*ABS($G22-(Data_2014_N!AX22-$K22)/$M22),0),IF(ISNUMBER(Data_2014_N!AX22),100*ABS($G22-(Data_2014_N!AX22-$K22)/$M22),0)))</f>
        <v>34.1200016678481</v>
      </c>
      <c r="BE22" s="161">
        <f>IF($H22=0,0,CHOOSE($H22,SUMPRODUCT($O23:$O$67*BE23:BE$67*($E23:$E$67=$D22)),IF(ISNUMBER(Data_2014_N!AY22),100*ABS($G22-(Data_2014_N!AY22-$K22)/$M22),0),IF(ISNUMBER(Data_2014_N!AY22),100*ABS($G22-(Data_2014_N!AY22-$K22)/$M22),0)))</f>
        <v>0.346078472251178</v>
      </c>
      <c r="BF22" s="161">
        <f>IF($H22=0,0,CHOOSE($H22,SUMPRODUCT($O23:$O$67*BF23:BF$67*($E23:$E$67=$D22)),IF(ISNUMBER(Data_2014_N!AZ22),100*ABS($G22-(Data_2014_N!AZ22-$K22)/$M22),0),IF(ISNUMBER(Data_2014_N!AZ22),100*ABS($G22-(Data_2014_N!AZ22-$K22)/$M22),0)))</f>
        <v>34.8705332944169</v>
      </c>
      <c r="BG22" s="161">
        <f>IF($H22=0,0,CHOOSE($H22,SUMPRODUCT($O23:$O$67*BG23:BG$67*($E23:$E$67=$D22)),IF(ISNUMBER(Data_2014_N!BA22),100*ABS($G22-(Data_2014_N!BA22-$K22)/$M22),0),IF(ISNUMBER(Data_2014_N!BA22),100*ABS($G22-(Data_2014_N!BA22-$K22)/$M22),0)))</f>
        <v>10.3531668265021</v>
      </c>
      <c r="BH22" s="161">
        <f>IF($H22=0,0,CHOOSE($H22,SUMPRODUCT($O23:$O$67*BH23:BH$67*($E23:$E$67=$D22)),IF(ISNUMBER(Data_2014_N!BB22),100*ABS($G22-(Data_2014_N!BB22-$K22)/$M22),0),IF(ISNUMBER(Data_2014_N!BB22),100*ABS($G22-(Data_2014_N!BB22-$K22)/$M22),0)))</f>
        <v>24.5298753283576</v>
      </c>
      <c r="BI22" s="161">
        <f>IF($H22=0,0,CHOOSE($H22,SUMPRODUCT($O23:$O$67*BI23:BI$67*($E23:$E$67=$D22)),IF(ISNUMBER(Data_2014_N!BC22),100*ABS($G22-(Data_2014_N!BC22-$K22)/$M22),0),IF(ISNUMBER(Data_2014_N!BC22),100*ABS($G22-(Data_2014_N!BC22-$K22)/$M22),0)))</f>
        <v>18.2754451069508</v>
      </c>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row>
    <row r="23" s="69" customFormat="1" ht="24.95" customHeight="1" spans="1:115">
      <c r="A23" s="92"/>
      <c r="B23" s="92">
        <f>tblIndicators!A19</f>
        <v>18</v>
      </c>
      <c r="C23" s="92">
        <f>tblIndicators!B19</f>
        <v>0</v>
      </c>
      <c r="D23" s="92" t="str">
        <f>tblIndicators!D19</f>
        <v>HESE2.1.4</v>
      </c>
      <c r="E23" s="92" t="str">
        <f>tblIndicators!E19</f>
        <v>HESE2.1</v>
      </c>
      <c r="F23" s="92">
        <f>tblIndicators!F19</f>
        <v>3</v>
      </c>
      <c r="G23" s="92">
        <f>tblIndicators!Y19</f>
        <v>0</v>
      </c>
      <c r="H23" s="92">
        <f>tblIndicators!Z19</f>
        <v>2</v>
      </c>
      <c r="I23" s="104">
        <f>tblIndicators!AA19</f>
        <v>0</v>
      </c>
      <c r="J23" s="92">
        <f>tblIndicators!AB19</f>
        <v>0</v>
      </c>
      <c r="K23" s="92">
        <f>CHOOSE(H23,"-",MIN(Data_2014_N!J23:BC23),I23)</f>
        <v>0.3</v>
      </c>
      <c r="L23" s="165">
        <f>CHOOSE(H23,"-",MAX(Data_2014_N!J23:BC23),J23)</f>
        <v>17.7</v>
      </c>
      <c r="M23" s="92">
        <f t="shared" si="1"/>
        <v>17.4</v>
      </c>
      <c r="N23" s="168" t="str">
        <f>REPT(" ",F23)&amp;tblIndicators!AE19</f>
        <v>   2.1.4) No. of doctors per 1,000</v>
      </c>
      <c r="O23" s="169">
        <f>tblIndicators!AD19</f>
        <v>0.166666666666667</v>
      </c>
      <c r="P23" s="161">
        <f>IF($H23=0,0,CHOOSE($H23,SUMPRODUCT($O24:$O$67*P24:P$67*($E24:$E$67=$D23)),IF(ISNUMBER(Data_2014_N!J23),100*ABS($G23-(Data_2014_N!J23-$K23)/$M23),0),IF(ISNUMBER(Data_2014_N!J23),100*ABS($G23-(Data_2014_N!J23-$K23)/$M23),0)))</f>
        <v>11.4942528735632</v>
      </c>
      <c r="Q23" s="161">
        <f>IF($H23=0,0,CHOOSE($H23,SUMPRODUCT($O24:$O$67*Q24:Q$67*($E24:$E$67=$D23)),IF(ISNUMBER(Data_2014_N!K23),100*ABS($G23-(Data_2014_N!K23-$K23)/$M23),0),IF(ISNUMBER(Data_2014_N!K23),100*ABS($G23-(Data_2014_N!K23-$K23)/$M23),0)))</f>
        <v>14.9425287356322</v>
      </c>
      <c r="R23" s="161">
        <f>IF($H23=0,0,CHOOSE($H23,SUMPRODUCT($O24:$O$67*R24:R$67*($E24:$E$67=$D23)),IF(ISNUMBER(Data_2014_N!L23),100*ABS($G23-(Data_2014_N!L23-$K23)/$M23),0),IF(ISNUMBER(Data_2014_N!L23),100*ABS($G23-(Data_2014_N!L23-$K23)/$M23),0)))</f>
        <v>0</v>
      </c>
      <c r="S23" s="161">
        <f>IF($H23=0,0,CHOOSE($H23,SUMPRODUCT($O24:$O$67*S24:S$67*($E24:$E$67=$D23)),IF(ISNUMBER(Data_2014_N!M23),100*ABS($G23-(Data_2014_N!M23-$K23)/$M23),0),IF(ISNUMBER(Data_2014_N!M23),100*ABS($G23-(Data_2014_N!M23-$K23)/$M23),0)))</f>
        <v>25.2873563218391</v>
      </c>
      <c r="T23" s="161">
        <f>IF($H23=0,0,CHOOSE($H23,SUMPRODUCT($O24:$O$67*T24:T$67*($E24:$E$67=$D23)),IF(ISNUMBER(Data_2014_N!N23),100*ABS($G23-(Data_2014_N!N23-$K23)/$M23),0),IF(ISNUMBER(Data_2014_N!N23),100*ABS($G23-(Data_2014_N!N23-$K23)/$M23),0)))</f>
        <v>18.9080459770115</v>
      </c>
      <c r="U23" s="161">
        <f>IF($H23=0,0,CHOOSE($H23,SUMPRODUCT($O24:$O$67*U24:U$67*($E24:$E$67=$D23)),IF(ISNUMBER(Data_2014_N!O23),100*ABS($G23-(Data_2014_N!O23-$K23)/$M23),0),IF(ISNUMBER(Data_2014_N!O23),100*ABS($G23-(Data_2014_N!O23-$K23)/$M23),0)))</f>
        <v>31.0344827586207</v>
      </c>
      <c r="V23" s="161">
        <f>IF($H23=0,0,CHOOSE($H23,SUMPRODUCT($O24:$O$67*V24:V$67*($E24:$E$67=$D23)),IF(ISNUMBER(Data_2014_N!P23),100*ABS($G23-(Data_2014_N!P23-$K23)/$M23),0),IF(ISNUMBER(Data_2014_N!P23),100*ABS($G23-(Data_2014_N!P23-$K23)/$M23),0)))</f>
        <v>16.6666666666667</v>
      </c>
      <c r="W23" s="161">
        <f>IF($H23=0,0,CHOOSE($H23,SUMPRODUCT($O24:$O$67*W24:W$67*($E24:$E$67=$D23)),IF(ISNUMBER(Data_2014_N!Q23),100*ABS($G23-(Data_2014_N!Q23-$K23)/$M23),0),IF(ISNUMBER(Data_2014_N!Q23),100*ABS($G23-(Data_2014_N!Q23-$K23)/$M23),0)))</f>
        <v>13.3908045977012</v>
      </c>
      <c r="X23" s="161">
        <f>IF($H23=0,0,CHOOSE($H23,SUMPRODUCT($O24:$O$67*X24:X$67*($E24:$E$67=$D23)),IF(ISNUMBER(Data_2014_N!R23),100*ABS($G23-(Data_2014_N!R23-$K23)/$M23),0),IF(ISNUMBER(Data_2014_N!R23),100*ABS($G23-(Data_2014_N!R23-$K23)/$M23),0)))</f>
        <v>16.0919540229885</v>
      </c>
      <c r="Y23" s="161">
        <f>IF($H23=0,0,CHOOSE($H23,SUMPRODUCT($O24:$O$67*Y24:Y$67*($E24:$E$67=$D23)),IF(ISNUMBER(Data_2014_N!S23),100*ABS($G23-(Data_2014_N!S23-$K23)/$M23),0),IF(ISNUMBER(Data_2014_N!S23),100*ABS($G23-(Data_2014_N!S23-$K23)/$M23),0)))</f>
        <v>46.2068965517241</v>
      </c>
      <c r="Z23" s="161">
        <f>IF($H23=0,0,CHOOSE($H23,SUMPRODUCT($O24:$O$67*Z24:Z$67*($E24:$E$67=$D23)),IF(ISNUMBER(Data_2014_N!T23),100*ABS($G23-(Data_2014_N!T23-$K23)/$M23),0),IF(ISNUMBER(Data_2014_N!T23),100*ABS($G23-(Data_2014_N!T23-$K23)/$M23),0)))</f>
        <v>19.4827586206897</v>
      </c>
      <c r="AA23" s="161">
        <f>IF($H23=0,0,CHOOSE($H23,SUMPRODUCT($O24:$O$67*AA24:AA$67*($E24:$E$67=$D23)),IF(ISNUMBER(Data_2014_N!U23),100*ABS($G23-(Data_2014_N!U23-$K23)/$M23),0),IF(ISNUMBER(Data_2014_N!U23),100*ABS($G23-(Data_2014_N!U23-$K23)/$M23),0)))</f>
        <v>5.28735632183908</v>
      </c>
      <c r="AB23" s="161">
        <f>IF($H23=0,0,CHOOSE($H23,SUMPRODUCT($O24:$O$67*AB24:AB$67*($E24:$E$67=$D23)),IF(ISNUMBER(Data_2014_N!V23),100*ABS($G23-(Data_2014_N!V23-$K23)/$M23),0),IF(ISNUMBER(Data_2014_N!V23),100*ABS($G23-(Data_2014_N!V23-$K23)/$M23),0)))</f>
        <v>8.85057471264368</v>
      </c>
      <c r="AC23" s="161">
        <f>IF($H23=0,0,CHOOSE($H23,SUMPRODUCT($O24:$O$67*AC24:AC$67*($E24:$E$67=$D23)),IF(ISNUMBER(Data_2014_N!W23),100*ABS($G23-(Data_2014_N!W23-$K23)/$M23),0),IF(ISNUMBER(Data_2014_N!W23),100*ABS($G23-(Data_2014_N!W23-$K23)/$M23),0)))</f>
        <v>3.67816091954023</v>
      </c>
      <c r="AD23" s="161">
        <f>IF($H23=0,0,CHOOSE($H23,SUMPRODUCT($O24:$O$67*AD24:AD$67*($E24:$E$67=$D23)),IF(ISNUMBER(Data_2014_N!X23),100*ABS($G23-(Data_2014_N!X23-$K23)/$M23),0),IF(ISNUMBER(Data_2014_N!X23),100*ABS($G23-(Data_2014_N!X23-$K23)/$M23),0)))</f>
        <v>0</v>
      </c>
      <c r="AE23" s="161">
        <f>IF($H23=0,0,CHOOSE($H23,SUMPRODUCT($O24:$O$67*AE24:AE$67*($E24:$E$67=$D23)),IF(ISNUMBER(Data_2014_N!Y23),100*ABS($G23-(Data_2014_N!Y23-$K23)/$M23),0),IF(ISNUMBER(Data_2014_N!Y23),100*ABS($G23-(Data_2014_N!Y23-$K23)/$M23),0)))</f>
        <v>1.72413793103448</v>
      </c>
      <c r="AF23" s="161">
        <f>IF($H23=0,0,CHOOSE($H23,SUMPRODUCT($O24:$O$67*AF24:AF$67*($E24:$E$67=$D23)),IF(ISNUMBER(Data_2014_N!Z23),100*ABS($G23-(Data_2014_N!Z23-$K23)/$M23),0),IF(ISNUMBER(Data_2014_N!Z23),100*ABS($G23-(Data_2014_N!Z23-$K23)/$M23),0)))</f>
        <v>10.7471264367816</v>
      </c>
      <c r="AG23" s="161">
        <f>IF($H23=0,0,CHOOSE($H23,SUMPRODUCT($O24:$O$67*AG24:AG$67*($E24:$E$67=$D23)),IF(ISNUMBER(Data_2014_N!AA23),100*ABS($G23-(Data_2014_N!AA23-$K23)/$M23),0),IF(ISNUMBER(Data_2014_N!AA23),100*ABS($G23-(Data_2014_N!AA23-$K23)/$M23),0)))</f>
        <v>4.59770114942529</v>
      </c>
      <c r="AH23" s="161">
        <f>IF($H23=0,0,CHOOSE($H23,SUMPRODUCT($O24:$O$67*AH24:AH$67*($E24:$E$67=$D23)),IF(ISNUMBER(Data_2014_N!AB23),100*ABS($G23-(Data_2014_N!AB23-$K23)/$M23),0),IF(ISNUMBER(Data_2014_N!AB23),100*ABS($G23-(Data_2014_N!AB23-$K23)/$M23),0)))</f>
        <v>18.2758620689655</v>
      </c>
      <c r="AI23" s="161">
        <f>IF($H23=0,0,CHOOSE($H23,SUMPRODUCT($O24:$O$67*AI24:AI$67*($E24:$E$67=$D23)),IF(ISNUMBER(Data_2014_N!AC23),100*ABS($G23-(Data_2014_N!AC23-$K23)/$M23),0),IF(ISNUMBER(Data_2014_N!AC23),100*ABS($G23-(Data_2014_N!AC23-$K23)/$M23),0)))</f>
        <v>13.1034482758621</v>
      </c>
      <c r="AJ23" s="161">
        <f>IF($H23=0,0,CHOOSE($H23,SUMPRODUCT($O24:$O$67*AJ24:AJ$67*($E24:$E$67=$D23)),IF(ISNUMBER(Data_2014_N!AD23),100*ABS($G23-(Data_2014_N!AD23-$K23)/$M23),0),IF(ISNUMBER(Data_2014_N!AD23),100*ABS($G23-(Data_2014_N!AD23-$K23)/$M23),0)))</f>
        <v>27.4137931034483</v>
      </c>
      <c r="AK23" s="161">
        <f>IF($H23=0,0,CHOOSE($H23,SUMPRODUCT($O24:$O$67*AK24:AK$67*($E24:$E$67=$D23)),IF(ISNUMBER(Data_2014_N!AE23),100*ABS($G23-(Data_2014_N!AE23-$K23)/$M23),0),IF(ISNUMBER(Data_2014_N!AE23),100*ABS($G23-(Data_2014_N!AE23-$K23)/$M23),0)))</f>
        <v>17.4137931034483</v>
      </c>
      <c r="AL23" s="161">
        <f>IF($H23=0,0,CHOOSE($H23,SUMPRODUCT($O24:$O$67*AL24:AL$67*($E24:$E$67=$D23)),IF(ISNUMBER(Data_2014_N!AF23),100*ABS($G23-(Data_2014_N!AF23-$K23)/$M23),0),IF(ISNUMBER(Data_2014_N!AF23),100*ABS($G23-(Data_2014_N!AF23-$K23)/$M23),0)))</f>
        <v>12.6436781609195</v>
      </c>
      <c r="AM23" s="161">
        <f>IF($H23=0,0,CHOOSE($H23,SUMPRODUCT($O24:$O$67*AM24:AM$67*($E24:$E$67=$D23)),IF(ISNUMBER(Data_2014_N!AG23),100*ABS($G23-(Data_2014_N!AG23-$K23)/$M23),0),IF(ISNUMBER(Data_2014_N!AG23),100*ABS($G23-(Data_2014_N!AG23-$K23)/$M23),0)))</f>
        <v>5.91954022988506</v>
      </c>
      <c r="AN23" s="161">
        <f>IF($H23=0,0,CHOOSE($H23,SUMPRODUCT($O24:$O$67*AN24:AN$67*($E24:$E$67=$D23)),IF(ISNUMBER(Data_2014_N!AH23),100*ABS($G23-(Data_2014_N!AH23-$K23)/$M23),0),IF(ISNUMBER(Data_2014_N!AH23),100*ABS($G23-(Data_2014_N!AH23-$K23)/$M23),0)))</f>
        <v>20.6896551724138</v>
      </c>
      <c r="AO23" s="161">
        <f>IF($H23=0,0,CHOOSE($H23,SUMPRODUCT($O24:$O$67*AO24:AO$67*($E24:$E$67=$D23)),IF(ISNUMBER(Data_2014_N!AI23),100*ABS($G23-(Data_2014_N!AI23-$K23)/$M23),0),IF(ISNUMBER(Data_2014_N!AI23),100*ABS($G23-(Data_2014_N!AI23-$K23)/$M23),0)))</f>
        <v>1.37931034482759</v>
      </c>
      <c r="AP23" s="161">
        <f>IF($H23=0,0,CHOOSE($H23,SUMPRODUCT($O24:$O$67*AP24:AP$67*($E24:$E$67=$D23)),IF(ISNUMBER(Data_2014_N!AJ23),100*ABS($G23-(Data_2014_N!AJ23-$K23)/$M23),0),IF(ISNUMBER(Data_2014_N!AJ23),100*ABS($G23-(Data_2014_N!AJ23-$K23)/$M23),0)))</f>
        <v>18.2758620689655</v>
      </c>
      <c r="AQ23" s="161">
        <f>IF($H23=0,0,CHOOSE($H23,SUMPRODUCT($O24:$O$67*AQ24:AQ$67*($E24:$E$67=$D23)),IF(ISNUMBER(Data_2014_N!AK23),100*ABS($G23-(Data_2014_N!AK23-$K23)/$M23),0),IF(ISNUMBER(Data_2014_N!AK23),100*ABS($G23-(Data_2014_N!AK23-$K23)/$M23),0)))</f>
        <v>27.0114942528736</v>
      </c>
      <c r="AR23" s="161">
        <f>IF($H23=0,0,CHOOSE($H23,SUMPRODUCT($O24:$O$67*AR24:AR$67*($E24:$E$67=$D23)),IF(ISNUMBER(Data_2014_N!AL23),100*ABS($G23-(Data_2014_N!AL23-$K23)/$M23),0),IF(ISNUMBER(Data_2014_N!AL23),100*ABS($G23-(Data_2014_N!AL23-$K23)/$M23),0)))</f>
        <v>18.3908045977012</v>
      </c>
      <c r="AS23" s="161">
        <f>IF($H23=0,0,CHOOSE($H23,SUMPRODUCT($O24:$O$67*AS24:AS$67*($E24:$E$67=$D23)),IF(ISNUMBER(Data_2014_N!AM23),100*ABS($G23-(Data_2014_N!AM23-$K23)/$M23),0),IF(ISNUMBER(Data_2014_N!AM23),100*ABS($G23-(Data_2014_N!AM23-$K23)/$M23),0)))</f>
        <v>18.9655172413793</v>
      </c>
      <c r="AT23" s="161">
        <f>IF($H23=0,0,CHOOSE($H23,SUMPRODUCT($O24:$O$67*AT24:AT$67*($E24:$E$67=$D23)),IF(ISNUMBER(Data_2014_N!AN23),100*ABS($G23-(Data_2014_N!AN23-$K23)/$M23),0),IF(ISNUMBER(Data_2014_N!AN23),100*ABS($G23-(Data_2014_N!AN23-$K23)/$M23),0)))</f>
        <v>10.9195402298851</v>
      </c>
      <c r="AU23" s="161">
        <f>IF($H23=0,0,CHOOSE($H23,SUMPRODUCT($O24:$O$67*AU24:AU$67*($E24:$E$67=$D23)),IF(ISNUMBER(Data_2014_N!AO23),100*ABS($G23-(Data_2014_N!AO23-$K23)/$M23),0),IF(ISNUMBER(Data_2014_N!AO23),100*ABS($G23-(Data_2014_N!AO23-$K23)/$M23),0)))</f>
        <v>21.8390804597701</v>
      </c>
      <c r="AV23" s="161">
        <f>IF($H23=0,0,CHOOSE($H23,SUMPRODUCT($O24:$O$67*AV24:AV$67*($E24:$E$67=$D23)),IF(ISNUMBER(Data_2014_N!AP23),100*ABS($G23-(Data_2014_N!AP23-$K23)/$M23),0),IF(ISNUMBER(Data_2014_N!AP23),100*ABS($G23-(Data_2014_N!AP23-$K23)/$M23),0)))</f>
        <v>12.0114942528736</v>
      </c>
      <c r="AW23" s="161">
        <f>IF($H23=0,0,CHOOSE($H23,SUMPRODUCT($O24:$O$67*AW24:AW$67*($E24:$E$67=$D23)),IF(ISNUMBER(Data_2014_N!AQ23),100*ABS($G23-(Data_2014_N!AQ23-$K23)/$M23),0),IF(ISNUMBER(Data_2014_N!AQ23),100*ABS($G23-(Data_2014_N!AQ23-$K23)/$M23),0)))</f>
        <v>4.08045977011494</v>
      </c>
      <c r="AX23" s="161">
        <f>IF($H23=0,0,CHOOSE($H23,SUMPRODUCT($O24:$O$67*AX24:AX$67*($E24:$E$67=$D23)),IF(ISNUMBER(Data_2014_N!AR23),100*ABS($G23-(Data_2014_N!AR23-$K23)/$M23),0),IF(ISNUMBER(Data_2014_N!AR23),100*ABS($G23-(Data_2014_N!AR23-$K23)/$M23),0)))</f>
        <v>21.264367816092</v>
      </c>
      <c r="AY23" s="161">
        <f>IF($H23=0,0,CHOOSE($H23,SUMPRODUCT($O24:$O$67*AY24:AY$67*($E24:$E$67=$D23)),IF(ISNUMBER(Data_2014_N!AS23),100*ABS($G23-(Data_2014_N!AS23-$K23)/$M23),0),IF(ISNUMBER(Data_2014_N!AS23),100*ABS($G23-(Data_2014_N!AS23-$K23)/$M23),0)))</f>
        <v>18.3333333333333</v>
      </c>
      <c r="AZ23" s="161">
        <f>IF($H23=0,0,CHOOSE($H23,SUMPRODUCT($O24:$O$67*AZ24:AZ$67*($E24:$E$67=$D23)),IF(ISNUMBER(Data_2014_N!AT23),100*ABS($G23-(Data_2014_N!AT23-$K23)/$M23),0),IF(ISNUMBER(Data_2014_N!AT23),100*ABS($G23-(Data_2014_N!AT23-$K23)/$M23),0)))</f>
        <v>11.7241379310345</v>
      </c>
      <c r="BA23" s="161">
        <f>IF($H23=0,0,CHOOSE($H23,SUMPRODUCT($O24:$O$67*BA24:BA$67*($E24:$E$67=$D23)),IF(ISNUMBER(Data_2014_N!AU23),100*ABS($G23-(Data_2014_N!AU23-$K23)/$M23),0),IF(ISNUMBER(Data_2014_N!AU23),100*ABS($G23-(Data_2014_N!AU23-$K23)/$M23),0)))</f>
        <v>7.47126436781609</v>
      </c>
      <c r="BB23" s="161">
        <f>IF($H23=0,0,CHOOSE($H23,SUMPRODUCT($O24:$O$67*BB24:BB$67*($E24:$E$67=$D23)),IF(ISNUMBER(Data_2014_N!AV23),100*ABS($G23-(Data_2014_N!AV23-$K23)/$M23),0),IF(ISNUMBER(Data_2014_N!AV23),100*ABS($G23-(Data_2014_N!AV23-$K23)/$M23),0)))</f>
        <v>24.367816091954</v>
      </c>
      <c r="BC23" s="161">
        <f>IF($H23=0,0,CHOOSE($H23,SUMPRODUCT($O24:$O$67*BC24:BC$67*($E24:$E$67=$D23)),IF(ISNUMBER(Data_2014_N!AW23),100*ABS($G23-(Data_2014_N!AW23-$K23)/$M23),0),IF(ISNUMBER(Data_2014_N!AW23),100*ABS($G23-(Data_2014_N!AW23-$K23)/$M23),0)))</f>
        <v>16.0344827586207</v>
      </c>
      <c r="BD23" s="161">
        <f>IF($H23=0,0,CHOOSE($H23,SUMPRODUCT($O24:$O$67*BD24:BD$67*($E24:$E$67=$D23)),IF(ISNUMBER(Data_2014_N!AX23),100*ABS($G23-(Data_2014_N!AX23-$K23)/$M23),0),IF(ISNUMBER(Data_2014_N!AX23),100*ABS($G23-(Data_2014_N!AX23-$K23)/$M23),0)))</f>
        <v>100</v>
      </c>
      <c r="BE23" s="161">
        <f>IF($H23=0,0,CHOOSE($H23,SUMPRODUCT($O24:$O$67*BE24:BE$67*($E24:$E$67=$D23)),IF(ISNUMBER(Data_2014_N!AY23),100*ABS($G23-(Data_2014_N!AY23-$K23)/$M23),0),IF(ISNUMBER(Data_2014_N!AY23),100*ABS($G23-(Data_2014_N!AY23-$K23)/$M23),0)))</f>
        <v>3.39080459770115</v>
      </c>
      <c r="BF23" s="161">
        <f>IF($H23=0,0,CHOOSE($H23,SUMPRODUCT($O24:$O$67*BF24:BF$67*($E24:$E$67=$D23)),IF(ISNUMBER(Data_2014_N!AZ23),100*ABS($G23-(Data_2014_N!AZ23-$K23)/$M23),0),IF(ISNUMBER(Data_2014_N!AZ23),100*ABS($G23-(Data_2014_N!AZ23-$K23)/$M23),0)))</f>
        <v>15.7471264367816</v>
      </c>
      <c r="BG23" s="161">
        <f>IF($H23=0,0,CHOOSE($H23,SUMPRODUCT($O24:$O$67*BG24:BG$67*($E24:$E$67=$D23)),IF(ISNUMBER(Data_2014_N!BA23),100*ABS($G23-(Data_2014_N!BA23-$K23)/$M23),0),IF(ISNUMBER(Data_2014_N!BA23),100*ABS($G23-(Data_2014_N!BA23-$K23)/$M23),0)))</f>
        <v>3.44827586206897</v>
      </c>
      <c r="BH23" s="161">
        <f>IF($H23=0,0,CHOOSE($H23,SUMPRODUCT($O24:$O$67*BH24:BH$67*($E24:$E$67=$D23)),IF(ISNUMBER(Data_2014_N!BB23),100*ABS($G23-(Data_2014_N!BB23-$K23)/$M23),0),IF(ISNUMBER(Data_2014_N!BB23),100*ABS($G23-(Data_2014_N!BB23-$K23)/$M23),0)))</f>
        <v>42.183908045977</v>
      </c>
      <c r="BI23" s="161">
        <f>IF($H23=0,0,CHOOSE($H23,SUMPRODUCT($O24:$O$67*BI24:BI$67*($E24:$E$67=$D23)),IF(ISNUMBER(Data_2014_N!BC23),100*ABS($G23-(Data_2014_N!BC23-$K23)/$M23),0),IF(ISNUMBER(Data_2014_N!BC23),100*ABS($G23-(Data_2014_N!BC23-$K23)/$M23),0)))</f>
        <v>25</v>
      </c>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row>
    <row r="24" s="69" customFormat="1" ht="24.95" customHeight="1" spans="1:115">
      <c r="A24" s="92"/>
      <c r="B24" s="92">
        <f>tblIndicators!A20</f>
        <v>19</v>
      </c>
      <c r="C24" s="92">
        <f>tblIndicators!B20</f>
        <v>0</v>
      </c>
      <c r="D24" s="92" t="str">
        <f>tblIndicators!D20</f>
        <v>HESE2.1.5</v>
      </c>
      <c r="E24" s="92" t="str">
        <f>tblIndicators!E20</f>
        <v>HESE2.1</v>
      </c>
      <c r="F24" s="92">
        <f>tblIndicators!F20</f>
        <v>3</v>
      </c>
      <c r="G24" s="92">
        <f>tblIndicators!Y20</f>
        <v>0</v>
      </c>
      <c r="H24" s="92">
        <f>tblIndicators!Z20</f>
        <v>3</v>
      </c>
      <c r="I24" s="104">
        <f>tblIndicators!AA20</f>
        <v>0</v>
      </c>
      <c r="J24" s="92">
        <f>tblIndicators!AB20</f>
        <v>100</v>
      </c>
      <c r="K24" s="92">
        <f>CHOOSE(H24,"-",MIN(Data_2014_N!J24:BC24),I24)</f>
        <v>0</v>
      </c>
      <c r="L24" s="165">
        <f>CHOOSE(H24,"-",MAX(Data_2014_N!J24:BC24),J24)</f>
        <v>100</v>
      </c>
      <c r="M24" s="92">
        <f t="shared" si="1"/>
        <v>100</v>
      </c>
      <c r="N24" s="168" t="str">
        <f>REPT(" ",F24)&amp;tblIndicators!AE20</f>
        <v>   2.1.5) Access to safe and quality food</v>
      </c>
      <c r="O24" s="169">
        <f>tblIndicators!AD20</f>
        <v>0.166666666666667</v>
      </c>
      <c r="P24" s="161">
        <f>IF($H24=0,0,CHOOSE($H24,SUMPRODUCT($O25:$O$67*P25:P$67*($E25:$E$67=$D24)),IF(ISNUMBER(Data_2014_N!J24),100*ABS($G24-(Data_2014_N!J24-$K24)/$M24),0),IF(ISNUMBER(Data_2014_N!J24),100*ABS($G24-(Data_2014_N!J24-$K24)/$M24),0)))</f>
        <v>99.7</v>
      </c>
      <c r="Q24" s="161">
        <f>IF($H24=0,0,CHOOSE($H24,SUMPRODUCT($O25:$O$67*Q25:Q$67*($E25:$E$67=$D24)),IF(ISNUMBER(Data_2014_N!K24),100*ABS($G24-(Data_2014_N!K24-$K24)/$M24),0),IF(ISNUMBER(Data_2014_N!K24),100*ABS($G24-(Data_2014_N!K24-$K24)/$M24),0)))</f>
        <v>100</v>
      </c>
      <c r="R24" s="161">
        <f>IF($H24=0,0,CHOOSE($H24,SUMPRODUCT($O25:$O$67*R25:R$67*($E25:$E$67=$D24)),IF(ISNUMBER(Data_2014_N!L24),100*ABS($G24-(Data_2014_N!L24-$K24)/$M24),0),IF(ISNUMBER(Data_2014_N!L24),100*ABS($G24-(Data_2014_N!L24-$K24)/$M24),0)))</f>
        <v>97.6</v>
      </c>
      <c r="S24" s="161">
        <f>IF($H24=0,0,CHOOSE($H24,SUMPRODUCT($O25:$O$67*S25:S$67*($E25:$E$67=$D24)),IF(ISNUMBER(Data_2014_N!M24),100*ABS($G24-(Data_2014_N!M24-$K24)/$M24),0),IF(ISNUMBER(Data_2014_N!M24),100*ABS($G24-(Data_2014_N!M24-$K24)/$M24),0)))</f>
        <v>100</v>
      </c>
      <c r="T24" s="161">
        <f>IF($H24=0,0,CHOOSE($H24,SUMPRODUCT($O25:$O$67*T25:T$67*($E25:$E$67=$D24)),IF(ISNUMBER(Data_2014_N!N24),100*ABS($G24-(Data_2014_N!N24-$K24)/$M24),0),IF(ISNUMBER(Data_2014_N!N24),100*ABS($G24-(Data_2014_N!N24-$K24)/$M24),0)))</f>
        <v>94.4</v>
      </c>
      <c r="U24" s="161">
        <f>IF($H24=0,0,CHOOSE($H24,SUMPRODUCT($O25:$O$67*U25:U$67*($E25:$E$67=$D24)),IF(ISNUMBER(Data_2014_N!O24),100*ABS($G24-(Data_2014_N!O24-$K24)/$M24),0),IF(ISNUMBER(Data_2014_N!O24),100*ABS($G24-(Data_2014_N!O24-$K24)/$M24),0)))</f>
        <v>100</v>
      </c>
      <c r="V24" s="161">
        <f>IF($H24=0,0,CHOOSE($H24,SUMPRODUCT($O25:$O$67*V25:V$67*($E25:$E$67=$D24)),IF(ISNUMBER(Data_2014_N!P24),100*ABS($G24-(Data_2014_N!P24-$K24)/$M24),0),IF(ISNUMBER(Data_2014_N!P24),100*ABS($G24-(Data_2014_N!P24-$K24)/$M24),0)))</f>
        <v>98.9</v>
      </c>
      <c r="W24" s="161">
        <f>IF($H24=0,0,CHOOSE($H24,SUMPRODUCT($O25:$O$67*W25:W$67*($E25:$E$67=$D24)),IF(ISNUMBER(Data_2014_N!Q24),100*ABS($G24-(Data_2014_N!Q24-$K24)/$M24),0),IF(ISNUMBER(Data_2014_N!Q24),100*ABS($G24-(Data_2014_N!Q24-$K24)/$M24),0)))</f>
        <v>99.3</v>
      </c>
      <c r="X24" s="161">
        <f>IF($H24=0,0,CHOOSE($H24,SUMPRODUCT($O25:$O$67*X25:X$67*($E25:$E$67=$D24)),IF(ISNUMBER(Data_2014_N!R24),100*ABS($G24-(Data_2014_N!R24-$K24)/$M24),0),IF(ISNUMBER(Data_2014_N!R24),100*ABS($G24-(Data_2014_N!R24-$K24)/$M24),0)))</f>
        <v>81.1</v>
      </c>
      <c r="Y24" s="161">
        <f>IF($H24=0,0,CHOOSE($H24,SUMPRODUCT($O25:$O$67*Y25:Y$67*($E25:$E$67=$D24)),IF(ISNUMBER(Data_2014_N!S24),100*ABS($G24-(Data_2014_N!S24-$K24)/$M24),0),IF(ISNUMBER(Data_2014_N!S24),100*ABS($G24-(Data_2014_N!S24-$K24)/$M24),0)))</f>
        <v>87.5</v>
      </c>
      <c r="Z24" s="161">
        <f>IF($H24=0,0,CHOOSE($H24,SUMPRODUCT($O25:$O$67*Z25:Z$67*($E25:$E$67=$D24)),IF(ISNUMBER(Data_2014_N!T24),100*ABS($G24-(Data_2014_N!T24-$K24)/$M24),0),IF(ISNUMBER(Data_2014_N!T24),100*ABS($G24-(Data_2014_N!T24-$K24)/$M24),0)))</f>
        <v>100</v>
      </c>
      <c r="AA24" s="161">
        <f>IF($H24=0,0,CHOOSE($H24,SUMPRODUCT($O25:$O$67*AA25:AA$67*($E25:$E$67=$D24)),IF(ISNUMBER(Data_2014_N!U24),100*ABS($G24-(Data_2014_N!U24-$K24)/$M24),0),IF(ISNUMBER(Data_2014_N!U24),100*ABS($G24-(Data_2014_N!U24-$K24)/$M24),0)))</f>
        <v>82.4</v>
      </c>
      <c r="AB24" s="161">
        <f>IF($H24=0,0,CHOOSE($H24,SUMPRODUCT($O25:$O$67*AB25:AB$67*($E25:$E$67=$D24)),IF(ISNUMBER(Data_2014_N!V24),100*ABS($G24-(Data_2014_N!V24-$K24)/$M24),0),IF(ISNUMBER(Data_2014_N!V24),100*ABS($G24-(Data_2014_N!V24-$K24)/$M24),0)))</f>
        <v>94.4</v>
      </c>
      <c r="AC24" s="161">
        <f>IF($H24=0,0,CHOOSE($H24,SUMPRODUCT($O25:$O$67*AC25:AC$67*($E25:$E$67=$D24)),IF(ISNUMBER(Data_2014_N!W24),100*ABS($G24-(Data_2014_N!W24-$K24)/$M24),0),IF(ISNUMBER(Data_2014_N!W24),100*ABS($G24-(Data_2014_N!W24-$K24)/$M24),0)))</f>
        <v>99.6</v>
      </c>
      <c r="AD24" s="161">
        <f>IF($H24=0,0,CHOOSE($H24,SUMPRODUCT($O25:$O$67*AD25:AD$67*($E25:$E$67=$D24)),IF(ISNUMBER(Data_2014_N!X24),100*ABS($G24-(Data_2014_N!X24-$K24)/$M24),0),IF(ISNUMBER(Data_2014_N!X24),100*ABS($G24-(Data_2014_N!X24-$K24)/$M24),0)))</f>
        <v>75.8</v>
      </c>
      <c r="AE24" s="161">
        <f>IF($H24=0,0,CHOOSE($H24,SUMPRODUCT($O25:$O$67*AE25:AE$67*($E25:$E$67=$D24)),IF(ISNUMBER(Data_2014_N!Y24),100*ABS($G24-(Data_2014_N!Y24-$K24)/$M24),0),IF(ISNUMBER(Data_2014_N!Y24),100*ABS($G24-(Data_2014_N!Y24-$K24)/$M24),0)))</f>
        <v>93.4</v>
      </c>
      <c r="AF24" s="161">
        <f>IF($H24=0,0,CHOOSE($H24,SUMPRODUCT($O25:$O$67*AF25:AF$67*($E25:$E$67=$D24)),IF(ISNUMBER(Data_2014_N!Z24),100*ABS($G24-(Data_2014_N!Z24-$K24)/$M24),0),IF(ISNUMBER(Data_2014_N!Z24),100*ABS($G24-(Data_2014_N!Z24-$K24)/$M24),0)))</f>
        <v>99.2</v>
      </c>
      <c r="AG24" s="161">
        <f>IF($H24=0,0,CHOOSE($H24,SUMPRODUCT($O25:$O$67*AG25:AG$67*($E25:$E$67=$D24)),IF(ISNUMBER(Data_2014_N!AA24),100*ABS($G24-(Data_2014_N!AA24-$K24)/$M24),0),IF(ISNUMBER(Data_2014_N!AA24),100*ABS($G24-(Data_2014_N!AA24-$K24)/$M24),0)))</f>
        <v>75.6</v>
      </c>
      <c r="AH24" s="161">
        <f>IF($H24=0,0,CHOOSE($H24,SUMPRODUCT($O25:$O$67*AH25:AH$67*($E25:$E$67=$D24)),IF(ISNUMBER(Data_2014_N!AB24),100*ABS($G24-(Data_2014_N!AB24-$K24)/$M24),0),IF(ISNUMBER(Data_2014_N!AB24),100*ABS($G24-(Data_2014_N!AB24-$K24)/$M24),0)))</f>
        <v>100</v>
      </c>
      <c r="AI24" s="161">
        <f>IF($H24=0,0,CHOOSE($H24,SUMPRODUCT($O25:$O$67*AI25:AI$67*($E25:$E$67=$D24)),IF(ISNUMBER(Data_2014_N!AC24),100*ABS($G24-(Data_2014_N!AC24-$K24)/$M24),0),IF(ISNUMBER(Data_2014_N!AC24),100*ABS($G24-(Data_2014_N!AC24-$K24)/$M24),0)))</f>
        <v>99.3</v>
      </c>
      <c r="AJ24" s="161">
        <f>IF($H24=0,0,CHOOSE($H24,SUMPRODUCT($O25:$O$67*AJ25:AJ$67*($E25:$E$67=$D24)),IF(ISNUMBER(Data_2014_N!AD24),100*ABS($G24-(Data_2014_N!AD24-$K24)/$M24),0),IF(ISNUMBER(Data_2014_N!AD24),100*ABS($G24-(Data_2014_N!AD24-$K24)/$M24),0)))</f>
        <v>100</v>
      </c>
      <c r="AK24" s="161">
        <f>IF($H24=0,0,CHOOSE($H24,SUMPRODUCT($O25:$O$67*AK25:AK$67*($E25:$E$67=$D24)),IF(ISNUMBER(Data_2014_N!AE24),100*ABS($G24-(Data_2014_N!AE24-$K24)/$M24),0),IF(ISNUMBER(Data_2014_N!AE24),100*ABS($G24-(Data_2014_N!AE24-$K24)/$M24),0)))</f>
        <v>100</v>
      </c>
      <c r="AL24" s="161">
        <f>IF($H24=0,0,CHOOSE($H24,SUMPRODUCT($O25:$O$67*AL25:AL$67*($E25:$E$67=$D24)),IF(ISNUMBER(Data_2014_N!AF24),100*ABS($G24-(Data_2014_N!AF24-$K24)/$M24),0),IF(ISNUMBER(Data_2014_N!AF24),100*ABS($G24-(Data_2014_N!AF24-$K24)/$M24),0)))</f>
        <v>96</v>
      </c>
      <c r="AM24" s="161">
        <f>IF($H24=0,0,CHOOSE($H24,SUMPRODUCT($O25:$O$67*AM25:AM$67*($E25:$E$67=$D24)),IF(ISNUMBER(Data_2014_N!AG24),100*ABS($G24-(Data_2014_N!AG24-$K24)/$M24),0),IF(ISNUMBER(Data_2014_N!AG24),100*ABS($G24-(Data_2014_N!AG24-$K24)/$M24),0)))</f>
        <v>100</v>
      </c>
      <c r="AN24" s="161">
        <f>IF($H24=0,0,CHOOSE($H24,SUMPRODUCT($O25:$O$67*AN25:AN$67*($E25:$E$67=$D24)),IF(ISNUMBER(Data_2014_N!AH24),100*ABS($G24-(Data_2014_N!AH24-$K24)/$M24),0),IF(ISNUMBER(Data_2014_N!AH24),100*ABS($G24-(Data_2014_N!AH24-$K24)/$M24),0)))</f>
        <v>97.2</v>
      </c>
      <c r="AO24" s="161">
        <f>IF($H24=0,0,CHOOSE($H24,SUMPRODUCT($O25:$O$67*AO25:AO$67*($E25:$E$67=$D24)),IF(ISNUMBER(Data_2014_N!AI24),100*ABS($G24-(Data_2014_N!AI24-$K24)/$M24),0),IF(ISNUMBER(Data_2014_N!AI24),100*ABS($G24-(Data_2014_N!AI24-$K24)/$M24),0)))</f>
        <v>81.1</v>
      </c>
      <c r="AP24" s="161">
        <f>IF($H24=0,0,CHOOSE($H24,SUMPRODUCT($O25:$O$67*AP25:AP$67*($E25:$E$67=$D24)),IF(ISNUMBER(Data_2014_N!AJ24),100*ABS($G24-(Data_2014_N!AJ24-$K24)/$M24),0),IF(ISNUMBER(Data_2014_N!AJ24),100*ABS($G24-(Data_2014_N!AJ24-$K24)/$M24),0)))</f>
        <v>99.3</v>
      </c>
      <c r="AQ24" s="161">
        <f>IF($H24=0,0,CHOOSE($H24,SUMPRODUCT($O25:$O$67*AQ25:AQ$67*($E25:$E$67=$D24)),IF(ISNUMBER(Data_2014_N!AK24),100*ABS($G24-(Data_2014_N!AK24-$K24)/$M24),0),IF(ISNUMBER(Data_2014_N!AK24),100*ABS($G24-(Data_2014_N!AK24-$K24)/$M24),0)))</f>
        <v>100</v>
      </c>
      <c r="AR24" s="161">
        <f>IF($H24=0,0,CHOOSE($H24,SUMPRODUCT($O25:$O$67*AR25:AR$67*($E25:$E$67=$D24)),IF(ISNUMBER(Data_2014_N!AL24),100*ABS($G24-(Data_2014_N!AL24-$K24)/$M24),0),IF(ISNUMBER(Data_2014_N!AL24),100*ABS($G24-(Data_2014_N!AL24-$K24)/$M24),0)))</f>
        <v>100</v>
      </c>
      <c r="AS24" s="161">
        <f>IF($H24=0,0,CHOOSE($H24,SUMPRODUCT($O25:$O$67*AS25:AS$67*($E25:$E$67=$D24)),IF(ISNUMBER(Data_2014_N!AM24),100*ABS($G24-(Data_2014_N!AM24-$K24)/$M24),0),IF(ISNUMBER(Data_2014_N!AM24),100*ABS($G24-(Data_2014_N!AM24-$K24)/$M24),0)))</f>
        <v>97.9</v>
      </c>
      <c r="AT24" s="161">
        <f>IF($H24=0,0,CHOOSE($H24,SUMPRODUCT($O25:$O$67*AT25:AT$67*($E25:$E$67=$D24)),IF(ISNUMBER(Data_2014_N!AN24),100*ABS($G24-(Data_2014_N!AN24-$K24)/$M24),0),IF(ISNUMBER(Data_2014_N!AN24),100*ABS($G24-(Data_2014_N!AN24-$K24)/$M24),0)))</f>
        <v>97.5</v>
      </c>
      <c r="AU24" s="161">
        <f>IF($H24=0,0,CHOOSE($H24,SUMPRODUCT($O25:$O$67*AU25:AU$67*($E25:$E$67=$D24)),IF(ISNUMBER(Data_2014_N!AO24),100*ABS($G24-(Data_2014_N!AO24-$K24)/$M24),0),IF(ISNUMBER(Data_2014_N!AO24),100*ABS($G24-(Data_2014_N!AO24-$K24)/$M24),0)))</f>
        <v>100</v>
      </c>
      <c r="AV24" s="161">
        <f>IF($H24=0,0,CHOOSE($H24,SUMPRODUCT($O25:$O$67*AV25:AV$67*($E25:$E$67=$D24)),IF(ISNUMBER(Data_2014_N!AP24),100*ABS($G24-(Data_2014_N!AP24-$K24)/$M24),0),IF(ISNUMBER(Data_2014_N!AP24),100*ABS($G24-(Data_2014_N!AP24-$K24)/$M24),0)))</f>
        <v>99.3</v>
      </c>
      <c r="AW24" s="161">
        <f>IF($H24=0,0,CHOOSE($H24,SUMPRODUCT($O25:$O$67*AW25:AW$67*($E25:$E$67=$D24)),IF(ISNUMBER(Data_2014_N!AQ24),100*ABS($G24-(Data_2014_N!AQ24-$K24)/$M24),0),IF(ISNUMBER(Data_2014_N!AQ24),100*ABS($G24-(Data_2014_N!AQ24-$K24)/$M24),0)))</f>
        <v>98.9</v>
      </c>
      <c r="AX24" s="161">
        <f>IF($H24=0,0,CHOOSE($H24,SUMPRODUCT($O25:$O$67*AX25:AX$67*($E25:$E$67=$D24)),IF(ISNUMBER(Data_2014_N!AR24),100*ABS($G24-(Data_2014_N!AR24-$K24)/$M24),0),IF(ISNUMBER(Data_2014_N!AR24),100*ABS($G24-(Data_2014_N!AR24-$K24)/$M24),0)))</f>
        <v>97.9</v>
      </c>
      <c r="AY24" s="161">
        <f>IF($H24=0,0,CHOOSE($H24,SUMPRODUCT($O25:$O$67*AY25:AY$67*($E25:$E$67=$D24)),IF(ISNUMBER(Data_2014_N!AS24),100*ABS($G24-(Data_2014_N!AS24-$K24)/$M24),0),IF(ISNUMBER(Data_2014_N!AS24),100*ABS($G24-(Data_2014_N!AS24-$K24)/$M24),0)))</f>
        <v>98</v>
      </c>
      <c r="AZ24" s="161">
        <f>IF($H24=0,0,CHOOSE($H24,SUMPRODUCT($O25:$O$67*AZ25:AZ$67*($E25:$E$67=$D24)),IF(ISNUMBER(Data_2014_N!AT24),100*ABS($G24-(Data_2014_N!AT24-$K24)/$M24),0),IF(ISNUMBER(Data_2014_N!AT24),100*ABS($G24-(Data_2014_N!AT24-$K24)/$M24),0)))</f>
        <v>94.4</v>
      </c>
      <c r="BA24" s="161">
        <f>IF($H24=0,0,CHOOSE($H24,SUMPRODUCT($O25:$O$67*BA25:BA$67*($E25:$E$67=$D24)),IF(ISNUMBER(Data_2014_N!AU24),100*ABS($G24-(Data_2014_N!AU24-$K24)/$M24),0),IF(ISNUMBER(Data_2014_N!AU24),100*ABS($G24-(Data_2014_N!AU24-$K24)/$M24),0)))</f>
        <v>100</v>
      </c>
      <c r="BB24" s="161">
        <f>IF($H24=0,0,CHOOSE($H24,SUMPRODUCT($O25:$O$67*BB25:BB$67*($E25:$E$67=$D24)),IF(ISNUMBER(Data_2014_N!AV24),100*ABS($G24-(Data_2014_N!AV24-$K24)/$M24),0),IF(ISNUMBER(Data_2014_N!AV24),100*ABS($G24-(Data_2014_N!AV24-$K24)/$M24),0)))</f>
        <v>100</v>
      </c>
      <c r="BC24" s="161">
        <f>IF($H24=0,0,CHOOSE($H24,SUMPRODUCT($O25:$O$67*BC25:BC$67*($E25:$E$67=$D24)),IF(ISNUMBER(Data_2014_N!AW24),100*ABS($G24-(Data_2014_N!AW24-$K24)/$M24),0),IF(ISNUMBER(Data_2014_N!AW24),100*ABS($G24-(Data_2014_N!AW24-$K24)/$M24),0)))</f>
        <v>100</v>
      </c>
      <c r="BD24" s="161">
        <f>IF($H24=0,0,CHOOSE($H24,SUMPRODUCT($O25:$O$67*BD25:BD$67*($E25:$E$67=$D24)),IF(ISNUMBER(Data_2014_N!AX24),100*ABS($G24-(Data_2014_N!AX24-$K24)/$M24),0),IF(ISNUMBER(Data_2014_N!AX24),100*ABS($G24-(Data_2014_N!AX24-$K24)/$M24),0)))</f>
        <v>94.4</v>
      </c>
      <c r="BE24" s="161">
        <f>IF($H24=0,0,CHOOSE($H24,SUMPRODUCT($O25:$O$67*BE25:BE$67*($E25:$E$67=$D24)),IF(ISNUMBER(Data_2014_N!AY24),100*ABS($G24-(Data_2014_N!AY24-$K24)/$M24),0),IF(ISNUMBER(Data_2014_N!AY24),100*ABS($G24-(Data_2014_N!AY24-$K24)/$M24),0)))</f>
        <v>87.6</v>
      </c>
      <c r="BF24" s="161">
        <f>IF($H24=0,0,CHOOSE($H24,SUMPRODUCT($O25:$O$67*BF25:BF$67*($E25:$E$67=$D24)),IF(ISNUMBER(Data_2014_N!AZ24),100*ABS($G24-(Data_2014_N!AZ24-$K24)/$M24),0),IF(ISNUMBER(Data_2014_N!AZ24),100*ABS($G24-(Data_2014_N!AZ24-$K24)/$M24),0)))</f>
        <v>100</v>
      </c>
      <c r="BG24" s="161">
        <f>IF($H24=0,0,CHOOSE($H24,SUMPRODUCT($O25:$O$67*BG25:BG$67*($E25:$E$67=$D24)),IF(ISNUMBER(Data_2014_N!BA24),100*ABS($G24-(Data_2014_N!BA24-$K24)/$M24),0),IF(ISNUMBER(Data_2014_N!BA24),100*ABS($G24-(Data_2014_N!BA24-$K24)/$M24),0)))</f>
        <v>99.8</v>
      </c>
      <c r="BH24" s="161">
        <f>IF($H24=0,0,CHOOSE($H24,SUMPRODUCT($O25:$O$67*BH25:BH$67*($E25:$E$67=$D24)),IF(ISNUMBER(Data_2014_N!BB24),100*ABS($G24-(Data_2014_N!BB24-$K24)/$M24),0),IF(ISNUMBER(Data_2014_N!BB24),100*ABS($G24-(Data_2014_N!BB24-$K24)/$M24),0)))</f>
        <v>99.3</v>
      </c>
      <c r="BI24" s="161">
        <f>IF($H24=0,0,CHOOSE($H24,SUMPRODUCT($O25:$O$67*BI25:BI$67*($E25:$E$67=$D24)),IF(ISNUMBER(Data_2014_N!BC24),100*ABS($G24-(Data_2014_N!BC24-$K24)/$M24),0),IF(ISNUMBER(Data_2014_N!BC24),100*ABS($G24-(Data_2014_N!BC24-$K24)/$M24),0)))</f>
        <v>100</v>
      </c>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row>
    <row r="25" s="69" customFormat="1" ht="24.95" customHeight="1" spans="1:115">
      <c r="A25" s="92"/>
      <c r="B25" s="92">
        <f>tblIndicators!A21</f>
        <v>20</v>
      </c>
      <c r="C25" s="92">
        <f>tblIndicators!B21</f>
        <v>0</v>
      </c>
      <c r="D25" s="92" t="str">
        <f>tblIndicators!D21</f>
        <v>HESE2.1.6</v>
      </c>
      <c r="E25" s="92" t="str">
        <f>tblIndicators!E21</f>
        <v>HESE2.1</v>
      </c>
      <c r="F25" s="92">
        <f>tblIndicators!F21</f>
        <v>3</v>
      </c>
      <c r="G25" s="92">
        <f>tblIndicators!Y21</f>
        <v>0</v>
      </c>
      <c r="H25" s="92">
        <f>tblIndicators!Z21</f>
        <v>3</v>
      </c>
      <c r="I25" s="104">
        <f>tblIndicators!AA21</f>
        <v>1</v>
      </c>
      <c r="J25" s="92">
        <f>tblIndicators!AB21</f>
        <v>5</v>
      </c>
      <c r="K25" s="92">
        <f>CHOOSE(H25,"-",MIN(Data_2014_N!J25:BC25),I25)</f>
        <v>1</v>
      </c>
      <c r="L25" s="165">
        <f>CHOOSE(H25,"-",MAX(Data_2014_N!J25:BC25),J25)</f>
        <v>5</v>
      </c>
      <c r="M25" s="92">
        <f t="shared" si="1"/>
        <v>4</v>
      </c>
      <c r="N25" s="168" t="str">
        <f>REPT(" ",F25)&amp;tblIndicators!AE21</f>
        <v>   2.1.6) Quality of health services</v>
      </c>
      <c r="O25" s="169">
        <f>tblIndicators!AD21</f>
        <v>0.166666666666667</v>
      </c>
      <c r="P25" s="161">
        <f>IF($H25=0,0,CHOOSE($H25,SUMPRODUCT($O26:$O$67*P26:P$67*($E26:$E$67=$D25)),IF(ISNUMBER(Data_2014_N!J25),100*ABS($G25-(Data_2014_N!J25-$K25)/$M25),0),IF(ISNUMBER(Data_2014_N!J25),100*ABS($G25-(Data_2014_N!J25-$K25)/$M25),0)))</f>
        <v>75</v>
      </c>
      <c r="Q25" s="161">
        <f>IF($H25=0,0,CHOOSE($H25,SUMPRODUCT($O26:$O$67*Q26:Q$67*($E26:$E$67=$D25)),IF(ISNUMBER(Data_2014_N!K25),100*ABS($G25-(Data_2014_N!K25-$K25)/$M25),0),IF(ISNUMBER(Data_2014_N!K25),100*ABS($G25-(Data_2014_N!K25-$K25)/$M25),0)))</f>
        <v>100</v>
      </c>
      <c r="R25" s="161">
        <f>IF($H25=0,0,CHOOSE($H25,SUMPRODUCT($O26:$O$67*R26:R$67*($E26:$E$67=$D25)),IF(ISNUMBER(Data_2014_N!L25),100*ABS($G25-(Data_2014_N!L25-$K25)/$M25),0),IF(ISNUMBER(Data_2014_N!L25),100*ABS($G25-(Data_2014_N!L25-$K25)/$M25),0)))</f>
        <v>62.5</v>
      </c>
      <c r="S25" s="161">
        <f>IF($H25=0,0,CHOOSE($H25,SUMPRODUCT($O26:$O$67*S26:S$67*($E26:$E$67=$D25)),IF(ISNUMBER(Data_2014_N!M25),100*ABS($G25-(Data_2014_N!M25-$K25)/$M25),0),IF(ISNUMBER(Data_2014_N!M25),100*ABS($G25-(Data_2014_N!M25-$K25)/$M25),0)))</f>
        <v>100</v>
      </c>
      <c r="T25" s="161">
        <f>IF($H25=0,0,CHOOSE($H25,SUMPRODUCT($O26:$O$67*T26:T$67*($E26:$E$67=$D25)),IF(ISNUMBER(Data_2014_N!N25),100*ABS($G25-(Data_2014_N!N25-$K25)/$M25),0),IF(ISNUMBER(Data_2014_N!N25),100*ABS($G25-(Data_2014_N!N25-$K25)/$M25),0)))</f>
        <v>62.5</v>
      </c>
      <c r="U25" s="161">
        <f>IF($H25=0,0,CHOOSE($H25,SUMPRODUCT($O26:$O$67*U26:U$67*($E26:$E$67=$D25)),IF(ISNUMBER(Data_2014_N!O25),100*ABS($G25-(Data_2014_N!O25-$K25)/$M25),0),IF(ISNUMBER(Data_2014_N!O25),100*ABS($G25-(Data_2014_N!O25-$K25)/$M25),0)))</f>
        <v>100</v>
      </c>
      <c r="V25" s="161">
        <f>IF($H25=0,0,CHOOSE($H25,SUMPRODUCT($O26:$O$67*V26:V$67*($E26:$E$67=$D25)),IF(ISNUMBER(Data_2014_N!P25),100*ABS($G25-(Data_2014_N!P25-$K25)/$M25),0),IF(ISNUMBER(Data_2014_N!P25),100*ABS($G25-(Data_2014_N!P25-$K25)/$M25),0)))</f>
        <v>75</v>
      </c>
      <c r="W25" s="161">
        <f>IF($H25=0,0,CHOOSE($H25,SUMPRODUCT($O26:$O$67*W26:W$67*($E26:$E$67=$D25)),IF(ISNUMBER(Data_2014_N!Q25),100*ABS($G25-(Data_2014_N!Q25-$K25)/$M25),0),IF(ISNUMBER(Data_2014_N!Q25),100*ABS($G25-(Data_2014_N!Q25-$K25)/$M25),0)))</f>
        <v>87.5</v>
      </c>
      <c r="X25" s="161">
        <f>IF($H25=0,0,CHOOSE($H25,SUMPRODUCT($O26:$O$67*X26:X$67*($E26:$E$67=$D25)),IF(ISNUMBER(Data_2014_N!R25),100*ABS($G25-(Data_2014_N!R25-$K25)/$M25),0),IF(ISNUMBER(Data_2014_N!R25),100*ABS($G25-(Data_2014_N!R25-$K25)/$M25),0)))</f>
        <v>62.5</v>
      </c>
      <c r="Y25" s="161">
        <f>IF($H25=0,0,CHOOSE($H25,SUMPRODUCT($O26:$O$67*Y26:Y$67*($E26:$E$67=$D25)),IF(ISNUMBER(Data_2014_N!S25),100*ABS($G25-(Data_2014_N!S25-$K25)/$M25),0),IF(ISNUMBER(Data_2014_N!S25),100*ABS($G25-(Data_2014_N!S25-$K25)/$M25),0)))</f>
        <v>75</v>
      </c>
      <c r="Z25" s="161">
        <f>IF($H25=0,0,CHOOSE($H25,SUMPRODUCT($O26:$O$67*Z26:Z$67*($E26:$E$67=$D25)),IF(ISNUMBER(Data_2014_N!T25),100*ABS($G25-(Data_2014_N!T25-$K25)/$M25),0),IF(ISNUMBER(Data_2014_N!T25),100*ABS($G25-(Data_2014_N!T25-$K25)/$M25),0)))</f>
        <v>100</v>
      </c>
      <c r="AA25" s="161">
        <f>IF($H25=0,0,CHOOSE($H25,SUMPRODUCT($O26:$O$67*AA26:AA$67*($E26:$E$67=$D25)),IF(ISNUMBER(Data_2014_N!U25),100*ABS($G25-(Data_2014_N!U25-$K25)/$M25),0),IF(ISNUMBER(Data_2014_N!U25),100*ABS($G25-(Data_2014_N!U25-$K25)/$M25),0)))</f>
        <v>37.5</v>
      </c>
      <c r="AB25" s="161">
        <f>IF($H25=0,0,CHOOSE($H25,SUMPRODUCT($O26:$O$67*AB26:AB$67*($E26:$E$67=$D25)),IF(ISNUMBER(Data_2014_N!V25),100*ABS($G25-(Data_2014_N!V25-$K25)/$M25),0),IF(ISNUMBER(Data_2014_N!V25),100*ABS($G25-(Data_2014_N!V25-$K25)/$M25),0)))</f>
        <v>87.5</v>
      </c>
      <c r="AC25" s="161">
        <f>IF($H25=0,0,CHOOSE($H25,SUMPRODUCT($O26:$O$67*AC26:AC$67*($E26:$E$67=$D25)),IF(ISNUMBER(Data_2014_N!W25),100*ABS($G25-(Data_2014_N!W25-$K25)/$M25),0),IF(ISNUMBER(Data_2014_N!W25),100*ABS($G25-(Data_2014_N!W25-$K25)/$M25),0)))</f>
        <v>50</v>
      </c>
      <c r="AD25" s="161">
        <f>IF($H25=0,0,CHOOSE($H25,SUMPRODUCT($O26:$O$67*AD26:AD$67*($E26:$E$67=$D25)),IF(ISNUMBER(Data_2014_N!X25),100*ABS($G25-(Data_2014_N!X25-$K25)/$M25),0),IF(ISNUMBER(Data_2014_N!X25),100*ABS($G25-(Data_2014_N!X25-$K25)/$M25),0)))</f>
        <v>37.5</v>
      </c>
      <c r="AE25" s="161">
        <f>IF($H25=0,0,CHOOSE($H25,SUMPRODUCT($O26:$O$67*AE26:AE$67*($E26:$E$67=$D25)),IF(ISNUMBER(Data_2014_N!Y25),100*ABS($G25-(Data_2014_N!Y25-$K25)/$M25),0),IF(ISNUMBER(Data_2014_N!Y25),100*ABS($G25-(Data_2014_N!Y25-$K25)/$M25),0)))</f>
        <v>50</v>
      </c>
      <c r="AF25" s="161">
        <f>IF($H25=0,0,CHOOSE($H25,SUMPRODUCT($O26:$O$67*AF26:AF$67*($E26:$E$67=$D25)),IF(ISNUMBER(Data_2014_N!Z25),100*ABS($G25-(Data_2014_N!Z25-$K25)/$M25),0),IF(ISNUMBER(Data_2014_N!Z25),100*ABS($G25-(Data_2014_N!Z25-$K25)/$M25),0)))</f>
        <v>87.5</v>
      </c>
      <c r="AG25" s="161">
        <f>IF($H25=0,0,CHOOSE($H25,SUMPRODUCT($O26:$O$67*AG26:AG$67*($E26:$E$67=$D25)),IF(ISNUMBER(Data_2014_N!AA25),100*ABS($G25-(Data_2014_N!AA25-$K25)/$M25),0),IF(ISNUMBER(Data_2014_N!AA25),100*ABS($G25-(Data_2014_N!AA25-$K25)/$M25),0)))</f>
        <v>62.5</v>
      </c>
      <c r="AH25" s="161">
        <f>IF($H25=0,0,CHOOSE($H25,SUMPRODUCT($O26:$O$67*AH26:AH$67*($E26:$E$67=$D25)),IF(ISNUMBER(Data_2014_N!AB25),100*ABS($G25-(Data_2014_N!AB25-$K25)/$M25),0),IF(ISNUMBER(Data_2014_N!AB25),100*ABS($G25-(Data_2014_N!AB25-$K25)/$M25),0)))</f>
        <v>87.5</v>
      </c>
      <c r="AI25" s="161">
        <f>IF($H25=0,0,CHOOSE($H25,SUMPRODUCT($O26:$O$67*AI26:AI$67*($E26:$E$67=$D25)),IF(ISNUMBER(Data_2014_N!AC25),100*ABS($G25-(Data_2014_N!AC25-$K25)/$M25),0),IF(ISNUMBER(Data_2014_N!AC25),100*ABS($G25-(Data_2014_N!AC25-$K25)/$M25),0)))</f>
        <v>87.5</v>
      </c>
      <c r="AJ25" s="161">
        <f>IF($H25=0,0,CHOOSE($H25,SUMPRODUCT($O26:$O$67*AJ26:AJ$67*($E26:$E$67=$D25)),IF(ISNUMBER(Data_2014_N!AD25),100*ABS($G25-(Data_2014_N!AD25-$K25)/$M25),0),IF(ISNUMBER(Data_2014_N!AD25),100*ABS($G25-(Data_2014_N!AD25-$K25)/$M25),0)))</f>
        <v>87.5</v>
      </c>
      <c r="AK25" s="161">
        <f>IF($H25=0,0,CHOOSE($H25,SUMPRODUCT($O26:$O$67*AK26:AK$67*($E26:$E$67=$D25)),IF(ISNUMBER(Data_2014_N!AE25),100*ABS($G25-(Data_2014_N!AE25-$K25)/$M25),0),IF(ISNUMBER(Data_2014_N!AE25),100*ABS($G25-(Data_2014_N!AE25-$K25)/$M25),0)))</f>
        <v>100</v>
      </c>
      <c r="AL25" s="161">
        <f>IF($H25=0,0,CHOOSE($H25,SUMPRODUCT($O26:$O$67*AL26:AL$67*($E26:$E$67=$D25)),IF(ISNUMBER(Data_2014_N!AF25),100*ABS($G25-(Data_2014_N!AF25-$K25)/$M25),0),IF(ISNUMBER(Data_2014_N!AF25),100*ABS($G25-(Data_2014_N!AF25-$K25)/$M25),0)))</f>
        <v>50</v>
      </c>
      <c r="AM25" s="161">
        <f>IF($H25=0,0,CHOOSE($H25,SUMPRODUCT($O26:$O$67*AM26:AM$67*($E26:$E$67=$D25)),IF(ISNUMBER(Data_2014_N!AG25),100*ABS($G25-(Data_2014_N!AG25-$K25)/$M25),0),IF(ISNUMBER(Data_2014_N!AG25),100*ABS($G25-(Data_2014_N!AG25-$K25)/$M25),0)))</f>
        <v>75</v>
      </c>
      <c r="AN25" s="161">
        <f>IF($H25=0,0,CHOOSE($H25,SUMPRODUCT($O26:$O$67*AN26:AN$67*($E26:$E$67=$D25)),IF(ISNUMBER(Data_2014_N!AH25),100*ABS($G25-(Data_2014_N!AH25-$K25)/$M25),0),IF(ISNUMBER(Data_2014_N!AH25),100*ABS($G25-(Data_2014_N!AH25-$K25)/$M25),0)))</f>
        <v>75</v>
      </c>
      <c r="AO25" s="161">
        <f>IF($H25=0,0,CHOOSE($H25,SUMPRODUCT($O26:$O$67*AO26:AO$67*($E26:$E$67=$D25)),IF(ISNUMBER(Data_2014_N!AI25),100*ABS($G25-(Data_2014_N!AI25-$K25)/$M25),0),IF(ISNUMBER(Data_2014_N!AI25),100*ABS($G25-(Data_2014_N!AI25-$K25)/$M25),0)))</f>
        <v>37.5</v>
      </c>
      <c r="AP25" s="161">
        <f>IF($H25=0,0,CHOOSE($H25,SUMPRODUCT($O26:$O$67*AP26:AP$67*($E26:$E$67=$D25)),IF(ISNUMBER(Data_2014_N!AJ25),100*ABS($G25-(Data_2014_N!AJ25-$K25)/$M25),0),IF(ISNUMBER(Data_2014_N!AJ25),100*ABS($G25-(Data_2014_N!AJ25-$K25)/$M25),0)))</f>
        <v>87.5</v>
      </c>
      <c r="AQ25" s="161">
        <f>IF($H25=0,0,CHOOSE($H25,SUMPRODUCT($O26:$O$67*AQ26:AQ$67*($E26:$E$67=$D25)),IF(ISNUMBER(Data_2014_N!AK25),100*ABS($G25-(Data_2014_N!AK25-$K25)/$M25),0),IF(ISNUMBER(Data_2014_N!AK25),100*ABS($G25-(Data_2014_N!AK25-$K25)/$M25),0)))</f>
        <v>100</v>
      </c>
      <c r="AR25" s="161">
        <f>IF($H25=0,0,CHOOSE($H25,SUMPRODUCT($O26:$O$67*AR26:AR$67*($E26:$E$67=$D25)),IF(ISNUMBER(Data_2014_N!AL25),100*ABS($G25-(Data_2014_N!AL25-$K25)/$M25),0),IF(ISNUMBER(Data_2014_N!AL25),100*ABS($G25-(Data_2014_N!AL25-$K25)/$M25),0)))</f>
        <v>100</v>
      </c>
      <c r="AS25" s="161">
        <f>IF($H25=0,0,CHOOSE($H25,SUMPRODUCT($O26:$O$67*AS26:AS$67*($E26:$E$67=$D25)),IF(ISNUMBER(Data_2014_N!AM25),100*ABS($G25-(Data_2014_N!AM25-$K25)/$M25),0),IF(ISNUMBER(Data_2014_N!AM25),100*ABS($G25-(Data_2014_N!AM25-$K25)/$M25),0)))</f>
        <v>62.5</v>
      </c>
      <c r="AT25" s="161">
        <f>IF($H25=0,0,CHOOSE($H25,SUMPRODUCT($O26:$O$67*AT26:AT$67*($E26:$E$67=$D25)),IF(ISNUMBER(Data_2014_N!AN25),100*ABS($G25-(Data_2014_N!AN25-$K25)/$M25),0),IF(ISNUMBER(Data_2014_N!AN25),100*ABS($G25-(Data_2014_N!AN25-$K25)/$M25),0)))</f>
        <v>62.5</v>
      </c>
      <c r="AU25" s="161">
        <f>IF($H25=0,0,CHOOSE($H25,SUMPRODUCT($O26:$O$67*AU26:AU$67*($E26:$E$67=$D25)),IF(ISNUMBER(Data_2014_N!AO25),100*ABS($G25-(Data_2014_N!AO25-$K25)/$M25),0),IF(ISNUMBER(Data_2014_N!AO25),100*ABS($G25-(Data_2014_N!AO25-$K25)/$M25),0)))</f>
        <v>75</v>
      </c>
      <c r="AV25" s="161">
        <f>IF($H25=0,0,CHOOSE($H25,SUMPRODUCT($O26:$O$67*AV26:AV$67*($E26:$E$67=$D25)),IF(ISNUMBER(Data_2014_N!AP25),100*ABS($G25-(Data_2014_N!AP25-$K25)/$M25),0),IF(ISNUMBER(Data_2014_N!AP25),100*ABS($G25-(Data_2014_N!AP25-$K25)/$M25),0)))</f>
        <v>87.5</v>
      </c>
      <c r="AW25" s="161">
        <f>IF($H25=0,0,CHOOSE($H25,SUMPRODUCT($O26:$O$67*AW26:AW$67*($E26:$E$67=$D25)),IF(ISNUMBER(Data_2014_N!AQ25),100*ABS($G25-(Data_2014_N!AQ25-$K25)/$M25),0),IF(ISNUMBER(Data_2014_N!AQ25),100*ABS($G25-(Data_2014_N!AQ25-$K25)/$M25),0)))</f>
        <v>62.5</v>
      </c>
      <c r="AX25" s="161">
        <f>IF($H25=0,0,CHOOSE($H25,SUMPRODUCT($O26:$O$67*AX26:AX$67*($E26:$E$67=$D25)),IF(ISNUMBER(Data_2014_N!AR25),100*ABS($G25-(Data_2014_N!AR25-$K25)/$M25),0),IF(ISNUMBER(Data_2014_N!AR25),100*ABS($G25-(Data_2014_N!AR25-$K25)/$M25),0)))</f>
        <v>62.5</v>
      </c>
      <c r="AY25" s="161">
        <f>IF($H25=0,0,CHOOSE($H25,SUMPRODUCT($O26:$O$67*AY26:AY$67*($E26:$E$67=$D25)),IF(ISNUMBER(Data_2014_N!AS25),100*ABS($G25-(Data_2014_N!AS25-$K25)/$M25),0),IF(ISNUMBER(Data_2014_N!AS25),100*ABS($G25-(Data_2014_N!AS25-$K25)/$M25),0)))</f>
        <v>87.5</v>
      </c>
      <c r="AZ25" s="161">
        <f>IF($H25=0,0,CHOOSE($H25,SUMPRODUCT($O26:$O$67*AZ26:AZ$67*($E26:$E$67=$D25)),IF(ISNUMBER(Data_2014_N!AT25),100*ABS($G25-(Data_2014_N!AT25-$K25)/$M25),0),IF(ISNUMBER(Data_2014_N!AT25),100*ABS($G25-(Data_2014_N!AT25-$K25)/$M25),0)))</f>
        <v>62.5</v>
      </c>
      <c r="BA25" s="161">
        <f>IF($H25=0,0,CHOOSE($H25,SUMPRODUCT($O26:$O$67*BA26:BA$67*($E26:$E$67=$D25)),IF(ISNUMBER(Data_2014_N!AU25),100*ABS($G25-(Data_2014_N!AU25-$K25)/$M25),0),IF(ISNUMBER(Data_2014_N!AU25),100*ABS($G25-(Data_2014_N!AU25-$K25)/$M25),0)))</f>
        <v>100</v>
      </c>
      <c r="BB25" s="161">
        <f>IF($H25=0,0,CHOOSE($H25,SUMPRODUCT($O26:$O$67*BB26:BB$67*($E26:$E$67=$D25)),IF(ISNUMBER(Data_2014_N!AV25),100*ABS($G25-(Data_2014_N!AV25-$K25)/$M25),0),IF(ISNUMBER(Data_2014_N!AV25),100*ABS($G25-(Data_2014_N!AV25-$K25)/$M25),0)))</f>
        <v>100</v>
      </c>
      <c r="BC25" s="161">
        <f>IF($H25=0,0,CHOOSE($H25,SUMPRODUCT($O26:$O$67*BC26:BC$67*($E26:$E$67=$D25)),IF(ISNUMBER(Data_2014_N!AW25),100*ABS($G25-(Data_2014_N!AW25-$K25)/$M25),0),IF(ISNUMBER(Data_2014_N!AW25),100*ABS($G25-(Data_2014_N!AW25-$K25)/$M25),0)))</f>
        <v>100</v>
      </c>
      <c r="BD25" s="161">
        <f>IF($H25=0,0,CHOOSE($H25,SUMPRODUCT($O26:$O$67*BD26:BD$67*($E26:$E$67=$D25)),IF(ISNUMBER(Data_2014_N!AX25),100*ABS($G25-(Data_2014_N!AX25-$K25)/$M25),0),IF(ISNUMBER(Data_2014_N!AX25),100*ABS($G25-(Data_2014_N!AX25-$K25)/$M25),0)))</f>
        <v>87.5</v>
      </c>
      <c r="BE25" s="161">
        <f>IF($H25=0,0,CHOOSE($H25,SUMPRODUCT($O26:$O$67*BE26:BE$67*($E26:$E$67=$D25)),IF(ISNUMBER(Data_2014_N!AY25),100*ABS($G25-(Data_2014_N!AY25-$K25)/$M25),0),IF(ISNUMBER(Data_2014_N!AY25),100*ABS($G25-(Data_2014_N!AY25-$K25)/$M25),0)))</f>
        <v>62.5</v>
      </c>
      <c r="BF25" s="161">
        <f>IF($H25=0,0,CHOOSE($H25,SUMPRODUCT($O26:$O$67*BF26:BF$67*($E26:$E$67=$D25)),IF(ISNUMBER(Data_2014_N!AZ25),100*ABS($G25-(Data_2014_N!AZ25-$K25)/$M25),0),IF(ISNUMBER(Data_2014_N!AZ25),100*ABS($G25-(Data_2014_N!AZ25-$K25)/$M25),0)))</f>
        <v>100</v>
      </c>
      <c r="BG25" s="161">
        <f>IF($H25=0,0,CHOOSE($H25,SUMPRODUCT($O26:$O$67*BG26:BG$67*($E26:$E$67=$D25)),IF(ISNUMBER(Data_2014_N!BA25),100*ABS($G25-(Data_2014_N!BA25-$K25)/$M25),0),IF(ISNUMBER(Data_2014_N!BA25),100*ABS($G25-(Data_2014_N!BA25-$K25)/$M25),0)))</f>
        <v>100</v>
      </c>
      <c r="BH25" s="161">
        <f>IF($H25=0,0,CHOOSE($H25,SUMPRODUCT($O26:$O$67*BH26:BH$67*($E26:$E$67=$D25)),IF(ISNUMBER(Data_2014_N!BB25),100*ABS($G25-(Data_2014_N!BB25-$K25)/$M25),0),IF(ISNUMBER(Data_2014_N!BB25),100*ABS($G25-(Data_2014_N!BB25-$K25)/$M25),0)))</f>
        <v>87.5</v>
      </c>
      <c r="BI25" s="161">
        <f>IF($H25=0,0,CHOOSE($H25,SUMPRODUCT($O26:$O$67*BI26:BI$67*($E26:$E$67=$D25)),IF(ISNUMBER(Data_2014_N!BC25),100*ABS($G25-(Data_2014_N!BC25-$K25)/$M25),0),IF(ISNUMBER(Data_2014_N!BC25),100*ABS($G25-(Data_2014_N!BC25-$K25)/$M25),0)))</f>
        <v>100</v>
      </c>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row>
    <row r="26" s="69" customFormat="1" ht="24.95" customHeight="1" spans="1:115">
      <c r="A26" s="92"/>
      <c r="B26" s="92">
        <f>tblIndicators!A22</f>
        <v>21</v>
      </c>
      <c r="C26" s="92">
        <f>tblIndicators!B22</f>
        <v>0</v>
      </c>
      <c r="D26" s="92" t="str">
        <f>tblIndicators!D22</f>
        <v>HESE2.2</v>
      </c>
      <c r="E26" s="92" t="str">
        <f>tblIndicators!E22</f>
        <v>HESE</v>
      </c>
      <c r="F26" s="92">
        <f>tblIndicators!F22</f>
        <v>2</v>
      </c>
      <c r="G26" s="92" t="str">
        <f>tblIndicators!Y22</f>
        <v/>
      </c>
      <c r="H26" s="92">
        <f>tblIndicators!Z22</f>
        <v>1</v>
      </c>
      <c r="I26" s="104">
        <f>tblIndicators!AA22</f>
        <v>0</v>
      </c>
      <c r="J26" s="92">
        <f>tblIndicators!AB22</f>
        <v>0</v>
      </c>
      <c r="K26" s="92" t="str">
        <f>CHOOSE(H26,"-",MIN(Data_2014_N!J26:BC26),I26)</f>
        <v>-</v>
      </c>
      <c r="L26" s="165" t="str">
        <f>CHOOSE(H26,"-",MAX(Data_2014_N!J26:BC26),J26)</f>
        <v>-</v>
      </c>
      <c r="M26" s="92" t="str">
        <f t="shared" si="1"/>
        <v>-</v>
      </c>
      <c r="N26" s="168" t="str">
        <f>REPT(" ",F26)&amp;tblIndicators!AE22</f>
        <v>  2.2) Health security (Outputs)</v>
      </c>
      <c r="O26" s="169">
        <f>tblIndicators!AD22</f>
        <v>0.5</v>
      </c>
      <c r="P26" s="161">
        <f>IF($H26=0,0,CHOOSE($H26,SUMPRODUCT($O27:$O$67*P27:P$67*($E27:$E$67=$D26)),IF(ISNUMBER(Data_2014_N!J26),100*ABS($G26-(Data_2014_N!J26-$K26)/$M26),0),IF(ISNUMBER(Data_2014_N!J26),100*ABS($G26-(Data_2014_N!J26-$K26)/$M26),0)))</f>
        <v>58.1269650097214</v>
      </c>
      <c r="Q26" s="161">
        <f>IF($H26=0,0,CHOOSE($H26,SUMPRODUCT($O27:$O$67*Q27:Q$67*($E27:$E$67=$D26)),IF(ISNUMBER(Data_2014_N!K26),100*ABS($G26-(Data_2014_N!K26-$K26)/$M26),0),IF(ISNUMBER(Data_2014_N!K26),100*ABS($G26-(Data_2014_N!K26-$K26)/$M26),0)))</f>
        <v>81.5761806254831</v>
      </c>
      <c r="R26" s="161">
        <f>IF($H26=0,0,CHOOSE($H26,SUMPRODUCT($O27:$O$67*R27:R$67*($E27:$E$67=$D26)),IF(ISNUMBER(Data_2014_N!L26),100*ABS($G26-(Data_2014_N!L26-$K26)/$M26),0),IF(ISNUMBER(Data_2014_N!L26),100*ABS($G26-(Data_2014_N!L26-$K26)/$M26),0)))</f>
        <v>71.8167657818768</v>
      </c>
      <c r="S26" s="161">
        <f>IF($H26=0,0,CHOOSE($H26,SUMPRODUCT($O27:$O$67*S27:S$67*($E27:$E$67=$D26)),IF(ISNUMBER(Data_2014_N!M26),100*ABS($G26-(Data_2014_N!M26-$K26)/$M26),0),IF(ISNUMBER(Data_2014_N!M26),100*ABS($G26-(Data_2014_N!M26-$K26)/$M26),0)))</f>
        <v>87.5602584089032</v>
      </c>
      <c r="T26" s="161">
        <f>IF($H26=0,0,CHOOSE($H26,SUMPRODUCT($O27:$O$67*T27:T$67*($E27:$E$67=$D26)),IF(ISNUMBER(Data_2014_N!N26),100*ABS($G26-(Data_2014_N!N26-$K26)/$M26),0),IF(ISNUMBER(Data_2014_N!N26),100*ABS($G26-(Data_2014_N!N26-$K26)/$M26),0)))</f>
        <v>77.3241711056389</v>
      </c>
      <c r="U26" s="161">
        <f>IF($H26=0,0,CHOOSE($H26,SUMPRODUCT($O27:$O$67*U27:U$67*($E27:$E$67=$D26)),IF(ISNUMBER(Data_2014_N!O26),100*ABS($G26-(Data_2014_N!O26-$K26)/$M26),0),IF(ISNUMBER(Data_2014_N!O26),100*ABS($G26-(Data_2014_N!O26-$K26)/$M26),0)))</f>
        <v>81.6476043346261</v>
      </c>
      <c r="V26" s="161">
        <f>IF($H26=0,0,CHOOSE($H26,SUMPRODUCT($O27:$O$67*V27:V$67*($E27:$E$67=$D26)),IF(ISNUMBER(Data_2014_N!P26),100*ABS($G26-(Data_2014_N!P26-$K26)/$M26),0),IF(ISNUMBER(Data_2014_N!P26),100*ABS($G26-(Data_2014_N!P26-$K26)/$M26),0)))</f>
        <v>74.0166710185625</v>
      </c>
      <c r="W26" s="161">
        <f>IF($H26=0,0,CHOOSE($H26,SUMPRODUCT($O27:$O$67*W27:W$67*($E27:$E$67=$D26)),IF(ISNUMBER(Data_2014_N!Q26),100*ABS($G26-(Data_2014_N!Q26-$K26)/$M26),0),IF(ISNUMBER(Data_2014_N!Q26),100*ABS($G26-(Data_2014_N!Q26-$K26)/$M26),0)))</f>
        <v>79.4631409166779</v>
      </c>
      <c r="X26" s="161">
        <f>IF($H26=0,0,CHOOSE($H26,SUMPRODUCT($O27:$O$67*X27:X$67*($E27:$E$67=$D26)),IF(ISNUMBER(Data_2014_N!R26),100*ABS($G26-(Data_2014_N!R26-$K26)/$M26),0),IF(ISNUMBER(Data_2014_N!R26),100*ABS($G26-(Data_2014_N!R26-$K26)/$M26),0)))</f>
        <v>62.9709706980915</v>
      </c>
      <c r="Y26" s="161">
        <f>IF($H26=0,0,CHOOSE($H26,SUMPRODUCT($O27:$O$67*Y27:Y$67*($E27:$E$67=$D26)),IF(ISNUMBER(Data_2014_N!S26),100*ABS($G26-(Data_2014_N!S26-$K26)/$M26),0),IF(ISNUMBER(Data_2014_N!S26),100*ABS($G26-(Data_2014_N!S26-$K26)/$M26),0)))</f>
        <v>63.592940591808</v>
      </c>
      <c r="Z26" s="161">
        <f>IF($H26=0,0,CHOOSE($H26,SUMPRODUCT($O27:$O$67*Z27:Z$67*($E27:$E$67=$D26)),IF(ISNUMBER(Data_2014_N!T26),100*ABS($G26-(Data_2014_N!T26-$K26)/$M26),0),IF(ISNUMBER(Data_2014_N!T26),100*ABS($G26-(Data_2014_N!T26-$K26)/$M26),0)))</f>
        <v>86.8038894438212</v>
      </c>
      <c r="AA26" s="161">
        <f>IF($H26=0,0,CHOOSE($H26,SUMPRODUCT($O27:$O$67*AA27:AA$67*($E27:$E$67=$D26)),IF(ISNUMBER(Data_2014_N!U26),100*ABS($G26-(Data_2014_N!U26-$K26)/$M26),0),IF(ISNUMBER(Data_2014_N!U26),100*ABS($G26-(Data_2014_N!U26-$K26)/$M26),0)))</f>
        <v>66.7439765054632</v>
      </c>
      <c r="AB26" s="161">
        <f>IF($H26=0,0,CHOOSE($H26,SUMPRODUCT($O27:$O$67*AB27:AB$67*($E27:$E$67=$D26)),IF(ISNUMBER(Data_2014_N!V26),100*ABS($G26-(Data_2014_N!V26-$K26)/$M26),0),IF(ISNUMBER(Data_2014_N!V26),100*ABS($G26-(Data_2014_N!V26-$K26)/$M26),0)))</f>
        <v>68.0148583278079</v>
      </c>
      <c r="AC26" s="161">
        <f>IF($H26=0,0,CHOOSE($H26,SUMPRODUCT($O27:$O$67*AC27:AC$67*($E27:$E$67=$D26)),IF(ISNUMBER(Data_2014_N!W26),100*ABS($G26-(Data_2014_N!W26-$K26)/$M26),0),IF(ISNUMBER(Data_2014_N!W26),100*ABS($G26-(Data_2014_N!W26-$K26)/$M26),0)))</f>
        <v>71.4673751905096</v>
      </c>
      <c r="AD26" s="161">
        <f>IF($H26=0,0,CHOOSE($H26,SUMPRODUCT($O27:$O$67*AD27:AD$67*($E27:$E$67=$D26)),IF(ISNUMBER(Data_2014_N!X26),100*ABS($G26-(Data_2014_N!X26-$K26)/$M26),0),IF(ISNUMBER(Data_2014_N!X26),100*ABS($G26-(Data_2014_N!X26-$K26)/$M26),0)))</f>
        <v>70.6324046969422</v>
      </c>
      <c r="AE26" s="161">
        <f>IF($H26=0,0,CHOOSE($H26,SUMPRODUCT($O27:$O$67*AE27:AE$67*($E27:$E$67=$D26)),IF(ISNUMBER(Data_2014_N!Y26),100*ABS($G26-(Data_2014_N!Y26-$K26)/$M26),0),IF(ISNUMBER(Data_2014_N!Y26),100*ABS($G26-(Data_2014_N!Y26-$K26)/$M26),0)))</f>
        <v>63.6145692148358</v>
      </c>
      <c r="AF26" s="161">
        <f>IF($H26=0,0,CHOOSE($H26,SUMPRODUCT($O27:$O$67*AF27:AF$67*($E27:$E$67=$D26)),IF(ISNUMBER(Data_2014_N!Z26),100*ABS($G26-(Data_2014_N!Z26-$K26)/$M26),0),IF(ISNUMBER(Data_2014_N!Z26),100*ABS($G26-(Data_2014_N!Z26-$K26)/$M26),0)))</f>
        <v>72.8152044923517</v>
      </c>
      <c r="AG26" s="161">
        <f>IF($H26=0,0,CHOOSE($H26,SUMPRODUCT($O27:$O$67*AG27:AG$67*($E27:$E$67=$D26)),IF(ISNUMBER(Data_2014_N!AA26),100*ABS($G26-(Data_2014_N!AA26-$K26)/$M26),0),IF(ISNUMBER(Data_2014_N!AA26),100*ABS($G26-(Data_2014_N!AA26-$K26)/$M26),0)))</f>
        <v>71.6127060082751</v>
      </c>
      <c r="AH26" s="161">
        <f>IF($H26=0,0,CHOOSE($H26,SUMPRODUCT($O27:$O$67*AH27:AH$67*($E27:$E$67=$D26)),IF(ISNUMBER(Data_2014_N!AB26),100*ABS($G26-(Data_2014_N!AB26-$K26)/$M26),0),IF(ISNUMBER(Data_2014_N!AB26),100*ABS($G26-(Data_2014_N!AB26-$K26)/$M26),0)))</f>
        <v>83.5915538845552</v>
      </c>
      <c r="AI26" s="161">
        <f>IF($H26=0,0,CHOOSE($H26,SUMPRODUCT($O27:$O$67*AI27:AI$67*($E27:$E$67=$D26)),IF(ISNUMBER(Data_2014_N!AC26),100*ABS($G26-(Data_2014_N!AC26-$K26)/$M26),0),IF(ISNUMBER(Data_2014_N!AC26),100*ABS($G26-(Data_2014_N!AC26-$K26)/$M26),0)))</f>
        <v>73.8424728538338</v>
      </c>
      <c r="AJ26" s="161">
        <f>IF($H26=0,0,CHOOSE($H26,SUMPRODUCT($O27:$O$67*AJ27:AJ$67*($E27:$E$67=$D26)),IF(ISNUMBER(Data_2014_N!AD26),100*ABS($G26-(Data_2014_N!AD26-$K26)/$M26),0),IF(ISNUMBER(Data_2014_N!AD26),100*ABS($G26-(Data_2014_N!AD26-$K26)/$M26),0)))</f>
        <v>88.3630507300201</v>
      </c>
      <c r="AK26" s="161">
        <f>IF($H26=0,0,CHOOSE($H26,SUMPRODUCT($O27:$O$67*AK27:AK$67*($E27:$E$67=$D26)),IF(ISNUMBER(Data_2014_N!AE26),100*ABS($G26-(Data_2014_N!AE26-$K26)/$M26),0),IF(ISNUMBER(Data_2014_N!AE26),100*ABS($G26-(Data_2014_N!AE26-$K26)/$M26),0)))</f>
        <v>84.9532035332492</v>
      </c>
      <c r="AL26" s="161">
        <f>IF($H26=0,0,CHOOSE($H26,SUMPRODUCT($O27:$O$67*AL27:AL$67*($E27:$E$67=$D26)),IF(ISNUMBER(Data_2014_N!AF26),100*ABS($G26-(Data_2014_N!AF26-$K26)/$M26),0),IF(ISNUMBER(Data_2014_N!AF26),100*ABS($G26-(Data_2014_N!AF26-$K26)/$M26),0)))</f>
        <v>74.1858437173518</v>
      </c>
      <c r="AM26" s="161">
        <f>IF($H26=0,0,CHOOSE($H26,SUMPRODUCT($O27:$O$67*AM27:AM$67*($E27:$E$67=$D26)),IF(ISNUMBER(Data_2014_N!AG26),100*ABS($G26-(Data_2014_N!AG26-$K26)/$M26),0),IF(ISNUMBER(Data_2014_N!AG26),100*ABS($G26-(Data_2014_N!AG26-$K26)/$M26),0)))</f>
        <v>80.9292881919027</v>
      </c>
      <c r="AN26" s="161">
        <f>IF($H26=0,0,CHOOSE($H26,SUMPRODUCT($O27:$O$67*AN27:AN$67*($E27:$E$67=$D26)),IF(ISNUMBER(Data_2014_N!AH26),100*ABS($G26-(Data_2014_N!AH26-$K26)/$M26),0),IF(ISNUMBER(Data_2014_N!AH26),100*ABS($G26-(Data_2014_N!AH26-$K26)/$M26),0)))</f>
        <v>76.4489437156039</v>
      </c>
      <c r="AO26" s="161">
        <f>IF($H26=0,0,CHOOSE($H26,SUMPRODUCT($O27:$O$67*AO27:AO$67*($E27:$E$67=$D26)),IF(ISNUMBER(Data_2014_N!AI26),100*ABS($G26-(Data_2014_N!AI26-$K26)/$M26),0),IF(ISNUMBER(Data_2014_N!AI26),100*ABS($G26-(Data_2014_N!AI26-$K26)/$M26),0)))</f>
        <v>59.8031938639213</v>
      </c>
      <c r="AP26" s="161">
        <f>IF($H26=0,0,CHOOSE($H26,SUMPRODUCT($O27:$O$67*AP27:AP$67*($E27:$E$67=$D26)),IF(ISNUMBER(Data_2014_N!AJ26),100*ABS($G26-(Data_2014_N!AJ26-$K26)/$M26),0),IF(ISNUMBER(Data_2014_N!AJ26),100*ABS($G26-(Data_2014_N!AJ26-$K26)/$M26),0)))</f>
        <v>90.9298615120207</v>
      </c>
      <c r="AQ26" s="161">
        <f>IF($H26=0,0,CHOOSE($H26,SUMPRODUCT($O27:$O$67*AQ27:AQ$67*($E27:$E$67=$D26)),IF(ISNUMBER(Data_2014_N!AK26),100*ABS($G26-(Data_2014_N!AK26-$K26)/$M26),0),IF(ISNUMBER(Data_2014_N!AK26),100*ABS($G26-(Data_2014_N!AK26-$K26)/$M26),0)))</f>
        <v>79.5116665972381</v>
      </c>
      <c r="AR26" s="161">
        <f>IF($H26=0,0,CHOOSE($H26,SUMPRODUCT($O27:$O$67*AR27:AR$67*($E27:$E$67=$D26)),IF(ISNUMBER(Data_2014_N!AL26),100*ABS($G26-(Data_2014_N!AL26-$K26)/$M26),0),IF(ISNUMBER(Data_2014_N!AL26),100*ABS($G26-(Data_2014_N!AL26-$K26)/$M26),0)))</f>
        <v>83.5869041743166</v>
      </c>
      <c r="AS26" s="161">
        <f>IF($H26=0,0,CHOOSE($H26,SUMPRODUCT($O27:$O$67*AS27:AS$67*($E27:$E$67=$D26)),IF(ISNUMBER(Data_2014_N!AM26),100*ABS($G26-(Data_2014_N!AM26-$K26)/$M26),0),IF(ISNUMBER(Data_2014_N!AM26),100*ABS($G26-(Data_2014_N!AM26-$K26)/$M26),0)))</f>
        <v>65.5676126666949</v>
      </c>
      <c r="AT26" s="161">
        <f>IF($H26=0,0,CHOOSE($H26,SUMPRODUCT($O27:$O$67*AT27:AT$67*($E27:$E$67=$D26)),IF(ISNUMBER(Data_2014_N!AN26),100*ABS($G26-(Data_2014_N!AN26-$K26)/$M26),0),IF(ISNUMBER(Data_2014_N!AN26),100*ABS($G26-(Data_2014_N!AN26-$K26)/$M26),0)))</f>
        <v>71.1452640164237</v>
      </c>
      <c r="AU26" s="161">
        <f>IF($H26=0,0,CHOOSE($H26,SUMPRODUCT($O27:$O$67*AU27:AU$67*($E27:$E$67=$D26)),IF(ISNUMBER(Data_2014_N!AO26),100*ABS($G26-(Data_2014_N!AO26-$K26)/$M26),0),IF(ISNUMBER(Data_2014_N!AO26),100*ABS($G26-(Data_2014_N!AO26-$K26)/$M26),0)))</f>
        <v>81.1376309635552</v>
      </c>
      <c r="AV26" s="161">
        <f>IF($H26=0,0,CHOOSE($H26,SUMPRODUCT($O27:$O$67*AV27:AV$67*($E27:$E$67=$D26)),IF(ISNUMBER(Data_2014_N!AP26),100*ABS($G26-(Data_2014_N!AP26-$K26)/$M26),0),IF(ISNUMBER(Data_2014_N!AP26),100*ABS($G26-(Data_2014_N!AP26-$K26)/$M26),0)))</f>
        <v>84.7384369338097</v>
      </c>
      <c r="AW26" s="161">
        <f>IF($H26=0,0,CHOOSE($H26,SUMPRODUCT($O27:$O$67*AW27:AW$67*($E27:$E$67=$D26)),IF(ISNUMBER(Data_2014_N!AQ26),100*ABS($G26-(Data_2014_N!AQ26-$K26)/$M26),0),IF(ISNUMBER(Data_2014_N!AQ26),100*ABS($G26-(Data_2014_N!AQ26-$K26)/$M26),0)))</f>
        <v>83.2180354390722</v>
      </c>
      <c r="AX26" s="161">
        <f>IF($H26=0,0,CHOOSE($H26,SUMPRODUCT($O27:$O$67*AX27:AX$67*($E27:$E$67=$D26)),IF(ISNUMBER(Data_2014_N!AR26),100*ABS($G26-(Data_2014_N!AR26-$K26)/$M26),0),IF(ISNUMBER(Data_2014_N!AR26),100*ABS($G26-(Data_2014_N!AR26-$K26)/$M26),0)))</f>
        <v>73.7221392395321</v>
      </c>
      <c r="AY26" s="161">
        <f>IF($H26=0,0,CHOOSE($H26,SUMPRODUCT($O27:$O$67*AY27:AY$67*($E27:$E$67=$D26)),IF(ISNUMBER(Data_2014_N!AS26),100*ABS($G26-(Data_2014_N!AS26-$K26)/$M26),0),IF(ISNUMBER(Data_2014_N!AS26),100*ABS($G26-(Data_2014_N!AS26-$K26)/$M26),0)))</f>
        <v>83.4725123772754</v>
      </c>
      <c r="AZ26" s="161">
        <f>IF($H26=0,0,CHOOSE($H26,SUMPRODUCT($O27:$O$67*AZ27:AZ$67*($E27:$E$67=$D26)),IF(ISNUMBER(Data_2014_N!AT26),100*ABS($G26-(Data_2014_N!AT26-$K26)/$M26),0),IF(ISNUMBER(Data_2014_N!AT26),100*ABS($G26-(Data_2014_N!AT26-$K26)/$M26),0)))</f>
        <v>76.7067224478077</v>
      </c>
      <c r="BA26" s="161">
        <f>IF($H26=0,0,CHOOSE($H26,SUMPRODUCT($O27:$O$67*BA27:BA$67*($E27:$E$67=$D26)),IF(ISNUMBER(Data_2014_N!AU26),100*ABS($G26-(Data_2014_N!AU26-$K26)/$M26),0),IF(ISNUMBER(Data_2014_N!AU26),100*ABS($G26-(Data_2014_N!AU26-$K26)/$M26),0)))</f>
        <v>86.5432379099761</v>
      </c>
      <c r="BB26" s="161">
        <f>IF($H26=0,0,CHOOSE($H26,SUMPRODUCT($O27:$O$67*BB27:BB$67*($E27:$E$67=$D26)),IF(ISNUMBER(Data_2014_N!AV26),100*ABS($G26-(Data_2014_N!AV26-$K26)/$M26),0),IF(ISNUMBER(Data_2014_N!AV26),100*ABS($G26-(Data_2014_N!AV26-$K26)/$M26),0)))</f>
        <v>83.9939518835082</v>
      </c>
      <c r="BC26" s="161">
        <f>IF($H26=0,0,CHOOSE($H26,SUMPRODUCT($O27:$O$67*BC27:BC$67*($E27:$E$67=$D26)),IF(ISNUMBER(Data_2014_N!AW26),100*ABS($G26-(Data_2014_N!AW26-$K26)/$M26),0),IF(ISNUMBER(Data_2014_N!AW26),100*ABS($G26-(Data_2014_N!AW26-$K26)/$M26),0)))</f>
        <v>85.1633681901831</v>
      </c>
      <c r="BD26" s="161">
        <f>IF($H26=0,0,CHOOSE($H26,SUMPRODUCT($O27:$O$67*BD27:BD$67*($E27:$E$67=$D26)),IF(ISNUMBER(Data_2014_N!AX26),100*ABS($G26-(Data_2014_N!AX26-$K26)/$M26),0),IF(ISNUMBER(Data_2014_N!AX26),100*ABS($G26-(Data_2014_N!AX26-$K26)/$M26),0)))</f>
        <v>75.7462995039911</v>
      </c>
      <c r="BE26" s="161">
        <f>IF($H26=0,0,CHOOSE($H26,SUMPRODUCT($O27:$O$67*BE27:BE$67*($E27:$E$67=$D26)),IF(ISNUMBER(Data_2014_N!AY26),100*ABS($G26-(Data_2014_N!AY26-$K26)/$M26),0),IF(ISNUMBER(Data_2014_N!AY26),100*ABS($G26-(Data_2014_N!AY26-$K26)/$M26),0)))</f>
        <v>60.0679872143348</v>
      </c>
      <c r="BF26" s="161">
        <f>IF($H26=0,0,CHOOSE($H26,SUMPRODUCT($O27:$O$67*BF27:BF$67*($E27:$E$67=$D26)),IF(ISNUMBER(Data_2014_N!AZ26),100*ABS($G26-(Data_2014_N!AZ26-$K26)/$M26),0),IF(ISNUMBER(Data_2014_N!AZ26),100*ABS($G26-(Data_2014_N!AZ26-$K26)/$M26),0)))</f>
        <v>81.686999780707</v>
      </c>
      <c r="BG26" s="161">
        <f>IF($H26=0,0,CHOOSE($H26,SUMPRODUCT($O27:$O$67*BG27:BG$67*($E27:$E$67=$D26)),IF(ISNUMBER(Data_2014_N!BA26),100*ABS($G26-(Data_2014_N!BA26-$K26)/$M26),0),IF(ISNUMBER(Data_2014_N!BA26),100*ABS($G26-(Data_2014_N!BA26-$K26)/$M26),0)))</f>
        <v>84.2797012169303</v>
      </c>
      <c r="BH26" s="161">
        <f>IF($H26=0,0,CHOOSE($H26,SUMPRODUCT($O27:$O$67*BH27:BH$67*($E27:$E$67=$D26)),IF(ISNUMBER(Data_2014_N!BB26),100*ABS($G26-(Data_2014_N!BB26-$K26)/$M26),0),IF(ISNUMBER(Data_2014_N!BB26),100*ABS($G26-(Data_2014_N!BB26-$K26)/$M26),0)))</f>
        <v>76.0424378903858</v>
      </c>
      <c r="BI26" s="161">
        <f>IF($H26=0,0,CHOOSE($H26,SUMPRODUCT($O27:$O$67*BI27:BI$67*($E27:$E$67=$D26)),IF(ISNUMBER(Data_2014_N!BC26),100*ABS($G26-(Data_2014_N!BC26-$K26)/$M26),0),IF(ISNUMBER(Data_2014_N!BC26),100*ABS($G26-(Data_2014_N!BC26-$K26)/$M26),0)))</f>
        <v>88.8893131428585</v>
      </c>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row>
    <row r="27" s="69" customFormat="1" ht="24.95" customHeight="1" spans="1:115">
      <c r="A27" s="92"/>
      <c r="B27" s="92">
        <f>tblIndicators!A23</f>
        <v>22</v>
      </c>
      <c r="C27" s="92">
        <f>tblIndicators!B23</f>
        <v>0</v>
      </c>
      <c r="D27" s="92" t="str">
        <f>tblIndicators!D23</f>
        <v>HESE2.2.1</v>
      </c>
      <c r="E27" s="92" t="str">
        <f>tblIndicators!E23</f>
        <v>HESE2.2</v>
      </c>
      <c r="F27" s="92">
        <f>tblIndicators!F23</f>
        <v>3</v>
      </c>
      <c r="G27" s="92">
        <f>tblIndicators!Y23</f>
        <v>1</v>
      </c>
      <c r="H27" s="92">
        <f>tblIndicators!Z23</f>
        <v>3</v>
      </c>
      <c r="I27" s="104">
        <f>tblIndicators!AA23</f>
        <v>0</v>
      </c>
      <c r="J27" s="92">
        <f>tblIndicators!AB23</f>
        <v>100</v>
      </c>
      <c r="K27" s="92">
        <f>CHOOSE(H27,"-",MIN(Data_2014_N!J27:BC27),I27)</f>
        <v>0</v>
      </c>
      <c r="L27" s="165">
        <f>CHOOSE(H27,"-",MAX(Data_2014_N!J27:BC27),J27)</f>
        <v>100</v>
      </c>
      <c r="M27" s="92">
        <f t="shared" si="1"/>
        <v>100</v>
      </c>
      <c r="N27" s="168" t="str">
        <f>REPT(" ",F27)&amp;tblIndicators!AE23</f>
        <v>   2.2.1) Air quality (PM 2.5 levels)</v>
      </c>
      <c r="O27" s="169">
        <f>tblIndicators!AD23</f>
        <v>0.166666666666667</v>
      </c>
      <c r="P27" s="161">
        <f>IF($H27=0,0,CHOOSE($H27,SUMPRODUCT($O28:$O$67*P28:P$67*($E28:$E$67=$D27)),IF(ISNUMBER(Data_2014_N!J27),100*ABS($G27-(Data_2014_N!J27-$K27)/$M27),0),IF(ISNUMBER(Data_2014_N!J27),100*ABS($G27-(Data_2014_N!J27-$K27)/$M27),0)))</f>
        <v>36</v>
      </c>
      <c r="Q27" s="161">
        <f>IF($H27=0,0,CHOOSE($H27,SUMPRODUCT($O28:$O$67*Q28:Q$67*($E28:$E$67=$D27)),IF(ISNUMBER(Data_2014_N!K27),100*ABS($G27-(Data_2014_N!K27-$K27)/$M27),0),IF(ISNUMBER(Data_2014_N!K27),100*ABS($G27-(Data_2014_N!K27-$K27)/$M27),0)))</f>
        <v>82</v>
      </c>
      <c r="R27" s="161">
        <f>IF($H27=0,0,CHOOSE($H27,SUMPRODUCT($O28:$O$67*R28:R$67*($E28:$E$67=$D27)),IF(ISNUMBER(Data_2014_N!L27),100*ABS($G27-(Data_2014_N!L27-$K27)/$M27),0),IF(ISNUMBER(Data_2014_N!L27),100*ABS($G27-(Data_2014_N!L27-$K27)/$M27),0)))</f>
        <v>80</v>
      </c>
      <c r="S27" s="161">
        <f>IF($H27=0,0,CHOOSE($H27,SUMPRODUCT($O28:$O$67*S28:S$67*($E28:$E$67=$D27)),IF(ISNUMBER(Data_2014_N!M27),100*ABS($G27-(Data_2014_N!M27-$K27)/$M27),0),IF(ISNUMBER(Data_2014_N!M27),100*ABS($G27-(Data_2014_N!M27-$K27)/$M27),0)))</f>
        <v>84</v>
      </c>
      <c r="T27" s="161">
        <f>IF($H27=0,0,CHOOSE($H27,SUMPRODUCT($O28:$O$67*T28:T$67*($E28:$E$67=$D27)),IF(ISNUMBER(Data_2014_N!N27),100*ABS($G27-(Data_2014_N!N27-$K27)/$M27),0),IF(ISNUMBER(Data_2014_N!N27),100*ABS($G27-(Data_2014_N!N27-$K27)/$M27),0)))</f>
        <v>44</v>
      </c>
      <c r="U27" s="161">
        <f>IF($H27=0,0,CHOOSE($H27,SUMPRODUCT($O28:$O$67*U28:U$67*($E28:$E$67=$D27)),IF(ISNUMBER(Data_2014_N!O27),100*ABS($G27-(Data_2014_N!O27-$K27)/$M27),0),IF(ISNUMBER(Data_2014_N!O27),100*ABS($G27-(Data_2014_N!O27-$K27)/$M27),0)))</f>
        <v>82</v>
      </c>
      <c r="V27" s="161">
        <f>IF($H27=0,0,CHOOSE($H27,SUMPRODUCT($O28:$O$67*V28:V$67*($E28:$E$67=$D27)),IF(ISNUMBER(Data_2014_N!P27),100*ABS($G27-(Data_2014_N!P27-$K27)/$M27),0),IF(ISNUMBER(Data_2014_N!P27),100*ABS($G27-(Data_2014_N!P27-$K27)/$M27),0)))</f>
        <v>84</v>
      </c>
      <c r="W27" s="161">
        <f>IF($H27=0,0,CHOOSE($H27,SUMPRODUCT($O28:$O$67*W28:W$67*($E28:$E$67=$D27)),IF(ISNUMBER(Data_2014_N!Q27),100*ABS($G27-(Data_2014_N!Q27-$K27)/$M27),0),IF(ISNUMBER(Data_2014_N!Q27),100*ABS($G27-(Data_2014_N!Q27-$K27)/$M27),0)))</f>
        <v>87</v>
      </c>
      <c r="X27" s="161">
        <f>IF($H27=0,0,CHOOSE($H27,SUMPRODUCT($O28:$O$67*X28:X$67*($E28:$E$67=$D27)),IF(ISNUMBER(Data_2014_N!R27),100*ABS($G27-(Data_2014_N!R27-$K27)/$M27),0),IF(ISNUMBER(Data_2014_N!R27),100*ABS($G27-(Data_2014_N!R27-$K27)/$M27),0)))</f>
        <v>53</v>
      </c>
      <c r="Y27" s="161">
        <f>IF($H27=0,0,CHOOSE($H27,SUMPRODUCT($O28:$O$67*Y28:Y$67*($E28:$E$67=$D27)),IF(ISNUMBER(Data_2014_N!S27),100*ABS($G27-(Data_2014_N!S27-$K27)/$M27),0),IF(ISNUMBER(Data_2014_N!S27),100*ABS($G27-(Data_2014_N!S27-$K27)/$M27),0)))</f>
        <v>6.99999999999999</v>
      </c>
      <c r="Z27" s="161">
        <f>IF($H27=0,0,CHOOSE($H27,SUMPRODUCT($O28:$O$67*Z28:Z$67*($E28:$E$67=$D27)),IF(ISNUMBER(Data_2014_N!T27),100*ABS($G27-(Data_2014_N!T27-$K27)/$M27),0),IF(ISNUMBER(Data_2014_N!T27),100*ABS($G27-(Data_2014_N!T27-$K27)/$M27),0)))</f>
        <v>82</v>
      </c>
      <c r="AA27" s="161">
        <f>IF($H27=0,0,CHOOSE($H27,SUMPRODUCT($O28:$O$67*AA28:AA$67*($E28:$E$67=$D27)),IF(ISNUMBER(Data_2014_N!U27),100*ABS($G27-(Data_2014_N!U27-$K27)/$M27),0),IF(ISNUMBER(Data_2014_N!U27),100*ABS($G27-(Data_2014_N!U27-$K27)/$M27),0)))</f>
        <v>73</v>
      </c>
      <c r="AB27" s="161">
        <f>IF($H27=0,0,CHOOSE($H27,SUMPRODUCT($O28:$O$67*AB28:AB$67*($E28:$E$67=$D27)),IF(ISNUMBER(Data_2014_N!V27),100*ABS($G27-(Data_2014_N!V27-$K27)/$M27),0),IF(ISNUMBER(Data_2014_N!V27),100*ABS($G27-(Data_2014_N!V27-$K27)/$M27),0)))</f>
        <v>79</v>
      </c>
      <c r="AC27" s="161">
        <f>IF($H27=0,0,CHOOSE($H27,SUMPRODUCT($O28:$O$67*AC28:AC$67*($E28:$E$67=$D27)),IF(ISNUMBER(Data_2014_N!W27),100*ABS($G27-(Data_2014_N!W27-$K27)/$M27),0),IF(ISNUMBER(Data_2014_N!W27),100*ABS($G27-(Data_2014_N!W27-$K27)/$M27),0)))</f>
        <v>68</v>
      </c>
      <c r="AD27" s="161">
        <f>IF($H27=0,0,CHOOSE($H27,SUMPRODUCT($O28:$O$67*AD28:AD$67*($E28:$E$67=$D27)),IF(ISNUMBER(Data_2014_N!X27),100*ABS($G27-(Data_2014_N!X27-$K27)/$M27),0),IF(ISNUMBER(Data_2014_N!X27),100*ABS($G27-(Data_2014_N!X27-$K27)/$M27),0)))</f>
        <v>79</v>
      </c>
      <c r="AE27" s="161">
        <f>IF($H27=0,0,CHOOSE($H27,SUMPRODUCT($O28:$O$67*AE28:AE$67*($E28:$E$67=$D27)),IF(ISNUMBER(Data_2014_N!Y27),100*ABS($G27-(Data_2014_N!Y27-$K27)/$M27),0),IF(ISNUMBER(Data_2014_N!Y27),100*ABS($G27-(Data_2014_N!Y27-$K27)/$M27),0)))</f>
        <v>49</v>
      </c>
      <c r="AF27" s="161">
        <f>IF($H27=0,0,CHOOSE($H27,SUMPRODUCT($O28:$O$67*AF28:AF$67*($E28:$E$67=$D27)),IF(ISNUMBER(Data_2014_N!Z27),100*ABS($G27-(Data_2014_N!Z27-$K27)/$M27),0),IF(ISNUMBER(Data_2014_N!Z27),100*ABS($G27-(Data_2014_N!Z27-$K27)/$M27),0)))</f>
        <v>40</v>
      </c>
      <c r="AG27" s="161">
        <f>IF($H27=0,0,CHOOSE($H27,SUMPRODUCT($O28:$O$67*AG28:AG$67*($E28:$E$67=$D27)),IF(ISNUMBER(Data_2014_N!AA27),100*ABS($G27-(Data_2014_N!AA27-$K27)/$M27),0),IF(ISNUMBER(Data_2014_N!AA27),100*ABS($G27-(Data_2014_N!AA27-$K27)/$M27),0)))</f>
        <v>62</v>
      </c>
      <c r="AH27" s="161">
        <f>IF($H27=0,0,CHOOSE($H27,SUMPRODUCT($O28:$O$67*AH28:AH$67*($E28:$E$67=$D27)),IF(ISNUMBER(Data_2014_N!AB27),100*ABS($G27-(Data_2014_N!AB27-$K27)/$M27),0),IF(ISNUMBER(Data_2014_N!AB27),100*ABS($G27-(Data_2014_N!AB27-$K27)/$M27),0)))</f>
        <v>84</v>
      </c>
      <c r="AI27" s="161">
        <f>IF($H27=0,0,CHOOSE($H27,SUMPRODUCT($O28:$O$67*AI28:AI$67*($E28:$E$67=$D27)),IF(ISNUMBER(Data_2014_N!AC27),100*ABS($G27-(Data_2014_N!AC27-$K27)/$M27),0),IF(ISNUMBER(Data_2014_N!AC27),100*ABS($G27-(Data_2014_N!AC27-$K27)/$M27),0)))</f>
        <v>80</v>
      </c>
      <c r="AJ27" s="161">
        <f>IF($H27=0,0,CHOOSE($H27,SUMPRODUCT($O28:$O$67*AJ28:AJ$67*($E28:$E$67=$D27)),IF(ISNUMBER(Data_2014_N!AD27),100*ABS($G27-(Data_2014_N!AD27-$K27)/$M27),0),IF(ISNUMBER(Data_2014_N!AD27),100*ABS($G27-(Data_2014_N!AD27-$K27)/$M27),0)))</f>
        <v>89</v>
      </c>
      <c r="AK27" s="161">
        <f>IF($H27=0,0,CHOOSE($H27,SUMPRODUCT($O28:$O$67*AK28:AK$67*($E28:$E$67=$D27)),IF(ISNUMBER(Data_2014_N!AE27),100*ABS($G27-(Data_2014_N!AE27-$K27)/$M27),0),IF(ISNUMBER(Data_2014_N!AE27),100*ABS($G27-(Data_2014_N!AE27-$K27)/$M27),0)))</f>
        <v>95</v>
      </c>
      <c r="AL27" s="161">
        <f>IF($H27=0,0,CHOOSE($H27,SUMPRODUCT($O28:$O$67*AL28:AL$67*($E28:$E$67=$D27)),IF(ISNUMBER(Data_2014_N!AF27),100*ABS($G27-(Data_2014_N!AF27-$K27)/$M27),0),IF(ISNUMBER(Data_2014_N!AF27),100*ABS($G27-(Data_2014_N!AF27-$K27)/$M27),0)))</f>
        <v>75</v>
      </c>
      <c r="AM27" s="161">
        <f>IF($H27=0,0,CHOOSE($H27,SUMPRODUCT($O28:$O$67*AM28:AM$67*($E28:$E$67=$D27)),IF(ISNUMBER(Data_2014_N!AG27),100*ABS($G27-(Data_2014_N!AG27-$K27)/$M27),0),IF(ISNUMBER(Data_2014_N!AG27),100*ABS($G27-(Data_2014_N!AG27-$K27)/$M27),0)))</f>
        <v>67</v>
      </c>
      <c r="AN27" s="161">
        <f>IF($H27=0,0,CHOOSE($H27,SUMPRODUCT($O28:$O$67*AN28:AN$67*($E28:$E$67=$D27)),IF(ISNUMBER(Data_2014_N!AH27),100*ABS($G27-(Data_2014_N!AH27-$K27)/$M27),0),IF(ISNUMBER(Data_2014_N!AH27),100*ABS($G27-(Data_2014_N!AH27-$K27)/$M27),0)))</f>
        <v>78</v>
      </c>
      <c r="AO27" s="161">
        <f>IF($H27=0,0,CHOOSE($H27,SUMPRODUCT($O28:$O$67*AO28:AO$67*($E28:$E$67=$D27)),IF(ISNUMBER(Data_2014_N!AI27),100*ABS($G27-(Data_2014_N!AI27-$K27)/$M27),0),IF(ISNUMBER(Data_2014_N!AI27),100*ABS($G27-(Data_2014_N!AI27-$K27)/$M27),0)))</f>
        <v>55</v>
      </c>
      <c r="AP27" s="161">
        <f>IF($H27=0,0,CHOOSE($H27,SUMPRODUCT($O28:$O$67*AP28:AP$67*($E28:$E$67=$D27)),IF(ISNUMBER(Data_2014_N!AJ27),100*ABS($G27-(Data_2014_N!AJ27-$K27)/$M27),0),IF(ISNUMBER(Data_2014_N!AJ27),100*ABS($G27-(Data_2014_N!AJ27-$K27)/$M27),0)))</f>
        <v>86</v>
      </c>
      <c r="AQ27" s="161">
        <f>IF($H27=0,0,CHOOSE($H27,SUMPRODUCT($O28:$O$67*AQ28:AQ$67*($E28:$E$67=$D27)),IF(ISNUMBER(Data_2014_N!AK27),100*ABS($G27-(Data_2014_N!AK27-$K27)/$M27),0),IF(ISNUMBER(Data_2014_N!AK27),100*ABS($G27-(Data_2014_N!AK27-$K27)/$M27),0)))</f>
        <v>91</v>
      </c>
      <c r="AR27" s="161">
        <f>IF($H27=0,0,CHOOSE($H27,SUMPRODUCT($O28:$O$67*AR28:AR$67*($E28:$E$67=$D27)),IF(ISNUMBER(Data_2014_N!AL27),100*ABS($G27-(Data_2014_N!AL27-$K27)/$M27),0),IF(ISNUMBER(Data_2014_N!AL27),100*ABS($G27-(Data_2014_N!AL27-$K27)/$M27),0)))</f>
        <v>83</v>
      </c>
      <c r="AS27" s="161">
        <f>IF($H27=0,0,CHOOSE($H27,SUMPRODUCT($O28:$O$67*AS28:AS$67*($E28:$E$67=$D27)),IF(ISNUMBER(Data_2014_N!AM27),100*ABS($G27-(Data_2014_N!AM27-$K27)/$M27),0),IF(ISNUMBER(Data_2014_N!AM27),100*ABS($G27-(Data_2014_N!AM27-$K27)/$M27),0)))</f>
        <v>64</v>
      </c>
      <c r="AT27" s="161">
        <f>IF($H27=0,0,CHOOSE($H27,SUMPRODUCT($O28:$O$67*AT28:AT$67*($E28:$E$67=$D27)),IF(ISNUMBER(Data_2014_N!AN27),100*ABS($G27-(Data_2014_N!AN27-$K27)/$M27),0),IF(ISNUMBER(Data_2014_N!AN27),100*ABS($G27-(Data_2014_N!AN27-$K27)/$M27),0)))</f>
        <v>72</v>
      </c>
      <c r="AU27" s="161">
        <f>IF($H27=0,0,CHOOSE($H27,SUMPRODUCT($O28:$O$67*AU28:AU$67*($E28:$E$67=$D27)),IF(ISNUMBER(Data_2014_N!AO27),100*ABS($G27-(Data_2014_N!AO27-$K27)/$M27),0),IF(ISNUMBER(Data_2014_N!AO27),100*ABS($G27-(Data_2014_N!AO27-$K27)/$M27),0)))</f>
        <v>79</v>
      </c>
      <c r="AV27" s="161">
        <f>IF($H27=0,0,CHOOSE($H27,SUMPRODUCT($O28:$O$67*AV28:AV$67*($E28:$E$67=$D27)),IF(ISNUMBER(Data_2014_N!AP27),100*ABS($G27-(Data_2014_N!AP27-$K27)/$M27),0),IF(ISNUMBER(Data_2014_N!AP27),100*ABS($G27-(Data_2014_N!AP27-$K27)/$M27),0)))</f>
        <v>90</v>
      </c>
      <c r="AW27" s="161">
        <f>IF($H27=0,0,CHOOSE($H27,SUMPRODUCT($O28:$O$67*AW28:AW$67*($E28:$E$67=$D27)),IF(ISNUMBER(Data_2014_N!AQ27),100*ABS($G27-(Data_2014_N!AQ27-$K27)/$M27),0),IF(ISNUMBER(Data_2014_N!AQ27),100*ABS($G27-(Data_2014_N!AQ27-$K27)/$M27),0)))</f>
        <v>74</v>
      </c>
      <c r="AX27" s="161">
        <f>IF($H27=0,0,CHOOSE($H27,SUMPRODUCT($O28:$O$67*AX28:AX$67*($E28:$E$67=$D27)),IF(ISNUMBER(Data_2014_N!AR27),100*ABS($G27-(Data_2014_N!AR27-$K27)/$M27),0),IF(ISNUMBER(Data_2014_N!AR27),100*ABS($G27-(Data_2014_N!AR27-$K27)/$M27),0)))</f>
        <v>81</v>
      </c>
      <c r="AY27" s="161">
        <f>IF($H27=0,0,CHOOSE($H27,SUMPRODUCT($O28:$O$67*AY28:AY$67*($E28:$E$67=$D27)),IF(ISNUMBER(Data_2014_N!AS27),100*ABS($G27-(Data_2014_N!AS27-$K27)/$M27),0),IF(ISNUMBER(Data_2014_N!AS27),100*ABS($G27-(Data_2014_N!AS27-$K27)/$M27),0)))</f>
        <v>78</v>
      </c>
      <c r="AZ27" s="161">
        <f>IF($H27=0,0,CHOOSE($H27,SUMPRODUCT($O28:$O$67*AZ28:AZ$67*($E28:$E$67=$D27)),IF(ISNUMBER(Data_2014_N!AT27),100*ABS($G27-(Data_2014_N!AT27-$K27)/$M27),0),IF(ISNUMBER(Data_2014_N!AT27),100*ABS($G27-(Data_2014_N!AT27-$K27)/$M27),0)))</f>
        <v>64</v>
      </c>
      <c r="BA27" s="161">
        <f>IF($H27=0,0,CHOOSE($H27,SUMPRODUCT($O28:$O$67*BA28:BA$67*($E28:$E$67=$D27)),IF(ISNUMBER(Data_2014_N!AU27),100*ABS($G27-(Data_2014_N!AU27-$K27)/$M27),0),IF(ISNUMBER(Data_2014_N!AU27),100*ABS($G27-(Data_2014_N!AU27-$K27)/$M27),0)))</f>
        <v>83</v>
      </c>
      <c r="BB27" s="161">
        <f>IF($H27=0,0,CHOOSE($H27,SUMPRODUCT($O28:$O$67*BB28:BB$67*($E28:$E$67=$D27)),IF(ISNUMBER(Data_2014_N!AV27),100*ABS($G27-(Data_2014_N!AV27-$K27)/$M27),0),IF(ISNUMBER(Data_2014_N!AV27),100*ABS($G27-(Data_2014_N!AV27-$K27)/$M27),0)))</f>
        <v>93</v>
      </c>
      <c r="BC27" s="161">
        <f>IF($H27=0,0,CHOOSE($H27,SUMPRODUCT($O28:$O$67*BC28:BC$67*($E28:$E$67=$D27)),IF(ISNUMBER(Data_2014_N!AW27),100*ABS($G27-(Data_2014_N!AW27-$K27)/$M27),0),IF(ISNUMBER(Data_2014_N!AW27),100*ABS($G27-(Data_2014_N!AW27-$K27)/$M27),0)))</f>
        <v>95</v>
      </c>
      <c r="BD27" s="161">
        <f>IF($H27=0,0,CHOOSE($H27,SUMPRODUCT($O28:$O$67*BD28:BD$67*($E28:$E$67=$D27)),IF(ISNUMBER(Data_2014_N!AX27),100*ABS($G27-(Data_2014_N!AX27-$K27)/$M27),0),IF(ISNUMBER(Data_2014_N!AX27),100*ABS($G27-(Data_2014_N!AX27-$K27)/$M27),0)))</f>
        <v>59</v>
      </c>
      <c r="BE27" s="161">
        <f>IF($H27=0,0,CHOOSE($H27,SUMPRODUCT($O28:$O$67*BE28:BE$67*($E28:$E$67=$D27)),IF(ISNUMBER(Data_2014_N!AY27),100*ABS($G27-(Data_2014_N!AY27-$K27)/$M27),0),IF(ISNUMBER(Data_2014_N!AY27),100*ABS($G27-(Data_2014_N!AY27-$K27)/$M27),0)))</f>
        <v>70</v>
      </c>
      <c r="BF27" s="161">
        <f>IF($H27=0,0,CHOOSE($H27,SUMPRODUCT($O28:$O$67*BF28:BF$67*($E28:$E$67=$D27)),IF(ISNUMBER(Data_2014_N!AZ27),100*ABS($G27-(Data_2014_N!AZ27-$K27)/$M27),0),IF(ISNUMBER(Data_2014_N!AZ27),100*ABS($G27-(Data_2014_N!AZ27-$K27)/$M27),0)))</f>
        <v>90</v>
      </c>
      <c r="BG27" s="161">
        <f>IF($H27=0,0,CHOOSE($H27,SUMPRODUCT($O28:$O$67*BG28:BG$67*($E28:$E$67=$D27)),IF(ISNUMBER(Data_2014_N!BA27),100*ABS($G27-(Data_2014_N!BA27-$K27)/$M27),0),IF(ISNUMBER(Data_2014_N!BA27),100*ABS($G27-(Data_2014_N!BA27-$K27)/$M27),0)))</f>
        <v>92</v>
      </c>
      <c r="BH27" s="161">
        <f>IF($H27=0,0,CHOOSE($H27,SUMPRODUCT($O28:$O$67*BH28:BH$67*($E28:$E$67=$D27)),IF(ISNUMBER(Data_2014_N!BB27),100*ABS($G27-(Data_2014_N!BB27-$K27)/$M27),0),IF(ISNUMBER(Data_2014_N!BB27),100*ABS($G27-(Data_2014_N!BB27-$K27)/$M27),0)))</f>
        <v>88</v>
      </c>
      <c r="BI27" s="161">
        <f>IF($H27=0,0,CHOOSE($H27,SUMPRODUCT($O28:$O$67*BI28:BI$67*($E28:$E$67=$D27)),IF(ISNUMBER(Data_2014_N!BC27),100*ABS($G27-(Data_2014_N!BC27-$K27)/$M27),0),IF(ISNUMBER(Data_2014_N!BC27),100*ABS($G27-(Data_2014_N!BC27-$K27)/$M27),0)))</f>
        <v>86</v>
      </c>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row>
    <row r="28" s="69" customFormat="1" ht="24.95" customHeight="1" spans="1:115">
      <c r="A28" s="92"/>
      <c r="B28" s="92">
        <f>tblIndicators!A24</f>
        <v>23</v>
      </c>
      <c r="C28" s="92">
        <f>tblIndicators!B24</f>
        <v>0</v>
      </c>
      <c r="D28" s="92" t="str">
        <f>tblIndicators!D24</f>
        <v>HESE2.2.2</v>
      </c>
      <c r="E28" s="92" t="str">
        <f>tblIndicators!E24</f>
        <v>HESE2.2</v>
      </c>
      <c r="F28" s="92">
        <f>tblIndicators!F24</f>
        <v>3</v>
      </c>
      <c r="G28" s="92">
        <f>tblIndicators!Y24</f>
        <v>0</v>
      </c>
      <c r="H28" s="92">
        <f>tblIndicators!Z24</f>
        <v>3</v>
      </c>
      <c r="I28" s="104">
        <f>tblIndicators!AA24</f>
        <v>0</v>
      </c>
      <c r="J28" s="92">
        <f>tblIndicators!AB24</f>
        <v>100</v>
      </c>
      <c r="K28" s="92">
        <f>CHOOSE(H28,"-",MIN(Data_2014_N!J28:BC28),I28)</f>
        <v>0</v>
      </c>
      <c r="L28" s="165">
        <f>CHOOSE(H28,"-",MAX(Data_2014_N!J28:BC28),J28)</f>
        <v>100</v>
      </c>
      <c r="M28" s="92">
        <f t="shared" si="1"/>
        <v>100</v>
      </c>
      <c r="N28" s="168" t="str">
        <f>REPT(" ",F28)&amp;tblIndicators!AE24</f>
        <v>   2.2.2) Water quality</v>
      </c>
      <c r="O28" s="169">
        <f>tblIndicators!AD24</f>
        <v>0.166666666666667</v>
      </c>
      <c r="P28" s="161">
        <f>IF($H28=0,0,CHOOSE($H28,SUMPRODUCT($O29:$O$67*P29:P$67*($E29:$E$67=$D28)),IF(ISNUMBER(Data_2014_N!J28),100*ABS($G28-(Data_2014_N!J28-$K28)/$M28),0),IF(ISNUMBER(Data_2014_N!J28),100*ABS($G28-(Data_2014_N!J28-$K28)/$M28),0)))</f>
        <v>61</v>
      </c>
      <c r="Q28" s="161">
        <f>IF($H28=0,0,CHOOSE($H28,SUMPRODUCT($O29:$O$67*Q29:Q$67*($E29:$E$67=$D28)),IF(ISNUMBER(Data_2014_N!K28),100*ABS($G28-(Data_2014_N!K28-$K28)/$M28),0),IF(ISNUMBER(Data_2014_N!K28),100*ABS($G28-(Data_2014_N!K28-$K28)/$M28),0)))</f>
        <v>92.1</v>
      </c>
      <c r="R28" s="161">
        <f>IF($H28=0,0,CHOOSE($H28,SUMPRODUCT($O29:$O$67*R29:R$67*($E29:$E$67=$D28)),IF(ISNUMBER(Data_2014_N!L28),100*ABS($G28-(Data_2014_N!L28-$K28)/$M28),0),IF(ISNUMBER(Data_2014_N!L28),100*ABS($G28-(Data_2014_N!L28-$K28)/$M28),0)))</f>
        <v>48.5</v>
      </c>
      <c r="S28" s="161">
        <f>IF($H28=0,0,CHOOSE($H28,SUMPRODUCT($O29:$O$67*S29:S$67*($E29:$E$67=$D28)),IF(ISNUMBER(Data_2014_N!M28),100*ABS($G28-(Data_2014_N!M28-$K28)/$M28),0),IF(ISNUMBER(Data_2014_N!M28),100*ABS($G28-(Data_2014_N!M28-$K28)/$M28),0)))</f>
        <v>85.9</v>
      </c>
      <c r="T28" s="161">
        <f>IF($H28=0,0,CHOOSE($H28,SUMPRODUCT($O29:$O$67*T29:T$67*($E29:$E$67=$D28)),IF(ISNUMBER(Data_2014_N!N28),100*ABS($G28-(Data_2014_N!N28-$K28)/$M28),0),IF(ISNUMBER(Data_2014_N!N28),100*ABS($G28-(Data_2014_N!N28-$K28)/$M28),0)))</f>
        <v>72.4</v>
      </c>
      <c r="U28" s="161">
        <f>IF($H28=0,0,CHOOSE($H28,SUMPRODUCT($O29:$O$67*U29:U$67*($E29:$E$67=$D28)),IF(ISNUMBER(Data_2014_N!O28),100*ABS($G28-(Data_2014_N!O28-$K28)/$M28),0),IF(ISNUMBER(Data_2014_N!O28),100*ABS($G28-(Data_2014_N!O28-$K28)/$M28),0)))</f>
        <v>90.5</v>
      </c>
      <c r="V28" s="161">
        <f>IF($H28=0,0,CHOOSE($H28,SUMPRODUCT($O29:$O$67*V29:V$67*($E29:$E$67=$D28)),IF(ISNUMBER(Data_2014_N!P28),100*ABS($G28-(Data_2014_N!P28-$K28)/$M28),0),IF(ISNUMBER(Data_2014_N!P28),100*ABS($G28-(Data_2014_N!P28-$K28)/$M28),0)))</f>
        <v>43.4</v>
      </c>
      <c r="W28" s="161">
        <f>IF($H28=0,0,CHOOSE($H28,SUMPRODUCT($O29:$O$67*W29:W$67*($E29:$E$67=$D28)),IF(ISNUMBER(Data_2014_N!Q28),100*ABS($G28-(Data_2014_N!Q28-$K28)/$M28),0),IF(ISNUMBER(Data_2014_N!Q28),100*ABS($G28-(Data_2014_N!Q28-$K28)/$M28),0)))</f>
        <v>82.2</v>
      </c>
      <c r="X28" s="161">
        <f>IF($H28=0,0,CHOOSE($H28,SUMPRODUCT($O29:$O$67*X29:X$67*($E29:$E$67=$D28)),IF(ISNUMBER(Data_2014_N!R28),100*ABS($G28-(Data_2014_N!R28-$K28)/$M28),0),IF(ISNUMBER(Data_2014_N!R28),100*ABS($G28-(Data_2014_N!R28-$K28)/$M28),0)))</f>
        <v>56.3</v>
      </c>
      <c r="Y28" s="161">
        <f>IF($H28=0,0,CHOOSE($H28,SUMPRODUCT($O29:$O$67*Y29:Y$67*($E29:$E$67=$D28)),IF(ISNUMBER(Data_2014_N!S28),100*ABS($G28-(Data_2014_N!S28-$K28)/$M28),0),IF(ISNUMBER(Data_2014_N!S28),100*ABS($G28-(Data_2014_N!S28-$K28)/$M28),0)))</f>
        <v>35</v>
      </c>
      <c r="Z28" s="161">
        <f>IF($H28=0,0,CHOOSE($H28,SUMPRODUCT($O29:$O$67*Z29:Z$67*($E29:$E$67=$D28)),IF(ISNUMBER(Data_2014_N!T28),100*ABS($G28-(Data_2014_N!T28-$K28)/$M28),0),IF(ISNUMBER(Data_2014_N!T28),100*ABS($G28-(Data_2014_N!T28-$K28)/$M28),0)))</f>
        <v>88.6</v>
      </c>
      <c r="AA28" s="161">
        <f>IF($H28=0,0,CHOOSE($H28,SUMPRODUCT($O29:$O$67*AA29:AA$67*($E29:$E$67=$D28)),IF(ISNUMBER(Data_2014_N!U28),100*ABS($G28-(Data_2014_N!U28-$K28)/$M28),0),IF(ISNUMBER(Data_2014_N!U28),100*ABS($G28-(Data_2014_N!U28-$K28)/$M28),0)))</f>
        <v>55.2</v>
      </c>
      <c r="AB28" s="161">
        <f>IF($H28=0,0,CHOOSE($H28,SUMPRODUCT($O29:$O$67*AB29:AB$67*($E29:$E$67=$D28)),IF(ISNUMBER(Data_2014_N!V28),100*ABS($G28-(Data_2014_N!V28-$K28)/$M28),0),IF(ISNUMBER(Data_2014_N!V28),100*ABS($G28-(Data_2014_N!V28-$K28)/$M28),0)))</f>
        <v>64.5</v>
      </c>
      <c r="AC28" s="161">
        <f>IF($H28=0,0,CHOOSE($H28,SUMPRODUCT($O29:$O$67*AC29:AC$67*($E29:$E$67=$D28)),IF(ISNUMBER(Data_2014_N!W28),100*ABS($G28-(Data_2014_N!W28-$K28)/$M28),0),IF(ISNUMBER(Data_2014_N!W28),100*ABS($G28-(Data_2014_N!W28-$K28)/$M28),0)))</f>
        <v>55.9</v>
      </c>
      <c r="AD28" s="161">
        <f>IF($H28=0,0,CHOOSE($H28,SUMPRODUCT($O29:$O$67*AD29:AD$67*($E29:$E$67=$D28)),IF(ISNUMBER(Data_2014_N!X28),100*ABS($G28-(Data_2014_N!X28-$K28)/$M28),0),IF(ISNUMBER(Data_2014_N!X28),100*ABS($G28-(Data_2014_N!X28-$K28)/$M28),0)))</f>
        <v>49.2</v>
      </c>
      <c r="AE28" s="161">
        <f>IF($H28=0,0,CHOOSE($H28,SUMPRODUCT($O29:$O$67*AE29:AE$67*($E29:$E$67=$D28)),IF(ISNUMBER(Data_2014_N!Y28),100*ABS($G28-(Data_2014_N!Y28-$K28)/$M28),0),IF(ISNUMBER(Data_2014_N!Y28),100*ABS($G28-(Data_2014_N!Y28-$K28)/$M28),0)))</f>
        <v>59.9</v>
      </c>
      <c r="AF28" s="161">
        <f>IF($H28=0,0,CHOOSE($H28,SUMPRODUCT($O29:$O$67*AF29:AF$67*($E29:$E$67=$D28)),IF(ISNUMBER(Data_2014_N!Z28),100*ABS($G28-(Data_2014_N!Z28-$K28)/$M28),0),IF(ISNUMBER(Data_2014_N!Z28),100*ABS($G28-(Data_2014_N!Z28-$K28)/$M28),0)))</f>
        <v>59</v>
      </c>
      <c r="AG28" s="161">
        <f>IF($H28=0,0,CHOOSE($H28,SUMPRODUCT($O29:$O$67*AG29:AG$67*($E29:$E$67=$D28)),IF(ISNUMBER(Data_2014_N!AA28),100*ABS($G28-(Data_2014_N!AA28-$K28)/$M28),0),IF(ISNUMBER(Data_2014_N!AA28),100*ABS($G28-(Data_2014_N!AA28-$K28)/$M28),0)))</f>
        <v>59</v>
      </c>
      <c r="AH28" s="161">
        <f>IF($H28=0,0,CHOOSE($H28,SUMPRODUCT($O29:$O$67*AH29:AH$67*($E29:$E$67=$D28)),IF(ISNUMBER(Data_2014_N!AB28),100*ABS($G28-(Data_2014_N!AB28-$K28)/$M28),0),IF(ISNUMBER(Data_2014_N!AB28),100*ABS($G28-(Data_2014_N!AB28-$K28)/$M28),0)))</f>
        <v>85.8</v>
      </c>
      <c r="AI28" s="161">
        <f>IF($H28=0,0,CHOOSE($H28,SUMPRODUCT($O29:$O$67*AI29:AI$67*($E29:$E$67=$D28)),IF(ISNUMBER(Data_2014_N!AC28),100*ABS($G28-(Data_2014_N!AC28-$K28)/$M28),0),IF(ISNUMBER(Data_2014_N!AC28),100*ABS($G28-(Data_2014_N!AC28-$K28)/$M28),0)))</f>
        <v>81.7</v>
      </c>
      <c r="AJ28" s="161">
        <f>IF($H28=0,0,CHOOSE($H28,SUMPRODUCT($O29:$O$67*AJ29:AJ$67*($E29:$E$67=$D28)),IF(ISNUMBER(Data_2014_N!AD28),100*ABS($G28-(Data_2014_N!AD28-$K28)/$M28),0),IF(ISNUMBER(Data_2014_N!AD28),100*ABS($G28-(Data_2014_N!AD28-$K28)/$M28),0)))</f>
        <v>85.9</v>
      </c>
      <c r="AK28" s="161">
        <f>IF($H28=0,0,CHOOSE($H28,SUMPRODUCT($O29:$O$67*AK29:AK$67*($E29:$E$67=$D28)),IF(ISNUMBER(Data_2014_N!AE28),100*ABS($G28-(Data_2014_N!AE28-$K28)/$M28),0),IF(ISNUMBER(Data_2014_N!AE28),100*ABS($G28-(Data_2014_N!AE28-$K28)/$M28),0)))</f>
        <v>67.6</v>
      </c>
      <c r="AL28" s="161">
        <f>IF($H28=0,0,CHOOSE($H28,SUMPRODUCT($O29:$O$67*AL29:AL$67*($E29:$E$67=$D28)),IF(ISNUMBER(Data_2014_N!AF28),100*ABS($G28-(Data_2014_N!AF28-$K28)/$M28),0),IF(ISNUMBER(Data_2014_N!AF28),100*ABS($G28-(Data_2014_N!AF28-$K28)/$M28),0)))</f>
        <v>66</v>
      </c>
      <c r="AM28" s="161">
        <f>IF($H28=0,0,CHOOSE($H28,SUMPRODUCT($O29:$O$67*AM29:AM$67*($E29:$E$67=$D28)),IF(ISNUMBER(Data_2014_N!AG28),100*ABS($G28-(Data_2014_N!AG28-$K28)/$M28),0),IF(ISNUMBER(Data_2014_N!AG28),100*ABS($G28-(Data_2014_N!AG28-$K28)/$M28),0)))</f>
        <v>68.8</v>
      </c>
      <c r="AN28" s="161">
        <f>IF($H28=0,0,CHOOSE($H28,SUMPRODUCT($O29:$O$67*AN29:AN$67*($E29:$E$67=$D28)),IF(ISNUMBER(Data_2014_N!AH28),100*ABS($G28-(Data_2014_N!AH28-$K28)/$M28),0),IF(ISNUMBER(Data_2014_N!AH28),100*ABS($G28-(Data_2014_N!AH28-$K28)/$M28),0)))</f>
        <v>67.4181818181818</v>
      </c>
      <c r="AO28" s="161">
        <f>IF($H28=0,0,CHOOSE($H28,SUMPRODUCT($O29:$O$67*AO29:AO$67*($E29:$E$67=$D28)),IF(ISNUMBER(Data_2014_N!AI28),100*ABS($G28-(Data_2014_N!AI28-$K28)/$M28),0),IF(ISNUMBER(Data_2014_N!AI28),100*ABS($G28-(Data_2014_N!AI28-$K28)/$M28),0)))</f>
        <v>64.5</v>
      </c>
      <c r="AP28" s="161">
        <f>IF($H28=0,0,CHOOSE($H28,SUMPRODUCT($O29:$O$67*AP29:AP$67*($E29:$E$67=$D28)),IF(ISNUMBER(Data_2014_N!AJ28),100*ABS($G28-(Data_2014_N!AJ28-$K28)/$M28),0),IF(ISNUMBER(Data_2014_N!AJ28),100*ABS($G28-(Data_2014_N!AJ28-$K28)/$M28),0)))</f>
        <v>88.8</v>
      </c>
      <c r="AQ28" s="161">
        <f>IF($H28=0,0,CHOOSE($H28,SUMPRODUCT($O29:$O$67*AQ29:AQ$67*($E29:$E$67=$D28)),IF(ISNUMBER(Data_2014_N!AK28),100*ABS($G28-(Data_2014_N!AK28-$K28)/$M28),0),IF(ISNUMBER(Data_2014_N!AK28),100*ABS($G28-(Data_2014_N!AK28-$K28)/$M28),0)))</f>
        <v>71.3</v>
      </c>
      <c r="AR28" s="161">
        <f>IF($H28=0,0,CHOOSE($H28,SUMPRODUCT($O29:$O$67*AR29:AR$67*($E29:$E$67=$D28)),IF(ISNUMBER(Data_2014_N!AL28),100*ABS($G28-(Data_2014_N!AL28-$K28)/$M28),0),IF(ISNUMBER(Data_2014_N!AL28),100*ABS($G28-(Data_2014_N!AL28-$K28)/$M28),0)))</f>
        <v>85.5</v>
      </c>
      <c r="AS28" s="161">
        <f>IF($H28=0,0,CHOOSE($H28,SUMPRODUCT($O29:$O$67*AS29:AS$67*($E29:$E$67=$D28)),IF(ISNUMBER(Data_2014_N!AM28),100*ABS($G28-(Data_2014_N!AM28-$K28)/$M28),0),IF(ISNUMBER(Data_2014_N!AM28),100*ABS($G28-(Data_2014_N!AM28-$K28)/$M28),0)))</f>
        <v>54.6</v>
      </c>
      <c r="AT28" s="161">
        <f>IF($H28=0,0,CHOOSE($H28,SUMPRODUCT($O29:$O$67*AT29:AT$67*($E29:$E$67=$D28)),IF(ISNUMBER(Data_2014_N!AN28),100*ABS($G28-(Data_2014_N!AN28-$K28)/$M28),0),IF(ISNUMBER(Data_2014_N!AN28),100*ABS($G28-(Data_2014_N!AN28-$K28)/$M28),0)))</f>
        <v>48</v>
      </c>
      <c r="AU28" s="161">
        <f>IF($H28=0,0,CHOOSE($H28,SUMPRODUCT($O29:$O$67*AU29:AU$67*($E29:$E$67=$D28)),IF(ISNUMBER(Data_2014_N!AO28),100*ABS($G28-(Data_2014_N!AO28-$K28)/$M28),0),IF(ISNUMBER(Data_2014_N!AO28),100*ABS($G28-(Data_2014_N!AO28-$K28)/$M28),0)))</f>
        <v>68.8</v>
      </c>
      <c r="AV28" s="161">
        <f>IF($H28=0,0,CHOOSE($H28,SUMPRODUCT($O29:$O$67*AV29:AV$67*($E29:$E$67=$D28)),IF(ISNUMBER(Data_2014_N!AP28),100*ABS($G28-(Data_2014_N!AP28-$K28)/$M28),0),IF(ISNUMBER(Data_2014_N!AP28),100*ABS($G28-(Data_2014_N!AP28-$K28)/$M28),0)))</f>
        <v>87.4</v>
      </c>
      <c r="AW28" s="161">
        <f>IF($H28=0,0,CHOOSE($H28,SUMPRODUCT($O29:$O$67*AW29:AW$67*($E29:$E$67=$D28)),IF(ISNUMBER(Data_2014_N!AQ28),100*ABS($G28-(Data_2014_N!AQ28-$K28)/$M28),0),IF(ISNUMBER(Data_2014_N!AQ28),100*ABS($G28-(Data_2014_N!AQ28-$K28)/$M28),0)))</f>
        <v>70.2</v>
      </c>
      <c r="AX28" s="161">
        <f>IF($H28=0,0,CHOOSE($H28,SUMPRODUCT($O29:$O$67*AX29:AX$67*($E29:$E$67=$D28)),IF(ISNUMBER(Data_2014_N!AR28),100*ABS($G28-(Data_2014_N!AR28-$K28)/$M28),0),IF(ISNUMBER(Data_2014_N!AR28),100*ABS($G28-(Data_2014_N!AR28-$K28)/$M28),0)))</f>
        <v>73.6</v>
      </c>
      <c r="AY28" s="161">
        <f>IF($H28=0,0,CHOOSE($H28,SUMPRODUCT($O29:$O$67*AY29:AY$67*($E29:$E$67=$D28)),IF(ISNUMBER(Data_2014_N!AS28),100*ABS($G28-(Data_2014_N!AS28-$K28)/$M28),0),IF(ISNUMBER(Data_2014_N!AS28),100*ABS($G28-(Data_2014_N!AS28-$K28)/$M28),0)))</f>
        <v>73.2</v>
      </c>
      <c r="AZ28" s="161">
        <f>IF($H28=0,0,CHOOSE($H28,SUMPRODUCT($O29:$O$67*AZ29:AZ$67*($E29:$E$67=$D28)),IF(ISNUMBER(Data_2014_N!AT28),100*ABS($G28-(Data_2014_N!AT28-$K28)/$M28),0),IF(ISNUMBER(Data_2014_N!AT28),100*ABS($G28-(Data_2014_N!AT28-$K28)/$M28),0)))</f>
        <v>63</v>
      </c>
      <c r="BA28" s="161">
        <f>IF($H28=0,0,CHOOSE($H28,SUMPRODUCT($O29:$O$67*BA29:BA$67*($E29:$E$67=$D28)),IF(ISNUMBER(Data_2014_N!AU28),100*ABS($G28-(Data_2014_N!AU28-$K28)/$M28),0),IF(ISNUMBER(Data_2014_N!AU28),100*ABS($G28-(Data_2014_N!AU28-$K28)/$M28),0)))</f>
        <v>78.8</v>
      </c>
      <c r="BB28" s="161">
        <f>IF($H28=0,0,CHOOSE($H28,SUMPRODUCT($O29:$O$67*BB29:BB$67*($E29:$E$67=$D28)),IF(ISNUMBER(Data_2014_N!AV28),100*ABS($G28-(Data_2014_N!AV28-$K28)/$M28),0),IF(ISNUMBER(Data_2014_N!AV28),100*ABS($G28-(Data_2014_N!AV28-$K28)/$M28),0)))</f>
        <v>71.4</v>
      </c>
      <c r="BC28" s="161">
        <f>IF($H28=0,0,CHOOSE($H28,SUMPRODUCT($O29:$O$67*BC29:BC$67*($E29:$E$67=$D28)),IF(ISNUMBER(Data_2014_N!AW28),100*ABS($G28-(Data_2014_N!AW28-$K28)/$M28),0),IF(ISNUMBER(Data_2014_N!AW28),100*ABS($G28-(Data_2014_N!AW28-$K28)/$M28),0)))</f>
        <v>82</v>
      </c>
      <c r="BD28" s="161">
        <f>IF($H28=0,0,CHOOSE($H28,SUMPRODUCT($O29:$O$67*BD29:BD$67*($E29:$E$67=$D28)),IF(ISNUMBER(Data_2014_N!AX28),100*ABS($G28-(Data_2014_N!AX28-$K28)/$M28),0),IF(ISNUMBER(Data_2014_N!AX28),100*ABS($G28-(Data_2014_N!AX28-$K28)/$M28),0)))</f>
        <v>62.9</v>
      </c>
      <c r="BE28" s="161">
        <f>IF($H28=0,0,CHOOSE($H28,SUMPRODUCT($O29:$O$67*BE29:BE$67*($E29:$E$67=$D28)),IF(ISNUMBER(Data_2014_N!AY28),100*ABS($G28-(Data_2014_N!AY28-$K28)/$M28),0),IF(ISNUMBER(Data_2014_N!AY28),100*ABS($G28-(Data_2014_N!AY28-$K28)/$M28),0)))</f>
        <v>46</v>
      </c>
      <c r="BF28" s="161">
        <f>IF($H28=0,0,CHOOSE($H28,SUMPRODUCT($O29:$O$67*BF29:BF$67*($E29:$E$67=$D28)),IF(ISNUMBER(Data_2014_N!AZ28),100*ABS($G28-(Data_2014_N!AZ28-$K28)/$M28),0),IF(ISNUMBER(Data_2014_N!AZ28),100*ABS($G28-(Data_2014_N!AZ28-$K28)/$M28),0)))</f>
        <v>79.5</v>
      </c>
      <c r="BG28" s="161">
        <f>IF($H28=0,0,CHOOSE($H28,SUMPRODUCT($O29:$O$67*BG29:BG$67*($E29:$E$67=$D28)),IF(ISNUMBER(Data_2014_N!BA28),100*ABS($G28-(Data_2014_N!BA28-$K28)/$M28),0),IF(ISNUMBER(Data_2014_N!BA28),100*ABS($G28-(Data_2014_N!BA28-$K28)/$M28),0)))</f>
        <v>83.5</v>
      </c>
      <c r="BH28" s="161">
        <f>IF($H28=0,0,CHOOSE($H28,SUMPRODUCT($O29:$O$67*BH29:BH$67*($E29:$E$67=$D28)),IF(ISNUMBER(Data_2014_N!BB28),100*ABS($G28-(Data_2014_N!BB28-$K28)/$M28),0),IF(ISNUMBER(Data_2014_N!BB28),100*ABS($G28-(Data_2014_N!BB28-$K28)/$M28),0)))</f>
        <v>67.3</v>
      </c>
      <c r="BI28" s="161">
        <f>IF($H28=0,0,CHOOSE($H28,SUMPRODUCT($O29:$O$67*BI29:BI$67*($E29:$E$67=$D28)),IF(ISNUMBER(Data_2014_N!BC28),100*ABS($G28-(Data_2014_N!BC28-$K28)/$M28),0),IF(ISNUMBER(Data_2014_N!BC28),100*ABS($G28-(Data_2014_N!BC28-$K28)/$M28),0)))</f>
        <v>88.8</v>
      </c>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row>
    <row r="29" s="69" customFormat="1" ht="24.95" customHeight="1" spans="1:115">
      <c r="A29" s="92"/>
      <c r="B29" s="92">
        <f>tblIndicators!A25</f>
        <v>24</v>
      </c>
      <c r="C29" s="92">
        <f>tblIndicators!B25</f>
        <v>0</v>
      </c>
      <c r="D29" s="92" t="str">
        <f>tblIndicators!D25</f>
        <v>HESE2.2.3</v>
      </c>
      <c r="E29" s="92" t="str">
        <f>tblIndicators!E25</f>
        <v>HESE2.2</v>
      </c>
      <c r="F29" s="92">
        <f>tblIndicators!F25</f>
        <v>3</v>
      </c>
      <c r="G29" s="92">
        <f>tblIndicators!Y25</f>
        <v>0</v>
      </c>
      <c r="H29" s="92">
        <f>tblIndicators!Z25</f>
        <v>2</v>
      </c>
      <c r="I29" s="104">
        <f>tblIndicators!AA25</f>
        <v>0</v>
      </c>
      <c r="J29" s="92">
        <f>tblIndicators!AB25</f>
        <v>0</v>
      </c>
      <c r="K29" s="92">
        <f>CHOOSE(H29,"-",MIN(Data_2014_N!J29:BC29),I29)</f>
        <v>59.6</v>
      </c>
      <c r="L29" s="165">
        <f>CHOOSE(H29,"-",MAX(Data_2014_N!J29:BC29),J29)</f>
        <v>85.9</v>
      </c>
      <c r="M29" s="92">
        <f t="shared" si="1"/>
        <v>26.3</v>
      </c>
      <c r="N29" s="168" t="str">
        <f>REPT(" ",F29)&amp;tblIndicators!AE25</f>
        <v>   2.2.3) Life expectancy years</v>
      </c>
      <c r="O29" s="169">
        <f>tblIndicators!AD25</f>
        <v>0.166666666666667</v>
      </c>
      <c r="P29" s="161">
        <f>IF($H29=0,0,CHOOSE($H29,SUMPRODUCT($O30:$O$67*P30:P$67*($E30:$E$67=$D29)),IF(ISNUMBER(Data_2014_N!J29),100*ABS($G29-(Data_2014_N!J29-$K29)/$M29),0),IF(ISNUMBER(Data_2014_N!J29),100*ABS($G29-(Data_2014_N!J29-$K29)/$M29),0)))</f>
        <v>66.1596958174905</v>
      </c>
      <c r="Q29" s="161">
        <f>IF($H29=0,0,CHOOSE($H29,SUMPRODUCT($O30:$O$67*Q30:Q$67*($E30:$E$67=$D29)),IF(ISNUMBER(Data_2014_N!K29),100*ABS($G29-(Data_2014_N!K29-$K29)/$M29),0),IF(ISNUMBER(Data_2014_N!K29),100*ABS($G29-(Data_2014_N!K29-$K29)/$M29),0)))</f>
        <v>73.1558935361217</v>
      </c>
      <c r="R29" s="161">
        <f>IF($H29=0,0,CHOOSE($H29,SUMPRODUCT($O30:$O$67*R30:R$67*($E30:$E$67=$D29)),IF(ISNUMBER(Data_2014_N!L29),100*ABS($G29-(Data_2014_N!L29-$K29)/$M29),0),IF(ISNUMBER(Data_2014_N!L29),100*ABS($G29-(Data_2014_N!L29-$K29)/$M29),0)))</f>
        <v>54.3726235741445</v>
      </c>
      <c r="S29" s="161">
        <f>IF($H29=0,0,CHOOSE($H29,SUMPRODUCT($O30:$O$67*S30:S$67*($E30:$E$67=$D29)),IF(ISNUMBER(Data_2014_N!M29),100*ABS($G29-(Data_2014_N!M29-$K29)/$M29),0),IF(ISNUMBER(Data_2014_N!M29),100*ABS($G29-(Data_2014_N!M29-$K29)/$M29),0)))</f>
        <v>85.9315589353612</v>
      </c>
      <c r="T29" s="161">
        <f>IF($H29=0,0,CHOOSE($H29,SUMPRODUCT($O30:$O$67*T30:T$67*($E30:$E$67=$D29)),IF(ISNUMBER(Data_2014_N!N29),100*ABS($G29-(Data_2014_N!N29-$K29)/$M29),0),IF(ISNUMBER(Data_2014_N!N29),100*ABS($G29-(Data_2014_N!N29-$K29)/$M29),0)))</f>
        <v>82.6996197718631</v>
      </c>
      <c r="U29" s="161">
        <f>IF($H29=0,0,CHOOSE($H29,SUMPRODUCT($O30:$O$67*U30:U$67*($E30:$E$67=$D29)),IF(ISNUMBER(Data_2014_N!O29),100*ABS($G29-(Data_2014_N!O29-$K29)/$M29),0),IF(ISNUMBER(Data_2014_N!O29),100*ABS($G29-(Data_2014_N!O29-$K29)/$M29),0)))</f>
        <v>79.467680608365</v>
      </c>
      <c r="V29" s="161">
        <f>IF($H29=0,0,CHOOSE($H29,SUMPRODUCT($O30:$O$67*V30:V$67*($E30:$E$67=$D29)),IF(ISNUMBER(Data_2014_N!P29),100*ABS($G29-(Data_2014_N!P29-$K29)/$M29),0),IF(ISNUMBER(Data_2014_N!P29),100*ABS($G29-(Data_2014_N!P29-$K29)/$M29),0)))</f>
        <v>63.8783269961977</v>
      </c>
      <c r="W29" s="161">
        <f>IF($H29=0,0,CHOOSE($H29,SUMPRODUCT($O30:$O$67*W30:W$67*($E30:$E$67=$D29)),IF(ISNUMBER(Data_2014_N!Q29),100*ABS($G29-(Data_2014_N!Q29-$K29)/$M29),0),IF(ISNUMBER(Data_2014_N!Q29),100*ABS($G29-(Data_2014_N!Q29-$K29)/$M29),0)))</f>
        <v>69.2015209125475</v>
      </c>
      <c r="X29" s="161">
        <f>IF($H29=0,0,CHOOSE($H29,SUMPRODUCT($O30:$O$67*X30:X$67*($E30:$E$67=$D29)),IF(ISNUMBER(Data_2014_N!R29),100*ABS($G29-(Data_2014_N!R29-$K29)/$M29),0),IF(ISNUMBER(Data_2014_N!R29),100*ABS($G29-(Data_2014_N!R29-$K29)/$M29),0)))</f>
        <v>38.0228136882129</v>
      </c>
      <c r="Y29" s="161">
        <f>IF($H29=0,0,CHOOSE($H29,SUMPRODUCT($O30:$O$67*Y30:Y$67*($E30:$E$67=$D29)),IF(ISNUMBER(Data_2014_N!S29),100*ABS($G29-(Data_2014_N!S29-$K29)/$M29),0),IF(ISNUMBER(Data_2014_N!S29),100*ABS($G29-(Data_2014_N!S29-$K29)/$M29),0)))</f>
        <v>71.0266159695817</v>
      </c>
      <c r="Z29" s="161">
        <f>IF($H29=0,0,CHOOSE($H29,SUMPRODUCT($O30:$O$67*Z30:Z$67*($E30:$E$67=$D29)),IF(ISNUMBER(Data_2014_N!T29),100*ABS($G29-(Data_2014_N!T29-$K29)/$M29),0),IF(ISNUMBER(Data_2014_N!T29),100*ABS($G29-(Data_2014_N!T29-$K29)/$M29),0)))</f>
        <v>74.7528517110266</v>
      </c>
      <c r="AA29" s="161">
        <f>IF($H29=0,0,CHOOSE($H29,SUMPRODUCT($O30:$O$67*AA30:AA$67*($E30:$E$67=$D29)),IF(ISNUMBER(Data_2014_N!U29),100*ABS($G29-(Data_2014_N!U29-$K29)/$M29),0),IF(ISNUMBER(Data_2014_N!U29),100*ABS($G29-(Data_2014_N!U29-$K29)/$M29),0)))</f>
        <v>49.6197718631179</v>
      </c>
      <c r="AB29" s="161">
        <f>IF($H29=0,0,CHOOSE($H29,SUMPRODUCT($O30:$O$67*AB30:AB$67*($E30:$E$67=$D29)),IF(ISNUMBER(Data_2014_N!V29),100*ABS($G29-(Data_2014_N!V29-$K29)/$M29),0),IF(ISNUMBER(Data_2014_N!V29),100*ABS($G29-(Data_2014_N!V29-$K29)/$M29),0)))</f>
        <v>92.6235741444866</v>
      </c>
      <c r="AC29" s="161">
        <f>IF($H29=0,0,CHOOSE($H29,SUMPRODUCT($O30:$O$67*AC30:AC$67*($E30:$E$67=$D29)),IF(ISNUMBER(Data_2014_N!W29),100*ABS($G29-(Data_2014_N!W29-$K29)/$M29),0),IF(ISNUMBER(Data_2014_N!W29),100*ABS($G29-(Data_2014_N!W29-$K29)/$M29),0)))</f>
        <v>48.6692015209126</v>
      </c>
      <c r="AD29" s="161">
        <f>IF($H29=0,0,CHOOSE($H29,SUMPRODUCT($O30:$O$67*AD30:AD$67*($E30:$E$67=$D29)),IF(ISNUMBER(Data_2014_N!X29),100*ABS($G29-(Data_2014_N!X29-$K29)/$M29),0),IF(ISNUMBER(Data_2014_N!X29),100*ABS($G29-(Data_2014_N!X29-$K29)/$M29),0)))</f>
        <v>51.8250950570342</v>
      </c>
      <c r="AE29" s="161">
        <f>IF($H29=0,0,CHOOSE($H29,SUMPRODUCT($O30:$O$67*AE30:AE$67*($E30:$E$67=$D29)),IF(ISNUMBER(Data_2014_N!Y29),100*ABS($G29-(Data_2014_N!Y29-$K29)/$M29),0),IF(ISNUMBER(Data_2014_N!Y29),100*ABS($G29-(Data_2014_N!Y29-$K29)/$M29),0)))</f>
        <v>0</v>
      </c>
      <c r="AF29" s="161">
        <f>IF($H29=0,0,CHOOSE($H29,SUMPRODUCT($O30:$O$67*AF30:AF$67*($E30:$E$67=$D29)),IF(ISNUMBER(Data_2014_N!Z29),100*ABS($G29-(Data_2014_N!Z29-$K29)/$M29),0),IF(ISNUMBER(Data_2014_N!Z29),100*ABS($G29-(Data_2014_N!Z29-$K29)/$M29),0)))</f>
        <v>68.5931558935361</v>
      </c>
      <c r="AG29" s="161">
        <f>IF($H29=0,0,CHOOSE($H29,SUMPRODUCT($O30:$O$67*AG30:AG$67*($E30:$E$67=$D29)),IF(ISNUMBER(Data_2014_N!AA29),100*ABS($G29-(Data_2014_N!AA29-$K29)/$M29),0),IF(ISNUMBER(Data_2014_N!AA29),100*ABS($G29-(Data_2014_N!AA29-$K29)/$M29),0)))</f>
        <v>55.1330798479087</v>
      </c>
      <c r="AH29" s="161">
        <f>IF($H29=0,0,CHOOSE($H29,SUMPRODUCT($O30:$O$67*AH30:AH$67*($E30:$E$67=$D29)),IF(ISNUMBER(Data_2014_N!AB29),100*ABS($G29-(Data_2014_N!AB29-$K29)/$M29),0),IF(ISNUMBER(Data_2014_N!AB29),100*ABS($G29-(Data_2014_N!AB29-$K29)/$M29),0)))</f>
        <v>83.6882129277566</v>
      </c>
      <c r="AI29" s="161">
        <f>IF($H29=0,0,CHOOSE($H29,SUMPRODUCT($O30:$O$67*AI30:AI$67*($E30:$E$67=$D29)),IF(ISNUMBER(Data_2014_N!AC29),100*ABS($G29-(Data_2014_N!AC29-$K29)/$M29),0),IF(ISNUMBER(Data_2014_N!AC29),100*ABS($G29-(Data_2014_N!AC29-$K29)/$M29),0)))</f>
        <v>78.7072243346007</v>
      </c>
      <c r="AJ29" s="161">
        <f>IF($H29=0,0,CHOOSE($H29,SUMPRODUCT($O30:$O$67*AJ30:AJ$67*($E30:$E$67=$D29)),IF(ISNUMBER(Data_2014_N!AD29),100*ABS($G29-(Data_2014_N!AD29-$K29)/$M29),0),IF(ISNUMBER(Data_2014_N!AD29),100*ABS($G29-(Data_2014_N!AD29-$K29)/$M29),0)))</f>
        <v>85.9315589353612</v>
      </c>
      <c r="AK29" s="161">
        <f>IF($H29=0,0,CHOOSE($H29,SUMPRODUCT($O30:$O$67*AK30:AK$67*($E30:$E$67=$D29)),IF(ISNUMBER(Data_2014_N!AE29),100*ABS($G29-(Data_2014_N!AE29-$K29)/$M29),0),IF(ISNUMBER(Data_2014_N!AE29),100*ABS($G29-(Data_2014_N!AE29-$K29)/$M29),0)))</f>
        <v>100</v>
      </c>
      <c r="AL29" s="161">
        <f>IF($H29=0,0,CHOOSE($H29,SUMPRODUCT($O30:$O$67*AL30:AL$67*($E30:$E$67=$D29)),IF(ISNUMBER(Data_2014_N!AF29),100*ABS($G29-(Data_2014_N!AF29-$K29)/$M29),0),IF(ISNUMBER(Data_2014_N!AF29),100*ABS($G29-(Data_2014_N!AF29-$K29)/$M29),0)))</f>
        <v>65.7794676806084</v>
      </c>
      <c r="AM29" s="161">
        <f>IF($H29=0,0,CHOOSE($H29,SUMPRODUCT($O30:$O$67*AM30:AM$67*($E30:$E$67=$D29)),IF(ISNUMBER(Data_2014_N!AG29),100*ABS($G29-(Data_2014_N!AG29-$K29)/$M29),0),IF(ISNUMBER(Data_2014_N!AG29),100*ABS($G29-(Data_2014_N!AG29-$K29)/$M29),0)))</f>
        <v>88.212927756654</v>
      </c>
      <c r="AN29" s="161">
        <f>IF($H29=0,0,CHOOSE($H29,SUMPRODUCT($O30:$O$67*AN30:AN$67*($E30:$E$67=$D29)),IF(ISNUMBER(Data_2014_N!AH29),100*ABS($G29-(Data_2014_N!AH29-$K29)/$M29),0),IF(ISNUMBER(Data_2014_N!AH29),100*ABS($G29-(Data_2014_N!AH29-$K29)/$M29),0)))</f>
        <v>60.4562737642585</v>
      </c>
      <c r="AO29" s="161">
        <f>IF($H29=0,0,CHOOSE($H29,SUMPRODUCT($O30:$O$67*AO30:AO$67*($E30:$E$67=$D29)),IF(ISNUMBER(Data_2014_N!AI29),100*ABS($G29-(Data_2014_N!AI29-$K29)/$M29),0),IF(ISNUMBER(Data_2014_N!AI29),100*ABS($G29-(Data_2014_N!AI29-$K29)/$M29),0)))</f>
        <v>43.3460076045627</v>
      </c>
      <c r="AP29" s="161">
        <f>IF($H29=0,0,CHOOSE($H29,SUMPRODUCT($O30:$O$67*AP30:AP$67*($E30:$E$67=$D29)),IF(ISNUMBER(Data_2014_N!AJ29),100*ABS($G29-(Data_2014_N!AJ29-$K29)/$M29),0),IF(ISNUMBER(Data_2014_N!AJ29),100*ABS($G29-(Data_2014_N!AJ29-$K29)/$M29),0)))</f>
        <v>80.9885931558935</v>
      </c>
      <c r="AQ29" s="161">
        <f>IF($H29=0,0,CHOOSE($H29,SUMPRODUCT($O30:$O$67*AQ30:AQ$67*($E30:$E$67=$D29)),IF(ISNUMBER(Data_2014_N!AK29),100*ABS($G29-(Data_2014_N!AK29-$K29)/$M29),0),IF(ISNUMBER(Data_2014_N!AK29),100*ABS($G29-(Data_2014_N!AK29-$K29)/$M29),0)))</f>
        <v>89.7338403041825</v>
      </c>
      <c r="AR29" s="161">
        <f>IF($H29=0,0,CHOOSE($H29,SUMPRODUCT($O30:$O$67*AR30:AR$67*($E30:$E$67=$D29)),IF(ISNUMBER(Data_2014_N!AL29),100*ABS($G29-(Data_2014_N!AL29-$K29)/$M29),0),IF(ISNUMBER(Data_2014_N!AL29),100*ABS($G29-(Data_2014_N!AL29-$K29)/$M29),0)))</f>
        <v>83.1178707224334</v>
      </c>
      <c r="AS29" s="161">
        <f>IF($H29=0,0,CHOOSE($H29,SUMPRODUCT($O30:$O$67*AS30:AS$67*($E30:$E$67=$D29)),IF(ISNUMBER(Data_2014_N!AM29),100*ABS($G29-(Data_2014_N!AM29-$K29)/$M29),0),IF(ISNUMBER(Data_2014_N!AM29),100*ABS($G29-(Data_2014_N!AM29-$K29)/$M29),0)))</f>
        <v>50</v>
      </c>
      <c r="AT29" s="161">
        <f>IF($H29=0,0,CHOOSE($H29,SUMPRODUCT($O30:$O$67*AT30:AT$67*($E30:$E$67=$D29)),IF(ISNUMBER(Data_2014_N!AN29),100*ABS($G29-(Data_2014_N!AN29-$K29)/$M29),0),IF(ISNUMBER(Data_2014_N!AN29),100*ABS($G29-(Data_2014_N!AN29-$K29)/$M29),0)))</f>
        <v>58.5551330798479</v>
      </c>
      <c r="AU29" s="161">
        <f>IF($H29=0,0,CHOOSE($H29,SUMPRODUCT($O30:$O$67*AU30:AU$67*($E30:$E$67=$D29)),IF(ISNUMBER(Data_2014_N!AO29),100*ABS($G29-(Data_2014_N!AO29-$K29)/$M29),0),IF(ISNUMBER(Data_2014_N!AO29),100*ABS($G29-(Data_2014_N!AO29-$K29)/$M29),0)))</f>
        <v>86.6920152091255</v>
      </c>
      <c r="AV29" s="161">
        <f>IF($H29=0,0,CHOOSE($H29,SUMPRODUCT($O30:$O$67*AV30:AV$67*($E30:$E$67=$D29)),IF(ISNUMBER(Data_2014_N!AP29),100*ABS($G29-(Data_2014_N!AP29-$K29)/$M29),0),IF(ISNUMBER(Data_2014_N!AP29),100*ABS($G29-(Data_2014_N!AP29-$K29)/$M29),0)))</f>
        <v>77.1863117870722</v>
      </c>
      <c r="AW29" s="161">
        <f>IF($H29=0,0,CHOOSE($H29,SUMPRODUCT($O30:$O$67*AW30:AW$67*($E30:$E$67=$D29)),IF(ISNUMBER(Data_2014_N!AQ29),100*ABS($G29-(Data_2014_N!AQ29-$K29)/$M29),0),IF(ISNUMBER(Data_2014_N!AQ29),100*ABS($G29-(Data_2014_N!AQ29-$K29)/$M29),0)))</f>
        <v>71.6349809885931</v>
      </c>
      <c r="AX29" s="161">
        <f>IF($H29=0,0,CHOOSE($H29,SUMPRODUCT($O30:$O$67*AX30:AX$67*($E30:$E$67=$D29)),IF(ISNUMBER(Data_2014_N!AR29),100*ABS($G29-(Data_2014_N!AR29-$K29)/$M29),0),IF(ISNUMBER(Data_2014_N!AR29),100*ABS($G29-(Data_2014_N!AR29-$K29)/$M29),0)))</f>
        <v>43.3460076045627</v>
      </c>
      <c r="AY29" s="161">
        <f>IF($H29=0,0,CHOOSE($H29,SUMPRODUCT($O30:$O$67*AY30:AY$67*($E30:$E$67=$D29)),IF(ISNUMBER(Data_2014_N!AS29),100*ABS($G29-(Data_2014_N!AS29-$K29)/$M29),0),IF(ISNUMBER(Data_2014_N!AS29),100*ABS($G29-(Data_2014_N!AS29-$K29)/$M29),0)))</f>
        <v>89.2015209125475</v>
      </c>
      <c r="AZ29" s="161">
        <f>IF($H29=0,0,CHOOSE($H29,SUMPRODUCT($O30:$O$67*AZ30:AZ$67*($E30:$E$67=$D29)),IF(ISNUMBER(Data_2014_N!AT29),100*ABS($G29-(Data_2014_N!AT29-$K29)/$M29),0),IF(ISNUMBER(Data_2014_N!AT29),100*ABS($G29-(Data_2014_N!AT29-$K29)/$M29),0)))</f>
        <v>78.5551330798479</v>
      </c>
      <c r="BA29" s="161">
        <f>IF($H29=0,0,CHOOSE($H29,SUMPRODUCT($O30:$O$67*BA30:BA$67*($E30:$E$67=$D29)),IF(ISNUMBER(Data_2014_N!AU29),100*ABS($G29-(Data_2014_N!AU29-$K29)/$M29),0),IF(ISNUMBER(Data_2014_N!AU29),100*ABS($G29-(Data_2014_N!AU29-$K29)/$M29),0)))</f>
        <v>84.4106463878327</v>
      </c>
      <c r="BB29" s="161">
        <f>IF($H29=0,0,CHOOSE($H29,SUMPRODUCT($O30:$O$67*BB30:BB$67*($E30:$E$67=$D29)),IF(ISNUMBER(Data_2014_N!AV29),100*ABS($G29-(Data_2014_N!AV29-$K29)/$M29),0),IF(ISNUMBER(Data_2014_N!AV29),100*ABS($G29-(Data_2014_N!AV29-$K29)/$M29),0)))</f>
        <v>86.6920152091255</v>
      </c>
      <c r="BC29" s="161">
        <f>IF($H29=0,0,CHOOSE($H29,SUMPRODUCT($O30:$O$67*BC30:BC$67*($E30:$E$67=$D29)),IF(ISNUMBER(Data_2014_N!AW29),100*ABS($G29-(Data_2014_N!AW29-$K29)/$M29),0),IF(ISNUMBER(Data_2014_N!AW29),100*ABS($G29-(Data_2014_N!AW29-$K29)/$M29),0)))</f>
        <v>82.8897338403042</v>
      </c>
      <c r="BD29" s="161">
        <f>IF($H29=0,0,CHOOSE($H29,SUMPRODUCT($O30:$O$67*BD30:BD$67*($E30:$E$67=$D29)),IF(ISNUMBER(Data_2014_N!AX29),100*ABS($G29-(Data_2014_N!AX29-$K29)/$M29),0),IF(ISNUMBER(Data_2014_N!AX29),100*ABS($G29-(Data_2014_N!AX29-$K29)/$M29),0)))</f>
        <v>87.680608365019</v>
      </c>
      <c r="BE29" s="161">
        <f>IF($H29=0,0,CHOOSE($H29,SUMPRODUCT($O30:$O$67*BE30:BE$67*($E30:$E$67=$D29)),IF(ISNUMBER(Data_2014_N!AY29),100*ABS($G29-(Data_2014_N!AY29-$K29)/$M29),0),IF(ISNUMBER(Data_2014_N!AY29),100*ABS($G29-(Data_2014_N!AY29-$K29)/$M29),0)))</f>
        <v>64.2585551330798</v>
      </c>
      <c r="BF29" s="161">
        <f>IF($H29=0,0,CHOOSE($H29,SUMPRODUCT($O30:$O$67*BF30:BF$67*($E30:$E$67=$D29)),IF(ISNUMBER(Data_2014_N!AZ29),100*ABS($G29-(Data_2014_N!AZ29-$K29)/$M29),0),IF(ISNUMBER(Data_2014_N!AZ29),100*ABS($G29-(Data_2014_N!AZ29-$K29)/$M29),0)))</f>
        <v>86.9201520912547</v>
      </c>
      <c r="BG29" s="161">
        <f>IF($H29=0,0,CHOOSE($H29,SUMPRODUCT($O30:$O$67*BG30:BG$67*($E30:$E$67=$D29)),IF(ISNUMBER(Data_2014_N!BA29),100*ABS($G29-(Data_2014_N!BA29-$K29)/$M29),0),IF(ISNUMBER(Data_2014_N!BA29),100*ABS($G29-(Data_2014_N!BA29-$K29)/$M29),0)))</f>
        <v>79.8479087452471</v>
      </c>
      <c r="BH29" s="161">
        <f>IF($H29=0,0,CHOOSE($H29,SUMPRODUCT($O30:$O$67*BH30:BH$67*($E30:$E$67=$D29)),IF(ISNUMBER(Data_2014_N!BB29),100*ABS($G29-(Data_2014_N!BB29-$K29)/$M29),0),IF(ISNUMBER(Data_2014_N!BB29),100*ABS($G29-(Data_2014_N!BB29-$K29)/$M29),0)))</f>
        <v>60.8745247148289</v>
      </c>
      <c r="BI29" s="161">
        <f>IF($H29=0,0,CHOOSE($H29,SUMPRODUCT($O30:$O$67*BI30:BI$67*($E30:$E$67=$D29)),IF(ISNUMBER(Data_2014_N!BC29),100*ABS($G29-(Data_2014_N!BC29-$K29)/$M29),0),IF(ISNUMBER(Data_2014_N!BC29),100*ABS($G29-(Data_2014_N!BC29-$K29)/$M29),0)))</f>
        <v>90.9505703422053</v>
      </c>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row>
    <row r="30" s="69" customFormat="1" ht="24.95" customHeight="1" spans="1:115">
      <c r="A30" s="92"/>
      <c r="B30" s="92">
        <f>tblIndicators!A26</f>
        <v>25</v>
      </c>
      <c r="C30" s="92">
        <f>tblIndicators!B26</f>
        <v>0</v>
      </c>
      <c r="D30" s="92" t="str">
        <f>tblIndicators!D26</f>
        <v>HESE2.2.4</v>
      </c>
      <c r="E30" s="92" t="str">
        <f>tblIndicators!E26</f>
        <v>HESE2.2</v>
      </c>
      <c r="F30" s="92">
        <f>tblIndicators!F26</f>
        <v>3</v>
      </c>
      <c r="G30" s="92">
        <f>tblIndicators!Y26</f>
        <v>1</v>
      </c>
      <c r="H30" s="92">
        <f>tblIndicators!Z26</f>
        <v>2</v>
      </c>
      <c r="I30" s="104">
        <f>tblIndicators!AA26</f>
        <v>0</v>
      </c>
      <c r="J30" s="92">
        <f>tblIndicators!AB26</f>
        <v>0</v>
      </c>
      <c r="K30" s="92">
        <f>CHOOSE(H30,"-",MIN(Data_2014_N!J30:BC30),I30)</f>
        <v>0.8</v>
      </c>
      <c r="L30" s="165">
        <f>CHOOSE(H30,"-",MAX(Data_2014_N!J30:BC30),J30)</f>
        <v>39</v>
      </c>
      <c r="M30" s="92">
        <f t="shared" si="1"/>
        <v>38.2</v>
      </c>
      <c r="N30" s="168" t="str">
        <f>REPT(" ",F30)&amp;tblIndicators!AE26</f>
        <v>   2.2.4) Infant mortality</v>
      </c>
      <c r="O30" s="169">
        <f>tblIndicators!AD26</f>
        <v>0.166666666666667</v>
      </c>
      <c r="P30" s="161">
        <f>IF($H30=0,0,CHOOSE($H30,SUMPRODUCT($O31:$O$67*P31:P$67*($E31:$E$67=$D30)),IF(ISNUMBER(Data_2014_N!J30),100*ABS($G30-(Data_2014_N!J30-$K30)/$M30),0),IF(ISNUMBER(Data_2014_N!J30),100*ABS($G30-(Data_2014_N!J30-$K30)/$M30),0)))</f>
        <v>85.6020942408377</v>
      </c>
      <c r="Q30" s="161">
        <f>IF($H30=0,0,CHOOSE($H30,SUMPRODUCT($O31:$O$67*Q31:Q$67*($E31:$E$67=$D30)),IF(ISNUMBER(Data_2014_N!K30),100*ABS($G30-(Data_2014_N!K30-$K30)/$M30),0),IF(ISNUMBER(Data_2014_N!K30),100*ABS($G30-(Data_2014_N!K30-$K30)/$M30),0)))</f>
        <v>91.0994764397906</v>
      </c>
      <c r="R30" s="161">
        <f>IF($H30=0,0,CHOOSE($H30,SUMPRODUCT($O31:$O$67*R31:R$67*($E31:$E$67=$D30)),IF(ISNUMBER(Data_2014_N!L30),100*ABS($G30-(Data_2014_N!L30-$K30)/$M30),0),IF(ISNUMBER(Data_2014_N!L30),100*ABS($G30-(Data_2014_N!L30-$K30)/$M30),0)))</f>
        <v>83.5078534031414</v>
      </c>
      <c r="S30" s="161">
        <f>IF($H30=0,0,CHOOSE($H30,SUMPRODUCT($O31:$O$67*S31:S$67*($E31:$E$67=$D30)),IF(ISNUMBER(Data_2014_N!M30),100*ABS($G30-(Data_2014_N!M30-$K30)/$M30),0),IF(ISNUMBER(Data_2014_N!M30),100*ABS($G30-(Data_2014_N!M30-$K30)/$M30),0)))</f>
        <v>93.3769633507853</v>
      </c>
      <c r="T30" s="161">
        <f>IF($H30=0,0,CHOOSE($H30,SUMPRODUCT($O31:$O$67*T31:T$67*($E31:$E$67=$D30)),IF(ISNUMBER(Data_2014_N!N30),100*ABS($G30-(Data_2014_N!N30-$K30)/$M30),0),IF(ISNUMBER(Data_2014_N!N30),100*ABS($G30-(Data_2014_N!N30-$K30)/$M30),0)))</f>
        <v>94.6596858638743</v>
      </c>
      <c r="U30" s="161">
        <f>IF($H30=0,0,CHOOSE($H30,SUMPRODUCT($O31:$O$67*U31:U$67*($E31:$E$67=$D30)),IF(ISNUMBER(Data_2014_N!O30),100*ABS($G30-(Data_2014_N!O30-$K30)/$M30),0),IF(ISNUMBER(Data_2014_N!O30),100*ABS($G30-(Data_2014_N!O30-$K30)/$M30),0)))</f>
        <v>94.7643979057592</v>
      </c>
      <c r="V30" s="161">
        <f>IF($H30=0,0,CHOOSE($H30,SUMPRODUCT($O31:$O$67*V31:V$67*($E31:$E$67=$D30)),IF(ISNUMBER(Data_2014_N!P30),100*ABS($G30-(Data_2014_N!P30-$K30)/$M30),0),IF(ISNUMBER(Data_2014_N!P30),100*ABS($G30-(Data_2014_N!P30-$K30)/$M30),0)))</f>
        <v>80.8900523560209</v>
      </c>
      <c r="W30" s="161">
        <f>IF($H30=0,0,CHOOSE($H30,SUMPRODUCT($O31:$O$67*W31:W$67*($E31:$E$67=$D30)),IF(ISNUMBER(Data_2014_N!Q30),100*ABS($G30-(Data_2014_N!Q30-$K30)/$M30),0),IF(ISNUMBER(Data_2014_N!Q30),100*ABS($G30-(Data_2014_N!Q30-$K30)/$M30),0)))</f>
        <v>84.2931937172775</v>
      </c>
      <c r="X30" s="161">
        <f>IF($H30=0,0,CHOOSE($H30,SUMPRODUCT($O31:$O$67*X31:X$67*($E31:$E$67=$D30)),IF(ISNUMBER(Data_2014_N!R30),100*ABS($G30-(Data_2014_N!R30-$K30)/$M30),0),IF(ISNUMBER(Data_2014_N!R30),100*ABS($G30-(Data_2014_N!R30-$K30)/$M30),0)))</f>
        <v>39.4502617801047</v>
      </c>
      <c r="Y30" s="161">
        <f>IF($H30=0,0,CHOOSE($H30,SUMPRODUCT($O31:$O$67*Y31:Y$67*($E31:$E$67=$D30)),IF(ISNUMBER(Data_2014_N!S30),100*ABS($G30-(Data_2014_N!S30-$K30)/$M30),0),IF(ISNUMBER(Data_2014_N!S30),100*ABS($G30-(Data_2014_N!S30-$K30)/$M30),0)))</f>
        <v>85.2879581151832</v>
      </c>
      <c r="Z30" s="161">
        <f>IF($H30=0,0,CHOOSE($H30,SUMPRODUCT($O31:$O$67*Z31:Z$67*($E31:$E$67=$D30)),IF(ISNUMBER(Data_2014_N!T30),100*ABS($G30-(Data_2014_N!T30-$K30)/$M30),0),IF(ISNUMBER(Data_2014_N!T30),100*ABS($G30-(Data_2014_N!T30-$K30)/$M30),0)))</f>
        <v>100</v>
      </c>
      <c r="AA30" s="161">
        <f>IF($H30=0,0,CHOOSE($H30,SUMPRODUCT($O31:$O$67*AA31:AA$67*($E31:$E$67=$D30)),IF(ISNUMBER(Data_2014_N!U30),100*ABS($G30-(Data_2014_N!U30-$K30)/$M30),0),IF(ISNUMBER(Data_2014_N!U30),100*ABS($G30-(Data_2014_N!U30-$K30)/$M30),0)))</f>
        <v>49.1099476439791</v>
      </c>
      <c r="AB30" s="161">
        <f>IF($H30=0,0,CHOOSE($H30,SUMPRODUCT($O31:$O$67*AB31:AB$67*($E31:$E$67=$D30)),IF(ISNUMBER(Data_2014_N!V30),100*ABS($G30-(Data_2014_N!V30-$K30)/$M30),0),IF(ISNUMBER(Data_2014_N!V30),100*ABS($G30-(Data_2014_N!V30-$K30)/$M30),0)))</f>
        <v>98.6910994764398</v>
      </c>
      <c r="AC30" s="161">
        <f>IF($H30=0,0,CHOOSE($H30,SUMPRODUCT($O31:$O$67*AC31:AC$67*($E31:$E$67=$D30)),IF(ISNUMBER(Data_2014_N!W30),100*ABS($G30-(Data_2014_N!W30-$K30)/$M30),0),IF(ISNUMBER(Data_2014_N!W30),100*ABS($G30-(Data_2014_N!W30-$K30)/$M30),0)))</f>
        <v>87.696335078534</v>
      </c>
      <c r="AD30" s="161">
        <f>IF($H30=0,0,CHOOSE($H30,SUMPRODUCT($O31:$O$67*AD31:AD$67*($E31:$E$67=$D30)),IF(ISNUMBER(Data_2014_N!X30),100*ABS($G30-(Data_2014_N!X30-$K30)/$M30),0),IF(ISNUMBER(Data_2014_N!X30),100*ABS($G30-(Data_2014_N!X30-$K30)/$M30),0)))</f>
        <v>65.4450261780105</v>
      </c>
      <c r="AE30" s="161">
        <f>IF($H30=0,0,CHOOSE($H30,SUMPRODUCT($O31:$O$67*AE31:AE$67*($E31:$E$67=$D30)),IF(ISNUMBER(Data_2014_N!Y30),100*ABS($G30-(Data_2014_N!Y30-$K30)/$M30),0),IF(ISNUMBER(Data_2014_N!Y30),100*ABS($G30-(Data_2014_N!Y30-$K30)/$M30),0)))</f>
        <v>89.0052356020942</v>
      </c>
      <c r="AF30" s="161">
        <f>IF($H30=0,0,CHOOSE($H30,SUMPRODUCT($O31:$O$67*AF31:AF$67*($E31:$E$67=$D30)),IF(ISNUMBER(Data_2014_N!Z30),100*ABS($G30-(Data_2014_N!Z30-$K30)/$M30),0),IF(ISNUMBER(Data_2014_N!Z30),100*ABS($G30-(Data_2014_N!Z30-$K30)/$M30),0)))</f>
        <v>82.434554973822</v>
      </c>
      <c r="AG30" s="161">
        <f>IF($H30=0,0,CHOOSE($H30,SUMPRODUCT($O31:$O$67*AG31:AG$67*($E31:$E$67=$D30)),IF(ISNUMBER(Data_2014_N!AA30),100*ABS($G30-(Data_2014_N!AA30-$K30)/$M30),0),IF(ISNUMBER(Data_2014_N!AA30),100*ABS($G30-(Data_2014_N!AA30-$K30)/$M30),0)))</f>
        <v>75.9162303664922</v>
      </c>
      <c r="AH30" s="161">
        <f>IF($H30=0,0,CHOOSE($H30,SUMPRODUCT($O31:$O$67*AH31:AH$67*($E31:$E$67=$D30)),IF(ISNUMBER(Data_2014_N!AB30),100*ABS($G30-(Data_2014_N!AB30-$K30)/$M30),0),IF(ISNUMBER(Data_2014_N!AB30),100*ABS($G30-(Data_2014_N!AB30-$K30)/$M30),0)))</f>
        <v>90.0523560209424</v>
      </c>
      <c r="AI30" s="161">
        <f>IF($H30=0,0,CHOOSE($H30,SUMPRODUCT($O31:$O$67*AI31:AI$67*($E31:$E$67=$D30)),IF(ISNUMBER(Data_2014_N!AC30),100*ABS($G30-(Data_2014_N!AC30-$K30)/$M30),0),IF(ISNUMBER(Data_2014_N!AC30),100*ABS($G30-(Data_2014_N!AC30-$K30)/$M30),0)))</f>
        <v>89.7905759162304</v>
      </c>
      <c r="AJ30" s="161">
        <f>IF($H30=0,0,CHOOSE($H30,SUMPRODUCT($O31:$O$67*AJ31:AJ$67*($E31:$E$67=$D30)),IF(ISNUMBER(Data_2014_N!AD30),100*ABS($G30-(Data_2014_N!AD30-$K30)/$M30),0),IF(ISNUMBER(Data_2014_N!AD30),100*ABS($G30-(Data_2014_N!AD30-$K30)/$M30),0)))</f>
        <v>93.1937172774869</v>
      </c>
      <c r="AK30" s="161">
        <f>IF($H30=0,0,CHOOSE($H30,SUMPRODUCT($O31:$O$67*AK31:AK$67*($E31:$E$67=$D30)),IF(ISNUMBER(Data_2014_N!AE30),100*ABS($G30-(Data_2014_N!AE30-$K30)/$M30),0),IF(ISNUMBER(Data_2014_N!AE30),100*ABS($G30-(Data_2014_N!AE30-$K30)/$M30),0)))</f>
        <v>93.4554973821989</v>
      </c>
      <c r="AL30" s="161">
        <f>IF($H30=0,0,CHOOSE($H30,SUMPRODUCT($O31:$O$67*AL31:AL$67*($E31:$E$67=$D30)),IF(ISNUMBER(Data_2014_N!AF30),100*ABS($G30-(Data_2014_N!AF30-$K30)/$M30),0),IF(ISNUMBER(Data_2014_N!AF30),100*ABS($G30-(Data_2014_N!AF30-$K30)/$M30),0)))</f>
        <v>54.9738219895288</v>
      </c>
      <c r="AM30" s="161">
        <f>IF($H30=0,0,CHOOSE($H30,SUMPRODUCT($O31:$O$67*AM31:AM$67*($E31:$E$67=$D30)),IF(ISNUMBER(Data_2014_N!AG30),100*ABS($G30-(Data_2014_N!AG30-$K30)/$M30),0),IF(ISNUMBER(Data_2014_N!AG30),100*ABS($G30-(Data_2014_N!AG30-$K30)/$M30),0)))</f>
        <v>95</v>
      </c>
      <c r="AN30" s="161">
        <f>IF($H30=0,0,CHOOSE($H30,SUMPRODUCT($O31:$O$67*AN31:AN$67*($E31:$E$67=$D30)),IF(ISNUMBER(Data_2014_N!AH30),100*ABS($G30-(Data_2014_N!AH30-$K30)/$M30),0),IF(ISNUMBER(Data_2014_N!AH30),100*ABS($G30-(Data_2014_N!AH30-$K30)/$M30),0)))</f>
        <v>82.7225130890052</v>
      </c>
      <c r="AO30" s="161">
        <f>IF($H30=0,0,CHOOSE($H30,SUMPRODUCT($O31:$O$67*AO31:AO$67*($E31:$E$67=$D30)),IF(ISNUMBER(Data_2014_N!AI30),100*ABS($G30-(Data_2014_N!AI30-$K30)/$M30),0),IF(ISNUMBER(Data_2014_N!AI30),100*ABS($G30-(Data_2014_N!AI30-$K30)/$M30),0)))</f>
        <v>11.5183246073298</v>
      </c>
      <c r="AP30" s="161">
        <f>IF($H30=0,0,CHOOSE($H30,SUMPRODUCT($O31:$O$67*AP31:AP$67*($E31:$E$67=$D30)),IF(ISNUMBER(Data_2014_N!AJ30),100*ABS($G30-(Data_2014_N!AJ30-$K30)/$M30),0),IF(ISNUMBER(Data_2014_N!AJ30),100*ABS($G30-(Data_2014_N!AJ30-$K30)/$M30),0)))</f>
        <v>89.7905759162304</v>
      </c>
      <c r="AQ30" s="161">
        <f>IF($H30=0,0,CHOOSE($H30,SUMPRODUCT($O31:$O$67*AQ31:AQ$67*($E31:$E$67=$D30)),IF(ISNUMBER(Data_2014_N!AK30),100*ABS($G30-(Data_2014_N!AK30-$K30)/$M30),0),IF(ISNUMBER(Data_2014_N!AK30),100*ABS($G30-(Data_2014_N!AK30-$K30)/$M30),0)))</f>
        <v>96.5968586387435</v>
      </c>
      <c r="AR30" s="161">
        <f>IF($H30=0,0,CHOOSE($H30,SUMPRODUCT($O31:$O$67*AR31:AR$67*($E31:$E$67=$D30)),IF(ISNUMBER(Data_2014_N!AL30),100*ABS($G30-(Data_2014_N!AL30-$K30)/$M30),0),IF(ISNUMBER(Data_2014_N!AL30),100*ABS($G30-(Data_2014_N!AL30-$K30)/$M30),0)))</f>
        <v>93.2722513089005</v>
      </c>
      <c r="AS30" s="161">
        <f>IF($H30=0,0,CHOOSE($H30,SUMPRODUCT($O31:$O$67*AS31:AS$67*($E31:$E$67=$D30)),IF(ISNUMBER(Data_2014_N!AM30),100*ABS($G30-(Data_2014_N!AM30-$K30)/$M30),0),IF(ISNUMBER(Data_2014_N!AM30),100*ABS($G30-(Data_2014_N!AM30-$K30)/$M30),0)))</f>
        <v>50.0523560209424</v>
      </c>
      <c r="AT30" s="161">
        <f>IF($H30=0,0,CHOOSE($H30,SUMPRODUCT($O31:$O$67*AT31:AT$67*($E31:$E$67=$D30)),IF(ISNUMBER(Data_2014_N!AN30),100*ABS($G30-(Data_2014_N!AN30-$K30)/$M30),0),IF(ISNUMBER(Data_2014_N!AN30),100*ABS($G30-(Data_2014_N!AN30-$K30)/$M30),0)))</f>
        <v>61.2303664921466</v>
      </c>
      <c r="AU30" s="161">
        <f>IF($H30=0,0,CHOOSE($H30,SUMPRODUCT($O31:$O$67*AU31:AU$67*($E31:$E$67=$D30)),IF(ISNUMBER(Data_2014_N!AO30),100*ABS($G30-(Data_2014_N!AO30-$K30)/$M30),0),IF(ISNUMBER(Data_2014_N!AO30),100*ABS($G30-(Data_2014_N!AO30-$K30)/$M30),0)))</f>
        <v>85.0785340314136</v>
      </c>
      <c r="AV30" s="161">
        <f>IF($H30=0,0,CHOOSE($H30,SUMPRODUCT($O31:$O$67*AV31:AV$67*($E31:$E$67=$D30)),IF(ISNUMBER(Data_2014_N!AP30),100*ABS($G30-(Data_2014_N!AP30-$K30)/$M30),0),IF(ISNUMBER(Data_2014_N!AP30),100*ABS($G30-(Data_2014_N!AP30-$K30)/$M30),0)))</f>
        <v>94.5026178010471</v>
      </c>
      <c r="AW30" s="161">
        <f>IF($H30=0,0,CHOOSE($H30,SUMPRODUCT($O31:$O$67*AW31:AW$67*($E31:$E$67=$D30)),IF(ISNUMBER(Data_2014_N!AQ30),100*ABS($G30-(Data_2014_N!AQ30-$K30)/$M30),0),IF(ISNUMBER(Data_2014_N!AQ30),100*ABS($G30-(Data_2014_N!AQ30-$K30)/$M30),0)))</f>
        <v>83.5078534031414</v>
      </c>
      <c r="AX30" s="161">
        <f>IF($H30=0,0,CHOOSE($H30,SUMPRODUCT($O31:$O$67*AX31:AX$67*($E31:$E$67=$D30)),IF(ISNUMBER(Data_2014_N!AR30),100*ABS($G30-(Data_2014_N!AR30-$K30)/$M30),0),IF(ISNUMBER(Data_2014_N!AR30),100*ABS($G30-(Data_2014_N!AR30-$K30)/$M30),0)))</f>
        <v>69.6335078534031</v>
      </c>
      <c r="AY30" s="161">
        <f>IF($H30=0,0,CHOOSE($H30,SUMPRODUCT($O31:$O$67*AY31:AY$67*($E31:$E$67=$D30)),IF(ISNUMBER(Data_2014_N!AS30),100*ABS($G30-(Data_2014_N!AS30-$K30)/$M30),0),IF(ISNUMBER(Data_2014_N!AS30),100*ABS($G30-(Data_2014_N!AS30-$K30)/$M30),0)))</f>
        <v>89.6073298429319</v>
      </c>
      <c r="AZ30" s="161">
        <f>IF($H30=0,0,CHOOSE($H30,SUMPRODUCT($O31:$O$67*AZ31:AZ$67*($E31:$E$67=$D30)),IF(ISNUMBER(Data_2014_N!AT30),100*ABS($G30-(Data_2014_N!AT30-$K30)/$M30),0),IF(ISNUMBER(Data_2014_N!AT30),100*ABS($G30-(Data_2014_N!AT30-$K30)/$M30),0)))</f>
        <v>87.1727748691099</v>
      </c>
      <c r="BA30" s="161">
        <f>IF($H30=0,0,CHOOSE($H30,SUMPRODUCT($O31:$O$67*BA31:BA$67*($E31:$E$67=$D30)),IF(ISNUMBER(Data_2014_N!AU30),100*ABS($G30-(Data_2014_N!AU30-$K30)/$M30),0),IF(ISNUMBER(Data_2014_N!AU30),100*ABS($G30-(Data_2014_N!AU30-$K30)/$M30),0)))</f>
        <v>95.0261780104712</v>
      </c>
      <c r="BB30" s="161">
        <f>IF($H30=0,0,CHOOSE($H30,SUMPRODUCT($O31:$O$67*BB31:BB$67*($E31:$E$67=$D30)),IF(ISNUMBER(Data_2014_N!AV30),100*ABS($G30-(Data_2014_N!AV30-$K30)/$M30),0),IF(ISNUMBER(Data_2014_N!AV30),100*ABS($G30-(Data_2014_N!AV30-$K30)/$M30),0)))</f>
        <v>96.8586387434555</v>
      </c>
      <c r="BC30" s="161">
        <f>IF($H30=0,0,CHOOSE($H30,SUMPRODUCT($O31:$O$67*BC31:BC$67*($E31:$E$67=$D30)),IF(ISNUMBER(Data_2014_N!AW30),100*ABS($G30-(Data_2014_N!AW30-$K30)/$M30),0),IF(ISNUMBER(Data_2014_N!AW30),100*ABS($G30-(Data_2014_N!AW30-$K30)/$M30),0)))</f>
        <v>93.717277486911</v>
      </c>
      <c r="BD30" s="161">
        <f>IF($H30=0,0,CHOOSE($H30,SUMPRODUCT($O31:$O$67*BD31:BD$67*($E31:$E$67=$D30)),IF(ISNUMBER(Data_2014_N!AX30),100*ABS($G30-(Data_2014_N!AX30-$K30)/$M30),0),IF(ISNUMBER(Data_2014_N!AX30),100*ABS($G30-(Data_2014_N!AX30-$K30)/$M30),0)))</f>
        <v>92.2251308900524</v>
      </c>
      <c r="BE30" s="161">
        <f>IF($H30=0,0,CHOOSE($H30,SUMPRODUCT($O31:$O$67*BE31:BE$67*($E31:$E$67=$D30)),IF(ISNUMBER(Data_2014_N!AY30),100*ABS($G30-(Data_2014_N!AY30-$K30)/$M30),0),IF(ISNUMBER(Data_2014_N!AY30),100*ABS($G30-(Data_2014_N!AY30-$K30)/$M30),0)))</f>
        <v>0</v>
      </c>
      <c r="BF30" s="161">
        <f>IF($H30=0,0,CHOOSE($H30,SUMPRODUCT($O31:$O$67*BF31:BF$67*($E31:$E$67=$D30)),IF(ISNUMBER(Data_2014_N!AZ30),100*ABS($G30-(Data_2014_N!AZ30-$K30)/$M30),0),IF(ISNUMBER(Data_2014_N!AZ30),100*ABS($G30-(Data_2014_N!AZ30-$K30)/$M30),0)))</f>
        <v>96.3350785340314</v>
      </c>
      <c r="BG30" s="161">
        <f>IF($H30=0,0,CHOOSE($H30,SUMPRODUCT($O31:$O$67*BG31:BG$67*($E31:$E$67=$D30)),IF(ISNUMBER(Data_2014_N!BA30),100*ABS($G30-(Data_2014_N!BA30-$K30)/$M30),0),IF(ISNUMBER(Data_2014_N!BA30),100*ABS($G30-(Data_2014_N!BA30-$K30)/$M30),0)))</f>
        <v>85.3403141361257</v>
      </c>
      <c r="BH30" s="161">
        <f>IF($H30=0,0,CHOOSE($H30,SUMPRODUCT($O31:$O$67*BH31:BH$67*($E31:$E$67=$D30)),IF(ISNUMBER(Data_2014_N!BB30),100*ABS($G30-(Data_2014_N!BB30-$K30)/$M30),0),IF(ISNUMBER(Data_2014_N!BB30),100*ABS($G30-(Data_2014_N!BB30-$K30)/$M30),0)))</f>
        <v>88.7434554973822</v>
      </c>
      <c r="BI30" s="161">
        <f>IF($H30=0,0,CHOOSE($H30,SUMPRODUCT($O31:$O$67*BI31:BI$67*($E31:$E$67=$D30)),IF(ISNUMBER(Data_2014_N!BC30),100*ABS($G30-(Data_2014_N!BC30-$K30)/$M30),0),IF(ISNUMBER(Data_2014_N!BC30),100*ABS($G30-(Data_2014_N!BC30-$K30)/$M30),0)))</f>
        <v>90.0523560209424</v>
      </c>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row>
    <row r="31" s="69" customFormat="1" ht="24.95" customHeight="1" spans="1:115">
      <c r="A31" s="92"/>
      <c r="B31" s="92">
        <f>tblIndicators!A27</f>
        <v>26</v>
      </c>
      <c r="C31" s="92">
        <f>tblIndicators!B27</f>
        <v>0</v>
      </c>
      <c r="D31" s="92" t="str">
        <f>tblIndicators!D27</f>
        <v>HESE2.2.5</v>
      </c>
      <c r="E31" s="92" t="str">
        <f>tblIndicators!E27</f>
        <v>HESE2.2</v>
      </c>
      <c r="F31" s="92">
        <f>tblIndicators!F27</f>
        <v>3</v>
      </c>
      <c r="G31" s="92">
        <f>tblIndicators!Y27</f>
        <v>1</v>
      </c>
      <c r="H31" s="92">
        <f>tblIndicators!Z27</f>
        <v>2</v>
      </c>
      <c r="I31" s="104">
        <f>tblIndicators!AA27</f>
        <v>0</v>
      </c>
      <c r="J31" s="92">
        <f>tblIndicators!AB27</f>
        <v>0</v>
      </c>
      <c r="K31" s="92">
        <f>CHOOSE(H31,"-",MIN(Data_2014_N!J31:BC31),I31)</f>
        <v>1.63</v>
      </c>
      <c r="L31" s="165">
        <f>CHOOSE(H31,"-",MAX(Data_2014_N!J31:BC31),J31)</f>
        <v>406</v>
      </c>
      <c r="M31" s="92">
        <f t="shared" si="1"/>
        <v>404.37</v>
      </c>
      <c r="N31" s="168" t="str">
        <f>REPT(" ",F31)&amp;tblIndicators!AE27</f>
        <v>   2.2.5) Cancer mortality rate</v>
      </c>
      <c r="O31" s="169">
        <f>tblIndicators!AD27</f>
        <v>0.166666666666667</v>
      </c>
      <c r="P31" s="161">
        <f>IF($H31=0,0,CHOOSE($H31,SUMPRODUCT($O32:$O$67*P32:P$67*($E32:$E$67=$D31)),IF(ISNUMBER(Data_2014_N!J31),100*ABS($G31-(Data_2014_N!J31-$K31)/$M31),0),IF(ISNUMBER(Data_2014_N!J31),100*ABS($G31-(Data_2014_N!J31-$K31)/$M31),0)))</f>
        <v>0</v>
      </c>
      <c r="Q31" s="161">
        <f>IF($H31=0,0,CHOOSE($H31,SUMPRODUCT($O32:$O$67*Q32:Q$67*($E32:$E$67=$D31)),IF(ISNUMBER(Data_2014_N!K31),100*ABS($G31-(Data_2014_N!K31-$K31)/$M31),0),IF(ISNUMBER(Data_2014_N!K31),100*ABS($G31-(Data_2014_N!K31-$K31)/$M31),0)))</f>
        <v>51.1017137769864</v>
      </c>
      <c r="R31" s="161">
        <f>IF($H31=0,0,CHOOSE($H31,SUMPRODUCT($O32:$O$67*R32:R$67*($E32:$E$67=$D31)),IF(ISNUMBER(Data_2014_N!L31),100*ABS($G31-(Data_2014_N!L31-$K31)/$M31),0),IF(ISNUMBER(Data_2014_N!L31),100*ABS($G31-(Data_2014_N!L31-$K31)/$M31),0)))</f>
        <v>64.5201177139748</v>
      </c>
      <c r="S31" s="161">
        <f>IF($H31=0,0,CHOOSE($H31,SUMPRODUCT($O32:$O$67*S32:S$67*($E32:$E$67=$D31)),IF(ISNUMBER(Data_2014_N!M31),100*ABS($G31-(Data_2014_N!M31-$K31)/$M31),0),IF(ISNUMBER(Data_2014_N!M31),100*ABS($G31-(Data_2014_N!M31-$K31)/$M31),0)))</f>
        <v>76.1530281672725</v>
      </c>
      <c r="T31" s="161">
        <f>IF($H31=0,0,CHOOSE($H31,SUMPRODUCT($O32:$O$67*T32:T$67*($E32:$E$67=$D31)),IF(ISNUMBER(Data_2014_N!N31),100*ABS($G31-(Data_2014_N!N31-$K31)/$M31),0),IF(ISNUMBER(Data_2014_N!N31),100*ABS($G31-(Data_2014_N!N31-$K31)/$M31),0)))</f>
        <v>70.1857209980958</v>
      </c>
      <c r="U31" s="161">
        <f>IF($H31=0,0,CHOOSE($H31,SUMPRODUCT($O32:$O$67*U32:U$67*($E32:$E$67=$D31)),IF(ISNUMBER(Data_2014_N!O31),100*ABS($G31-(Data_2014_N!O31-$K31)/$M31),0),IF(ISNUMBER(Data_2014_N!O31),100*ABS($G31-(Data_2014_N!O31-$K31)/$M31),0)))</f>
        <v>43.1535474936321</v>
      </c>
      <c r="V31" s="161">
        <f>IF($H31=0,0,CHOOSE($H31,SUMPRODUCT($O32:$O$67*V32:V$67*($E32:$E$67=$D31)),IF(ISNUMBER(Data_2014_N!P31),100*ABS($G31-(Data_2014_N!P31-$K31)/$M31),0),IF(ISNUMBER(Data_2014_N!P31),100*ABS($G31-(Data_2014_N!P31-$K31)/$M31),0)))</f>
        <v>71.9316467591562</v>
      </c>
      <c r="W31" s="161">
        <f>IF($H31=0,0,CHOOSE($H31,SUMPRODUCT($O32:$O$67*W32:W$67*($E32:$E$67=$D31)),IF(ISNUMBER(Data_2014_N!Q31),100*ABS($G31-(Data_2014_N!Q31-$K31)/$M31),0),IF(ISNUMBER(Data_2014_N!Q31),100*ABS($G31-(Data_2014_N!Q31-$K31)/$M31),0)))</f>
        <v>54.0841308702426</v>
      </c>
      <c r="X31" s="161">
        <f>IF($H31=0,0,CHOOSE($H31,SUMPRODUCT($O32:$O$67*X32:X$67*($E32:$E$67=$D31)),IF(ISNUMBER(Data_2014_N!R31),100*ABS($G31-(Data_2014_N!R31-$K31)/$M31),0),IF(ISNUMBER(Data_2014_N!R31),100*ABS($G31-(Data_2014_N!R31-$K31)/$M31),0)))</f>
        <v>91.0527487202315</v>
      </c>
      <c r="Y31" s="161">
        <f>IF($H31=0,0,CHOOSE($H31,SUMPRODUCT($O32:$O$67*Y32:Y$67*($E32:$E$67=$D31)),IF(ISNUMBER(Data_2014_N!S31),100*ABS($G31-(Data_2014_N!S31-$K31)/$M31),0),IF(ISNUMBER(Data_2014_N!S31),100*ABS($G31-(Data_2014_N!S31-$K31)/$M31),0)))</f>
        <v>83.243069466083</v>
      </c>
      <c r="Z31" s="161">
        <f>IF($H31=0,0,CHOOSE($H31,SUMPRODUCT($O32:$O$67*Z32:Z$67*($E32:$E$67=$D31)),IF(ISNUMBER(Data_2014_N!T31),100*ABS($G31-(Data_2014_N!T31-$K31)/$M31),0),IF(ISNUMBER(Data_2014_N!T31),100*ABS($G31-(Data_2014_N!T31-$K31)/$M31),0)))</f>
        <v>75.4704849519005</v>
      </c>
      <c r="AA31" s="161">
        <f>IF($H31=0,0,CHOOSE($H31,SUMPRODUCT($O32:$O$67*AA32:AA$67*($E32:$E$67=$D31)),IF(ISNUMBER(Data_2014_N!U31),100*ABS($G31-(Data_2014_N!U31-$K31)/$M31),0),IF(ISNUMBER(Data_2014_N!U31),100*ABS($G31-(Data_2014_N!U31-$K31)/$M31),0)))</f>
        <v>73.5341395256819</v>
      </c>
      <c r="AB31" s="161">
        <f>IF($H31=0,0,CHOOSE($H31,SUMPRODUCT($O32:$O$67*AB32:AB$67*($E32:$E$67=$D31)),IF(ISNUMBER(Data_2014_N!V31),100*ABS($G31-(Data_2014_N!V31-$K31)/$M31),0),IF(ISNUMBER(Data_2014_N!V31),100*ABS($G31-(Data_2014_N!V31-$K31)/$M31),0)))</f>
        <v>73.2744763459208</v>
      </c>
      <c r="AC31" s="161">
        <f>IF($H31=0,0,CHOOSE($H31,SUMPRODUCT($O32:$O$67*AC32:AC$67*($E32:$E$67=$D31)),IF(ISNUMBER(Data_2014_N!W31),100*ABS($G31-(Data_2014_N!W31-$K31)/$M31),0),IF(ISNUMBER(Data_2014_N!W31),100*ABS($G31-(Data_2014_N!W31-$K31)/$M31),0)))</f>
        <v>68.5387145436111</v>
      </c>
      <c r="AD31" s="161">
        <f>IF($H31=0,0,CHOOSE($H31,SUMPRODUCT($O32:$O$67*AD32:AD$67*($E32:$E$67=$D31)),IF(ISNUMBER(Data_2014_N!X31),100*ABS($G31-(Data_2014_N!X31-$K31)/$M31),0),IF(ISNUMBER(Data_2014_N!X31),100*ABS($G31-(Data_2014_N!X31-$K31)/$M31),0)))</f>
        <v>78.3243069466083</v>
      </c>
      <c r="AE31" s="161">
        <f>IF($H31=0,0,CHOOSE($H31,SUMPRODUCT($O32:$O$67*AE32:AE$67*($E32:$E$67=$D31)),IF(ISNUMBER(Data_2014_N!Y31),100*ABS($G31-(Data_2014_N!Y31-$K31)/$M31),0),IF(ISNUMBER(Data_2014_N!Y31),100*ABS($G31-(Data_2014_N!Y31-$K31)/$M31),0)))</f>
        <v>83.7821796869204</v>
      </c>
      <c r="AF31" s="161">
        <f>IF($H31=0,0,CHOOSE($H31,SUMPRODUCT($O32:$O$67*AF32:AF$67*($E32:$E$67=$D31)),IF(ISNUMBER(Data_2014_N!Z31),100*ABS($G31-(Data_2014_N!Z31-$K31)/$M31),0),IF(ISNUMBER(Data_2014_N!Z31),100*ABS($G31-(Data_2014_N!Z31-$K31)/$M31),0)))</f>
        <v>86.8635160867522</v>
      </c>
      <c r="AG31" s="161">
        <f>IF($H31=0,0,CHOOSE($H31,SUMPRODUCT($O32:$O$67*AG32:AG$67*($E32:$E$67=$D31)),IF(ISNUMBER(Data_2014_N!AA31),100*ABS($G31-(Data_2014_N!AA31-$K31)/$M31),0),IF(ISNUMBER(Data_2014_N!AA31),100*ABS($G31-(Data_2014_N!AA31-$K31)/$M31),0)))</f>
        <v>77.6269258352499</v>
      </c>
      <c r="AH31" s="161">
        <f>IF($H31=0,0,CHOOSE($H31,SUMPRODUCT($O32:$O$67*AH32:AH$67*($E32:$E$67=$D31)),IF(ISNUMBER(Data_2014_N!AB31),100*ABS($G31-(Data_2014_N!AB31-$K31)/$M31),0),IF(ISNUMBER(Data_2014_N!AB31),100*ABS($G31-(Data_2014_N!AB31-$K31)/$M31),0)))</f>
        <v>58.0087543586319</v>
      </c>
      <c r="AI31" s="161">
        <f>IF($H31=0,0,CHOOSE($H31,SUMPRODUCT($O32:$O$67*AI32:AI$67*($E32:$E$67=$D31)),IF(ISNUMBER(Data_2014_N!AC31),100*ABS($G31-(Data_2014_N!AC31-$K31)/$M31),0),IF(ISNUMBER(Data_2014_N!AC31),100*ABS($G31-(Data_2014_N!AC31-$K31)/$M31),0)))</f>
        <v>12.8570368721715</v>
      </c>
      <c r="AJ31" s="161">
        <f>IF($H31=0,0,CHOOSE($H31,SUMPRODUCT($O32:$O$67*AJ32:AJ$67*($E32:$E$67=$D31)),IF(ISNUMBER(Data_2014_N!AD31),100*ABS($G31-(Data_2014_N!AD31-$K31)/$M31),0),IF(ISNUMBER(Data_2014_N!AD31),100*ABS($G31-(Data_2014_N!AD31-$K31)/$M31),0)))</f>
        <v>76.1530281672725</v>
      </c>
      <c r="AK31" s="161">
        <f>IF($H31=0,0,CHOOSE($H31,SUMPRODUCT($O32:$O$67*AK32:AK$67*($E32:$E$67=$D31)),IF(ISNUMBER(Data_2014_N!AE31),100*ABS($G31-(Data_2014_N!AE31-$K31)/$M31),0),IF(ISNUMBER(Data_2014_N!AE31),100*ABS($G31-(Data_2014_N!AE31-$K31)/$M31),0)))</f>
        <v>53.663723817296</v>
      </c>
      <c r="AL31" s="161">
        <f>IF($H31=0,0,CHOOSE($H31,SUMPRODUCT($O32:$O$67*AL32:AL$67*($E32:$E$67=$D31)),IF(ISNUMBER(Data_2014_N!AF31),100*ABS($G31-(Data_2014_N!AF31-$K31)/$M31),0),IF(ISNUMBER(Data_2014_N!AF31),100*ABS($G31-(Data_2014_N!AF31-$K31)/$M31),0)))</f>
        <v>83.3617726339738</v>
      </c>
      <c r="AM31" s="161">
        <f>IF($H31=0,0,CHOOSE($H31,SUMPRODUCT($O32:$O$67*AM32:AM$67*($E32:$E$67=$D31)),IF(ISNUMBER(Data_2014_N!AG31),100*ABS($G31-(Data_2014_N!AG31-$K31)/$M31),0),IF(ISNUMBER(Data_2014_N!AG31),100*ABS($G31-(Data_2014_N!AG31-$K31)/$M31),0)))</f>
        <v>66.5628013947622</v>
      </c>
      <c r="AN31" s="161">
        <f>IF($H31=0,0,CHOOSE($H31,SUMPRODUCT($O32:$O$67*AN32:AN$67*($E32:$E$67=$D31)),IF(ISNUMBER(Data_2014_N!AH31),100*ABS($G31-(Data_2014_N!AH31-$K31)/$M31),0),IF(ISNUMBER(Data_2014_N!AH31),100*ABS($G31-(Data_2014_N!AH31-$K31)/$M31),0)))</f>
        <v>70.0966936221777</v>
      </c>
      <c r="AO31" s="161">
        <f>IF($H31=0,0,CHOOSE($H31,SUMPRODUCT($O32:$O$67*AO32:AO$67*($E32:$E$67=$D31)),IF(ISNUMBER(Data_2014_N!AI31),100*ABS($G31-(Data_2014_N!AI31-$K31)/$M31),0),IF(ISNUMBER(Data_2014_N!AI31),100*ABS($G31-(Data_2014_N!AI31-$K31)/$M31),0)))</f>
        <v>84.4548309716349</v>
      </c>
      <c r="AP31" s="161">
        <f>IF($H31=0,0,CHOOSE($H31,SUMPRODUCT($O32:$O$67*AP32:AP$67*($E32:$E$67=$D31)),IF(ISNUMBER(Data_2014_N!AJ31),100*ABS($G31-(Data_2014_N!AJ31-$K31)/$M31),0),IF(ISNUMBER(Data_2014_N!AJ31),100*ABS($G31-(Data_2014_N!AJ31-$K31)/$M31),0)))</f>
        <v>100</v>
      </c>
      <c r="AQ31" s="161">
        <f>IF($H31=0,0,CHOOSE($H31,SUMPRODUCT($O32:$O$67*AQ32:AQ$67*($E32:$E$67=$D31)),IF(ISNUMBER(Data_2014_N!AK31),100*ABS($G31-(Data_2014_N!AK31-$K31)/$M31),0),IF(ISNUMBER(Data_2014_N!AK31),100*ABS($G31-(Data_2014_N!AK31-$K31)/$M31),0)))</f>
        <v>28.4393006405025</v>
      </c>
      <c r="AR31" s="161">
        <f>IF($H31=0,0,CHOOSE($H31,SUMPRODUCT($O32:$O$67*AR32:AR$67*($E32:$E$67=$D31)),IF(ISNUMBER(Data_2014_N!AL31),100*ABS($G31-(Data_2014_N!AL31-$K31)/$M31),0),IF(ISNUMBER(Data_2014_N!AL31),100*ABS($G31-(Data_2014_N!AL31-$K31)/$M31),0)))</f>
        <v>56.6313030145659</v>
      </c>
      <c r="AS31" s="161">
        <f>IF($H31=0,0,CHOOSE($H31,SUMPRODUCT($O32:$O$67*AS32:AS$67*($E32:$E$67=$D31)),IF(ISNUMBER(Data_2014_N!AM31),100*ABS($G31-(Data_2014_N!AM31-$K31)/$M31),0),IF(ISNUMBER(Data_2014_N!AM31),100*ABS($G31-(Data_2014_N!AM31-$K31)/$M31),0)))</f>
        <v>74.7533199792269</v>
      </c>
      <c r="AT31" s="161">
        <f>IF($H31=0,0,CHOOSE($H31,SUMPRODUCT($O32:$O$67*AT32:AT$67*($E32:$E$67=$D31)),IF(ISNUMBER(Data_2014_N!AN31),100*ABS($G31-(Data_2014_N!AN31-$K31)/$M31),0),IF(ISNUMBER(Data_2014_N!AN31),100*ABS($G31-(Data_2014_N!AN31-$K31)/$M31),0)))</f>
        <v>87.0860845265475</v>
      </c>
      <c r="AU31" s="161">
        <f>IF($H31=0,0,CHOOSE($H31,SUMPRODUCT($O32:$O$67*AU32:AU$67*($E32:$E$67=$D31)),IF(ISNUMBER(Data_2014_N!AO31),100*ABS($G31-(Data_2014_N!AO31-$K31)/$M31),0),IF(ISNUMBER(Data_2014_N!AO31),100*ABS($G31-(Data_2014_N!AO31-$K31)/$M31),0)))</f>
        <v>67.2552365407919</v>
      </c>
      <c r="AV31" s="161">
        <f>IF($H31=0,0,CHOOSE($H31,SUMPRODUCT($O32:$O$67*AV32:AV$67*($E32:$E$67=$D31)),IF(ISNUMBER(Data_2014_N!AP31),100*ABS($G31-(Data_2014_N!AP31-$K31)/$M31),0),IF(ISNUMBER(Data_2014_N!AP31),100*ABS($G31-(Data_2014_N!AP31-$K31)/$M31),0)))</f>
        <v>59.341692014739</v>
      </c>
      <c r="AW31" s="161">
        <f>IF($H31=0,0,CHOOSE($H31,SUMPRODUCT($O32:$O$67*AW32:AW$67*($E32:$E$67=$D31)),IF(ISNUMBER(Data_2014_N!AQ31),100*ABS($G31-(Data_2014_N!AQ31-$K31)/$M31),0),IF(ISNUMBER(Data_2014_N!AQ31),100*ABS($G31-(Data_2014_N!AQ31-$K31)/$M31),0)))</f>
        <v>99.9653782426985</v>
      </c>
      <c r="AX31" s="161">
        <f>IF($H31=0,0,CHOOSE($H31,SUMPRODUCT($O32:$O$67*AX32:AX$67*($E32:$E$67=$D31)),IF(ISNUMBER(Data_2014_N!AR31),100*ABS($G31-(Data_2014_N!AR31-$K31)/$M31),0),IF(ISNUMBER(Data_2014_N!AR31),100*ABS($G31-(Data_2014_N!AR31-$K31)/$M31),0)))</f>
        <v>74.7533199792269</v>
      </c>
      <c r="AY31" s="161">
        <f>IF($H31=0,0,CHOOSE($H31,SUMPRODUCT($O32:$O$67*AY32:AY$67*($E32:$E$67=$D31)),IF(ISNUMBER(Data_2014_N!AS31),100*ABS($G31-(Data_2014_N!AS31-$K31)/$M31),0),IF(ISNUMBER(Data_2014_N!AS31),100*ABS($G31-(Data_2014_N!AS31-$K31)/$M31),0)))</f>
        <v>70.8262235081732</v>
      </c>
      <c r="AZ31" s="161">
        <f>IF($H31=0,0,CHOOSE($H31,SUMPRODUCT($O32:$O$67*AZ32:AZ$67*($E32:$E$67=$D31)),IF(ISNUMBER(Data_2014_N!AT31),100*ABS($G31-(Data_2014_N!AT31-$K31)/$M31),0),IF(ISNUMBER(Data_2014_N!AT31),100*ABS($G31-(Data_2014_N!AT31-$K31)/$M31),0)))</f>
        <v>67.5124267378886</v>
      </c>
      <c r="BA31" s="161">
        <f>IF($H31=0,0,CHOOSE($H31,SUMPRODUCT($O32:$O$67*BA32:BA$67*($E32:$E$67=$D31)),IF(ISNUMBER(Data_2014_N!AU31),100*ABS($G31-(Data_2014_N!AU31-$K31)/$M31),0),IF(ISNUMBER(Data_2014_N!AU31),100*ABS($G31-(Data_2014_N!AU31-$K31)/$M31),0)))</f>
        <v>78.0226030615525</v>
      </c>
      <c r="BB31" s="161">
        <f>IF($H31=0,0,CHOOSE($H31,SUMPRODUCT($O32:$O$67*BB32:BB$67*($E32:$E$67=$D31)),IF(ISNUMBER(Data_2014_N!AV31),100*ABS($G31-(Data_2014_N!AV31-$K31)/$M31),0),IF(ISNUMBER(Data_2014_N!AV31),100*ABS($G31-(Data_2014_N!AV31-$K31)/$M31),0)))</f>
        <v>56.013057348468</v>
      </c>
      <c r="BC31" s="161">
        <f>IF($H31=0,0,CHOOSE($H31,SUMPRODUCT($O32:$O$67*BC32:BC$67*($E32:$E$67=$D31)),IF(ISNUMBER(Data_2014_N!AW31),100*ABS($G31-(Data_2014_N!AW31-$K31)/$M31),0),IF(ISNUMBER(Data_2014_N!AW31),100*ABS($G31-(Data_2014_N!AW31-$K31)/$M31),0)))</f>
        <v>57.3731978138833</v>
      </c>
      <c r="BD31" s="161">
        <f>IF($H31=0,0,CHOOSE($H31,SUMPRODUCT($O32:$O$67*BD32:BD$67*($E32:$E$67=$D31)),IF(ISNUMBER(Data_2014_N!AX31),100*ABS($G31-(Data_2014_N!AX31-$K31)/$M31),0),IF(ISNUMBER(Data_2014_N!AX31),100*ABS($G31-(Data_2014_N!AX31-$K31)/$M31),0)))</f>
        <v>52.672057768875</v>
      </c>
      <c r="BE31" s="161">
        <f>IF($H31=0,0,CHOOSE($H31,SUMPRODUCT($O32:$O$67*BE32:BE$67*($E32:$E$67=$D31)),IF(ISNUMBER(Data_2014_N!AY31),100*ABS($G31-(Data_2014_N!AY31-$K31)/$M31),0),IF(ISNUMBER(Data_2014_N!AY31),100*ABS($G31-(Data_2014_N!AY31-$K31)/$M31),0)))</f>
        <v>80.1493681529292</v>
      </c>
      <c r="BF31" s="161">
        <f>IF($H31=0,0,CHOOSE($H31,SUMPRODUCT($O32:$O$67*BF32:BF$67*($E32:$E$67=$D31)),IF(ISNUMBER(Data_2014_N!AZ31),100*ABS($G31-(Data_2014_N!AZ31-$K31)/$M31),0),IF(ISNUMBER(Data_2014_N!AZ31),100*ABS($G31-(Data_2014_N!AZ31-$K31)/$M31),0)))</f>
        <v>37.3667680589559</v>
      </c>
      <c r="BG31" s="161">
        <f>IF($H31=0,0,CHOOSE($H31,SUMPRODUCT($O32:$O$67*BG32:BG$67*($E32:$E$67=$D31)),IF(ISNUMBER(Data_2014_N!BA31),100*ABS($G31-(Data_2014_N!BA31-$K31)/$M31),0),IF(ISNUMBER(Data_2014_N!BA31),100*ABS($G31-(Data_2014_N!BA31-$K31)/$M31),0)))</f>
        <v>64.9899844202092</v>
      </c>
      <c r="BH31" s="161">
        <f>IF($H31=0,0,CHOOSE($H31,SUMPRODUCT($O32:$O$67*BH32:BH$67*($E32:$E$67=$D31)),IF(ISNUMBER(Data_2014_N!BB31),100*ABS($G31-(Data_2014_N!BB31-$K31)/$M31),0),IF(ISNUMBER(Data_2014_N!BB31),100*ABS($G31-(Data_2014_N!BB31-$K31)/$M31),0)))</f>
        <v>51.3366471301036</v>
      </c>
      <c r="BI31" s="161">
        <f>IF($H31=0,0,CHOOSE($H31,SUMPRODUCT($O32:$O$67*BI32:BI$67*($E32:$E$67=$D31)),IF(ISNUMBER(Data_2014_N!BC31),100*ABS($G31-(Data_2014_N!BC31-$K31)/$M31),0),IF(ISNUMBER(Data_2014_N!BC31),100*ABS($G31-(Data_2014_N!BC31-$K31)/$M31),0)))</f>
        <v>77.532952494003</v>
      </c>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row>
    <row r="32" s="69" customFormat="1" ht="24.95" customHeight="1" spans="1:115">
      <c r="A32" s="92"/>
      <c r="B32" s="92">
        <f>tblIndicators!A28</f>
        <v>27</v>
      </c>
      <c r="C32" s="92">
        <f>tblIndicators!B28</f>
        <v>0</v>
      </c>
      <c r="D32" s="92" t="str">
        <f>tblIndicators!D28</f>
        <v>HESE2.2.6</v>
      </c>
      <c r="E32" s="92" t="str">
        <f>tblIndicators!E28</f>
        <v>HESE2.2</v>
      </c>
      <c r="F32" s="92">
        <f>tblIndicators!F28</f>
        <v>3</v>
      </c>
      <c r="G32" s="92">
        <f>tblIndicators!Y28</f>
        <v>1</v>
      </c>
      <c r="H32" s="92">
        <f>tblIndicators!Z28</f>
        <v>2</v>
      </c>
      <c r="I32" s="104">
        <f>tblIndicators!AA28</f>
        <v>0</v>
      </c>
      <c r="J32" s="92">
        <f>tblIndicators!AB28</f>
        <v>0</v>
      </c>
      <c r="K32" s="92">
        <f>CHOOSE(H32,"-",MIN(Data_2014_N!J32:BC32),I32)</f>
        <v>0</v>
      </c>
      <c r="L32" s="165">
        <f>CHOOSE(H32,"-",MAX(Data_2014_N!J32:BC32),J32)</f>
        <v>1</v>
      </c>
      <c r="M32" s="92">
        <f t="shared" si="1"/>
        <v>1</v>
      </c>
      <c r="N32" s="168" t="str">
        <f>REPT(" ",F32)&amp;tblIndicators!AE28</f>
        <v>   2.2.6) Number of attacks using biological, chemical and/or radiological weapons</v>
      </c>
      <c r="O32" s="169">
        <f>tblIndicators!AD28</f>
        <v>0.166666666666667</v>
      </c>
      <c r="P32" s="161">
        <f>IF($H32=0,0,CHOOSE($H32,SUMPRODUCT($O33:$O$67*P33:P$67*($E33:$E$67=$D32)),IF(ISNUMBER(Data_2014_N!J32),100*ABS($G32-(Data_2014_N!J32-$K32)/$M32),0),IF(ISNUMBER(Data_2014_N!J32),100*ABS($G32-(Data_2014_N!J32-$K32)/$M32),0)))</f>
        <v>100</v>
      </c>
      <c r="Q32" s="161">
        <f>IF($H32=0,0,CHOOSE($H32,SUMPRODUCT($O33:$O$67*Q33:Q$67*($E33:$E$67=$D32)),IF(ISNUMBER(Data_2014_N!K32),100*ABS($G32-(Data_2014_N!K32-$K32)/$M32),0),IF(ISNUMBER(Data_2014_N!K32),100*ABS($G32-(Data_2014_N!K32-$K32)/$M32),0)))</f>
        <v>100</v>
      </c>
      <c r="R32" s="161">
        <f>IF($H32=0,0,CHOOSE($H32,SUMPRODUCT($O33:$O$67*R33:R$67*($E33:$E$67=$D32)),IF(ISNUMBER(Data_2014_N!L32),100*ABS($G32-(Data_2014_N!L32-$K32)/$M32),0),IF(ISNUMBER(Data_2014_N!L32),100*ABS($G32-(Data_2014_N!L32-$K32)/$M32),0)))</f>
        <v>100</v>
      </c>
      <c r="S32" s="161">
        <f>IF($H32=0,0,CHOOSE($H32,SUMPRODUCT($O33:$O$67*S33:S$67*($E33:$E$67=$D32)),IF(ISNUMBER(Data_2014_N!M32),100*ABS($G32-(Data_2014_N!M32-$K32)/$M32),0),IF(ISNUMBER(Data_2014_N!M32),100*ABS($G32-(Data_2014_N!M32-$K32)/$M32),0)))</f>
        <v>100</v>
      </c>
      <c r="T32" s="161">
        <f>IF($H32=0,0,CHOOSE($H32,SUMPRODUCT($O33:$O$67*T33:T$67*($E33:$E$67=$D32)),IF(ISNUMBER(Data_2014_N!N32),100*ABS($G32-(Data_2014_N!N32-$K32)/$M32),0),IF(ISNUMBER(Data_2014_N!N32),100*ABS($G32-(Data_2014_N!N32-$K32)/$M32),0)))</f>
        <v>100</v>
      </c>
      <c r="U32" s="161">
        <f>IF($H32=0,0,CHOOSE($H32,SUMPRODUCT($O33:$O$67*U33:U$67*($E33:$E$67=$D32)),IF(ISNUMBER(Data_2014_N!O32),100*ABS($G32-(Data_2014_N!O32-$K32)/$M32),0),IF(ISNUMBER(Data_2014_N!O32),100*ABS($G32-(Data_2014_N!O32-$K32)/$M32),0)))</f>
        <v>100</v>
      </c>
      <c r="V32" s="161">
        <f>IF($H32=0,0,CHOOSE($H32,SUMPRODUCT($O33:$O$67*V33:V$67*($E33:$E$67=$D32)),IF(ISNUMBER(Data_2014_N!P32),100*ABS($G32-(Data_2014_N!P32-$K32)/$M32),0),IF(ISNUMBER(Data_2014_N!P32),100*ABS($G32-(Data_2014_N!P32-$K32)/$M32),0)))</f>
        <v>100</v>
      </c>
      <c r="W32" s="161">
        <f>IF($H32=0,0,CHOOSE($H32,SUMPRODUCT($O33:$O$67*W33:W$67*($E33:$E$67=$D32)),IF(ISNUMBER(Data_2014_N!Q32),100*ABS($G32-(Data_2014_N!Q32-$K32)/$M32),0),IF(ISNUMBER(Data_2014_N!Q32),100*ABS($G32-(Data_2014_N!Q32-$K32)/$M32),0)))</f>
        <v>100</v>
      </c>
      <c r="X32" s="161">
        <f>IF($H32=0,0,CHOOSE($H32,SUMPRODUCT($O33:$O$67*X33:X$67*($E33:$E$67=$D32)),IF(ISNUMBER(Data_2014_N!R32),100*ABS($G32-(Data_2014_N!R32-$K32)/$M32),0),IF(ISNUMBER(Data_2014_N!R32),100*ABS($G32-(Data_2014_N!R32-$K32)/$M32),0)))</f>
        <v>100</v>
      </c>
      <c r="Y32" s="161">
        <f>IF($H32=0,0,CHOOSE($H32,SUMPRODUCT($O33:$O$67*Y33:Y$67*($E33:$E$67=$D32)),IF(ISNUMBER(Data_2014_N!S32),100*ABS($G32-(Data_2014_N!S32-$K32)/$M32),0),IF(ISNUMBER(Data_2014_N!S32),100*ABS($G32-(Data_2014_N!S32-$K32)/$M32),0)))</f>
        <v>100</v>
      </c>
      <c r="Z32" s="161">
        <f>IF($H32=0,0,CHOOSE($H32,SUMPRODUCT($O33:$O$67*Z33:Z$67*($E33:$E$67=$D32)),IF(ISNUMBER(Data_2014_N!T32),100*ABS($G32-(Data_2014_N!T32-$K32)/$M32),0),IF(ISNUMBER(Data_2014_N!T32),100*ABS($G32-(Data_2014_N!T32-$K32)/$M32),0)))</f>
        <v>100</v>
      </c>
      <c r="AA32" s="161">
        <f>IF($H32=0,0,CHOOSE($H32,SUMPRODUCT($O33:$O$67*AA33:AA$67*($E33:$E$67=$D32)),IF(ISNUMBER(Data_2014_N!U32),100*ABS($G32-(Data_2014_N!U32-$K32)/$M32),0),IF(ISNUMBER(Data_2014_N!U32),100*ABS($G32-(Data_2014_N!U32-$K32)/$M32),0)))</f>
        <v>100</v>
      </c>
      <c r="AB32" s="161">
        <f>IF($H32=0,0,CHOOSE($H32,SUMPRODUCT($O33:$O$67*AB33:AB$67*($E33:$E$67=$D32)),IF(ISNUMBER(Data_2014_N!V32),100*ABS($G32-(Data_2014_N!V32-$K32)/$M32),0),IF(ISNUMBER(Data_2014_N!V32),100*ABS($G32-(Data_2014_N!V32-$K32)/$M32),0)))</f>
        <v>0</v>
      </c>
      <c r="AC32" s="161">
        <f>IF($H32=0,0,CHOOSE($H32,SUMPRODUCT($O33:$O$67*AC33:AC$67*($E33:$E$67=$D32)),IF(ISNUMBER(Data_2014_N!W32),100*ABS($G32-(Data_2014_N!W32-$K32)/$M32),0),IF(ISNUMBER(Data_2014_N!W32),100*ABS($G32-(Data_2014_N!W32-$K32)/$M32),0)))</f>
        <v>100</v>
      </c>
      <c r="AD32" s="161">
        <f>IF($H32=0,0,CHOOSE($H32,SUMPRODUCT($O33:$O$67*AD33:AD$67*($E33:$E$67=$D32)),IF(ISNUMBER(Data_2014_N!X32),100*ABS($G32-(Data_2014_N!X32-$K32)/$M32),0),IF(ISNUMBER(Data_2014_N!X32),100*ABS($G32-(Data_2014_N!X32-$K32)/$M32),0)))</f>
        <v>100</v>
      </c>
      <c r="AE32" s="161">
        <f>IF($H32=0,0,CHOOSE($H32,SUMPRODUCT($O33:$O$67*AE33:AE$67*($E33:$E$67=$D32)),IF(ISNUMBER(Data_2014_N!Y32),100*ABS($G32-(Data_2014_N!Y32-$K32)/$M32),0),IF(ISNUMBER(Data_2014_N!Y32),100*ABS($G32-(Data_2014_N!Y32-$K32)/$M32),0)))</f>
        <v>100</v>
      </c>
      <c r="AF32" s="161">
        <f>IF($H32=0,0,CHOOSE($H32,SUMPRODUCT($O33:$O$67*AF33:AF$67*($E33:$E$67=$D32)),IF(ISNUMBER(Data_2014_N!Z32),100*ABS($G32-(Data_2014_N!Z32-$K32)/$M32),0),IF(ISNUMBER(Data_2014_N!Z32),100*ABS($G32-(Data_2014_N!Z32-$K32)/$M32),0)))</f>
        <v>100</v>
      </c>
      <c r="AG32" s="161">
        <f>IF($H32=0,0,CHOOSE($H32,SUMPRODUCT($O33:$O$67*AG33:AG$67*($E33:$E$67=$D32)),IF(ISNUMBER(Data_2014_N!AA32),100*ABS($G32-(Data_2014_N!AA32-$K32)/$M32),0),IF(ISNUMBER(Data_2014_N!AA32),100*ABS($G32-(Data_2014_N!AA32-$K32)/$M32),0)))</f>
        <v>100</v>
      </c>
      <c r="AH32" s="161">
        <f>IF($H32=0,0,CHOOSE($H32,SUMPRODUCT($O33:$O$67*AH33:AH$67*($E33:$E$67=$D32)),IF(ISNUMBER(Data_2014_N!AB32),100*ABS($G32-(Data_2014_N!AB32-$K32)/$M32),0),IF(ISNUMBER(Data_2014_N!AB32),100*ABS($G32-(Data_2014_N!AB32-$K32)/$M32),0)))</f>
        <v>100</v>
      </c>
      <c r="AI32" s="161">
        <f>IF($H32=0,0,CHOOSE($H32,SUMPRODUCT($O33:$O$67*AI33:AI$67*($E33:$E$67=$D32)),IF(ISNUMBER(Data_2014_N!AC32),100*ABS($G32-(Data_2014_N!AC32-$K32)/$M32),0),IF(ISNUMBER(Data_2014_N!AC32),100*ABS($G32-(Data_2014_N!AC32-$K32)/$M32),0)))</f>
        <v>100</v>
      </c>
      <c r="AJ32" s="161">
        <f>IF($H32=0,0,CHOOSE($H32,SUMPRODUCT($O33:$O$67*AJ33:AJ$67*($E33:$E$67=$D32)),IF(ISNUMBER(Data_2014_N!AD32),100*ABS($G32-(Data_2014_N!AD32-$K32)/$M32),0),IF(ISNUMBER(Data_2014_N!AD32),100*ABS($G32-(Data_2014_N!AD32-$K32)/$M32),0)))</f>
        <v>100</v>
      </c>
      <c r="AK32" s="161">
        <f>IF($H32=0,0,CHOOSE($H32,SUMPRODUCT($O33:$O$67*AK33:AK$67*($E33:$E$67=$D32)),IF(ISNUMBER(Data_2014_N!AE32),100*ABS($G32-(Data_2014_N!AE32-$K32)/$M32),0),IF(ISNUMBER(Data_2014_N!AE32),100*ABS($G32-(Data_2014_N!AE32-$K32)/$M32),0)))</f>
        <v>100</v>
      </c>
      <c r="AL32" s="161">
        <f>IF($H32=0,0,CHOOSE($H32,SUMPRODUCT($O33:$O$67*AL33:AL$67*($E33:$E$67=$D32)),IF(ISNUMBER(Data_2014_N!AF32),100*ABS($G32-(Data_2014_N!AF32-$K32)/$M32),0),IF(ISNUMBER(Data_2014_N!AF32),100*ABS($G32-(Data_2014_N!AF32-$K32)/$M32),0)))</f>
        <v>100</v>
      </c>
      <c r="AM32" s="161">
        <f>IF($H32=0,0,CHOOSE($H32,SUMPRODUCT($O33:$O$67*AM33:AM$67*($E33:$E$67=$D32)),IF(ISNUMBER(Data_2014_N!AG32),100*ABS($G32-(Data_2014_N!AG32-$K32)/$M32),0),IF(ISNUMBER(Data_2014_N!AG32),100*ABS($G32-(Data_2014_N!AG32-$K32)/$M32),0)))</f>
        <v>100</v>
      </c>
      <c r="AN32" s="161">
        <f>IF($H32=0,0,CHOOSE($H32,SUMPRODUCT($O33:$O$67*AN33:AN$67*($E33:$E$67=$D32)),IF(ISNUMBER(Data_2014_N!AH32),100*ABS($G32-(Data_2014_N!AH32-$K32)/$M32),0),IF(ISNUMBER(Data_2014_N!AH32),100*ABS($G32-(Data_2014_N!AH32-$K32)/$M32),0)))</f>
        <v>100</v>
      </c>
      <c r="AO32" s="161">
        <f>IF($H32=0,0,CHOOSE($H32,SUMPRODUCT($O33:$O$67*AO33:AO$67*($E33:$E$67=$D32)),IF(ISNUMBER(Data_2014_N!AI32),100*ABS($G32-(Data_2014_N!AI32-$K32)/$M32),0),IF(ISNUMBER(Data_2014_N!AI32),100*ABS($G32-(Data_2014_N!AI32-$K32)/$M32),0)))</f>
        <v>100</v>
      </c>
      <c r="AP32" s="161">
        <f>IF($H32=0,0,CHOOSE($H32,SUMPRODUCT($O33:$O$67*AP33:AP$67*($E33:$E$67=$D32)),IF(ISNUMBER(Data_2014_N!AJ32),100*ABS($G32-(Data_2014_N!AJ32-$K32)/$M32),0),IF(ISNUMBER(Data_2014_N!AJ32),100*ABS($G32-(Data_2014_N!AJ32-$K32)/$M32),0)))</f>
        <v>100</v>
      </c>
      <c r="AQ32" s="161">
        <f>IF($H32=0,0,CHOOSE($H32,SUMPRODUCT($O33:$O$67*AQ33:AQ$67*($E33:$E$67=$D32)),IF(ISNUMBER(Data_2014_N!AK32),100*ABS($G32-(Data_2014_N!AK32-$K32)/$M32),0),IF(ISNUMBER(Data_2014_N!AK32),100*ABS($G32-(Data_2014_N!AK32-$K32)/$M32),0)))</f>
        <v>100</v>
      </c>
      <c r="AR32" s="161">
        <f>IF($H32=0,0,CHOOSE($H32,SUMPRODUCT($O33:$O$67*AR33:AR$67*($E33:$E$67=$D32)),IF(ISNUMBER(Data_2014_N!AL32),100*ABS($G32-(Data_2014_N!AL32-$K32)/$M32),0),IF(ISNUMBER(Data_2014_N!AL32),100*ABS($G32-(Data_2014_N!AL32-$K32)/$M32),0)))</f>
        <v>100</v>
      </c>
      <c r="AS32" s="161">
        <f>IF($H32=0,0,CHOOSE($H32,SUMPRODUCT($O33:$O$67*AS33:AS$67*($E33:$E$67=$D32)),IF(ISNUMBER(Data_2014_N!AM32),100*ABS($G32-(Data_2014_N!AM32-$K32)/$M32),0),IF(ISNUMBER(Data_2014_N!AM32),100*ABS($G32-(Data_2014_N!AM32-$K32)/$M32),0)))</f>
        <v>100</v>
      </c>
      <c r="AT32" s="161">
        <f>IF($H32=0,0,CHOOSE($H32,SUMPRODUCT($O33:$O$67*AT33:AT$67*($E33:$E$67=$D32)),IF(ISNUMBER(Data_2014_N!AN32),100*ABS($G32-(Data_2014_N!AN32-$K32)/$M32),0),IF(ISNUMBER(Data_2014_N!AN32),100*ABS($G32-(Data_2014_N!AN32-$K32)/$M32),0)))</f>
        <v>100</v>
      </c>
      <c r="AU32" s="161">
        <f>IF($H32=0,0,CHOOSE($H32,SUMPRODUCT($O33:$O$67*AU33:AU$67*($E33:$E$67=$D32)),IF(ISNUMBER(Data_2014_N!AO32),100*ABS($G32-(Data_2014_N!AO32-$K32)/$M32),0),IF(ISNUMBER(Data_2014_N!AO32),100*ABS($G32-(Data_2014_N!AO32-$K32)/$M32),0)))</f>
        <v>100</v>
      </c>
      <c r="AV32" s="161">
        <f>IF($H32=0,0,CHOOSE($H32,SUMPRODUCT($O33:$O$67*AV33:AV$67*($E33:$E$67=$D32)),IF(ISNUMBER(Data_2014_N!AP32),100*ABS($G32-(Data_2014_N!AP32-$K32)/$M32),0),IF(ISNUMBER(Data_2014_N!AP32),100*ABS($G32-(Data_2014_N!AP32-$K32)/$M32),0)))</f>
        <v>100</v>
      </c>
      <c r="AW32" s="161">
        <f>IF($H32=0,0,CHOOSE($H32,SUMPRODUCT($O33:$O$67*AW33:AW$67*($E33:$E$67=$D32)),IF(ISNUMBER(Data_2014_N!AQ32),100*ABS($G32-(Data_2014_N!AQ32-$K32)/$M32),0),IF(ISNUMBER(Data_2014_N!AQ32),100*ABS($G32-(Data_2014_N!AQ32-$K32)/$M32),0)))</f>
        <v>100</v>
      </c>
      <c r="AX32" s="161">
        <f>IF($H32=0,0,CHOOSE($H32,SUMPRODUCT($O33:$O$67*AX33:AX$67*($E33:$E$67=$D32)),IF(ISNUMBER(Data_2014_N!AR32),100*ABS($G32-(Data_2014_N!AR32-$K32)/$M32),0),IF(ISNUMBER(Data_2014_N!AR32),100*ABS($G32-(Data_2014_N!AR32-$K32)/$M32),0)))</f>
        <v>100</v>
      </c>
      <c r="AY32" s="161">
        <f>IF($H32=0,0,CHOOSE($H32,SUMPRODUCT($O33:$O$67*AY33:AY$67*($E33:$E$67=$D32)),IF(ISNUMBER(Data_2014_N!AS32),100*ABS($G32-(Data_2014_N!AS32-$K32)/$M32),0),IF(ISNUMBER(Data_2014_N!AS32),100*ABS($G32-(Data_2014_N!AS32-$K32)/$M32),0)))</f>
        <v>100</v>
      </c>
      <c r="AZ32" s="161">
        <f>IF($H32=0,0,CHOOSE($H32,SUMPRODUCT($O33:$O$67*AZ33:AZ$67*($E33:$E$67=$D32)),IF(ISNUMBER(Data_2014_N!AT32),100*ABS($G32-(Data_2014_N!AT32-$K32)/$M32),0),IF(ISNUMBER(Data_2014_N!AT32),100*ABS($G32-(Data_2014_N!AT32-$K32)/$M32),0)))</f>
        <v>100</v>
      </c>
      <c r="BA32" s="161">
        <f>IF($H32=0,0,CHOOSE($H32,SUMPRODUCT($O33:$O$67*BA33:BA$67*($E33:$E$67=$D32)),IF(ISNUMBER(Data_2014_N!AU32),100*ABS($G32-(Data_2014_N!AU32-$K32)/$M32),0),IF(ISNUMBER(Data_2014_N!AU32),100*ABS($G32-(Data_2014_N!AU32-$K32)/$M32),0)))</f>
        <v>100</v>
      </c>
      <c r="BB32" s="161">
        <f>IF($H32=0,0,CHOOSE($H32,SUMPRODUCT($O33:$O$67*BB33:BB$67*($E33:$E$67=$D32)),IF(ISNUMBER(Data_2014_N!AV32),100*ABS($G32-(Data_2014_N!AV32-$K32)/$M32),0),IF(ISNUMBER(Data_2014_N!AV32),100*ABS($G32-(Data_2014_N!AV32-$K32)/$M32),0)))</f>
        <v>100</v>
      </c>
      <c r="BC32" s="161">
        <f>IF($H32=0,0,CHOOSE($H32,SUMPRODUCT($O33:$O$67*BC33:BC$67*($E33:$E$67=$D32)),IF(ISNUMBER(Data_2014_N!AW32),100*ABS($G32-(Data_2014_N!AW32-$K32)/$M32),0),IF(ISNUMBER(Data_2014_N!AW32),100*ABS($G32-(Data_2014_N!AW32-$K32)/$M32),0)))</f>
        <v>100</v>
      </c>
      <c r="BD32" s="161">
        <f>IF($H32=0,0,CHOOSE($H32,SUMPRODUCT($O33:$O$67*BD33:BD$67*($E33:$E$67=$D32)),IF(ISNUMBER(Data_2014_N!AX32),100*ABS($G32-(Data_2014_N!AX32-$K32)/$M32),0),IF(ISNUMBER(Data_2014_N!AX32),100*ABS($G32-(Data_2014_N!AX32-$K32)/$M32),0)))</f>
        <v>100</v>
      </c>
      <c r="BE32" s="161">
        <f>IF($H32=0,0,CHOOSE($H32,SUMPRODUCT($O33:$O$67*BE33:BE$67*($E33:$E$67=$D32)),IF(ISNUMBER(Data_2014_N!AY32),100*ABS($G32-(Data_2014_N!AY32-$K32)/$M32),0),IF(ISNUMBER(Data_2014_N!AY32),100*ABS($G32-(Data_2014_N!AY32-$K32)/$M32),0)))</f>
        <v>100</v>
      </c>
      <c r="BF32" s="161">
        <f>IF($H32=0,0,CHOOSE($H32,SUMPRODUCT($O33:$O$67*BF33:BF$67*($E33:$E$67=$D32)),IF(ISNUMBER(Data_2014_N!AZ32),100*ABS($G32-(Data_2014_N!AZ32-$K32)/$M32),0),IF(ISNUMBER(Data_2014_N!AZ32),100*ABS($G32-(Data_2014_N!AZ32-$K32)/$M32),0)))</f>
        <v>100</v>
      </c>
      <c r="BG32" s="161">
        <f>IF($H32=0,0,CHOOSE($H32,SUMPRODUCT($O33:$O$67*BG33:BG$67*($E33:$E$67=$D32)),IF(ISNUMBER(Data_2014_N!BA32),100*ABS($G32-(Data_2014_N!BA32-$K32)/$M32),0),IF(ISNUMBER(Data_2014_N!BA32),100*ABS($G32-(Data_2014_N!BA32-$K32)/$M32),0)))</f>
        <v>100</v>
      </c>
      <c r="BH32" s="161">
        <f>IF($H32=0,0,CHOOSE($H32,SUMPRODUCT($O33:$O$67*BH33:BH$67*($E33:$E$67=$D32)),IF(ISNUMBER(Data_2014_N!BB32),100*ABS($G32-(Data_2014_N!BB32-$K32)/$M32),0),IF(ISNUMBER(Data_2014_N!BB32),100*ABS($G32-(Data_2014_N!BB32-$K32)/$M32),0)))</f>
        <v>100</v>
      </c>
      <c r="BI32" s="161">
        <f>IF($H32=0,0,CHOOSE($H32,SUMPRODUCT($O33:$O$67*BI33:BI$67*($E33:$E$67=$D32)),IF(ISNUMBER(Data_2014_N!BC32),100*ABS($G32-(Data_2014_N!BC32-$K32)/$M32),0),IF(ISNUMBER(Data_2014_N!BC32),100*ABS($G32-(Data_2014_N!BC32-$K32)/$M32),0)))</f>
        <v>100</v>
      </c>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row>
    <row r="33" s="69" customFormat="1" ht="24.95" customHeight="1" spans="1:115">
      <c r="A33" s="92"/>
      <c r="B33" s="92">
        <f>tblIndicators!A29</f>
        <v>28</v>
      </c>
      <c r="C33" s="92">
        <f>tblIndicators!B29</f>
        <v>0</v>
      </c>
      <c r="D33" s="92" t="str">
        <f>tblIndicators!D29</f>
        <v>INSE</v>
      </c>
      <c r="E33" s="92" t="str">
        <f>tblIndicators!E29</f>
        <v>OVERALL</v>
      </c>
      <c r="F33" s="92">
        <f>tblIndicators!F29</f>
        <v>1</v>
      </c>
      <c r="G33" s="92" t="str">
        <f>tblIndicators!Y29</f>
        <v/>
      </c>
      <c r="H33" s="92">
        <f>tblIndicators!Z29</f>
        <v>1</v>
      </c>
      <c r="I33" s="104">
        <f>tblIndicators!AA29</f>
        <v>0</v>
      </c>
      <c r="J33" s="92">
        <f>tblIndicators!AB29</f>
        <v>0</v>
      </c>
      <c r="K33" s="92" t="str">
        <f>CHOOSE(H33,"-",MIN(Data_2014_N!J33:BC33),I33)</f>
        <v>-</v>
      </c>
      <c r="L33" s="165" t="str">
        <f>CHOOSE(H33,"-",MAX(Data_2014_N!J33:BC33),J33)</f>
        <v>-</v>
      </c>
      <c r="M33" s="92" t="str">
        <f t="shared" si="1"/>
        <v>-</v>
      </c>
      <c r="N33" s="168" t="str">
        <f>REPT(" ",F33)&amp;tblIndicators!AE29</f>
        <v> 3) INFRASTRUCTURE SECURITY</v>
      </c>
      <c r="O33" s="169">
        <f>tblIndicators!AD29</f>
        <v>0.25</v>
      </c>
      <c r="P33" s="161">
        <f>IF($H33=0,0,CHOOSE($H33,SUMPRODUCT($O34:$O$67*P34:P$67*($E34:$E$67=$D33)),IF(ISNUMBER(Data_2014_N!J33),100*ABS($G33-(Data_2014_N!J33-$K33)/$M33),0),IF(ISNUMBER(Data_2014_N!J33),100*ABS($G33-(Data_2014_N!J33-$K33)/$M33),0)))</f>
        <v>87.5935350381347</v>
      </c>
      <c r="Q33" s="161">
        <f>IF($H33=0,0,CHOOSE($H33,SUMPRODUCT($O34:$O$67*Q34:Q$67*($E34:$E$67=$D33)),IF(ISNUMBER(Data_2014_N!K33),100*ABS($G33-(Data_2014_N!K33-$K33)/$M33),0),IF(ISNUMBER(Data_2014_N!K33),100*ABS($G33-(Data_2014_N!K33-$K33)/$M33),0)))</f>
        <v>92.4352194051778</v>
      </c>
      <c r="R33" s="161">
        <f>IF($H33=0,0,CHOOSE($H33,SUMPRODUCT($O34:$O$67*R34:R$67*($E34:$E$67=$D33)),IF(ISNUMBER(Data_2014_N!L33),100*ABS($G33-(Data_2014_N!L33-$K33)/$M33),0),IF(ISNUMBER(Data_2014_N!L33),100*ABS($G33-(Data_2014_N!L33-$K33)/$M33),0)))</f>
        <v>56.1741305851567</v>
      </c>
      <c r="S33" s="161">
        <f>IF($H33=0,0,CHOOSE($H33,SUMPRODUCT($O34:$O$67*S34:S$67*($E34:$E$67=$D33)),IF(ISNUMBER(Data_2014_N!M33),100*ABS($G33-(Data_2014_N!M33-$K33)/$M33),0),IF(ISNUMBER(Data_2014_N!M33),100*ABS($G33-(Data_2014_N!M33-$K33)/$M33),0)))</f>
        <v>87.9861334214738</v>
      </c>
      <c r="T33" s="161">
        <f>IF($H33=0,0,CHOOSE($H33,SUMPRODUCT($O34:$O$67*T34:T$67*($E34:$E$67=$D33)),IF(ISNUMBER(Data_2014_N!N33),100*ABS($G33-(Data_2014_N!N33-$K33)/$M33),0),IF(ISNUMBER(Data_2014_N!N33),100*ABS($G33-(Data_2014_N!N33-$K33)/$M33),0)))</f>
        <v>78.5964071823664</v>
      </c>
      <c r="U33" s="161">
        <f>IF($H33=0,0,CHOOSE($H33,SUMPRODUCT($O34:$O$67*U34:U$67*($E34:$E$67=$D33)),IF(ISNUMBER(Data_2014_N!O33),100*ABS($G33-(Data_2014_N!O33-$K33)/$M33),0),IF(ISNUMBER(Data_2014_N!O33),100*ABS($G33-(Data_2014_N!O33-$K33)/$M33),0)))</f>
        <v>86.1927754392071</v>
      </c>
      <c r="V33" s="161">
        <f>IF($H33=0,0,CHOOSE($H33,SUMPRODUCT($O34:$O$67*V34:V$67*($E34:$E$67=$D33)),IF(ISNUMBER(Data_2014_N!P33),100*ABS($G33-(Data_2014_N!P33-$K33)/$M33),0),IF(ISNUMBER(Data_2014_N!P33),100*ABS($G33-(Data_2014_N!P33-$K33)/$M33),0)))</f>
        <v>78.6627069806703</v>
      </c>
      <c r="W33" s="161">
        <f>IF($H33=0,0,CHOOSE($H33,SUMPRODUCT($O34:$O$67*W34:W$67*($E34:$E$67=$D33)),IF(ISNUMBER(Data_2014_N!Q33),100*ABS($G33-(Data_2014_N!Q33-$K33)/$M33),0),IF(ISNUMBER(Data_2014_N!Q33),100*ABS($G33-(Data_2014_N!Q33-$K33)/$M33),0)))</f>
        <v>87.5706990102201</v>
      </c>
      <c r="X33" s="161">
        <f>IF($H33=0,0,CHOOSE($H33,SUMPRODUCT($O34:$O$67*X34:X$67*($E34:$E$67=$D33)),IF(ISNUMBER(Data_2014_N!R33),100*ABS($G33-(Data_2014_N!R33-$K33)/$M33),0),IF(ISNUMBER(Data_2014_N!R33),100*ABS($G33-(Data_2014_N!R33-$K33)/$M33),0)))</f>
        <v>58.6872040229748</v>
      </c>
      <c r="Y33" s="161">
        <f>IF($H33=0,0,CHOOSE($H33,SUMPRODUCT($O34:$O$67*Y34:Y$67*($E34:$E$67=$D33)),IF(ISNUMBER(Data_2014_N!S33),100*ABS($G33-(Data_2014_N!S33-$K33)/$M33),0),IF(ISNUMBER(Data_2014_N!S33),100*ABS($G33-(Data_2014_N!S33-$K33)/$M33),0)))</f>
        <v>75.4871801055378</v>
      </c>
      <c r="Z33" s="161">
        <f>IF($H33=0,0,CHOOSE($H33,SUMPRODUCT($O34:$O$67*Z34:Z$67*($E34:$E$67=$D33)),IF(ISNUMBER(Data_2014_N!T33),100*ABS($G33-(Data_2014_N!T33-$K33)/$M33),0),IF(ISNUMBER(Data_2014_N!T33),100*ABS($G33-(Data_2014_N!T33-$K33)/$M33),0)))</f>
        <v>85.8040099071438</v>
      </c>
      <c r="AA33" s="161">
        <f>IF($H33=0,0,CHOOSE($H33,SUMPRODUCT($O34:$O$67*AA34:AA$67*($E34:$E$67=$D33)),IF(ISNUMBER(Data_2014_N!U33),100*ABS($G33-(Data_2014_N!U33-$K33)/$M33),0),IF(ISNUMBER(Data_2014_N!U33),100*ABS($G33-(Data_2014_N!U33-$K33)/$M33),0)))</f>
        <v>52.4443085461184</v>
      </c>
      <c r="AB33" s="161">
        <f>IF($H33=0,0,CHOOSE($H33,SUMPRODUCT($O34:$O$67*AB34:AB$67*($E34:$E$67=$D33)),IF(ISNUMBER(Data_2014_N!V33),100*ABS($G33-(Data_2014_N!V33-$K33)/$M33),0),IF(ISNUMBER(Data_2014_N!V33),100*ABS($G33-(Data_2014_N!V33-$K33)/$M33),0)))</f>
        <v>75.1701953299851</v>
      </c>
      <c r="AC33" s="161">
        <f>IF($H33=0,0,CHOOSE($H33,SUMPRODUCT($O34:$O$67*AC34:AC$67*($E34:$E$67=$D33)),IF(ISNUMBER(Data_2014_N!W33),100*ABS($G33-(Data_2014_N!W33-$K33)/$M33),0),IF(ISNUMBER(Data_2014_N!W33),100*ABS($G33-(Data_2014_N!W33-$K33)/$M33),0)))</f>
        <v>71.454058154597</v>
      </c>
      <c r="AD33" s="161">
        <f>IF($H33=0,0,CHOOSE($H33,SUMPRODUCT($O34:$O$67*AD34:AD$67*($E34:$E$67=$D33)),IF(ISNUMBER(Data_2014_N!X33),100*ABS($G33-(Data_2014_N!X33-$K33)/$M33),0),IF(ISNUMBER(Data_2014_N!X33),100*ABS($G33-(Data_2014_N!X33-$K33)/$M33),0)))</f>
        <v>58.6487034873301</v>
      </c>
      <c r="AE33" s="161">
        <f>IF($H33=0,0,CHOOSE($H33,SUMPRODUCT($O34:$O$67*AE34:AE$67*($E34:$E$67=$D33)),IF(ISNUMBER(Data_2014_N!Y33),100*ABS($G33-(Data_2014_N!Y33-$K33)/$M33),0),IF(ISNUMBER(Data_2014_N!Y33),100*ABS($G33-(Data_2014_N!Y33-$K33)/$M33),0)))</f>
        <v>64.149888996315</v>
      </c>
      <c r="AF33" s="161">
        <f>IF($H33=0,0,CHOOSE($H33,SUMPRODUCT($O34:$O$67*AF34:AF$67*($E34:$E$67=$D33)),IF(ISNUMBER(Data_2014_N!Z33),100*ABS($G33-(Data_2014_N!Z33-$K33)/$M33),0),IF(ISNUMBER(Data_2014_N!Z33),100*ABS($G33-(Data_2014_N!Z33-$K33)/$M33),0)))</f>
        <v>72.3349045319617</v>
      </c>
      <c r="AG33" s="161">
        <f>IF($H33=0,0,CHOOSE($H33,SUMPRODUCT($O34:$O$67*AG34:AG$67*($E34:$E$67=$D33)),IF(ISNUMBER(Data_2014_N!AA33),100*ABS($G33-(Data_2014_N!AA33-$K33)/$M33),0),IF(ISNUMBER(Data_2014_N!AA33),100*ABS($G33-(Data_2014_N!AA33-$K33)/$M33),0)))</f>
        <v>78.9164476633454</v>
      </c>
      <c r="AH33" s="161">
        <f>IF($H33=0,0,CHOOSE($H33,SUMPRODUCT($O34:$O$67*AH34:AH$67*($E34:$E$67=$D33)),IF(ISNUMBER(Data_2014_N!AB33),100*ABS($G33-(Data_2014_N!AB33-$K33)/$M33),0),IF(ISNUMBER(Data_2014_N!AB33),100*ABS($G33-(Data_2014_N!AB33-$K33)/$M33),0)))</f>
        <v>70.6173120319955</v>
      </c>
      <c r="AI33" s="161">
        <f>IF($H33=0,0,CHOOSE($H33,SUMPRODUCT($O34:$O$67*AI34:AI$67*($E34:$E$67=$D33)),IF(ISNUMBER(Data_2014_N!AC33),100*ABS($G33-(Data_2014_N!AC33-$K33)/$M33),0),IF(ISNUMBER(Data_2014_N!AC33),100*ABS($G33-(Data_2014_N!AC33-$K33)/$M33),0)))</f>
        <v>84.6607908940912</v>
      </c>
      <c r="AJ33" s="161">
        <f>IF($H33=0,0,CHOOSE($H33,SUMPRODUCT($O34:$O$67*AJ34:AJ$67*($E34:$E$67=$D33)),IF(ISNUMBER(Data_2014_N!AD33),100*ABS($G33-(Data_2014_N!AD33-$K33)/$M33),0),IF(ISNUMBER(Data_2014_N!AD33),100*ABS($G33-(Data_2014_N!AD33-$K33)/$M33),0)))</f>
        <v>84.2963191819248</v>
      </c>
      <c r="AK33" s="161">
        <f>IF($H33=0,0,CHOOSE($H33,SUMPRODUCT($O34:$O$67*AK34:AK$67*($E34:$E$67=$D33)),IF(ISNUMBER(Data_2014_N!AE33),100*ABS($G33-(Data_2014_N!AE33-$K33)/$M33),0),IF(ISNUMBER(Data_2014_N!AE33),100*ABS($G33-(Data_2014_N!AE33-$K33)/$M33),0)))</f>
        <v>93.3931176213493</v>
      </c>
      <c r="AL33" s="161">
        <f>IF($H33=0,0,CHOOSE($H33,SUMPRODUCT($O34:$O$67*AL34:AL$67*($E34:$E$67=$D33)),IF(ISNUMBER(Data_2014_N!AF33),100*ABS($G33-(Data_2014_N!AF33-$K33)/$M33),0),IF(ISNUMBER(Data_2014_N!AF33),100*ABS($G33-(Data_2014_N!AF33-$K33)/$M33),0)))</f>
        <v>58.8428192646717</v>
      </c>
      <c r="AM33" s="161">
        <f>IF($H33=0,0,CHOOSE($H33,SUMPRODUCT($O34:$O$67*AM34:AM$67*($E34:$E$67=$D33)),IF(ISNUMBER(Data_2014_N!AG33),100*ABS($G33-(Data_2014_N!AG33-$K33)/$M33),0),IF(ISNUMBER(Data_2014_N!AG33),100*ABS($G33-(Data_2014_N!AG33-$K33)/$M33),0)))</f>
        <v>81.9922547286909</v>
      </c>
      <c r="AN33" s="161">
        <f>IF($H33=0,0,CHOOSE($H33,SUMPRODUCT($O34:$O$67*AN34:AN$67*($E34:$E$67=$D33)),IF(ISNUMBER(Data_2014_N!AH33),100*ABS($G33-(Data_2014_N!AH33-$K33)/$M33),0),IF(ISNUMBER(Data_2014_N!AH33),100*ABS($G33-(Data_2014_N!AH33-$K33)/$M33),0)))</f>
        <v>72.5710854837765</v>
      </c>
      <c r="AO33" s="161">
        <f>IF($H33=0,0,CHOOSE($H33,SUMPRODUCT($O34:$O$67*AO34:AO$67*($E34:$E$67=$D33)),IF(ISNUMBER(Data_2014_N!AI33),100*ABS($G33-(Data_2014_N!AI33-$K33)/$M33),0),IF(ISNUMBER(Data_2014_N!AI33),100*ABS($G33-(Data_2014_N!AI33-$K33)/$M33),0)))</f>
        <v>55.8967841803657</v>
      </c>
      <c r="AP33" s="161">
        <f>IF($H33=0,0,CHOOSE($H33,SUMPRODUCT($O34:$O$67*AP34:AP$67*($E34:$E$67=$D33)),IF(ISNUMBER(Data_2014_N!AJ33),100*ABS($G33-(Data_2014_N!AJ33-$K33)/$M33),0),IF(ISNUMBER(Data_2014_N!AJ33),100*ABS($G33-(Data_2014_N!AJ33-$K33)/$M33),0)))</f>
        <v>86.1308210425984</v>
      </c>
      <c r="AQ33" s="161">
        <f>IF($H33=0,0,CHOOSE($H33,SUMPRODUCT($O34:$O$67*AQ34:AQ$67*($E34:$E$67=$D33)),IF(ISNUMBER(Data_2014_N!AK33),100*ABS($G33-(Data_2014_N!AK33-$K33)/$M33),0),IF(ISNUMBER(Data_2014_N!AK33),100*ABS($G33-(Data_2014_N!AK33-$K33)/$M33),0)))</f>
        <v>88.1354738655517</v>
      </c>
      <c r="AR33" s="161">
        <f>IF($H33=0,0,CHOOSE($H33,SUMPRODUCT($O34:$O$67*AR34:AR$67*($E34:$E$67=$D33)),IF(ISNUMBER(Data_2014_N!AL33),100*ABS($G33-(Data_2014_N!AL33-$K33)/$M33),0),IF(ISNUMBER(Data_2014_N!AL33),100*ABS($G33-(Data_2014_N!AL33-$K33)/$M33),0)))</f>
        <v>77.8428695592877</v>
      </c>
      <c r="AS33" s="161">
        <f>IF($H33=0,0,CHOOSE($H33,SUMPRODUCT($O34:$O$67*AS34:AS$67*($E34:$E$67=$D33)),IF(ISNUMBER(Data_2014_N!AM33),100*ABS($G33-(Data_2014_N!AM33-$K33)/$M33),0),IF(ISNUMBER(Data_2014_N!AM33),100*ABS($G33-(Data_2014_N!AM33-$K33)/$M33),0)))</f>
        <v>76.7858944777306</v>
      </c>
      <c r="AT33" s="161">
        <f>IF($H33=0,0,CHOOSE($H33,SUMPRODUCT($O34:$O$67*AT34:AT$67*($E34:$E$67=$D33)),IF(ISNUMBER(Data_2014_N!AN33),100*ABS($G33-(Data_2014_N!AN33-$K33)/$M33),0),IF(ISNUMBER(Data_2014_N!AN33),100*ABS($G33-(Data_2014_N!AN33-$K33)/$M33),0)))</f>
        <v>62.0880653136217</v>
      </c>
      <c r="AU33" s="161">
        <f>IF($H33=0,0,CHOOSE($H33,SUMPRODUCT($O34:$O$67*AU34:AU$67*($E34:$E$67=$D33)),IF(ISNUMBER(Data_2014_N!AO33),100*ABS($G33-(Data_2014_N!AO33-$K33)/$M33),0),IF(ISNUMBER(Data_2014_N!AO33),100*ABS($G33-(Data_2014_N!AO33-$K33)/$M33),0)))</f>
        <v>85.5544414398908</v>
      </c>
      <c r="AV33" s="161">
        <f>IF($H33=0,0,CHOOSE($H33,SUMPRODUCT($O34:$O$67*AV34:AV$67*($E34:$E$67=$D33)),IF(ISNUMBER(Data_2014_N!AP33),100*ABS($G33-(Data_2014_N!AP33-$K33)/$M33),0),IF(ISNUMBER(Data_2014_N!AP33),100*ABS($G33-(Data_2014_N!AP33-$K33)/$M33),0)))</f>
        <v>87.9479983151762</v>
      </c>
      <c r="AW33" s="161">
        <f>IF($H33=0,0,CHOOSE($H33,SUMPRODUCT($O34:$O$67*AW34:AW$67*($E34:$E$67=$D33)),IF(ISNUMBER(Data_2014_N!AQ33),100*ABS($G33-(Data_2014_N!AQ33-$K33)/$M33),0),IF(ISNUMBER(Data_2014_N!AQ33),100*ABS($G33-(Data_2014_N!AQ33-$K33)/$M33),0)))</f>
        <v>75.1798097167351</v>
      </c>
      <c r="AX33" s="161">
        <f>IF($H33=0,0,CHOOSE($H33,SUMPRODUCT($O34:$O$67*AX34:AX$67*($E34:$E$67=$D33)),IF(ISNUMBER(Data_2014_N!AR33),100*ABS($G33-(Data_2014_N!AR33-$K33)/$M33),0),IF(ISNUMBER(Data_2014_N!AR33),100*ABS($G33-(Data_2014_N!AR33-$K33)/$M33),0)))</f>
        <v>78.0617457926872</v>
      </c>
      <c r="AY33" s="161">
        <f>IF($H33=0,0,CHOOSE($H33,SUMPRODUCT($O34:$O$67*AY34:AY$67*($E34:$E$67=$D33)),IF(ISNUMBER(Data_2014_N!AS33),100*ABS($G33-(Data_2014_N!AS33-$K33)/$M33),0),IF(ISNUMBER(Data_2014_N!AS33),100*ABS($G33-(Data_2014_N!AS33-$K33)/$M33),0)))</f>
        <v>86.9823997632454</v>
      </c>
      <c r="AZ33" s="161">
        <f>IF($H33=0,0,CHOOSE($H33,SUMPRODUCT($O34:$O$67*AZ34:AZ$67*($E34:$E$67=$D33)),IF(ISNUMBER(Data_2014_N!AT33),100*ABS($G33-(Data_2014_N!AT33-$K33)/$M33),0),IF(ISNUMBER(Data_2014_N!AT33),100*ABS($G33-(Data_2014_N!AT33-$K33)/$M33),0)))</f>
        <v>77.8378278401291</v>
      </c>
      <c r="BA33" s="161">
        <f>IF($H33=0,0,CHOOSE($H33,SUMPRODUCT($O34:$O$67*BA34:BA$67*($E34:$E$67=$D33)),IF(ISNUMBER(Data_2014_N!AU33),100*ABS($G33-(Data_2014_N!AU33-$K33)/$M33),0),IF(ISNUMBER(Data_2014_N!AU33),100*ABS($G33-(Data_2014_N!AU33-$K33)/$M33),0)))</f>
        <v>90.7531628337027</v>
      </c>
      <c r="BB33" s="161">
        <f>IF($H33=0,0,CHOOSE($H33,SUMPRODUCT($O34:$O$67*BB34:BB$67*($E34:$E$67=$D33)),IF(ISNUMBER(Data_2014_N!AV33),100*ABS($G33-(Data_2014_N!AV33-$K33)/$M33),0),IF(ISNUMBER(Data_2014_N!AV33),100*ABS($G33-(Data_2014_N!AV33-$K33)/$M33),0)))</f>
        <v>82.807787504915</v>
      </c>
      <c r="BC33" s="161">
        <f>IF($H33=0,0,CHOOSE($H33,SUMPRODUCT($O34:$O$67*BC34:BC$67*($E34:$E$67=$D33)),IF(ISNUMBER(Data_2014_N!AW33),100*ABS($G33-(Data_2014_N!AW33-$K33)/$M33),0),IF(ISNUMBER(Data_2014_N!AW33),100*ABS($G33-(Data_2014_N!AW33-$K33)/$M33),0)))</f>
        <v>92.6871998492466</v>
      </c>
      <c r="BD33" s="161">
        <f>IF($H33=0,0,CHOOSE($H33,SUMPRODUCT($O34:$O$67*BD34:BD$67*($E34:$E$67=$D33)),IF(ISNUMBER(Data_2014_N!AX33),100*ABS($G33-(Data_2014_N!AX33-$K33)/$M33),0),IF(ISNUMBER(Data_2014_N!AX33),100*ABS($G33-(Data_2014_N!AX33-$K33)/$M33),0)))</f>
        <v>79.9161443300747</v>
      </c>
      <c r="BE33" s="161">
        <f>IF($H33=0,0,CHOOSE($H33,SUMPRODUCT($O34:$O$67*BE34:BE$67*($E34:$E$67=$D33)),IF(ISNUMBER(Data_2014_N!AY33),100*ABS($G33-(Data_2014_N!AY33-$K33)/$M33),0),IF(ISNUMBER(Data_2014_N!AY33),100*ABS($G33-(Data_2014_N!AY33-$K33)/$M33),0)))</f>
        <v>65.9642713736415</v>
      </c>
      <c r="BF33" s="161">
        <f>IF($H33=0,0,CHOOSE($H33,SUMPRODUCT($O34:$O$67*BF34:BF$67*($E34:$E$67=$D33)),IF(ISNUMBER(Data_2014_N!AZ33),100*ABS($G33-(Data_2014_N!AZ33-$K33)/$M33),0),IF(ISNUMBER(Data_2014_N!AZ33),100*ABS($G33-(Data_2014_N!AZ33-$K33)/$M33),0)))</f>
        <v>91.3992915754016</v>
      </c>
      <c r="BG33" s="161">
        <f>IF($H33=0,0,CHOOSE($H33,SUMPRODUCT($O34:$O$67*BG34:BG$67*($E34:$E$67=$D33)),IF(ISNUMBER(Data_2014_N!BA33),100*ABS($G33-(Data_2014_N!BA33-$K33)/$M33),0),IF(ISNUMBER(Data_2014_N!BA33),100*ABS($G33-(Data_2014_N!BA33-$K33)/$M33),0)))</f>
        <v>89.0716376574426</v>
      </c>
      <c r="BH33" s="161">
        <f>IF($H33=0,0,CHOOSE($H33,SUMPRODUCT($O34:$O$67*BH34:BH$67*($E34:$E$67=$D33)),IF(ISNUMBER(Data_2014_N!BB33),100*ABS($G33-(Data_2014_N!BB33-$K33)/$M33),0),IF(ISNUMBER(Data_2014_N!BB33),100*ABS($G33-(Data_2014_N!BB33-$K33)/$M33),0)))</f>
        <v>80.6208798175942</v>
      </c>
      <c r="BI33" s="161">
        <f>IF($H33=0,0,CHOOSE($H33,SUMPRODUCT($O34:$O$67*BI34:BI$67*($E34:$E$67=$D33)),IF(ISNUMBER(Data_2014_N!BC33),100*ABS($G33-(Data_2014_N!BC33-$K33)/$M33),0),IF(ISNUMBER(Data_2014_N!BC33),100*ABS($G33-(Data_2014_N!BC33-$K33)/$M33),0)))</f>
        <v>93.5238795544711</v>
      </c>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row>
    <row r="34" s="69" customFormat="1" ht="24.95" customHeight="1" spans="1:115">
      <c r="A34" s="92"/>
      <c r="B34" s="92">
        <f>tblIndicators!A30</f>
        <v>29</v>
      </c>
      <c r="C34" s="92">
        <f>tblIndicators!B30</f>
        <v>0</v>
      </c>
      <c r="D34" s="92" t="str">
        <f>tblIndicators!D30</f>
        <v>INSE3.1</v>
      </c>
      <c r="E34" s="92" t="str">
        <f>tblIndicators!E30</f>
        <v>INSE</v>
      </c>
      <c r="F34" s="92">
        <f>tblIndicators!F30</f>
        <v>2</v>
      </c>
      <c r="G34" s="92" t="str">
        <f>tblIndicators!Y30</f>
        <v/>
      </c>
      <c r="H34" s="92">
        <f>tblIndicators!Z30</f>
        <v>1</v>
      </c>
      <c r="I34" s="104">
        <f>tblIndicators!AA30</f>
        <v>0</v>
      </c>
      <c r="J34" s="92">
        <f>tblIndicators!AB30</f>
        <v>0</v>
      </c>
      <c r="K34" s="92" t="str">
        <f>CHOOSE(H34,"-",MIN(Data_2014_N!J34:BC34),I34)</f>
        <v>-</v>
      </c>
      <c r="L34" s="165" t="str">
        <f>CHOOSE(H34,"-",MAX(Data_2014_N!J34:BC34),J34)</f>
        <v>-</v>
      </c>
      <c r="M34" s="92" t="str">
        <f t="shared" si="1"/>
        <v>-</v>
      </c>
      <c r="N34" s="168" t="str">
        <f>REPT(" ",F34)&amp;tblIndicators!AE30</f>
        <v>  3.1) Infrastructure security (Inputs)</v>
      </c>
      <c r="O34" s="169">
        <f>tblIndicators!AD30</f>
        <v>0.5</v>
      </c>
      <c r="P34" s="161">
        <f>IF($H34=0,0,CHOOSE($H34,SUMPRODUCT($O35:$O$67*P35:P$67*($E35:$E$67=$D34)),IF(ISNUMBER(Data_2014_N!J34),100*ABS($G34-(Data_2014_N!J34-$K34)/$M34),0),IF(ISNUMBER(Data_2014_N!J34),100*ABS($G34-(Data_2014_N!J34-$K34)/$M34),0)))</f>
        <v>86.5</v>
      </c>
      <c r="Q34" s="161">
        <f>IF($H34=0,0,CHOOSE($H34,SUMPRODUCT($O35:$O$67*Q35:Q$67*($E35:$E$67=$D34)),IF(ISNUMBER(Data_2014_N!K34),100*ABS($G34-(Data_2014_N!K34-$K34)/$M34),0),IF(ISNUMBER(Data_2014_N!K34),100*ABS($G34-(Data_2014_N!K34-$K34)/$M34),0)))</f>
        <v>94</v>
      </c>
      <c r="R34" s="161">
        <f>IF($H34=0,0,CHOOSE($H34,SUMPRODUCT($O35:$O$67*R35:R$67*($E35:$E$67=$D34)),IF(ISNUMBER(Data_2014_N!L34),100*ABS($G34-(Data_2014_N!L34-$K34)/$M34),0),IF(ISNUMBER(Data_2014_N!L34),100*ABS($G34-(Data_2014_N!L34-$K34)/$M34),0)))</f>
        <v>50</v>
      </c>
      <c r="S34" s="161">
        <f>IF($H34=0,0,CHOOSE($H34,SUMPRODUCT($O35:$O$67*S35:S$67*($E35:$E$67=$D34)),IF(ISNUMBER(Data_2014_N!M34),100*ABS($G34-(Data_2014_N!M34-$K34)/$M34),0),IF(ISNUMBER(Data_2014_N!M34),100*ABS($G34-(Data_2014_N!M34-$K34)/$M34),0)))</f>
        <v>94.5</v>
      </c>
      <c r="T34" s="161">
        <f>IF($H34=0,0,CHOOSE($H34,SUMPRODUCT($O35:$O$67*T35:T$67*($E35:$E$67=$D34)),IF(ISNUMBER(Data_2014_N!N34),100*ABS($G34-(Data_2014_N!N34-$K34)/$M34),0),IF(ISNUMBER(Data_2014_N!N34),100*ABS($G34-(Data_2014_N!N34-$K34)/$M34),0)))</f>
        <v>73.5</v>
      </c>
      <c r="U34" s="161">
        <f>IF($H34=0,0,CHOOSE($H34,SUMPRODUCT($O35:$O$67*U35:U$67*($E35:$E$67=$D34)),IF(ISNUMBER(Data_2014_N!O34),100*ABS($G34-(Data_2014_N!O34-$K34)/$M34),0),IF(ISNUMBER(Data_2014_N!O34),100*ABS($G34-(Data_2014_N!O34-$K34)/$M34),0)))</f>
        <v>87</v>
      </c>
      <c r="V34" s="161">
        <f>IF($H34=0,0,CHOOSE($H34,SUMPRODUCT($O35:$O$67*V35:V$67*($E35:$E$67=$D34)),IF(ISNUMBER(Data_2014_N!P34),100*ABS($G34-(Data_2014_N!P34-$K34)/$M34),0),IF(ISNUMBER(Data_2014_N!P34),100*ABS($G34-(Data_2014_N!P34-$K34)/$M34),0)))</f>
        <v>87</v>
      </c>
      <c r="W34" s="161">
        <f>IF($H34=0,0,CHOOSE($H34,SUMPRODUCT($O35:$O$67*W35:W$67*($E35:$E$67=$D34)),IF(ISNUMBER(Data_2014_N!Q34),100*ABS($G34-(Data_2014_N!Q34-$K34)/$M34),0),IF(ISNUMBER(Data_2014_N!Q34),100*ABS($G34-(Data_2014_N!Q34-$K34)/$M34),0)))</f>
        <v>90</v>
      </c>
      <c r="X34" s="161">
        <f>IF($H34=0,0,CHOOSE($H34,SUMPRODUCT($O35:$O$67*X35:X$67*($E35:$E$67=$D34)),IF(ISNUMBER(Data_2014_N!R34),100*ABS($G34-(Data_2014_N!R34-$K34)/$M34),0),IF(ISNUMBER(Data_2014_N!R34),100*ABS($G34-(Data_2014_N!R34-$K34)/$M34),0)))</f>
        <v>40</v>
      </c>
      <c r="Y34" s="161">
        <f>IF($H34=0,0,CHOOSE($H34,SUMPRODUCT($O35:$O$67*Y35:Y$67*($E35:$E$67=$D34)),IF(ISNUMBER(Data_2014_N!S34),100*ABS($G34-(Data_2014_N!S34-$K34)/$M34),0),IF(ISNUMBER(Data_2014_N!S34),100*ABS($G34-(Data_2014_N!S34-$K34)/$M34),0)))</f>
        <v>64</v>
      </c>
      <c r="Z34" s="161">
        <f>IF($H34=0,0,CHOOSE($H34,SUMPRODUCT($O35:$O$67*Z35:Z$67*($E35:$E$67=$D34)),IF(ISNUMBER(Data_2014_N!T34),100*ABS($G34-(Data_2014_N!T34-$K34)/$M34),0),IF(ISNUMBER(Data_2014_N!T34),100*ABS($G34-(Data_2014_N!T34-$K34)/$M34),0)))</f>
        <v>95.5</v>
      </c>
      <c r="AA34" s="161">
        <f>IF($H34=0,0,CHOOSE($H34,SUMPRODUCT($O35:$O$67*AA35:AA$67*($E35:$E$67=$D34)),IF(ISNUMBER(Data_2014_N!U34),100*ABS($G34-(Data_2014_N!U34-$K34)/$M34),0),IF(ISNUMBER(Data_2014_N!U34),100*ABS($G34-(Data_2014_N!U34-$K34)/$M34),0)))</f>
        <v>25</v>
      </c>
      <c r="AB34" s="161">
        <f>IF($H34=0,0,CHOOSE($H34,SUMPRODUCT($O35:$O$67*AB35:AB$67*($E35:$E$67=$D34)),IF(ISNUMBER(Data_2014_N!V34),100*ABS($G34-(Data_2014_N!V34-$K34)/$M34),0),IF(ISNUMBER(Data_2014_N!V34),100*ABS($G34-(Data_2014_N!V34-$K34)/$M34),0)))</f>
        <v>80</v>
      </c>
      <c r="AC34" s="161">
        <f>IF($H34=0,0,CHOOSE($H34,SUMPRODUCT($O35:$O$67*AC35:AC$67*($E35:$E$67=$D34)),IF(ISNUMBER(Data_2014_N!W34),100*ABS($G34-(Data_2014_N!W34-$K34)/$M34),0),IF(ISNUMBER(Data_2014_N!W34),100*ABS($G34-(Data_2014_N!W34-$K34)/$M34),0)))</f>
        <v>76</v>
      </c>
      <c r="AD34" s="161">
        <f>IF($H34=0,0,CHOOSE($H34,SUMPRODUCT($O35:$O$67*AD35:AD$67*($E35:$E$67=$D34)),IF(ISNUMBER(Data_2014_N!X34),100*ABS($G34-(Data_2014_N!X34-$K34)/$M34),0),IF(ISNUMBER(Data_2014_N!X34),100*ABS($G34-(Data_2014_N!X34-$K34)/$M34),0)))</f>
        <v>52.5</v>
      </c>
      <c r="AE34" s="161">
        <f>IF($H34=0,0,CHOOSE($H34,SUMPRODUCT($O35:$O$67*AE35:AE$67*($E35:$E$67=$D34)),IF(ISNUMBER(Data_2014_N!Y34),100*ABS($G34-(Data_2014_N!Y34-$K34)/$M34),0),IF(ISNUMBER(Data_2014_N!Y34),100*ABS($G34-(Data_2014_N!Y34-$K34)/$M34),0)))</f>
        <v>56</v>
      </c>
      <c r="AF34" s="161">
        <f>IF($H34=0,0,CHOOSE($H34,SUMPRODUCT($O35:$O$67*AF35:AF$67*($E35:$E$67=$D34)),IF(ISNUMBER(Data_2014_N!Z34),100*ABS($G34-(Data_2014_N!Z34-$K34)/$M34),0),IF(ISNUMBER(Data_2014_N!Z34),100*ABS($G34-(Data_2014_N!Z34-$K34)/$M34),0)))</f>
        <v>56</v>
      </c>
      <c r="AG34" s="161">
        <f>IF($H34=0,0,CHOOSE($H34,SUMPRODUCT($O35:$O$67*AG35:AG$67*($E35:$E$67=$D34)),IF(ISNUMBER(Data_2014_N!AA34),100*ABS($G34-(Data_2014_N!AA34-$K34)/$M34),0),IF(ISNUMBER(Data_2014_N!AA34),100*ABS($G34-(Data_2014_N!AA34-$K34)/$M34),0)))</f>
        <v>83.5</v>
      </c>
      <c r="AH34" s="161">
        <f>IF($H34=0,0,CHOOSE($H34,SUMPRODUCT($O35:$O$67*AH35:AH$67*($E35:$E$67=$D34)),IF(ISNUMBER(Data_2014_N!AB34),100*ABS($G34-(Data_2014_N!AB34-$K34)/$M34),0),IF(ISNUMBER(Data_2014_N!AB34),100*ABS($G34-(Data_2014_N!AB34-$K34)/$M34),0)))</f>
        <v>70.75</v>
      </c>
      <c r="AI34" s="161">
        <f>IF($H34=0,0,CHOOSE($H34,SUMPRODUCT($O35:$O$67*AI35:AI$67*($E35:$E$67=$D34)),IF(ISNUMBER(Data_2014_N!AC34),100*ABS($G34-(Data_2014_N!AC34-$K34)/$M34),0),IF(ISNUMBER(Data_2014_N!AC34),100*ABS($G34-(Data_2014_N!AC34-$K34)/$M34),0)))</f>
        <v>85</v>
      </c>
      <c r="AJ34" s="161">
        <f>IF($H34=0,0,CHOOSE($H34,SUMPRODUCT($O35:$O$67*AJ35:AJ$67*($E35:$E$67=$D34)),IF(ISNUMBER(Data_2014_N!AD34),100*ABS($G34-(Data_2014_N!AD34-$K34)/$M34),0),IF(ISNUMBER(Data_2014_N!AD34),100*ABS($G34-(Data_2014_N!AD34-$K34)/$M34),0)))</f>
        <v>94.5</v>
      </c>
      <c r="AK34" s="161">
        <f>IF($H34=0,0,CHOOSE($H34,SUMPRODUCT($O35:$O$67*AK35:AK$67*($E35:$E$67=$D34)),IF(ISNUMBER(Data_2014_N!AE34),100*ABS($G34-(Data_2014_N!AE34-$K34)/$M34),0),IF(ISNUMBER(Data_2014_N!AE34),100*ABS($G34-(Data_2014_N!AE34-$K34)/$M34),0)))</f>
        <v>95.5</v>
      </c>
      <c r="AL34" s="161">
        <f>IF($H34=0,0,CHOOSE($H34,SUMPRODUCT($O35:$O$67*AL35:AL$67*($E35:$E$67=$D34)),IF(ISNUMBER(Data_2014_N!AF34),100*ABS($G34-(Data_2014_N!AF34-$K34)/$M34),0),IF(ISNUMBER(Data_2014_N!AF34),100*ABS($G34-(Data_2014_N!AF34-$K34)/$M34),0)))</f>
        <v>65</v>
      </c>
      <c r="AM34" s="161">
        <f>IF($H34=0,0,CHOOSE($H34,SUMPRODUCT($O35:$O$67*AM35:AM$67*($E35:$E$67=$D34)),IF(ISNUMBER(Data_2014_N!AG34),100*ABS($G34-(Data_2014_N!AG34-$K34)/$M34),0),IF(ISNUMBER(Data_2014_N!AG34),100*ABS($G34-(Data_2014_N!AG34-$K34)/$M34),0)))</f>
        <v>88.5</v>
      </c>
      <c r="AN34" s="161">
        <f>IF($H34=0,0,CHOOSE($H34,SUMPRODUCT($O35:$O$67*AN35:AN$67*($E35:$E$67=$D34)),IF(ISNUMBER(Data_2014_N!AH34),100*ABS($G34-(Data_2014_N!AH34-$K34)/$M34),0),IF(ISNUMBER(Data_2014_N!AH34),100*ABS($G34-(Data_2014_N!AH34-$K34)/$M34),0)))</f>
        <v>77</v>
      </c>
      <c r="AO34" s="161">
        <f>IF($H34=0,0,CHOOSE($H34,SUMPRODUCT($O35:$O$67*AO35:AO$67*($E35:$E$67=$D34)),IF(ISNUMBER(Data_2014_N!AI34),100*ABS($G34-(Data_2014_N!AI34-$K34)/$M34),0),IF(ISNUMBER(Data_2014_N!AI34),100*ABS($G34-(Data_2014_N!AI34-$K34)/$M34),0)))</f>
        <v>35</v>
      </c>
      <c r="AP34" s="161">
        <f>IF($H34=0,0,CHOOSE($H34,SUMPRODUCT($O35:$O$67*AP35:AP$67*($E35:$E$67=$D34)),IF(ISNUMBER(Data_2014_N!AJ34),100*ABS($G34-(Data_2014_N!AJ34-$K34)/$M34),0),IF(ISNUMBER(Data_2014_N!AJ34),100*ABS($G34-(Data_2014_N!AJ34-$K34)/$M34),0)))</f>
        <v>90</v>
      </c>
      <c r="AQ34" s="161">
        <f>IF($H34=0,0,CHOOSE($H34,SUMPRODUCT($O35:$O$67*AQ35:AQ$67*($E35:$E$67=$D34)),IF(ISNUMBER(Data_2014_N!AK34),100*ABS($G34-(Data_2014_N!AK34-$K34)/$M34),0),IF(ISNUMBER(Data_2014_N!AK34),100*ABS($G34-(Data_2014_N!AK34-$K34)/$M34),0)))</f>
        <v>95.5</v>
      </c>
      <c r="AR34" s="161">
        <f>IF($H34=0,0,CHOOSE($H34,SUMPRODUCT($O35:$O$67*AR35:AR$67*($E35:$E$67=$D34)),IF(ISNUMBER(Data_2014_N!AL34),100*ABS($G34-(Data_2014_N!AL34-$K34)/$M34),0),IF(ISNUMBER(Data_2014_N!AL34),100*ABS($G34-(Data_2014_N!AL34-$K34)/$M34),0)))</f>
        <v>72.5</v>
      </c>
      <c r="AS34" s="161">
        <f>IF($H34=0,0,CHOOSE($H34,SUMPRODUCT($O35:$O$67*AS35:AS$67*($E35:$E$67=$D34)),IF(ISNUMBER(Data_2014_N!AM34),100*ABS($G34-(Data_2014_N!AM34-$K34)/$M34),0),IF(ISNUMBER(Data_2014_N!AM34),100*ABS($G34-(Data_2014_N!AM34-$K34)/$M34),0)))</f>
        <v>72.5</v>
      </c>
      <c r="AT34" s="161">
        <f>IF($H34=0,0,CHOOSE($H34,SUMPRODUCT($O35:$O$67*AT35:AT$67*($E35:$E$67=$D34)),IF(ISNUMBER(Data_2014_N!AN34),100*ABS($G34-(Data_2014_N!AN34-$K34)/$M34),0),IF(ISNUMBER(Data_2014_N!AN34),100*ABS($G34-(Data_2014_N!AN34-$K34)/$M34),0)))</f>
        <v>48.5</v>
      </c>
      <c r="AU34" s="161">
        <f>IF($H34=0,0,CHOOSE($H34,SUMPRODUCT($O35:$O$67*AU35:AU$67*($E35:$E$67=$D34)),IF(ISNUMBER(Data_2014_N!AO34),100*ABS($G34-(Data_2014_N!AO34-$K34)/$M34),0),IF(ISNUMBER(Data_2014_N!AO34),100*ABS($G34-(Data_2014_N!AO34-$K34)/$M34),0)))</f>
        <v>93.5</v>
      </c>
      <c r="AV34" s="161">
        <f>IF($H34=0,0,CHOOSE($H34,SUMPRODUCT($O35:$O$67*AV35:AV$67*($E35:$E$67=$D34)),IF(ISNUMBER(Data_2014_N!AP34),100*ABS($G34-(Data_2014_N!AP34-$K34)/$M34),0),IF(ISNUMBER(Data_2014_N!AP34),100*ABS($G34-(Data_2014_N!AP34-$K34)/$M34),0)))</f>
        <v>90</v>
      </c>
      <c r="AW34" s="161">
        <f>IF($H34=0,0,CHOOSE($H34,SUMPRODUCT($O35:$O$67*AW35:AW$67*($E35:$E$67=$D34)),IF(ISNUMBER(Data_2014_N!AQ34),100*ABS($G34-(Data_2014_N!AQ34-$K34)/$M34),0),IF(ISNUMBER(Data_2014_N!AQ34),100*ABS($G34-(Data_2014_N!AQ34-$K34)/$M34),0)))</f>
        <v>66</v>
      </c>
      <c r="AX34" s="161">
        <f>IF($H34=0,0,CHOOSE($H34,SUMPRODUCT($O35:$O$67*AX35:AX$67*($E35:$E$67=$D34)),IF(ISNUMBER(Data_2014_N!AR34),100*ABS($G34-(Data_2014_N!AR34-$K34)/$M34),0),IF(ISNUMBER(Data_2014_N!AR34),100*ABS($G34-(Data_2014_N!AR34-$K34)/$M34),0)))</f>
        <v>77.5</v>
      </c>
      <c r="AY34" s="161">
        <f>IF($H34=0,0,CHOOSE($H34,SUMPRODUCT($O35:$O$67*AY35:AY$67*($E35:$E$67=$D34)),IF(ISNUMBER(Data_2014_N!AS34),100*ABS($G34-(Data_2014_N!AS34-$K34)/$M34),0),IF(ISNUMBER(Data_2014_N!AS34),100*ABS($G34-(Data_2014_N!AS34-$K34)/$M34),0)))</f>
        <v>84.5</v>
      </c>
      <c r="AZ34" s="161">
        <f>IF($H34=0,0,CHOOSE($H34,SUMPRODUCT($O35:$O$67*AZ35:AZ$67*($E35:$E$67=$D34)),IF(ISNUMBER(Data_2014_N!AT34),100*ABS($G34-(Data_2014_N!AT34-$K34)/$M34),0),IF(ISNUMBER(Data_2014_N!AT34),100*ABS($G34-(Data_2014_N!AT34-$K34)/$M34),0)))</f>
        <v>73.5</v>
      </c>
      <c r="BA34" s="161">
        <f>IF($H34=0,0,CHOOSE($H34,SUMPRODUCT($O35:$O$67*BA35:BA$67*($E35:$E$67=$D34)),IF(ISNUMBER(Data_2014_N!AU34),100*ABS($G34-(Data_2014_N!AU34-$K34)/$M34),0),IF(ISNUMBER(Data_2014_N!AU34),100*ABS($G34-(Data_2014_N!AU34-$K34)/$M34),0)))</f>
        <v>96.5</v>
      </c>
      <c r="BB34" s="161">
        <f>IF($H34=0,0,CHOOSE($H34,SUMPRODUCT($O35:$O$67*BB35:BB$67*($E35:$E$67=$D34)),IF(ISNUMBER(Data_2014_N!AV34),100*ABS($G34-(Data_2014_N!AV34-$K34)/$M34),0),IF(ISNUMBER(Data_2014_N!AV34),100*ABS($G34-(Data_2014_N!AV34-$K34)/$M34),0)))</f>
        <v>72.52</v>
      </c>
      <c r="BC34" s="161">
        <f>IF($H34=0,0,CHOOSE($H34,SUMPRODUCT($O35:$O$67*BC35:BC$67*($E35:$E$67=$D34)),IF(ISNUMBER(Data_2014_N!AW34),100*ABS($G34-(Data_2014_N!AW34-$K34)/$M34),0),IF(ISNUMBER(Data_2014_N!AW34),100*ABS($G34-(Data_2014_N!AW34-$K34)/$M34),0)))</f>
        <v>95.5</v>
      </c>
      <c r="BD34" s="161">
        <f>IF($H34=0,0,CHOOSE($H34,SUMPRODUCT($O35:$O$67*BD35:BD$67*($E35:$E$67=$D34)),IF(ISNUMBER(Data_2014_N!AX34),100*ABS($G34-(Data_2014_N!AX34-$K34)/$M34),0),IF(ISNUMBER(Data_2014_N!AX34),100*ABS($G34-(Data_2014_N!AX34-$K34)/$M34),0)))</f>
        <v>65</v>
      </c>
      <c r="BE34" s="161">
        <f>IF($H34=0,0,CHOOSE($H34,SUMPRODUCT($O35:$O$67*BE35:BE$67*($E35:$E$67=$D34)),IF(ISNUMBER(Data_2014_N!AY34),100*ABS($G34-(Data_2014_N!AY34-$K34)/$M34),0),IF(ISNUMBER(Data_2014_N!AY34),100*ABS($G34-(Data_2014_N!AY34-$K34)/$M34),0)))</f>
        <v>46</v>
      </c>
      <c r="BF34" s="161">
        <f>IF($H34=0,0,CHOOSE($H34,SUMPRODUCT($O35:$O$67*BF35:BF$67*($E35:$E$67=$D34)),IF(ISNUMBER(Data_2014_N!AZ34),100*ABS($G34-(Data_2014_N!AZ34-$K34)/$M34),0),IF(ISNUMBER(Data_2014_N!AZ34),100*ABS($G34-(Data_2014_N!AZ34-$K34)/$M34),0)))</f>
        <v>95.5</v>
      </c>
      <c r="BG34" s="161">
        <f>IF($H34=0,0,CHOOSE($H34,SUMPRODUCT($O35:$O$67*BG35:BG$67*($E35:$E$67=$D34)),IF(ISNUMBER(Data_2014_N!BA34),100*ABS($G34-(Data_2014_N!BA34-$K34)/$M34),0),IF(ISNUMBER(Data_2014_N!BA34),100*ABS($G34-(Data_2014_N!BA34-$K34)/$M34),0)))</f>
        <v>90</v>
      </c>
      <c r="BH34" s="161">
        <f>IF($H34=0,0,CHOOSE($H34,SUMPRODUCT($O35:$O$67*BH35:BH$67*($E35:$E$67=$D34)),IF(ISNUMBER(Data_2014_N!BB34),100*ABS($G34-(Data_2014_N!BB34-$K34)/$M34),0),IF(ISNUMBER(Data_2014_N!BB34),100*ABS($G34-(Data_2014_N!BB34-$K34)/$M34),0)))</f>
        <v>90</v>
      </c>
      <c r="BI34" s="161">
        <f>IF($H34=0,0,CHOOSE($H34,SUMPRODUCT($O35:$O$67*BI35:BI$67*($E35:$E$67=$D34)),IF(ISNUMBER(Data_2014_N!BC34),100*ABS($G34-(Data_2014_N!BC34-$K34)/$M34),0),IF(ISNUMBER(Data_2014_N!BC34),100*ABS($G34-(Data_2014_N!BC34-$K34)/$M34),0)))</f>
        <v>94</v>
      </c>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row>
    <row r="35" s="69" customFormat="1" ht="24.95" customHeight="1" spans="1:115">
      <c r="A35" s="92"/>
      <c r="B35" s="92">
        <f>tblIndicators!A31</f>
        <v>30</v>
      </c>
      <c r="C35" s="92">
        <f>tblIndicators!B31</f>
        <v>0</v>
      </c>
      <c r="D35" s="92" t="str">
        <f>tblIndicators!D31</f>
        <v>INSE3.1.1</v>
      </c>
      <c r="E35" s="92" t="str">
        <f>tblIndicators!E31</f>
        <v>INSE3.1</v>
      </c>
      <c r="F35" s="92">
        <f>tblIndicators!F31</f>
        <v>3</v>
      </c>
      <c r="G35" s="92">
        <f>tblIndicators!Y31</f>
        <v>0</v>
      </c>
      <c r="H35" s="92">
        <f>tblIndicators!Z31</f>
        <v>3</v>
      </c>
      <c r="I35" s="104">
        <f>tblIndicators!AA31</f>
        <v>0</v>
      </c>
      <c r="J35" s="92">
        <f>tblIndicators!AB31</f>
        <v>10</v>
      </c>
      <c r="K35" s="92">
        <f>CHOOSE(H35,"-",MIN(Data_2014_N!J35:BC35),I35)</f>
        <v>0</v>
      </c>
      <c r="L35" s="165">
        <f>CHOOSE(H35,"-",MAX(Data_2014_N!J35:BC35),J35)</f>
        <v>10</v>
      </c>
      <c r="M35" s="92">
        <f t="shared" si="1"/>
        <v>10</v>
      </c>
      <c r="N35" s="168" t="str">
        <f>REPT(" ",F35)&amp;tblIndicators!AE31</f>
        <v>   3.1.1) Enforcement of transport safety</v>
      </c>
      <c r="O35" s="169">
        <f>tblIndicators!AD31</f>
        <v>0.2</v>
      </c>
      <c r="P35" s="161">
        <f>IF($H35=0,0,CHOOSE($H35,SUMPRODUCT($O36:$O$67*P36:P$67*($E36:$E$67=$D35)),IF(ISNUMBER(Data_2014_N!J35),100*ABS($G35-(Data_2014_N!J35-$K35)/$M35),0),IF(ISNUMBER(Data_2014_N!J35),100*ABS($G35-(Data_2014_N!J35-$K35)/$M35),0)))</f>
        <v>82.5</v>
      </c>
      <c r="Q35" s="161">
        <f>IF($H35=0,0,CHOOSE($H35,SUMPRODUCT($O36:$O$67*Q36:Q$67*($E36:$E$67=$D35)),IF(ISNUMBER(Data_2014_N!K35),100*ABS($G35-(Data_2014_N!K35-$K35)/$M35),0),IF(ISNUMBER(Data_2014_N!K35),100*ABS($G35-(Data_2014_N!K35-$K35)/$M35),0)))</f>
        <v>70</v>
      </c>
      <c r="R35" s="161">
        <f>IF($H35=0,0,CHOOSE($H35,SUMPRODUCT($O36:$O$67*R36:R$67*($E36:$E$67=$D35)),IF(ISNUMBER(Data_2014_N!L35),100*ABS($G35-(Data_2014_N!L35-$K35)/$M35),0),IF(ISNUMBER(Data_2014_N!L35),100*ABS($G35-(Data_2014_N!L35-$K35)/$M35),0)))</f>
        <v>50</v>
      </c>
      <c r="S35" s="161">
        <f>IF($H35=0,0,CHOOSE($H35,SUMPRODUCT($O36:$O$67*S36:S$67*($E36:$E$67=$D35)),IF(ISNUMBER(Data_2014_N!M35),100*ABS($G35-(Data_2014_N!M35-$K35)/$M35),0),IF(ISNUMBER(Data_2014_N!M35),100*ABS($G35-(Data_2014_N!M35-$K35)/$M35),0)))</f>
        <v>72.5</v>
      </c>
      <c r="T35" s="161">
        <f>IF($H35=0,0,CHOOSE($H35,SUMPRODUCT($O36:$O$67*T36:T$67*($E36:$E$67=$D35)),IF(ISNUMBER(Data_2014_N!N35),100*ABS($G35-(Data_2014_N!N35-$K35)/$M35),0),IF(ISNUMBER(Data_2014_N!N35),100*ABS($G35-(Data_2014_N!N35-$K35)/$M35),0)))</f>
        <v>42.5</v>
      </c>
      <c r="U35" s="161">
        <f>IF($H35=0,0,CHOOSE($H35,SUMPRODUCT($O36:$O$67*U36:U$67*($E36:$E$67=$D35)),IF(ISNUMBER(Data_2014_N!O35),100*ABS($G35-(Data_2014_N!O35-$K35)/$M35),0),IF(ISNUMBER(Data_2014_N!O35),100*ABS($G35-(Data_2014_N!O35-$K35)/$M35),0)))</f>
        <v>60</v>
      </c>
      <c r="V35" s="161">
        <f>IF($H35=0,0,CHOOSE($H35,SUMPRODUCT($O36:$O$67*V36:V$67*($E36:$E$67=$D35)),IF(ISNUMBER(Data_2014_N!P35),100*ABS($G35-(Data_2014_N!P35-$K35)/$M35),0),IF(ISNUMBER(Data_2014_N!P35),100*ABS($G35-(Data_2014_N!P35-$K35)/$M35),0)))</f>
        <v>60</v>
      </c>
      <c r="W35" s="161">
        <f>IF($H35=0,0,CHOOSE($H35,SUMPRODUCT($O36:$O$67*W36:W$67*($E36:$E$67=$D35)),IF(ISNUMBER(Data_2014_N!Q35),100*ABS($G35-(Data_2014_N!Q35-$K35)/$M35),0),IF(ISNUMBER(Data_2014_N!Q35),100*ABS($G35-(Data_2014_N!Q35-$K35)/$M35),0)))</f>
        <v>75</v>
      </c>
      <c r="X35" s="161">
        <f>IF($H35=0,0,CHOOSE($H35,SUMPRODUCT($O36:$O$67*X36:X$67*($E36:$E$67=$D35)),IF(ISNUMBER(Data_2014_N!R35),100*ABS($G35-(Data_2014_N!R35-$K35)/$M35),0),IF(ISNUMBER(Data_2014_N!R35),100*ABS($G35-(Data_2014_N!R35-$K35)/$M35),0)))</f>
        <v>25</v>
      </c>
      <c r="Y35" s="161">
        <f>IF($H35=0,0,CHOOSE($H35,SUMPRODUCT($O36:$O$67*Y36:Y$67*($E36:$E$67=$D35)),IF(ISNUMBER(Data_2014_N!S35),100*ABS($G35-(Data_2014_N!S35-$K35)/$M35),0),IF(ISNUMBER(Data_2014_N!S35),100*ABS($G35-(Data_2014_N!S35-$K35)/$M35),0)))</f>
        <v>70</v>
      </c>
      <c r="Z35" s="161">
        <f>IF($H35=0,0,CHOOSE($H35,SUMPRODUCT($O36:$O$67*Z36:Z$67*($E36:$E$67=$D35)),IF(ISNUMBER(Data_2014_N!T35),100*ABS($G35-(Data_2014_N!T35-$K35)/$M35),0),IF(ISNUMBER(Data_2014_N!T35),100*ABS($G35-(Data_2014_N!T35-$K35)/$M35),0)))</f>
        <v>77.5</v>
      </c>
      <c r="AA35" s="161">
        <f>IF($H35=0,0,CHOOSE($H35,SUMPRODUCT($O36:$O$67*AA36:AA$67*($E36:$E$67=$D35)),IF(ISNUMBER(Data_2014_N!U35),100*ABS($G35-(Data_2014_N!U35-$K35)/$M35),0),IF(ISNUMBER(Data_2014_N!U35),100*ABS($G35-(Data_2014_N!U35-$K35)/$M35),0)))</f>
        <v>0</v>
      </c>
      <c r="AB35" s="161">
        <f>IF($H35=0,0,CHOOSE($H35,SUMPRODUCT($O36:$O$67*AB36:AB$67*($E36:$E$67=$D35)),IF(ISNUMBER(Data_2014_N!V35),100*ABS($G35-(Data_2014_N!V35-$K35)/$M35),0),IF(ISNUMBER(Data_2014_N!V35),100*ABS($G35-(Data_2014_N!V35-$K35)/$M35),0)))</f>
        <v>0</v>
      </c>
      <c r="AC35" s="161">
        <f>IF($H35=0,0,CHOOSE($H35,SUMPRODUCT($O36:$O$67*AC36:AC$67*($E36:$E$67=$D35)),IF(ISNUMBER(Data_2014_N!W35),100*ABS($G35-(Data_2014_N!W35-$K35)/$M35),0),IF(ISNUMBER(Data_2014_N!W35),100*ABS($G35-(Data_2014_N!W35-$K35)/$M35),0)))</f>
        <v>80</v>
      </c>
      <c r="AD35" s="161">
        <f>IF($H35=0,0,CHOOSE($H35,SUMPRODUCT($O36:$O$67*AD36:AD$67*($E36:$E$67=$D35)),IF(ISNUMBER(Data_2014_N!X35),100*ABS($G35-(Data_2014_N!X35-$K35)/$M35),0),IF(ISNUMBER(Data_2014_N!X35),100*ABS($G35-(Data_2014_N!X35-$K35)/$M35),0)))</f>
        <v>62.5</v>
      </c>
      <c r="AE35" s="161">
        <f>IF($H35=0,0,CHOOSE($H35,SUMPRODUCT($O36:$O$67*AE36:AE$67*($E36:$E$67=$D35)),IF(ISNUMBER(Data_2014_N!Y35),100*ABS($G35-(Data_2014_N!Y35-$K35)/$M35),0),IF(ISNUMBER(Data_2014_N!Y35),100*ABS($G35-(Data_2014_N!Y35-$K35)/$M35),0)))</f>
        <v>30</v>
      </c>
      <c r="AF35" s="161">
        <f>IF($H35=0,0,CHOOSE($H35,SUMPRODUCT($O36:$O$67*AF36:AF$67*($E36:$E$67=$D35)),IF(ISNUMBER(Data_2014_N!Z35),100*ABS($G35-(Data_2014_N!Z35-$K35)/$M35),0),IF(ISNUMBER(Data_2014_N!Z35),100*ABS($G35-(Data_2014_N!Z35-$K35)/$M35),0)))</f>
        <v>30</v>
      </c>
      <c r="AG35" s="161">
        <f>IF($H35=0,0,CHOOSE($H35,SUMPRODUCT($O36:$O$67*AG36:AG$67*($E36:$E$67=$D35)),IF(ISNUMBER(Data_2014_N!AA35),100*ABS($G35-(Data_2014_N!AA35-$K35)/$M35),0),IF(ISNUMBER(Data_2014_N!AA35),100*ABS($G35-(Data_2014_N!AA35-$K35)/$M35),0)))</f>
        <v>42.5</v>
      </c>
      <c r="AH35" s="161">
        <f>IF($H35=0,0,CHOOSE($H35,SUMPRODUCT($O36:$O$67*AH36:AH$67*($E36:$E$67=$D35)),IF(ISNUMBER(Data_2014_N!AB35),100*ABS($G35-(Data_2014_N!AB35-$K35)/$M35),0),IF(ISNUMBER(Data_2014_N!AB35),100*ABS($G35-(Data_2014_N!AB35-$K35)/$M35),0)))</f>
        <v>78.75</v>
      </c>
      <c r="AI35" s="161">
        <f>IF($H35=0,0,CHOOSE($H35,SUMPRODUCT($O36:$O$67*AI36:AI$67*($E36:$E$67=$D35)),IF(ISNUMBER(Data_2014_N!AC35),100*ABS($G35-(Data_2014_N!AC35-$K35)/$M35),0),IF(ISNUMBER(Data_2014_N!AC35),100*ABS($G35-(Data_2014_N!AC35-$K35)/$M35),0)))</f>
        <v>75</v>
      </c>
      <c r="AJ35" s="161">
        <f>IF($H35=0,0,CHOOSE($H35,SUMPRODUCT($O36:$O$67*AJ36:AJ$67*($E36:$E$67=$D35)),IF(ISNUMBER(Data_2014_N!AD35),100*ABS($G35-(Data_2014_N!AD35-$K35)/$M35),0),IF(ISNUMBER(Data_2014_N!AD35),100*ABS($G35-(Data_2014_N!AD35-$K35)/$M35),0)))</f>
        <v>72.5</v>
      </c>
      <c r="AK35" s="161">
        <f>IF($H35=0,0,CHOOSE($H35,SUMPRODUCT($O36:$O$67*AK36:AK$67*($E36:$E$67=$D35)),IF(ISNUMBER(Data_2014_N!AE35),100*ABS($G35-(Data_2014_N!AE35-$K35)/$M35),0),IF(ISNUMBER(Data_2014_N!AE35),100*ABS($G35-(Data_2014_N!AE35-$K35)/$M35),0)))</f>
        <v>77.5</v>
      </c>
      <c r="AL35" s="161">
        <f>IF($H35=0,0,CHOOSE($H35,SUMPRODUCT($O36:$O$67*AL36:AL$67*($E36:$E$67=$D35)),IF(ISNUMBER(Data_2014_N!AF35),100*ABS($G35-(Data_2014_N!AF35-$K35)/$M35),0),IF(ISNUMBER(Data_2014_N!AF35),100*ABS($G35-(Data_2014_N!AF35-$K35)/$M35),0)))</f>
        <v>50</v>
      </c>
      <c r="AM35" s="161">
        <f>IF($H35=0,0,CHOOSE($H35,SUMPRODUCT($O36:$O$67*AM36:AM$67*($E36:$E$67=$D35)),IF(ISNUMBER(Data_2014_N!AG35),100*ABS($G35-(Data_2014_N!AG35-$K35)/$M35),0),IF(ISNUMBER(Data_2014_N!AG35),100*ABS($G35-(Data_2014_N!AG35-$K35)/$M35),0)))</f>
        <v>67.5</v>
      </c>
      <c r="AN35" s="161">
        <f>IF($H35=0,0,CHOOSE($H35,SUMPRODUCT($O36:$O$67*AN36:AN$67*($E36:$E$67=$D35)),IF(ISNUMBER(Data_2014_N!AH35),100*ABS($G35-(Data_2014_N!AH35-$K35)/$M35),0),IF(ISNUMBER(Data_2014_N!AH35),100*ABS($G35-(Data_2014_N!AH35-$K35)/$M35),0)))</f>
        <v>60</v>
      </c>
      <c r="AO35" s="161">
        <f>IF($H35=0,0,CHOOSE($H35,SUMPRODUCT($O36:$O$67*AO36:AO$67*($E36:$E$67=$D35)),IF(ISNUMBER(Data_2014_N!AI35),100*ABS($G35-(Data_2014_N!AI35-$K35)/$M35),0),IF(ISNUMBER(Data_2014_N!AI35),100*ABS($G35-(Data_2014_N!AI35-$K35)/$M35),0)))</f>
        <v>25</v>
      </c>
      <c r="AP35" s="161">
        <f>IF($H35=0,0,CHOOSE($H35,SUMPRODUCT($O36:$O$67*AP36:AP$67*($E36:$E$67=$D35)),IF(ISNUMBER(Data_2014_N!AJ35),100*ABS($G35-(Data_2014_N!AJ35-$K35)/$M35),0),IF(ISNUMBER(Data_2014_N!AJ35),100*ABS($G35-(Data_2014_N!AJ35-$K35)/$M35),0)))</f>
        <v>75</v>
      </c>
      <c r="AQ35" s="161">
        <f>IF($H35=0,0,CHOOSE($H35,SUMPRODUCT($O36:$O$67*AQ36:AQ$67*($E36:$E$67=$D35)),IF(ISNUMBER(Data_2014_N!AK35),100*ABS($G35-(Data_2014_N!AK35-$K35)/$M35),0),IF(ISNUMBER(Data_2014_N!AK35),100*ABS($G35-(Data_2014_N!AK35-$K35)/$M35),0)))</f>
        <v>77.5</v>
      </c>
      <c r="AR35" s="161">
        <f>IF($H35=0,0,CHOOSE($H35,SUMPRODUCT($O36:$O$67*AR36:AR$67*($E36:$E$67=$D35)),IF(ISNUMBER(Data_2014_N!AL35),100*ABS($G35-(Data_2014_N!AL35-$K35)/$M35),0),IF(ISNUMBER(Data_2014_N!AL35),100*ABS($G35-(Data_2014_N!AL35-$K35)/$M35),0)))</f>
        <v>87.5</v>
      </c>
      <c r="AS35" s="161">
        <f>IF($H35=0,0,CHOOSE($H35,SUMPRODUCT($O36:$O$67*AS36:AS$67*($E36:$E$67=$D35)),IF(ISNUMBER(Data_2014_N!AM35),100*ABS($G35-(Data_2014_N!AM35-$K35)/$M35),0),IF(ISNUMBER(Data_2014_N!AM35),100*ABS($G35-(Data_2014_N!AM35-$K35)/$M35),0)))</f>
        <v>62.5</v>
      </c>
      <c r="AT35" s="161">
        <f>IF($H35=0,0,CHOOSE($H35,SUMPRODUCT($O36:$O$67*AT36:AT$67*($E36:$E$67=$D35)),IF(ISNUMBER(Data_2014_N!AN35),100*ABS($G35-(Data_2014_N!AN35-$K35)/$M35),0),IF(ISNUMBER(Data_2014_N!AN35),100*ABS($G35-(Data_2014_N!AN35-$K35)/$M35),0)))</f>
        <v>67.5</v>
      </c>
      <c r="AU35" s="161">
        <f>IF($H35=0,0,CHOOSE($H35,SUMPRODUCT($O36:$O$67*AU36:AU$67*($E36:$E$67=$D35)),IF(ISNUMBER(Data_2014_N!AO35),100*ABS($G35-(Data_2014_N!AO35-$K35)/$M35),0),IF(ISNUMBER(Data_2014_N!AO35),100*ABS($G35-(Data_2014_N!AO35-$K35)/$M35),0)))</f>
        <v>67.5</v>
      </c>
      <c r="AV35" s="161">
        <f>IF($H35=0,0,CHOOSE($H35,SUMPRODUCT($O36:$O$67*AV36:AV$67*($E36:$E$67=$D35)),IF(ISNUMBER(Data_2014_N!AP35),100*ABS($G35-(Data_2014_N!AP35-$K35)/$M35),0),IF(ISNUMBER(Data_2014_N!AP35),100*ABS($G35-(Data_2014_N!AP35-$K35)/$M35),0)))</f>
        <v>75</v>
      </c>
      <c r="AW35" s="161">
        <f>IF($H35=0,0,CHOOSE($H35,SUMPRODUCT($O36:$O$67*AW36:AW$67*($E36:$E$67=$D35)),IF(ISNUMBER(Data_2014_N!AQ35),100*ABS($G35-(Data_2014_N!AQ35-$K35)/$M35),0),IF(ISNUMBER(Data_2014_N!AQ35),100*ABS($G35-(Data_2014_N!AQ35-$K35)/$M35),0)))</f>
        <v>55</v>
      </c>
      <c r="AX35" s="161">
        <f>IF($H35=0,0,CHOOSE($H35,SUMPRODUCT($O36:$O$67*AX36:AX$67*($E36:$E$67=$D35)),IF(ISNUMBER(Data_2014_N!AR35),100*ABS($G35-(Data_2014_N!AR35-$K35)/$M35),0),IF(ISNUMBER(Data_2014_N!AR35),100*ABS($G35-(Data_2014_N!AR35-$K35)/$M35),0)))</f>
        <v>62.5</v>
      </c>
      <c r="AY35" s="161">
        <f>IF($H35=0,0,CHOOSE($H35,SUMPRODUCT($O36:$O$67*AY36:AY$67*($E36:$E$67=$D35)),IF(ISNUMBER(Data_2014_N!AS35),100*ABS($G35-(Data_2014_N!AS35-$K35)/$M35),0),IF(ISNUMBER(Data_2014_N!AS35),100*ABS($G35-(Data_2014_N!AS35-$K35)/$M35),0)))</f>
        <v>72.5</v>
      </c>
      <c r="AZ35" s="161">
        <f>IF($H35=0,0,CHOOSE($H35,SUMPRODUCT($O36:$O$67*AZ36:AZ$67*($E36:$E$67=$D35)),IF(ISNUMBER(Data_2014_N!AT35),100*ABS($G35-(Data_2014_N!AT35-$K35)/$M35),0),IF(ISNUMBER(Data_2014_N!AT35),100*ABS($G35-(Data_2014_N!AT35-$K35)/$M35),0)))</f>
        <v>42.5</v>
      </c>
      <c r="BA35" s="161">
        <f>IF($H35=0,0,CHOOSE($H35,SUMPRODUCT($O36:$O$67*BA36:BA$67*($E36:$E$67=$D35)),IF(ISNUMBER(Data_2014_N!AU35),100*ABS($G35-(Data_2014_N!AU35-$K35)/$M35),0),IF(ISNUMBER(Data_2014_N!AU35),100*ABS($G35-(Data_2014_N!AU35-$K35)/$M35),0)))</f>
        <v>82.5</v>
      </c>
      <c r="BB35" s="161">
        <f>IF($H35=0,0,CHOOSE($H35,SUMPRODUCT($O36:$O$67*BB36:BB$67*($E36:$E$67=$D35)),IF(ISNUMBER(Data_2014_N!AV35),100*ABS($G35-(Data_2014_N!AV35-$K35)/$M35),0),IF(ISNUMBER(Data_2014_N!AV35),100*ABS($G35-(Data_2014_N!AV35-$K35)/$M35),0)))</f>
        <v>62.6</v>
      </c>
      <c r="BC35" s="161">
        <f>IF($H35=0,0,CHOOSE($H35,SUMPRODUCT($O36:$O$67*BC36:BC$67*($E36:$E$67=$D35)),IF(ISNUMBER(Data_2014_N!AW35),100*ABS($G35-(Data_2014_N!AW35-$K35)/$M35),0),IF(ISNUMBER(Data_2014_N!AW35),100*ABS($G35-(Data_2014_N!AW35-$K35)/$M35),0)))</f>
        <v>77.5</v>
      </c>
      <c r="BD35" s="161">
        <f>IF($H35=0,0,CHOOSE($H35,SUMPRODUCT($O36:$O$67*BD36:BD$67*($E36:$E$67=$D35)),IF(ISNUMBER(Data_2014_N!AX35),100*ABS($G35-(Data_2014_N!AX35-$K35)/$M35),0),IF(ISNUMBER(Data_2014_N!AX35),100*ABS($G35-(Data_2014_N!AX35-$K35)/$M35),0)))</f>
        <v>0</v>
      </c>
      <c r="BE35" s="161">
        <f>IF($H35=0,0,CHOOSE($H35,SUMPRODUCT($O36:$O$67*BE36:BE$67*($E36:$E$67=$D35)),IF(ISNUMBER(Data_2014_N!AY35),100*ABS($G35-(Data_2014_N!AY35-$K35)/$M35),0),IF(ISNUMBER(Data_2014_N!AY35),100*ABS($G35-(Data_2014_N!AY35-$K35)/$M35),0)))</f>
        <v>55</v>
      </c>
      <c r="BF35" s="161">
        <f>IF($H35=0,0,CHOOSE($H35,SUMPRODUCT($O36:$O$67*BF36:BF$67*($E36:$E$67=$D35)),IF(ISNUMBER(Data_2014_N!AZ35),100*ABS($G35-(Data_2014_N!AZ35-$K35)/$M35),0),IF(ISNUMBER(Data_2014_N!AZ35),100*ABS($G35-(Data_2014_N!AZ35-$K35)/$M35),0)))</f>
        <v>77.5</v>
      </c>
      <c r="BG35" s="161">
        <f>IF($H35=0,0,CHOOSE($H35,SUMPRODUCT($O36:$O$67*BG36:BG$67*($E36:$E$67=$D35)),IF(ISNUMBER(Data_2014_N!BA35),100*ABS($G35-(Data_2014_N!BA35-$K35)/$M35),0),IF(ISNUMBER(Data_2014_N!BA35),100*ABS($G35-(Data_2014_N!BA35-$K35)/$M35),0)))</f>
        <v>75</v>
      </c>
      <c r="BH35" s="161">
        <f>IF($H35=0,0,CHOOSE($H35,SUMPRODUCT($O36:$O$67*BH36:BH$67*($E36:$E$67=$D35)),IF(ISNUMBER(Data_2014_N!BB35),100*ABS($G35-(Data_2014_N!BB35-$K35)/$M35),0),IF(ISNUMBER(Data_2014_N!BB35),100*ABS($G35-(Data_2014_N!BB35-$K35)/$M35),0)))</f>
        <v>75</v>
      </c>
      <c r="BI35" s="161">
        <f>IF($H35=0,0,CHOOSE($H35,SUMPRODUCT($O36:$O$67*BI36:BI$67*($E36:$E$67=$D35)),IF(ISNUMBER(Data_2014_N!BC35),100*ABS($G35-(Data_2014_N!BC35-$K35)/$M35),0),IF(ISNUMBER(Data_2014_N!BC35),100*ABS($G35-(Data_2014_N!BC35-$K35)/$M35),0)))</f>
        <v>70</v>
      </c>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row>
    <row r="36" s="69" customFormat="1" ht="24.95" customHeight="1" spans="1:115">
      <c r="A36" s="92"/>
      <c r="B36" s="92">
        <f>tblIndicators!A32</f>
        <v>31</v>
      </c>
      <c r="C36" s="92">
        <f>tblIndicators!B32</f>
        <v>0</v>
      </c>
      <c r="D36" s="92" t="str">
        <f>tblIndicators!D32</f>
        <v>INSE3.1.2</v>
      </c>
      <c r="E36" s="92" t="str">
        <f>tblIndicators!E32</f>
        <v>INSE3.1</v>
      </c>
      <c r="F36" s="92">
        <f>tblIndicators!F32</f>
        <v>3</v>
      </c>
      <c r="G36" s="92">
        <f>tblIndicators!Y32</f>
        <v>0</v>
      </c>
      <c r="H36" s="92">
        <f>tblIndicators!Z32</f>
        <v>3</v>
      </c>
      <c r="I36" s="104">
        <f>tblIndicators!AA32</f>
        <v>0</v>
      </c>
      <c r="J36" s="92">
        <f>tblIndicators!AB32</f>
        <v>5</v>
      </c>
      <c r="K36" s="92">
        <f>CHOOSE(H36,"-",MIN(Data_2014_N!J36:BC36),I36)</f>
        <v>0</v>
      </c>
      <c r="L36" s="165">
        <f>CHOOSE(H36,"-",MAX(Data_2014_N!J36:BC36),J36)</f>
        <v>5</v>
      </c>
      <c r="M36" s="92">
        <f t="shared" si="1"/>
        <v>5</v>
      </c>
      <c r="N36" s="168" t="str">
        <f>REPT(" ",F36)&amp;tblIndicators!AE32</f>
        <v>   3.1.2) Pedestrian friendliness</v>
      </c>
      <c r="O36" s="169">
        <f>tblIndicators!AD32</f>
        <v>0.2</v>
      </c>
      <c r="P36" s="161">
        <f>IF($H36=0,0,CHOOSE($H36,SUMPRODUCT($O37:$O$67*P37:P$67*($E37:$E$67=$D36)),IF(ISNUMBER(Data_2014_N!J36),100*ABS($G36-(Data_2014_N!J36-$K36)/$M36),0),IF(ISNUMBER(Data_2014_N!J36),100*ABS($G36-(Data_2014_N!J36-$K36)/$M36),0)))</f>
        <v>100</v>
      </c>
      <c r="Q36" s="161">
        <f>IF($H36=0,0,CHOOSE($H36,SUMPRODUCT($O37:$O$67*Q37:Q$67*($E37:$E$67=$D36)),IF(ISNUMBER(Data_2014_N!K36),100*ABS($G36-(Data_2014_N!K36-$K36)/$M36),0),IF(ISNUMBER(Data_2014_N!K36),100*ABS($G36-(Data_2014_N!K36-$K36)/$M36),0)))</f>
        <v>100</v>
      </c>
      <c r="R36" s="161">
        <f>IF($H36=0,0,CHOOSE($H36,SUMPRODUCT($O37:$O$67*R37:R$67*($E37:$E$67=$D36)),IF(ISNUMBER(Data_2014_N!L36),100*ABS($G36-(Data_2014_N!L36-$K36)/$M36),0),IF(ISNUMBER(Data_2014_N!L36),100*ABS($G36-(Data_2014_N!L36-$K36)/$M36),0)))</f>
        <v>0</v>
      </c>
      <c r="S36" s="161">
        <f>IF($H36=0,0,CHOOSE($H36,SUMPRODUCT($O37:$O$67*S37:S$67*($E37:$E$67=$D36)),IF(ISNUMBER(Data_2014_N!M36),100*ABS($G36-(Data_2014_N!M36-$K36)/$M36),0),IF(ISNUMBER(Data_2014_N!M36),100*ABS($G36-(Data_2014_N!M36-$K36)/$M36),0)))</f>
        <v>100</v>
      </c>
      <c r="T36" s="161">
        <f>IF($H36=0,0,CHOOSE($H36,SUMPRODUCT($O37:$O$67*T37:T$67*($E37:$E$67=$D36)),IF(ISNUMBER(Data_2014_N!N36),100*ABS($G36-(Data_2014_N!N36-$K36)/$M36),0),IF(ISNUMBER(Data_2014_N!N36),100*ABS($G36-(Data_2014_N!N36-$K36)/$M36),0)))</f>
        <v>100</v>
      </c>
      <c r="U36" s="161">
        <f>IF($H36=0,0,CHOOSE($H36,SUMPRODUCT($O37:$O$67*U37:U$67*($E37:$E$67=$D36)),IF(ISNUMBER(Data_2014_N!O36),100*ABS($G36-(Data_2014_N!O36-$K36)/$M36),0),IF(ISNUMBER(Data_2014_N!O36),100*ABS($G36-(Data_2014_N!O36-$K36)/$M36),0)))</f>
        <v>100</v>
      </c>
      <c r="V36" s="161">
        <f>IF($H36=0,0,CHOOSE($H36,SUMPRODUCT($O37:$O$67*V37:V$67*($E37:$E$67=$D36)),IF(ISNUMBER(Data_2014_N!P36),100*ABS($G36-(Data_2014_N!P36-$K36)/$M36),0),IF(ISNUMBER(Data_2014_N!P36),100*ABS($G36-(Data_2014_N!P36-$K36)/$M36),0)))</f>
        <v>100</v>
      </c>
      <c r="W36" s="161">
        <f>IF($H36=0,0,CHOOSE($H36,SUMPRODUCT($O37:$O$67*W37:W$67*($E37:$E$67=$D36)),IF(ISNUMBER(Data_2014_N!Q36),100*ABS($G36-(Data_2014_N!Q36-$K36)/$M36),0),IF(ISNUMBER(Data_2014_N!Q36),100*ABS($G36-(Data_2014_N!Q36-$K36)/$M36),0)))</f>
        <v>100</v>
      </c>
      <c r="X36" s="161">
        <f>IF($H36=0,0,CHOOSE($H36,SUMPRODUCT($O37:$O$67*X37:X$67*($E37:$E$67=$D36)),IF(ISNUMBER(Data_2014_N!R36),100*ABS($G36-(Data_2014_N!R36-$K36)/$M36),0),IF(ISNUMBER(Data_2014_N!R36),100*ABS($G36-(Data_2014_N!R36-$K36)/$M36),0)))</f>
        <v>50</v>
      </c>
      <c r="Y36" s="161">
        <f>IF($H36=0,0,CHOOSE($H36,SUMPRODUCT($O37:$O$67*Y37:Y$67*($E37:$E$67=$D36)),IF(ISNUMBER(Data_2014_N!S36),100*ABS($G36-(Data_2014_N!S36-$K36)/$M36),0),IF(ISNUMBER(Data_2014_N!S36),100*ABS($G36-(Data_2014_N!S36-$K36)/$M36),0)))</f>
        <v>0</v>
      </c>
      <c r="Z36" s="161">
        <f>IF($H36=0,0,CHOOSE($H36,SUMPRODUCT($O37:$O$67*Z37:Z$67*($E37:$E$67=$D36)),IF(ISNUMBER(Data_2014_N!T36),100*ABS($G36-(Data_2014_N!T36-$K36)/$M36),0),IF(ISNUMBER(Data_2014_N!T36),100*ABS($G36-(Data_2014_N!T36-$K36)/$M36),0)))</f>
        <v>100</v>
      </c>
      <c r="AA36" s="161">
        <f>IF($H36=0,0,CHOOSE($H36,SUMPRODUCT($O37:$O$67*AA37:AA$67*($E37:$E$67=$D36)),IF(ISNUMBER(Data_2014_N!U36),100*ABS($G36-(Data_2014_N!U36-$K36)/$M36),0),IF(ISNUMBER(Data_2014_N!U36),100*ABS($G36-(Data_2014_N!U36-$K36)/$M36),0)))</f>
        <v>0</v>
      </c>
      <c r="AB36" s="161">
        <f>IF($H36=0,0,CHOOSE($H36,SUMPRODUCT($O37:$O$67*AB37:AB$67*($E37:$E$67=$D36)),IF(ISNUMBER(Data_2014_N!V36),100*ABS($G36-(Data_2014_N!V36-$K36)/$M36),0),IF(ISNUMBER(Data_2014_N!V36),100*ABS($G36-(Data_2014_N!V36-$K36)/$M36),0)))</f>
        <v>100</v>
      </c>
      <c r="AC36" s="161">
        <f>IF($H36=0,0,CHOOSE($H36,SUMPRODUCT($O37:$O$67*AC37:AC$67*($E37:$E$67=$D36)),IF(ISNUMBER(Data_2014_N!W36),100*ABS($G36-(Data_2014_N!W36-$K36)/$M36),0),IF(ISNUMBER(Data_2014_N!W36),100*ABS($G36-(Data_2014_N!W36-$K36)/$M36),0)))</f>
        <v>100</v>
      </c>
      <c r="AD36" s="161">
        <f>IF($H36=0,0,CHOOSE($H36,SUMPRODUCT($O37:$O$67*AD37:AD$67*($E37:$E$67=$D36)),IF(ISNUMBER(Data_2014_N!X36),100*ABS($G36-(Data_2014_N!X36-$K36)/$M36),0),IF(ISNUMBER(Data_2014_N!X36),100*ABS($G36-(Data_2014_N!X36-$K36)/$M36),0)))</f>
        <v>50</v>
      </c>
      <c r="AE36" s="161">
        <f>IF($H36=0,0,CHOOSE($H36,SUMPRODUCT($O37:$O$67*AE37:AE$67*($E37:$E$67=$D36)),IF(ISNUMBER(Data_2014_N!Y36),100*ABS($G36-(Data_2014_N!Y36-$K36)/$M36),0),IF(ISNUMBER(Data_2014_N!Y36),100*ABS($G36-(Data_2014_N!Y36-$K36)/$M36),0)))</f>
        <v>100</v>
      </c>
      <c r="AF36" s="161">
        <f>IF($H36=0,0,CHOOSE($H36,SUMPRODUCT($O37:$O$67*AF37:AF$67*($E37:$E$67=$D36)),IF(ISNUMBER(Data_2014_N!Z36),100*ABS($G36-(Data_2014_N!Z36-$K36)/$M36),0),IF(ISNUMBER(Data_2014_N!Z36),100*ABS($G36-(Data_2014_N!Z36-$K36)/$M36),0)))</f>
        <v>0</v>
      </c>
      <c r="AG36" s="161">
        <f>IF($H36=0,0,CHOOSE($H36,SUMPRODUCT($O37:$O$67*AG37:AG$67*($E37:$E$67=$D36)),IF(ISNUMBER(Data_2014_N!AA36),100*ABS($G36-(Data_2014_N!AA36-$K36)/$M36),0),IF(ISNUMBER(Data_2014_N!AA36),100*ABS($G36-(Data_2014_N!AA36-$K36)/$M36),0)))</f>
        <v>100</v>
      </c>
      <c r="AH36" s="161">
        <f>IF($H36=0,0,CHOOSE($H36,SUMPRODUCT($O37:$O$67*AH37:AH$67*($E37:$E$67=$D36)),IF(ISNUMBER(Data_2014_N!AB36),100*ABS($G36-(Data_2014_N!AB36-$K36)/$M36),0),IF(ISNUMBER(Data_2014_N!AB36),100*ABS($G36-(Data_2014_N!AB36-$K36)/$M36),0)))</f>
        <v>0</v>
      </c>
      <c r="AI36" s="161">
        <f>IF($H36=0,0,CHOOSE($H36,SUMPRODUCT($O37:$O$67*AI37:AI$67*($E37:$E$67=$D36)),IF(ISNUMBER(Data_2014_N!AC36),100*ABS($G36-(Data_2014_N!AC36-$K36)/$M36),0),IF(ISNUMBER(Data_2014_N!AC36),100*ABS($G36-(Data_2014_N!AC36-$K36)/$M36),0)))</f>
        <v>100</v>
      </c>
      <c r="AJ36" s="161">
        <f>IF($H36=0,0,CHOOSE($H36,SUMPRODUCT($O37:$O$67*AJ37:AJ$67*($E37:$E$67=$D36)),IF(ISNUMBER(Data_2014_N!AD36),100*ABS($G36-(Data_2014_N!AD36-$K36)/$M36),0),IF(ISNUMBER(Data_2014_N!AD36),100*ABS($G36-(Data_2014_N!AD36-$K36)/$M36),0)))</f>
        <v>100</v>
      </c>
      <c r="AK36" s="161">
        <f>IF($H36=0,0,CHOOSE($H36,SUMPRODUCT($O37:$O$67*AK37:AK$67*($E37:$E$67=$D36)),IF(ISNUMBER(Data_2014_N!AE36),100*ABS($G36-(Data_2014_N!AE36-$K36)/$M36),0),IF(ISNUMBER(Data_2014_N!AE36),100*ABS($G36-(Data_2014_N!AE36-$K36)/$M36),0)))</f>
        <v>100</v>
      </c>
      <c r="AL36" s="161">
        <f>IF($H36=0,0,CHOOSE($H36,SUMPRODUCT($O37:$O$67*AL37:AL$67*($E37:$E$67=$D36)),IF(ISNUMBER(Data_2014_N!AF36),100*ABS($G36-(Data_2014_N!AF36-$K36)/$M36),0),IF(ISNUMBER(Data_2014_N!AF36),100*ABS($G36-(Data_2014_N!AF36-$K36)/$M36),0)))</f>
        <v>100</v>
      </c>
      <c r="AM36" s="161">
        <f>IF($H36=0,0,CHOOSE($H36,SUMPRODUCT($O37:$O$67*AM37:AM$67*($E37:$E$67=$D36)),IF(ISNUMBER(Data_2014_N!AG36),100*ABS($G36-(Data_2014_N!AG36-$K36)/$M36),0),IF(ISNUMBER(Data_2014_N!AG36),100*ABS($G36-(Data_2014_N!AG36-$K36)/$M36),0)))</f>
        <v>100</v>
      </c>
      <c r="AN36" s="161">
        <f>IF($H36=0,0,CHOOSE($H36,SUMPRODUCT($O37:$O$67*AN37:AN$67*($E37:$E$67=$D36)),IF(ISNUMBER(Data_2014_N!AH36),100*ABS($G36-(Data_2014_N!AH36-$K36)/$M36),0),IF(ISNUMBER(Data_2014_N!AH36),100*ABS($G36-(Data_2014_N!AH36-$K36)/$M36),0)))</f>
        <v>100</v>
      </c>
      <c r="AO36" s="161">
        <f>IF($H36=0,0,CHOOSE($H36,SUMPRODUCT($O37:$O$67*AO37:AO$67*($E37:$E$67=$D36)),IF(ISNUMBER(Data_2014_N!AI36),100*ABS($G36-(Data_2014_N!AI36-$K36)/$M36),0),IF(ISNUMBER(Data_2014_N!AI36),100*ABS($G36-(Data_2014_N!AI36-$K36)/$M36),0)))</f>
        <v>50</v>
      </c>
      <c r="AP36" s="161">
        <f>IF($H36=0,0,CHOOSE($H36,SUMPRODUCT($O37:$O$67*AP37:AP$67*($E37:$E$67=$D36)),IF(ISNUMBER(Data_2014_N!AJ36),100*ABS($G36-(Data_2014_N!AJ36-$K36)/$M36),0),IF(ISNUMBER(Data_2014_N!AJ36),100*ABS($G36-(Data_2014_N!AJ36-$K36)/$M36),0)))</f>
        <v>100</v>
      </c>
      <c r="AQ36" s="161">
        <f>IF($H36=0,0,CHOOSE($H36,SUMPRODUCT($O37:$O$67*AQ37:AQ$67*($E37:$E$67=$D36)),IF(ISNUMBER(Data_2014_N!AK36),100*ABS($G36-(Data_2014_N!AK36-$K36)/$M36),0),IF(ISNUMBER(Data_2014_N!AK36),100*ABS($G36-(Data_2014_N!AK36-$K36)/$M36),0)))</f>
        <v>100</v>
      </c>
      <c r="AR36" s="161">
        <f>IF($H36=0,0,CHOOSE($H36,SUMPRODUCT($O37:$O$67*AR37:AR$67*($E37:$E$67=$D36)),IF(ISNUMBER(Data_2014_N!AL36),100*ABS($G36-(Data_2014_N!AL36-$K36)/$M36),0),IF(ISNUMBER(Data_2014_N!AL36),100*ABS($G36-(Data_2014_N!AL36-$K36)/$M36),0)))</f>
        <v>0</v>
      </c>
      <c r="AS36" s="161">
        <f>IF($H36=0,0,CHOOSE($H36,SUMPRODUCT($O37:$O$67*AS37:AS$67*($E37:$E$67=$D36)),IF(ISNUMBER(Data_2014_N!AM36),100*ABS($G36-(Data_2014_N!AM36-$K36)/$M36),0),IF(ISNUMBER(Data_2014_N!AM36),100*ABS($G36-(Data_2014_N!AM36-$K36)/$M36),0)))</f>
        <v>100</v>
      </c>
      <c r="AT36" s="161">
        <f>IF($H36=0,0,CHOOSE($H36,SUMPRODUCT($O37:$O$67*AT37:AT$67*($E37:$E$67=$D36)),IF(ISNUMBER(Data_2014_N!AN36),100*ABS($G36-(Data_2014_N!AN36-$K36)/$M36),0),IF(ISNUMBER(Data_2014_N!AN36),100*ABS($G36-(Data_2014_N!AN36-$K36)/$M36),0)))</f>
        <v>0</v>
      </c>
      <c r="AU36" s="161">
        <f>IF($H36=0,0,CHOOSE($H36,SUMPRODUCT($O37:$O$67*AU37:AU$67*($E37:$E$67=$D36)),IF(ISNUMBER(Data_2014_N!AO36),100*ABS($G36-(Data_2014_N!AO36-$K36)/$M36),0),IF(ISNUMBER(Data_2014_N!AO36),100*ABS($G36-(Data_2014_N!AO36-$K36)/$M36),0)))</f>
        <v>100</v>
      </c>
      <c r="AV36" s="161">
        <f>IF($H36=0,0,CHOOSE($H36,SUMPRODUCT($O37:$O$67*AV37:AV$67*($E37:$E$67=$D36)),IF(ISNUMBER(Data_2014_N!AP36),100*ABS($G36-(Data_2014_N!AP36-$K36)/$M36),0),IF(ISNUMBER(Data_2014_N!AP36),100*ABS($G36-(Data_2014_N!AP36-$K36)/$M36),0)))</f>
        <v>100</v>
      </c>
      <c r="AW36" s="161">
        <f>IF($H36=0,0,CHOOSE($H36,SUMPRODUCT($O37:$O$67*AW37:AW$67*($E37:$E$67=$D36)),IF(ISNUMBER(Data_2014_N!AQ36),100*ABS($G36-(Data_2014_N!AQ36-$K36)/$M36),0),IF(ISNUMBER(Data_2014_N!AQ36),100*ABS($G36-(Data_2014_N!AQ36-$K36)/$M36),0)))</f>
        <v>0</v>
      </c>
      <c r="AX36" s="161">
        <f>IF($H36=0,0,CHOOSE($H36,SUMPRODUCT($O37:$O$67*AX37:AX$67*($E37:$E$67=$D36)),IF(ISNUMBER(Data_2014_N!AR36),100*ABS($G36-(Data_2014_N!AR36-$K36)/$M36),0),IF(ISNUMBER(Data_2014_N!AR36),100*ABS($G36-(Data_2014_N!AR36-$K36)/$M36),0)))</f>
        <v>100</v>
      </c>
      <c r="AY36" s="161">
        <f>IF($H36=0,0,CHOOSE($H36,SUMPRODUCT($O37:$O$67*AY37:AY$67*($E37:$E$67=$D36)),IF(ISNUMBER(Data_2014_N!AS36),100*ABS($G36-(Data_2014_N!AS36-$K36)/$M36),0),IF(ISNUMBER(Data_2014_N!AS36),100*ABS($G36-(Data_2014_N!AS36-$K36)/$M36),0)))</f>
        <v>100</v>
      </c>
      <c r="AZ36" s="161">
        <f>IF($H36=0,0,CHOOSE($H36,SUMPRODUCT($O37:$O$67*AZ37:AZ$67*($E37:$E$67=$D36)),IF(ISNUMBER(Data_2014_N!AT36),100*ABS($G36-(Data_2014_N!AT36-$K36)/$M36),0),IF(ISNUMBER(Data_2014_N!AT36),100*ABS($G36-(Data_2014_N!AT36-$K36)/$M36),0)))</f>
        <v>100</v>
      </c>
      <c r="BA36" s="161">
        <f>IF($H36=0,0,CHOOSE($H36,SUMPRODUCT($O37:$O$67*BA37:BA$67*($E37:$E$67=$D36)),IF(ISNUMBER(Data_2014_N!AU36),100*ABS($G36-(Data_2014_N!AU36-$K36)/$M36),0),IF(ISNUMBER(Data_2014_N!AU36),100*ABS($G36-(Data_2014_N!AU36-$K36)/$M36),0)))</f>
        <v>100</v>
      </c>
      <c r="BB36" s="161">
        <f>IF($H36=0,0,CHOOSE($H36,SUMPRODUCT($O37:$O$67*BB37:BB$67*($E37:$E$67=$D36)),IF(ISNUMBER(Data_2014_N!AV36),100*ABS($G36-(Data_2014_N!AV36-$K36)/$M36),0),IF(ISNUMBER(Data_2014_N!AV36),100*ABS($G36-(Data_2014_N!AV36-$K36)/$M36),0)))</f>
        <v>100</v>
      </c>
      <c r="BC36" s="161">
        <f>IF($H36=0,0,CHOOSE($H36,SUMPRODUCT($O37:$O$67*BC37:BC$67*($E37:$E$67=$D36)),IF(ISNUMBER(Data_2014_N!AW36),100*ABS($G36-(Data_2014_N!AW36-$K36)/$M36),0),IF(ISNUMBER(Data_2014_N!AW36),100*ABS($G36-(Data_2014_N!AW36-$K36)/$M36),0)))</f>
        <v>100</v>
      </c>
      <c r="BD36" s="161">
        <f>IF($H36=0,0,CHOOSE($H36,SUMPRODUCT($O37:$O$67*BD37:BD$67*($E37:$E$67=$D36)),IF(ISNUMBER(Data_2014_N!AX36),100*ABS($G36-(Data_2014_N!AX36-$K36)/$M36),0),IF(ISNUMBER(Data_2014_N!AX36),100*ABS($G36-(Data_2014_N!AX36-$K36)/$M36),0)))</f>
        <v>100</v>
      </c>
      <c r="BE36" s="161">
        <f>IF($H36=0,0,CHOOSE($H36,SUMPRODUCT($O37:$O$67*BE37:BE$67*($E37:$E$67=$D36)),IF(ISNUMBER(Data_2014_N!AY36),100*ABS($G36-(Data_2014_N!AY36-$K36)/$M36),0),IF(ISNUMBER(Data_2014_N!AY36),100*ABS($G36-(Data_2014_N!AY36-$K36)/$M36),0)))</f>
        <v>50</v>
      </c>
      <c r="BF36" s="161">
        <f>IF($H36=0,0,CHOOSE($H36,SUMPRODUCT($O37:$O$67*BF37:BF$67*($E37:$E$67=$D36)),IF(ISNUMBER(Data_2014_N!AZ36),100*ABS($G36-(Data_2014_N!AZ36-$K36)/$M36),0),IF(ISNUMBER(Data_2014_N!AZ36),100*ABS($G36-(Data_2014_N!AZ36-$K36)/$M36),0)))</f>
        <v>100</v>
      </c>
      <c r="BG36" s="161">
        <f>IF($H36=0,0,CHOOSE($H36,SUMPRODUCT($O37:$O$67*BG37:BG$67*($E37:$E$67=$D36)),IF(ISNUMBER(Data_2014_N!BA36),100*ABS($G36-(Data_2014_N!BA36-$K36)/$M36),0),IF(ISNUMBER(Data_2014_N!BA36),100*ABS($G36-(Data_2014_N!BA36-$K36)/$M36),0)))</f>
        <v>100</v>
      </c>
      <c r="BH36" s="161">
        <f>IF($H36=0,0,CHOOSE($H36,SUMPRODUCT($O37:$O$67*BH37:BH$67*($E37:$E$67=$D36)),IF(ISNUMBER(Data_2014_N!BB36),100*ABS($G36-(Data_2014_N!BB36-$K36)/$M36),0),IF(ISNUMBER(Data_2014_N!BB36),100*ABS($G36-(Data_2014_N!BB36-$K36)/$M36),0)))</f>
        <v>100</v>
      </c>
      <c r="BI36" s="161">
        <f>IF($H36=0,0,CHOOSE($H36,SUMPRODUCT($O37:$O$67*BI37:BI$67*($E37:$E$67=$D36)),IF(ISNUMBER(Data_2014_N!BC36),100*ABS($G36-(Data_2014_N!BC36-$K36)/$M36),0),IF(ISNUMBER(Data_2014_N!BC36),100*ABS($G36-(Data_2014_N!BC36-$K36)/$M36),0)))</f>
        <v>100</v>
      </c>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row>
    <row r="37" s="69" customFormat="1" ht="24.95" customHeight="1" spans="1:115">
      <c r="A37" s="92"/>
      <c r="B37" s="92">
        <f>tblIndicators!A33</f>
        <v>32</v>
      </c>
      <c r="C37" s="92">
        <f>tblIndicators!B33</f>
        <v>0</v>
      </c>
      <c r="D37" s="92" t="str">
        <f>tblIndicators!D33</f>
        <v>INSE3.1.3</v>
      </c>
      <c r="E37" s="92" t="str">
        <f>tblIndicators!E33</f>
        <v>INSE3.1</v>
      </c>
      <c r="F37" s="92">
        <f>tblIndicators!F33</f>
        <v>3</v>
      </c>
      <c r="G37" s="92">
        <f>tblIndicators!Y33</f>
        <v>1</v>
      </c>
      <c r="H37" s="92">
        <f>tblIndicators!Z33</f>
        <v>3</v>
      </c>
      <c r="I37" s="104">
        <f>tblIndicators!AA33</f>
        <v>1</v>
      </c>
      <c r="J37" s="92">
        <f>tblIndicators!AB33</f>
        <v>5</v>
      </c>
      <c r="K37" s="92">
        <f>CHOOSE(H37,"-",MIN(Data_2014_N!J37:BC37),I37)</f>
        <v>1</v>
      </c>
      <c r="L37" s="165">
        <f>CHOOSE(H37,"-",MAX(Data_2014_N!J37:BC37),J37)</f>
        <v>5</v>
      </c>
      <c r="M37" s="92">
        <f t="shared" si="1"/>
        <v>4</v>
      </c>
      <c r="N37" s="168" t="str">
        <f>REPT(" ",F37)&amp;tblIndicators!AE33</f>
        <v>   3.1.3) Quality of road infrastructure</v>
      </c>
      <c r="O37" s="169">
        <f>tblIndicators!AD33</f>
        <v>0.2</v>
      </c>
      <c r="P37" s="161">
        <f>IF($H37=0,0,CHOOSE($H37,SUMPRODUCT($O38:$O$67*P38:P$67*($E38:$E$67=$D37)),IF(ISNUMBER(Data_2014_N!J37),100*ABS($G37-(Data_2014_N!J37-$K37)/$M37),0),IF(ISNUMBER(Data_2014_N!J37),100*ABS($G37-(Data_2014_N!J37-$K37)/$M37),0)))</f>
        <v>100</v>
      </c>
      <c r="Q37" s="161">
        <f>IF($H37=0,0,CHOOSE($H37,SUMPRODUCT($O38:$O$67*Q38:Q$67*($E38:$E$67=$D37)),IF(ISNUMBER(Data_2014_N!K37),100*ABS($G37-(Data_2014_N!K37-$K37)/$M37),0),IF(ISNUMBER(Data_2014_N!K37),100*ABS($G37-(Data_2014_N!K37-$K37)/$M37),0)))</f>
        <v>100</v>
      </c>
      <c r="R37" s="161">
        <f>IF($H37=0,0,CHOOSE($H37,SUMPRODUCT($O38:$O$67*R38:R$67*($E38:$E$67=$D37)),IF(ISNUMBER(Data_2014_N!L37),100*ABS($G37-(Data_2014_N!L37-$K37)/$M37),0),IF(ISNUMBER(Data_2014_N!L37),100*ABS($G37-(Data_2014_N!L37-$K37)/$M37),0)))</f>
        <v>25</v>
      </c>
      <c r="S37" s="161">
        <f>IF($H37=0,0,CHOOSE($H37,SUMPRODUCT($O38:$O$67*S38:S$67*($E38:$E$67=$D37)),IF(ISNUMBER(Data_2014_N!M37),100*ABS($G37-(Data_2014_N!M37-$K37)/$M37),0),IF(ISNUMBER(Data_2014_N!M37),100*ABS($G37-(Data_2014_N!M37-$K37)/$M37),0)))</f>
        <v>100</v>
      </c>
      <c r="T37" s="161">
        <f>IF($H37=0,0,CHOOSE($H37,SUMPRODUCT($O38:$O$67*T38:T$67*($E38:$E$67=$D37)),IF(ISNUMBER(Data_2014_N!N37),100*ABS($G37-(Data_2014_N!N37-$K37)/$M37),0),IF(ISNUMBER(Data_2014_N!N37),100*ABS($G37-(Data_2014_N!N37-$K37)/$M37),0)))</f>
        <v>75</v>
      </c>
      <c r="U37" s="161">
        <f>IF($H37=0,0,CHOOSE($H37,SUMPRODUCT($O38:$O$67*U38:U$67*($E38:$E$67=$D37)),IF(ISNUMBER(Data_2014_N!O37),100*ABS($G37-(Data_2014_N!O37-$K37)/$M37),0),IF(ISNUMBER(Data_2014_N!O37),100*ABS($G37-(Data_2014_N!O37-$K37)/$M37),0)))</f>
        <v>75</v>
      </c>
      <c r="V37" s="161">
        <f>IF($H37=0,0,CHOOSE($H37,SUMPRODUCT($O38:$O$67*V38:V$67*($E38:$E$67=$D37)),IF(ISNUMBER(Data_2014_N!P37),100*ABS($G37-(Data_2014_N!P37-$K37)/$M37),0),IF(ISNUMBER(Data_2014_N!P37),100*ABS($G37-(Data_2014_N!P37-$K37)/$M37),0)))</f>
        <v>75</v>
      </c>
      <c r="W37" s="161">
        <f>IF($H37=0,0,CHOOSE($H37,SUMPRODUCT($O38:$O$67*W38:W$67*($E38:$E$67=$D37)),IF(ISNUMBER(Data_2014_N!Q37),100*ABS($G37-(Data_2014_N!Q37-$K37)/$M37),0),IF(ISNUMBER(Data_2014_N!Q37),100*ABS($G37-(Data_2014_N!Q37-$K37)/$M37),0)))</f>
        <v>75</v>
      </c>
      <c r="X37" s="161">
        <f>IF($H37=0,0,CHOOSE($H37,SUMPRODUCT($O38:$O$67*X38:X$67*($E38:$E$67=$D37)),IF(ISNUMBER(Data_2014_N!R37),100*ABS($G37-(Data_2014_N!R37-$K37)/$M37),0),IF(ISNUMBER(Data_2014_N!R37),100*ABS($G37-(Data_2014_N!R37-$K37)/$M37),0)))</f>
        <v>50</v>
      </c>
      <c r="Y37" s="161">
        <f>IF($H37=0,0,CHOOSE($H37,SUMPRODUCT($O38:$O$67*Y38:Y$67*($E38:$E$67=$D37)),IF(ISNUMBER(Data_2014_N!S37),100*ABS($G37-(Data_2014_N!S37-$K37)/$M37),0),IF(ISNUMBER(Data_2014_N!S37),100*ABS($G37-(Data_2014_N!S37-$K37)/$M37),0)))</f>
        <v>75</v>
      </c>
      <c r="Z37" s="161">
        <f>IF($H37=0,0,CHOOSE($H37,SUMPRODUCT($O38:$O$67*Z38:Z$67*($E38:$E$67=$D37)),IF(ISNUMBER(Data_2014_N!T37),100*ABS($G37-(Data_2014_N!T37-$K37)/$M37),0),IF(ISNUMBER(Data_2014_N!T37),100*ABS($G37-(Data_2014_N!T37-$K37)/$M37),0)))</f>
        <v>100</v>
      </c>
      <c r="AA37" s="161">
        <f>IF($H37=0,0,CHOOSE($H37,SUMPRODUCT($O38:$O$67*AA38:AA$67*($E38:$E$67=$D37)),IF(ISNUMBER(Data_2014_N!U37),100*ABS($G37-(Data_2014_N!U37-$K37)/$M37),0),IF(ISNUMBER(Data_2014_N!U37),100*ABS($G37-(Data_2014_N!U37-$K37)/$M37),0)))</f>
        <v>25</v>
      </c>
      <c r="AB37" s="161">
        <f>IF($H37=0,0,CHOOSE($H37,SUMPRODUCT($O38:$O$67*AB38:AB$67*($E38:$E$67=$D37)),IF(ISNUMBER(Data_2014_N!V37),100*ABS($G37-(Data_2014_N!V37-$K37)/$M37),0),IF(ISNUMBER(Data_2014_N!V37),100*ABS($G37-(Data_2014_N!V37-$K37)/$M37),0)))</f>
        <v>100</v>
      </c>
      <c r="AC37" s="161">
        <f>IF($H37=0,0,CHOOSE($H37,SUMPRODUCT($O38:$O$67*AC38:AC$67*($E38:$E$67=$D37)),IF(ISNUMBER(Data_2014_N!W37),100*ABS($G37-(Data_2014_N!W37-$K37)/$M37),0),IF(ISNUMBER(Data_2014_N!W37),100*ABS($G37-(Data_2014_N!W37-$K37)/$M37),0)))</f>
        <v>50</v>
      </c>
      <c r="AD37" s="161">
        <f>IF($H37=0,0,CHOOSE($H37,SUMPRODUCT($O38:$O$67*AD38:AD$67*($E38:$E$67=$D37)),IF(ISNUMBER(Data_2014_N!X37),100*ABS($G37-(Data_2014_N!X37-$K37)/$M37),0),IF(ISNUMBER(Data_2014_N!X37),100*ABS($G37-(Data_2014_N!X37-$K37)/$M37),0)))</f>
        <v>50</v>
      </c>
      <c r="AE37" s="161">
        <f>IF($H37=0,0,CHOOSE($H37,SUMPRODUCT($O38:$O$67*AE38:AE$67*($E38:$E$67=$D37)),IF(ISNUMBER(Data_2014_N!Y37),100*ABS($G37-(Data_2014_N!Y37-$K37)/$M37),0),IF(ISNUMBER(Data_2014_N!Y37),100*ABS($G37-(Data_2014_N!Y37-$K37)/$M37),0)))</f>
        <v>50</v>
      </c>
      <c r="AF37" s="161">
        <f>IF($H37=0,0,CHOOSE($H37,SUMPRODUCT($O38:$O$67*AF38:AF$67*($E38:$E$67=$D37)),IF(ISNUMBER(Data_2014_N!Z37),100*ABS($G37-(Data_2014_N!Z37-$K37)/$M37),0),IF(ISNUMBER(Data_2014_N!Z37),100*ABS($G37-(Data_2014_N!Z37-$K37)/$M37),0)))</f>
        <v>75</v>
      </c>
      <c r="AG37" s="161">
        <f>IF($H37=0,0,CHOOSE($H37,SUMPRODUCT($O38:$O$67*AG38:AG$67*($E38:$E$67=$D37)),IF(ISNUMBER(Data_2014_N!AA37),100*ABS($G37-(Data_2014_N!AA37-$K37)/$M37),0),IF(ISNUMBER(Data_2014_N!AA37),100*ABS($G37-(Data_2014_N!AA37-$K37)/$M37),0)))</f>
        <v>75</v>
      </c>
      <c r="AH37" s="161">
        <f>IF($H37=0,0,CHOOSE($H37,SUMPRODUCT($O38:$O$67*AH38:AH$67*($E38:$E$67=$D37)),IF(ISNUMBER(Data_2014_N!AB37),100*ABS($G37-(Data_2014_N!AB37-$K37)/$M37),0),IF(ISNUMBER(Data_2014_N!AB37),100*ABS($G37-(Data_2014_N!AB37-$K37)/$M37),0)))</f>
        <v>75</v>
      </c>
      <c r="AI37" s="161">
        <f>IF($H37=0,0,CHOOSE($H37,SUMPRODUCT($O38:$O$67*AI38:AI$67*($E38:$E$67=$D37)),IF(ISNUMBER(Data_2014_N!AC37),100*ABS($G37-(Data_2014_N!AC37-$K37)/$M37),0),IF(ISNUMBER(Data_2014_N!AC37),100*ABS($G37-(Data_2014_N!AC37-$K37)/$M37),0)))</f>
        <v>75</v>
      </c>
      <c r="AJ37" s="161">
        <f>IF($H37=0,0,CHOOSE($H37,SUMPRODUCT($O38:$O$67*AJ38:AJ$67*($E38:$E$67=$D37)),IF(ISNUMBER(Data_2014_N!AD37),100*ABS($G37-(Data_2014_N!AD37-$K37)/$M37),0),IF(ISNUMBER(Data_2014_N!AD37),100*ABS($G37-(Data_2014_N!AD37-$K37)/$M37),0)))</f>
        <v>100</v>
      </c>
      <c r="AK37" s="161">
        <f>IF($H37=0,0,CHOOSE($H37,SUMPRODUCT($O38:$O$67*AK38:AK$67*($E38:$E$67=$D37)),IF(ISNUMBER(Data_2014_N!AE37),100*ABS($G37-(Data_2014_N!AE37-$K37)/$M37),0),IF(ISNUMBER(Data_2014_N!AE37),100*ABS($G37-(Data_2014_N!AE37-$K37)/$M37),0)))</f>
        <v>100</v>
      </c>
      <c r="AL37" s="161">
        <f>IF($H37=0,0,CHOOSE($H37,SUMPRODUCT($O38:$O$67*AL38:AL$67*($E38:$E$67=$D37)),IF(ISNUMBER(Data_2014_N!AF37),100*ABS($G37-(Data_2014_N!AF37-$K37)/$M37),0),IF(ISNUMBER(Data_2014_N!AF37),100*ABS($G37-(Data_2014_N!AF37-$K37)/$M37),0)))</f>
        <v>50</v>
      </c>
      <c r="AM37" s="161">
        <f>IF($H37=0,0,CHOOSE($H37,SUMPRODUCT($O38:$O$67*AM38:AM$67*($E38:$E$67=$D37)),IF(ISNUMBER(Data_2014_N!AG37),100*ABS($G37-(Data_2014_N!AG37-$K37)/$M37),0),IF(ISNUMBER(Data_2014_N!AG37),100*ABS($G37-(Data_2014_N!AG37-$K37)/$M37),0)))</f>
        <v>75</v>
      </c>
      <c r="AN37" s="161">
        <f>IF($H37=0,0,CHOOSE($H37,SUMPRODUCT($O38:$O$67*AN38:AN$67*($E38:$E$67=$D37)),IF(ISNUMBER(Data_2014_N!AH37),100*ABS($G37-(Data_2014_N!AH37-$K37)/$M37),0),IF(ISNUMBER(Data_2014_N!AH37),100*ABS($G37-(Data_2014_N!AH37-$K37)/$M37),0)))</f>
        <v>75</v>
      </c>
      <c r="AO37" s="161">
        <f>IF($H37=0,0,CHOOSE($H37,SUMPRODUCT($O38:$O$67*AO38:AO$67*($E38:$E$67=$D37)),IF(ISNUMBER(Data_2014_N!AI37),100*ABS($G37-(Data_2014_N!AI37-$K37)/$M37),0),IF(ISNUMBER(Data_2014_N!AI37),100*ABS($G37-(Data_2014_N!AI37-$K37)/$M37),0)))</f>
        <v>0</v>
      </c>
      <c r="AP37" s="161">
        <f>IF($H37=0,0,CHOOSE($H37,SUMPRODUCT($O38:$O$67*AP38:AP$67*($E38:$E$67=$D37)),IF(ISNUMBER(Data_2014_N!AJ37),100*ABS($G37-(Data_2014_N!AJ37-$K37)/$M37),0),IF(ISNUMBER(Data_2014_N!AJ37),100*ABS($G37-(Data_2014_N!AJ37-$K37)/$M37),0)))</f>
        <v>75</v>
      </c>
      <c r="AQ37" s="161">
        <f>IF($H37=0,0,CHOOSE($H37,SUMPRODUCT($O38:$O$67*AQ38:AQ$67*($E38:$E$67=$D37)),IF(ISNUMBER(Data_2014_N!AK37),100*ABS($G37-(Data_2014_N!AK37-$K37)/$M37),0),IF(ISNUMBER(Data_2014_N!AK37),100*ABS($G37-(Data_2014_N!AK37-$K37)/$M37),0)))</f>
        <v>100</v>
      </c>
      <c r="AR37" s="161">
        <f>IF($H37=0,0,CHOOSE($H37,SUMPRODUCT($O38:$O$67*AR38:AR$67*($E38:$E$67=$D37)),IF(ISNUMBER(Data_2014_N!AL37),100*ABS($G37-(Data_2014_N!AL37-$K37)/$M37),0),IF(ISNUMBER(Data_2014_N!AL37),100*ABS($G37-(Data_2014_N!AL37-$K37)/$M37),0)))</f>
        <v>75</v>
      </c>
      <c r="AS37" s="161">
        <f>IF($H37=0,0,CHOOSE($H37,SUMPRODUCT($O38:$O$67*AS38:AS$67*($E38:$E$67=$D37)),IF(ISNUMBER(Data_2014_N!AM37),100*ABS($G37-(Data_2014_N!AM37-$K37)/$M37),0),IF(ISNUMBER(Data_2014_N!AM37),100*ABS($G37-(Data_2014_N!AM37-$K37)/$M37),0)))</f>
        <v>50</v>
      </c>
      <c r="AT37" s="161">
        <f>IF($H37=0,0,CHOOSE($H37,SUMPRODUCT($O38:$O$67*AT38:AT$67*($E38:$E$67=$D37)),IF(ISNUMBER(Data_2014_N!AN37),100*ABS($G37-(Data_2014_N!AN37-$K37)/$M37),0),IF(ISNUMBER(Data_2014_N!AN37),100*ABS($G37-(Data_2014_N!AN37-$K37)/$M37),0)))</f>
        <v>50</v>
      </c>
      <c r="AU37" s="161">
        <f>IF($H37=0,0,CHOOSE($H37,SUMPRODUCT($O38:$O$67*AU38:AU$67*($E38:$E$67=$D37)),IF(ISNUMBER(Data_2014_N!AO37),100*ABS($G37-(Data_2014_N!AO37-$K37)/$M37),0),IF(ISNUMBER(Data_2014_N!AO37),100*ABS($G37-(Data_2014_N!AO37-$K37)/$M37),0)))</f>
        <v>100</v>
      </c>
      <c r="AV37" s="161">
        <f>IF($H37=0,0,CHOOSE($H37,SUMPRODUCT($O38:$O$67*AV38:AV$67*($E38:$E$67=$D37)),IF(ISNUMBER(Data_2014_N!AP37),100*ABS($G37-(Data_2014_N!AP37-$K37)/$M37),0),IF(ISNUMBER(Data_2014_N!AP37),100*ABS($G37-(Data_2014_N!AP37-$K37)/$M37),0)))</f>
        <v>75</v>
      </c>
      <c r="AW37" s="161">
        <f>IF($H37=0,0,CHOOSE($H37,SUMPRODUCT($O38:$O$67*AW38:AW$67*($E38:$E$67=$D37)),IF(ISNUMBER(Data_2014_N!AQ37),100*ABS($G37-(Data_2014_N!AQ37-$K37)/$M37),0),IF(ISNUMBER(Data_2014_N!AQ37),100*ABS($G37-(Data_2014_N!AQ37-$K37)/$M37),0)))</f>
        <v>75</v>
      </c>
      <c r="AX37" s="161">
        <f>IF($H37=0,0,CHOOSE($H37,SUMPRODUCT($O38:$O$67*AX38:AX$67*($E38:$E$67=$D37)),IF(ISNUMBER(Data_2014_N!AR37),100*ABS($G37-(Data_2014_N!AR37-$K37)/$M37),0),IF(ISNUMBER(Data_2014_N!AR37),100*ABS($G37-(Data_2014_N!AR37-$K37)/$M37),0)))</f>
        <v>75</v>
      </c>
      <c r="AY37" s="161">
        <f>IF($H37=0,0,CHOOSE($H37,SUMPRODUCT($O38:$O$67*AY38:AY$67*($E38:$E$67=$D37)),IF(ISNUMBER(Data_2014_N!AS37),100*ABS($G37-(Data_2014_N!AS37-$K37)/$M37),0),IF(ISNUMBER(Data_2014_N!AS37),100*ABS($G37-(Data_2014_N!AS37-$K37)/$M37),0)))</f>
        <v>75</v>
      </c>
      <c r="AZ37" s="161">
        <f>IF($H37=0,0,CHOOSE($H37,SUMPRODUCT($O38:$O$67*AZ38:AZ$67*($E38:$E$67=$D37)),IF(ISNUMBER(Data_2014_N!AT37),100*ABS($G37-(Data_2014_N!AT37-$K37)/$M37),0),IF(ISNUMBER(Data_2014_N!AT37),100*ABS($G37-(Data_2014_N!AT37-$K37)/$M37),0)))</f>
        <v>75</v>
      </c>
      <c r="BA37" s="161">
        <f>IF($H37=0,0,CHOOSE($H37,SUMPRODUCT($O38:$O$67*BA38:BA$67*($E38:$E$67=$D37)),IF(ISNUMBER(Data_2014_N!AU37),100*ABS($G37-(Data_2014_N!AU37-$K37)/$M37),0),IF(ISNUMBER(Data_2014_N!AU37),100*ABS($G37-(Data_2014_N!AU37-$K37)/$M37),0)))</f>
        <v>100</v>
      </c>
      <c r="BB37" s="161">
        <f>IF($H37=0,0,CHOOSE($H37,SUMPRODUCT($O38:$O$67*BB38:BB$67*($E38:$E$67=$D37)),IF(ISNUMBER(Data_2014_N!AV37),100*ABS($G37-(Data_2014_N!AV37-$K37)/$M37),0),IF(ISNUMBER(Data_2014_N!AV37),100*ABS($G37-(Data_2014_N!AV37-$K37)/$M37),0)))</f>
        <v>25</v>
      </c>
      <c r="BC37" s="161">
        <f>IF($H37=0,0,CHOOSE($H37,SUMPRODUCT($O38:$O$67*BC38:BC$67*($E38:$E$67=$D37)),IF(ISNUMBER(Data_2014_N!AW37),100*ABS($G37-(Data_2014_N!AW37-$K37)/$M37),0),IF(ISNUMBER(Data_2014_N!AW37),100*ABS($G37-(Data_2014_N!AW37-$K37)/$M37),0)))</f>
        <v>100</v>
      </c>
      <c r="BD37" s="161">
        <f>IF($H37=0,0,CHOOSE($H37,SUMPRODUCT($O38:$O$67*BD38:BD$67*($E38:$E$67=$D37)),IF(ISNUMBER(Data_2014_N!AX37),100*ABS($G37-(Data_2014_N!AX37-$K37)/$M37),0),IF(ISNUMBER(Data_2014_N!AX37),100*ABS($G37-(Data_2014_N!AX37-$K37)/$M37),0)))</f>
        <v>75</v>
      </c>
      <c r="BE37" s="161">
        <f>IF($H37=0,0,CHOOSE($H37,SUMPRODUCT($O38:$O$67*BE38:BE$67*($E38:$E$67=$D37)),IF(ISNUMBER(Data_2014_N!AY37),100*ABS($G37-(Data_2014_N!AY37-$K37)/$M37),0),IF(ISNUMBER(Data_2014_N!AY37),100*ABS($G37-(Data_2014_N!AY37-$K37)/$M37),0)))</f>
        <v>50</v>
      </c>
      <c r="BF37" s="161">
        <f>IF($H37=0,0,CHOOSE($H37,SUMPRODUCT($O38:$O$67*BF38:BF$67*($E38:$E$67=$D37)),IF(ISNUMBER(Data_2014_N!AZ37),100*ABS($G37-(Data_2014_N!AZ37-$K37)/$M37),0),IF(ISNUMBER(Data_2014_N!AZ37),100*ABS($G37-(Data_2014_N!AZ37-$K37)/$M37),0)))</f>
        <v>100</v>
      </c>
      <c r="BG37" s="161">
        <f>IF($H37=0,0,CHOOSE($H37,SUMPRODUCT($O38:$O$67*BG38:BG$67*($E38:$E$67=$D37)),IF(ISNUMBER(Data_2014_N!BA37),100*ABS($G37-(Data_2014_N!BA37-$K37)/$M37),0),IF(ISNUMBER(Data_2014_N!BA37),100*ABS($G37-(Data_2014_N!BA37-$K37)/$M37),0)))</f>
        <v>75</v>
      </c>
      <c r="BH37" s="161">
        <f>IF($H37=0,0,CHOOSE($H37,SUMPRODUCT($O38:$O$67*BH38:BH$67*($E38:$E$67=$D37)),IF(ISNUMBER(Data_2014_N!BB37),100*ABS($G37-(Data_2014_N!BB37-$K37)/$M37),0),IF(ISNUMBER(Data_2014_N!BB37),100*ABS($G37-(Data_2014_N!BB37-$K37)/$M37),0)))</f>
        <v>75</v>
      </c>
      <c r="BI37" s="161">
        <f>IF($H37=0,0,CHOOSE($H37,SUMPRODUCT($O38:$O$67*BI38:BI$67*($E38:$E$67=$D37)),IF(ISNUMBER(Data_2014_N!BC37),100*ABS($G37-(Data_2014_N!BC37-$K37)/$M37),0),IF(ISNUMBER(Data_2014_N!BC37),100*ABS($G37-(Data_2014_N!BC37-$K37)/$M37),0)))</f>
        <v>100</v>
      </c>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row>
    <row r="38" s="69" customFormat="1" ht="24.95" customHeight="1" spans="1:115">
      <c r="A38" s="92"/>
      <c r="B38" s="92">
        <f>tblIndicators!A34</f>
        <v>33</v>
      </c>
      <c r="C38" s="92">
        <f>tblIndicators!B34</f>
        <v>0</v>
      </c>
      <c r="D38" s="92" t="str">
        <f>tblIndicators!D34</f>
        <v>INSE3.1.4</v>
      </c>
      <c r="E38" s="92" t="str">
        <f>tblIndicators!E34</f>
        <v>INSE3.1</v>
      </c>
      <c r="F38" s="92">
        <f>tblIndicators!F34</f>
        <v>3</v>
      </c>
      <c r="G38" s="92">
        <f>tblIndicators!Y34</f>
        <v>1</v>
      </c>
      <c r="H38" s="92">
        <f>tblIndicators!Z34</f>
        <v>3</v>
      </c>
      <c r="I38" s="104">
        <f>tblIndicators!AA34</f>
        <v>1</v>
      </c>
      <c r="J38" s="92">
        <f>tblIndicators!AB34</f>
        <v>5</v>
      </c>
      <c r="K38" s="92">
        <f>CHOOSE(H38,"-",MIN(Data_2014_N!J38:BC38),I38)</f>
        <v>1</v>
      </c>
      <c r="L38" s="165">
        <f>CHOOSE(H38,"-",MAX(Data_2014_N!J38:BC38),J38)</f>
        <v>5</v>
      </c>
      <c r="M38" s="92">
        <f t="shared" si="1"/>
        <v>4</v>
      </c>
      <c r="N38" s="168" t="str">
        <f>REPT(" ",F38)&amp;tblIndicators!AE34</f>
        <v>   3.1.4) Quality of electricity infrastructure</v>
      </c>
      <c r="O38" s="169">
        <f>tblIndicators!AD34</f>
        <v>0.2</v>
      </c>
      <c r="P38" s="161">
        <f>IF($H38=0,0,CHOOSE($H38,SUMPRODUCT($O39:$O$67*P39:P$67*($E39:$E$67=$D38)),IF(ISNUMBER(Data_2014_N!J38),100*ABS($G38-(Data_2014_N!J38-$K38)/$M38),0),IF(ISNUMBER(Data_2014_N!J38),100*ABS($G38-(Data_2014_N!J38-$K38)/$M38),0)))</f>
        <v>75</v>
      </c>
      <c r="Q38" s="161">
        <f>IF($H38=0,0,CHOOSE($H38,SUMPRODUCT($O39:$O$67*Q39:Q$67*($E39:$E$67=$D38)),IF(ISNUMBER(Data_2014_N!K38),100*ABS($G38-(Data_2014_N!K38-$K38)/$M38),0),IF(ISNUMBER(Data_2014_N!K38),100*ABS($G38-(Data_2014_N!K38-$K38)/$M38),0)))</f>
        <v>100</v>
      </c>
      <c r="R38" s="161">
        <f>IF($H38=0,0,CHOOSE($H38,SUMPRODUCT($O39:$O$67*R39:R$67*($E39:$E$67=$D38)),IF(ISNUMBER(Data_2014_N!L38),100*ABS($G38-(Data_2014_N!L38-$K38)/$M38),0),IF(ISNUMBER(Data_2014_N!L38),100*ABS($G38-(Data_2014_N!L38-$K38)/$M38),0)))</f>
        <v>100</v>
      </c>
      <c r="S38" s="161">
        <f>IF($H38=0,0,CHOOSE($H38,SUMPRODUCT($O39:$O$67*S39:S$67*($E39:$E$67=$D38)),IF(ISNUMBER(Data_2014_N!M38),100*ABS($G38-(Data_2014_N!M38-$K38)/$M38),0),IF(ISNUMBER(Data_2014_N!M38),100*ABS($G38-(Data_2014_N!M38-$K38)/$M38),0)))</f>
        <v>100</v>
      </c>
      <c r="T38" s="161">
        <f>IF($H38=0,0,CHOOSE($H38,SUMPRODUCT($O39:$O$67*T39:T$67*($E39:$E$67=$D38)),IF(ISNUMBER(Data_2014_N!N38),100*ABS($G38-(Data_2014_N!N38-$K38)/$M38),0),IF(ISNUMBER(Data_2014_N!N38),100*ABS($G38-(Data_2014_N!N38-$K38)/$M38),0)))</f>
        <v>100</v>
      </c>
      <c r="U38" s="161">
        <f>IF($H38=0,0,CHOOSE($H38,SUMPRODUCT($O39:$O$67*U39:U$67*($E39:$E$67=$D38)),IF(ISNUMBER(Data_2014_N!O38),100*ABS($G38-(Data_2014_N!O38-$K38)/$M38),0),IF(ISNUMBER(Data_2014_N!O38),100*ABS($G38-(Data_2014_N!O38-$K38)/$M38),0)))</f>
        <v>100</v>
      </c>
      <c r="V38" s="161">
        <f>IF($H38=0,0,CHOOSE($H38,SUMPRODUCT($O39:$O$67*V39:V$67*($E39:$E$67=$D38)),IF(ISNUMBER(Data_2014_N!P38),100*ABS($G38-(Data_2014_N!P38-$K38)/$M38),0),IF(ISNUMBER(Data_2014_N!P38),100*ABS($G38-(Data_2014_N!P38-$K38)/$M38),0)))</f>
        <v>100</v>
      </c>
      <c r="W38" s="161">
        <f>IF($H38=0,0,CHOOSE($H38,SUMPRODUCT($O39:$O$67*W39:W$67*($E39:$E$67=$D38)),IF(ISNUMBER(Data_2014_N!Q38),100*ABS($G38-(Data_2014_N!Q38-$K38)/$M38),0),IF(ISNUMBER(Data_2014_N!Q38),100*ABS($G38-(Data_2014_N!Q38-$K38)/$M38),0)))</f>
        <v>100</v>
      </c>
      <c r="X38" s="161">
        <f>IF($H38=0,0,CHOOSE($H38,SUMPRODUCT($O39:$O$67*X39:X$67*($E39:$E$67=$D38)),IF(ISNUMBER(Data_2014_N!R38),100*ABS($G38-(Data_2014_N!R38-$K38)/$M38),0),IF(ISNUMBER(Data_2014_N!R38),100*ABS($G38-(Data_2014_N!R38-$K38)/$M38),0)))</f>
        <v>50</v>
      </c>
      <c r="Y38" s="161">
        <f>IF($H38=0,0,CHOOSE($H38,SUMPRODUCT($O39:$O$67*Y39:Y$67*($E39:$E$67=$D38)),IF(ISNUMBER(Data_2014_N!S38),100*ABS($G38-(Data_2014_N!S38-$K38)/$M38),0),IF(ISNUMBER(Data_2014_N!S38),100*ABS($G38-(Data_2014_N!S38-$K38)/$M38),0)))</f>
        <v>75</v>
      </c>
      <c r="Z38" s="161">
        <f>IF($H38=0,0,CHOOSE($H38,SUMPRODUCT($O39:$O$67*Z39:Z$67*($E39:$E$67=$D38)),IF(ISNUMBER(Data_2014_N!T38),100*ABS($G38-(Data_2014_N!T38-$K38)/$M38),0),IF(ISNUMBER(Data_2014_N!T38),100*ABS($G38-(Data_2014_N!T38-$K38)/$M38),0)))</f>
        <v>100</v>
      </c>
      <c r="AA38" s="161">
        <f>IF($H38=0,0,CHOOSE($H38,SUMPRODUCT($O39:$O$67*AA39:AA$67*($E39:$E$67=$D38)),IF(ISNUMBER(Data_2014_N!U38),100*ABS($G38-(Data_2014_N!U38-$K38)/$M38),0),IF(ISNUMBER(Data_2014_N!U38),100*ABS($G38-(Data_2014_N!U38-$K38)/$M38),0)))</f>
        <v>50</v>
      </c>
      <c r="AB38" s="161">
        <f>IF($H38=0,0,CHOOSE($H38,SUMPRODUCT($O39:$O$67*AB39:AB$67*($E39:$E$67=$D38)),IF(ISNUMBER(Data_2014_N!V38),100*ABS($G38-(Data_2014_N!V38-$K38)/$M38),0),IF(ISNUMBER(Data_2014_N!V38),100*ABS($G38-(Data_2014_N!V38-$K38)/$M38),0)))</f>
        <v>100</v>
      </c>
      <c r="AC38" s="161">
        <f>IF($H38=0,0,CHOOSE($H38,SUMPRODUCT($O39:$O$67*AC39:AC$67*($E39:$E$67=$D38)),IF(ISNUMBER(Data_2014_N!W38),100*ABS($G38-(Data_2014_N!W38-$K38)/$M38),0),IF(ISNUMBER(Data_2014_N!W38),100*ABS($G38-(Data_2014_N!W38-$K38)/$M38),0)))</f>
        <v>75</v>
      </c>
      <c r="AD38" s="161">
        <f>IF($H38=0,0,CHOOSE($H38,SUMPRODUCT($O39:$O$67*AD39:AD$67*($E39:$E$67=$D38)),IF(ISNUMBER(Data_2014_N!X38),100*ABS($G38-(Data_2014_N!X38-$K38)/$M38),0),IF(ISNUMBER(Data_2014_N!X38),100*ABS($G38-(Data_2014_N!X38-$K38)/$M38),0)))</f>
        <v>50</v>
      </c>
      <c r="AE38" s="161">
        <f>IF($H38=0,0,CHOOSE($H38,SUMPRODUCT($O39:$O$67*AE39:AE$67*($E39:$E$67=$D38)),IF(ISNUMBER(Data_2014_N!Y38),100*ABS($G38-(Data_2014_N!Y38-$K38)/$M38),0),IF(ISNUMBER(Data_2014_N!Y38),100*ABS($G38-(Data_2014_N!Y38-$K38)/$M38),0)))</f>
        <v>50</v>
      </c>
      <c r="AF38" s="161">
        <f>IF($H38=0,0,CHOOSE($H38,SUMPRODUCT($O39:$O$67*AF39:AF$67*($E39:$E$67=$D38)),IF(ISNUMBER(Data_2014_N!Z38),100*ABS($G38-(Data_2014_N!Z38-$K38)/$M38),0),IF(ISNUMBER(Data_2014_N!Z38),100*ABS($G38-(Data_2014_N!Z38-$K38)/$M38),0)))</f>
        <v>100</v>
      </c>
      <c r="AG38" s="161">
        <f>IF($H38=0,0,CHOOSE($H38,SUMPRODUCT($O39:$O$67*AG39:AG$67*($E39:$E$67=$D38)),IF(ISNUMBER(Data_2014_N!AA38),100*ABS($G38-(Data_2014_N!AA38-$K38)/$M38),0),IF(ISNUMBER(Data_2014_N!AA38),100*ABS($G38-(Data_2014_N!AA38-$K38)/$M38),0)))</f>
        <v>100</v>
      </c>
      <c r="AH38" s="161">
        <f>IF($H38=0,0,CHOOSE($H38,SUMPRODUCT($O39:$O$67*AH39:AH$67*($E39:$E$67=$D38)),IF(ISNUMBER(Data_2014_N!AB38),100*ABS($G38-(Data_2014_N!AB38-$K38)/$M38),0),IF(ISNUMBER(Data_2014_N!AB38),100*ABS($G38-(Data_2014_N!AB38-$K38)/$M38),0)))</f>
        <v>100</v>
      </c>
      <c r="AI38" s="161">
        <f>IF($H38=0,0,CHOOSE($H38,SUMPRODUCT($O39:$O$67*AI39:AI$67*($E39:$E$67=$D38)),IF(ISNUMBER(Data_2014_N!AC38),100*ABS($G38-(Data_2014_N!AC38-$K38)/$M38),0),IF(ISNUMBER(Data_2014_N!AC38),100*ABS($G38-(Data_2014_N!AC38-$K38)/$M38),0)))</f>
        <v>100</v>
      </c>
      <c r="AJ38" s="161">
        <f>IF($H38=0,0,CHOOSE($H38,SUMPRODUCT($O39:$O$67*AJ39:AJ$67*($E39:$E$67=$D38)),IF(ISNUMBER(Data_2014_N!AD38),100*ABS($G38-(Data_2014_N!AD38-$K38)/$M38),0),IF(ISNUMBER(Data_2014_N!AD38),100*ABS($G38-(Data_2014_N!AD38-$K38)/$M38),0)))</f>
        <v>100</v>
      </c>
      <c r="AK38" s="161">
        <f>IF($H38=0,0,CHOOSE($H38,SUMPRODUCT($O39:$O$67*AK39:AK$67*($E39:$E$67=$D38)),IF(ISNUMBER(Data_2014_N!AE38),100*ABS($G38-(Data_2014_N!AE38-$K38)/$M38),0),IF(ISNUMBER(Data_2014_N!AE38),100*ABS($G38-(Data_2014_N!AE38-$K38)/$M38),0)))</f>
        <v>100</v>
      </c>
      <c r="AL38" s="161">
        <f>IF($H38=0,0,CHOOSE($H38,SUMPRODUCT($O39:$O$67*AL39:AL$67*($E39:$E$67=$D38)),IF(ISNUMBER(Data_2014_N!AF38),100*ABS($G38-(Data_2014_N!AF38-$K38)/$M38),0),IF(ISNUMBER(Data_2014_N!AF38),100*ABS($G38-(Data_2014_N!AF38-$K38)/$M38),0)))</f>
        <v>50</v>
      </c>
      <c r="AM38" s="161">
        <f>IF($H38=0,0,CHOOSE($H38,SUMPRODUCT($O39:$O$67*AM39:AM$67*($E39:$E$67=$D38)),IF(ISNUMBER(Data_2014_N!AG38),100*ABS($G38-(Data_2014_N!AG38-$K38)/$M38),0),IF(ISNUMBER(Data_2014_N!AG38),100*ABS($G38-(Data_2014_N!AG38-$K38)/$M38),0)))</f>
        <v>100</v>
      </c>
      <c r="AN38" s="161">
        <f>IF($H38=0,0,CHOOSE($H38,SUMPRODUCT($O39:$O$67*AN39:AN$67*($E39:$E$67=$D38)),IF(ISNUMBER(Data_2014_N!AH38),100*ABS($G38-(Data_2014_N!AH38-$K38)/$M38),0),IF(ISNUMBER(Data_2014_N!AH38),100*ABS($G38-(Data_2014_N!AH38-$K38)/$M38),0)))</f>
        <v>100</v>
      </c>
      <c r="AO38" s="161">
        <f>IF($H38=0,0,CHOOSE($H38,SUMPRODUCT($O39:$O$67*AO39:AO$67*($E39:$E$67=$D38)),IF(ISNUMBER(Data_2014_N!AI38),100*ABS($G38-(Data_2014_N!AI38-$K38)/$M38),0),IF(ISNUMBER(Data_2014_N!AI38),100*ABS($G38-(Data_2014_N!AI38-$K38)/$M38),0)))</f>
        <v>75</v>
      </c>
      <c r="AP38" s="161">
        <f>IF($H38=0,0,CHOOSE($H38,SUMPRODUCT($O39:$O$67*AP39:AP$67*($E39:$E$67=$D38)),IF(ISNUMBER(Data_2014_N!AJ38),100*ABS($G38-(Data_2014_N!AJ38-$K38)/$M38),0),IF(ISNUMBER(Data_2014_N!AJ38),100*ABS($G38-(Data_2014_N!AJ38-$K38)/$M38),0)))</f>
        <v>100</v>
      </c>
      <c r="AQ38" s="161">
        <f>IF($H38=0,0,CHOOSE($H38,SUMPRODUCT($O39:$O$67*AQ39:AQ$67*($E39:$E$67=$D38)),IF(ISNUMBER(Data_2014_N!AK38),100*ABS($G38-(Data_2014_N!AK38-$K38)/$M38),0),IF(ISNUMBER(Data_2014_N!AK38),100*ABS($G38-(Data_2014_N!AK38-$K38)/$M38),0)))</f>
        <v>100</v>
      </c>
      <c r="AR38" s="161">
        <f>IF($H38=0,0,CHOOSE($H38,SUMPRODUCT($O39:$O$67*AR39:AR$67*($E39:$E$67=$D38)),IF(ISNUMBER(Data_2014_N!AL38),100*ABS($G38-(Data_2014_N!AL38-$K38)/$M38),0),IF(ISNUMBER(Data_2014_N!AL38),100*ABS($G38-(Data_2014_N!AL38-$K38)/$M38),0)))</f>
        <v>100</v>
      </c>
      <c r="AS38" s="161">
        <f>IF($H38=0,0,CHOOSE($H38,SUMPRODUCT($O39:$O$67*AS39:AS$67*($E39:$E$67=$D38)),IF(ISNUMBER(Data_2014_N!AM38),100*ABS($G38-(Data_2014_N!AM38-$K38)/$M38),0),IF(ISNUMBER(Data_2014_N!AM38),100*ABS($G38-(Data_2014_N!AM38-$K38)/$M38),0)))</f>
        <v>100</v>
      </c>
      <c r="AT38" s="161">
        <f>IF($H38=0,0,CHOOSE($H38,SUMPRODUCT($O39:$O$67*AT39:AT$67*($E39:$E$67=$D38)),IF(ISNUMBER(Data_2014_N!AN38),100*ABS($G38-(Data_2014_N!AN38-$K38)/$M38),0),IF(ISNUMBER(Data_2014_N!AN38),100*ABS($G38-(Data_2014_N!AN38-$K38)/$M38),0)))</f>
        <v>75</v>
      </c>
      <c r="AU38" s="161">
        <f>IF($H38=0,0,CHOOSE($H38,SUMPRODUCT($O39:$O$67*AU39:AU$67*($E39:$E$67=$D38)),IF(ISNUMBER(Data_2014_N!AO38),100*ABS($G38-(Data_2014_N!AO38-$K38)/$M38),0),IF(ISNUMBER(Data_2014_N!AO38),100*ABS($G38-(Data_2014_N!AO38-$K38)/$M38),0)))</f>
        <v>100</v>
      </c>
      <c r="AV38" s="161">
        <f>IF($H38=0,0,CHOOSE($H38,SUMPRODUCT($O39:$O$67*AV39:AV$67*($E39:$E$67=$D38)),IF(ISNUMBER(Data_2014_N!AP38),100*ABS($G38-(Data_2014_N!AP38-$K38)/$M38),0),IF(ISNUMBER(Data_2014_N!AP38),100*ABS($G38-(Data_2014_N!AP38-$K38)/$M38),0)))</f>
        <v>100</v>
      </c>
      <c r="AW38" s="161">
        <f>IF($H38=0,0,CHOOSE($H38,SUMPRODUCT($O39:$O$67*AW39:AW$67*($E39:$E$67=$D38)),IF(ISNUMBER(Data_2014_N!AQ38),100*ABS($G38-(Data_2014_N!AQ38-$K38)/$M38),0),IF(ISNUMBER(Data_2014_N!AQ38),100*ABS($G38-(Data_2014_N!AQ38-$K38)/$M38),0)))</f>
        <v>100</v>
      </c>
      <c r="AX38" s="161">
        <f>IF($H38=0,0,CHOOSE($H38,SUMPRODUCT($O39:$O$67*AX39:AX$67*($E39:$E$67=$D38)),IF(ISNUMBER(Data_2014_N!AR38),100*ABS($G38-(Data_2014_N!AR38-$K38)/$M38),0),IF(ISNUMBER(Data_2014_N!AR38),100*ABS($G38-(Data_2014_N!AR38-$K38)/$M38),0)))</f>
        <v>75</v>
      </c>
      <c r="AY38" s="161">
        <f>IF($H38=0,0,CHOOSE($H38,SUMPRODUCT($O39:$O$67*AY39:AY$67*($E39:$E$67=$D38)),IF(ISNUMBER(Data_2014_N!AS38),100*ABS($G38-(Data_2014_N!AS38-$K38)/$M38),0),IF(ISNUMBER(Data_2014_N!AS38),100*ABS($G38-(Data_2014_N!AS38-$K38)/$M38),0)))</f>
        <v>100</v>
      </c>
      <c r="AZ38" s="161">
        <f>IF($H38=0,0,CHOOSE($H38,SUMPRODUCT($O39:$O$67*AZ39:AZ$67*($E39:$E$67=$D38)),IF(ISNUMBER(Data_2014_N!AT38),100*ABS($G38-(Data_2014_N!AT38-$K38)/$M38),0),IF(ISNUMBER(Data_2014_N!AT38),100*ABS($G38-(Data_2014_N!AT38-$K38)/$M38),0)))</f>
        <v>100</v>
      </c>
      <c r="BA38" s="161">
        <f>IF($H38=0,0,CHOOSE($H38,SUMPRODUCT($O39:$O$67*BA39:BA$67*($E39:$E$67=$D38)),IF(ISNUMBER(Data_2014_N!AU38),100*ABS($G38-(Data_2014_N!AU38-$K38)/$M38),0),IF(ISNUMBER(Data_2014_N!AU38),100*ABS($G38-(Data_2014_N!AU38-$K38)/$M38),0)))</f>
        <v>100</v>
      </c>
      <c r="BB38" s="161">
        <f>IF($H38=0,0,CHOOSE($H38,SUMPRODUCT($O39:$O$67*BB39:BB$67*($E39:$E$67=$D38)),IF(ISNUMBER(Data_2014_N!AV38),100*ABS($G38-(Data_2014_N!AV38-$K38)/$M38),0),IF(ISNUMBER(Data_2014_N!AV38),100*ABS($G38-(Data_2014_N!AV38-$K38)/$M38),0)))</f>
        <v>75</v>
      </c>
      <c r="BC38" s="161">
        <f>IF($H38=0,0,CHOOSE($H38,SUMPRODUCT($O39:$O$67*BC39:BC$67*($E39:$E$67=$D38)),IF(ISNUMBER(Data_2014_N!AW38),100*ABS($G38-(Data_2014_N!AW38-$K38)/$M38),0),IF(ISNUMBER(Data_2014_N!AW38),100*ABS($G38-(Data_2014_N!AW38-$K38)/$M38),0)))</f>
        <v>100</v>
      </c>
      <c r="BD38" s="161">
        <f>IF($H38=0,0,CHOOSE($H38,SUMPRODUCT($O39:$O$67*BD39:BD$67*($E39:$E$67=$D38)),IF(ISNUMBER(Data_2014_N!AX38),100*ABS($G38-(Data_2014_N!AX38-$K38)/$M38),0),IF(ISNUMBER(Data_2014_N!AX38),100*ABS($G38-(Data_2014_N!AX38-$K38)/$M38),0)))</f>
        <v>75</v>
      </c>
      <c r="BE38" s="161">
        <f>IF($H38=0,0,CHOOSE($H38,SUMPRODUCT($O39:$O$67*BE39:BE$67*($E39:$E$67=$D38)),IF(ISNUMBER(Data_2014_N!AY38),100*ABS($G38-(Data_2014_N!AY38-$K38)/$M38),0),IF(ISNUMBER(Data_2014_N!AY38),100*ABS($G38-(Data_2014_N!AY38-$K38)/$M38),0)))</f>
        <v>25</v>
      </c>
      <c r="BF38" s="161">
        <f>IF($H38=0,0,CHOOSE($H38,SUMPRODUCT($O39:$O$67*BF39:BF$67*($E39:$E$67=$D38)),IF(ISNUMBER(Data_2014_N!AZ38),100*ABS($G38-(Data_2014_N!AZ38-$K38)/$M38),0),IF(ISNUMBER(Data_2014_N!AZ38),100*ABS($G38-(Data_2014_N!AZ38-$K38)/$M38),0)))</f>
        <v>100</v>
      </c>
      <c r="BG38" s="161">
        <f>IF($H38=0,0,CHOOSE($H38,SUMPRODUCT($O39:$O$67*BG39:BG$67*($E39:$E$67=$D38)),IF(ISNUMBER(Data_2014_N!BA38),100*ABS($G38-(Data_2014_N!BA38-$K38)/$M38),0),IF(ISNUMBER(Data_2014_N!BA38),100*ABS($G38-(Data_2014_N!BA38-$K38)/$M38),0)))</f>
        <v>100</v>
      </c>
      <c r="BH38" s="161">
        <f>IF($H38=0,0,CHOOSE($H38,SUMPRODUCT($O39:$O$67*BH39:BH$67*($E39:$E$67=$D38)),IF(ISNUMBER(Data_2014_N!BB38),100*ABS($G38-(Data_2014_N!BB38-$K38)/$M38),0),IF(ISNUMBER(Data_2014_N!BB38),100*ABS($G38-(Data_2014_N!BB38-$K38)/$M38),0)))</f>
        <v>100</v>
      </c>
      <c r="BI38" s="161">
        <f>IF($H38=0,0,CHOOSE($H38,SUMPRODUCT($O39:$O$67*BI39:BI$67*($E39:$E$67=$D38)),IF(ISNUMBER(Data_2014_N!BC38),100*ABS($G38-(Data_2014_N!BC38-$K38)/$M38),0),IF(ISNUMBER(Data_2014_N!BC38),100*ABS($G38-(Data_2014_N!BC38-$K38)/$M38),0)))</f>
        <v>100</v>
      </c>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row>
    <row r="39" s="69" customFormat="1" ht="24.95" customHeight="1" spans="1:115">
      <c r="A39" s="92"/>
      <c r="B39" s="92">
        <f>tblIndicators!A35</f>
        <v>34</v>
      </c>
      <c r="C39" s="92">
        <f>tblIndicators!B35</f>
        <v>0</v>
      </c>
      <c r="D39" s="92" t="str">
        <f>tblIndicators!D35</f>
        <v>INSE3.1.5</v>
      </c>
      <c r="E39" s="92" t="str">
        <f>tblIndicators!E35</f>
        <v>INSE3.1</v>
      </c>
      <c r="F39" s="92">
        <f>tblIndicators!F35</f>
        <v>3</v>
      </c>
      <c r="G39" s="92">
        <f>tblIndicators!Y35</f>
        <v>1</v>
      </c>
      <c r="H39" s="92">
        <f>tblIndicators!Z35</f>
        <v>3</v>
      </c>
      <c r="I39" s="104">
        <f>tblIndicators!AA35</f>
        <v>1</v>
      </c>
      <c r="J39" s="92">
        <f>tblIndicators!AB35</f>
        <v>5</v>
      </c>
      <c r="K39" s="92">
        <f>CHOOSE(H39,"-",MIN(Data_2014_N!J39:BC39),I39)</f>
        <v>1</v>
      </c>
      <c r="L39" s="165">
        <f>CHOOSE(H39,"-",MAX(Data_2014_N!J39:BC39),J39)</f>
        <v>5</v>
      </c>
      <c r="M39" s="92">
        <f t="shared" si="1"/>
        <v>4</v>
      </c>
      <c r="N39" s="168" t="str">
        <f>REPT(" ",F39)&amp;tblIndicators!AE35</f>
        <v>   3.1.5) Disaster management/business continuity plan</v>
      </c>
      <c r="O39" s="169">
        <f>tblIndicators!AD35</f>
        <v>0.2</v>
      </c>
      <c r="P39" s="161">
        <f>IF($H39=0,0,CHOOSE($H39,SUMPRODUCT($O40:$O$67*P40:P$67*($E40:$E$67=$D39)),IF(ISNUMBER(Data_2014_N!J39),100*ABS($G39-(Data_2014_N!J39-$K39)/$M39),0),IF(ISNUMBER(Data_2014_N!J39),100*ABS($G39-(Data_2014_N!J39-$K39)/$M39),0)))</f>
        <v>75</v>
      </c>
      <c r="Q39" s="161">
        <f>IF($H39=0,0,CHOOSE($H39,SUMPRODUCT($O40:$O$67*Q40:Q$67*($E40:$E$67=$D39)),IF(ISNUMBER(Data_2014_N!K39),100*ABS($G39-(Data_2014_N!K39-$K39)/$M39),0),IF(ISNUMBER(Data_2014_N!K39),100*ABS($G39-(Data_2014_N!K39-$K39)/$M39),0)))</f>
        <v>100</v>
      </c>
      <c r="R39" s="161">
        <f>IF($H39=0,0,CHOOSE($H39,SUMPRODUCT($O40:$O$67*R40:R$67*($E40:$E$67=$D39)),IF(ISNUMBER(Data_2014_N!L39),100*ABS($G39-(Data_2014_N!L39-$K39)/$M39),0),IF(ISNUMBER(Data_2014_N!L39),100*ABS($G39-(Data_2014_N!L39-$K39)/$M39),0)))</f>
        <v>75</v>
      </c>
      <c r="S39" s="161">
        <f>IF($H39=0,0,CHOOSE($H39,SUMPRODUCT($O40:$O$67*S40:S$67*($E40:$E$67=$D39)),IF(ISNUMBER(Data_2014_N!M39),100*ABS($G39-(Data_2014_N!M39-$K39)/$M39),0),IF(ISNUMBER(Data_2014_N!M39),100*ABS($G39-(Data_2014_N!M39-$K39)/$M39),0)))</f>
        <v>100</v>
      </c>
      <c r="T39" s="161">
        <f>IF($H39=0,0,CHOOSE($H39,SUMPRODUCT($O40:$O$67*T40:T$67*($E40:$E$67=$D39)),IF(ISNUMBER(Data_2014_N!N39),100*ABS($G39-(Data_2014_N!N39-$K39)/$M39),0),IF(ISNUMBER(Data_2014_N!N39),100*ABS($G39-(Data_2014_N!N39-$K39)/$M39),0)))</f>
        <v>50</v>
      </c>
      <c r="U39" s="161">
        <f>IF($H39=0,0,CHOOSE($H39,SUMPRODUCT($O40:$O$67*U40:U$67*($E40:$E$67=$D39)),IF(ISNUMBER(Data_2014_N!O39),100*ABS($G39-(Data_2014_N!O39-$K39)/$M39),0),IF(ISNUMBER(Data_2014_N!O39),100*ABS($G39-(Data_2014_N!O39-$K39)/$M39),0)))</f>
        <v>100</v>
      </c>
      <c r="V39" s="161">
        <f>IF($H39=0,0,CHOOSE($H39,SUMPRODUCT($O40:$O$67*V40:V$67*($E40:$E$67=$D39)),IF(ISNUMBER(Data_2014_N!P39),100*ABS($G39-(Data_2014_N!P39-$K39)/$M39),0),IF(ISNUMBER(Data_2014_N!P39),100*ABS($G39-(Data_2014_N!P39-$K39)/$M39),0)))</f>
        <v>100</v>
      </c>
      <c r="W39" s="161">
        <f>IF($H39=0,0,CHOOSE($H39,SUMPRODUCT($O40:$O$67*W40:W$67*($E40:$E$67=$D39)),IF(ISNUMBER(Data_2014_N!Q39),100*ABS($G39-(Data_2014_N!Q39-$K39)/$M39),0),IF(ISNUMBER(Data_2014_N!Q39),100*ABS($G39-(Data_2014_N!Q39-$K39)/$M39),0)))</f>
        <v>100</v>
      </c>
      <c r="X39" s="161">
        <f>IF($H39=0,0,CHOOSE($H39,SUMPRODUCT($O40:$O$67*X40:X$67*($E40:$E$67=$D39)),IF(ISNUMBER(Data_2014_N!R39),100*ABS($G39-(Data_2014_N!R39-$K39)/$M39),0),IF(ISNUMBER(Data_2014_N!R39),100*ABS($G39-(Data_2014_N!R39-$K39)/$M39),0)))</f>
        <v>25</v>
      </c>
      <c r="Y39" s="161">
        <f>IF($H39=0,0,CHOOSE($H39,SUMPRODUCT($O40:$O$67*Y40:Y$67*($E40:$E$67=$D39)),IF(ISNUMBER(Data_2014_N!S39),100*ABS($G39-(Data_2014_N!S39-$K39)/$M39),0),IF(ISNUMBER(Data_2014_N!S39),100*ABS($G39-(Data_2014_N!S39-$K39)/$M39),0)))</f>
        <v>100</v>
      </c>
      <c r="Z39" s="161">
        <f>IF($H39=0,0,CHOOSE($H39,SUMPRODUCT($O40:$O$67*Z40:Z$67*($E40:$E$67=$D39)),IF(ISNUMBER(Data_2014_N!T39),100*ABS($G39-(Data_2014_N!T39-$K39)/$M39),0),IF(ISNUMBER(Data_2014_N!T39),100*ABS($G39-(Data_2014_N!T39-$K39)/$M39),0)))</f>
        <v>100</v>
      </c>
      <c r="AA39" s="161">
        <f>IF($H39=0,0,CHOOSE($H39,SUMPRODUCT($O40:$O$67*AA40:AA$67*($E40:$E$67=$D39)),IF(ISNUMBER(Data_2014_N!U39),100*ABS($G39-(Data_2014_N!U39-$K39)/$M39),0),IF(ISNUMBER(Data_2014_N!U39),100*ABS($G39-(Data_2014_N!U39-$K39)/$M39),0)))</f>
        <v>50</v>
      </c>
      <c r="AB39" s="161">
        <f>IF($H39=0,0,CHOOSE($H39,SUMPRODUCT($O40:$O$67*AB40:AB$67*($E40:$E$67=$D39)),IF(ISNUMBER(Data_2014_N!V39),100*ABS($G39-(Data_2014_N!V39-$K39)/$M39),0),IF(ISNUMBER(Data_2014_N!V39),100*ABS($G39-(Data_2014_N!V39-$K39)/$M39),0)))</f>
        <v>100</v>
      </c>
      <c r="AC39" s="161">
        <f>IF($H39=0,0,CHOOSE($H39,SUMPRODUCT($O40:$O$67*AC40:AC$67*($E40:$E$67=$D39)),IF(ISNUMBER(Data_2014_N!W39),100*ABS($G39-(Data_2014_N!W39-$K39)/$M39),0),IF(ISNUMBER(Data_2014_N!W39),100*ABS($G39-(Data_2014_N!W39-$K39)/$M39),0)))</f>
        <v>75</v>
      </c>
      <c r="AD39" s="161">
        <f>IF($H39=0,0,CHOOSE($H39,SUMPRODUCT($O40:$O$67*AD40:AD$67*($E40:$E$67=$D39)),IF(ISNUMBER(Data_2014_N!X39),100*ABS($G39-(Data_2014_N!X39-$K39)/$M39),0),IF(ISNUMBER(Data_2014_N!X39),100*ABS($G39-(Data_2014_N!X39-$K39)/$M39),0)))</f>
        <v>50</v>
      </c>
      <c r="AE39" s="161">
        <f>IF($H39=0,0,CHOOSE($H39,SUMPRODUCT($O40:$O$67*AE40:AE$67*($E40:$E$67=$D39)),IF(ISNUMBER(Data_2014_N!Y39),100*ABS($G39-(Data_2014_N!Y39-$K39)/$M39),0),IF(ISNUMBER(Data_2014_N!Y39),100*ABS($G39-(Data_2014_N!Y39-$K39)/$M39),0)))</f>
        <v>50</v>
      </c>
      <c r="AF39" s="161">
        <f>IF($H39=0,0,CHOOSE($H39,SUMPRODUCT($O40:$O$67*AF40:AF$67*($E40:$E$67=$D39)),IF(ISNUMBER(Data_2014_N!Z39),100*ABS($G39-(Data_2014_N!Z39-$K39)/$M39),0),IF(ISNUMBER(Data_2014_N!Z39),100*ABS($G39-(Data_2014_N!Z39-$K39)/$M39),0)))</f>
        <v>75</v>
      </c>
      <c r="AG39" s="161">
        <f>IF($H39=0,0,CHOOSE($H39,SUMPRODUCT($O40:$O$67*AG40:AG$67*($E40:$E$67=$D39)),IF(ISNUMBER(Data_2014_N!AA39),100*ABS($G39-(Data_2014_N!AA39-$K39)/$M39),0),IF(ISNUMBER(Data_2014_N!AA39),100*ABS($G39-(Data_2014_N!AA39-$K39)/$M39),0)))</f>
        <v>100</v>
      </c>
      <c r="AH39" s="161">
        <f>IF($H39=0,0,CHOOSE($H39,SUMPRODUCT($O40:$O$67*AH40:AH$67*($E40:$E$67=$D39)),IF(ISNUMBER(Data_2014_N!AB39),100*ABS($G39-(Data_2014_N!AB39-$K39)/$M39),0),IF(ISNUMBER(Data_2014_N!AB39),100*ABS($G39-(Data_2014_N!AB39-$K39)/$M39),0)))</f>
        <v>100</v>
      </c>
      <c r="AI39" s="161">
        <f>IF($H39=0,0,CHOOSE($H39,SUMPRODUCT($O40:$O$67*AI40:AI$67*($E40:$E$67=$D39)),IF(ISNUMBER(Data_2014_N!AC39),100*ABS($G39-(Data_2014_N!AC39-$K39)/$M39),0),IF(ISNUMBER(Data_2014_N!AC39),100*ABS($G39-(Data_2014_N!AC39-$K39)/$M39),0)))</f>
        <v>75</v>
      </c>
      <c r="AJ39" s="161">
        <f>IF($H39=0,0,CHOOSE($H39,SUMPRODUCT($O40:$O$67*AJ40:AJ$67*($E40:$E$67=$D39)),IF(ISNUMBER(Data_2014_N!AD39),100*ABS($G39-(Data_2014_N!AD39-$K39)/$M39),0),IF(ISNUMBER(Data_2014_N!AD39),100*ABS($G39-(Data_2014_N!AD39-$K39)/$M39),0)))</f>
        <v>100</v>
      </c>
      <c r="AK39" s="161">
        <f>IF($H39=0,0,CHOOSE($H39,SUMPRODUCT($O40:$O$67*AK40:AK$67*($E40:$E$67=$D39)),IF(ISNUMBER(Data_2014_N!AE39),100*ABS($G39-(Data_2014_N!AE39-$K39)/$M39),0),IF(ISNUMBER(Data_2014_N!AE39),100*ABS($G39-(Data_2014_N!AE39-$K39)/$M39),0)))</f>
        <v>100</v>
      </c>
      <c r="AL39" s="161">
        <f>IF($H39=0,0,CHOOSE($H39,SUMPRODUCT($O40:$O$67*AL40:AL$67*($E40:$E$67=$D39)),IF(ISNUMBER(Data_2014_N!AF39),100*ABS($G39-(Data_2014_N!AF39-$K39)/$M39),0),IF(ISNUMBER(Data_2014_N!AF39),100*ABS($G39-(Data_2014_N!AF39-$K39)/$M39),0)))</f>
        <v>75</v>
      </c>
      <c r="AM39" s="161">
        <f>IF($H39=0,0,CHOOSE($H39,SUMPRODUCT($O40:$O$67*AM40:AM$67*($E40:$E$67=$D39)),IF(ISNUMBER(Data_2014_N!AG39),100*ABS($G39-(Data_2014_N!AG39-$K39)/$M39),0),IF(ISNUMBER(Data_2014_N!AG39),100*ABS($G39-(Data_2014_N!AG39-$K39)/$M39),0)))</f>
        <v>100</v>
      </c>
      <c r="AN39" s="161">
        <f>IF($H39=0,0,CHOOSE($H39,SUMPRODUCT($O40:$O$67*AN40:AN$67*($E40:$E$67=$D39)),IF(ISNUMBER(Data_2014_N!AH39),100*ABS($G39-(Data_2014_N!AH39-$K39)/$M39),0),IF(ISNUMBER(Data_2014_N!AH39),100*ABS($G39-(Data_2014_N!AH39-$K39)/$M39),0)))</f>
        <v>50</v>
      </c>
      <c r="AO39" s="161">
        <f>IF($H39=0,0,CHOOSE($H39,SUMPRODUCT($O40:$O$67*AO40:AO$67*($E40:$E$67=$D39)),IF(ISNUMBER(Data_2014_N!AI39),100*ABS($G39-(Data_2014_N!AI39-$K39)/$M39),0),IF(ISNUMBER(Data_2014_N!AI39),100*ABS($G39-(Data_2014_N!AI39-$K39)/$M39),0)))</f>
        <v>25</v>
      </c>
      <c r="AP39" s="161">
        <f>IF($H39=0,0,CHOOSE($H39,SUMPRODUCT($O40:$O$67*AP40:AP$67*($E40:$E$67=$D39)),IF(ISNUMBER(Data_2014_N!AJ39),100*ABS($G39-(Data_2014_N!AJ39-$K39)/$M39),0),IF(ISNUMBER(Data_2014_N!AJ39),100*ABS($G39-(Data_2014_N!AJ39-$K39)/$M39),0)))</f>
        <v>100</v>
      </c>
      <c r="AQ39" s="161">
        <f>IF($H39=0,0,CHOOSE($H39,SUMPRODUCT($O40:$O$67*AQ40:AQ$67*($E40:$E$67=$D39)),IF(ISNUMBER(Data_2014_N!AK39),100*ABS($G39-(Data_2014_N!AK39-$K39)/$M39),0),IF(ISNUMBER(Data_2014_N!AK39),100*ABS($G39-(Data_2014_N!AK39-$K39)/$M39),0)))</f>
        <v>100</v>
      </c>
      <c r="AR39" s="161">
        <f>IF($H39=0,0,CHOOSE($H39,SUMPRODUCT($O40:$O$67*AR40:AR$67*($E40:$E$67=$D39)),IF(ISNUMBER(Data_2014_N!AL39),100*ABS($G39-(Data_2014_N!AL39-$K39)/$M39),0),IF(ISNUMBER(Data_2014_N!AL39),100*ABS($G39-(Data_2014_N!AL39-$K39)/$M39),0)))</f>
        <v>100</v>
      </c>
      <c r="AS39" s="161">
        <f>IF($H39=0,0,CHOOSE($H39,SUMPRODUCT($O40:$O$67*AS40:AS$67*($E40:$E$67=$D39)),IF(ISNUMBER(Data_2014_N!AM39),100*ABS($G39-(Data_2014_N!AM39-$K39)/$M39),0),IF(ISNUMBER(Data_2014_N!AM39),100*ABS($G39-(Data_2014_N!AM39-$K39)/$M39),0)))</f>
        <v>50</v>
      </c>
      <c r="AT39" s="161">
        <f>IF($H39=0,0,CHOOSE($H39,SUMPRODUCT($O40:$O$67*AT40:AT$67*($E40:$E$67=$D39)),IF(ISNUMBER(Data_2014_N!AN39),100*ABS($G39-(Data_2014_N!AN39-$K39)/$M39),0),IF(ISNUMBER(Data_2014_N!AN39),100*ABS($G39-(Data_2014_N!AN39-$K39)/$M39),0)))</f>
        <v>50</v>
      </c>
      <c r="AU39" s="161">
        <f>IF($H39=0,0,CHOOSE($H39,SUMPRODUCT($O40:$O$67*AU40:AU$67*($E40:$E$67=$D39)),IF(ISNUMBER(Data_2014_N!AO39),100*ABS($G39-(Data_2014_N!AO39-$K39)/$M39),0),IF(ISNUMBER(Data_2014_N!AO39),100*ABS($G39-(Data_2014_N!AO39-$K39)/$M39),0)))</f>
        <v>100</v>
      </c>
      <c r="AV39" s="161">
        <f>IF($H39=0,0,CHOOSE($H39,SUMPRODUCT($O40:$O$67*AV40:AV$67*($E40:$E$67=$D39)),IF(ISNUMBER(Data_2014_N!AP39),100*ABS($G39-(Data_2014_N!AP39-$K39)/$M39),0),IF(ISNUMBER(Data_2014_N!AP39),100*ABS($G39-(Data_2014_N!AP39-$K39)/$M39),0)))</f>
        <v>100</v>
      </c>
      <c r="AW39" s="161">
        <f>IF($H39=0,0,CHOOSE($H39,SUMPRODUCT($O40:$O$67*AW40:AW$67*($E40:$E$67=$D39)),IF(ISNUMBER(Data_2014_N!AQ39),100*ABS($G39-(Data_2014_N!AQ39-$K39)/$M39),0),IF(ISNUMBER(Data_2014_N!AQ39),100*ABS($G39-(Data_2014_N!AQ39-$K39)/$M39),0)))</f>
        <v>100</v>
      </c>
      <c r="AX39" s="161">
        <f>IF($H39=0,0,CHOOSE($H39,SUMPRODUCT($O40:$O$67*AX40:AX$67*($E40:$E$67=$D39)),IF(ISNUMBER(Data_2014_N!AR39),100*ABS($G39-(Data_2014_N!AR39-$K39)/$M39),0),IF(ISNUMBER(Data_2014_N!AR39),100*ABS($G39-(Data_2014_N!AR39-$K39)/$M39),0)))</f>
        <v>75</v>
      </c>
      <c r="AY39" s="161">
        <f>IF($H39=0,0,CHOOSE($H39,SUMPRODUCT($O40:$O$67*AY40:AY$67*($E40:$E$67=$D39)),IF(ISNUMBER(Data_2014_N!AS39),100*ABS($G39-(Data_2014_N!AS39-$K39)/$M39),0),IF(ISNUMBER(Data_2014_N!AS39),100*ABS($G39-(Data_2014_N!AS39-$K39)/$M39),0)))</f>
        <v>75</v>
      </c>
      <c r="AZ39" s="161">
        <f>IF($H39=0,0,CHOOSE($H39,SUMPRODUCT($O40:$O$67*AZ40:AZ$67*($E40:$E$67=$D39)),IF(ISNUMBER(Data_2014_N!AT39),100*ABS($G39-(Data_2014_N!AT39-$K39)/$M39),0),IF(ISNUMBER(Data_2014_N!AT39),100*ABS($G39-(Data_2014_N!AT39-$K39)/$M39),0)))</f>
        <v>50</v>
      </c>
      <c r="BA39" s="161">
        <f>IF($H39=0,0,CHOOSE($H39,SUMPRODUCT($O40:$O$67*BA40:BA$67*($E40:$E$67=$D39)),IF(ISNUMBER(Data_2014_N!AU39),100*ABS($G39-(Data_2014_N!AU39-$K39)/$M39),0),IF(ISNUMBER(Data_2014_N!AU39),100*ABS($G39-(Data_2014_N!AU39-$K39)/$M39),0)))</f>
        <v>100</v>
      </c>
      <c r="BB39" s="161">
        <f>IF($H39=0,0,CHOOSE($H39,SUMPRODUCT($O40:$O$67*BB40:BB$67*($E40:$E$67=$D39)),IF(ISNUMBER(Data_2014_N!AV39),100*ABS($G39-(Data_2014_N!AV39-$K39)/$M39),0),IF(ISNUMBER(Data_2014_N!AV39),100*ABS($G39-(Data_2014_N!AV39-$K39)/$M39),0)))</f>
        <v>100</v>
      </c>
      <c r="BC39" s="161">
        <f>IF($H39=0,0,CHOOSE($H39,SUMPRODUCT($O40:$O$67*BC40:BC$67*($E40:$E$67=$D39)),IF(ISNUMBER(Data_2014_N!AW39),100*ABS($G39-(Data_2014_N!AW39-$K39)/$M39),0),IF(ISNUMBER(Data_2014_N!AW39),100*ABS($G39-(Data_2014_N!AW39-$K39)/$M39),0)))</f>
        <v>100</v>
      </c>
      <c r="BD39" s="161">
        <f>IF($H39=0,0,CHOOSE($H39,SUMPRODUCT($O40:$O$67*BD40:BD$67*($E40:$E$67=$D39)),IF(ISNUMBER(Data_2014_N!AX39),100*ABS($G39-(Data_2014_N!AX39-$K39)/$M39),0),IF(ISNUMBER(Data_2014_N!AX39),100*ABS($G39-(Data_2014_N!AX39-$K39)/$M39),0)))</f>
        <v>75</v>
      </c>
      <c r="BE39" s="161">
        <f>IF($H39=0,0,CHOOSE($H39,SUMPRODUCT($O40:$O$67*BE40:BE$67*($E40:$E$67=$D39)),IF(ISNUMBER(Data_2014_N!AY39),100*ABS($G39-(Data_2014_N!AY39-$K39)/$M39),0),IF(ISNUMBER(Data_2014_N!AY39),100*ABS($G39-(Data_2014_N!AY39-$K39)/$M39),0)))</f>
        <v>50</v>
      </c>
      <c r="BF39" s="161">
        <f>IF($H39=0,0,CHOOSE($H39,SUMPRODUCT($O40:$O$67*BF40:BF$67*($E40:$E$67=$D39)),IF(ISNUMBER(Data_2014_N!AZ39),100*ABS($G39-(Data_2014_N!AZ39-$K39)/$M39),0),IF(ISNUMBER(Data_2014_N!AZ39),100*ABS($G39-(Data_2014_N!AZ39-$K39)/$M39),0)))</f>
        <v>100</v>
      </c>
      <c r="BG39" s="161">
        <f>IF($H39=0,0,CHOOSE($H39,SUMPRODUCT($O40:$O$67*BG40:BG$67*($E40:$E$67=$D39)),IF(ISNUMBER(Data_2014_N!BA39),100*ABS($G39-(Data_2014_N!BA39-$K39)/$M39),0),IF(ISNUMBER(Data_2014_N!BA39),100*ABS($G39-(Data_2014_N!BA39-$K39)/$M39),0)))</f>
        <v>100</v>
      </c>
      <c r="BH39" s="161">
        <f>IF($H39=0,0,CHOOSE($H39,SUMPRODUCT($O40:$O$67*BH40:BH$67*($E40:$E$67=$D39)),IF(ISNUMBER(Data_2014_N!BB39),100*ABS($G39-(Data_2014_N!BB39-$K39)/$M39),0),IF(ISNUMBER(Data_2014_N!BB39),100*ABS($G39-(Data_2014_N!BB39-$K39)/$M39),0)))</f>
        <v>100</v>
      </c>
      <c r="BI39" s="161">
        <f>IF($H39=0,0,CHOOSE($H39,SUMPRODUCT($O40:$O$67*BI40:BI$67*($E40:$E$67=$D39)),IF(ISNUMBER(Data_2014_N!BC39),100*ABS($G39-(Data_2014_N!BC39-$K39)/$M39),0),IF(ISNUMBER(Data_2014_N!BC39),100*ABS($G39-(Data_2014_N!BC39-$K39)/$M39),0)))</f>
        <v>100</v>
      </c>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row>
    <row r="40" s="69" customFormat="1" ht="24.95" customHeight="1" spans="1:115">
      <c r="A40" s="92"/>
      <c r="B40" s="92">
        <f>tblIndicators!A36</f>
        <v>35</v>
      </c>
      <c r="C40" s="92">
        <f>tblIndicators!B36</f>
        <v>0</v>
      </c>
      <c r="D40" s="92" t="str">
        <f>tblIndicators!D36</f>
        <v>INSE3.2</v>
      </c>
      <c r="E40" s="92" t="str">
        <f>tblIndicators!E36</f>
        <v>INSE</v>
      </c>
      <c r="F40" s="92">
        <f>tblIndicators!F36</f>
        <v>2</v>
      </c>
      <c r="G40" s="92" t="str">
        <f>tblIndicators!Y36</f>
        <v/>
      </c>
      <c r="H40" s="92">
        <f>tblIndicators!Z36</f>
        <v>1</v>
      </c>
      <c r="I40" s="104">
        <f>tblIndicators!AA36</f>
        <v>0</v>
      </c>
      <c r="J40" s="92">
        <f>tblIndicators!AB36</f>
        <v>0</v>
      </c>
      <c r="K40" s="92" t="str">
        <f>CHOOSE(H40,"-",MIN(Data_2014_N!J40:BC40),I40)</f>
        <v>-</v>
      </c>
      <c r="L40" s="165" t="str">
        <f>CHOOSE(H40,"-",MAX(Data_2014_N!J40:BC40),J40)</f>
        <v>-</v>
      </c>
      <c r="M40" s="92" t="str">
        <f t="shared" si="1"/>
        <v>-</v>
      </c>
      <c r="N40" s="168" t="str">
        <f>REPT(" ",F40)&amp;tblIndicators!AE36</f>
        <v>  3.2) Infrastructure security (Outputs)</v>
      </c>
      <c r="O40" s="169">
        <f>tblIndicators!AD36</f>
        <v>0.5</v>
      </c>
      <c r="P40" s="161">
        <f>IF($H40=0,0,CHOOSE($H40,SUMPRODUCT($O41:$O$67*P41:P$67*($E41:$E$67=$D40)),IF(ISNUMBER(Data_2014_N!J40),100*ABS($G40-(Data_2014_N!J40-$K40)/$M40),0),IF(ISNUMBER(Data_2014_N!J40),100*ABS($G40-(Data_2014_N!J40-$K40)/$M40),0)))</f>
        <v>88.6870700762693</v>
      </c>
      <c r="Q40" s="161">
        <f>IF($H40=0,0,CHOOSE($H40,SUMPRODUCT($O41:$O$67*Q41:Q$67*($E41:$E$67=$D40)),IF(ISNUMBER(Data_2014_N!K40),100*ABS($G40-(Data_2014_N!K40-$K40)/$M40),0),IF(ISNUMBER(Data_2014_N!K40),100*ABS($G40-(Data_2014_N!K40-$K40)/$M40),0)))</f>
        <v>90.8704388103557</v>
      </c>
      <c r="R40" s="161">
        <f>IF($H40=0,0,CHOOSE($H40,SUMPRODUCT($O41:$O$67*R41:R$67*($E41:$E$67=$D40)),IF(ISNUMBER(Data_2014_N!L40),100*ABS($G40-(Data_2014_N!L40-$K40)/$M40),0),IF(ISNUMBER(Data_2014_N!L40),100*ABS($G40-(Data_2014_N!L40-$K40)/$M40),0)))</f>
        <v>62.3482611703134</v>
      </c>
      <c r="S40" s="161">
        <f>IF($H40=0,0,CHOOSE($H40,SUMPRODUCT($O41:$O$67*S41:S$67*($E41:$E$67=$D40)),IF(ISNUMBER(Data_2014_N!M40),100*ABS($G40-(Data_2014_N!M40-$K40)/$M40),0),IF(ISNUMBER(Data_2014_N!M40),100*ABS($G40-(Data_2014_N!M40-$K40)/$M40),0)))</f>
        <v>81.4722668429476</v>
      </c>
      <c r="T40" s="161">
        <f>IF($H40=0,0,CHOOSE($H40,SUMPRODUCT($O41:$O$67*T41:T$67*($E41:$E$67=$D40)),IF(ISNUMBER(Data_2014_N!N40),100*ABS($G40-(Data_2014_N!N40-$K40)/$M40),0),IF(ISNUMBER(Data_2014_N!N40),100*ABS($G40-(Data_2014_N!N40-$K40)/$M40),0)))</f>
        <v>83.6928143647329</v>
      </c>
      <c r="U40" s="161">
        <f>IF($H40=0,0,CHOOSE($H40,SUMPRODUCT($O41:$O$67*U41:U$67*($E41:$E$67=$D40)),IF(ISNUMBER(Data_2014_N!O40),100*ABS($G40-(Data_2014_N!O40-$K40)/$M40),0),IF(ISNUMBER(Data_2014_N!O40),100*ABS($G40-(Data_2014_N!O40-$K40)/$M40),0)))</f>
        <v>85.3855508784142</v>
      </c>
      <c r="V40" s="161">
        <f>IF($H40=0,0,CHOOSE($H40,SUMPRODUCT($O41:$O$67*V41:V$67*($E41:$E$67=$D40)),IF(ISNUMBER(Data_2014_N!P40),100*ABS($G40-(Data_2014_N!P40-$K40)/$M40),0),IF(ISNUMBER(Data_2014_N!P40),100*ABS($G40-(Data_2014_N!P40-$K40)/$M40),0)))</f>
        <v>70.3254139613407</v>
      </c>
      <c r="W40" s="161">
        <f>IF($H40=0,0,CHOOSE($H40,SUMPRODUCT($O41:$O$67*W41:W$67*($E41:$E$67=$D40)),IF(ISNUMBER(Data_2014_N!Q40),100*ABS($G40-(Data_2014_N!Q40-$K40)/$M40),0),IF(ISNUMBER(Data_2014_N!Q40),100*ABS($G40-(Data_2014_N!Q40-$K40)/$M40),0)))</f>
        <v>85.1413980204402</v>
      </c>
      <c r="X40" s="161">
        <f>IF($H40=0,0,CHOOSE($H40,SUMPRODUCT($O41:$O$67*X41:X$67*($E41:$E$67=$D40)),IF(ISNUMBER(Data_2014_N!R40),100*ABS($G40-(Data_2014_N!R40-$K40)/$M40),0),IF(ISNUMBER(Data_2014_N!R40),100*ABS($G40-(Data_2014_N!R40-$K40)/$M40),0)))</f>
        <v>77.3744080459496</v>
      </c>
      <c r="Y40" s="161">
        <f>IF($H40=0,0,CHOOSE($H40,SUMPRODUCT($O41:$O$67*Y41:Y$67*($E41:$E$67=$D40)),IF(ISNUMBER(Data_2014_N!S40),100*ABS($G40-(Data_2014_N!S40-$K40)/$M40),0),IF(ISNUMBER(Data_2014_N!S40),100*ABS($G40-(Data_2014_N!S40-$K40)/$M40),0)))</f>
        <v>86.9743602110755</v>
      </c>
      <c r="Z40" s="161">
        <f>IF($H40=0,0,CHOOSE($H40,SUMPRODUCT($O41:$O$67*Z41:Z$67*($E41:$E$67=$D40)),IF(ISNUMBER(Data_2014_N!T40),100*ABS($G40-(Data_2014_N!T40-$K40)/$M40),0),IF(ISNUMBER(Data_2014_N!T40),100*ABS($G40-(Data_2014_N!T40-$K40)/$M40),0)))</f>
        <v>76.1080198142877</v>
      </c>
      <c r="AA40" s="161">
        <f>IF($H40=0,0,CHOOSE($H40,SUMPRODUCT($O41:$O$67*AA41:AA$67*($E41:$E$67=$D40)),IF(ISNUMBER(Data_2014_N!U40),100*ABS($G40-(Data_2014_N!U40-$K40)/$M40),0),IF(ISNUMBER(Data_2014_N!U40),100*ABS($G40-(Data_2014_N!U40-$K40)/$M40),0)))</f>
        <v>79.8886170922367</v>
      </c>
      <c r="AB40" s="161">
        <f>IF($H40=0,0,CHOOSE($H40,SUMPRODUCT($O41:$O$67*AB41:AB$67*($E41:$E$67=$D40)),IF(ISNUMBER(Data_2014_N!V40),100*ABS($G40-(Data_2014_N!V40-$K40)/$M40),0),IF(ISNUMBER(Data_2014_N!V40),100*ABS($G40-(Data_2014_N!V40-$K40)/$M40),0)))</f>
        <v>70.3403906599702</v>
      </c>
      <c r="AC40" s="161">
        <f>IF($H40=0,0,CHOOSE($H40,SUMPRODUCT($O41:$O$67*AC41:AC$67*($E41:$E$67=$D40)),IF(ISNUMBER(Data_2014_N!W40),100*ABS($G40-(Data_2014_N!W40-$K40)/$M40),0),IF(ISNUMBER(Data_2014_N!W40),100*ABS($G40-(Data_2014_N!W40-$K40)/$M40),0)))</f>
        <v>66.9081163091939</v>
      </c>
      <c r="AD40" s="161">
        <f>IF($H40=0,0,CHOOSE($H40,SUMPRODUCT($O41:$O$67*AD41:AD$67*($E41:$E$67=$D40)),IF(ISNUMBER(Data_2014_N!X40),100*ABS($G40-(Data_2014_N!X40-$K40)/$M40),0),IF(ISNUMBER(Data_2014_N!X40),100*ABS($G40-(Data_2014_N!X40-$K40)/$M40),0)))</f>
        <v>64.7974069746603</v>
      </c>
      <c r="AE40" s="161">
        <f>IF($H40=0,0,CHOOSE($H40,SUMPRODUCT($O41:$O$67*AE41:AE$67*($E41:$E$67=$D40)),IF(ISNUMBER(Data_2014_N!Y40),100*ABS($G40-(Data_2014_N!Y40-$K40)/$M40),0),IF(ISNUMBER(Data_2014_N!Y40),100*ABS($G40-(Data_2014_N!Y40-$K40)/$M40),0)))</f>
        <v>72.2997779926301</v>
      </c>
      <c r="AF40" s="161">
        <f>IF($H40=0,0,CHOOSE($H40,SUMPRODUCT($O41:$O$67*AF41:AF$67*($E41:$E$67=$D40)),IF(ISNUMBER(Data_2014_N!Z40),100*ABS($G40-(Data_2014_N!Z40-$K40)/$M40),0),IF(ISNUMBER(Data_2014_N!Z40),100*ABS($G40-(Data_2014_N!Z40-$K40)/$M40),0)))</f>
        <v>88.6698090639235</v>
      </c>
      <c r="AG40" s="161">
        <f>IF($H40=0,0,CHOOSE($H40,SUMPRODUCT($O41:$O$67*AG41:AG$67*($E41:$E$67=$D40)),IF(ISNUMBER(Data_2014_N!AA40),100*ABS($G40-(Data_2014_N!AA40-$K40)/$M40),0),IF(ISNUMBER(Data_2014_N!AA40),100*ABS($G40-(Data_2014_N!AA40-$K40)/$M40),0)))</f>
        <v>74.3328953266908</v>
      </c>
      <c r="AH40" s="161">
        <f>IF($H40=0,0,CHOOSE($H40,SUMPRODUCT($O41:$O$67*AH41:AH$67*($E41:$E$67=$D40)),IF(ISNUMBER(Data_2014_N!AB40),100*ABS($G40-(Data_2014_N!AB40-$K40)/$M40),0),IF(ISNUMBER(Data_2014_N!AB40),100*ABS($G40-(Data_2014_N!AB40-$K40)/$M40),0)))</f>
        <v>70.484624063991</v>
      </c>
      <c r="AI40" s="161">
        <f>IF($H40=0,0,CHOOSE($H40,SUMPRODUCT($O41:$O$67*AI41:AI$67*($E41:$E$67=$D40)),IF(ISNUMBER(Data_2014_N!AC40),100*ABS($G40-(Data_2014_N!AC40-$K40)/$M40),0),IF(ISNUMBER(Data_2014_N!AC40),100*ABS($G40-(Data_2014_N!AC40-$K40)/$M40),0)))</f>
        <v>84.3215817881824</v>
      </c>
      <c r="AJ40" s="161">
        <f>IF($H40=0,0,CHOOSE($H40,SUMPRODUCT($O41:$O$67*AJ41:AJ$67*($E41:$E$67=$D40)),IF(ISNUMBER(Data_2014_N!AD40),100*ABS($G40-(Data_2014_N!AD40-$K40)/$M40),0),IF(ISNUMBER(Data_2014_N!AD40),100*ABS($G40-(Data_2014_N!AD40-$K40)/$M40),0)))</f>
        <v>74.0926383638496</v>
      </c>
      <c r="AK40" s="161">
        <f>IF($H40=0,0,CHOOSE($H40,SUMPRODUCT($O41:$O$67*AK41:AK$67*($E41:$E$67=$D40)),IF(ISNUMBER(Data_2014_N!AE40),100*ABS($G40-(Data_2014_N!AE40-$K40)/$M40),0),IF(ISNUMBER(Data_2014_N!AE40),100*ABS($G40-(Data_2014_N!AE40-$K40)/$M40),0)))</f>
        <v>91.2862352426985</v>
      </c>
      <c r="AL40" s="161">
        <f>IF($H40=0,0,CHOOSE($H40,SUMPRODUCT($O41:$O$67*AL41:AL$67*($E41:$E$67=$D40)),IF(ISNUMBER(Data_2014_N!AF40),100*ABS($G40-(Data_2014_N!AF40-$K40)/$M40),0),IF(ISNUMBER(Data_2014_N!AF40),100*ABS($G40-(Data_2014_N!AF40-$K40)/$M40),0)))</f>
        <v>52.6856385293433</v>
      </c>
      <c r="AM40" s="161">
        <f>IF($H40=0,0,CHOOSE($H40,SUMPRODUCT($O41:$O$67*AM41:AM$67*($E41:$E$67=$D40)),IF(ISNUMBER(Data_2014_N!AG40),100*ABS($G40-(Data_2014_N!AG40-$K40)/$M40),0),IF(ISNUMBER(Data_2014_N!AG40),100*ABS($G40-(Data_2014_N!AG40-$K40)/$M40),0)))</f>
        <v>75.4845094573818</v>
      </c>
      <c r="AN40" s="161">
        <f>IF($H40=0,0,CHOOSE($H40,SUMPRODUCT($O41:$O$67*AN41:AN$67*($E41:$E$67=$D40)),IF(ISNUMBER(Data_2014_N!AH40),100*ABS($G40-(Data_2014_N!AH40-$K40)/$M40),0),IF(ISNUMBER(Data_2014_N!AH40),100*ABS($G40-(Data_2014_N!AH40-$K40)/$M40),0)))</f>
        <v>68.142170967553</v>
      </c>
      <c r="AO40" s="161">
        <f>IF($H40=0,0,CHOOSE($H40,SUMPRODUCT($O41:$O$67*AO41:AO$67*($E41:$E$67=$D40)),IF(ISNUMBER(Data_2014_N!AI40),100*ABS($G40-(Data_2014_N!AI40-$K40)/$M40),0),IF(ISNUMBER(Data_2014_N!AI40),100*ABS($G40-(Data_2014_N!AI40-$K40)/$M40),0)))</f>
        <v>76.7935683607314</v>
      </c>
      <c r="AP40" s="161">
        <f>IF($H40=0,0,CHOOSE($H40,SUMPRODUCT($O41:$O$67*AP41:AP$67*($E41:$E$67=$D40)),IF(ISNUMBER(Data_2014_N!AJ40),100*ABS($G40-(Data_2014_N!AJ40-$K40)/$M40),0),IF(ISNUMBER(Data_2014_N!AJ40),100*ABS($G40-(Data_2014_N!AJ40-$K40)/$M40),0)))</f>
        <v>82.2616420851969</v>
      </c>
      <c r="AQ40" s="161">
        <f>IF($H40=0,0,CHOOSE($H40,SUMPRODUCT($O41:$O$67*AQ41:AQ$67*($E41:$E$67=$D40)),IF(ISNUMBER(Data_2014_N!AK40),100*ABS($G40-(Data_2014_N!AK40-$K40)/$M40),0),IF(ISNUMBER(Data_2014_N!AK40),100*ABS($G40-(Data_2014_N!AK40-$K40)/$M40),0)))</f>
        <v>80.7709477311035</v>
      </c>
      <c r="AR40" s="161">
        <f>IF($H40=0,0,CHOOSE($H40,SUMPRODUCT($O41:$O$67*AR41:AR$67*($E41:$E$67=$D40)),IF(ISNUMBER(Data_2014_N!AL40),100*ABS($G40-(Data_2014_N!AL40-$K40)/$M40),0),IF(ISNUMBER(Data_2014_N!AL40),100*ABS($G40-(Data_2014_N!AL40-$K40)/$M40),0)))</f>
        <v>83.1857391185755</v>
      </c>
      <c r="AS40" s="161">
        <f>IF($H40=0,0,CHOOSE($H40,SUMPRODUCT($O41:$O$67*AS41:AS$67*($E41:$E$67=$D40)),IF(ISNUMBER(Data_2014_N!AM40),100*ABS($G40-(Data_2014_N!AM40-$K40)/$M40),0),IF(ISNUMBER(Data_2014_N!AM40),100*ABS($G40-(Data_2014_N!AM40-$K40)/$M40),0)))</f>
        <v>81.0717889554613</v>
      </c>
      <c r="AT40" s="161">
        <f>IF($H40=0,0,CHOOSE($H40,SUMPRODUCT($O41:$O$67*AT41:AT$67*($E41:$E$67=$D40)),IF(ISNUMBER(Data_2014_N!AN40),100*ABS($G40-(Data_2014_N!AN40-$K40)/$M40),0),IF(ISNUMBER(Data_2014_N!AN40),100*ABS($G40-(Data_2014_N!AN40-$K40)/$M40),0)))</f>
        <v>75.6761306272433</v>
      </c>
      <c r="AU40" s="161">
        <f>IF($H40=0,0,CHOOSE($H40,SUMPRODUCT($O41:$O$67*AU41:AU$67*($E41:$E$67=$D40)),IF(ISNUMBER(Data_2014_N!AO40),100*ABS($G40-(Data_2014_N!AO40-$K40)/$M40),0),IF(ISNUMBER(Data_2014_N!AO40),100*ABS($G40-(Data_2014_N!AO40-$K40)/$M40),0)))</f>
        <v>77.6088828797816</v>
      </c>
      <c r="AV40" s="161">
        <f>IF($H40=0,0,CHOOSE($H40,SUMPRODUCT($O41:$O$67*AV41:AV$67*($E41:$E$67=$D40)),IF(ISNUMBER(Data_2014_N!AP40),100*ABS($G40-(Data_2014_N!AP40-$K40)/$M40),0),IF(ISNUMBER(Data_2014_N!AP40),100*ABS($G40-(Data_2014_N!AP40-$K40)/$M40),0)))</f>
        <v>85.8959966303523</v>
      </c>
      <c r="AW40" s="161">
        <f>IF($H40=0,0,CHOOSE($H40,SUMPRODUCT($O41:$O$67*AW41:AW$67*($E41:$E$67=$D40)),IF(ISNUMBER(Data_2014_N!AQ40),100*ABS($G40-(Data_2014_N!AQ40-$K40)/$M40),0),IF(ISNUMBER(Data_2014_N!AQ40),100*ABS($G40-(Data_2014_N!AQ40-$K40)/$M40),0)))</f>
        <v>84.3596194334703</v>
      </c>
      <c r="AX40" s="161">
        <f>IF($H40=0,0,CHOOSE($H40,SUMPRODUCT($O41:$O$67*AX41:AX$67*($E41:$E$67=$D40)),IF(ISNUMBER(Data_2014_N!AR40),100*ABS($G40-(Data_2014_N!AR40-$K40)/$M40),0),IF(ISNUMBER(Data_2014_N!AR40),100*ABS($G40-(Data_2014_N!AR40-$K40)/$M40),0)))</f>
        <v>78.6234915853744</v>
      </c>
      <c r="AY40" s="161">
        <f>IF($H40=0,0,CHOOSE($H40,SUMPRODUCT($O41:$O$67*AY41:AY$67*($E41:$E$67=$D40)),IF(ISNUMBER(Data_2014_N!AS40),100*ABS($G40-(Data_2014_N!AS40-$K40)/$M40),0),IF(ISNUMBER(Data_2014_N!AS40),100*ABS($G40-(Data_2014_N!AS40-$K40)/$M40),0)))</f>
        <v>89.4647995264907</v>
      </c>
      <c r="AZ40" s="161">
        <f>IF($H40=0,0,CHOOSE($H40,SUMPRODUCT($O41:$O$67*AZ41:AZ$67*($E41:$E$67=$D40)),IF(ISNUMBER(Data_2014_N!AT40),100*ABS($G40-(Data_2014_N!AT40-$K40)/$M40),0),IF(ISNUMBER(Data_2014_N!AT40),100*ABS($G40-(Data_2014_N!AT40-$K40)/$M40),0)))</f>
        <v>82.1756556802581</v>
      </c>
      <c r="BA40" s="161">
        <f>IF($H40=0,0,CHOOSE($H40,SUMPRODUCT($O41:$O$67*BA41:BA$67*($E41:$E$67=$D40)),IF(ISNUMBER(Data_2014_N!AU40),100*ABS($G40-(Data_2014_N!AU40-$K40)/$M40),0),IF(ISNUMBER(Data_2014_N!AU40),100*ABS($G40-(Data_2014_N!AU40-$K40)/$M40),0)))</f>
        <v>85.0063256674055</v>
      </c>
      <c r="BB40" s="161">
        <f>IF($H40=0,0,CHOOSE($H40,SUMPRODUCT($O41:$O$67*BB41:BB$67*($E41:$E$67=$D40)),IF(ISNUMBER(Data_2014_N!AV40),100*ABS($G40-(Data_2014_N!AV40-$K40)/$M40),0),IF(ISNUMBER(Data_2014_N!AV40),100*ABS($G40-(Data_2014_N!AV40-$K40)/$M40),0)))</f>
        <v>93.0955750098299</v>
      </c>
      <c r="BC40" s="161">
        <f>IF($H40=0,0,CHOOSE($H40,SUMPRODUCT($O41:$O$67*BC41:BC$67*($E41:$E$67=$D40)),IF(ISNUMBER(Data_2014_N!AW40),100*ABS($G40-(Data_2014_N!AW40-$K40)/$M40),0),IF(ISNUMBER(Data_2014_N!AW40),100*ABS($G40-(Data_2014_N!AW40-$K40)/$M40),0)))</f>
        <v>89.8743996984933</v>
      </c>
      <c r="BD40" s="161">
        <f>IF($H40=0,0,CHOOSE($H40,SUMPRODUCT($O41:$O$67*BD41:BD$67*($E41:$E$67=$D40)),IF(ISNUMBER(Data_2014_N!AX40),100*ABS($G40-(Data_2014_N!AX40-$K40)/$M40),0),IF(ISNUMBER(Data_2014_N!AX40),100*ABS($G40-(Data_2014_N!AX40-$K40)/$M40),0)))</f>
        <v>94.8322886601495</v>
      </c>
      <c r="BE40" s="161">
        <f>IF($H40=0,0,CHOOSE($H40,SUMPRODUCT($O41:$O$67*BE41:BE$67*($E41:$E$67=$D40)),IF(ISNUMBER(Data_2014_N!AY40),100*ABS($G40-(Data_2014_N!AY40-$K40)/$M40),0),IF(ISNUMBER(Data_2014_N!AY40),100*ABS($G40-(Data_2014_N!AY40-$K40)/$M40),0)))</f>
        <v>85.9285427472831</v>
      </c>
      <c r="BF40" s="161">
        <f>IF($H40=0,0,CHOOSE($H40,SUMPRODUCT($O41:$O$67*BF41:BF$67*($E41:$E$67=$D40)),IF(ISNUMBER(Data_2014_N!AZ40),100*ABS($G40-(Data_2014_N!AZ40-$K40)/$M40),0),IF(ISNUMBER(Data_2014_N!AZ40),100*ABS($G40-(Data_2014_N!AZ40-$K40)/$M40),0)))</f>
        <v>87.2985831508032</v>
      </c>
      <c r="BG40" s="161">
        <f>IF($H40=0,0,CHOOSE($H40,SUMPRODUCT($O41:$O$67*BG41:BG$67*($E41:$E$67=$D40)),IF(ISNUMBER(Data_2014_N!BA40),100*ABS($G40-(Data_2014_N!BA40-$K40)/$M40),0),IF(ISNUMBER(Data_2014_N!BA40),100*ABS($G40-(Data_2014_N!BA40-$K40)/$M40),0)))</f>
        <v>88.1432753148852</v>
      </c>
      <c r="BH40" s="161">
        <f>IF($H40=0,0,CHOOSE($H40,SUMPRODUCT($O41:$O$67*BH41:BH$67*($E41:$E$67=$D40)),IF(ISNUMBER(Data_2014_N!BB40),100*ABS($G40-(Data_2014_N!BB40-$K40)/$M40),0),IF(ISNUMBER(Data_2014_N!BB40),100*ABS($G40-(Data_2014_N!BB40-$K40)/$M40),0)))</f>
        <v>71.2417596351883</v>
      </c>
      <c r="BI40" s="161">
        <f>IF($H40=0,0,CHOOSE($H40,SUMPRODUCT($O41:$O$67*BI41:BI$67*($E41:$E$67=$D40)),IF(ISNUMBER(Data_2014_N!BC40),100*ABS($G40-(Data_2014_N!BC40-$K40)/$M40),0),IF(ISNUMBER(Data_2014_N!BC40),100*ABS($G40-(Data_2014_N!BC40-$K40)/$M40),0)))</f>
        <v>93.0477591089421</v>
      </c>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row>
    <row r="41" s="69" customFormat="1" ht="24.95" customHeight="1" spans="1:115">
      <c r="A41" s="92"/>
      <c r="B41" s="92">
        <f>tblIndicators!A37</f>
        <v>36</v>
      </c>
      <c r="C41" s="92">
        <f>tblIndicators!B37</f>
        <v>0</v>
      </c>
      <c r="D41" s="92" t="str">
        <f>tblIndicators!D37</f>
        <v>INSE3.2.1</v>
      </c>
      <c r="E41" s="92" t="str">
        <f>tblIndicators!E37</f>
        <v>INSE3.2</v>
      </c>
      <c r="F41" s="92">
        <f>tblIndicators!F37</f>
        <v>3</v>
      </c>
      <c r="G41" s="92">
        <f>tblIndicators!Y37</f>
        <v>1</v>
      </c>
      <c r="H41" s="92">
        <f>tblIndicators!Z37</f>
        <v>2</v>
      </c>
      <c r="I41" s="104">
        <f>tblIndicators!AA37</f>
        <v>0</v>
      </c>
      <c r="J41" s="92">
        <f>tblIndicators!AB37</f>
        <v>0</v>
      </c>
      <c r="K41" s="92">
        <f>CHOOSE(H41,"-",MIN(Data_2014_N!J41:BC41),I41)</f>
        <v>0</v>
      </c>
      <c r="L41" s="165">
        <f>CHOOSE(H41,"-",MAX(Data_2014_N!J41:BC41),J41)</f>
        <v>2113.64705882353</v>
      </c>
      <c r="M41" s="92">
        <f t="shared" si="1"/>
        <v>2113.64705882353</v>
      </c>
      <c r="N41" s="168" t="str">
        <f>REPT(" ",F41)&amp;tblIndicators!AE37</f>
        <v>   3.2.1) Deaths from natural disaster</v>
      </c>
      <c r="O41" s="169">
        <f>tblIndicators!AD37</f>
        <v>0.2</v>
      </c>
      <c r="P41" s="161">
        <f>IF($H41=0,0,CHOOSE($H41,SUMPRODUCT($O42:$O$67*P42:P$67*($E42:$E$67=$D41)),IF(ISNUMBER(Data_2014_N!J41),100*ABS($G41-(Data_2014_N!J41-$K41)/$M41),0),IF(ISNUMBER(Data_2014_N!J41),100*ABS($G41-(Data_2014_N!J41-$K41)/$M41),0)))</f>
        <v>100</v>
      </c>
      <c r="Q41" s="161">
        <f>IF($H41=0,0,CHOOSE($H41,SUMPRODUCT($O42:$O$67*Q42:Q$67*($E42:$E$67=$D41)),IF(ISNUMBER(Data_2014_N!K41),100*ABS($G41-(Data_2014_N!K41-$K41)/$M41),0),IF(ISNUMBER(Data_2014_N!K41),100*ABS($G41-(Data_2014_N!K41-$K41)/$M41),0)))</f>
        <v>94.0269119447846</v>
      </c>
      <c r="R41" s="161">
        <f>IF($H41=0,0,CHOOSE($H41,SUMPRODUCT($O42:$O$67*R42:R$67*($E42:$E$67=$D41)),IF(ISNUMBER(Data_2014_N!L41),100*ABS($G41-(Data_2014_N!L41-$K41)/$M41),0),IF(ISNUMBER(Data_2014_N!L41),100*ABS($G41-(Data_2014_N!L41-$K41)/$M41),0)))</f>
        <v>96.5766686280434</v>
      </c>
      <c r="S41" s="161">
        <f>IF($H41=0,0,CHOOSE($H41,SUMPRODUCT($O42:$O$67*S42:S$67*($E42:$E$67=$D41)),IF(ISNUMBER(Data_2014_N!M41),100*ABS($G41-(Data_2014_N!M41-$K41)/$M41),0),IF(ISNUMBER(Data_2014_N!M41),100*ABS($G41-(Data_2014_N!M41-$K41)/$M41),0)))</f>
        <v>99.5899662325133</v>
      </c>
      <c r="T41" s="161">
        <f>IF($H41=0,0,CHOOSE($H41,SUMPRODUCT($O42:$O$67*T42:T$67*($E42:$E$67=$D41)),IF(ISNUMBER(Data_2014_N!N41),100*ABS($G41-(Data_2014_N!N41-$K41)/$M41),0),IF(ISNUMBER(Data_2014_N!N41),100*ABS($G41-(Data_2014_N!N41-$K41)/$M41),0)))</f>
        <v>99.8261574187936</v>
      </c>
      <c r="U41" s="161">
        <f>IF($H41=0,0,CHOOSE($H41,SUMPRODUCT($O42:$O$67*U42:U$67*($E42:$E$67=$D41)),IF(ISNUMBER(Data_2014_N!O41),100*ABS($G41-(Data_2014_N!O41-$K41)/$M41),0),IF(ISNUMBER(Data_2014_N!O41),100*ABS($G41-(Data_2014_N!O41-$K41)/$M41),0)))</f>
        <v>95.8838917956139</v>
      </c>
      <c r="V41" s="161">
        <f>IF($H41=0,0,CHOOSE($H41,SUMPRODUCT($O42:$O$67*V42:V$67*($E42:$E$67=$D41)),IF(ISNUMBER(Data_2014_N!P41),100*ABS($G41-(Data_2014_N!P41-$K41)/$M41),0),IF(ISNUMBER(Data_2014_N!P41),100*ABS($G41-(Data_2014_N!P41-$K41)/$M41),0)))</f>
        <v>99.710025747559</v>
      </c>
      <c r="W41" s="161">
        <f>IF($H41=0,0,CHOOSE($H41,SUMPRODUCT($O42:$O$67*W42:W$67*($E42:$E$67=$D41)),IF(ISNUMBER(Data_2014_N!Q41),100*ABS($G41-(Data_2014_N!Q41-$K41)/$M41),0),IF(ISNUMBER(Data_2014_N!Q41),100*ABS($G41-(Data_2014_N!Q41-$K41)/$M41),0)))</f>
        <v>99.3203860207402</v>
      </c>
      <c r="X41" s="161">
        <f>IF($H41=0,0,CHOOSE($H41,SUMPRODUCT($O42:$O$67*X42:X$67*($E42:$E$67=$D41)),IF(ISNUMBER(Data_2014_N!R41),100*ABS($G41-(Data_2014_N!R41-$K41)/$M41),0),IF(ISNUMBER(Data_2014_N!R41),100*ABS($G41-(Data_2014_N!R41-$K41)/$M41),0)))</f>
        <v>97.335411332517</v>
      </c>
      <c r="Y41" s="161">
        <f>IF($H41=0,0,CHOOSE($H41,SUMPRODUCT($O42:$O$67*Y42:Y$67*($E42:$E$67=$D41)),IF(ISNUMBER(Data_2014_N!S41),100*ABS($G41-(Data_2014_N!S41-$K41)/$M41),0),IF(ISNUMBER(Data_2014_N!S41),100*ABS($G41-(Data_2014_N!S41-$K41)/$M41),0)))</f>
        <v>100</v>
      </c>
      <c r="Z41" s="161">
        <f>IF($H41=0,0,CHOOSE($H41,SUMPRODUCT($O42:$O$67*Z42:Z$67*($E42:$E$67=$D41)),IF(ISNUMBER(Data_2014_N!T41),100*ABS($G41-(Data_2014_N!T41-$K41)/$M41),0),IF(ISNUMBER(Data_2014_N!T41),100*ABS($G41-(Data_2014_N!T41-$K41)/$M41),0)))</f>
        <v>99.211473524064</v>
      </c>
      <c r="AA41" s="161">
        <f>IF($H41=0,0,CHOOSE($H41,SUMPRODUCT($O42:$O$67*AA42:AA$67*($E42:$E$67=$D41)),IF(ISNUMBER(Data_2014_N!U41),100*ABS($G41-(Data_2014_N!U41-$K41)/$M41),0),IF(ISNUMBER(Data_2014_N!U41),100*ABS($G41-(Data_2014_N!U41-$K41)/$M41),0)))</f>
        <v>98.4807723230299</v>
      </c>
      <c r="AB41" s="161">
        <f>IF($H41=0,0,CHOOSE($H41,SUMPRODUCT($O42:$O$67*AB42:AB$67*($E42:$E$67=$D41)),IF(ISNUMBER(Data_2014_N!V41),100*ABS($G41-(Data_2014_N!V41-$K41)/$M41),0),IF(ISNUMBER(Data_2014_N!V41),100*ABS($G41-(Data_2014_N!V41-$K41)/$M41),0)))</f>
        <v>100</v>
      </c>
      <c r="AC41" s="161">
        <f>IF($H41=0,0,CHOOSE($H41,SUMPRODUCT($O42:$O$67*AC42:AC$67*($E42:$E$67=$D41)),IF(ISNUMBER(Data_2014_N!W41),100*ABS($G41-(Data_2014_N!W41-$K41)/$M41),0),IF(ISNUMBER(Data_2014_N!W41),100*ABS($G41-(Data_2014_N!W41-$K41)/$M41),0)))</f>
        <v>99.6251466445166</v>
      </c>
      <c r="AD41" s="161">
        <f>IF($H41=0,0,CHOOSE($H41,SUMPRODUCT($O42:$O$67*AD42:AD$67*($E42:$E$67=$D41)),IF(ISNUMBER(Data_2014_N!X41),100*ABS($G41-(Data_2014_N!X41-$K41)/$M41),0),IF(ISNUMBER(Data_2014_N!X41),100*ABS($G41-(Data_2014_N!X41-$K41)/$M41),0)))</f>
        <v>0</v>
      </c>
      <c r="AE41" s="161">
        <f>IF($H41=0,0,CHOOSE($H41,SUMPRODUCT($O42:$O$67*AE42:AE$67*($E42:$E$67=$D41)),IF(ISNUMBER(Data_2014_N!Y41),100*ABS($G41-(Data_2014_N!Y41-$K41)/$M41),0),IF(ISNUMBER(Data_2014_N!Y41),100*ABS($G41-(Data_2014_N!Y41-$K41)/$M41),0)))</f>
        <v>99.6559157195915</v>
      </c>
      <c r="AF41" s="161">
        <f>IF($H41=0,0,CHOOSE($H41,SUMPRODUCT($O42:$O$67*AF42:AF$67*($E42:$E$67=$D41)),IF(ISNUMBER(Data_2014_N!Z41),100*ABS($G41-(Data_2014_N!Z41-$K41)/$M41),0),IF(ISNUMBER(Data_2014_N!Z41),100*ABS($G41-(Data_2014_N!Z41-$K41)/$M41),0)))</f>
        <v>100</v>
      </c>
      <c r="AG41" s="161">
        <f>IF($H41=0,0,CHOOSE($H41,SUMPRODUCT($O42:$O$67*AG42:AG$67*($E42:$E$67=$D41)),IF(ISNUMBER(Data_2014_N!AA41),100*ABS($G41-(Data_2014_N!AA41-$K41)/$M41),0),IF(ISNUMBER(Data_2014_N!AA41),100*ABS($G41-(Data_2014_N!AA41-$K41)/$M41),0)))</f>
        <v>98.6851779459392</v>
      </c>
      <c r="AH41" s="161">
        <f>IF($H41=0,0,CHOOSE($H41,SUMPRODUCT($O42:$O$67*AH42:AH$67*($E42:$E$67=$D41)),IF(ISNUMBER(Data_2014_N!AB41),100*ABS($G41-(Data_2014_N!AB41-$K41)/$M41),0),IF(ISNUMBER(Data_2014_N!AB41),100*ABS($G41-(Data_2014_N!AB41-$K41)/$M41),0)))</f>
        <v>99.5325164464094</v>
      </c>
      <c r="AI41" s="161">
        <f>IF($H41=0,0,CHOOSE($H41,SUMPRODUCT($O42:$O$67*AI42:AI$67*($E42:$E$67=$D41)),IF(ISNUMBER(Data_2014_N!AC41),100*ABS($G41-(Data_2014_N!AC41-$K41)/$M41),0),IF(ISNUMBER(Data_2014_N!AC41),100*ABS($G41-(Data_2014_N!AC41-$K41)/$M41),0)))</f>
        <v>99.8344094400534</v>
      </c>
      <c r="AJ41" s="161">
        <f>IF($H41=0,0,CHOOSE($H41,SUMPRODUCT($O42:$O$67*AJ42:AJ$67*($E42:$E$67=$D41)),IF(ISNUMBER(Data_2014_N!AD41),100*ABS($G41-(Data_2014_N!AD41-$K41)/$M41),0),IF(ISNUMBER(Data_2014_N!AD41),100*ABS($G41-(Data_2014_N!AD41-$K41)/$M41),0)))</f>
        <v>99.7949831162566</v>
      </c>
      <c r="AK41" s="161">
        <f>IF($H41=0,0,CHOOSE($H41,SUMPRODUCT($O42:$O$67*AK42:AK$67*($E42:$E$67=$D41)),IF(ISNUMBER(Data_2014_N!AE41),100*ABS($G41-(Data_2014_N!AE41-$K41)/$M41),0),IF(ISNUMBER(Data_2014_N!AE41),100*ABS($G41-(Data_2014_N!AE41-$K41)/$M41),0)))</f>
        <v>98.2466881888011</v>
      </c>
      <c r="AL41" s="161">
        <f>IF($H41=0,0,CHOOSE($H41,SUMPRODUCT($O42:$O$67*AL42:AL$67*($E42:$E$67=$D41)),IF(ISNUMBER(Data_2014_N!AF41),100*ABS($G41-(Data_2014_N!AF41-$K41)/$M41),0),IF(ISNUMBER(Data_2014_N!AF41),100*ABS($G41-(Data_2014_N!AF41-$K41)/$M41),0)))</f>
        <v>99.7918290103529</v>
      </c>
      <c r="AM41" s="161">
        <f>IF($H41=0,0,CHOOSE($H41,SUMPRODUCT($O42:$O$67*AM42:AM$67*($E42:$E$67=$D41)),IF(ISNUMBER(Data_2014_N!AG41),100*ABS($G41-(Data_2014_N!AG41-$K41)/$M41),0),IF(ISNUMBER(Data_2014_N!AG41),100*ABS($G41-(Data_2014_N!AG41-$K41)/$M41),0)))</f>
        <v>98.1803235170707</v>
      </c>
      <c r="AN41" s="161">
        <f>IF($H41=0,0,CHOOSE($H41,SUMPRODUCT($O42:$O$67*AN42:AN$67*($E42:$E$67=$D41)),IF(ISNUMBER(Data_2014_N!AH41),100*ABS($G41-(Data_2014_N!AH41-$K41)/$M41),0),IF(ISNUMBER(Data_2014_N!AH41),100*ABS($G41-(Data_2014_N!AH41-$K41)/$M41),0)))</f>
        <v>77.7398975843259</v>
      </c>
      <c r="AO41" s="161">
        <f>IF($H41=0,0,CHOOSE($H41,SUMPRODUCT($O42:$O$67*AO42:AO$67*($E42:$E$67=$D41)),IF(ISNUMBER(Data_2014_N!AI41),100*ABS($G41-(Data_2014_N!AI41-$K41)/$M41),0),IF(ISNUMBER(Data_2014_N!AI41),100*ABS($G41-(Data_2014_N!AI41-$K41)/$M41),0)))</f>
        <v>100</v>
      </c>
      <c r="AP41" s="161">
        <f>IF($H41=0,0,CHOOSE($H41,SUMPRODUCT($O42:$O$67*AP42:AP$67*($E42:$E$67=$D41)),IF(ISNUMBER(Data_2014_N!AJ41),100*ABS($G41-(Data_2014_N!AJ41-$K41)/$M41),0),IF(ISNUMBER(Data_2014_N!AJ41),100*ABS($G41-(Data_2014_N!AJ41-$K41)/$M41),0)))</f>
        <v>99.8760886966386</v>
      </c>
      <c r="AQ41" s="161">
        <f>IF($H41=0,0,CHOOSE($H41,SUMPRODUCT($O42:$O$67*AQ42:AQ$67*($E42:$E$67=$D41)),IF(ISNUMBER(Data_2014_N!AK41),100*ABS($G41-(Data_2014_N!AK41-$K41)/$M41),0),IF(ISNUMBER(Data_2014_N!AK41),100*ABS($G41-(Data_2014_N!AK41-$K41)/$M41),0)))</f>
        <v>62.2975582230036</v>
      </c>
      <c r="AR41" s="161">
        <f>IF($H41=0,0,CHOOSE($H41,SUMPRODUCT($O42:$O$67*AR42:AR$67*($E42:$E$67=$D41)),IF(ISNUMBER(Data_2014_N!AL41),100*ABS($G41-(Data_2014_N!AL41-$K41)/$M41),0),IF(ISNUMBER(Data_2014_N!AL41),100*ABS($G41-(Data_2014_N!AL41-$K41)/$M41),0)))</f>
        <v>99.2690359568073</v>
      </c>
      <c r="AS41" s="161">
        <f>IF($H41=0,0,CHOOSE($H41,SUMPRODUCT($O42:$O$67*AS42:AS$67*($E42:$E$67=$D41)),IF(ISNUMBER(Data_2014_N!AM41),100*ABS($G41-(Data_2014_N!AM41-$K41)/$M41),0),IF(ISNUMBER(Data_2014_N!AM41),100*ABS($G41-(Data_2014_N!AM41-$K41)/$M41),0)))</f>
        <v>98.3608583492353</v>
      </c>
      <c r="AT41" s="161">
        <f>IF($H41=0,0,CHOOSE($H41,SUMPRODUCT($O42:$O$67*AT42:AT$67*($E42:$E$67=$D41)),IF(ISNUMBER(Data_2014_N!AN41),100*ABS($G41-(Data_2014_N!AN41-$K41)/$M41),0),IF(ISNUMBER(Data_2014_N!AN41),100*ABS($G41-(Data_2014_N!AN41-$K41)/$M41),0)))</f>
        <v>99.9695854073568</v>
      </c>
      <c r="AU41" s="161">
        <f>IF($H41=0,0,CHOOSE($H41,SUMPRODUCT($O42:$O$67*AU42:AU$67*($E42:$E$67=$D41)),IF(ISNUMBER(Data_2014_N!AO41),100*ABS($G41-(Data_2014_N!AO41-$K41)/$M41),0),IF(ISNUMBER(Data_2014_N!AO41),100*ABS($G41-(Data_2014_N!AO41-$K41)/$M41),0)))</f>
        <v>99.0901617585354</v>
      </c>
      <c r="AV41" s="161">
        <f>IF($H41=0,0,CHOOSE($H41,SUMPRODUCT($O42:$O$67*AV42:AV$67*($E42:$E$67=$D41)),IF(ISNUMBER(Data_2014_N!AP41),100*ABS($G41-(Data_2014_N!AP41-$K41)/$M41),0),IF(ISNUMBER(Data_2014_N!AP41),100*ABS($G41-(Data_2014_N!AP41-$K41)/$M41),0)))</f>
        <v>99.1720472002672</v>
      </c>
      <c r="AW41" s="161">
        <f>IF($H41=0,0,CHOOSE($H41,SUMPRODUCT($O42:$O$67*AW42:AW$67*($E42:$E$67=$D41)),IF(ISNUMBER(Data_2014_N!AQ41),100*ABS($G41-(Data_2014_N!AQ41-$K41)/$M41),0),IF(ISNUMBER(Data_2014_N!AQ41),100*ABS($G41-(Data_2014_N!AQ41-$K41)/$M41),0)))</f>
        <v>99.5404017111687</v>
      </c>
      <c r="AX41" s="161">
        <f>IF($H41=0,0,CHOOSE($H41,SUMPRODUCT($O42:$O$67*AX42:AX$67*($E42:$E$67=$D41)),IF(ISNUMBER(Data_2014_N!AR41),100*ABS($G41-(Data_2014_N!AR41-$K41)/$M41),0),IF(ISNUMBER(Data_2014_N!AR41),100*ABS($G41-(Data_2014_N!AR41-$K41)/$M41),0)))</f>
        <v>91.3262087647037</v>
      </c>
      <c r="AY41" s="161">
        <f>IF($H41=0,0,CHOOSE($H41,SUMPRODUCT($O42:$O$67*AY42:AY$67*($E42:$E$67=$D41)),IF(ISNUMBER(Data_2014_N!AS41),100*ABS($G41-(Data_2014_N!AS41-$K41)/$M41),0),IF(ISNUMBER(Data_2014_N!AS41),100*ABS($G41-(Data_2014_N!AS41-$K41)/$M41),0)))</f>
        <v>99.8654866599874</v>
      </c>
      <c r="AZ41" s="161">
        <f>IF($H41=0,0,CHOOSE($H41,SUMPRODUCT($O42:$O$67*AZ42:AZ$67*($E42:$E$67=$D41)),IF(ISNUMBER(Data_2014_N!AT41),100*ABS($G41-(Data_2014_N!AT41-$K41)/$M41),0),IF(ISNUMBER(Data_2014_N!AT41),100*ABS($G41-(Data_2014_N!AT41-$K41)/$M41),0)))</f>
        <v>99.9921637120404</v>
      </c>
      <c r="BA41" s="161">
        <f>IF($H41=0,0,CHOOSE($H41,SUMPRODUCT($O42:$O$67*BA42:BA$67*($E42:$E$67=$D41)),IF(ISNUMBER(Data_2014_N!AU41),100*ABS($G41-(Data_2014_N!AU41-$K41)/$M41),0),IF(ISNUMBER(Data_2014_N!AU41),100*ABS($G41-(Data_2014_N!AU41-$K41)/$M41),0)))</f>
        <v>99.675577678472</v>
      </c>
      <c r="BB41" s="161">
        <f>IF($H41=0,0,CHOOSE($H41,SUMPRODUCT($O42:$O$67*BB42:BB$67*($E42:$E$67=$D41)),IF(ISNUMBER(Data_2014_N!AV41),100*ABS($G41-(Data_2014_N!AV41-$K41)/$M41),0),IF(ISNUMBER(Data_2014_N!AV41),100*ABS($G41-(Data_2014_N!AV41-$K41)/$M41),0)))</f>
        <v>99.9337637760214</v>
      </c>
      <c r="BC41" s="161">
        <f>IF($H41=0,0,CHOOSE($H41,SUMPRODUCT($O42:$O$67*BC42:BC$67*($E42:$E$67=$D41)),IF(ISNUMBER(Data_2014_N!AW41),100*ABS($G41-(Data_2014_N!AW41-$K41)/$M41),0),IF(ISNUMBER(Data_2014_N!AW41),100*ABS($G41-(Data_2014_N!AW41-$K41)/$M41),0)))</f>
        <v>98.2466881888011</v>
      </c>
      <c r="BD41" s="161">
        <f>IF($H41=0,0,CHOOSE($H41,SUMPRODUCT($O42:$O$67*BD42:BD$67*($E42:$E$67=$D41)),IF(ISNUMBER(Data_2014_N!AX41),100*ABS($G41-(Data_2014_N!AX41-$K41)/$M41),0),IF(ISNUMBER(Data_2014_N!AX41),100*ABS($G41-(Data_2014_N!AX41-$K41)/$M41),0)))</f>
        <v>98.3804879301929</v>
      </c>
      <c r="BE41" s="161">
        <f>IF($H41=0,0,CHOOSE($H41,SUMPRODUCT($O42:$O$67*BE42:BE$67*($E42:$E$67=$D41)),IF(ISNUMBER(Data_2014_N!AY41),100*ABS($G41-(Data_2014_N!AY41-$K41)/$M41),0),IF(ISNUMBER(Data_2014_N!AY41),100*ABS($G41-(Data_2014_N!AY41-$K41)/$M41),0)))</f>
        <v>99.4716872611229</v>
      </c>
      <c r="BF41" s="161">
        <f>IF($H41=0,0,CHOOSE($H41,SUMPRODUCT($O42:$O$67*BF42:BF$67*($E42:$E$67=$D41)),IF(ISNUMBER(Data_2014_N!AZ41),100*ABS($G41-(Data_2014_N!AZ41-$K41)/$M41),0),IF(ISNUMBER(Data_2014_N!AZ41),100*ABS($G41-(Data_2014_N!AZ41-$K41)/$M41),0)))</f>
        <v>89.9462874318156</v>
      </c>
      <c r="BG41" s="161">
        <f>IF($H41=0,0,CHOOSE($H41,SUMPRODUCT($O42:$O$67*BG42:BG$67*($E42:$E$67=$D41)),IF(ISNUMBER(Data_2014_N!BA41),100*ABS($G41-(Data_2014_N!BA41-$K41)/$M41),0),IF(ISNUMBER(Data_2014_N!BA41),100*ABS($G41-(Data_2014_N!BA41-$K41)/$M41),0)))</f>
        <v>99.9324120163483</v>
      </c>
      <c r="BH41" s="161">
        <f>IF($H41=0,0,CHOOSE($H41,SUMPRODUCT($O42:$O$67*BH42:BH$67*($E42:$E$67=$D41)),IF(ISNUMBER(Data_2014_N!BB41),100*ABS($G41-(Data_2014_N!BB41-$K41)/$M41),0),IF(ISNUMBER(Data_2014_N!BB41),100*ABS($G41-(Data_2014_N!BB41-$K41)/$M41),0)))</f>
        <v>99.9725729921414</v>
      </c>
      <c r="BI41" s="161">
        <f>IF($H41=0,0,CHOOSE($H41,SUMPRODUCT($O42:$O$67*BI42:BI$67*($E42:$E$67=$D41)),IF(ISNUMBER(Data_2014_N!BC41),100*ABS($G41-(Data_2014_N!BC41-$K41)/$M41),0),IF(ISNUMBER(Data_2014_N!BC41),100*ABS($G41-(Data_2014_N!BC41-$K41)/$M41),0)))</f>
        <v>99.7634420572192</v>
      </c>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row>
    <row r="42" s="69" customFormat="1" ht="24.95" customHeight="1" spans="1:115">
      <c r="A42" s="92"/>
      <c r="B42" s="92">
        <f>tblIndicators!A38</f>
        <v>37</v>
      </c>
      <c r="C42" s="92">
        <f>tblIndicators!B38</f>
        <v>0</v>
      </c>
      <c r="D42" s="92" t="str">
        <f>tblIndicators!D38</f>
        <v>INSE3.2.2</v>
      </c>
      <c r="E42" s="92" t="str">
        <f>tblIndicators!E38</f>
        <v>INSE3.2</v>
      </c>
      <c r="F42" s="92">
        <f>tblIndicators!F38</f>
        <v>3</v>
      </c>
      <c r="G42" s="92">
        <f>tblIndicators!Y38</f>
        <v>1</v>
      </c>
      <c r="H42" s="92">
        <f>tblIndicators!Z38</f>
        <v>2</v>
      </c>
      <c r="I42" s="104">
        <f>tblIndicators!AA38</f>
        <v>0</v>
      </c>
      <c r="J42" s="92">
        <f>tblIndicators!AB38</f>
        <v>0</v>
      </c>
      <c r="K42" s="92">
        <f>CHOOSE(H42,"-",MIN(Data_2014_N!J42:BC42),I42)</f>
        <v>9.52</v>
      </c>
      <c r="L42" s="165">
        <f>CHOOSE(H42,"-",MAX(Data_2014_N!J42:BC42),J42)</f>
        <v>3269</v>
      </c>
      <c r="M42" s="92">
        <f t="shared" si="1"/>
        <v>3259.48</v>
      </c>
      <c r="N42" s="168" t="str">
        <f>REPT(" ",F42)&amp;tblIndicators!AE38</f>
        <v>   3.2.2) Frequency of vehicular accidents</v>
      </c>
      <c r="O42" s="169">
        <f>tblIndicators!AD38</f>
        <v>0.2</v>
      </c>
      <c r="P42" s="161">
        <f>IF($H42=0,0,CHOOSE($H42,SUMPRODUCT($O43:$O$67*P43:P$67*($E43:$E$67=$D42)),IF(ISNUMBER(Data_2014_N!J42),100*ABS($G42-(Data_2014_N!J42-$K42)/$M42),0),IF(ISNUMBER(Data_2014_N!J42),100*ABS($G42-(Data_2014_N!J42-$K42)/$M42),0)))</f>
        <v>97.7456526807957</v>
      </c>
      <c r="Q42" s="161">
        <f>IF($H42=0,0,CHOOSE($H42,SUMPRODUCT($O43:$O$67*Q43:Q$67*($E43:$E$67=$D42)),IF(ISNUMBER(Data_2014_N!K42),100*ABS($G42-(Data_2014_N!K42-$K42)/$M42),0),IF(ISNUMBER(Data_2014_N!K42),100*ABS($G42-(Data_2014_N!K42-$K42)/$M42),0)))</f>
        <v>98.6353651502694</v>
      </c>
      <c r="R42" s="161">
        <f>IF($H42=0,0,CHOOSE($H42,SUMPRODUCT($O43:$O$67*R43:R$67*($E43:$E$67=$D42)),IF(ISNUMBER(Data_2014_N!L42),100*ABS($G42-(Data_2014_N!L42-$K42)/$M42),0),IF(ISNUMBER(Data_2014_N!L42),100*ABS($G42-(Data_2014_N!L42-$K42)/$M42),0)))</f>
        <v>90.6279529250064</v>
      </c>
      <c r="S42" s="161">
        <f>IF($H42=0,0,CHOOSE($H42,SUMPRODUCT($O43:$O$67*S43:S$67*($E43:$E$67=$D42)),IF(ISNUMBER(Data_2014_N!M42),100*ABS($G42-(Data_2014_N!M42-$K42)/$M42),0),IF(ISNUMBER(Data_2014_N!M42),100*ABS($G42-(Data_2014_N!M42-$K42)/$M42),0)))</f>
        <v>82.7125799207236</v>
      </c>
      <c r="T42" s="161">
        <f>IF($H42=0,0,CHOOSE($H42,SUMPRODUCT($O43:$O$67*T43:T$67*($E43:$E$67=$D42)),IF(ISNUMBER(Data_2014_N!N42),100*ABS($G42-(Data_2014_N!N42-$K42)/$M42),0),IF(ISNUMBER(Data_2014_N!N42),100*ABS($G42-(Data_2014_N!N42-$K42)/$M42),0)))</f>
        <v>99.7922981579884</v>
      </c>
      <c r="U42" s="161">
        <f>IF($H42=0,0,CHOOSE($H42,SUMPRODUCT($O43:$O$67*U43:U$67*($E43:$E$67=$D42)),IF(ISNUMBER(Data_2014_N!O42),100*ABS($G42-(Data_2014_N!O42-$K42)/$M42),0),IF(ISNUMBER(Data_2014_N!O42),100*ABS($G42-(Data_2014_N!O42-$K42)/$M42),0)))</f>
        <v>89.8302796765128</v>
      </c>
      <c r="V42" s="161">
        <f>IF($H42=0,0,CHOOSE($H42,SUMPRODUCT($O43:$O$67*V43:V$67*($E43:$E$67=$D42)),IF(ISNUMBER(Data_2014_N!P42),100*ABS($G42-(Data_2014_N!P42-$K42)/$M42),0),IF(ISNUMBER(Data_2014_N!P42),100*ABS($G42-(Data_2014_N!P42-$K42)/$M42),0)))</f>
        <v>93.0614699277185</v>
      </c>
      <c r="W42" s="161">
        <f>IF($H42=0,0,CHOOSE($H42,SUMPRODUCT($O43:$O$67*W43:W$67*($E43:$E$67=$D42)),IF(ISNUMBER(Data_2014_N!Q42),100*ABS($G42-(Data_2014_N!Q42-$K42)/$M42),0),IF(ISNUMBER(Data_2014_N!Q42),100*ABS($G42-(Data_2014_N!Q42-$K42)/$M42),0)))</f>
        <v>81.9762661528833</v>
      </c>
      <c r="X42" s="161">
        <f>IF($H42=0,0,CHOOSE($H42,SUMPRODUCT($O43:$O$67*X43:X$67*($E43:$E$67=$D42)),IF(ISNUMBER(Data_2014_N!R42),100*ABS($G42-(Data_2014_N!R42-$K42)/$M42),0),IF(ISNUMBER(Data_2014_N!R42),100*ABS($G42-(Data_2014_N!R42-$K42)/$M42),0)))</f>
        <v>99.1876004761496</v>
      </c>
      <c r="Y42" s="161">
        <f>IF($H42=0,0,CHOOSE($H42,SUMPRODUCT($O43:$O$67*Y43:Y$67*($E43:$E$67=$D42)),IF(ISNUMBER(Data_2014_N!S42),100*ABS($G42-(Data_2014_N!S42-$K42)/$M42),0),IF(ISNUMBER(Data_2014_N!S42),100*ABS($G42-(Data_2014_N!S42-$K42)/$M42),0)))</f>
        <v>93.4811687753875</v>
      </c>
      <c r="Z42" s="161">
        <f>IF($H42=0,0,CHOOSE($H42,SUMPRODUCT($O43:$O$67*Z43:Z$67*($E43:$E$67=$D42)),IF(ISNUMBER(Data_2014_N!T42),100*ABS($G42-(Data_2014_N!T42-$K42)/$M42),0),IF(ISNUMBER(Data_2014_N!T42),100*ABS($G42-(Data_2014_N!T42-$K42)/$M42),0)))</f>
        <v>33.5022764367322</v>
      </c>
      <c r="AA42" s="161">
        <f>IF($H42=0,0,CHOOSE($H42,SUMPRODUCT($O43:$O$67*AA43:AA$67*($E43:$E$67=$D42)),IF(ISNUMBER(Data_2014_N!U42),100*ABS($G42-(Data_2014_N!U42-$K42)/$M42),0),IF(ISNUMBER(Data_2014_N!U42),100*ABS($G42-(Data_2014_N!U42-$K42)/$M42),0)))</f>
        <v>99.2949795672929</v>
      </c>
      <c r="AB42" s="161">
        <f>IF($H42=0,0,CHOOSE($H42,SUMPRODUCT($O43:$O$67*AB43:AB$67*($E43:$E$67=$D42)),IF(ISNUMBER(Data_2014_N!V42),100*ABS($G42-(Data_2014_N!V42-$K42)/$M42),0),IF(ISNUMBER(Data_2014_N!V42),100*ABS($G42-(Data_2014_N!V42-$K42)/$M42),0)))</f>
        <v>93.3891295544075</v>
      </c>
      <c r="AC42" s="161">
        <f>IF($H42=0,0,CHOOSE($H42,SUMPRODUCT($O43:$O$67*AC43:AC$67*($E43:$E$67=$D42)),IF(ISNUMBER(Data_2014_N!W42),100*ABS($G42-(Data_2014_N!W42-$K42)/$M42),0),IF(ISNUMBER(Data_2014_N!W42),100*ABS($G42-(Data_2014_N!W42-$K42)/$M42),0)))</f>
        <v>52.002159853719</v>
      </c>
      <c r="AD42" s="161">
        <f>IF($H42=0,0,CHOOSE($H42,SUMPRODUCT($O43:$O$67*AD43:AD$67*($E43:$E$67=$D42)),IF(ISNUMBER(Data_2014_N!X42),100*ABS($G42-(Data_2014_N!X42-$K42)/$M42),0),IF(ISNUMBER(Data_2014_N!X42),100*ABS($G42-(Data_2014_N!X42-$K42)/$M42),0)))</f>
        <v>98.3899272276559</v>
      </c>
      <c r="AE42" s="161">
        <f>IF($H42=0,0,CHOOSE($H42,SUMPRODUCT($O43:$O$67*AE43:AE$67*($E43:$E$67=$D42)),IF(ISNUMBER(Data_2014_N!Y42),100*ABS($G42-(Data_2014_N!Y42-$K42)/$M42),0),IF(ISNUMBER(Data_2014_N!Y42),100*ABS($G42-(Data_2014_N!Y42-$K42)/$M42),0)))</f>
        <v>40.4358977505614</v>
      </c>
      <c r="AF42" s="161">
        <f>IF($H42=0,0,CHOOSE($H42,SUMPRODUCT($O43:$O$67*AF43:AF$67*($E43:$E$67=$D42)),IF(ISNUMBER(Data_2014_N!Z42),100*ABS($G42-(Data_2014_N!Z42-$K42)/$M42),0),IF(ISNUMBER(Data_2014_N!Z42),100*ABS($G42-(Data_2014_N!Z42-$K42)/$M42),0)))</f>
        <v>68.5952974094027</v>
      </c>
      <c r="AG42" s="161">
        <f>IF($H42=0,0,CHOOSE($H42,SUMPRODUCT($O43:$O$67*AG43:AG$67*($E43:$E$67=$D42)),IF(ISNUMBER(Data_2014_N!AA42),100*ABS($G42-(Data_2014_N!AA42-$K42)/$M42),0),IF(ISNUMBER(Data_2014_N!AA42),100*ABS($G42-(Data_2014_N!AA42-$K42)/$M42),0)))</f>
        <v>81.5774295286365</v>
      </c>
      <c r="AH42" s="161">
        <f>IF($H42=0,0,CHOOSE($H42,SUMPRODUCT($O43:$O$67*AH43:AH$67*($E43:$E$67=$D42)),IF(ISNUMBER(Data_2014_N!AB42),100*ABS($G42-(Data_2014_N!AB42-$K42)/$M42),0),IF(ISNUMBER(Data_2014_N!AB42),100*ABS($G42-(Data_2014_N!AB42-$K42)/$M42),0)))</f>
        <v>93.6345674770209</v>
      </c>
      <c r="AI42" s="161">
        <f>IF($H42=0,0,CHOOSE($H42,SUMPRODUCT($O43:$O$67*AI43:AI$67*($E43:$E$67=$D42)),IF(ISNUMBER(Data_2014_N!AC42),100*ABS($G42-(Data_2014_N!AC42-$K42)/$M42),0),IF(ISNUMBER(Data_2014_N!AC42),100*ABS($G42-(Data_2014_N!AC42-$K42)/$M42),0)))</f>
        <v>87.1918220084185</v>
      </c>
      <c r="AJ42" s="161">
        <f>IF($H42=0,0,CHOOSE($H42,SUMPRODUCT($O43:$O$67*AJ43:AJ$67*($E43:$E$67=$D42)),IF(ISNUMBER(Data_2014_N!AD42),100*ABS($G42-(Data_2014_N!AD42-$K42)/$M42),0),IF(ISNUMBER(Data_2014_N!AD42),100*ABS($G42-(Data_2014_N!AD42-$K42)/$M42),0)))</f>
        <v>94.861757090088</v>
      </c>
      <c r="AK42" s="161">
        <f>IF($H42=0,0,CHOOSE($H42,SUMPRODUCT($O43:$O$67*AK43:AK$67*($E43:$E$67=$D42)),IF(ISNUMBER(Data_2014_N!AE42),100*ABS($G42-(Data_2014_N!AE42-$K42)/$M42),0),IF(ISNUMBER(Data_2014_N!AE42),100*ABS($G42-(Data_2014_N!AE42-$K42)/$M42),0)))</f>
        <v>89.8302796765128</v>
      </c>
      <c r="AL42" s="161">
        <f>IF($H42=0,0,CHOOSE($H42,SUMPRODUCT($O43:$O$67*AL43:AL$67*($E43:$E$67=$D42)),IF(ISNUMBER(Data_2014_N!AF42),100*ABS($G42-(Data_2014_N!AF42-$K42)/$M42),0),IF(ISNUMBER(Data_2014_N!AF42),100*ABS($G42-(Data_2014_N!AF42-$K42)/$M42),0)))</f>
        <v>0</v>
      </c>
      <c r="AM42" s="161">
        <f>IF($H42=0,0,CHOOSE($H42,SUMPRODUCT($O43:$O$67*AM43:AM$67*($E43:$E$67=$D42)),IF(ISNUMBER(Data_2014_N!AG42),100*ABS($G42-(Data_2014_N!AG42-$K42)/$M42),0),IF(ISNUMBER(Data_2014_N!AG42),100*ABS($G42-(Data_2014_N!AG42-$K42)/$M42),0)))</f>
        <v>60.9606440291089</v>
      </c>
      <c r="AN42" s="161">
        <f>IF($H42=0,0,CHOOSE($H42,SUMPRODUCT($O43:$O$67*AN43:AN$67*($E43:$E$67=$D42)),IF(ISNUMBER(Data_2014_N!AH42),100*ABS($G42-(Data_2014_N!AH42-$K42)/$M42),0),IF(ISNUMBER(Data_2014_N!AH42),100*ABS($G42-(Data_2014_N!AH42-$K42)/$M42),0)))</f>
        <v>97.1013781339355</v>
      </c>
      <c r="AO42" s="161">
        <f>IF($H42=0,0,CHOOSE($H42,SUMPRODUCT($O43:$O$67*AO43:AO$67*($E43:$E$67=$D42)),IF(ISNUMBER(Data_2014_N!AI42),100*ABS($G42-(Data_2014_N!AI42-$K42)/$M42),0),IF(ISNUMBER(Data_2014_N!AI42),100*ABS($G42-(Data_2014_N!AI42-$K42)/$M42),0)))</f>
        <v>99.7091560617031</v>
      </c>
      <c r="AP42" s="161">
        <f>IF($H42=0,0,CHOOSE($H42,SUMPRODUCT($O43:$O$67*AP43:AP$67*($E43:$E$67=$D42)),IF(ISNUMBER(Data_2014_N!AJ42),100*ABS($G42-(Data_2014_N!AJ42-$K42)/$M42),0),IF(ISNUMBER(Data_2014_N!AJ42),100*ABS($G42-(Data_2014_N!AJ42-$K42)/$M42),0)))</f>
        <v>74.9812853584007</v>
      </c>
      <c r="AQ42" s="161">
        <f>IF($H42=0,0,CHOOSE($H42,SUMPRODUCT($O43:$O$67*AQ43:AQ$67*($E43:$E$67=$D42)),IF(ISNUMBER(Data_2014_N!AK42),100*ABS($G42-(Data_2014_N!AK42-$K42)/$M42),0),IF(ISNUMBER(Data_2014_N!AK42),100*ABS($G42-(Data_2014_N!AK42-$K42)/$M42),0)))</f>
        <v>83.6022923901972</v>
      </c>
      <c r="AR42" s="161">
        <f>IF($H42=0,0,CHOOSE($H42,SUMPRODUCT($O43:$O$67*AR43:AR$67*($E43:$E$67=$D42)),IF(ISNUMBER(Data_2014_N!AL42),100*ABS($G42-(Data_2014_N!AL42-$K42)/$M42),0),IF(ISNUMBER(Data_2014_N!AL42),100*ABS($G42-(Data_2014_N!AL42-$K42)/$M42),0)))</f>
        <v>67.7408666413047</v>
      </c>
      <c r="AS42" s="161">
        <f>IF($H42=0,0,CHOOSE($H42,SUMPRODUCT($O43:$O$67*AS43:AS$67*($E43:$E$67=$D42)),IF(ISNUMBER(Data_2014_N!AM42),100*ABS($G42-(Data_2014_N!AM42-$K42)/$M42),0),IF(ISNUMBER(Data_2014_N!AM42),100*ABS($G42-(Data_2014_N!AM42-$K42)/$M42),0)))</f>
        <v>89.7382404555328</v>
      </c>
      <c r="AT42" s="161">
        <f>IF($H42=0,0,CHOOSE($H42,SUMPRODUCT($O43:$O$67*AT43:AT$67*($E43:$E$67=$D42)),IF(ISNUMBER(Data_2014_N!AN42),100*ABS($G42-(Data_2014_N!AN42-$K42)/$M42),0),IF(ISNUMBER(Data_2014_N!AN42),100*ABS($G42-(Data_2014_N!AN42-$K42)/$M42),0)))</f>
        <v>30.004786039491</v>
      </c>
      <c r="AU42" s="161">
        <f>IF($H42=0,0,CHOOSE($H42,SUMPRODUCT($O43:$O$67*AU43:AU$67*($E43:$E$67=$D42)),IF(ISNUMBER(Data_2014_N!AO42),100*ABS($G42-(Data_2014_N!AO42-$K42)/$M42),0),IF(ISNUMBER(Data_2014_N!AO42),100*ABS($G42-(Data_2014_N!AO42-$K42)/$M42),0)))</f>
        <v>78.6321744572754</v>
      </c>
      <c r="AV42" s="161">
        <f>IF($H42=0,0,CHOOSE($H42,SUMPRODUCT($O43:$O$67*AV43:AV$67*($E43:$E$67=$D42)),IF(ISNUMBER(Data_2014_N!AP42),100*ABS($G42-(Data_2014_N!AP42-$K42)/$M42),0),IF(ISNUMBER(Data_2014_N!AP42),100*ABS($G42-(Data_2014_N!AP42-$K42)/$M42),0)))</f>
        <v>86.2714297986182</v>
      </c>
      <c r="AW42" s="161">
        <f>IF($H42=0,0,CHOOSE($H42,SUMPRODUCT($O43:$O$67*AW43:AW$67*($E43:$E$67=$D42)),IF(ISNUMBER(Data_2014_N!AQ42),100*ABS($G42-(Data_2014_N!AQ42-$K42)/$M42),0),IF(ISNUMBER(Data_2014_N!AQ42),100*ABS($G42-(Data_2014_N!AQ42-$K42)/$M42),0)))</f>
        <v>89.0939659086725</v>
      </c>
      <c r="AX42" s="161">
        <f>IF($H42=0,0,CHOOSE($H42,SUMPRODUCT($O43:$O$67*AX43:AX$67*($E43:$E$67=$D42)),IF(ISNUMBER(Data_2014_N!AR42),100*ABS($G42-(Data_2014_N!AR42-$K42)/$M42),0),IF(ISNUMBER(Data_2014_N!AR42),100*ABS($G42-(Data_2014_N!AR42-$K42)/$M42),0)))</f>
        <v>93.051652410814</v>
      </c>
      <c r="AY42" s="161">
        <f>IF($H42=0,0,CHOOSE($H42,SUMPRODUCT($O43:$O$67*AY43:AY$67*($E43:$E$67=$D42)),IF(ISNUMBER(Data_2014_N!AS42),100*ABS($G42-(Data_2014_N!AS42-$K42)/$M42),0),IF(ISNUMBER(Data_2014_N!AS42),100*ABS($G42-(Data_2014_N!AS42-$K42)/$M42),0)))</f>
        <v>88.0115846699474</v>
      </c>
      <c r="AZ42" s="161">
        <f>IF($H42=0,0,CHOOSE($H42,SUMPRODUCT($O43:$O$67*AZ43:AZ$67*($E43:$E$67=$D42)),IF(ISNUMBER(Data_2014_N!AT42),100*ABS($G42-(Data_2014_N!AT42-$K42)/$M42),0),IF(ISNUMBER(Data_2014_N!AT42),100*ABS($G42-(Data_2014_N!AT42-$K42)/$M42),0)))</f>
        <v>100</v>
      </c>
      <c r="BA42" s="161">
        <f>IF($H42=0,0,CHOOSE($H42,SUMPRODUCT($O43:$O$67*BA43:BA$67*($E43:$E$67=$D42)),IF(ISNUMBER(Data_2014_N!AU42),100*ABS($G42-(Data_2014_N!AU42-$K42)/$M42),0),IF(ISNUMBER(Data_2014_N!AU42),100*ABS($G42-(Data_2014_N!AU42-$K42)/$M42),0)))</f>
        <v>96.671861769362</v>
      </c>
      <c r="BB42" s="161">
        <f>IF($H42=0,0,CHOOSE($H42,SUMPRODUCT($O43:$O$67*BB43:BB$67*($E43:$E$67=$D42)),IF(ISNUMBER(Data_2014_N!AV42),100*ABS($G42-(Data_2014_N!AV42-$K42)/$M42),0),IF(ISNUMBER(Data_2014_N!AV42),100*ABS($G42-(Data_2014_N!AV42-$K42)/$M42),0)))</f>
        <v>95.5367113772749</v>
      </c>
      <c r="BC42" s="161">
        <f>IF($H42=0,0,CHOOSE($H42,SUMPRODUCT($O43:$O$67*BC43:BC$67*($E43:$E$67=$D42)),IF(ISNUMBER(Data_2014_N!AW42),100*ABS($G42-(Data_2014_N!AW42-$K42)/$M42),0),IF(ISNUMBER(Data_2014_N!AW42),100*ABS($G42-(Data_2014_N!AW42-$K42)/$M42),0)))</f>
        <v>82.958017843337</v>
      </c>
      <c r="BD42" s="161">
        <f>IF($H42=0,0,CHOOSE($H42,SUMPRODUCT($O43:$O$67*BD43:BD$67*($E43:$E$67=$D42)),IF(ISNUMBER(Data_2014_N!AX42),100*ABS($G42-(Data_2014_N!AX42-$K42)/$M42),0),IF(ISNUMBER(Data_2014_N!AX42),100*ABS($G42-(Data_2014_N!AX42-$K42)/$M42),0)))</f>
        <v>76.9024506976573</v>
      </c>
      <c r="BE42" s="161">
        <f>IF($H42=0,0,CHOOSE($H42,SUMPRODUCT($O43:$O$67*BE43:BE$67*($E43:$E$67=$D42)),IF(ISNUMBER(Data_2014_N!AY42),100*ABS($G42-(Data_2014_N!AY42-$K42)/$M42),0),IF(ISNUMBER(Data_2014_N!AY42),100*ABS($G42-(Data_2014_N!AY42-$K42)/$M42),0)))</f>
        <v>95.5060316369482</v>
      </c>
      <c r="BF42" s="161">
        <f>IF($H42=0,0,CHOOSE($H42,SUMPRODUCT($O43:$O$67*BF43:BF$67*($E43:$E$67=$D42)),IF(ISNUMBER(Data_2014_N!AZ42),100*ABS($G42-(Data_2014_N!AZ42-$K42)/$M42),0),IF(ISNUMBER(Data_2014_N!AZ42),100*ABS($G42-(Data_2014_N!AZ42-$K42)/$M42),0)))</f>
        <v>89.339403831286</v>
      </c>
      <c r="BG42" s="161">
        <f>IF($H42=0,0,CHOOSE($H42,SUMPRODUCT($O43:$O$67*BG43:BG$67*($E43:$E$67=$D42)),IF(ISNUMBER(Data_2014_N!BA42),100*ABS($G42-(Data_2014_N!BA42-$K42)/$M42),0),IF(ISNUMBER(Data_2014_N!BA42),100*ABS($G42-(Data_2014_N!BA42-$K42)/$M42),0)))</f>
        <v>73.815455225987</v>
      </c>
      <c r="BH42" s="161">
        <f>IF($H42=0,0,CHOOSE($H42,SUMPRODUCT($O43:$O$67*BH43:BH$67*($E43:$E$67=$D42)),IF(ISNUMBER(Data_2014_N!BB42),100*ABS($G42-(Data_2014_N!BB42-$K42)/$M42),0),IF(ISNUMBER(Data_2014_N!BB42),100*ABS($G42-(Data_2014_N!BB42-$K42)/$M42),0)))</f>
        <v>10.8913078159706</v>
      </c>
      <c r="BI42" s="161">
        <f>IF($H42=0,0,CHOOSE($H42,SUMPRODUCT($O43:$O$67*BI43:BI$67*($E43:$E$67=$D42)),IF(ISNUMBER(Data_2014_N!BC42),100*ABS($G42-(Data_2014_N!BC42-$K42)/$M42),0),IF(ISNUMBER(Data_2014_N!BC42),100*ABS($G42-(Data_2014_N!BC42-$K42)/$M42),0)))</f>
        <v>73.04846171782</v>
      </c>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row>
    <row r="43" s="69" customFormat="1" ht="24.95" customHeight="1" spans="1:115">
      <c r="A43" s="92"/>
      <c r="B43" s="92">
        <f>tblIndicators!A39</f>
        <v>38</v>
      </c>
      <c r="C43" s="92">
        <f>tblIndicators!B39</f>
        <v>0</v>
      </c>
      <c r="D43" s="92" t="str">
        <f>tblIndicators!D39</f>
        <v>INSE3.2.3</v>
      </c>
      <c r="E43" s="92" t="str">
        <f>tblIndicators!E39</f>
        <v>INSE3.2</v>
      </c>
      <c r="F43" s="92">
        <f>tblIndicators!F39</f>
        <v>3</v>
      </c>
      <c r="G43" s="92">
        <f>tblIndicators!Y39</f>
        <v>1</v>
      </c>
      <c r="H43" s="92">
        <f>tblIndicators!Z39</f>
        <v>2</v>
      </c>
      <c r="I43" s="104">
        <f>tblIndicators!AA39</f>
        <v>0</v>
      </c>
      <c r="J43" s="92">
        <f>tblIndicators!AB39</f>
        <v>0</v>
      </c>
      <c r="K43" s="92">
        <f>CHOOSE(H43,"-",MIN(Data_2014_N!J43:BC43),I43)</f>
        <v>0.3</v>
      </c>
      <c r="L43" s="165">
        <f>CHOOSE(H43,"-",MAX(Data_2014_N!J43:BC43),J43)</f>
        <v>53.8</v>
      </c>
      <c r="M43" s="92">
        <f t="shared" si="1"/>
        <v>53.5</v>
      </c>
      <c r="N43" s="168" t="str">
        <f>REPT(" ",F43)&amp;tblIndicators!AE39</f>
        <v>   3.2.3) Frequency of pedestrian deaths</v>
      </c>
      <c r="O43" s="169">
        <f>tblIndicators!AD39</f>
        <v>0.2</v>
      </c>
      <c r="P43" s="161">
        <f>IF($H43=0,0,CHOOSE($H43,SUMPRODUCT($O44:$O$67*P44:P$67*($E44:$E$67=$D43)),IF(ISNUMBER(Data_2014_N!J43),100*ABS($G43-(Data_2014_N!J43-$K43)/$M43),0),IF(ISNUMBER(Data_2014_N!J43),100*ABS($G43-(Data_2014_N!J43-$K43)/$M43),0)))</f>
        <v>97.0093457943925</v>
      </c>
      <c r="Q43" s="161">
        <f>IF($H43=0,0,CHOOSE($H43,SUMPRODUCT($O44:$O$67*Q44:Q$67*($E44:$E$67=$D43)),IF(ISNUMBER(Data_2014_N!K43),100*ABS($G43-(Data_2014_N!K43-$K43)/$M43),0),IF(ISNUMBER(Data_2014_N!K43),100*ABS($G43-(Data_2014_N!K43-$K43)/$M43),0)))</f>
        <v>99.8130841121495</v>
      </c>
      <c r="R43" s="161">
        <f>IF($H43=0,0,CHOOSE($H43,SUMPRODUCT($O44:$O$67*R44:R$67*($E44:$E$67=$D43)),IF(ISNUMBER(Data_2014_N!L43),100*ABS($G43-(Data_2014_N!L43-$K43)/$M43),0),IF(ISNUMBER(Data_2014_N!L43),100*ABS($G43-(Data_2014_N!L43-$K43)/$M43),0)))</f>
        <v>97.8504672897196</v>
      </c>
      <c r="S43" s="161">
        <f>IF($H43=0,0,CHOOSE($H43,SUMPRODUCT($O44:$O$67*S44:S$67*($E44:$E$67=$D43)),IF(ISNUMBER(Data_2014_N!M43),100*ABS($G43-(Data_2014_N!M43-$K43)/$M43),0),IF(ISNUMBER(Data_2014_N!M43),100*ABS($G43-(Data_2014_N!M43-$K43)/$M43),0)))</f>
        <v>99.2523364485981</v>
      </c>
      <c r="T43" s="161">
        <f>IF($H43=0,0,CHOOSE($H43,SUMPRODUCT($O44:$O$67*T44:T$67*($E44:$E$67=$D43)),IF(ISNUMBER(Data_2014_N!N43),100*ABS($G43-(Data_2014_N!N43-$K43)/$M43),0),IF(ISNUMBER(Data_2014_N!N43),100*ABS($G43-(Data_2014_N!N43-$K43)/$M43),0)))</f>
        <v>98.3177570093458</v>
      </c>
      <c r="U43" s="161">
        <f>IF($H43=0,0,CHOOSE($H43,SUMPRODUCT($O44:$O$67*U44:U$67*($E44:$E$67=$D43)),IF(ISNUMBER(Data_2014_N!O43),100*ABS($G43-(Data_2014_N!O43-$K43)/$M43),0),IF(ISNUMBER(Data_2014_N!O43),100*ABS($G43-(Data_2014_N!O43-$K43)/$M43),0)))</f>
        <v>98.6915887850467</v>
      </c>
      <c r="V43" s="161">
        <f>IF($H43=0,0,CHOOSE($H43,SUMPRODUCT($O44:$O$67*V44:V$67*($E44:$E$67=$D43)),IF(ISNUMBER(Data_2014_N!P43),100*ABS($G43-(Data_2014_N!P43-$K43)/$M43),0),IF(ISNUMBER(Data_2014_N!P43),100*ABS($G43-(Data_2014_N!P43-$K43)/$M43),0)))</f>
        <v>30.6542056074766</v>
      </c>
      <c r="W43" s="161">
        <f>IF($H43=0,0,CHOOSE($H43,SUMPRODUCT($O44:$O$67*W44:W$67*($E44:$E$67=$D43)),IF(ISNUMBER(Data_2014_N!Q43),100*ABS($G43-(Data_2014_N!Q43-$K43)/$M43),0),IF(ISNUMBER(Data_2014_N!Q43),100*ABS($G43-(Data_2014_N!Q43-$K43)/$M43),0)))</f>
        <v>97.196261682243</v>
      </c>
      <c r="X43" s="161">
        <f>IF($H43=0,0,CHOOSE($H43,SUMPRODUCT($O44:$O$67*X44:X$67*($E44:$E$67=$D43)),IF(ISNUMBER(Data_2014_N!R43),100*ABS($G43-(Data_2014_N!R43-$K43)/$M43),0),IF(ISNUMBER(Data_2014_N!R43),100*ABS($G43-(Data_2014_N!R43-$K43)/$M43),0)))</f>
        <v>95.7009345794393</v>
      </c>
      <c r="Y43" s="161">
        <f>IF($H43=0,0,CHOOSE($H43,SUMPRODUCT($O44:$O$67*Y44:Y$67*($E44:$E$67=$D43)),IF(ISNUMBER(Data_2014_N!S43),100*ABS($G43-(Data_2014_N!S43-$K43)/$M43),0),IF(ISNUMBER(Data_2014_N!S43),100*ABS($G43-(Data_2014_N!S43-$K43)/$M43),0)))</f>
        <v>92.7102803738318</v>
      </c>
      <c r="Z43" s="161">
        <f>IF($H43=0,0,CHOOSE($H43,SUMPRODUCT($O44:$O$67*Z44:Z$67*($E44:$E$67=$D43)),IF(ISNUMBER(Data_2014_N!T43),100*ABS($G43-(Data_2014_N!T43-$K43)/$M43),0),IF(ISNUMBER(Data_2014_N!T43),100*ABS($G43-(Data_2014_N!T43-$K43)/$M43),0)))</f>
        <v>99.4392523364486</v>
      </c>
      <c r="AA43" s="161">
        <f>IF($H43=0,0,CHOOSE($H43,SUMPRODUCT($O44:$O$67*AA44:AA$67*($E44:$E$67=$D43)),IF(ISNUMBER(Data_2014_N!U43),100*ABS($G43-(Data_2014_N!U43-$K43)/$M43),0),IF(ISNUMBER(Data_2014_N!U43),100*ABS($G43-(Data_2014_N!U43-$K43)/$M43),0)))</f>
        <v>99.0280373831776</v>
      </c>
      <c r="AB43" s="161">
        <f>IF($H43=0,0,CHOOSE($H43,SUMPRODUCT($O44:$O$67*AB44:AB$67*($E44:$E$67=$D43)),IF(ISNUMBER(Data_2014_N!V43),100*ABS($G43-(Data_2014_N!V43-$K43)/$M43),0),IF(ISNUMBER(Data_2014_N!V43),100*ABS($G43-(Data_2014_N!V43-$K43)/$M43),0)))</f>
        <v>5.23364485981308</v>
      </c>
      <c r="AC43" s="161">
        <f>IF($H43=0,0,CHOOSE($H43,SUMPRODUCT($O44:$O$67*AC44:AC$67*($E44:$E$67=$D43)),IF(ISNUMBER(Data_2014_N!W43),100*ABS($G43-(Data_2014_N!W43-$K43)/$M43),0),IF(ISNUMBER(Data_2014_N!W43),100*ABS($G43-(Data_2014_N!W43-$K43)/$M43),0)))</f>
        <v>98.5046728971963</v>
      </c>
      <c r="AD43" s="161">
        <f>IF($H43=0,0,CHOOSE($H43,SUMPRODUCT($O44:$O$67*AD44:AD$67*($E44:$E$67=$D43)),IF(ISNUMBER(Data_2014_N!X43),100*ABS($G43-(Data_2014_N!X43-$K43)/$M43),0),IF(ISNUMBER(Data_2014_N!X43),100*ABS($G43-(Data_2014_N!X43-$K43)/$M43),0)))</f>
        <v>95.5140186915888</v>
      </c>
      <c r="AE43" s="161">
        <f>IF($H43=0,0,CHOOSE($H43,SUMPRODUCT($O44:$O$67*AE44:AE$67*($E44:$E$67=$D43)),IF(ISNUMBER(Data_2014_N!Y43),100*ABS($G43-(Data_2014_N!Y43-$K43)/$M43),0),IF(ISNUMBER(Data_2014_N!Y43),100*ABS($G43-(Data_2014_N!Y43-$K43)/$M43),0)))</f>
        <v>82.9906542056075</v>
      </c>
      <c r="AF43" s="161">
        <f>IF($H43=0,0,CHOOSE($H43,SUMPRODUCT($O44:$O$67*AF44:AF$67*($E44:$E$67=$D43)),IF(ISNUMBER(Data_2014_N!Z43),100*ABS($G43-(Data_2014_N!Z43-$K43)/$M43),0),IF(ISNUMBER(Data_2014_N!Z43),100*ABS($G43-(Data_2014_N!Z43-$K43)/$M43),0)))</f>
        <v>83.5514018691589</v>
      </c>
      <c r="AG43" s="161">
        <f>IF($H43=0,0,CHOOSE($H43,SUMPRODUCT($O44:$O$67*AG44:AG$67*($E44:$E$67=$D43)),IF(ISNUMBER(Data_2014_N!AA43),100*ABS($G43-(Data_2014_N!AA43-$K43)/$M43),0),IF(ISNUMBER(Data_2014_N!AA43),100*ABS($G43-(Data_2014_N!AA43-$K43)/$M43),0)))</f>
        <v>91.4018691588785</v>
      </c>
      <c r="AH43" s="161">
        <f>IF($H43=0,0,CHOOSE($H43,SUMPRODUCT($O44:$O$67*AH44:AH$67*($E44:$E$67=$D43)),IF(ISNUMBER(Data_2014_N!AB43),100*ABS($G43-(Data_2014_N!AB43-$K43)/$M43),0),IF(ISNUMBER(Data_2014_N!AB43),100*ABS($G43-(Data_2014_N!AB43-$K43)/$M43),0)))</f>
        <v>99.0654205607477</v>
      </c>
      <c r="AI43" s="161">
        <f>IF($H43=0,0,CHOOSE($H43,SUMPRODUCT($O44:$O$67*AI44:AI$67*($E44:$E$67=$D43)),IF(ISNUMBER(Data_2014_N!AC43),100*ABS($G43-(Data_2014_N!AC43-$K43)/$M43),0),IF(ISNUMBER(Data_2014_N!AC43),100*ABS($G43-(Data_2014_N!AC43-$K43)/$M43),0)))</f>
        <v>95.7009345794393</v>
      </c>
      <c r="AJ43" s="161">
        <f>IF($H43=0,0,CHOOSE($H43,SUMPRODUCT($O44:$O$67*AJ44:AJ$67*($E44:$E$67=$D43)),IF(ISNUMBER(Data_2014_N!AD43),100*ABS($G43-(Data_2014_N!AD43-$K43)/$M43),0),IF(ISNUMBER(Data_2014_N!AD43),100*ABS($G43-(Data_2014_N!AD43-$K43)/$M43),0)))</f>
        <v>100</v>
      </c>
      <c r="AK43" s="161">
        <f>IF($H43=0,0,CHOOSE($H43,SUMPRODUCT($O44:$O$67*AK44:AK$67*($E44:$E$67=$D43)),IF(ISNUMBER(Data_2014_N!AE43),100*ABS($G43-(Data_2014_N!AE43-$K43)/$M43),0),IF(ISNUMBER(Data_2014_N!AE43),100*ABS($G43-(Data_2014_N!AE43-$K43)/$M43),0)))</f>
        <v>99.4392523364486</v>
      </c>
      <c r="AL43" s="161">
        <f>IF($H43=0,0,CHOOSE($H43,SUMPRODUCT($O44:$O$67*AL44:AL$67*($E44:$E$67=$D43)),IF(ISNUMBER(Data_2014_N!AF43),100*ABS($G43-(Data_2014_N!AF43-$K43)/$M43),0),IF(ISNUMBER(Data_2014_N!AF43),100*ABS($G43-(Data_2014_N!AF43-$K43)/$M43),0)))</f>
        <v>0</v>
      </c>
      <c r="AM43" s="161">
        <f>IF($H43=0,0,CHOOSE($H43,SUMPRODUCT($O44:$O$67*AM44:AM$67*($E44:$E$67=$D43)),IF(ISNUMBER(Data_2014_N!AG43),100*ABS($G43-(Data_2014_N!AG43-$K43)/$M43),0),IF(ISNUMBER(Data_2014_N!AG43),100*ABS($G43-(Data_2014_N!AG43-$K43)/$M43),0)))</f>
        <v>95.7009345794393</v>
      </c>
      <c r="AN43" s="161">
        <f>IF($H43=0,0,CHOOSE($H43,SUMPRODUCT($O44:$O$67*AN44:AN$67*($E44:$E$67=$D43)),IF(ISNUMBER(Data_2014_N!AH43),100*ABS($G43-(Data_2014_N!AH43-$K43)/$M43),0),IF(ISNUMBER(Data_2014_N!AH43),100*ABS($G43-(Data_2014_N!AH43-$K43)/$M43),0)))</f>
        <v>82.2429906542056</v>
      </c>
      <c r="AO43" s="161">
        <f>IF($H43=0,0,CHOOSE($H43,SUMPRODUCT($O44:$O$67*AO44:AO$67*($E44:$E$67=$D43)),IF(ISNUMBER(Data_2014_N!AI43),100*ABS($G43-(Data_2014_N!AI43-$K43)/$M43),0),IF(ISNUMBER(Data_2014_N!AI43),100*ABS($G43-(Data_2014_N!AI43-$K43)/$M43),0)))</f>
        <v>97.9439252336449</v>
      </c>
      <c r="AP43" s="161">
        <f>IF($H43=0,0,CHOOSE($H43,SUMPRODUCT($O44:$O$67*AP44:AP$67*($E44:$E$67=$D43)),IF(ISNUMBER(Data_2014_N!AJ43),100*ABS($G43-(Data_2014_N!AJ43-$K43)/$M43),0),IF(ISNUMBER(Data_2014_N!AJ43),100*ABS($G43-(Data_2014_N!AJ43-$K43)/$M43),0)))</f>
        <v>97.5700934579439</v>
      </c>
      <c r="AQ43" s="161">
        <f>IF($H43=0,0,CHOOSE($H43,SUMPRODUCT($O44:$O$67*AQ44:AQ$67*($E44:$E$67=$D43)),IF(ISNUMBER(Data_2014_N!AK43),100*ABS($G43-(Data_2014_N!AK43-$K43)/$M43),0),IF(ISNUMBER(Data_2014_N!AK43),100*ABS($G43-(Data_2014_N!AK43-$K43)/$M43),0)))</f>
        <v>98.1308411214953</v>
      </c>
      <c r="AR43" s="161">
        <f>IF($H43=0,0,CHOOSE($H43,SUMPRODUCT($O44:$O$67*AR44:AR$67*($E44:$E$67=$D43)),IF(ISNUMBER(Data_2014_N!AL43),100*ABS($G43-(Data_2014_N!AL43-$K43)/$M43),0),IF(ISNUMBER(Data_2014_N!AL43),100*ABS($G43-(Data_2014_N!AL43-$K43)/$M43),0)))</f>
        <v>99.0654205607477</v>
      </c>
      <c r="AS43" s="161">
        <f>IF($H43=0,0,CHOOSE($H43,SUMPRODUCT($O44:$O$67*AS44:AS$67*($E44:$E$67=$D43)),IF(ISNUMBER(Data_2014_N!AM43),100*ABS($G43-(Data_2014_N!AM43-$K43)/$M43),0),IF(ISNUMBER(Data_2014_N!AM43),100*ABS($G43-(Data_2014_N!AM43-$K43)/$M43),0)))</f>
        <v>90.2803738317757</v>
      </c>
      <c r="AT43" s="161">
        <f>IF($H43=0,0,CHOOSE($H43,SUMPRODUCT($O44:$O$67*AT44:AT$67*($E44:$E$67=$D43)),IF(ISNUMBER(Data_2014_N!AN43),100*ABS($G43-(Data_2014_N!AN43-$K43)/$M43),0),IF(ISNUMBER(Data_2014_N!AN43),100*ABS($G43-(Data_2014_N!AN43-$K43)/$M43),0)))</f>
        <v>95.3271028037383</v>
      </c>
      <c r="AU43" s="161">
        <f>IF($H43=0,0,CHOOSE($H43,SUMPRODUCT($O44:$O$67*AU44:AU$67*($E44:$E$67=$D43)),IF(ISNUMBER(Data_2014_N!AO43),100*ABS($G43-(Data_2014_N!AO43-$K43)/$M43),0),IF(ISNUMBER(Data_2014_N!AO43),100*ABS($G43-(Data_2014_N!AO43-$K43)/$M43),0)))</f>
        <v>96.0747663551402</v>
      </c>
      <c r="AV43" s="161">
        <f>IF($H43=0,0,CHOOSE($H43,SUMPRODUCT($O44:$O$67*AV44:AV$67*($E44:$E$67=$D43)),IF(ISNUMBER(Data_2014_N!AP43),100*ABS($G43-(Data_2014_N!AP43-$K43)/$M43),0),IF(ISNUMBER(Data_2014_N!AP43),100*ABS($G43-(Data_2014_N!AP43-$K43)/$M43),0)))</f>
        <v>96.8224299065421</v>
      </c>
      <c r="AW43" s="161">
        <f>IF($H43=0,0,CHOOSE($H43,SUMPRODUCT($O44:$O$67*AW44:AW$67*($E44:$E$67=$D43)),IF(ISNUMBER(Data_2014_N!AQ43),100*ABS($G43-(Data_2014_N!AQ43-$K43)/$M43),0),IF(ISNUMBER(Data_2014_N!AQ43),100*ABS($G43-(Data_2014_N!AQ43-$K43)/$M43),0)))</f>
        <v>78.6915887850467</v>
      </c>
      <c r="AX43" s="161">
        <f>IF($H43=0,0,CHOOSE($H43,SUMPRODUCT($O44:$O$67*AX44:AX$67*($E44:$E$67=$D43)),IF(ISNUMBER(Data_2014_N!AR43),100*ABS($G43-(Data_2014_N!AR43-$K43)/$M43),0),IF(ISNUMBER(Data_2014_N!AR43),100*ABS($G43-(Data_2014_N!AR43-$K43)/$M43),0)))</f>
        <v>90.0934579439252</v>
      </c>
      <c r="AY43" s="161">
        <f>IF($H43=0,0,CHOOSE($H43,SUMPRODUCT($O44:$O$67*AY44:AY$67*($E44:$E$67=$D43)),IF(ISNUMBER(Data_2014_N!AS43),100*ABS($G43-(Data_2014_N!AS43-$K43)/$M43),0),IF(ISNUMBER(Data_2014_N!AS43),100*ABS($G43-(Data_2014_N!AS43-$K43)/$M43),0)))</f>
        <v>97.5700934579439</v>
      </c>
      <c r="AZ43" s="161">
        <f>IF($H43=0,0,CHOOSE($H43,SUMPRODUCT($O44:$O$67*AZ44:AZ$67*($E44:$E$67=$D43)),IF(ISNUMBER(Data_2014_N!AT43),100*ABS($G43-(Data_2014_N!AT43-$K43)/$M43),0),IF(ISNUMBER(Data_2014_N!AT43),100*ABS($G43-(Data_2014_N!AT43-$K43)/$M43),0)))</f>
        <v>98.6915887850467</v>
      </c>
      <c r="BA43" s="161">
        <f>IF($H43=0,0,CHOOSE($H43,SUMPRODUCT($O44:$O$67*BA44:BA$67*($E44:$E$67=$D43)),IF(ISNUMBER(Data_2014_N!AU43),100*ABS($G43-(Data_2014_N!AU43-$K43)/$M43),0),IF(ISNUMBER(Data_2014_N!AU43),100*ABS($G43-(Data_2014_N!AU43-$K43)/$M43),0)))</f>
        <v>99.0654205607477</v>
      </c>
      <c r="BB43" s="161">
        <f>IF($H43=0,0,CHOOSE($H43,SUMPRODUCT($O44:$O$67*BB44:BB$67*($E44:$E$67=$D43)),IF(ISNUMBER(Data_2014_N!AV43),100*ABS($G43-(Data_2014_N!AV43-$K43)/$M43),0),IF(ISNUMBER(Data_2014_N!AV43),100*ABS($G43-(Data_2014_N!AV43-$K43)/$M43),0)))</f>
        <v>99.6261682242991</v>
      </c>
      <c r="BC43" s="161">
        <f>IF($H43=0,0,CHOOSE($H43,SUMPRODUCT($O44:$O$67*BC44:BC$67*($E44:$E$67=$D43)),IF(ISNUMBER(Data_2014_N!AW43),100*ABS($G43-(Data_2014_N!AW43-$K43)/$M43),0),IF(ISNUMBER(Data_2014_N!AW43),100*ABS($G43-(Data_2014_N!AW43-$K43)/$M43),0)))</f>
        <v>99.2523364485981</v>
      </c>
      <c r="BD43" s="161">
        <f>IF($H43=0,0,CHOOSE($H43,SUMPRODUCT($O44:$O$67*BD44:BD$67*($E44:$E$67=$D43)),IF(ISNUMBER(Data_2014_N!AX43),100*ABS($G43-(Data_2014_N!AX43-$K43)/$M43),0),IF(ISNUMBER(Data_2014_N!AX43),100*ABS($G43-(Data_2014_N!AX43-$K43)/$M43),0)))</f>
        <v>98.8785046728972</v>
      </c>
      <c r="BE43" s="161">
        <f>IF($H43=0,0,CHOOSE($H43,SUMPRODUCT($O44:$O$67*BE44:BE$67*($E44:$E$67=$D43)),IF(ISNUMBER(Data_2014_N!AY43),100*ABS($G43-(Data_2014_N!AY43-$K43)/$M43),0),IF(ISNUMBER(Data_2014_N!AY43),100*ABS($G43-(Data_2014_N!AY43-$K43)/$M43),0)))</f>
        <v>81.1214953271028</v>
      </c>
      <c r="BF43" s="161">
        <f>IF($H43=0,0,CHOOSE($H43,SUMPRODUCT($O44:$O$67*BF44:BF$67*($E44:$E$67=$D43)),IF(ISNUMBER(Data_2014_N!AZ43),100*ABS($G43-(Data_2014_N!AZ43-$K43)/$M43),0),IF(ISNUMBER(Data_2014_N!AZ43),100*ABS($G43-(Data_2014_N!AZ43-$K43)/$M43),0)))</f>
        <v>97.3831775700935</v>
      </c>
      <c r="BG43" s="161">
        <f>IF($H43=0,0,CHOOSE($H43,SUMPRODUCT($O44:$O$67*BG44:BG$67*($E44:$E$67=$D43)),IF(ISNUMBER(Data_2014_N!BA43),100*ABS($G43-(Data_2014_N!BA43-$K43)/$M43),0),IF(ISNUMBER(Data_2014_N!BA43),100*ABS($G43-(Data_2014_N!BA43-$K43)/$M43),0)))</f>
        <v>99.8130841121495</v>
      </c>
      <c r="BH43" s="161">
        <f>IF($H43=0,0,CHOOSE($H43,SUMPRODUCT($O44:$O$67*BH44:BH$67*($E44:$E$67=$D43)),IF(ISNUMBER(Data_2014_N!BB43),100*ABS($G43-(Data_2014_N!BB43-$K43)/$M43),0),IF(ISNUMBER(Data_2014_N!BB43),100*ABS($G43-(Data_2014_N!BB43-$K43)/$M43),0)))</f>
        <v>98.1308411214953</v>
      </c>
      <c r="BI43" s="161">
        <f>IF($H43=0,0,CHOOSE($H43,SUMPRODUCT($O44:$O$67*BI44:BI$67*($E44:$E$67=$D43)),IF(ISNUMBER(Data_2014_N!BC43),100*ABS($G43-(Data_2014_N!BC43-$K43)/$M43),0),IF(ISNUMBER(Data_2014_N!BC43),100*ABS($G43-(Data_2014_N!BC43-$K43)/$M43),0)))</f>
        <v>98.8785046728972</v>
      </c>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row>
    <row r="44" s="69" customFormat="1" ht="24.95" customHeight="1" spans="1:115">
      <c r="A44" s="92"/>
      <c r="B44" s="92">
        <f>tblIndicators!A40</f>
        <v>39</v>
      </c>
      <c r="C44" s="92">
        <f>tblIndicators!B40</f>
        <v>0</v>
      </c>
      <c r="D44" s="92" t="str">
        <f>tblIndicators!D40</f>
        <v>INSE3.2.4</v>
      </c>
      <c r="E44" s="92" t="str">
        <f>tblIndicators!E40</f>
        <v>INSE3.2</v>
      </c>
      <c r="F44" s="92">
        <f>tblIndicators!F40</f>
        <v>3</v>
      </c>
      <c r="G44" s="92">
        <f>tblIndicators!Y40</f>
        <v>1</v>
      </c>
      <c r="H44" s="92">
        <f>tblIndicators!Z40</f>
        <v>2</v>
      </c>
      <c r="I44" s="104">
        <f>tblIndicators!AA40</f>
        <v>0</v>
      </c>
      <c r="J44" s="92">
        <f>tblIndicators!AB40</f>
        <v>0</v>
      </c>
      <c r="K44" s="92">
        <f>CHOOSE(H44,"-",MIN(Data_2014_N!J44:BC44),I44)</f>
        <v>2</v>
      </c>
      <c r="L44" s="165">
        <f>CHOOSE(H44,"-",MAX(Data_2014_N!J44:BC44),J44)</f>
        <v>36.1</v>
      </c>
      <c r="M44" s="92">
        <f t="shared" si="1"/>
        <v>34.1</v>
      </c>
      <c r="N44" s="168" t="str">
        <f>REPT(" ",F44)&amp;tblIndicators!AE40</f>
        <v>   3.2.4) Percentage living in slums</v>
      </c>
      <c r="O44" s="169">
        <f>tblIndicators!AD40</f>
        <v>0.2</v>
      </c>
      <c r="P44" s="161">
        <f>IF($H44=0,0,CHOOSE($H44,SUMPRODUCT($O45:$O$67*P45:P$67*($E45:$E$67=$D44)),IF(ISNUMBER(Data_2014_N!J44),100*ABS($G44-(Data_2014_N!J44-$K44)/$M44),0),IF(ISNUMBER(Data_2014_N!J44),100*ABS($G44-(Data_2014_N!J44-$K44)/$M44),0)))</f>
        <v>48.6803519061584</v>
      </c>
      <c r="Q44" s="161">
        <f>IF($H44=0,0,CHOOSE($H44,SUMPRODUCT($O45:$O$67*Q45:Q$67*($E45:$E$67=$D44)),IF(ISNUMBER(Data_2014_N!K44),100*ABS($G44-(Data_2014_N!K44-$K44)/$M44),0),IF(ISNUMBER(Data_2014_N!K44),100*ABS($G44-(Data_2014_N!K44-$K44)/$M44),0)))</f>
        <v>61.8768328445748</v>
      </c>
      <c r="R44" s="161">
        <f>IF($H44=0,0,CHOOSE($H44,SUMPRODUCT($O45:$O$67*R45:R$67*($E45:$E$67=$D44)),IF(ISNUMBER(Data_2014_N!L44),100*ABS($G44-(Data_2014_N!L44-$K44)/$M44),0),IF(ISNUMBER(Data_2014_N!L44),100*ABS($G44-(Data_2014_N!L44-$K44)/$M44),0)))</f>
        <v>26.6862170087977</v>
      </c>
      <c r="S44" s="161">
        <f>IF($H44=0,0,CHOOSE($H44,SUMPRODUCT($O45:$O$67*S45:S$67*($E45:$E$67=$D44)),IF(ISNUMBER(Data_2014_N!M44),100*ABS($G44-(Data_2014_N!M44-$K44)/$M44),0),IF(ISNUMBER(Data_2014_N!M44),100*ABS($G44-(Data_2014_N!M44-$K44)/$M44),0)))</f>
        <v>25.8064516129032</v>
      </c>
      <c r="T44" s="161">
        <f>IF($H44=0,0,CHOOSE($H44,SUMPRODUCT($O45:$O$67*T45:T$67*($E45:$E$67=$D44)),IF(ISNUMBER(Data_2014_N!N44),100*ABS($G44-(Data_2014_N!N44-$K44)/$M44),0),IF(ISNUMBER(Data_2014_N!N44),100*ABS($G44-(Data_2014_N!N44-$K44)/$M44),0)))</f>
        <v>20.5278592375367</v>
      </c>
      <c r="U44" s="161">
        <f>IF($H44=0,0,CHOOSE($H44,SUMPRODUCT($O45:$O$67*U45:U$67*($E45:$E$67=$D44)),IF(ISNUMBER(Data_2014_N!O44),100*ABS($G44-(Data_2014_N!O44-$K44)/$M44),0),IF(ISNUMBER(Data_2014_N!O44),100*ABS($G44-(Data_2014_N!O44-$K44)/$M44),0)))</f>
        <v>42.5219941348974</v>
      </c>
      <c r="V44" s="161">
        <f>IF($H44=0,0,CHOOSE($H44,SUMPRODUCT($O45:$O$67*V45:V$67*($E45:$E$67=$D44)),IF(ISNUMBER(Data_2014_N!P44),100*ABS($G44-(Data_2014_N!P44-$K44)/$M44),0),IF(ISNUMBER(Data_2014_N!P44),100*ABS($G44-(Data_2014_N!P44-$K44)/$M44),0)))</f>
        <v>44.8680351906158</v>
      </c>
      <c r="W44" s="161">
        <f>IF($H44=0,0,CHOOSE($H44,SUMPRODUCT($O45:$O$67*W45:W$67*($E45:$E$67=$D44)),IF(ISNUMBER(Data_2014_N!Q44),100*ABS($G44-(Data_2014_N!Q44-$K44)/$M44),0),IF(ISNUMBER(Data_2014_N!Q44),100*ABS($G44-(Data_2014_N!Q44-$K44)/$M44),0)))</f>
        <v>47.2140762463343</v>
      </c>
      <c r="X44" s="161">
        <f>IF($H44=0,0,CHOOSE($H44,SUMPRODUCT($O45:$O$67*X45:X$67*($E45:$E$67=$D44)),IF(ISNUMBER(Data_2014_N!R44),100*ABS($G44-(Data_2014_N!R44-$K44)/$M44),0),IF(ISNUMBER(Data_2014_N!R44),100*ABS($G44-(Data_2014_N!R44-$K44)/$M44),0)))</f>
        <v>19.6480938416422</v>
      </c>
      <c r="Y44" s="161">
        <f>IF($H44=0,0,CHOOSE($H44,SUMPRODUCT($O45:$O$67*Y45:Y$67*($E45:$E$67=$D44)),IF(ISNUMBER(Data_2014_N!S44),100*ABS($G44-(Data_2014_N!S44-$K44)/$M44),0),IF(ISNUMBER(Data_2014_N!S44),100*ABS($G44-(Data_2014_N!S44-$K44)/$M44),0)))</f>
        <v>48.6803519061584</v>
      </c>
      <c r="Z44" s="161">
        <f>IF($H44=0,0,CHOOSE($H44,SUMPRODUCT($O45:$O$67*Z45:Z$67*($E45:$E$67=$D44)),IF(ISNUMBER(Data_2014_N!T44),100*ABS($G44-(Data_2014_N!T44-$K44)/$M44),0),IF(ISNUMBER(Data_2014_N!T44),100*ABS($G44-(Data_2014_N!T44-$K44)/$M44),0)))</f>
        <v>48.3870967741936</v>
      </c>
      <c r="AA44" s="161">
        <f>IF($H44=0,0,CHOOSE($H44,SUMPRODUCT($O45:$O$67*AA45:AA$67*($E45:$E$67=$D44)),IF(ISNUMBER(Data_2014_N!U44),100*ABS($G44-(Data_2014_N!U44-$K44)/$M44),0),IF(ISNUMBER(Data_2014_N!U44),100*ABS($G44-(Data_2014_N!U44-$K44)/$M44),0)))</f>
        <v>2.63929618768328</v>
      </c>
      <c r="AB44" s="161">
        <f>IF($H44=0,0,CHOOSE($H44,SUMPRODUCT($O45:$O$67*AB45:AB$67*($E45:$E$67=$D44)),IF(ISNUMBER(Data_2014_N!V44),100*ABS($G44-(Data_2014_N!V44-$K44)/$M44),0),IF(ISNUMBER(Data_2014_N!V44),100*ABS($G44-(Data_2014_N!V44-$K44)/$M44),0)))</f>
        <v>53.0791788856305</v>
      </c>
      <c r="AC44" s="161">
        <f>IF($H44=0,0,CHOOSE($H44,SUMPRODUCT($O45:$O$67*AC45:AC$67*($E45:$E$67=$D44)),IF(ISNUMBER(Data_2014_N!W44),100*ABS($G44-(Data_2014_N!W44-$K44)/$M44),0),IF(ISNUMBER(Data_2014_N!W44),100*ABS($G44-(Data_2014_N!W44-$K44)/$M44),0)))</f>
        <v>67.741935483871</v>
      </c>
      <c r="AD44" s="161">
        <f>IF($H44=0,0,CHOOSE($H44,SUMPRODUCT($O45:$O$67*AD45:AD$67*($E45:$E$67=$D44)),IF(ISNUMBER(Data_2014_N!X44),100*ABS($G44-(Data_2014_N!X44-$K44)/$M44),0),IF(ISNUMBER(Data_2014_N!X44),100*ABS($G44-(Data_2014_N!X44-$K44)/$M44),0)))</f>
        <v>38.41642228739</v>
      </c>
      <c r="AE44" s="161">
        <f>IF($H44=0,0,CHOOSE($H44,SUMPRODUCT($O45:$O$67*AE45:AE$67*($E45:$E$67=$D44)),IF(ISNUMBER(Data_2014_N!Y44),100*ABS($G44-(Data_2014_N!Y44-$K44)/$M44),0),IF(ISNUMBER(Data_2014_N!Y44),100*ABS($G44-(Data_2014_N!Y44-$K44)/$M44),0)))</f>
        <v>38.41642228739</v>
      </c>
      <c r="AF44" s="161">
        <f>IF($H44=0,0,CHOOSE($H44,SUMPRODUCT($O45:$O$67*AF45:AF$67*($E45:$E$67=$D44)),IF(ISNUMBER(Data_2014_N!Z44),100*ABS($G44-(Data_2014_N!Z44-$K44)/$M44),0),IF(ISNUMBER(Data_2014_N!Z44),100*ABS($G44-(Data_2014_N!Z44-$K44)/$M44),0)))</f>
        <v>91.2023460410557</v>
      </c>
      <c r="AG44" s="161">
        <f>IF($H44=0,0,CHOOSE($H44,SUMPRODUCT($O45:$O$67*AG45:AG$67*($E45:$E$67=$D44)),IF(ISNUMBER(Data_2014_N!AA44),100*ABS($G44-(Data_2014_N!AA44-$K44)/$M44),0),IF(ISNUMBER(Data_2014_N!AA44),100*ABS($G44-(Data_2014_N!AA44-$K44)/$M44),0)))</f>
        <v>0</v>
      </c>
      <c r="AH44" s="161">
        <f>IF($H44=0,0,CHOOSE($H44,SUMPRODUCT($O45:$O$67*AH45:AH$67*($E45:$E$67=$D44)),IF(ISNUMBER(Data_2014_N!AB44),100*ABS($G44-(Data_2014_N!AB44-$K44)/$M44),0),IF(ISNUMBER(Data_2014_N!AB44),100*ABS($G44-(Data_2014_N!AB44-$K44)/$M44),0)))</f>
        <v>35.1906158357771</v>
      </c>
      <c r="AI44" s="161">
        <f>IF($H44=0,0,CHOOSE($H44,SUMPRODUCT($O45:$O$67*AI45:AI$67*($E45:$E$67=$D44)),IF(ISNUMBER(Data_2014_N!AC44),100*ABS($G44-(Data_2014_N!AC44-$K44)/$M44),0),IF(ISNUMBER(Data_2014_N!AC44),100*ABS($G44-(Data_2014_N!AC44-$K44)/$M44),0)))</f>
        <v>47.2140762463343</v>
      </c>
      <c r="AJ44" s="161">
        <f>IF($H44=0,0,CHOOSE($H44,SUMPRODUCT($O45:$O$67*AJ45:AJ$67*($E45:$E$67=$D44)),IF(ISNUMBER(Data_2014_N!AD44),100*ABS($G44-(Data_2014_N!AD44-$K44)/$M44),0),IF(ISNUMBER(Data_2014_N!AD44),100*ABS($G44-(Data_2014_N!AD44-$K44)/$M44),0)))</f>
        <v>25.8064516129032</v>
      </c>
      <c r="AK44" s="161">
        <f>IF($H44=0,0,CHOOSE($H44,SUMPRODUCT($O45:$O$67*AK45:AK$67*($E45:$E$67=$D44)),IF(ISNUMBER(Data_2014_N!AE44),100*ABS($G44-(Data_2014_N!AE44-$K44)/$M44),0),IF(ISNUMBER(Data_2014_N!AE44),100*ABS($G44-(Data_2014_N!AE44-$K44)/$M44),0)))</f>
        <v>68.9149560117302</v>
      </c>
      <c r="AL44" s="161">
        <f>IF($H44=0,0,CHOOSE($H44,SUMPRODUCT($O45:$O$67*AL45:AL$67*($E45:$E$67=$D44)),IF(ISNUMBER(Data_2014_N!AF44),100*ABS($G44-(Data_2014_N!AF44-$K44)/$M44),0),IF(ISNUMBER(Data_2014_N!AF44),100*ABS($G44-(Data_2014_N!AF44-$K44)/$M44),0)))</f>
        <v>63.6363636363636</v>
      </c>
      <c r="AM44" s="161">
        <f>IF($H44=0,0,CHOOSE($H44,SUMPRODUCT($O45:$O$67*AM45:AM$67*($E45:$E$67=$D44)),IF(ISNUMBER(Data_2014_N!AG44),100*ABS($G44-(Data_2014_N!AG44-$K44)/$M44),0),IF(ISNUMBER(Data_2014_N!AG44),100*ABS($G44-(Data_2014_N!AG44-$K44)/$M44),0)))</f>
        <v>22.5806451612903</v>
      </c>
      <c r="AN44" s="161">
        <f>IF($H44=0,0,CHOOSE($H44,SUMPRODUCT($O45:$O$67*AN45:AN$67*($E45:$E$67=$D44)),IF(ISNUMBER(Data_2014_N!AH44),100*ABS($G44-(Data_2014_N!AH44-$K44)/$M44),0),IF(ISNUMBER(Data_2014_N!AH44),100*ABS($G44-(Data_2014_N!AH44-$K44)/$M44),0)))</f>
        <v>0.293255131964809</v>
      </c>
      <c r="AO44" s="161">
        <f>IF($H44=0,0,CHOOSE($H44,SUMPRODUCT($O45:$O$67*AO45:AO$67*($E45:$E$67=$D44)),IF(ISNUMBER(Data_2014_N!AI44),100*ABS($G44-(Data_2014_N!AI44-$K44)/$M44),0),IF(ISNUMBER(Data_2014_N!AI44),100*ABS($G44-(Data_2014_N!AI44-$K44)/$M44),0)))</f>
        <v>19.6480938416422</v>
      </c>
      <c r="AP44" s="161">
        <f>IF($H44=0,0,CHOOSE($H44,SUMPRODUCT($O45:$O$67*AP45:AP$67*($E45:$E$67=$D44)),IF(ISNUMBER(Data_2014_N!AJ44),100*ABS($G44-(Data_2014_N!AJ44-$K44)/$M44),0),IF(ISNUMBER(Data_2014_N!AJ44),100*ABS($G44-(Data_2014_N!AJ44-$K44)/$M44),0)))</f>
        <v>47.2140762463343</v>
      </c>
      <c r="AQ44" s="161">
        <f>IF($H44=0,0,CHOOSE($H44,SUMPRODUCT($O45:$O$67*AQ45:AQ$67*($E45:$E$67=$D44)),IF(ISNUMBER(Data_2014_N!AK44),100*ABS($G44-(Data_2014_N!AK44-$K44)/$M44),0),IF(ISNUMBER(Data_2014_N!AK44),100*ABS($G44-(Data_2014_N!AK44-$K44)/$M44),0)))</f>
        <v>59.8240469208211</v>
      </c>
      <c r="AR44" s="161">
        <f>IF($H44=0,0,CHOOSE($H44,SUMPRODUCT($O45:$O$67*AR45:AR$67*($E45:$E$67=$D44)),IF(ISNUMBER(Data_2014_N!AL44),100*ABS($G44-(Data_2014_N!AL44-$K44)/$M44),0),IF(ISNUMBER(Data_2014_N!AL44),100*ABS($G44-(Data_2014_N!AL44-$K44)/$M44),0)))</f>
        <v>49.8533724340176</v>
      </c>
      <c r="AS44" s="161">
        <f>IF($H44=0,0,CHOOSE($H44,SUMPRODUCT($O45:$O$67*AS45:AS$67*($E45:$E$67=$D44)),IF(ISNUMBER(Data_2014_N!AM44),100*ABS($G44-(Data_2014_N!AM44-$K44)/$M44),0),IF(ISNUMBER(Data_2014_N!AM44),100*ABS($G44-(Data_2014_N!AM44-$K44)/$M44),0)))</f>
        <v>26.9794721407625</v>
      </c>
      <c r="AT44" s="161">
        <f>IF($H44=0,0,CHOOSE($H44,SUMPRODUCT($O45:$O$67*AT45:AT$67*($E45:$E$67=$D44)),IF(ISNUMBER(Data_2014_N!AN44),100*ABS($G44-(Data_2014_N!AN44-$K44)/$M44),0),IF(ISNUMBER(Data_2014_N!AN44),100*ABS($G44-(Data_2014_N!AN44-$K44)/$M44),0)))</f>
        <v>53.0791788856305</v>
      </c>
      <c r="AU44" s="161">
        <f>IF($H44=0,0,CHOOSE($H44,SUMPRODUCT($O45:$O$67*AU45:AU$67*($E45:$E$67=$D44)),IF(ISNUMBER(Data_2014_N!AO44),100*ABS($G44-(Data_2014_N!AO44-$K44)/$M44),0),IF(ISNUMBER(Data_2014_N!AO44),100*ABS($G44-(Data_2014_N!AO44-$K44)/$M44),0)))</f>
        <v>22.5806451612903</v>
      </c>
      <c r="AV44" s="161">
        <f>IF($H44=0,0,CHOOSE($H44,SUMPRODUCT($O45:$O$67*AV45:AV$67*($E45:$E$67=$D44)),IF(ISNUMBER(Data_2014_N!AP44),100*ABS($G44-(Data_2014_N!AP44-$K44)/$M44),0),IF(ISNUMBER(Data_2014_N!AP44),100*ABS($G44-(Data_2014_N!AP44-$K44)/$M44),0)))</f>
        <v>47.2140762463343</v>
      </c>
      <c r="AW44" s="161">
        <f>IF($H44=0,0,CHOOSE($H44,SUMPRODUCT($O45:$O$67*AW45:AW$67*($E45:$E$67=$D44)),IF(ISNUMBER(Data_2014_N!AQ44),100*ABS($G44-(Data_2014_N!AQ44-$K44)/$M44),0),IF(ISNUMBER(Data_2014_N!AQ44),100*ABS($G44-(Data_2014_N!AQ44-$K44)/$M44),0)))</f>
        <v>79.4721407624633</v>
      </c>
      <c r="AX44" s="161">
        <f>IF($H44=0,0,CHOOSE($H44,SUMPRODUCT($O45:$O$67*AX45:AX$67*($E45:$E$67=$D44)),IF(ISNUMBER(Data_2014_N!AR44),100*ABS($G44-(Data_2014_N!AR44-$K44)/$M44),0),IF(ISNUMBER(Data_2014_N!AR44),100*ABS($G44-(Data_2014_N!AR44-$K44)/$M44),0)))</f>
        <v>26.9794721407625</v>
      </c>
      <c r="AY44" s="161">
        <f>IF($H44=0,0,CHOOSE($H44,SUMPRODUCT($O45:$O$67*AY45:AY$67*($E45:$E$67=$D44)),IF(ISNUMBER(Data_2014_N!AS44),100*ABS($G44-(Data_2014_N!AS44-$K44)/$M44),0),IF(ISNUMBER(Data_2014_N!AS44),100*ABS($G44-(Data_2014_N!AS44-$K44)/$M44),0)))</f>
        <v>61.8768328445748</v>
      </c>
      <c r="AZ44" s="161">
        <f>IF($H44=0,0,CHOOSE($H44,SUMPRODUCT($O45:$O$67*AZ45:AZ$67*($E45:$E$67=$D44)),IF(ISNUMBER(Data_2014_N!AT44),100*ABS($G44-(Data_2014_N!AT44-$K44)/$M44),0),IF(ISNUMBER(Data_2014_N!AT44),100*ABS($G44-(Data_2014_N!AT44-$K44)/$M44),0)))</f>
        <v>20.5278592375367</v>
      </c>
      <c r="BA44" s="161">
        <f>IF($H44=0,0,CHOOSE($H44,SUMPRODUCT($O45:$O$67*BA45:BA$67*($E45:$E$67=$D44)),IF(ISNUMBER(Data_2014_N!AU44),100*ABS($G44-(Data_2014_N!AU44-$K44)/$M44),0),IF(ISNUMBER(Data_2014_N!AU44),100*ABS($G44-(Data_2014_N!AU44-$K44)/$M44),0)))</f>
        <v>29.6187683284458</v>
      </c>
      <c r="BB44" s="161">
        <f>IF($H44=0,0,CHOOSE($H44,SUMPRODUCT($O45:$O$67*BB45:BB$67*($E45:$E$67=$D44)),IF(ISNUMBER(Data_2014_N!AV44),100*ABS($G44-(Data_2014_N!AV44-$K44)/$M44),0),IF(ISNUMBER(Data_2014_N!AV44),100*ABS($G44-(Data_2014_N!AV44-$K44)/$M44),0)))</f>
        <v>70.3812316715543</v>
      </c>
      <c r="BC44" s="161">
        <f>IF($H44=0,0,CHOOSE($H44,SUMPRODUCT($O45:$O$67*BC45:BC$67*($E45:$E$67=$D44)),IF(ISNUMBER(Data_2014_N!AW44),100*ABS($G44-(Data_2014_N!AW44-$K44)/$M44),0),IF(ISNUMBER(Data_2014_N!AW44),100*ABS($G44-(Data_2014_N!AW44-$K44)/$M44),0)))</f>
        <v>68.9149560117302</v>
      </c>
      <c r="BD44" s="161">
        <f>IF($H44=0,0,CHOOSE($H44,SUMPRODUCT($O45:$O$67*BD45:BD$67*($E45:$E$67=$D44)),IF(ISNUMBER(Data_2014_N!AX44),100*ABS($G44-(Data_2014_N!AX44-$K44)/$M44),0),IF(ISNUMBER(Data_2014_N!AX44),100*ABS($G44-(Data_2014_N!AX44-$K44)/$M44),0)))</f>
        <v>100</v>
      </c>
      <c r="BE44" s="161">
        <f>IF($H44=0,0,CHOOSE($H44,SUMPRODUCT($O45:$O$67*BE45:BE$67*($E45:$E$67=$D44)),IF(ISNUMBER(Data_2014_N!AY44),100*ABS($G44-(Data_2014_N!AY44-$K44)/$M44),0),IF(ISNUMBER(Data_2014_N!AY44),100*ABS($G44-(Data_2014_N!AY44-$K44)/$M44),0)))</f>
        <v>61.8768328445748</v>
      </c>
      <c r="BF44" s="161">
        <f>IF($H44=0,0,CHOOSE($H44,SUMPRODUCT($O45:$O$67*BF45:BF$67*($E45:$E$67=$D44)),IF(ISNUMBER(Data_2014_N!AZ44),100*ABS($G44-(Data_2014_N!AZ44-$K44)/$M44),0),IF(ISNUMBER(Data_2014_N!AZ44),100*ABS($G44-(Data_2014_N!AZ44-$K44)/$M44),0)))</f>
        <v>59.8240469208211</v>
      </c>
      <c r="BG44" s="161">
        <f>IF($H44=0,0,CHOOSE($H44,SUMPRODUCT($O45:$O$67*BG45:BG$67*($E45:$E$67=$D44)),IF(ISNUMBER(Data_2014_N!BA44),100*ABS($G44-(Data_2014_N!BA44-$K44)/$M44),0),IF(ISNUMBER(Data_2014_N!BA44),100*ABS($G44-(Data_2014_N!BA44-$K44)/$M44),0)))</f>
        <v>67.1554252199413</v>
      </c>
      <c r="BH44" s="161">
        <f>IF($H44=0,0,CHOOSE($H44,SUMPRODUCT($O45:$O$67*BH45:BH$67*($E45:$E$67=$D44)),IF(ISNUMBER(Data_2014_N!BB44),100*ABS($G44-(Data_2014_N!BB44-$K44)/$M44),0),IF(ISNUMBER(Data_2014_N!BB44),100*ABS($G44-(Data_2014_N!BB44-$K44)/$M44),0)))</f>
        <v>47.2140762463343</v>
      </c>
      <c r="BI44" s="161">
        <f>IF($H44=0,0,CHOOSE($H44,SUMPRODUCT($O45:$O$67*BI45:BI$67*($E45:$E$67=$D44)),IF(ISNUMBER(Data_2014_N!BC44),100*ABS($G44-(Data_2014_N!BC44-$K44)/$M44),0),IF(ISNUMBER(Data_2014_N!BC44),100*ABS($G44-(Data_2014_N!BC44-$K44)/$M44),0)))</f>
        <v>93.5483870967742</v>
      </c>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row>
    <row r="45" s="69" customFormat="1" ht="24.95" customHeight="1" spans="1:115">
      <c r="A45" s="92"/>
      <c r="B45" s="92">
        <f>tblIndicators!A41</f>
        <v>40</v>
      </c>
      <c r="C45" s="92">
        <f>tblIndicators!B41</f>
        <v>0</v>
      </c>
      <c r="D45" s="92" t="str">
        <f>tblIndicators!D41</f>
        <v>INSE3.2.5</v>
      </c>
      <c r="E45" s="92" t="str">
        <f>tblIndicators!E41</f>
        <v>INSE3.2</v>
      </c>
      <c r="F45" s="92">
        <f>tblIndicators!F41</f>
        <v>3</v>
      </c>
      <c r="G45" s="92">
        <f>tblIndicators!Y41</f>
        <v>1</v>
      </c>
      <c r="H45" s="92">
        <f>tblIndicators!Z41</f>
        <v>2</v>
      </c>
      <c r="I45" s="104">
        <f>tblIndicators!AA41</f>
        <v>0</v>
      </c>
      <c r="J45" s="92">
        <f>tblIndicators!AB41</f>
        <v>0</v>
      </c>
      <c r="K45" s="92">
        <f>CHOOSE(H45,"-",MIN(Data_2014_N!J45:BC45),I45)</f>
        <v>0</v>
      </c>
      <c r="L45" s="165">
        <f>CHOOSE(H45,"-",MAX(Data_2014_N!J45:BC45),J45)</f>
        <v>1.2</v>
      </c>
      <c r="M45" s="92">
        <f t="shared" si="1"/>
        <v>1.2</v>
      </c>
      <c r="N45" s="168" t="str">
        <f>REPT(" ",F45)&amp;tblIndicators!AE41</f>
        <v>   3.2.5) Number of attacks on facilities/infrastructure</v>
      </c>
      <c r="O45" s="169">
        <f>tblIndicators!AD41</f>
        <v>0.2</v>
      </c>
      <c r="P45" s="161">
        <f>IF($H45=0,0,CHOOSE($H45,SUMPRODUCT($O46:$O$67*P46:P$67*($E46:$E$67=$D45)),IF(ISNUMBER(Data_2014_N!J45),100*ABS($G45-(Data_2014_N!J45-$K45)/$M45),0),IF(ISNUMBER(Data_2014_N!J45),100*ABS($G45-(Data_2014_N!J45-$K45)/$M45),0)))</f>
        <v>100</v>
      </c>
      <c r="Q45" s="161">
        <f>IF($H45=0,0,CHOOSE($H45,SUMPRODUCT($O46:$O$67*Q46:Q$67*($E46:$E$67=$D45)),IF(ISNUMBER(Data_2014_N!K45),100*ABS($G45-(Data_2014_N!K45-$K45)/$M45),0),IF(ISNUMBER(Data_2014_N!K45),100*ABS($G45-(Data_2014_N!K45-$K45)/$M45),0)))</f>
        <v>100</v>
      </c>
      <c r="R45" s="161">
        <f>IF($H45=0,0,CHOOSE($H45,SUMPRODUCT($O46:$O$67*R46:R$67*($E46:$E$67=$D45)),IF(ISNUMBER(Data_2014_N!L45),100*ABS($G45-(Data_2014_N!L45-$K45)/$M45),0),IF(ISNUMBER(Data_2014_N!L45),100*ABS($G45-(Data_2014_N!L45-$K45)/$M45),0)))</f>
        <v>0</v>
      </c>
      <c r="S45" s="161">
        <f>IF($H45=0,0,CHOOSE($H45,SUMPRODUCT($O46:$O$67*S46:S$67*($E46:$E$67=$D45)),IF(ISNUMBER(Data_2014_N!M45),100*ABS($G45-(Data_2014_N!M45-$K45)/$M45),0),IF(ISNUMBER(Data_2014_N!M45),100*ABS($G45-(Data_2014_N!M45-$K45)/$M45),0)))</f>
        <v>100</v>
      </c>
      <c r="T45" s="161">
        <f>IF($H45=0,0,CHOOSE($H45,SUMPRODUCT($O46:$O$67*T46:T$67*($E46:$E$67=$D45)),IF(ISNUMBER(Data_2014_N!N45),100*ABS($G45-(Data_2014_N!N45-$K45)/$M45),0),IF(ISNUMBER(Data_2014_N!N45),100*ABS($G45-(Data_2014_N!N45-$K45)/$M45),0)))</f>
        <v>100</v>
      </c>
      <c r="U45" s="161">
        <f>IF($H45=0,0,CHOOSE($H45,SUMPRODUCT($O46:$O$67*U46:U$67*($E46:$E$67=$D45)),IF(ISNUMBER(Data_2014_N!O45),100*ABS($G45-(Data_2014_N!O45-$K45)/$M45),0),IF(ISNUMBER(Data_2014_N!O45),100*ABS($G45-(Data_2014_N!O45-$K45)/$M45),0)))</f>
        <v>100</v>
      </c>
      <c r="V45" s="161">
        <f>IF($H45=0,0,CHOOSE($H45,SUMPRODUCT($O46:$O$67*V46:V$67*($E46:$E$67=$D45)),IF(ISNUMBER(Data_2014_N!P45),100*ABS($G45-(Data_2014_N!P45-$K45)/$M45),0),IF(ISNUMBER(Data_2014_N!P45),100*ABS($G45-(Data_2014_N!P45-$K45)/$M45),0)))</f>
        <v>83.3333333333333</v>
      </c>
      <c r="W45" s="161">
        <f>IF($H45=0,0,CHOOSE($H45,SUMPRODUCT($O46:$O$67*W46:W$67*($E46:$E$67=$D45)),IF(ISNUMBER(Data_2014_N!Q45),100*ABS($G45-(Data_2014_N!Q45-$K45)/$M45),0),IF(ISNUMBER(Data_2014_N!Q45),100*ABS($G45-(Data_2014_N!Q45-$K45)/$M45),0)))</f>
        <v>100</v>
      </c>
      <c r="X45" s="161">
        <f>IF($H45=0,0,CHOOSE($H45,SUMPRODUCT($O46:$O$67*X46:X$67*($E46:$E$67=$D45)),IF(ISNUMBER(Data_2014_N!R45),100*ABS($G45-(Data_2014_N!R45-$K45)/$M45),0),IF(ISNUMBER(Data_2014_N!R45),100*ABS($G45-(Data_2014_N!R45-$K45)/$M45),0)))</f>
        <v>75</v>
      </c>
      <c r="Y45" s="161">
        <f>IF($H45=0,0,CHOOSE($H45,SUMPRODUCT($O46:$O$67*Y46:Y$67*($E46:$E$67=$D45)),IF(ISNUMBER(Data_2014_N!S45),100*ABS($G45-(Data_2014_N!S45-$K45)/$M45),0),IF(ISNUMBER(Data_2014_N!S45),100*ABS($G45-(Data_2014_N!S45-$K45)/$M45),0)))</f>
        <v>100</v>
      </c>
      <c r="Z45" s="161">
        <f>IF($H45=0,0,CHOOSE($H45,SUMPRODUCT($O46:$O$67*Z46:Z$67*($E46:$E$67=$D45)),IF(ISNUMBER(Data_2014_N!T45),100*ABS($G45-(Data_2014_N!T45-$K45)/$M45),0),IF(ISNUMBER(Data_2014_N!T45),100*ABS($G45-(Data_2014_N!T45-$K45)/$M45),0)))</f>
        <v>100</v>
      </c>
      <c r="AA45" s="161">
        <f>IF($H45=0,0,CHOOSE($H45,SUMPRODUCT($O46:$O$67*AA46:AA$67*($E46:$E$67=$D45)),IF(ISNUMBER(Data_2014_N!U45),100*ABS($G45-(Data_2014_N!U45-$K45)/$M45),0),IF(ISNUMBER(Data_2014_N!U45),100*ABS($G45-(Data_2014_N!U45-$K45)/$M45),0)))</f>
        <v>100</v>
      </c>
      <c r="AB45" s="161">
        <f>IF($H45=0,0,CHOOSE($H45,SUMPRODUCT($O46:$O$67*AB46:AB$67*($E46:$E$67=$D45)),IF(ISNUMBER(Data_2014_N!V45),100*ABS($G45-(Data_2014_N!V45-$K45)/$M45),0),IF(ISNUMBER(Data_2014_N!V45),100*ABS($G45-(Data_2014_N!V45-$K45)/$M45),0)))</f>
        <v>100</v>
      </c>
      <c r="AC45" s="161">
        <f>IF($H45=0,0,CHOOSE($H45,SUMPRODUCT($O46:$O$67*AC46:AC$67*($E46:$E$67=$D45)),IF(ISNUMBER(Data_2014_N!W45),100*ABS($G45-(Data_2014_N!W45-$K45)/$M45),0),IF(ISNUMBER(Data_2014_N!W45),100*ABS($G45-(Data_2014_N!W45-$K45)/$M45),0)))</f>
        <v>16.6666666666667</v>
      </c>
      <c r="AD45" s="161">
        <f>IF($H45=0,0,CHOOSE($H45,SUMPRODUCT($O46:$O$67*AD46:AD$67*($E46:$E$67=$D45)),IF(ISNUMBER(Data_2014_N!X45),100*ABS($G45-(Data_2014_N!X45-$K45)/$M45),0),IF(ISNUMBER(Data_2014_N!X45),100*ABS($G45-(Data_2014_N!X45-$K45)/$M45),0)))</f>
        <v>91.6666666666667</v>
      </c>
      <c r="AE45" s="161">
        <f>IF($H45=0,0,CHOOSE($H45,SUMPRODUCT($O46:$O$67*AE46:AE$67*($E46:$E$67=$D45)),IF(ISNUMBER(Data_2014_N!Y45),100*ABS($G45-(Data_2014_N!Y45-$K45)/$M45),0),IF(ISNUMBER(Data_2014_N!Y45),100*ABS($G45-(Data_2014_N!Y45-$K45)/$M45),0)))</f>
        <v>100</v>
      </c>
      <c r="AF45" s="161">
        <f>IF($H45=0,0,CHOOSE($H45,SUMPRODUCT($O46:$O$67*AF46:AF$67*($E46:$E$67=$D45)),IF(ISNUMBER(Data_2014_N!Z45),100*ABS($G45-(Data_2014_N!Z45-$K45)/$M45),0),IF(ISNUMBER(Data_2014_N!Z45),100*ABS($G45-(Data_2014_N!Z45-$K45)/$M45),0)))</f>
        <v>100</v>
      </c>
      <c r="AG45" s="161">
        <f>IF($H45=0,0,CHOOSE($H45,SUMPRODUCT($O46:$O$67*AG46:AG$67*($E46:$E$67=$D45)),IF(ISNUMBER(Data_2014_N!AA45),100*ABS($G45-(Data_2014_N!AA45-$K45)/$M45),0),IF(ISNUMBER(Data_2014_N!AA45),100*ABS($G45-(Data_2014_N!AA45-$K45)/$M45),0)))</f>
        <v>100</v>
      </c>
      <c r="AH45" s="161">
        <f>IF($H45=0,0,CHOOSE($H45,SUMPRODUCT($O46:$O$67*AH46:AH$67*($E46:$E$67=$D45)),IF(ISNUMBER(Data_2014_N!AB45),100*ABS($G45-(Data_2014_N!AB45-$K45)/$M45),0),IF(ISNUMBER(Data_2014_N!AB45),100*ABS($G45-(Data_2014_N!AB45-$K45)/$M45),0)))</f>
        <v>25</v>
      </c>
      <c r="AI45" s="161">
        <f>IF($H45=0,0,CHOOSE($H45,SUMPRODUCT($O46:$O$67*AI46:AI$67*($E46:$E$67=$D45)),IF(ISNUMBER(Data_2014_N!AC45),100*ABS($G45-(Data_2014_N!AC45-$K45)/$M45),0),IF(ISNUMBER(Data_2014_N!AC45),100*ABS($G45-(Data_2014_N!AC45-$K45)/$M45),0)))</f>
        <v>91.6666666666667</v>
      </c>
      <c r="AJ45" s="161">
        <f>IF($H45=0,0,CHOOSE($H45,SUMPRODUCT($O46:$O$67*AJ46:AJ$67*($E46:$E$67=$D45)),IF(ISNUMBER(Data_2014_N!AD45),100*ABS($G45-(Data_2014_N!AD45-$K45)/$M45),0),IF(ISNUMBER(Data_2014_N!AD45),100*ABS($G45-(Data_2014_N!AD45-$K45)/$M45),0)))</f>
        <v>50</v>
      </c>
      <c r="AK45" s="161">
        <f>IF($H45=0,0,CHOOSE($H45,SUMPRODUCT($O46:$O$67*AK46:AK$67*($E46:$E$67=$D45)),IF(ISNUMBER(Data_2014_N!AE45),100*ABS($G45-(Data_2014_N!AE45-$K45)/$M45),0),IF(ISNUMBER(Data_2014_N!AE45),100*ABS($G45-(Data_2014_N!AE45-$K45)/$M45),0)))</f>
        <v>100</v>
      </c>
      <c r="AL45" s="161">
        <f>IF($H45=0,0,CHOOSE($H45,SUMPRODUCT($O46:$O$67*AL46:AL$67*($E46:$E$67=$D45)),IF(ISNUMBER(Data_2014_N!AF45),100*ABS($G45-(Data_2014_N!AF45-$K45)/$M45),0),IF(ISNUMBER(Data_2014_N!AF45),100*ABS($G45-(Data_2014_N!AF45-$K45)/$M45),0)))</f>
        <v>100</v>
      </c>
      <c r="AM45" s="161">
        <f>IF($H45=0,0,CHOOSE($H45,SUMPRODUCT($O46:$O$67*AM46:AM$67*($E46:$E$67=$D45)),IF(ISNUMBER(Data_2014_N!AG45),100*ABS($G45-(Data_2014_N!AG45-$K45)/$M45),0),IF(ISNUMBER(Data_2014_N!AG45),100*ABS($G45-(Data_2014_N!AG45-$K45)/$M45),0)))</f>
        <v>100</v>
      </c>
      <c r="AN45" s="161">
        <f>IF($H45=0,0,CHOOSE($H45,SUMPRODUCT($O46:$O$67*AN46:AN$67*($E46:$E$67=$D45)),IF(ISNUMBER(Data_2014_N!AH45),100*ABS($G45-(Data_2014_N!AH45-$K45)/$M45),0),IF(ISNUMBER(Data_2014_N!AH45),100*ABS($G45-(Data_2014_N!AH45-$K45)/$M45),0)))</f>
        <v>83.3333333333333</v>
      </c>
      <c r="AO45" s="161">
        <f>IF($H45=0,0,CHOOSE($H45,SUMPRODUCT($O46:$O$67*AO46:AO$67*($E46:$E$67=$D45)),IF(ISNUMBER(Data_2014_N!AI45),100*ABS($G45-(Data_2014_N!AI45-$K45)/$M45),0),IF(ISNUMBER(Data_2014_N!AI45),100*ABS($G45-(Data_2014_N!AI45-$K45)/$M45),0)))</f>
        <v>66.6666666666667</v>
      </c>
      <c r="AP45" s="161">
        <f>IF($H45=0,0,CHOOSE($H45,SUMPRODUCT($O46:$O$67*AP46:AP$67*($E46:$E$67=$D45)),IF(ISNUMBER(Data_2014_N!AJ45),100*ABS($G45-(Data_2014_N!AJ45-$K45)/$M45),0),IF(ISNUMBER(Data_2014_N!AJ45),100*ABS($G45-(Data_2014_N!AJ45-$K45)/$M45),0)))</f>
        <v>91.6666666666667</v>
      </c>
      <c r="AQ45" s="161">
        <f>IF($H45=0,0,CHOOSE($H45,SUMPRODUCT($O46:$O$67*AQ46:AQ$67*($E46:$E$67=$D45)),IF(ISNUMBER(Data_2014_N!AK45),100*ABS($G45-(Data_2014_N!AK45-$K45)/$M45),0),IF(ISNUMBER(Data_2014_N!AK45),100*ABS($G45-(Data_2014_N!AK45-$K45)/$M45),0)))</f>
        <v>100</v>
      </c>
      <c r="AR45" s="161">
        <f>IF($H45=0,0,CHOOSE($H45,SUMPRODUCT($O46:$O$67*AR46:AR$67*($E46:$E$67=$D45)),IF(ISNUMBER(Data_2014_N!AL45),100*ABS($G45-(Data_2014_N!AL45-$K45)/$M45),0),IF(ISNUMBER(Data_2014_N!AL45),100*ABS($G45-(Data_2014_N!AL45-$K45)/$M45),0)))</f>
        <v>100</v>
      </c>
      <c r="AS45" s="161">
        <f>IF($H45=0,0,CHOOSE($H45,SUMPRODUCT($O46:$O$67*AS46:AS$67*($E46:$E$67=$D45)),IF(ISNUMBER(Data_2014_N!AM45),100*ABS($G45-(Data_2014_N!AM45-$K45)/$M45),0),IF(ISNUMBER(Data_2014_N!AM45),100*ABS($G45-(Data_2014_N!AM45-$K45)/$M45),0)))</f>
        <v>100</v>
      </c>
      <c r="AT45" s="161">
        <f>IF($H45=0,0,CHOOSE($H45,SUMPRODUCT($O46:$O$67*AT46:AT$67*($E46:$E$67=$D45)),IF(ISNUMBER(Data_2014_N!AN45),100*ABS($G45-(Data_2014_N!AN45-$K45)/$M45),0),IF(ISNUMBER(Data_2014_N!AN45),100*ABS($G45-(Data_2014_N!AN45-$K45)/$M45),0)))</f>
        <v>100</v>
      </c>
      <c r="AU45" s="161">
        <f>IF($H45=0,0,CHOOSE($H45,SUMPRODUCT($O46:$O$67*AU46:AU$67*($E46:$E$67=$D45)),IF(ISNUMBER(Data_2014_N!AO45),100*ABS($G45-(Data_2014_N!AO45-$K45)/$M45),0),IF(ISNUMBER(Data_2014_N!AO45),100*ABS($G45-(Data_2014_N!AO45-$K45)/$M45),0)))</f>
        <v>91.6666666666667</v>
      </c>
      <c r="AV45" s="161">
        <f>IF($H45=0,0,CHOOSE($H45,SUMPRODUCT($O46:$O$67*AV46:AV$67*($E46:$E$67=$D45)),IF(ISNUMBER(Data_2014_N!AP45),100*ABS($G45-(Data_2014_N!AP45-$K45)/$M45),0),IF(ISNUMBER(Data_2014_N!AP45),100*ABS($G45-(Data_2014_N!AP45-$K45)/$M45),0)))</f>
        <v>100</v>
      </c>
      <c r="AW45" s="161">
        <f>IF($H45=0,0,CHOOSE($H45,SUMPRODUCT($O46:$O$67*AW46:AW$67*($E46:$E$67=$D45)),IF(ISNUMBER(Data_2014_N!AQ45),100*ABS($G45-(Data_2014_N!AQ45-$K45)/$M45),0),IF(ISNUMBER(Data_2014_N!AQ45),100*ABS($G45-(Data_2014_N!AQ45-$K45)/$M45),0)))</f>
        <v>75</v>
      </c>
      <c r="AX45" s="161">
        <f>IF($H45=0,0,CHOOSE($H45,SUMPRODUCT($O46:$O$67*AX46:AX$67*($E46:$E$67=$D45)),IF(ISNUMBER(Data_2014_N!AR45),100*ABS($G45-(Data_2014_N!AR45-$K45)/$M45),0),IF(ISNUMBER(Data_2014_N!AR45),100*ABS($G45-(Data_2014_N!AR45-$K45)/$M45),0)))</f>
        <v>91.6666666666667</v>
      </c>
      <c r="AY45" s="161">
        <f>IF($H45=0,0,CHOOSE($H45,SUMPRODUCT($O46:$O$67*AY46:AY$67*($E46:$E$67=$D45)),IF(ISNUMBER(Data_2014_N!AS45),100*ABS($G45-(Data_2014_N!AS45-$K45)/$M45),0),IF(ISNUMBER(Data_2014_N!AS45),100*ABS($G45-(Data_2014_N!AS45-$K45)/$M45),0)))</f>
        <v>100</v>
      </c>
      <c r="AZ45" s="161">
        <f>IF($H45=0,0,CHOOSE($H45,SUMPRODUCT($O46:$O$67*AZ46:AZ$67*($E46:$E$67=$D45)),IF(ISNUMBER(Data_2014_N!AT45),100*ABS($G45-(Data_2014_N!AT45-$K45)/$M45),0),IF(ISNUMBER(Data_2014_N!AT45),100*ABS($G45-(Data_2014_N!AT45-$K45)/$M45),0)))</f>
        <v>91.6666666666667</v>
      </c>
      <c r="BA45" s="161">
        <f>IF($H45=0,0,CHOOSE($H45,SUMPRODUCT($O46:$O$67*BA46:BA$67*($E46:$E$67=$D45)),IF(ISNUMBER(Data_2014_N!AU45),100*ABS($G45-(Data_2014_N!AU45-$K45)/$M45),0),IF(ISNUMBER(Data_2014_N!AU45),100*ABS($G45-(Data_2014_N!AU45-$K45)/$M45),0)))</f>
        <v>100</v>
      </c>
      <c r="BB45" s="161">
        <f>IF($H45=0,0,CHOOSE($H45,SUMPRODUCT($O46:$O$67*BB46:BB$67*($E46:$E$67=$D45)),IF(ISNUMBER(Data_2014_N!AV45),100*ABS($G45-(Data_2014_N!AV45-$K45)/$M45),0),IF(ISNUMBER(Data_2014_N!AV45),100*ABS($G45-(Data_2014_N!AV45-$K45)/$M45),0)))</f>
        <v>100</v>
      </c>
      <c r="BC45" s="161">
        <f>IF($H45=0,0,CHOOSE($H45,SUMPRODUCT($O46:$O$67*BC46:BC$67*($E46:$E$67=$D45)),IF(ISNUMBER(Data_2014_N!AW45),100*ABS($G45-(Data_2014_N!AW45-$K45)/$M45),0),IF(ISNUMBER(Data_2014_N!AW45),100*ABS($G45-(Data_2014_N!AW45-$K45)/$M45),0)))</f>
        <v>100</v>
      </c>
      <c r="BD45" s="161">
        <f>IF($H45=0,0,CHOOSE($H45,SUMPRODUCT($O46:$O$67*BD46:BD$67*($E46:$E$67=$D45)),IF(ISNUMBER(Data_2014_N!AX45),100*ABS($G45-(Data_2014_N!AX45-$K45)/$M45),0),IF(ISNUMBER(Data_2014_N!AX45),100*ABS($G45-(Data_2014_N!AX45-$K45)/$M45),0)))</f>
        <v>100</v>
      </c>
      <c r="BE45" s="161">
        <f>IF($H45=0,0,CHOOSE($H45,SUMPRODUCT($O46:$O$67*BE46:BE$67*($E46:$E$67=$D45)),IF(ISNUMBER(Data_2014_N!AY45),100*ABS($G45-(Data_2014_N!AY45-$K45)/$M45),0),IF(ISNUMBER(Data_2014_N!AY45),100*ABS($G45-(Data_2014_N!AY45-$K45)/$M45),0)))</f>
        <v>91.6666666666667</v>
      </c>
      <c r="BF45" s="161">
        <f>IF($H45=0,0,CHOOSE($H45,SUMPRODUCT($O46:$O$67*BF46:BF$67*($E46:$E$67=$D45)),IF(ISNUMBER(Data_2014_N!AZ45),100*ABS($G45-(Data_2014_N!AZ45-$K45)/$M45),0),IF(ISNUMBER(Data_2014_N!AZ45),100*ABS($G45-(Data_2014_N!AZ45-$K45)/$M45),0)))</f>
        <v>100</v>
      </c>
      <c r="BG45" s="161">
        <f>IF($H45=0,0,CHOOSE($H45,SUMPRODUCT($O46:$O$67*BG46:BG$67*($E46:$E$67=$D45)),IF(ISNUMBER(Data_2014_N!BA45),100*ABS($G45-(Data_2014_N!BA45-$K45)/$M45),0),IF(ISNUMBER(Data_2014_N!BA45),100*ABS($G45-(Data_2014_N!BA45-$K45)/$M45),0)))</f>
        <v>100</v>
      </c>
      <c r="BH45" s="161">
        <f>IF($H45=0,0,CHOOSE($H45,SUMPRODUCT($O46:$O$67*BH46:BH$67*($E46:$E$67=$D45)),IF(ISNUMBER(Data_2014_N!BB45),100*ABS($G45-(Data_2014_N!BB45-$K45)/$M45),0),IF(ISNUMBER(Data_2014_N!BB45),100*ABS($G45-(Data_2014_N!BB45-$K45)/$M45),0)))</f>
        <v>100</v>
      </c>
      <c r="BI45" s="161">
        <f>IF($H45=0,0,CHOOSE($H45,SUMPRODUCT($O46:$O$67*BI46:BI$67*($E46:$E$67=$D45)),IF(ISNUMBER(Data_2014_N!BC45),100*ABS($G45-(Data_2014_N!BC45-$K45)/$M45),0),IF(ISNUMBER(Data_2014_N!BC45),100*ABS($G45-(Data_2014_N!BC45-$K45)/$M45),0)))</f>
        <v>100</v>
      </c>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row>
    <row r="46" s="69" customFormat="1" ht="24.95" customHeight="1" spans="1:115">
      <c r="A46" s="92"/>
      <c r="B46" s="92">
        <f>tblIndicators!A42</f>
        <v>41</v>
      </c>
      <c r="C46" s="92">
        <f>tblIndicators!B42</f>
        <v>0</v>
      </c>
      <c r="D46" s="92" t="str">
        <f>tblIndicators!D42</f>
        <v>PESE</v>
      </c>
      <c r="E46" s="92" t="str">
        <f>tblIndicators!E42</f>
        <v>OVERALL</v>
      </c>
      <c r="F46" s="92">
        <f>tblIndicators!F42</f>
        <v>1</v>
      </c>
      <c r="G46" s="92" t="str">
        <f>tblIndicators!Y42</f>
        <v/>
      </c>
      <c r="H46" s="92">
        <f>tblIndicators!Z42</f>
        <v>1</v>
      </c>
      <c r="I46" s="104">
        <f>tblIndicators!AA42</f>
        <v>0</v>
      </c>
      <c r="J46" s="92">
        <f>tblIndicators!AB42</f>
        <v>0</v>
      </c>
      <c r="K46" s="92" t="str">
        <f>CHOOSE(H46,"-",MIN(Data_2014_N!J46:BC46),I46)</f>
        <v>-</v>
      </c>
      <c r="L46" s="165" t="str">
        <f>CHOOSE(H46,"-",MAX(Data_2014_N!J46:BC46),J46)</f>
        <v>-</v>
      </c>
      <c r="M46" s="92" t="str">
        <f t="shared" si="1"/>
        <v>-</v>
      </c>
      <c r="N46" s="168" t="str">
        <f>REPT(" ",F46)&amp;tblIndicators!AE42</f>
        <v> 4) PERSONAL SECURITY</v>
      </c>
      <c r="O46" s="169">
        <f>tblIndicators!AD42</f>
        <v>0.25</v>
      </c>
      <c r="P46" s="161">
        <f>IF($H46=0,0,CHOOSE($H46,SUMPRODUCT($O47:$O$67*P47:P$67*($E47:$E$67=$D46)),IF(ISNUMBER(Data_2014_N!J46),100*ABS($G46-(Data_2014_N!J46-$K46)/$M46),0),IF(ISNUMBER(Data_2014_N!J46),100*ABS($G46-(Data_2014_N!J46-$K46)/$M46),0)))</f>
        <v>68.5841047916048</v>
      </c>
      <c r="Q46" s="161">
        <f>IF($H46=0,0,CHOOSE($H46,SUMPRODUCT($O47:$O$67*Q47:Q$67*($E47:$E$67=$D46)),IF(ISNUMBER(Data_2014_N!K46),100*ABS($G46-(Data_2014_N!K46-$K46)/$M46),0),IF(ISNUMBER(Data_2014_N!K46),100*ABS($G46-(Data_2014_N!K46-$K46)/$M46),0)))</f>
        <v>88.8754370969474</v>
      </c>
      <c r="R46" s="161">
        <f>IF($H46=0,0,CHOOSE($H46,SUMPRODUCT($O47:$O$67*R47:R$67*($E47:$E$67=$D46)),IF(ISNUMBER(Data_2014_N!L46),100*ABS($G46-(Data_2014_N!L46-$K46)/$M46),0),IF(ISNUMBER(Data_2014_N!L46),100*ABS($G46-(Data_2014_N!L46-$K46)/$M46),0)))</f>
        <v>64.4791261119917</v>
      </c>
      <c r="S46" s="161">
        <f>IF($H46=0,0,CHOOSE($H46,SUMPRODUCT($O47:$O$67*S47:S$67*($E47:$E$67=$D46)),IF(ISNUMBER(Data_2014_N!M46),100*ABS($G46-(Data_2014_N!M46-$K46)/$M46),0),IF(ISNUMBER(Data_2014_N!M46),100*ABS($G46-(Data_2014_N!M46-$K46)/$M46),0)))</f>
        <v>82.8057966553311</v>
      </c>
      <c r="T46" s="161">
        <f>IF($H46=0,0,CHOOSE($H46,SUMPRODUCT($O47:$O$67*T47:T$67*($E47:$E$67=$D46)),IF(ISNUMBER(Data_2014_N!N46),100*ABS($G46-(Data_2014_N!N46-$K46)/$M46),0),IF(ISNUMBER(Data_2014_N!N46),100*ABS($G46-(Data_2014_N!N46-$K46)/$M46),0)))</f>
        <v>62.0796229899406</v>
      </c>
      <c r="U46" s="161">
        <f>IF($H46=0,0,CHOOSE($H46,SUMPRODUCT($O47:$O$67*U47:U$67*($E47:$E$67=$D46)),IF(ISNUMBER(Data_2014_N!O46),100*ABS($G46-(Data_2014_N!O46-$K46)/$M46),0),IF(ISNUMBER(Data_2014_N!O46),100*ABS($G46-(Data_2014_N!O46-$K46)/$M46),0)))</f>
        <v>64.5487283715472</v>
      </c>
      <c r="V46" s="161">
        <f>IF($H46=0,0,CHOOSE($H46,SUMPRODUCT($O47:$O$67*V47:V$67*($E47:$E$67=$D46)),IF(ISNUMBER(Data_2014_N!P46),100*ABS($G46-(Data_2014_N!P46-$K46)/$M46),0),IF(ISNUMBER(Data_2014_N!P46),100*ABS($G46-(Data_2014_N!P46-$K46)/$M46),0)))</f>
        <v>64.105505590243</v>
      </c>
      <c r="W46" s="161">
        <f>IF($H46=0,0,CHOOSE($H46,SUMPRODUCT($O47:$O$67*W47:W$67*($E47:$E$67=$D46)),IF(ISNUMBER(Data_2014_N!Q46),100*ABS($G46-(Data_2014_N!Q46-$K46)/$M46),0),IF(ISNUMBER(Data_2014_N!Q46),100*ABS($G46-(Data_2014_N!Q46-$K46)/$M46),0)))</f>
        <v>81.9906292768014</v>
      </c>
      <c r="X46" s="161">
        <f>IF($H46=0,0,CHOOSE($H46,SUMPRODUCT($O47:$O$67*X47:X$67*($E47:$E$67=$D46)),IF(ISNUMBER(Data_2014_N!R46),100*ABS($G46-(Data_2014_N!R46-$K46)/$M46),0),IF(ISNUMBER(Data_2014_N!R46),100*ABS($G46-(Data_2014_N!R46-$K46)/$M46),0)))</f>
        <v>68.3104805723343</v>
      </c>
      <c r="Y46" s="161">
        <f>IF($H46=0,0,CHOOSE($H46,SUMPRODUCT($O47:$O$67*Y47:Y$67*($E47:$E$67=$D46)),IF(ISNUMBER(Data_2014_N!S46),100*ABS($G46-(Data_2014_N!S46-$K46)/$M46),0),IF(ISNUMBER(Data_2014_N!S46),100*ABS($G46-(Data_2014_N!S46-$K46)/$M46),0)))</f>
        <v>82.6649332660606</v>
      </c>
      <c r="Z46" s="161">
        <f>IF($H46=0,0,CHOOSE($H46,SUMPRODUCT($O47:$O$67*Z47:Z$67*($E47:$E$67=$D46)),IF(ISNUMBER(Data_2014_N!T46),100*ABS($G46-(Data_2014_N!T46-$K46)/$M46),0),IF(ISNUMBER(Data_2014_N!T46),100*ABS($G46-(Data_2014_N!T46-$K46)/$M46),0)))</f>
        <v>80.6702749363196</v>
      </c>
      <c r="AA46" s="161">
        <f>IF($H46=0,0,CHOOSE($H46,SUMPRODUCT($O47:$O$67*AA47:AA$67*($E47:$E$67=$D46)),IF(ISNUMBER(Data_2014_N!U46),100*ABS($G46-(Data_2014_N!U46-$K46)/$M46),0),IF(ISNUMBER(Data_2014_N!U46),100*ABS($G46-(Data_2014_N!U46-$K46)/$M46),0)))</f>
        <v>61.5019293881794</v>
      </c>
      <c r="AB46" s="161">
        <f>IF($H46=0,0,CHOOSE($H46,SUMPRODUCT($O47:$O$67*AB47:AB$67*($E47:$E$67=$D46)),IF(ISNUMBER(Data_2014_N!V46),100*ABS($G46-(Data_2014_N!V46-$K46)/$M46),0),IF(ISNUMBER(Data_2014_N!V46),100*ABS($G46-(Data_2014_N!V46-$K46)/$M46),0)))</f>
        <v>91.7487152674747</v>
      </c>
      <c r="AC46" s="161">
        <f>IF($H46=0,0,CHOOSE($H46,SUMPRODUCT($O47:$O$67*AC47:AC$67*($E47:$E$67=$D46)),IF(ISNUMBER(Data_2014_N!W46),100*ABS($G46-(Data_2014_N!W46-$K46)/$M46),0),IF(ISNUMBER(Data_2014_N!W46),100*ABS($G46-(Data_2014_N!W46-$K46)/$M46),0)))</f>
        <v>70.8105242264728</v>
      </c>
      <c r="AD46" s="161">
        <f>IF($H46=0,0,CHOOSE($H46,SUMPRODUCT($O47:$O$67*AD47:AD$67*($E47:$E$67=$D46)),IF(ISNUMBER(Data_2014_N!X46),100*ABS($G46-(Data_2014_N!X46-$K46)/$M46),0),IF(ISNUMBER(Data_2014_N!X46),100*ABS($G46-(Data_2014_N!X46-$K46)/$M46),0)))</f>
        <v>56.2801927123975</v>
      </c>
      <c r="AE46" s="161">
        <f>IF($H46=0,0,CHOOSE($H46,SUMPRODUCT($O47:$O$67*AE47:AE$67*($E47:$E$67=$D46)),IF(ISNUMBER(Data_2014_N!Y46),100*ABS($G46-(Data_2014_N!Y46-$K46)/$M46),0),IF(ISNUMBER(Data_2014_N!Y46),100*ABS($G46-(Data_2014_N!Y46-$K46)/$M46),0)))</f>
        <v>59.0084937595403</v>
      </c>
      <c r="AF46" s="161">
        <f>IF($H46=0,0,CHOOSE($H46,SUMPRODUCT($O47:$O$67*AF47:AF$67*($E47:$E$67=$D46)),IF(ISNUMBER(Data_2014_N!Z46),100*ABS($G46-(Data_2014_N!Z46-$K46)/$M46),0),IF(ISNUMBER(Data_2014_N!Z46),100*ABS($G46-(Data_2014_N!Z46-$K46)/$M46),0)))</f>
        <v>57.1481702306702</v>
      </c>
      <c r="AG46" s="161">
        <f>IF($H46=0,0,CHOOSE($H46,SUMPRODUCT($O47:$O$67*AG47:AG$67*($E47:$E$67=$D46)),IF(ISNUMBER(Data_2014_N!AA46),100*ABS($G46-(Data_2014_N!AA46-$K46)/$M46),0),IF(ISNUMBER(Data_2014_N!AA46),100*ABS($G46-(Data_2014_N!AA46-$K46)/$M46),0)))</f>
        <v>70.8499816024798</v>
      </c>
      <c r="AH46" s="161">
        <f>IF($H46=0,0,CHOOSE($H46,SUMPRODUCT($O47:$O$67*AH47:AH$67*($E47:$E$67=$D46)),IF(ISNUMBER(Data_2014_N!AB46),100*ABS($G46-(Data_2014_N!AB46-$K46)/$M46),0),IF(ISNUMBER(Data_2014_N!AB46),100*ABS($G46-(Data_2014_N!AB46-$K46)/$M46),0)))</f>
        <v>80.2950252935571</v>
      </c>
      <c r="AI46" s="161">
        <f>IF($H46=0,0,CHOOSE($H46,SUMPRODUCT($O47:$O$67*AI47:AI$67*($E47:$E$67=$D46)),IF(ISNUMBER(Data_2014_N!AC46),100*ABS($G46-(Data_2014_N!AC46-$K46)/$M46),0),IF(ISNUMBER(Data_2014_N!AC46),100*ABS($G46-(Data_2014_N!AC46-$K46)/$M46),0)))</f>
        <v>81.9424858515636</v>
      </c>
      <c r="AJ46" s="161">
        <f>IF($H46=0,0,CHOOSE($H46,SUMPRODUCT($O47:$O$67*AJ47:AJ$67*($E47:$E$67=$D46)),IF(ISNUMBER(Data_2014_N!AD46),100*ABS($G46-(Data_2014_N!AD46-$K46)/$M46),0),IF(ISNUMBER(Data_2014_N!AD46),100*ABS($G46-(Data_2014_N!AD46-$K46)/$M46),0)))</f>
        <v>67.2447458258796</v>
      </c>
      <c r="AK46" s="161">
        <f>IF($H46=0,0,CHOOSE($H46,SUMPRODUCT($O47:$O$67*AK47:AK$67*($E47:$E$67=$D46)),IF(ISNUMBER(Data_2014_N!AE46),100*ABS($G46-(Data_2014_N!AE46-$K46)/$M46),0),IF(ISNUMBER(Data_2014_N!AE46),100*ABS($G46-(Data_2014_N!AE46-$K46)/$M46),0)))</f>
        <v>89.570388946639</v>
      </c>
      <c r="AL46" s="161">
        <f>IF($H46=0,0,CHOOSE($H46,SUMPRODUCT($O47:$O$67*AL47:AL$67*($E47:$E$67=$D46)),IF(ISNUMBER(Data_2014_N!AF46),100*ABS($G46-(Data_2014_N!AF46-$K46)/$M46),0),IF(ISNUMBER(Data_2014_N!AF46),100*ABS($G46-(Data_2014_N!AF46-$K46)/$M46),0)))</f>
        <v>62.1072116420002</v>
      </c>
      <c r="AM46" s="161">
        <f>IF($H46=0,0,CHOOSE($H46,SUMPRODUCT($O47:$O$67*AM47:AM$67*($E47:$E$67=$D46)),IF(ISNUMBER(Data_2014_N!AG46),100*ABS($G46-(Data_2014_N!AG46-$K46)/$M46),0),IF(ISNUMBER(Data_2014_N!AG46),100*ABS($G46-(Data_2014_N!AG46-$K46)/$M46),0)))</f>
        <v>71.8828247606141</v>
      </c>
      <c r="AN46" s="161">
        <f>IF($H46=0,0,CHOOSE($H46,SUMPRODUCT($O47:$O$67*AN47:AN$67*($E47:$E$67=$D46)),IF(ISNUMBER(Data_2014_N!AH46),100*ABS($G46-(Data_2014_N!AH46-$K46)/$M46),0),IF(ISNUMBER(Data_2014_N!AH46),100*ABS($G46-(Data_2014_N!AH46-$K46)/$M46),0)))</f>
        <v>46.6815907253003</v>
      </c>
      <c r="AO46" s="161">
        <f>IF($H46=0,0,CHOOSE($H46,SUMPRODUCT($O47:$O$67*AO47:AO$67*($E47:$E$67=$D46)),IF(ISNUMBER(Data_2014_N!AI46),100*ABS($G46-(Data_2014_N!AI46-$K46)/$M46),0),IF(ISNUMBER(Data_2014_N!AI46),100*ABS($G46-(Data_2014_N!AI46-$K46)/$M46),0)))</f>
        <v>67.6477061142093</v>
      </c>
      <c r="AP46" s="161">
        <f>IF($H46=0,0,CHOOSE($H46,SUMPRODUCT($O47:$O$67*AP47:AP$67*($E47:$E$67=$D46)),IF(ISNUMBER(Data_2014_N!AJ46),100*ABS($G46-(Data_2014_N!AJ46-$K46)/$M46),0),IF(ISNUMBER(Data_2014_N!AJ46),100*ABS($G46-(Data_2014_N!AJ46-$K46)/$M46),0)))</f>
        <v>79.467481905099</v>
      </c>
      <c r="AQ46" s="161">
        <f>IF($H46=0,0,CHOOSE($H46,SUMPRODUCT($O47:$O$67*AQ47:AQ$67*($E47:$E$67=$D46)),IF(ISNUMBER(Data_2014_N!AK46),100*ABS($G46-(Data_2014_N!AK46-$K46)/$M46),0),IF(ISNUMBER(Data_2014_N!AK46),100*ABS($G46-(Data_2014_N!AK46-$K46)/$M46),0)))</f>
        <v>92.6893130630631</v>
      </c>
      <c r="AR46" s="161">
        <f>IF($H46=0,0,CHOOSE($H46,SUMPRODUCT($O47:$O$67*AR47:AR$67*($E47:$E$67=$D46)),IF(ISNUMBER(Data_2014_N!AL46),100*ABS($G46-(Data_2014_N!AL46-$K46)/$M46),0),IF(ISNUMBER(Data_2014_N!AL46),100*ABS($G46-(Data_2014_N!AL46-$K46)/$M46),0)))</f>
        <v>77.0870536735875</v>
      </c>
      <c r="AS46" s="161">
        <f>IF($H46=0,0,CHOOSE($H46,SUMPRODUCT($O47:$O$67*AS47:AS$67*($E47:$E$67=$D46)),IF(ISNUMBER(Data_2014_N!AM46),100*ABS($G46-(Data_2014_N!AM46-$K46)/$M46),0),IF(ISNUMBER(Data_2014_N!AM46),100*ABS($G46-(Data_2014_N!AM46-$K46)/$M46),0)))</f>
        <v>66.6072782397782</v>
      </c>
      <c r="AT46" s="161">
        <f>IF($H46=0,0,CHOOSE($H46,SUMPRODUCT($O47:$O$67*AT47:AT$67*($E47:$E$67=$D46)),IF(ISNUMBER(Data_2014_N!AN46),100*ABS($G46-(Data_2014_N!AN46-$K46)/$M46),0),IF(ISNUMBER(Data_2014_N!AN46),100*ABS($G46-(Data_2014_N!AN46-$K46)/$M46),0)))</f>
        <v>54.7006723026482</v>
      </c>
      <c r="AU46" s="161">
        <f>IF($H46=0,0,CHOOSE($H46,SUMPRODUCT($O47:$O$67*AU47:AU$67*($E47:$E$67=$D46)),IF(ISNUMBER(Data_2014_N!AO46),100*ABS($G46-(Data_2014_N!AO46-$K46)/$M46),0),IF(ISNUMBER(Data_2014_N!AO46),100*ABS($G46-(Data_2014_N!AO46-$K46)/$M46),0)))</f>
        <v>62.8762513353474</v>
      </c>
      <c r="AV46" s="161">
        <f>IF($H46=0,0,CHOOSE($H46,SUMPRODUCT($O47:$O$67*AV47:AV$67*($E47:$E$67=$D46)),IF(ISNUMBER(Data_2014_N!AP46),100*ABS($G46-(Data_2014_N!AP46-$K46)/$M46),0),IF(ISNUMBER(Data_2014_N!AP46),100*ABS($G46-(Data_2014_N!AP46-$K46)/$M46),0)))</f>
        <v>83.751189345502</v>
      </c>
      <c r="AW46" s="161">
        <f>IF($H46=0,0,CHOOSE($H46,SUMPRODUCT($O47:$O$67*AW47:AW$67*($E47:$E$67=$D46)),IF(ISNUMBER(Data_2014_N!AQ46),100*ABS($G46-(Data_2014_N!AQ46-$K46)/$M46),0),IF(ISNUMBER(Data_2014_N!AQ46),100*ABS($G46-(Data_2014_N!AQ46-$K46)/$M46),0)))</f>
        <v>60.5177983452384</v>
      </c>
      <c r="AX46" s="161">
        <f>IF($H46=0,0,CHOOSE($H46,SUMPRODUCT($O47:$O$67*AX47:AX$67*($E47:$E$67=$D46)),IF(ISNUMBER(Data_2014_N!AR46),100*ABS($G46-(Data_2014_N!AR46-$K46)/$M46),0),IF(ISNUMBER(Data_2014_N!AR46),100*ABS($G46-(Data_2014_N!AR46-$K46)/$M46),0)))</f>
        <v>56.796652978363</v>
      </c>
      <c r="AY46" s="161">
        <f>IF($H46=0,0,CHOOSE($H46,SUMPRODUCT($O47:$O$67*AY47:AY$67*($E47:$E$67=$D46)),IF(ISNUMBER(Data_2014_N!AS46),100*ABS($G46-(Data_2014_N!AS46-$K46)/$M46),0),IF(ISNUMBER(Data_2014_N!AS46),100*ABS($G46-(Data_2014_N!AS46-$K46)/$M46),0)))</f>
        <v>76.0710227468072</v>
      </c>
      <c r="AZ46" s="161">
        <f>IF($H46=0,0,CHOOSE($H46,SUMPRODUCT($O47:$O$67*AZ47:AZ$67*($E47:$E$67=$D46)),IF(ISNUMBER(Data_2014_N!AT46),100*ABS($G46-(Data_2014_N!AT46-$K46)/$M46),0),IF(ISNUMBER(Data_2014_N!AT46),100*ABS($G46-(Data_2014_N!AT46-$K46)/$M46),0)))</f>
        <v>73.8553866702054</v>
      </c>
      <c r="BA46" s="161">
        <f>IF($H46=0,0,CHOOSE($H46,SUMPRODUCT($O47:$O$67*BA47:BA$67*($E47:$E$67=$D46)),IF(ISNUMBER(Data_2014_N!AU46),100*ABS($G46-(Data_2014_N!AU46-$K46)/$M46),0),IF(ISNUMBER(Data_2014_N!AU46),100*ABS($G46-(Data_2014_N!AU46-$K46)/$M46),0)))</f>
        <v>94.8817216117216</v>
      </c>
      <c r="BB46" s="161">
        <f>IF($H46=0,0,CHOOSE($H46,SUMPRODUCT($O47:$O$67*BB47:BB$67*($E47:$E$67=$D46)),IF(ISNUMBER(Data_2014_N!AV46),100*ABS($G46-(Data_2014_N!AV46-$K46)/$M46),0),IF(ISNUMBER(Data_2014_N!AV46),100*ABS($G46-(Data_2014_N!AV46-$K46)/$M46),0)))</f>
        <v>89.6121584755583</v>
      </c>
      <c r="BC46" s="161">
        <f>IF($H46=0,0,CHOOSE($H46,SUMPRODUCT($O47:$O$67*BC47:BC$67*($E47:$E$67=$D46)),IF(ISNUMBER(Data_2014_N!AW46),100*ABS($G46-(Data_2014_N!AW46-$K46)/$M46),0),IF(ISNUMBER(Data_2014_N!AW46),100*ABS($G46-(Data_2014_N!AW46-$K46)/$M46),0)))</f>
        <v>88.5808056133056</v>
      </c>
      <c r="BD46" s="161">
        <f>IF($H46=0,0,CHOOSE($H46,SUMPRODUCT($O47:$O$67*BD47:BD$67*($E47:$E$67=$D46)),IF(ISNUMBER(Data_2014_N!AX46),100*ABS($G46-(Data_2014_N!AX46-$K46)/$M46),0),IF(ISNUMBER(Data_2014_N!AX46),100*ABS($G46-(Data_2014_N!AX46-$K46)/$M46),0)))</f>
        <v>90.0994512132218</v>
      </c>
      <c r="BE46" s="161">
        <f>IF($H46=0,0,CHOOSE($H46,SUMPRODUCT($O47:$O$67*BE47:BE$67*($E47:$E$67=$D46)),IF(ISNUMBER(Data_2014_N!AY46),100*ABS($G46-(Data_2014_N!AY46-$K46)/$M46),0),IF(ISNUMBER(Data_2014_N!AY46),100*ABS($G46-(Data_2014_N!AY46-$K46)/$M46),0)))</f>
        <v>56.8398791018353</v>
      </c>
      <c r="BF46" s="161">
        <f>IF($H46=0,0,CHOOSE($H46,SUMPRODUCT($O47:$O$67*BF47:BF$67*($E47:$E$67=$D46)),IF(ISNUMBER(Data_2014_N!AZ46),100*ABS($G46-(Data_2014_N!AZ46-$K46)/$M46),0),IF(ISNUMBER(Data_2014_N!AZ46),100*ABS($G46-(Data_2014_N!AZ46-$K46)/$M46),0)))</f>
        <v>92.1013963963964</v>
      </c>
      <c r="BG46" s="161">
        <f>IF($H46=0,0,CHOOSE($H46,SUMPRODUCT($O47:$O$67*BG47:BG$67*($E47:$E$67=$D46)),IF(ISNUMBER(Data_2014_N!BA46),100*ABS($G46-(Data_2014_N!BA46-$K46)/$M46),0),IF(ISNUMBER(Data_2014_N!BA46),100*ABS($G46-(Data_2014_N!BA46-$K46)/$M46),0)))</f>
        <v>91.0342318052783</v>
      </c>
      <c r="BH46" s="161">
        <f>IF($H46=0,0,CHOOSE($H46,SUMPRODUCT($O47:$O$67*BH47:BH$67*($E47:$E$67=$D46)),IF(ISNUMBER(Data_2014_N!BB46),100*ABS($G46-(Data_2014_N!BB46-$K46)/$M46),0),IF(ISNUMBER(Data_2014_N!BB46),100*ABS($G46-(Data_2014_N!BB46-$K46)/$M46),0)))</f>
        <v>83.5446345572499</v>
      </c>
      <c r="BI46" s="161">
        <f>IF($H46=0,0,CHOOSE($H46,SUMPRODUCT($O47:$O$67*BI47:BI$67*($E47:$E$67=$D46)),IF(ISNUMBER(Data_2014_N!BC46),100*ABS($G46-(Data_2014_N!BC46-$K46)/$M46),0),IF(ISNUMBER(Data_2014_N!BC46),100*ABS($G46-(Data_2014_N!BC46-$K46)/$M46),0)))</f>
        <v>81.6355808053773</v>
      </c>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row>
    <row r="47" s="69" customFormat="1" ht="24.95" customHeight="1" spans="1:115">
      <c r="A47" s="92"/>
      <c r="B47" s="92">
        <f>tblIndicators!A43</f>
        <v>42</v>
      </c>
      <c r="C47" s="92">
        <f>tblIndicators!B43</f>
        <v>0</v>
      </c>
      <c r="D47" s="92" t="str">
        <f>tblIndicators!D43</f>
        <v>PESE4.1</v>
      </c>
      <c r="E47" s="92" t="str">
        <f>tblIndicators!E43</f>
        <v>PESE</v>
      </c>
      <c r="F47" s="92">
        <f>tblIndicators!F43</f>
        <v>2</v>
      </c>
      <c r="G47" s="92" t="str">
        <f>tblIndicators!Y43</f>
        <v/>
      </c>
      <c r="H47" s="92">
        <f>tblIndicators!Z43</f>
        <v>1</v>
      </c>
      <c r="I47" s="104">
        <f>tblIndicators!AA43</f>
        <v>0</v>
      </c>
      <c r="J47" s="92">
        <f>tblIndicators!AB43</f>
        <v>0</v>
      </c>
      <c r="K47" s="92" t="str">
        <f>CHOOSE(H47,"-",MIN(Data_2014_N!J47:BC47),I47)</f>
        <v>-</v>
      </c>
      <c r="L47" s="165" t="str">
        <f>CHOOSE(H47,"-",MAX(Data_2014_N!J47:BC47),J47)</f>
        <v>-</v>
      </c>
      <c r="M47" s="92" t="str">
        <f t="shared" si="1"/>
        <v>-</v>
      </c>
      <c r="N47" s="168" t="str">
        <f>REPT(" ",F47)&amp;tblIndicators!AE43</f>
        <v>  4.1) Personal security (Inputs)</v>
      </c>
      <c r="O47" s="169">
        <f>tblIndicators!AD43</f>
        <v>0.5</v>
      </c>
      <c r="P47" s="161">
        <f>IF($H47=0,0,CHOOSE($H47,SUMPRODUCT($O48:$O$67*P48:P$67*($E48:$E$67=$D47)),IF(ISNUMBER(Data_2014_N!J47),100*ABS($G47-(Data_2014_N!J47-$K47)/$M47),0),IF(ISNUMBER(Data_2014_N!J47),100*ABS($G47-(Data_2014_N!J47-$K47)/$M47),0)))</f>
        <v>50</v>
      </c>
      <c r="Q47" s="161">
        <f>IF($H47=0,0,CHOOSE($H47,SUMPRODUCT($O48:$O$67*Q48:Q$67*($E48:$E$67=$D47)),IF(ISNUMBER(Data_2014_N!K47),100*ABS($G47-(Data_2014_N!K47-$K47)/$M47),0),IF(ISNUMBER(Data_2014_N!K47),100*ABS($G47-(Data_2014_N!K47-$K47)/$M47),0)))</f>
        <v>92.3809523809524</v>
      </c>
      <c r="R47" s="161">
        <f>IF($H47=0,0,CHOOSE($H47,SUMPRODUCT($O48:$O$67*R48:R$67*($E48:$E$67=$D47)),IF(ISNUMBER(Data_2014_N!L47),100*ABS($G47-(Data_2014_N!L47-$K47)/$M47),0),IF(ISNUMBER(Data_2014_N!L47),100*ABS($G47-(Data_2014_N!L47-$K47)/$M47),0)))</f>
        <v>74.7619047619048</v>
      </c>
      <c r="S47" s="161">
        <f>IF($H47=0,0,CHOOSE($H47,SUMPRODUCT($O48:$O$67*S48:S$67*($E48:$E$67=$D47)),IF(ISNUMBER(Data_2014_N!M47),100*ABS($G47-(Data_2014_N!M47-$K47)/$M47),0),IF(ISNUMBER(Data_2014_N!M47),100*ABS($G47-(Data_2014_N!M47-$K47)/$M47),0)))</f>
        <v>91.4285714285714</v>
      </c>
      <c r="T47" s="161">
        <f>IF($H47=0,0,CHOOSE($H47,SUMPRODUCT($O48:$O$67*T48:T$67*($E48:$E$67=$D47)),IF(ISNUMBER(Data_2014_N!N47),100*ABS($G47-(Data_2014_N!N47-$K47)/$M47),0),IF(ISNUMBER(Data_2014_N!N47),100*ABS($G47-(Data_2014_N!N47-$K47)/$M47),0)))</f>
        <v>49.2857142857143</v>
      </c>
      <c r="U47" s="161">
        <f>IF($H47=0,0,CHOOSE($H47,SUMPRODUCT($O48:$O$67*U48:U$67*($E48:$E$67=$D47)),IF(ISNUMBER(Data_2014_N!O47),100*ABS($G47-(Data_2014_N!O47-$K47)/$M47),0),IF(ISNUMBER(Data_2014_N!O47),100*ABS($G47-(Data_2014_N!O47-$K47)/$M47),0)))</f>
        <v>47.3809523809524</v>
      </c>
      <c r="V47" s="161">
        <f>IF($H47=0,0,CHOOSE($H47,SUMPRODUCT($O48:$O$67*V48:V$67*($E48:$E$67=$D47)),IF(ISNUMBER(Data_2014_N!P47),100*ABS($G47-(Data_2014_N!P47-$K47)/$M47),0),IF(ISNUMBER(Data_2014_N!P47),100*ABS($G47-(Data_2014_N!P47-$K47)/$M47),0)))</f>
        <v>65.952380952381</v>
      </c>
      <c r="W47" s="161">
        <f>IF($H47=0,0,CHOOSE($H47,SUMPRODUCT($O48:$O$67*W48:W$67*($E48:$E$67=$D47)),IF(ISNUMBER(Data_2014_N!Q47),100*ABS($G47-(Data_2014_N!Q47-$K47)/$M47),0),IF(ISNUMBER(Data_2014_N!Q47),100*ABS($G47-(Data_2014_N!Q47-$K47)/$M47),0)))</f>
        <v>89.7619047619048</v>
      </c>
      <c r="X47" s="161">
        <f>IF($H47=0,0,CHOOSE($H47,SUMPRODUCT($O48:$O$67*X48:X$67*($E48:$E$67=$D47)),IF(ISNUMBER(Data_2014_N!R47),100*ABS($G47-(Data_2014_N!R47-$K47)/$M47),0),IF(ISNUMBER(Data_2014_N!R47),100*ABS($G47-(Data_2014_N!R47-$K47)/$M47),0)))</f>
        <v>75.2380952380952</v>
      </c>
      <c r="Y47" s="161">
        <f>IF($H47=0,0,CHOOSE($H47,SUMPRODUCT($O48:$O$67*Y48:Y$67*($E48:$E$67=$D47)),IF(ISNUMBER(Data_2014_N!S47),100*ABS($G47-(Data_2014_N!S47-$K47)/$M47),0),IF(ISNUMBER(Data_2014_N!S47),100*ABS($G47-(Data_2014_N!S47-$K47)/$M47),0)))</f>
        <v>81.1904761904762</v>
      </c>
      <c r="Z47" s="161">
        <f>IF($H47=0,0,CHOOSE($H47,SUMPRODUCT($O48:$O$67*Z48:Z$67*($E48:$E$67=$D47)),IF(ISNUMBER(Data_2014_N!T47),100*ABS($G47-(Data_2014_N!T47-$K47)/$M47),0),IF(ISNUMBER(Data_2014_N!T47),100*ABS($G47-(Data_2014_N!T47-$K47)/$M47),0)))</f>
        <v>77.1428571428572</v>
      </c>
      <c r="AA47" s="161">
        <f>IF($H47=0,0,CHOOSE($H47,SUMPRODUCT($O48:$O$67*AA48:AA$67*($E48:$E$67=$D47)),IF(ISNUMBER(Data_2014_N!U47),100*ABS($G47-(Data_2014_N!U47-$K47)/$M47),0),IF(ISNUMBER(Data_2014_N!U47),100*ABS($G47-(Data_2014_N!U47-$K47)/$M47),0)))</f>
        <v>57.1428571428572</v>
      </c>
      <c r="AB47" s="161">
        <f>IF($H47=0,0,CHOOSE($H47,SUMPRODUCT($O48:$O$67*AB48:AB$67*($E48:$E$67=$D47)),IF(ISNUMBER(Data_2014_N!V47),100*ABS($G47-(Data_2014_N!V47-$K47)/$M47),0),IF(ISNUMBER(Data_2014_N!V47),100*ABS($G47-(Data_2014_N!V47-$K47)/$M47),0)))</f>
        <v>92.6190476190476</v>
      </c>
      <c r="AC47" s="161">
        <f>IF($H47=0,0,CHOOSE($H47,SUMPRODUCT($O48:$O$67*AC48:AC$67*($E48:$E$67=$D47)),IF(ISNUMBER(Data_2014_N!W47),100*ABS($G47-(Data_2014_N!W47-$K47)/$M47),0),IF(ISNUMBER(Data_2014_N!W47),100*ABS($G47-(Data_2014_N!W47-$K47)/$M47),0)))</f>
        <v>79.7619047619048</v>
      </c>
      <c r="AD47" s="161">
        <f>IF($H47=0,0,CHOOSE($H47,SUMPRODUCT($O48:$O$67*AD48:AD$67*($E48:$E$67=$D47)),IF(ISNUMBER(Data_2014_N!X47),100*ABS($G47-(Data_2014_N!X47-$K47)/$M47),0),IF(ISNUMBER(Data_2014_N!X47),100*ABS($G47-(Data_2014_N!X47-$K47)/$M47),0)))</f>
        <v>51.6666666666667</v>
      </c>
      <c r="AE47" s="161">
        <f>IF($H47=0,0,CHOOSE($H47,SUMPRODUCT($O48:$O$67*AE48:AE$67*($E48:$E$67=$D47)),IF(ISNUMBER(Data_2014_N!Y47),100*ABS($G47-(Data_2014_N!Y47-$K47)/$M47),0),IF(ISNUMBER(Data_2014_N!Y47),100*ABS($G47-(Data_2014_N!Y47-$K47)/$M47),0)))</f>
        <v>67.6190476190476</v>
      </c>
      <c r="AF47" s="161">
        <f>IF($H47=0,0,CHOOSE($H47,SUMPRODUCT($O48:$O$67*AF48:AF$67*($E48:$E$67=$D47)),IF(ISNUMBER(Data_2014_N!Z47),100*ABS($G47-(Data_2014_N!Z47-$K47)/$M47),0),IF(ISNUMBER(Data_2014_N!Z47),100*ABS($G47-(Data_2014_N!Z47-$K47)/$M47),0)))</f>
        <v>33.5714285714286</v>
      </c>
      <c r="AG47" s="161">
        <f>IF($H47=0,0,CHOOSE($H47,SUMPRODUCT($O48:$O$67*AG48:AG$67*($E48:$E$67=$D47)),IF(ISNUMBER(Data_2014_N!AA47),100*ABS($G47-(Data_2014_N!AA47-$K47)/$M47),0),IF(ISNUMBER(Data_2014_N!AA47),100*ABS($G47-(Data_2014_N!AA47-$K47)/$M47),0)))</f>
        <v>80.4761904761905</v>
      </c>
      <c r="AH47" s="161">
        <f>IF($H47=0,0,CHOOSE($H47,SUMPRODUCT($O48:$O$67*AH48:AH$67*($E48:$E$67=$D47)),IF(ISNUMBER(Data_2014_N!AB47),100*ABS($G47-(Data_2014_N!AB47-$K47)/$M47),0),IF(ISNUMBER(Data_2014_N!AB47),100*ABS($G47-(Data_2014_N!AB47-$K47)/$M47),0)))</f>
        <v>93.3333333333334</v>
      </c>
      <c r="AI47" s="161">
        <f>IF($H47=0,0,CHOOSE($H47,SUMPRODUCT($O48:$O$67*AI48:AI$67*($E48:$E$67=$D47)),IF(ISNUMBER(Data_2014_N!AC47),100*ABS($G47-(Data_2014_N!AC47-$K47)/$M47),0),IF(ISNUMBER(Data_2014_N!AC47),100*ABS($G47-(Data_2014_N!AC47-$K47)/$M47),0)))</f>
        <v>90.4761904761905</v>
      </c>
      <c r="AJ47" s="161">
        <f>IF($H47=0,0,CHOOSE($H47,SUMPRODUCT($O48:$O$67*AJ48:AJ$67*($E48:$E$67=$D47)),IF(ISNUMBER(Data_2014_N!AD47),100*ABS($G47-(Data_2014_N!AD47-$K47)/$M47),0),IF(ISNUMBER(Data_2014_N!AD47),100*ABS($G47-(Data_2014_N!AD47-$K47)/$M47),0)))</f>
        <v>70</v>
      </c>
      <c r="AK47" s="161">
        <f>IF($H47=0,0,CHOOSE($H47,SUMPRODUCT($O48:$O$67*AK48:AK$67*($E48:$E$67=$D47)),IF(ISNUMBER(Data_2014_N!AE47),100*ABS($G47-(Data_2014_N!AE47-$K47)/$M47),0),IF(ISNUMBER(Data_2014_N!AE47),100*ABS($G47-(Data_2014_N!AE47-$K47)/$M47),0)))</f>
        <v>95</v>
      </c>
      <c r="AL47" s="161">
        <f>IF($H47=0,0,CHOOSE($H47,SUMPRODUCT($O48:$O$67*AL48:AL$67*($E48:$E$67=$D47)),IF(ISNUMBER(Data_2014_N!AF47),100*ABS($G47-(Data_2014_N!AF47-$K47)/$M47),0),IF(ISNUMBER(Data_2014_N!AF47),100*ABS($G47-(Data_2014_N!AF47-$K47)/$M47),0)))</f>
        <v>71.9047619047619</v>
      </c>
      <c r="AM47" s="161">
        <f>IF($H47=0,0,CHOOSE($H47,SUMPRODUCT($O48:$O$67*AM48:AM$67*($E48:$E$67=$D47)),IF(ISNUMBER(Data_2014_N!AG47),100*ABS($G47-(Data_2014_N!AG47-$K47)/$M47),0),IF(ISNUMBER(Data_2014_N!AG47),100*ABS($G47-(Data_2014_N!AG47-$K47)/$M47),0)))</f>
        <v>73.3333333333334</v>
      </c>
      <c r="AN47" s="161">
        <f>IF($H47=0,0,CHOOSE($H47,SUMPRODUCT($O48:$O$67*AN48:AN$67*($E48:$E$67=$D47)),IF(ISNUMBER(Data_2014_N!AH47),100*ABS($G47-(Data_2014_N!AH47-$K47)/$M47),0),IF(ISNUMBER(Data_2014_N!AH47),100*ABS($G47-(Data_2014_N!AH47-$K47)/$M47),0)))</f>
        <v>34.5238095238095</v>
      </c>
      <c r="AO47" s="161">
        <f>IF($H47=0,0,CHOOSE($H47,SUMPRODUCT($O48:$O$67*AO48:AO$67*($E48:$E$67=$D47)),IF(ISNUMBER(Data_2014_N!AI47),100*ABS($G47-(Data_2014_N!AI47-$K47)/$M47),0),IF(ISNUMBER(Data_2014_N!AI47),100*ABS($G47-(Data_2014_N!AI47-$K47)/$M47),0)))</f>
        <v>75.2380952380952</v>
      </c>
      <c r="AP47" s="161">
        <f>IF($H47=0,0,CHOOSE($H47,SUMPRODUCT($O48:$O$67*AP48:AP$67*($E48:$E$67=$D47)),IF(ISNUMBER(Data_2014_N!AJ47),100*ABS($G47-(Data_2014_N!AJ47-$K47)/$M47),0),IF(ISNUMBER(Data_2014_N!AJ47),100*ABS($G47-(Data_2014_N!AJ47-$K47)/$M47),0)))</f>
        <v>88.8095238095238</v>
      </c>
      <c r="AQ47" s="161">
        <f>IF($H47=0,0,CHOOSE($H47,SUMPRODUCT($O48:$O$67*AQ48:AQ$67*($E48:$E$67=$D47)),IF(ISNUMBER(Data_2014_N!AK47),100*ABS($G47-(Data_2014_N!AK47-$K47)/$M47),0),IF(ISNUMBER(Data_2014_N!AK47),100*ABS($G47-(Data_2014_N!AK47-$K47)/$M47),0)))</f>
        <v>96.1904761904762</v>
      </c>
      <c r="AR47" s="161">
        <f>IF($H47=0,0,CHOOSE($H47,SUMPRODUCT($O48:$O$67*AR48:AR$67*($E48:$E$67=$D47)),IF(ISNUMBER(Data_2014_N!AL47),100*ABS($G47-(Data_2014_N!AL47-$K47)/$M47),0),IF(ISNUMBER(Data_2014_N!AL47),100*ABS($G47-(Data_2014_N!AL47-$K47)/$M47),0)))</f>
        <v>73.0952380952381</v>
      </c>
      <c r="AS47" s="161">
        <f>IF($H47=0,0,CHOOSE($H47,SUMPRODUCT($O48:$O$67*AS48:AS$67*($E48:$E$67=$D47)),IF(ISNUMBER(Data_2014_N!AM47),100*ABS($G47-(Data_2014_N!AM47-$K47)/$M47),0),IF(ISNUMBER(Data_2014_N!AM47),100*ABS($G47-(Data_2014_N!AM47-$K47)/$M47),0)))</f>
        <v>73.5714285714286</v>
      </c>
      <c r="AT47" s="161">
        <f>IF($H47=0,0,CHOOSE($H47,SUMPRODUCT($O48:$O$67*AT48:AT$67*($E48:$E$67=$D47)),IF(ISNUMBER(Data_2014_N!AN47),100*ABS($G47-(Data_2014_N!AN47-$K47)/$M47),0),IF(ISNUMBER(Data_2014_N!AN47),100*ABS($G47-(Data_2014_N!AN47-$K47)/$M47),0)))</f>
        <v>35</v>
      </c>
      <c r="AU47" s="161">
        <f>IF($H47=0,0,CHOOSE($H47,SUMPRODUCT($O48:$O$67*AU48:AU$67*($E48:$E$67=$D47)),IF(ISNUMBER(Data_2014_N!AO47),100*ABS($G47-(Data_2014_N!AO47-$K47)/$M47),0),IF(ISNUMBER(Data_2014_N!AO47),100*ABS($G47-(Data_2014_N!AO47-$K47)/$M47),0)))</f>
        <v>59.0476190476191</v>
      </c>
      <c r="AV47" s="161">
        <f>IF($H47=0,0,CHOOSE($H47,SUMPRODUCT($O48:$O$67*AV48:AV$67*($E48:$E$67=$D47)),IF(ISNUMBER(Data_2014_N!AP47),100*ABS($G47-(Data_2014_N!AP47-$K47)/$M47),0),IF(ISNUMBER(Data_2014_N!AP47),100*ABS($G47-(Data_2014_N!AP47-$K47)/$M47),0)))</f>
        <v>90.4761904761905</v>
      </c>
      <c r="AW47" s="161">
        <f>IF($H47=0,0,CHOOSE($H47,SUMPRODUCT($O48:$O$67*AW48:AW$67*($E48:$E$67=$D47)),IF(ISNUMBER(Data_2014_N!AQ47),100*ABS($G47-(Data_2014_N!AQ47-$K47)/$M47),0),IF(ISNUMBER(Data_2014_N!AQ47),100*ABS($G47-(Data_2014_N!AQ47-$K47)/$M47),0)))</f>
        <v>51.4285714285714</v>
      </c>
      <c r="AX47" s="161">
        <f>IF($H47=0,0,CHOOSE($H47,SUMPRODUCT($O48:$O$67*AX48:AX$67*($E48:$E$67=$D47)),IF(ISNUMBER(Data_2014_N!AR47),100*ABS($G47-(Data_2014_N!AR47-$K47)/$M47),0),IF(ISNUMBER(Data_2014_N!AR47),100*ABS($G47-(Data_2014_N!AR47-$K47)/$M47),0)))</f>
        <v>52.1428571428572</v>
      </c>
      <c r="AY47" s="161">
        <f>IF($H47=0,0,CHOOSE($H47,SUMPRODUCT($O48:$O$67*AY48:AY$67*($E48:$E$67=$D47)),IF(ISNUMBER(Data_2014_N!AS47),100*ABS($G47-(Data_2014_N!AS47-$K47)/$M47),0),IF(ISNUMBER(Data_2014_N!AS47),100*ABS($G47-(Data_2014_N!AS47-$K47)/$M47),0)))</f>
        <v>69.2857142857143</v>
      </c>
      <c r="AZ47" s="161">
        <f>IF($H47=0,0,CHOOSE($H47,SUMPRODUCT($O48:$O$67*AZ48:AZ$67*($E48:$E$67=$D47)),IF(ISNUMBER(Data_2014_N!AT47),100*ABS($G47-(Data_2014_N!AT47-$K47)/$M47),0),IF(ISNUMBER(Data_2014_N!AT47),100*ABS($G47-(Data_2014_N!AT47-$K47)/$M47),0)))</f>
        <v>70.7142857142857</v>
      </c>
      <c r="BA47" s="161">
        <f>IF($H47=0,0,CHOOSE($H47,SUMPRODUCT($O48:$O$67*BA48:BA$67*($E48:$E$67=$D47)),IF(ISNUMBER(Data_2014_N!AU47),100*ABS($G47-(Data_2014_N!AU47-$K47)/$M47),0),IF(ISNUMBER(Data_2014_N!AU47),100*ABS($G47-(Data_2014_N!AU47-$K47)/$M47),0)))</f>
        <v>94.7619047619048</v>
      </c>
      <c r="BB47" s="161">
        <f>IF($H47=0,0,CHOOSE($H47,SUMPRODUCT($O48:$O$67*BB48:BB$67*($E48:$E$67=$D47)),IF(ISNUMBER(Data_2014_N!AV47),100*ABS($G47-(Data_2014_N!AV47-$K47)/$M47),0),IF(ISNUMBER(Data_2014_N!AV47),100*ABS($G47-(Data_2014_N!AV47-$K47)/$M47),0)))</f>
        <v>84.2857142857143</v>
      </c>
      <c r="BC47" s="161">
        <f>IF($H47=0,0,CHOOSE($H47,SUMPRODUCT($O48:$O$67*BC48:BC$67*($E48:$E$67=$D47)),IF(ISNUMBER(Data_2014_N!AW47),100*ABS($G47-(Data_2014_N!AW47-$K47)/$M47),0),IF(ISNUMBER(Data_2014_N!AW47),100*ABS($G47-(Data_2014_N!AW47-$K47)/$M47),0)))</f>
        <v>95</v>
      </c>
      <c r="BD47" s="161">
        <f>IF($H47=0,0,CHOOSE($H47,SUMPRODUCT($O48:$O$67*BD48:BD$67*($E48:$E$67=$D47)),IF(ISNUMBER(Data_2014_N!AX47),100*ABS($G47-(Data_2014_N!AX47-$K47)/$M47),0),IF(ISNUMBER(Data_2014_N!AX47),100*ABS($G47-(Data_2014_N!AX47-$K47)/$M47),0)))</f>
        <v>94.5238095238095</v>
      </c>
      <c r="BE47" s="161">
        <f>IF($H47=0,0,CHOOSE($H47,SUMPRODUCT($O48:$O$67*BE48:BE$67*($E48:$E$67=$D47)),IF(ISNUMBER(Data_2014_N!AY47),100*ABS($G47-(Data_2014_N!AY47-$K47)/$M47),0),IF(ISNUMBER(Data_2014_N!AY47),100*ABS($G47-(Data_2014_N!AY47-$K47)/$M47),0)))</f>
        <v>46.1904761904762</v>
      </c>
      <c r="BF47" s="161">
        <f>IF($H47=0,0,CHOOSE($H47,SUMPRODUCT($O48:$O$67*BF48:BF$67*($E48:$E$67=$D47)),IF(ISNUMBER(Data_2014_N!AZ47),100*ABS($G47-(Data_2014_N!AZ47-$K47)/$M47),0),IF(ISNUMBER(Data_2014_N!AZ47),100*ABS($G47-(Data_2014_N!AZ47-$K47)/$M47),0)))</f>
        <v>96.1904761904762</v>
      </c>
      <c r="BG47" s="161">
        <f>IF($H47=0,0,CHOOSE($H47,SUMPRODUCT($O48:$O$67*BG48:BG$67*($E48:$E$67=$D47)),IF(ISNUMBER(Data_2014_N!BA47),100*ABS($G47-(Data_2014_N!BA47-$K47)/$M47),0),IF(ISNUMBER(Data_2014_N!BA47),100*ABS($G47-(Data_2014_N!BA47-$K47)/$M47),0)))</f>
        <v>93.3333333333333</v>
      </c>
      <c r="BH47" s="161">
        <f>IF($H47=0,0,CHOOSE($H47,SUMPRODUCT($O48:$O$67*BH48:BH$67*($E48:$E$67=$D47)),IF(ISNUMBER(Data_2014_N!BB47),100*ABS($G47-(Data_2014_N!BB47-$K47)/$M47),0),IF(ISNUMBER(Data_2014_N!BB47),100*ABS($G47-(Data_2014_N!BB47-$K47)/$M47),0)))</f>
        <v>95</v>
      </c>
      <c r="BI47" s="161">
        <f>IF($H47=0,0,CHOOSE($H47,SUMPRODUCT($O48:$O$67*BI48:BI$67*($E48:$E$67=$D47)),IF(ISNUMBER(Data_2014_N!BC47),100*ABS($G47-(Data_2014_N!BC47-$K47)/$M47),0),IF(ISNUMBER(Data_2014_N!BC47),100*ABS($G47-(Data_2014_N!BC47-$K47)/$M47),0)))</f>
        <v>71.1904761904762</v>
      </c>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row>
    <row r="48" s="69" customFormat="1" ht="24.95" customHeight="1" spans="1:115">
      <c r="A48" s="92"/>
      <c r="B48" s="92">
        <f>tblIndicators!A44</f>
        <v>43</v>
      </c>
      <c r="C48" s="92">
        <f>tblIndicators!B44</f>
        <v>0</v>
      </c>
      <c r="D48" s="92" t="str">
        <f>tblIndicators!D44</f>
        <v>PESE4.1.1</v>
      </c>
      <c r="E48" s="92" t="str">
        <f>tblIndicators!E44</f>
        <v>PESE4.1</v>
      </c>
      <c r="F48" s="92">
        <f>tblIndicators!F44</f>
        <v>3</v>
      </c>
      <c r="G48" s="92">
        <f>tblIndicators!Y44</f>
        <v>0</v>
      </c>
      <c r="H48" s="92">
        <f>tblIndicators!Z44</f>
        <v>3</v>
      </c>
      <c r="I48" s="104">
        <f>tblIndicators!AA44</f>
        <v>0</v>
      </c>
      <c r="J48" s="92">
        <f>tblIndicators!AB44</f>
        <v>1</v>
      </c>
      <c r="K48" s="92">
        <f>CHOOSE(H48,"-",MIN(Data_2014_N!J48:BC48),I48)</f>
        <v>0</v>
      </c>
      <c r="L48" s="165">
        <f>CHOOSE(H48,"-",MAX(Data_2014_N!J48:BC48),J48)</f>
        <v>1</v>
      </c>
      <c r="M48" s="92">
        <f t="shared" si="1"/>
        <v>1</v>
      </c>
      <c r="N48" s="168" t="str">
        <f>REPT(" ",F48)&amp;tblIndicators!AE44</f>
        <v>   4.1.1) Level of police engagement</v>
      </c>
      <c r="O48" s="169">
        <f>tblIndicators!AD44</f>
        <v>0.142857142857143</v>
      </c>
      <c r="P48" s="161">
        <f>IF($H48=0,0,CHOOSE($H48,SUMPRODUCT($O49:$O$67*P49:P$67*($E49:$E$67=$D48)),IF(ISNUMBER(Data_2014_N!J48),100*ABS($G48-(Data_2014_N!J48-$K48)/$M48),0),IF(ISNUMBER(Data_2014_N!J48),100*ABS($G48-(Data_2014_N!J48-$K48)/$M48),0)))</f>
        <v>50</v>
      </c>
      <c r="Q48" s="161">
        <f>IF($H48=0,0,CHOOSE($H48,SUMPRODUCT($O49:$O$67*Q49:Q$67*($E49:$E$67=$D48)),IF(ISNUMBER(Data_2014_N!K48),100*ABS($G48-(Data_2014_N!K48-$K48)/$M48),0),IF(ISNUMBER(Data_2014_N!K48),100*ABS($G48-(Data_2014_N!K48-$K48)/$M48),0)))</f>
        <v>100</v>
      </c>
      <c r="R48" s="161">
        <f>IF($H48=0,0,CHOOSE($H48,SUMPRODUCT($O49:$O$67*R49:R$67*($E49:$E$67=$D48)),IF(ISNUMBER(Data_2014_N!L48),100*ABS($G48-(Data_2014_N!L48-$K48)/$M48),0),IF(ISNUMBER(Data_2014_N!L48),100*ABS($G48-(Data_2014_N!L48-$K48)/$M48),0)))</f>
        <v>50</v>
      </c>
      <c r="S48" s="161">
        <f>IF($H48=0,0,CHOOSE($H48,SUMPRODUCT($O49:$O$67*S49:S$67*($E49:$E$67=$D48)),IF(ISNUMBER(Data_2014_N!M48),100*ABS($G48-(Data_2014_N!M48-$K48)/$M48),0),IF(ISNUMBER(Data_2014_N!M48),100*ABS($G48-(Data_2014_N!M48-$K48)/$M48),0)))</f>
        <v>100</v>
      </c>
      <c r="T48" s="161">
        <f>IF($H48=0,0,CHOOSE($H48,SUMPRODUCT($O49:$O$67*T49:T$67*($E49:$E$67=$D48)),IF(ISNUMBER(Data_2014_N!N48),100*ABS($G48-(Data_2014_N!N48-$K48)/$M48),0),IF(ISNUMBER(Data_2014_N!N48),100*ABS($G48-(Data_2014_N!N48-$K48)/$M48),0)))</f>
        <v>100</v>
      </c>
      <c r="U48" s="161">
        <f>IF($H48=0,0,CHOOSE($H48,SUMPRODUCT($O49:$O$67*U49:U$67*($E49:$E$67=$D48)),IF(ISNUMBER(Data_2014_N!O48),100*ABS($G48-(Data_2014_N!O48-$K48)/$M48),0),IF(ISNUMBER(Data_2014_N!O48),100*ABS($G48-(Data_2014_N!O48-$K48)/$M48),0)))</f>
        <v>100</v>
      </c>
      <c r="V48" s="161">
        <f>IF($H48=0,0,CHOOSE($H48,SUMPRODUCT($O49:$O$67*V49:V$67*($E49:$E$67=$D48)),IF(ISNUMBER(Data_2014_N!P48),100*ABS($G48-(Data_2014_N!P48-$K48)/$M48),0),IF(ISNUMBER(Data_2014_N!P48),100*ABS($G48-(Data_2014_N!P48-$K48)/$M48),0)))</f>
        <v>50</v>
      </c>
      <c r="W48" s="161">
        <f>IF($H48=0,0,CHOOSE($H48,SUMPRODUCT($O49:$O$67*W49:W$67*($E49:$E$67=$D48)),IF(ISNUMBER(Data_2014_N!Q48),100*ABS($G48-(Data_2014_N!Q48-$K48)/$M48),0),IF(ISNUMBER(Data_2014_N!Q48),100*ABS($G48-(Data_2014_N!Q48-$K48)/$M48),0)))</f>
        <v>100</v>
      </c>
      <c r="X48" s="161">
        <f>IF($H48=0,0,CHOOSE($H48,SUMPRODUCT($O49:$O$67*X49:X$67*($E49:$E$67=$D48)),IF(ISNUMBER(Data_2014_N!R48),100*ABS($G48-(Data_2014_N!R48-$K48)/$M48),0),IF(ISNUMBER(Data_2014_N!R48),100*ABS($G48-(Data_2014_N!R48-$K48)/$M48),0)))</f>
        <v>100</v>
      </c>
      <c r="Y48" s="161">
        <f>IF($H48=0,0,CHOOSE($H48,SUMPRODUCT($O49:$O$67*Y49:Y$67*($E49:$E$67=$D48)),IF(ISNUMBER(Data_2014_N!S48),100*ABS($G48-(Data_2014_N!S48-$K48)/$M48),0),IF(ISNUMBER(Data_2014_N!S48),100*ABS($G48-(Data_2014_N!S48-$K48)/$M48),0)))</f>
        <v>50</v>
      </c>
      <c r="Z48" s="161">
        <f>IF($H48=0,0,CHOOSE($H48,SUMPRODUCT($O49:$O$67*Z49:Z$67*($E49:$E$67=$D48)),IF(ISNUMBER(Data_2014_N!T48),100*ABS($G48-(Data_2014_N!T48-$K48)/$M48),0),IF(ISNUMBER(Data_2014_N!T48),100*ABS($G48-(Data_2014_N!T48-$K48)/$M48),0)))</f>
        <v>100</v>
      </c>
      <c r="AA48" s="161">
        <f>IF($H48=0,0,CHOOSE($H48,SUMPRODUCT($O49:$O$67*AA49:AA$67*($E49:$E$67=$D48)),IF(ISNUMBER(Data_2014_N!U48),100*ABS($G48-(Data_2014_N!U48-$K48)/$M48),0),IF(ISNUMBER(Data_2014_N!U48),100*ABS($G48-(Data_2014_N!U48-$K48)/$M48),0)))</f>
        <v>50</v>
      </c>
      <c r="AB48" s="161">
        <f>IF($H48=0,0,CHOOSE($H48,SUMPRODUCT($O49:$O$67*AB49:AB$67*($E49:$E$67=$D48)),IF(ISNUMBER(Data_2014_N!V48),100*ABS($G48-(Data_2014_N!V48-$K48)/$M48),0),IF(ISNUMBER(Data_2014_N!V48),100*ABS($G48-(Data_2014_N!V48-$K48)/$M48),0)))</f>
        <v>100</v>
      </c>
      <c r="AC48" s="161">
        <f>IF($H48=0,0,CHOOSE($H48,SUMPRODUCT($O49:$O$67*AC49:AC$67*($E49:$E$67=$D48)),IF(ISNUMBER(Data_2014_N!W48),100*ABS($G48-(Data_2014_N!W48-$K48)/$M48),0),IF(ISNUMBER(Data_2014_N!W48),100*ABS($G48-(Data_2014_N!W48-$K48)/$M48),0)))</f>
        <v>100</v>
      </c>
      <c r="AD48" s="161">
        <f>IF($H48=0,0,CHOOSE($H48,SUMPRODUCT($O49:$O$67*AD49:AD$67*($E49:$E$67=$D48)),IF(ISNUMBER(Data_2014_N!X48),100*ABS($G48-(Data_2014_N!X48-$K48)/$M48),0),IF(ISNUMBER(Data_2014_N!X48),100*ABS($G48-(Data_2014_N!X48-$K48)/$M48),0)))</f>
        <v>50</v>
      </c>
      <c r="AE48" s="161">
        <f>IF($H48=0,0,CHOOSE($H48,SUMPRODUCT($O49:$O$67*AE49:AE$67*($E49:$E$67=$D48)),IF(ISNUMBER(Data_2014_N!Y48),100*ABS($G48-(Data_2014_N!Y48-$K48)/$M48),0),IF(ISNUMBER(Data_2014_N!Y48),100*ABS($G48-(Data_2014_N!Y48-$K48)/$M48),0)))</f>
        <v>100</v>
      </c>
      <c r="AF48" s="161">
        <f>IF($H48=0,0,CHOOSE($H48,SUMPRODUCT($O49:$O$67*AF49:AF$67*($E49:$E$67=$D48)),IF(ISNUMBER(Data_2014_N!Z48),100*ABS($G48-(Data_2014_N!Z48-$K48)/$M48),0),IF(ISNUMBER(Data_2014_N!Z48),100*ABS($G48-(Data_2014_N!Z48-$K48)/$M48),0)))</f>
        <v>100</v>
      </c>
      <c r="AG48" s="161">
        <f>IF($H48=0,0,CHOOSE($H48,SUMPRODUCT($O49:$O$67*AG49:AG$67*($E49:$E$67=$D48)),IF(ISNUMBER(Data_2014_N!AA48),100*ABS($G48-(Data_2014_N!AA48-$K48)/$M48),0),IF(ISNUMBER(Data_2014_N!AA48),100*ABS($G48-(Data_2014_N!AA48-$K48)/$M48),0)))</f>
        <v>100</v>
      </c>
      <c r="AH48" s="161">
        <f>IF($H48=0,0,CHOOSE($H48,SUMPRODUCT($O49:$O$67*AH49:AH$67*($E49:$E$67=$D48)),IF(ISNUMBER(Data_2014_N!AB48),100*ABS($G48-(Data_2014_N!AB48-$K48)/$M48),0),IF(ISNUMBER(Data_2014_N!AB48),100*ABS($G48-(Data_2014_N!AB48-$K48)/$M48),0)))</f>
        <v>100</v>
      </c>
      <c r="AI48" s="161">
        <f>IF($H48=0,0,CHOOSE($H48,SUMPRODUCT($O49:$O$67*AI49:AI$67*($E49:$E$67=$D48)),IF(ISNUMBER(Data_2014_N!AC48),100*ABS($G48-(Data_2014_N!AC48-$K48)/$M48),0),IF(ISNUMBER(Data_2014_N!AC48),100*ABS($G48-(Data_2014_N!AC48-$K48)/$M48),0)))</f>
        <v>100</v>
      </c>
      <c r="AJ48" s="161">
        <f>IF($H48=0,0,CHOOSE($H48,SUMPRODUCT($O49:$O$67*AJ49:AJ$67*($E49:$E$67=$D48)),IF(ISNUMBER(Data_2014_N!AD48),100*ABS($G48-(Data_2014_N!AD48-$K48)/$M48),0),IF(ISNUMBER(Data_2014_N!AD48),100*ABS($G48-(Data_2014_N!AD48-$K48)/$M48),0)))</f>
        <v>50</v>
      </c>
      <c r="AK48" s="161">
        <f>IF($H48=0,0,CHOOSE($H48,SUMPRODUCT($O49:$O$67*AK49:AK$67*($E49:$E$67=$D48)),IF(ISNUMBER(Data_2014_N!AE48),100*ABS($G48-(Data_2014_N!AE48-$K48)/$M48),0),IF(ISNUMBER(Data_2014_N!AE48),100*ABS($G48-(Data_2014_N!AE48-$K48)/$M48),0)))</f>
        <v>100</v>
      </c>
      <c r="AL48" s="161">
        <f>IF($H48=0,0,CHOOSE($H48,SUMPRODUCT($O49:$O$67*AL49:AL$67*($E49:$E$67=$D48)),IF(ISNUMBER(Data_2014_N!AF48),100*ABS($G48-(Data_2014_N!AF48-$K48)/$M48),0),IF(ISNUMBER(Data_2014_N!AF48),100*ABS($G48-(Data_2014_N!AF48-$K48)/$M48),0)))</f>
        <v>100</v>
      </c>
      <c r="AM48" s="161">
        <f>IF($H48=0,0,CHOOSE($H48,SUMPRODUCT($O49:$O$67*AM49:AM$67*($E49:$E$67=$D48)),IF(ISNUMBER(Data_2014_N!AG48),100*ABS($G48-(Data_2014_N!AG48-$K48)/$M48),0),IF(ISNUMBER(Data_2014_N!AG48),100*ABS($G48-(Data_2014_N!AG48-$K48)/$M48),0)))</f>
        <v>100</v>
      </c>
      <c r="AN48" s="161">
        <f>IF($H48=0,0,CHOOSE($H48,SUMPRODUCT($O49:$O$67*AN49:AN$67*($E49:$E$67=$D48)),IF(ISNUMBER(Data_2014_N!AH48),100*ABS($G48-(Data_2014_N!AH48-$K48)/$M48),0),IF(ISNUMBER(Data_2014_N!AH48),100*ABS($G48-(Data_2014_N!AH48-$K48)/$M48),0)))</f>
        <v>50</v>
      </c>
      <c r="AO48" s="161">
        <f>IF($H48=0,0,CHOOSE($H48,SUMPRODUCT($O49:$O$67*AO49:AO$67*($E49:$E$67=$D48)),IF(ISNUMBER(Data_2014_N!AI48),100*ABS($G48-(Data_2014_N!AI48-$K48)/$M48),0),IF(ISNUMBER(Data_2014_N!AI48),100*ABS($G48-(Data_2014_N!AI48-$K48)/$M48),0)))</f>
        <v>100</v>
      </c>
      <c r="AP48" s="161">
        <f>IF($H48=0,0,CHOOSE($H48,SUMPRODUCT($O49:$O$67*AP49:AP$67*($E49:$E$67=$D48)),IF(ISNUMBER(Data_2014_N!AJ48),100*ABS($G48-(Data_2014_N!AJ48-$K48)/$M48),0),IF(ISNUMBER(Data_2014_N!AJ48),100*ABS($G48-(Data_2014_N!AJ48-$K48)/$M48),0)))</f>
        <v>100</v>
      </c>
      <c r="AQ48" s="161">
        <f>IF($H48=0,0,CHOOSE($H48,SUMPRODUCT($O49:$O$67*AQ49:AQ$67*($E49:$E$67=$D48)),IF(ISNUMBER(Data_2014_N!AK48),100*ABS($G48-(Data_2014_N!AK48-$K48)/$M48),0),IF(ISNUMBER(Data_2014_N!AK48),100*ABS($G48-(Data_2014_N!AK48-$K48)/$M48),0)))</f>
        <v>100</v>
      </c>
      <c r="AR48" s="161">
        <f>IF($H48=0,0,CHOOSE($H48,SUMPRODUCT($O49:$O$67*AR49:AR$67*($E49:$E$67=$D48)),IF(ISNUMBER(Data_2014_N!AL48),100*ABS($G48-(Data_2014_N!AL48-$K48)/$M48),0),IF(ISNUMBER(Data_2014_N!AL48),100*ABS($G48-(Data_2014_N!AL48-$K48)/$M48),0)))</f>
        <v>100</v>
      </c>
      <c r="AS48" s="161">
        <f>IF($H48=0,0,CHOOSE($H48,SUMPRODUCT($O49:$O$67*AS49:AS$67*($E49:$E$67=$D48)),IF(ISNUMBER(Data_2014_N!AM48),100*ABS($G48-(Data_2014_N!AM48-$K48)/$M48),0),IF(ISNUMBER(Data_2014_N!AM48),100*ABS($G48-(Data_2014_N!AM48-$K48)/$M48),0)))</f>
        <v>100</v>
      </c>
      <c r="AT48" s="161">
        <f>IF($H48=0,0,CHOOSE($H48,SUMPRODUCT($O49:$O$67*AT49:AT$67*($E49:$E$67=$D48)),IF(ISNUMBER(Data_2014_N!AN48),100*ABS($G48-(Data_2014_N!AN48-$K48)/$M48),0),IF(ISNUMBER(Data_2014_N!AN48),100*ABS($G48-(Data_2014_N!AN48-$K48)/$M48),0)))</f>
        <v>100</v>
      </c>
      <c r="AU48" s="161">
        <f>IF($H48=0,0,CHOOSE($H48,SUMPRODUCT($O49:$O$67*AU49:AU$67*($E49:$E$67=$D48)),IF(ISNUMBER(Data_2014_N!AO48),100*ABS($G48-(Data_2014_N!AO48-$K48)/$M48),0),IF(ISNUMBER(Data_2014_N!AO48),100*ABS($G48-(Data_2014_N!AO48-$K48)/$M48),0)))</f>
        <v>100</v>
      </c>
      <c r="AV48" s="161">
        <f>IF($H48=0,0,CHOOSE($H48,SUMPRODUCT($O49:$O$67*AV49:AV$67*($E49:$E$67=$D48)),IF(ISNUMBER(Data_2014_N!AP48),100*ABS($G48-(Data_2014_N!AP48-$K48)/$M48),0),IF(ISNUMBER(Data_2014_N!AP48),100*ABS($G48-(Data_2014_N!AP48-$K48)/$M48),0)))</f>
        <v>100</v>
      </c>
      <c r="AW48" s="161">
        <f>IF($H48=0,0,CHOOSE($H48,SUMPRODUCT($O49:$O$67*AW49:AW$67*($E49:$E$67=$D48)),IF(ISNUMBER(Data_2014_N!AQ48),100*ABS($G48-(Data_2014_N!AQ48-$K48)/$M48),0),IF(ISNUMBER(Data_2014_N!AQ48),100*ABS($G48-(Data_2014_N!AQ48-$K48)/$M48),0)))</f>
        <v>50</v>
      </c>
      <c r="AX48" s="161">
        <f>IF($H48=0,0,CHOOSE($H48,SUMPRODUCT($O49:$O$67*AX49:AX$67*($E49:$E$67=$D48)),IF(ISNUMBER(Data_2014_N!AR48),100*ABS($G48-(Data_2014_N!AR48-$K48)/$M48),0),IF(ISNUMBER(Data_2014_N!AR48),100*ABS($G48-(Data_2014_N!AR48-$K48)/$M48),0)))</f>
        <v>50</v>
      </c>
      <c r="AY48" s="161">
        <f>IF($H48=0,0,CHOOSE($H48,SUMPRODUCT($O49:$O$67*AY49:AY$67*($E49:$E$67=$D48)),IF(ISNUMBER(Data_2014_N!AS48),100*ABS($G48-(Data_2014_N!AS48-$K48)/$M48),0),IF(ISNUMBER(Data_2014_N!AS48),100*ABS($G48-(Data_2014_N!AS48-$K48)/$M48),0)))</f>
        <v>50</v>
      </c>
      <c r="AZ48" s="161">
        <f>IF($H48=0,0,CHOOSE($H48,SUMPRODUCT($O49:$O$67*AZ49:AZ$67*($E49:$E$67=$D48)),IF(ISNUMBER(Data_2014_N!AT48),100*ABS($G48-(Data_2014_N!AT48-$K48)/$M48),0),IF(ISNUMBER(Data_2014_N!AT48),100*ABS($G48-(Data_2014_N!AT48-$K48)/$M48),0)))</f>
        <v>50</v>
      </c>
      <c r="BA48" s="161">
        <f>IF($H48=0,0,CHOOSE($H48,SUMPRODUCT($O49:$O$67*BA49:BA$67*($E49:$E$67=$D48)),IF(ISNUMBER(Data_2014_N!AU48),100*ABS($G48-(Data_2014_N!AU48-$K48)/$M48),0),IF(ISNUMBER(Data_2014_N!AU48),100*ABS($G48-(Data_2014_N!AU48-$K48)/$M48),0)))</f>
        <v>100</v>
      </c>
      <c r="BB48" s="161">
        <f>IF($H48=0,0,CHOOSE($H48,SUMPRODUCT($O49:$O$67*BB49:BB$67*($E49:$E$67=$D48)),IF(ISNUMBER(Data_2014_N!AV48),100*ABS($G48-(Data_2014_N!AV48-$K48)/$M48),0),IF(ISNUMBER(Data_2014_N!AV48),100*ABS($G48-(Data_2014_N!AV48-$K48)/$M48),0)))</f>
        <v>100</v>
      </c>
      <c r="BC48" s="161">
        <f>IF($H48=0,0,CHOOSE($H48,SUMPRODUCT($O49:$O$67*BC49:BC$67*($E49:$E$67=$D48)),IF(ISNUMBER(Data_2014_N!AW48),100*ABS($G48-(Data_2014_N!AW48-$K48)/$M48),0),IF(ISNUMBER(Data_2014_N!AW48),100*ABS($G48-(Data_2014_N!AW48-$K48)/$M48),0)))</f>
        <v>100</v>
      </c>
      <c r="BD48" s="161">
        <f>IF($H48=0,0,CHOOSE($H48,SUMPRODUCT($O49:$O$67*BD49:BD$67*($E49:$E$67=$D48)),IF(ISNUMBER(Data_2014_N!AX48),100*ABS($G48-(Data_2014_N!AX48-$K48)/$M48),0),IF(ISNUMBER(Data_2014_N!AX48),100*ABS($G48-(Data_2014_N!AX48-$K48)/$M48),0)))</f>
        <v>100</v>
      </c>
      <c r="BE48" s="161">
        <f>IF($H48=0,0,CHOOSE($H48,SUMPRODUCT($O49:$O$67*BE49:BE$67*($E49:$E$67=$D48)),IF(ISNUMBER(Data_2014_N!AY48),100*ABS($G48-(Data_2014_N!AY48-$K48)/$M48),0),IF(ISNUMBER(Data_2014_N!AY48),100*ABS($G48-(Data_2014_N!AY48-$K48)/$M48),0)))</f>
        <v>50</v>
      </c>
      <c r="BF48" s="161">
        <f>IF($H48=0,0,CHOOSE($H48,SUMPRODUCT($O49:$O$67*BF49:BF$67*($E49:$E$67=$D48)),IF(ISNUMBER(Data_2014_N!AZ48),100*ABS($G48-(Data_2014_N!AZ48-$K48)/$M48),0),IF(ISNUMBER(Data_2014_N!AZ48),100*ABS($G48-(Data_2014_N!AZ48-$K48)/$M48),0)))</f>
        <v>100</v>
      </c>
      <c r="BG48" s="161">
        <f>IF($H48=0,0,CHOOSE($H48,SUMPRODUCT($O49:$O$67*BG49:BG$67*($E49:$E$67=$D48)),IF(ISNUMBER(Data_2014_N!BA48),100*ABS($G48-(Data_2014_N!BA48-$K48)/$M48),0),IF(ISNUMBER(Data_2014_N!BA48),100*ABS($G48-(Data_2014_N!BA48-$K48)/$M48),0)))</f>
        <v>100</v>
      </c>
      <c r="BH48" s="161">
        <f>IF($H48=0,0,CHOOSE($H48,SUMPRODUCT($O49:$O$67*BH49:BH$67*($E49:$E$67=$D48)),IF(ISNUMBER(Data_2014_N!BB48),100*ABS($G48-(Data_2014_N!BB48-$K48)/$M48),0),IF(ISNUMBER(Data_2014_N!BB48),100*ABS($G48-(Data_2014_N!BB48-$K48)/$M48),0)))</f>
        <v>100</v>
      </c>
      <c r="BI48" s="161">
        <f>IF($H48=0,0,CHOOSE($H48,SUMPRODUCT($O49:$O$67*BI49:BI$67*($E49:$E$67=$D48)),IF(ISNUMBER(Data_2014_N!BC48),100*ABS($G48-(Data_2014_N!BC48-$K48)/$M48),0),IF(ISNUMBER(Data_2014_N!BC48),100*ABS($G48-(Data_2014_N!BC48-$K48)/$M48),0)))</f>
        <v>100</v>
      </c>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row>
    <row r="49" s="69" customFormat="1" ht="24.95" customHeight="1" spans="1:115">
      <c r="A49" s="92"/>
      <c r="B49" s="92">
        <f>tblIndicators!A45</f>
        <v>44</v>
      </c>
      <c r="C49" s="92">
        <f>tblIndicators!B45</f>
        <v>0</v>
      </c>
      <c r="D49" s="92" t="str">
        <f>tblIndicators!D45</f>
        <v>PESE4.1.2</v>
      </c>
      <c r="E49" s="92" t="str">
        <f>tblIndicators!E45</f>
        <v>PESE4.1</v>
      </c>
      <c r="F49" s="92">
        <f>tblIndicators!F45</f>
        <v>3</v>
      </c>
      <c r="G49" s="92">
        <f>tblIndicators!Y45</f>
        <v>0</v>
      </c>
      <c r="H49" s="92">
        <f>tblIndicators!Z45</f>
        <v>2</v>
      </c>
      <c r="I49" s="104">
        <f>tblIndicators!AA45</f>
        <v>0</v>
      </c>
      <c r="J49" s="92">
        <f>tblIndicators!AB45</f>
        <v>1</v>
      </c>
      <c r="K49" s="92">
        <f>CHOOSE(H49,"-",MIN(Data_2014_N!J49:BC49),I49)</f>
        <v>0</v>
      </c>
      <c r="L49" s="165">
        <f>CHOOSE(H49,"-",MAX(Data_2014_N!J49:BC49),J49)</f>
        <v>1</v>
      </c>
      <c r="M49" s="92">
        <f t="shared" si="1"/>
        <v>1</v>
      </c>
      <c r="N49" s="168" t="str">
        <f>REPT(" ",F49)&amp;tblIndicators!AE45</f>
        <v>   4.1.2) Community-based patrolling</v>
      </c>
      <c r="O49" s="169">
        <f>tblIndicators!AD45</f>
        <v>0.142857142857143</v>
      </c>
      <c r="P49" s="161">
        <f>IF($H49=0,0,CHOOSE($H49,SUMPRODUCT($O50:$O$67*P50:P$67*($E50:$E$67=$D49)),IF(ISNUMBER(Data_2014_N!J49),100*ABS($G49-(Data_2014_N!J49-$K49)/$M49),0),IF(ISNUMBER(Data_2014_N!J49),100*ABS($G49-(Data_2014_N!J49-$K49)/$M49),0)))</f>
        <v>100</v>
      </c>
      <c r="Q49" s="161">
        <f>IF($H49=0,0,CHOOSE($H49,SUMPRODUCT($O50:$O$67*Q50:Q$67*($E50:$E$67=$D49)),IF(ISNUMBER(Data_2014_N!K49),100*ABS($G49-(Data_2014_N!K49-$K49)/$M49),0),IF(ISNUMBER(Data_2014_N!K49),100*ABS($G49-(Data_2014_N!K49-$K49)/$M49),0)))</f>
        <v>100</v>
      </c>
      <c r="R49" s="161">
        <f>IF($H49=0,0,CHOOSE($H49,SUMPRODUCT($O50:$O$67*R50:R$67*($E50:$E$67=$D49)),IF(ISNUMBER(Data_2014_N!L49),100*ABS($G49-(Data_2014_N!L49-$K49)/$M49),0),IF(ISNUMBER(Data_2014_N!L49),100*ABS($G49-(Data_2014_N!L49-$K49)/$M49),0)))</f>
        <v>100</v>
      </c>
      <c r="S49" s="161">
        <f>IF($H49=0,0,CHOOSE($H49,SUMPRODUCT($O50:$O$67*S50:S$67*($E50:$E$67=$D49)),IF(ISNUMBER(Data_2014_N!M49),100*ABS($G49-(Data_2014_N!M49-$K49)/$M49),0),IF(ISNUMBER(Data_2014_N!M49),100*ABS($G49-(Data_2014_N!M49-$K49)/$M49),0)))</f>
        <v>100</v>
      </c>
      <c r="T49" s="161">
        <f>IF($H49=0,0,CHOOSE($H49,SUMPRODUCT($O50:$O$67*T50:T$67*($E50:$E$67=$D49)),IF(ISNUMBER(Data_2014_N!N49),100*ABS($G49-(Data_2014_N!N49-$K49)/$M49),0),IF(ISNUMBER(Data_2014_N!N49),100*ABS($G49-(Data_2014_N!N49-$K49)/$M49),0)))</f>
        <v>100</v>
      </c>
      <c r="U49" s="161">
        <f>IF($H49=0,0,CHOOSE($H49,SUMPRODUCT($O50:$O$67*U50:U$67*($E50:$E$67=$D49)),IF(ISNUMBER(Data_2014_N!O49),100*ABS($G49-(Data_2014_N!O49-$K49)/$M49),0),IF(ISNUMBER(Data_2014_N!O49),100*ABS($G49-(Data_2014_N!O49-$K49)/$M49),0)))</f>
        <v>100</v>
      </c>
      <c r="V49" s="161">
        <f>IF($H49=0,0,CHOOSE($H49,SUMPRODUCT($O50:$O$67*V50:V$67*($E50:$E$67=$D49)),IF(ISNUMBER(Data_2014_N!P49),100*ABS($G49-(Data_2014_N!P49-$K49)/$M49),0),IF(ISNUMBER(Data_2014_N!P49),100*ABS($G49-(Data_2014_N!P49-$K49)/$M49),0)))</f>
        <v>100</v>
      </c>
      <c r="W49" s="161">
        <f>IF($H49=0,0,CHOOSE($H49,SUMPRODUCT($O50:$O$67*W50:W$67*($E50:$E$67=$D49)),IF(ISNUMBER(Data_2014_N!Q49),100*ABS($G49-(Data_2014_N!Q49-$K49)/$M49),0),IF(ISNUMBER(Data_2014_N!Q49),100*ABS($G49-(Data_2014_N!Q49-$K49)/$M49),0)))</f>
        <v>100</v>
      </c>
      <c r="X49" s="161">
        <f>IF($H49=0,0,CHOOSE($H49,SUMPRODUCT($O50:$O$67*X50:X$67*($E50:$E$67=$D49)),IF(ISNUMBER(Data_2014_N!R49),100*ABS($G49-(Data_2014_N!R49-$K49)/$M49),0),IF(ISNUMBER(Data_2014_N!R49),100*ABS($G49-(Data_2014_N!R49-$K49)/$M49),0)))</f>
        <v>100</v>
      </c>
      <c r="Y49" s="161">
        <f>IF($H49=0,0,CHOOSE($H49,SUMPRODUCT($O50:$O$67*Y50:Y$67*($E50:$E$67=$D49)),IF(ISNUMBER(Data_2014_N!S49),100*ABS($G49-(Data_2014_N!S49-$K49)/$M49),0),IF(ISNUMBER(Data_2014_N!S49),100*ABS($G49-(Data_2014_N!S49-$K49)/$M49),0)))</f>
        <v>100</v>
      </c>
      <c r="Z49" s="161">
        <f>IF($H49=0,0,CHOOSE($H49,SUMPRODUCT($O50:$O$67*Z50:Z$67*($E50:$E$67=$D49)),IF(ISNUMBER(Data_2014_N!T49),100*ABS($G49-(Data_2014_N!T49-$K49)/$M49),0),IF(ISNUMBER(Data_2014_N!T49),100*ABS($G49-(Data_2014_N!T49-$K49)/$M49),0)))</f>
        <v>100</v>
      </c>
      <c r="AA49" s="161">
        <f>IF($H49=0,0,CHOOSE($H49,SUMPRODUCT($O50:$O$67*AA50:AA$67*($E50:$E$67=$D49)),IF(ISNUMBER(Data_2014_N!U49),100*ABS($G49-(Data_2014_N!U49-$K49)/$M49),0),IF(ISNUMBER(Data_2014_N!U49),100*ABS($G49-(Data_2014_N!U49-$K49)/$M49),0)))</f>
        <v>100</v>
      </c>
      <c r="AB49" s="161">
        <f>IF($H49=0,0,CHOOSE($H49,SUMPRODUCT($O50:$O$67*AB50:AB$67*($E50:$E$67=$D49)),IF(ISNUMBER(Data_2014_N!V49),100*ABS($G49-(Data_2014_N!V49-$K49)/$M49),0),IF(ISNUMBER(Data_2014_N!V49),100*ABS($G49-(Data_2014_N!V49-$K49)/$M49),0)))</f>
        <v>100</v>
      </c>
      <c r="AC49" s="161">
        <f>IF($H49=0,0,CHOOSE($H49,SUMPRODUCT($O50:$O$67*AC50:AC$67*($E50:$E$67=$D49)),IF(ISNUMBER(Data_2014_N!W49),100*ABS($G49-(Data_2014_N!W49-$K49)/$M49),0),IF(ISNUMBER(Data_2014_N!W49),100*ABS($G49-(Data_2014_N!W49-$K49)/$M49),0)))</f>
        <v>100</v>
      </c>
      <c r="AD49" s="161">
        <f>IF($H49=0,0,CHOOSE($H49,SUMPRODUCT($O50:$O$67*AD50:AD$67*($E50:$E$67=$D49)),IF(ISNUMBER(Data_2014_N!X49),100*ABS($G49-(Data_2014_N!X49-$K49)/$M49),0),IF(ISNUMBER(Data_2014_N!X49),100*ABS($G49-(Data_2014_N!X49-$K49)/$M49),0)))</f>
        <v>100</v>
      </c>
      <c r="AE49" s="161">
        <f>IF($H49=0,0,CHOOSE($H49,SUMPRODUCT($O50:$O$67*AE50:AE$67*($E50:$E$67=$D49)),IF(ISNUMBER(Data_2014_N!Y49),100*ABS($G49-(Data_2014_N!Y49-$K49)/$M49),0),IF(ISNUMBER(Data_2014_N!Y49),100*ABS($G49-(Data_2014_N!Y49-$K49)/$M49),0)))</f>
        <v>100</v>
      </c>
      <c r="AF49" s="161">
        <f>IF($H49=0,0,CHOOSE($H49,SUMPRODUCT($O50:$O$67*AF50:AF$67*($E50:$E$67=$D49)),IF(ISNUMBER(Data_2014_N!Z49),100*ABS($G49-(Data_2014_N!Z49-$K49)/$M49),0),IF(ISNUMBER(Data_2014_N!Z49),100*ABS($G49-(Data_2014_N!Z49-$K49)/$M49),0)))</f>
        <v>0</v>
      </c>
      <c r="AG49" s="161">
        <f>IF($H49=0,0,CHOOSE($H49,SUMPRODUCT($O50:$O$67*AG50:AG$67*($E50:$E$67=$D49)),IF(ISNUMBER(Data_2014_N!AA49),100*ABS($G49-(Data_2014_N!AA49-$K49)/$M49),0),IF(ISNUMBER(Data_2014_N!AA49),100*ABS($G49-(Data_2014_N!AA49-$K49)/$M49),0)))</f>
        <v>100</v>
      </c>
      <c r="AH49" s="161">
        <f>IF($H49=0,0,CHOOSE($H49,SUMPRODUCT($O50:$O$67*AH50:AH$67*($E50:$E$67=$D49)),IF(ISNUMBER(Data_2014_N!AB49),100*ABS($G49-(Data_2014_N!AB49-$K49)/$M49),0),IF(ISNUMBER(Data_2014_N!AB49),100*ABS($G49-(Data_2014_N!AB49-$K49)/$M49),0)))</f>
        <v>100</v>
      </c>
      <c r="AI49" s="161">
        <f>IF($H49=0,0,CHOOSE($H49,SUMPRODUCT($O50:$O$67*AI50:AI$67*($E50:$E$67=$D49)),IF(ISNUMBER(Data_2014_N!AC49),100*ABS($G49-(Data_2014_N!AC49-$K49)/$M49),0),IF(ISNUMBER(Data_2014_N!AC49),100*ABS($G49-(Data_2014_N!AC49-$K49)/$M49),0)))</f>
        <v>100</v>
      </c>
      <c r="AJ49" s="161">
        <f>IF($H49=0,0,CHOOSE($H49,SUMPRODUCT($O50:$O$67*AJ50:AJ$67*($E50:$E$67=$D49)),IF(ISNUMBER(Data_2014_N!AD49),100*ABS($G49-(Data_2014_N!AD49-$K49)/$M49),0),IF(ISNUMBER(Data_2014_N!AD49),100*ABS($G49-(Data_2014_N!AD49-$K49)/$M49),0)))</f>
        <v>100</v>
      </c>
      <c r="AK49" s="161">
        <f>IF($H49=0,0,CHOOSE($H49,SUMPRODUCT($O50:$O$67*AK50:AK$67*($E50:$E$67=$D49)),IF(ISNUMBER(Data_2014_N!AE49),100*ABS($G49-(Data_2014_N!AE49-$K49)/$M49),0),IF(ISNUMBER(Data_2014_N!AE49),100*ABS($G49-(Data_2014_N!AE49-$K49)/$M49),0)))</f>
        <v>100</v>
      </c>
      <c r="AL49" s="161">
        <f>IF($H49=0,0,CHOOSE($H49,SUMPRODUCT($O50:$O$67*AL50:AL$67*($E50:$E$67=$D49)),IF(ISNUMBER(Data_2014_N!AF49),100*ABS($G49-(Data_2014_N!AF49-$K49)/$M49),0),IF(ISNUMBER(Data_2014_N!AF49),100*ABS($G49-(Data_2014_N!AF49-$K49)/$M49),0)))</f>
        <v>100</v>
      </c>
      <c r="AM49" s="161">
        <f>IF($H49=0,0,CHOOSE($H49,SUMPRODUCT($O50:$O$67*AM50:AM$67*($E50:$E$67=$D49)),IF(ISNUMBER(Data_2014_N!AG49),100*ABS($G49-(Data_2014_N!AG49-$K49)/$M49),0),IF(ISNUMBER(Data_2014_N!AG49),100*ABS($G49-(Data_2014_N!AG49-$K49)/$M49),0)))</f>
        <v>100</v>
      </c>
      <c r="AN49" s="161">
        <f>IF($H49=0,0,CHOOSE($H49,SUMPRODUCT($O50:$O$67*AN50:AN$67*($E50:$E$67=$D49)),IF(ISNUMBER(Data_2014_N!AH49),100*ABS($G49-(Data_2014_N!AH49-$K49)/$M49),0),IF(ISNUMBER(Data_2014_N!AH49),100*ABS($G49-(Data_2014_N!AH49-$K49)/$M49),0)))</f>
        <v>100</v>
      </c>
      <c r="AO49" s="161">
        <f>IF($H49=0,0,CHOOSE($H49,SUMPRODUCT($O50:$O$67*AO50:AO$67*($E50:$E$67=$D49)),IF(ISNUMBER(Data_2014_N!AI49),100*ABS($G49-(Data_2014_N!AI49-$K49)/$M49),0),IF(ISNUMBER(Data_2014_N!AI49),100*ABS($G49-(Data_2014_N!AI49-$K49)/$M49),0)))</f>
        <v>100</v>
      </c>
      <c r="AP49" s="161">
        <f>IF($H49=0,0,CHOOSE($H49,SUMPRODUCT($O50:$O$67*AP50:AP$67*($E50:$E$67=$D49)),IF(ISNUMBER(Data_2014_N!AJ49),100*ABS($G49-(Data_2014_N!AJ49-$K49)/$M49),0),IF(ISNUMBER(Data_2014_N!AJ49),100*ABS($G49-(Data_2014_N!AJ49-$K49)/$M49),0)))</f>
        <v>100</v>
      </c>
      <c r="AQ49" s="161">
        <f>IF($H49=0,0,CHOOSE($H49,SUMPRODUCT($O50:$O$67*AQ50:AQ$67*($E50:$E$67=$D49)),IF(ISNUMBER(Data_2014_N!AK49),100*ABS($G49-(Data_2014_N!AK49-$K49)/$M49),0),IF(ISNUMBER(Data_2014_N!AK49),100*ABS($G49-(Data_2014_N!AK49-$K49)/$M49),0)))</f>
        <v>100</v>
      </c>
      <c r="AR49" s="161">
        <f>IF($H49=0,0,CHOOSE($H49,SUMPRODUCT($O50:$O$67*AR50:AR$67*($E50:$E$67=$D49)),IF(ISNUMBER(Data_2014_N!AL49),100*ABS($G49-(Data_2014_N!AL49-$K49)/$M49),0),IF(ISNUMBER(Data_2014_N!AL49),100*ABS($G49-(Data_2014_N!AL49-$K49)/$M49),0)))</f>
        <v>100</v>
      </c>
      <c r="AS49" s="161">
        <f>IF($H49=0,0,CHOOSE($H49,SUMPRODUCT($O50:$O$67*AS50:AS$67*($E50:$E$67=$D49)),IF(ISNUMBER(Data_2014_N!AM49),100*ABS($G49-(Data_2014_N!AM49-$K49)/$M49),0),IF(ISNUMBER(Data_2014_N!AM49),100*ABS($G49-(Data_2014_N!AM49-$K49)/$M49),0)))</f>
        <v>100</v>
      </c>
      <c r="AT49" s="161">
        <f>IF($H49=0,0,CHOOSE($H49,SUMPRODUCT($O50:$O$67*AT50:AT$67*($E50:$E$67=$D49)),IF(ISNUMBER(Data_2014_N!AN49),100*ABS($G49-(Data_2014_N!AN49-$K49)/$M49),0),IF(ISNUMBER(Data_2014_N!AN49),100*ABS($G49-(Data_2014_N!AN49-$K49)/$M49),0)))</f>
        <v>0</v>
      </c>
      <c r="AU49" s="161">
        <f>IF($H49=0,0,CHOOSE($H49,SUMPRODUCT($O50:$O$67*AU50:AU$67*($E50:$E$67=$D49)),IF(ISNUMBER(Data_2014_N!AO49),100*ABS($G49-(Data_2014_N!AO49-$K49)/$M49),0),IF(ISNUMBER(Data_2014_N!AO49),100*ABS($G49-(Data_2014_N!AO49-$K49)/$M49),0)))</f>
        <v>100</v>
      </c>
      <c r="AV49" s="161">
        <f>IF($H49=0,0,CHOOSE($H49,SUMPRODUCT($O50:$O$67*AV50:AV$67*($E50:$E$67=$D49)),IF(ISNUMBER(Data_2014_N!AP49),100*ABS($G49-(Data_2014_N!AP49-$K49)/$M49),0),IF(ISNUMBER(Data_2014_N!AP49),100*ABS($G49-(Data_2014_N!AP49-$K49)/$M49),0)))</f>
        <v>100</v>
      </c>
      <c r="AW49" s="161">
        <f>IF($H49=0,0,CHOOSE($H49,SUMPRODUCT($O50:$O$67*AW50:AW$67*($E50:$E$67=$D49)),IF(ISNUMBER(Data_2014_N!AQ49),100*ABS($G49-(Data_2014_N!AQ49-$K49)/$M49),0),IF(ISNUMBER(Data_2014_N!AQ49),100*ABS($G49-(Data_2014_N!AQ49-$K49)/$M49),0)))</f>
        <v>100</v>
      </c>
      <c r="AX49" s="161">
        <f>IF($H49=0,0,CHOOSE($H49,SUMPRODUCT($O50:$O$67*AX50:AX$67*($E50:$E$67=$D49)),IF(ISNUMBER(Data_2014_N!AR49),100*ABS($G49-(Data_2014_N!AR49-$K49)/$M49),0),IF(ISNUMBER(Data_2014_N!AR49),100*ABS($G49-(Data_2014_N!AR49-$K49)/$M49),0)))</f>
        <v>100</v>
      </c>
      <c r="AY49" s="161">
        <f>IF($H49=0,0,CHOOSE($H49,SUMPRODUCT($O50:$O$67*AY50:AY$67*($E50:$E$67=$D49)),IF(ISNUMBER(Data_2014_N!AS49),100*ABS($G49-(Data_2014_N!AS49-$K49)/$M49),0),IF(ISNUMBER(Data_2014_N!AS49),100*ABS($G49-(Data_2014_N!AS49-$K49)/$M49),0)))</f>
        <v>100</v>
      </c>
      <c r="AZ49" s="161">
        <f>IF($H49=0,0,CHOOSE($H49,SUMPRODUCT($O50:$O$67*AZ50:AZ$67*($E50:$E$67=$D49)),IF(ISNUMBER(Data_2014_N!AT49),100*ABS($G49-(Data_2014_N!AT49-$K49)/$M49),0),IF(ISNUMBER(Data_2014_N!AT49),100*ABS($G49-(Data_2014_N!AT49-$K49)/$M49),0)))</f>
        <v>100</v>
      </c>
      <c r="BA49" s="161">
        <f>IF($H49=0,0,CHOOSE($H49,SUMPRODUCT($O50:$O$67*BA50:BA$67*($E50:$E$67=$D49)),IF(ISNUMBER(Data_2014_N!AU49),100*ABS($G49-(Data_2014_N!AU49-$K49)/$M49),0),IF(ISNUMBER(Data_2014_N!AU49),100*ABS($G49-(Data_2014_N!AU49-$K49)/$M49),0)))</f>
        <v>100</v>
      </c>
      <c r="BB49" s="161">
        <f>IF($H49=0,0,CHOOSE($H49,SUMPRODUCT($O50:$O$67*BB50:BB$67*($E50:$E$67=$D49)),IF(ISNUMBER(Data_2014_N!AV49),100*ABS($G49-(Data_2014_N!AV49-$K49)/$M49),0),IF(ISNUMBER(Data_2014_N!AV49),100*ABS($G49-(Data_2014_N!AV49-$K49)/$M49),0)))</f>
        <v>100</v>
      </c>
      <c r="BC49" s="161">
        <f>IF($H49=0,0,CHOOSE($H49,SUMPRODUCT($O50:$O$67*BC50:BC$67*($E50:$E$67=$D49)),IF(ISNUMBER(Data_2014_N!AW49),100*ABS($G49-(Data_2014_N!AW49-$K49)/$M49),0),IF(ISNUMBER(Data_2014_N!AW49),100*ABS($G49-(Data_2014_N!AW49-$K49)/$M49),0)))</f>
        <v>100</v>
      </c>
      <c r="BD49" s="161">
        <f>IF($H49=0,0,CHOOSE($H49,SUMPRODUCT($O50:$O$67*BD50:BD$67*($E50:$E$67=$D49)),IF(ISNUMBER(Data_2014_N!AX49),100*ABS($G49-(Data_2014_N!AX49-$K49)/$M49),0),IF(ISNUMBER(Data_2014_N!AX49),100*ABS($G49-(Data_2014_N!AX49-$K49)/$M49),0)))</f>
        <v>100</v>
      </c>
      <c r="BE49" s="161">
        <f>IF($H49=0,0,CHOOSE($H49,SUMPRODUCT($O50:$O$67*BE50:BE$67*($E50:$E$67=$D49)),IF(ISNUMBER(Data_2014_N!AY49),100*ABS($G49-(Data_2014_N!AY49-$K49)/$M49),0),IF(ISNUMBER(Data_2014_N!AY49),100*ABS($G49-(Data_2014_N!AY49-$K49)/$M49),0)))</f>
        <v>0</v>
      </c>
      <c r="BF49" s="161">
        <f>IF($H49=0,0,CHOOSE($H49,SUMPRODUCT($O50:$O$67*BF50:BF$67*($E50:$E$67=$D49)),IF(ISNUMBER(Data_2014_N!AZ49),100*ABS($G49-(Data_2014_N!AZ49-$K49)/$M49),0),IF(ISNUMBER(Data_2014_N!AZ49),100*ABS($G49-(Data_2014_N!AZ49-$K49)/$M49),0)))</f>
        <v>100</v>
      </c>
      <c r="BG49" s="161">
        <f>IF($H49=0,0,CHOOSE($H49,SUMPRODUCT($O50:$O$67*BG50:BG$67*($E50:$E$67=$D49)),IF(ISNUMBER(Data_2014_N!BA49),100*ABS($G49-(Data_2014_N!BA49-$K49)/$M49),0),IF(ISNUMBER(Data_2014_N!BA49),100*ABS($G49-(Data_2014_N!BA49-$K49)/$M49),0)))</f>
        <v>100</v>
      </c>
      <c r="BH49" s="161">
        <f>IF($H49=0,0,CHOOSE($H49,SUMPRODUCT($O50:$O$67*BH50:BH$67*($E50:$E$67=$D49)),IF(ISNUMBER(Data_2014_N!BB49),100*ABS($G49-(Data_2014_N!BB49-$K49)/$M49),0),IF(ISNUMBER(Data_2014_N!BB49),100*ABS($G49-(Data_2014_N!BB49-$K49)/$M49),0)))</f>
        <v>100</v>
      </c>
      <c r="BI49" s="161">
        <f>IF($H49=0,0,CHOOSE($H49,SUMPRODUCT($O50:$O$67*BI50:BI$67*($E50:$E$67=$D49)),IF(ISNUMBER(Data_2014_N!BC49),100*ABS($G49-(Data_2014_N!BC49-$K49)/$M49),0),IF(ISNUMBER(Data_2014_N!BC49),100*ABS($G49-(Data_2014_N!BC49-$K49)/$M49),0)))</f>
        <v>100</v>
      </c>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row>
    <row r="50" s="69" customFormat="1" ht="24.95" customHeight="1" spans="1:115">
      <c r="A50" s="92"/>
      <c r="B50" s="92">
        <f>tblIndicators!A46</f>
        <v>45</v>
      </c>
      <c r="C50" s="92">
        <f>tblIndicators!B46</f>
        <v>0</v>
      </c>
      <c r="D50" s="92" t="str">
        <f>tblIndicators!D46</f>
        <v>PESE4.1.3</v>
      </c>
      <c r="E50" s="92" t="str">
        <f>tblIndicators!E46</f>
        <v>PESE4.1</v>
      </c>
      <c r="F50" s="92">
        <f>tblIndicators!F46</f>
        <v>3</v>
      </c>
      <c r="G50" s="92">
        <f>tblIndicators!Y46</f>
        <v>0</v>
      </c>
      <c r="H50" s="92">
        <f>tblIndicators!Z46</f>
        <v>2</v>
      </c>
      <c r="I50" s="104">
        <f>tblIndicators!AA46</f>
        <v>0</v>
      </c>
      <c r="J50" s="92">
        <f>tblIndicators!AB46</f>
        <v>1</v>
      </c>
      <c r="K50" s="92">
        <f>CHOOSE(H50,"-",MIN(Data_2014_N!J50:BC50),I50)</f>
        <v>0</v>
      </c>
      <c r="L50" s="165">
        <f>CHOOSE(H50,"-",MAX(Data_2014_N!J50:BC50),J50)</f>
        <v>1</v>
      </c>
      <c r="M50" s="92">
        <f t="shared" si="1"/>
        <v>1</v>
      </c>
      <c r="N50" s="168" t="str">
        <f>REPT(" ",F50)&amp;tblIndicators!AE46</f>
        <v>   4.1.3) Available street-level crime data</v>
      </c>
      <c r="O50" s="169">
        <f>tblIndicators!AD46</f>
        <v>0.142857142857143</v>
      </c>
      <c r="P50" s="161">
        <f>IF($H50=0,0,CHOOSE($H50,SUMPRODUCT($O51:$O$67*P51:P$67*($E51:$E$67=$D50)),IF(ISNUMBER(Data_2014_N!J50),100*ABS($G50-(Data_2014_N!J50-$K50)/$M50),0),IF(ISNUMBER(Data_2014_N!J50),100*ABS($G50-(Data_2014_N!J50-$K50)/$M50),0)))</f>
        <v>100</v>
      </c>
      <c r="Q50" s="161">
        <f>IF($H50=0,0,CHOOSE($H50,SUMPRODUCT($O51:$O$67*Q51:Q$67*($E51:$E$67=$D50)),IF(ISNUMBER(Data_2014_N!K50),100*ABS($G50-(Data_2014_N!K50-$K50)/$M50),0),IF(ISNUMBER(Data_2014_N!K50),100*ABS($G50-(Data_2014_N!K50-$K50)/$M50),0)))</f>
        <v>100</v>
      </c>
      <c r="R50" s="161">
        <f>IF($H50=0,0,CHOOSE($H50,SUMPRODUCT($O51:$O$67*R51:R$67*($E51:$E$67=$D50)),IF(ISNUMBER(Data_2014_N!L50),100*ABS($G50-(Data_2014_N!L50-$K50)/$M50),0),IF(ISNUMBER(Data_2014_N!L50),100*ABS($G50-(Data_2014_N!L50-$K50)/$M50),0)))</f>
        <v>100</v>
      </c>
      <c r="S50" s="161">
        <f>IF($H50=0,0,CHOOSE($H50,SUMPRODUCT($O51:$O$67*S51:S$67*($E51:$E$67=$D50)),IF(ISNUMBER(Data_2014_N!M50),100*ABS($G50-(Data_2014_N!M50-$K50)/$M50),0),IF(ISNUMBER(Data_2014_N!M50),100*ABS($G50-(Data_2014_N!M50-$K50)/$M50),0)))</f>
        <v>100</v>
      </c>
      <c r="T50" s="161">
        <f>IF($H50=0,0,CHOOSE($H50,SUMPRODUCT($O51:$O$67*T51:T$67*($E51:$E$67=$D50)),IF(ISNUMBER(Data_2014_N!N50),100*ABS($G50-(Data_2014_N!N50-$K50)/$M50),0),IF(ISNUMBER(Data_2014_N!N50),100*ABS($G50-(Data_2014_N!N50-$K50)/$M50),0)))</f>
        <v>0</v>
      </c>
      <c r="U50" s="161">
        <f>IF($H50=0,0,CHOOSE($H50,SUMPRODUCT($O51:$O$67*U51:U$67*($E51:$E$67=$D50)),IF(ISNUMBER(Data_2014_N!O50),100*ABS($G50-(Data_2014_N!O50-$K50)/$M50),0),IF(ISNUMBER(Data_2014_N!O50),100*ABS($G50-(Data_2014_N!O50-$K50)/$M50),0)))</f>
        <v>0</v>
      </c>
      <c r="V50" s="161">
        <f>IF($H50=0,0,CHOOSE($H50,SUMPRODUCT($O51:$O$67*V51:V$67*($E51:$E$67=$D50)),IF(ISNUMBER(Data_2014_N!P50),100*ABS($G50-(Data_2014_N!P50-$K50)/$M50),0),IF(ISNUMBER(Data_2014_N!P50),100*ABS($G50-(Data_2014_N!P50-$K50)/$M50),0)))</f>
        <v>0</v>
      </c>
      <c r="W50" s="161">
        <f>IF($H50=0,0,CHOOSE($H50,SUMPRODUCT($O51:$O$67*W51:W$67*($E51:$E$67=$D50)),IF(ISNUMBER(Data_2014_N!Q50),100*ABS($G50-(Data_2014_N!Q50-$K50)/$M50),0),IF(ISNUMBER(Data_2014_N!Q50),100*ABS($G50-(Data_2014_N!Q50-$K50)/$M50),0)))</f>
        <v>100</v>
      </c>
      <c r="X50" s="161">
        <f>IF($H50=0,0,CHOOSE($H50,SUMPRODUCT($O51:$O$67*X51:X$67*($E51:$E$67=$D50)),IF(ISNUMBER(Data_2014_N!R50),100*ABS($G50-(Data_2014_N!R50-$K50)/$M50),0),IF(ISNUMBER(Data_2014_N!R50),100*ABS($G50-(Data_2014_N!R50-$K50)/$M50),0)))</f>
        <v>0</v>
      </c>
      <c r="Y50" s="161">
        <f>IF($H50=0,0,CHOOSE($H50,SUMPRODUCT($O51:$O$67*Y51:Y$67*($E51:$E$67=$D50)),IF(ISNUMBER(Data_2014_N!S50),100*ABS($G50-(Data_2014_N!S50-$K50)/$M50),0),IF(ISNUMBER(Data_2014_N!S50),100*ABS($G50-(Data_2014_N!S50-$K50)/$M50),0)))</f>
        <v>100</v>
      </c>
      <c r="Z50" s="161">
        <f>IF($H50=0,0,CHOOSE($H50,SUMPRODUCT($O51:$O$67*Z51:Z$67*($E51:$E$67=$D50)),IF(ISNUMBER(Data_2014_N!T50),100*ABS($G50-(Data_2014_N!T50-$K50)/$M50),0),IF(ISNUMBER(Data_2014_N!T50),100*ABS($G50-(Data_2014_N!T50-$K50)/$M50),0)))</f>
        <v>100</v>
      </c>
      <c r="AA50" s="161">
        <f>IF($H50=0,0,CHOOSE($H50,SUMPRODUCT($O51:$O$67*AA51:AA$67*($E51:$E$67=$D50)),IF(ISNUMBER(Data_2014_N!U50),100*ABS($G50-(Data_2014_N!U50-$K50)/$M50),0),IF(ISNUMBER(Data_2014_N!U50),100*ABS($G50-(Data_2014_N!U50-$K50)/$M50),0)))</f>
        <v>0</v>
      </c>
      <c r="AB50" s="161">
        <f>IF($H50=0,0,CHOOSE($H50,SUMPRODUCT($O51:$O$67*AB51:AB$67*($E51:$E$67=$D50)),IF(ISNUMBER(Data_2014_N!V50),100*ABS($G50-(Data_2014_N!V50-$K50)/$M50),0),IF(ISNUMBER(Data_2014_N!V50),100*ABS($G50-(Data_2014_N!V50-$K50)/$M50),0)))</f>
        <v>100</v>
      </c>
      <c r="AC50" s="161">
        <f>IF($H50=0,0,CHOOSE($H50,SUMPRODUCT($O51:$O$67*AC51:AC$67*($E51:$E$67=$D50)),IF(ISNUMBER(Data_2014_N!W50),100*ABS($G50-(Data_2014_N!W50-$K50)/$M50),0),IF(ISNUMBER(Data_2014_N!W50),100*ABS($G50-(Data_2014_N!W50-$K50)/$M50),0)))</f>
        <v>100</v>
      </c>
      <c r="AD50" s="161">
        <f>IF($H50=0,0,CHOOSE($H50,SUMPRODUCT($O51:$O$67*AD51:AD$67*($E51:$E$67=$D50)),IF(ISNUMBER(Data_2014_N!X50),100*ABS($G50-(Data_2014_N!X50-$K50)/$M50),0),IF(ISNUMBER(Data_2014_N!X50),100*ABS($G50-(Data_2014_N!X50-$K50)/$M50),0)))</f>
        <v>100</v>
      </c>
      <c r="AE50" s="161">
        <f>IF($H50=0,0,CHOOSE($H50,SUMPRODUCT($O51:$O$67*AE51:AE$67*($E51:$E$67=$D50)),IF(ISNUMBER(Data_2014_N!Y50),100*ABS($G50-(Data_2014_N!Y50-$K50)/$M50),0),IF(ISNUMBER(Data_2014_N!Y50),100*ABS($G50-(Data_2014_N!Y50-$K50)/$M50),0)))</f>
        <v>100</v>
      </c>
      <c r="AF50" s="161">
        <f>IF($H50=0,0,CHOOSE($H50,SUMPRODUCT($O51:$O$67*AF51:AF$67*($E51:$E$67=$D50)),IF(ISNUMBER(Data_2014_N!Z50),100*ABS($G50-(Data_2014_N!Z50-$K50)/$M50),0),IF(ISNUMBER(Data_2014_N!Z50),100*ABS($G50-(Data_2014_N!Z50-$K50)/$M50),0)))</f>
        <v>0</v>
      </c>
      <c r="AG50" s="161">
        <f>IF($H50=0,0,CHOOSE($H50,SUMPRODUCT($O51:$O$67*AG51:AG$67*($E51:$E$67=$D50)),IF(ISNUMBER(Data_2014_N!AA50),100*ABS($G50-(Data_2014_N!AA50-$K50)/$M50),0),IF(ISNUMBER(Data_2014_N!AA50),100*ABS($G50-(Data_2014_N!AA50-$K50)/$M50),0)))</f>
        <v>100</v>
      </c>
      <c r="AH50" s="161">
        <f>IF($H50=0,0,CHOOSE($H50,SUMPRODUCT($O51:$O$67*AH51:AH$67*($E51:$E$67=$D50)),IF(ISNUMBER(Data_2014_N!AB50),100*ABS($G50-(Data_2014_N!AB50-$K50)/$M50),0),IF(ISNUMBER(Data_2014_N!AB50),100*ABS($G50-(Data_2014_N!AB50-$K50)/$M50),0)))</f>
        <v>100</v>
      </c>
      <c r="AI50" s="161">
        <f>IF($H50=0,0,CHOOSE($H50,SUMPRODUCT($O51:$O$67*AI51:AI$67*($E51:$E$67=$D50)),IF(ISNUMBER(Data_2014_N!AC50),100*ABS($G50-(Data_2014_N!AC50-$K50)/$M50),0),IF(ISNUMBER(Data_2014_N!AC50),100*ABS($G50-(Data_2014_N!AC50-$K50)/$M50),0)))</f>
        <v>100</v>
      </c>
      <c r="AJ50" s="161">
        <f>IF($H50=0,0,CHOOSE($H50,SUMPRODUCT($O51:$O$67*AJ51:AJ$67*($E51:$E$67=$D50)),IF(ISNUMBER(Data_2014_N!AD50),100*ABS($G50-(Data_2014_N!AD50-$K50)/$M50),0),IF(ISNUMBER(Data_2014_N!AD50),100*ABS($G50-(Data_2014_N!AD50-$K50)/$M50),0)))</f>
        <v>100</v>
      </c>
      <c r="AK50" s="161">
        <f>IF($H50=0,0,CHOOSE($H50,SUMPRODUCT($O51:$O$67*AK51:AK$67*($E51:$E$67=$D50)),IF(ISNUMBER(Data_2014_N!AE50),100*ABS($G50-(Data_2014_N!AE50-$K50)/$M50),0),IF(ISNUMBER(Data_2014_N!AE50),100*ABS($G50-(Data_2014_N!AE50-$K50)/$M50),0)))</f>
        <v>100</v>
      </c>
      <c r="AL50" s="161">
        <f>IF($H50=0,0,CHOOSE($H50,SUMPRODUCT($O51:$O$67*AL51:AL$67*($E51:$E$67=$D50)),IF(ISNUMBER(Data_2014_N!AF50),100*ABS($G50-(Data_2014_N!AF50-$K50)/$M50),0),IF(ISNUMBER(Data_2014_N!AF50),100*ABS($G50-(Data_2014_N!AF50-$K50)/$M50),0)))</f>
        <v>0</v>
      </c>
      <c r="AM50" s="161">
        <f>IF($H50=0,0,CHOOSE($H50,SUMPRODUCT($O51:$O$67*AM51:AM$67*($E51:$E$67=$D50)),IF(ISNUMBER(Data_2014_N!AG50),100*ABS($G50-(Data_2014_N!AG50-$K50)/$M50),0),IF(ISNUMBER(Data_2014_N!AG50),100*ABS($G50-(Data_2014_N!AG50-$K50)/$M50),0)))</f>
        <v>100</v>
      </c>
      <c r="AN50" s="161">
        <f>IF($H50=0,0,CHOOSE($H50,SUMPRODUCT($O51:$O$67*AN51:AN$67*($E51:$E$67=$D50)),IF(ISNUMBER(Data_2014_N!AH50),100*ABS($G50-(Data_2014_N!AH50-$K50)/$M50),0),IF(ISNUMBER(Data_2014_N!AH50),100*ABS($G50-(Data_2014_N!AH50-$K50)/$M50),0)))</f>
        <v>0</v>
      </c>
      <c r="AO50" s="161">
        <f>IF($H50=0,0,CHOOSE($H50,SUMPRODUCT($O51:$O$67*AO51:AO$67*($E51:$E$67=$D50)),IF(ISNUMBER(Data_2014_N!AI50),100*ABS($G50-(Data_2014_N!AI50-$K50)/$M50),0),IF(ISNUMBER(Data_2014_N!AI50),100*ABS($G50-(Data_2014_N!AI50-$K50)/$M50),0)))</f>
        <v>100</v>
      </c>
      <c r="AP50" s="161">
        <f>IF($H50=0,0,CHOOSE($H50,SUMPRODUCT($O51:$O$67*AP51:AP$67*($E51:$E$67=$D50)),IF(ISNUMBER(Data_2014_N!AJ50),100*ABS($G50-(Data_2014_N!AJ50-$K50)/$M50),0),IF(ISNUMBER(Data_2014_N!AJ50),100*ABS($G50-(Data_2014_N!AJ50-$K50)/$M50),0)))</f>
        <v>100</v>
      </c>
      <c r="AQ50" s="161">
        <f>IF($H50=0,0,CHOOSE($H50,SUMPRODUCT($O51:$O$67*AQ51:AQ$67*($E51:$E$67=$D50)),IF(ISNUMBER(Data_2014_N!AK50),100*ABS($G50-(Data_2014_N!AK50-$K50)/$M50),0),IF(ISNUMBER(Data_2014_N!AK50),100*ABS($G50-(Data_2014_N!AK50-$K50)/$M50),0)))</f>
        <v>100</v>
      </c>
      <c r="AR50" s="161">
        <f>IF($H50=0,0,CHOOSE($H50,SUMPRODUCT($O51:$O$67*AR51:AR$67*($E51:$E$67=$D50)),IF(ISNUMBER(Data_2014_N!AL50),100*ABS($G50-(Data_2014_N!AL50-$K50)/$M50),0),IF(ISNUMBER(Data_2014_N!AL50),100*ABS($G50-(Data_2014_N!AL50-$K50)/$M50),0)))</f>
        <v>100</v>
      </c>
      <c r="AS50" s="161">
        <f>IF($H50=0,0,CHOOSE($H50,SUMPRODUCT($O51:$O$67*AS51:AS$67*($E51:$E$67=$D50)),IF(ISNUMBER(Data_2014_N!AM50),100*ABS($G50-(Data_2014_N!AM50-$K50)/$M50),0),IF(ISNUMBER(Data_2014_N!AM50),100*ABS($G50-(Data_2014_N!AM50-$K50)/$M50),0)))</f>
        <v>100</v>
      </c>
      <c r="AT50" s="161">
        <f>IF($H50=0,0,CHOOSE($H50,SUMPRODUCT($O51:$O$67*AT51:AT$67*($E51:$E$67=$D50)),IF(ISNUMBER(Data_2014_N!AN50),100*ABS($G50-(Data_2014_N!AN50-$K50)/$M50),0),IF(ISNUMBER(Data_2014_N!AN50),100*ABS($G50-(Data_2014_N!AN50-$K50)/$M50),0)))</f>
        <v>0</v>
      </c>
      <c r="AU50" s="161">
        <f>IF($H50=0,0,CHOOSE($H50,SUMPRODUCT($O51:$O$67*AU51:AU$67*($E51:$E$67=$D50)),IF(ISNUMBER(Data_2014_N!AO50),100*ABS($G50-(Data_2014_N!AO50-$K50)/$M50),0),IF(ISNUMBER(Data_2014_N!AO50),100*ABS($G50-(Data_2014_N!AO50-$K50)/$M50),0)))</f>
        <v>100</v>
      </c>
      <c r="AV50" s="161">
        <f>IF($H50=0,0,CHOOSE($H50,SUMPRODUCT($O51:$O$67*AV51:AV$67*($E51:$E$67=$D50)),IF(ISNUMBER(Data_2014_N!AP50),100*ABS($G50-(Data_2014_N!AP50-$K50)/$M50),0),IF(ISNUMBER(Data_2014_N!AP50),100*ABS($G50-(Data_2014_N!AP50-$K50)/$M50),0)))</f>
        <v>100</v>
      </c>
      <c r="AW50" s="161">
        <f>IF($H50=0,0,CHOOSE($H50,SUMPRODUCT($O51:$O$67*AW51:AW$67*($E51:$E$67=$D50)),IF(ISNUMBER(Data_2014_N!AQ50),100*ABS($G50-(Data_2014_N!AQ50-$K50)/$M50),0),IF(ISNUMBER(Data_2014_N!AQ50),100*ABS($G50-(Data_2014_N!AQ50-$K50)/$M50),0)))</f>
        <v>0</v>
      </c>
      <c r="AX50" s="161">
        <f>IF($H50=0,0,CHOOSE($H50,SUMPRODUCT($O51:$O$67*AX51:AX$67*($E51:$E$67=$D50)),IF(ISNUMBER(Data_2014_N!AR50),100*ABS($G50-(Data_2014_N!AR50-$K50)/$M50),0),IF(ISNUMBER(Data_2014_N!AR50),100*ABS($G50-(Data_2014_N!AR50-$K50)/$M50),0)))</f>
        <v>0</v>
      </c>
      <c r="AY50" s="161">
        <f>IF($H50=0,0,CHOOSE($H50,SUMPRODUCT($O51:$O$67*AY51:AY$67*($E51:$E$67=$D50)),IF(ISNUMBER(Data_2014_N!AS50),100*ABS($G50-(Data_2014_N!AS50-$K50)/$M50),0),IF(ISNUMBER(Data_2014_N!AS50),100*ABS($G50-(Data_2014_N!AS50-$K50)/$M50),0)))</f>
        <v>0</v>
      </c>
      <c r="AZ50" s="161">
        <f>IF($H50=0,0,CHOOSE($H50,SUMPRODUCT($O51:$O$67*AZ51:AZ$67*($E51:$E$67=$D50)),IF(ISNUMBER(Data_2014_N!AT50),100*ABS($G50-(Data_2014_N!AT50-$K50)/$M50),0),IF(ISNUMBER(Data_2014_N!AT50),100*ABS($G50-(Data_2014_N!AT50-$K50)/$M50),0)))</f>
        <v>0</v>
      </c>
      <c r="BA50" s="161">
        <f>IF($H50=0,0,CHOOSE($H50,SUMPRODUCT($O51:$O$67*BA51:BA$67*($E51:$E$67=$D50)),IF(ISNUMBER(Data_2014_N!AU50),100*ABS($G50-(Data_2014_N!AU50-$K50)/$M50),0),IF(ISNUMBER(Data_2014_N!AU50),100*ABS($G50-(Data_2014_N!AU50-$K50)/$M50),0)))</f>
        <v>100</v>
      </c>
      <c r="BB50" s="161">
        <f>IF($H50=0,0,CHOOSE($H50,SUMPRODUCT($O51:$O$67*BB51:BB$67*($E51:$E$67=$D50)),IF(ISNUMBER(Data_2014_N!AV50),100*ABS($G50-(Data_2014_N!AV50-$K50)/$M50),0),IF(ISNUMBER(Data_2014_N!AV50),100*ABS($G50-(Data_2014_N!AV50-$K50)/$M50),0)))</f>
        <v>100</v>
      </c>
      <c r="BC50" s="161">
        <f>IF($H50=0,0,CHOOSE($H50,SUMPRODUCT($O51:$O$67*BC51:BC$67*($E51:$E$67=$D50)),IF(ISNUMBER(Data_2014_N!AW50),100*ABS($G50-(Data_2014_N!AW50-$K50)/$M50),0),IF(ISNUMBER(Data_2014_N!AW50),100*ABS($G50-(Data_2014_N!AW50-$K50)/$M50),0)))</f>
        <v>100</v>
      </c>
      <c r="BD50" s="161">
        <f>IF($H50=0,0,CHOOSE($H50,SUMPRODUCT($O51:$O$67*BD51:BD$67*($E51:$E$67=$D50)),IF(ISNUMBER(Data_2014_N!AX50),100*ABS($G50-(Data_2014_N!AX50-$K50)/$M50),0),IF(ISNUMBER(Data_2014_N!AX50),100*ABS($G50-(Data_2014_N!AX50-$K50)/$M50),0)))</f>
        <v>100</v>
      </c>
      <c r="BE50" s="161">
        <f>IF($H50=0,0,CHOOSE($H50,SUMPRODUCT($O51:$O$67*BE51:BE$67*($E51:$E$67=$D50)),IF(ISNUMBER(Data_2014_N!AY50),100*ABS($G50-(Data_2014_N!AY50-$K50)/$M50),0),IF(ISNUMBER(Data_2014_N!AY50),100*ABS($G50-(Data_2014_N!AY50-$K50)/$M50),0)))</f>
        <v>0</v>
      </c>
      <c r="BF50" s="161">
        <f>IF($H50=0,0,CHOOSE($H50,SUMPRODUCT($O51:$O$67*BF51:BF$67*($E51:$E$67=$D50)),IF(ISNUMBER(Data_2014_N!AZ50),100*ABS($G50-(Data_2014_N!AZ50-$K50)/$M50),0),IF(ISNUMBER(Data_2014_N!AZ50),100*ABS($G50-(Data_2014_N!AZ50-$K50)/$M50),0)))</f>
        <v>100</v>
      </c>
      <c r="BG50" s="161">
        <f>IF($H50=0,0,CHOOSE($H50,SUMPRODUCT($O51:$O$67*BG51:BG$67*($E51:$E$67=$D50)),IF(ISNUMBER(Data_2014_N!BA50),100*ABS($G50-(Data_2014_N!BA50-$K50)/$M50),0),IF(ISNUMBER(Data_2014_N!BA50),100*ABS($G50-(Data_2014_N!BA50-$K50)/$M50),0)))</f>
        <v>100</v>
      </c>
      <c r="BH50" s="161">
        <f>IF($H50=0,0,CHOOSE($H50,SUMPRODUCT($O51:$O$67*BH51:BH$67*($E51:$E$67=$D50)),IF(ISNUMBER(Data_2014_N!BB50),100*ABS($G50-(Data_2014_N!BB50-$K50)/$M50),0),IF(ISNUMBER(Data_2014_N!BB50),100*ABS($G50-(Data_2014_N!BB50-$K50)/$M50),0)))</f>
        <v>100</v>
      </c>
      <c r="BI50" s="161">
        <f>IF($H50=0,0,CHOOSE($H50,SUMPRODUCT($O51:$O$67*BI51:BI$67*($E51:$E$67=$D50)),IF(ISNUMBER(Data_2014_N!BC50),100*ABS($G50-(Data_2014_N!BC50-$K50)/$M50),0),IF(ISNUMBER(Data_2014_N!BC50),100*ABS($G50-(Data_2014_N!BC50-$K50)/$M50),0)))</f>
        <v>100</v>
      </c>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row>
    <row r="51" s="69" customFormat="1" ht="24.95" customHeight="1" spans="1:115">
      <c r="A51" s="92"/>
      <c r="B51" s="92">
        <f>tblIndicators!A47</f>
        <v>46</v>
      </c>
      <c r="C51" s="92">
        <f>tblIndicators!B47</f>
        <v>0</v>
      </c>
      <c r="D51" s="92" t="str">
        <f>tblIndicators!D47</f>
        <v>PESE4.1.4</v>
      </c>
      <c r="E51" s="92" t="str">
        <f>tblIndicators!E47</f>
        <v>PESE4.1</v>
      </c>
      <c r="F51" s="92">
        <f>tblIndicators!F47</f>
        <v>3</v>
      </c>
      <c r="G51" s="92">
        <f>tblIndicators!Y47</f>
        <v>0</v>
      </c>
      <c r="H51" s="92">
        <f>tblIndicators!Z47</f>
        <v>2</v>
      </c>
      <c r="I51" s="104">
        <f>tblIndicators!AA47</f>
        <v>0</v>
      </c>
      <c r="J51" s="92">
        <f>tblIndicators!AB47</f>
        <v>1</v>
      </c>
      <c r="K51" s="92">
        <f>CHOOSE(H51,"-",MIN(Data_2014_N!J51:BC51),I51)</f>
        <v>0</v>
      </c>
      <c r="L51" s="165">
        <f>CHOOSE(H51,"-",MAX(Data_2014_N!J51:BC51),J51)</f>
        <v>1</v>
      </c>
      <c r="M51" s="92">
        <f t="shared" si="1"/>
        <v>1</v>
      </c>
      <c r="N51" s="168" t="str">
        <f>REPT(" ",F51)&amp;tblIndicators!AE47</f>
        <v>   4.1.4) Use of data-driven techniques for crime</v>
      </c>
      <c r="O51" s="169">
        <f>tblIndicators!AD47</f>
        <v>0.142857142857143</v>
      </c>
      <c r="P51" s="161">
        <f>IF($H51=0,0,CHOOSE($H51,SUMPRODUCT($O52:$O$67*P52:P$67*($E52:$E$67=$D51)),IF(ISNUMBER(Data_2014_N!J51),100*ABS($G51-(Data_2014_N!J51-$K51)/$M51),0),IF(ISNUMBER(Data_2014_N!J51),100*ABS($G51-(Data_2014_N!J51-$K51)/$M51),0)))</f>
        <v>0</v>
      </c>
      <c r="Q51" s="161">
        <f>IF($H51=0,0,CHOOSE($H51,SUMPRODUCT($O52:$O$67*Q52:Q$67*($E52:$E$67=$D51)),IF(ISNUMBER(Data_2014_N!K51),100*ABS($G51-(Data_2014_N!K51-$K51)/$M51),0),IF(ISNUMBER(Data_2014_N!K51),100*ABS($G51-(Data_2014_N!K51-$K51)/$M51),0)))</f>
        <v>100</v>
      </c>
      <c r="R51" s="161">
        <f>IF($H51=0,0,CHOOSE($H51,SUMPRODUCT($O52:$O$67*R52:R$67*($E52:$E$67=$D51)),IF(ISNUMBER(Data_2014_N!L51),100*ABS($G51-(Data_2014_N!L51-$K51)/$M51),0),IF(ISNUMBER(Data_2014_N!L51),100*ABS($G51-(Data_2014_N!L51-$K51)/$M51),0)))</f>
        <v>100</v>
      </c>
      <c r="S51" s="161">
        <f>IF($H51=0,0,CHOOSE($H51,SUMPRODUCT($O52:$O$67*S52:S$67*($E52:$E$67=$D51)),IF(ISNUMBER(Data_2014_N!M51),100*ABS($G51-(Data_2014_N!M51-$K51)/$M51),0),IF(ISNUMBER(Data_2014_N!M51),100*ABS($G51-(Data_2014_N!M51-$K51)/$M51),0)))</f>
        <v>100</v>
      </c>
      <c r="T51" s="161">
        <f>IF($H51=0,0,CHOOSE($H51,SUMPRODUCT($O52:$O$67*T52:T$67*($E52:$E$67=$D51)),IF(ISNUMBER(Data_2014_N!N51),100*ABS($G51-(Data_2014_N!N51-$K51)/$M51),0),IF(ISNUMBER(Data_2014_N!N51),100*ABS($G51-(Data_2014_N!N51-$K51)/$M51),0)))</f>
        <v>0</v>
      </c>
      <c r="U51" s="161">
        <f>IF($H51=0,0,CHOOSE($H51,SUMPRODUCT($O52:$O$67*U52:U$67*($E52:$E$67=$D51)),IF(ISNUMBER(Data_2014_N!O51),100*ABS($G51-(Data_2014_N!O51-$K51)/$M51),0),IF(ISNUMBER(Data_2014_N!O51),100*ABS($G51-(Data_2014_N!O51-$K51)/$M51),0)))</f>
        <v>0</v>
      </c>
      <c r="V51" s="161">
        <f>IF($H51=0,0,CHOOSE($H51,SUMPRODUCT($O52:$O$67*V52:V$67*($E52:$E$67=$D51)),IF(ISNUMBER(Data_2014_N!P51),100*ABS($G51-(Data_2014_N!P51-$K51)/$M51),0),IF(ISNUMBER(Data_2014_N!P51),100*ABS($G51-(Data_2014_N!P51-$K51)/$M51),0)))</f>
        <v>100</v>
      </c>
      <c r="W51" s="161">
        <f>IF($H51=0,0,CHOOSE($H51,SUMPRODUCT($O52:$O$67*W52:W$67*($E52:$E$67=$D51)),IF(ISNUMBER(Data_2014_N!Q51),100*ABS($G51-(Data_2014_N!Q51-$K51)/$M51),0),IF(ISNUMBER(Data_2014_N!Q51),100*ABS($G51-(Data_2014_N!Q51-$K51)/$M51),0)))</f>
        <v>100</v>
      </c>
      <c r="X51" s="161">
        <f>IF($H51=0,0,CHOOSE($H51,SUMPRODUCT($O52:$O$67*X52:X$67*($E52:$E$67=$D51)),IF(ISNUMBER(Data_2014_N!R51),100*ABS($G51-(Data_2014_N!R51-$K51)/$M51),0),IF(ISNUMBER(Data_2014_N!R51),100*ABS($G51-(Data_2014_N!R51-$K51)/$M51),0)))</f>
        <v>100</v>
      </c>
      <c r="Y51" s="161">
        <f>IF($H51=0,0,CHOOSE($H51,SUMPRODUCT($O52:$O$67*Y52:Y$67*($E52:$E$67=$D51)),IF(ISNUMBER(Data_2014_N!S51),100*ABS($G51-(Data_2014_N!S51-$K51)/$M51),0),IF(ISNUMBER(Data_2014_N!S51),100*ABS($G51-(Data_2014_N!S51-$K51)/$M51),0)))</f>
        <v>100</v>
      </c>
      <c r="Z51" s="161">
        <f>IF($H51=0,0,CHOOSE($H51,SUMPRODUCT($O52:$O$67*Z52:Z$67*($E52:$E$67=$D51)),IF(ISNUMBER(Data_2014_N!T51),100*ABS($G51-(Data_2014_N!T51-$K51)/$M51),0),IF(ISNUMBER(Data_2014_N!T51),100*ABS($G51-(Data_2014_N!T51-$K51)/$M51),0)))</f>
        <v>100</v>
      </c>
      <c r="AA51" s="161">
        <f>IF($H51=0,0,CHOOSE($H51,SUMPRODUCT($O52:$O$67*AA52:AA$67*($E52:$E$67=$D51)),IF(ISNUMBER(Data_2014_N!U51),100*ABS($G51-(Data_2014_N!U51-$K51)/$M51),0),IF(ISNUMBER(Data_2014_N!U51),100*ABS($G51-(Data_2014_N!U51-$K51)/$M51),0)))</f>
        <v>0</v>
      </c>
      <c r="AB51" s="161">
        <f>IF($H51=0,0,CHOOSE($H51,SUMPRODUCT($O52:$O$67*AB52:AB$67*($E52:$E$67=$D51)),IF(ISNUMBER(Data_2014_N!V51),100*ABS($G51-(Data_2014_N!V51-$K51)/$M51),0),IF(ISNUMBER(Data_2014_N!V51),100*ABS($G51-(Data_2014_N!V51-$K51)/$M51),0)))</f>
        <v>100</v>
      </c>
      <c r="AC51" s="161">
        <f>IF($H51=0,0,CHOOSE($H51,SUMPRODUCT($O52:$O$67*AC52:AC$67*($E52:$E$67=$D51)),IF(ISNUMBER(Data_2014_N!W51),100*ABS($G51-(Data_2014_N!W51-$K51)/$M51),0),IF(ISNUMBER(Data_2014_N!W51),100*ABS($G51-(Data_2014_N!W51-$K51)/$M51),0)))</f>
        <v>100</v>
      </c>
      <c r="AD51" s="161">
        <f>IF($H51=0,0,CHOOSE($H51,SUMPRODUCT($O52:$O$67*AD52:AD$67*($E52:$E$67=$D51)),IF(ISNUMBER(Data_2014_N!X51),100*ABS($G51-(Data_2014_N!X51-$K51)/$M51),0),IF(ISNUMBER(Data_2014_N!X51),100*ABS($G51-(Data_2014_N!X51-$K51)/$M51),0)))</f>
        <v>0</v>
      </c>
      <c r="AE51" s="161">
        <f>IF($H51=0,0,CHOOSE($H51,SUMPRODUCT($O52:$O$67*AE52:AE$67*($E52:$E$67=$D51)),IF(ISNUMBER(Data_2014_N!Y51),100*ABS($G51-(Data_2014_N!Y51-$K51)/$M51),0),IF(ISNUMBER(Data_2014_N!Y51),100*ABS($G51-(Data_2014_N!Y51-$K51)/$M51),0)))</f>
        <v>0</v>
      </c>
      <c r="AF51" s="161">
        <f>IF($H51=0,0,CHOOSE($H51,SUMPRODUCT($O52:$O$67*AF52:AF$67*($E52:$E$67=$D51)),IF(ISNUMBER(Data_2014_N!Z51),100*ABS($G51-(Data_2014_N!Z51-$K51)/$M51),0),IF(ISNUMBER(Data_2014_N!Z51),100*ABS($G51-(Data_2014_N!Z51-$K51)/$M51),0)))</f>
        <v>0</v>
      </c>
      <c r="AG51" s="161">
        <f>IF($H51=0,0,CHOOSE($H51,SUMPRODUCT($O52:$O$67*AG52:AG$67*($E52:$E$67=$D51)),IF(ISNUMBER(Data_2014_N!AA51),100*ABS($G51-(Data_2014_N!AA51-$K51)/$M51),0),IF(ISNUMBER(Data_2014_N!AA51),100*ABS($G51-(Data_2014_N!AA51-$K51)/$M51),0)))</f>
        <v>100</v>
      </c>
      <c r="AH51" s="161">
        <f>IF($H51=0,0,CHOOSE($H51,SUMPRODUCT($O52:$O$67*AH52:AH$67*($E52:$E$67=$D51)),IF(ISNUMBER(Data_2014_N!AB51),100*ABS($G51-(Data_2014_N!AB51-$K51)/$M51),0),IF(ISNUMBER(Data_2014_N!AB51),100*ABS($G51-(Data_2014_N!AB51-$K51)/$M51),0)))</f>
        <v>100</v>
      </c>
      <c r="AI51" s="161">
        <f>IF($H51=0,0,CHOOSE($H51,SUMPRODUCT($O52:$O$67*AI52:AI$67*($E52:$E$67=$D51)),IF(ISNUMBER(Data_2014_N!AC51),100*ABS($G51-(Data_2014_N!AC51-$K51)/$M51),0),IF(ISNUMBER(Data_2014_N!AC51),100*ABS($G51-(Data_2014_N!AC51-$K51)/$M51),0)))</f>
        <v>100</v>
      </c>
      <c r="AJ51" s="161">
        <f>IF($H51=0,0,CHOOSE($H51,SUMPRODUCT($O52:$O$67*AJ52:AJ$67*($E52:$E$67=$D51)),IF(ISNUMBER(Data_2014_N!AD51),100*ABS($G51-(Data_2014_N!AD51-$K51)/$M51),0),IF(ISNUMBER(Data_2014_N!AD51),100*ABS($G51-(Data_2014_N!AD51-$K51)/$M51),0)))</f>
        <v>0</v>
      </c>
      <c r="AK51" s="161">
        <f>IF($H51=0,0,CHOOSE($H51,SUMPRODUCT($O52:$O$67*AK52:AK$67*($E52:$E$67=$D51)),IF(ISNUMBER(Data_2014_N!AE51),100*ABS($G51-(Data_2014_N!AE51-$K51)/$M51),0),IF(ISNUMBER(Data_2014_N!AE51),100*ABS($G51-(Data_2014_N!AE51-$K51)/$M51),0)))</f>
        <v>100</v>
      </c>
      <c r="AL51" s="161">
        <f>IF($H51=0,0,CHOOSE($H51,SUMPRODUCT($O52:$O$67*AL52:AL$67*($E52:$E$67=$D51)),IF(ISNUMBER(Data_2014_N!AF51),100*ABS($G51-(Data_2014_N!AF51-$K51)/$M51),0),IF(ISNUMBER(Data_2014_N!AF51),100*ABS($G51-(Data_2014_N!AF51-$K51)/$M51),0)))</f>
        <v>100</v>
      </c>
      <c r="AM51" s="161">
        <f>IF($H51=0,0,CHOOSE($H51,SUMPRODUCT($O52:$O$67*AM52:AM$67*($E52:$E$67=$D51)),IF(ISNUMBER(Data_2014_N!AG51),100*ABS($G51-(Data_2014_N!AG51-$K51)/$M51),0),IF(ISNUMBER(Data_2014_N!AG51),100*ABS($G51-(Data_2014_N!AG51-$K51)/$M51),0)))</f>
        <v>100</v>
      </c>
      <c r="AN51" s="161">
        <f>IF($H51=0,0,CHOOSE($H51,SUMPRODUCT($O52:$O$67*AN52:AN$67*($E52:$E$67=$D51)),IF(ISNUMBER(Data_2014_N!AH51),100*ABS($G51-(Data_2014_N!AH51-$K51)/$M51),0),IF(ISNUMBER(Data_2014_N!AH51),100*ABS($G51-(Data_2014_N!AH51-$K51)/$M51),0)))</f>
        <v>0</v>
      </c>
      <c r="AO51" s="161">
        <f>IF($H51=0,0,CHOOSE($H51,SUMPRODUCT($O52:$O$67*AO52:AO$67*($E52:$E$67=$D51)),IF(ISNUMBER(Data_2014_N!AI51),100*ABS($G51-(Data_2014_N!AI51-$K51)/$M51),0),IF(ISNUMBER(Data_2014_N!AI51),100*ABS($G51-(Data_2014_N!AI51-$K51)/$M51),0)))</f>
        <v>100</v>
      </c>
      <c r="AP51" s="161">
        <f>IF($H51=0,0,CHOOSE($H51,SUMPRODUCT($O52:$O$67*AP52:AP$67*($E52:$E$67=$D51)),IF(ISNUMBER(Data_2014_N!AJ51),100*ABS($G51-(Data_2014_N!AJ51-$K51)/$M51),0),IF(ISNUMBER(Data_2014_N!AJ51),100*ABS($G51-(Data_2014_N!AJ51-$K51)/$M51),0)))</f>
        <v>100</v>
      </c>
      <c r="AQ51" s="161">
        <f>IF($H51=0,0,CHOOSE($H51,SUMPRODUCT($O52:$O$67*AQ52:AQ$67*($E52:$E$67=$D51)),IF(ISNUMBER(Data_2014_N!AK51),100*ABS($G51-(Data_2014_N!AK51-$K51)/$M51),0),IF(ISNUMBER(Data_2014_N!AK51),100*ABS($G51-(Data_2014_N!AK51-$K51)/$M51),0)))</f>
        <v>100</v>
      </c>
      <c r="AR51" s="161">
        <f>IF($H51=0,0,CHOOSE($H51,SUMPRODUCT($O52:$O$67*AR52:AR$67*($E52:$E$67=$D51)),IF(ISNUMBER(Data_2014_N!AL51),100*ABS($G51-(Data_2014_N!AL51-$K51)/$M51),0),IF(ISNUMBER(Data_2014_N!AL51),100*ABS($G51-(Data_2014_N!AL51-$K51)/$M51),0)))</f>
        <v>100</v>
      </c>
      <c r="AS51" s="161">
        <f>IF($H51=0,0,CHOOSE($H51,SUMPRODUCT($O52:$O$67*AS52:AS$67*($E52:$E$67=$D51)),IF(ISNUMBER(Data_2014_N!AM51),100*ABS($G51-(Data_2014_N!AM51-$K51)/$M51),0),IF(ISNUMBER(Data_2014_N!AM51),100*ABS($G51-(Data_2014_N!AM51-$K51)/$M51),0)))</f>
        <v>0</v>
      </c>
      <c r="AT51" s="161">
        <f>IF($H51=0,0,CHOOSE($H51,SUMPRODUCT($O52:$O$67*AT52:AT$67*($E52:$E$67=$D51)),IF(ISNUMBER(Data_2014_N!AN51),100*ABS($G51-(Data_2014_N!AN51-$K51)/$M51),0),IF(ISNUMBER(Data_2014_N!AN51),100*ABS($G51-(Data_2014_N!AN51-$K51)/$M51),0)))</f>
        <v>100</v>
      </c>
      <c r="AU51" s="161">
        <f>IF($H51=0,0,CHOOSE($H51,SUMPRODUCT($O52:$O$67*AU52:AU$67*($E52:$E$67=$D51)),IF(ISNUMBER(Data_2014_N!AO51),100*ABS($G51-(Data_2014_N!AO51-$K51)/$M51),0),IF(ISNUMBER(Data_2014_N!AO51),100*ABS($G51-(Data_2014_N!AO51-$K51)/$M51),0)))</f>
        <v>0</v>
      </c>
      <c r="AV51" s="161">
        <f>IF($H51=0,0,CHOOSE($H51,SUMPRODUCT($O52:$O$67*AV52:AV$67*($E52:$E$67=$D51)),IF(ISNUMBER(Data_2014_N!AP51),100*ABS($G51-(Data_2014_N!AP51-$K51)/$M51),0),IF(ISNUMBER(Data_2014_N!AP51),100*ABS($G51-(Data_2014_N!AP51-$K51)/$M51),0)))</f>
        <v>100</v>
      </c>
      <c r="AW51" s="161">
        <f>IF($H51=0,0,CHOOSE($H51,SUMPRODUCT($O52:$O$67*AW52:AW$67*($E52:$E$67=$D51)),IF(ISNUMBER(Data_2014_N!AQ51),100*ABS($G51-(Data_2014_N!AQ51-$K51)/$M51),0),IF(ISNUMBER(Data_2014_N!AQ51),100*ABS($G51-(Data_2014_N!AQ51-$K51)/$M51),0)))</f>
        <v>100</v>
      </c>
      <c r="AX51" s="161">
        <f>IF($H51=0,0,CHOOSE($H51,SUMPRODUCT($O52:$O$67*AX52:AX$67*($E52:$E$67=$D51)),IF(ISNUMBER(Data_2014_N!AR51),100*ABS($G51-(Data_2014_N!AR51-$K51)/$M51),0),IF(ISNUMBER(Data_2014_N!AR51),100*ABS($G51-(Data_2014_N!AR51-$K51)/$M51),0)))</f>
        <v>0</v>
      </c>
      <c r="AY51" s="161">
        <f>IF($H51=0,0,CHOOSE($H51,SUMPRODUCT($O52:$O$67*AY52:AY$67*($E52:$E$67=$D51)),IF(ISNUMBER(Data_2014_N!AS51),100*ABS($G51-(Data_2014_N!AS51-$K51)/$M51),0),IF(ISNUMBER(Data_2014_N!AS51),100*ABS($G51-(Data_2014_N!AS51-$K51)/$M51),0)))</f>
        <v>100</v>
      </c>
      <c r="AZ51" s="161">
        <f>IF($H51=0,0,CHOOSE($H51,SUMPRODUCT($O52:$O$67*AZ52:AZ$67*($E52:$E$67=$D51)),IF(ISNUMBER(Data_2014_N!AT51),100*ABS($G51-(Data_2014_N!AT51-$K51)/$M51),0),IF(ISNUMBER(Data_2014_N!AT51),100*ABS($G51-(Data_2014_N!AT51-$K51)/$M51),0)))</f>
        <v>100</v>
      </c>
      <c r="BA51" s="161">
        <f>IF($H51=0,0,CHOOSE($H51,SUMPRODUCT($O52:$O$67*BA52:BA$67*($E52:$E$67=$D51)),IF(ISNUMBER(Data_2014_N!AU51),100*ABS($G51-(Data_2014_N!AU51-$K51)/$M51),0),IF(ISNUMBER(Data_2014_N!AU51),100*ABS($G51-(Data_2014_N!AU51-$K51)/$M51),0)))</f>
        <v>100</v>
      </c>
      <c r="BB51" s="161">
        <f>IF($H51=0,0,CHOOSE($H51,SUMPRODUCT($O52:$O$67*BB52:BB$67*($E52:$E$67=$D51)),IF(ISNUMBER(Data_2014_N!AV51),100*ABS($G51-(Data_2014_N!AV51-$K51)/$M51),0),IF(ISNUMBER(Data_2014_N!AV51),100*ABS($G51-(Data_2014_N!AV51-$K51)/$M51),0)))</f>
        <v>100</v>
      </c>
      <c r="BC51" s="161">
        <f>IF($H51=0,0,CHOOSE($H51,SUMPRODUCT($O52:$O$67*BC52:BC$67*($E52:$E$67=$D51)),IF(ISNUMBER(Data_2014_N!AW51),100*ABS($G51-(Data_2014_N!AW51-$K51)/$M51),0),IF(ISNUMBER(Data_2014_N!AW51),100*ABS($G51-(Data_2014_N!AW51-$K51)/$M51),0)))</f>
        <v>100</v>
      </c>
      <c r="BD51" s="161">
        <f>IF($H51=0,0,CHOOSE($H51,SUMPRODUCT($O52:$O$67*BD52:BD$67*($E52:$E$67=$D51)),IF(ISNUMBER(Data_2014_N!AX51),100*ABS($G51-(Data_2014_N!AX51-$K51)/$M51),0),IF(ISNUMBER(Data_2014_N!AX51),100*ABS($G51-(Data_2014_N!AX51-$K51)/$M51),0)))</f>
        <v>100</v>
      </c>
      <c r="BE51" s="161">
        <f>IF($H51=0,0,CHOOSE($H51,SUMPRODUCT($O52:$O$67*BE52:BE$67*($E52:$E$67=$D51)),IF(ISNUMBER(Data_2014_N!AY51),100*ABS($G51-(Data_2014_N!AY51-$K51)/$M51),0),IF(ISNUMBER(Data_2014_N!AY51),100*ABS($G51-(Data_2014_N!AY51-$K51)/$M51),0)))</f>
        <v>100</v>
      </c>
      <c r="BF51" s="161">
        <f>IF($H51=0,0,CHOOSE($H51,SUMPRODUCT($O52:$O$67*BF52:BF$67*($E52:$E$67=$D51)),IF(ISNUMBER(Data_2014_N!AZ51),100*ABS($G51-(Data_2014_N!AZ51-$K51)/$M51),0),IF(ISNUMBER(Data_2014_N!AZ51),100*ABS($G51-(Data_2014_N!AZ51-$K51)/$M51),0)))</f>
        <v>100</v>
      </c>
      <c r="BG51" s="161">
        <f>IF($H51=0,0,CHOOSE($H51,SUMPRODUCT($O52:$O$67*BG52:BG$67*($E52:$E$67=$D51)),IF(ISNUMBER(Data_2014_N!BA51),100*ABS($G51-(Data_2014_N!BA51-$K51)/$M51),0),IF(ISNUMBER(Data_2014_N!BA51),100*ABS($G51-(Data_2014_N!BA51-$K51)/$M51),0)))</f>
        <v>100</v>
      </c>
      <c r="BH51" s="161">
        <f>IF($H51=0,0,CHOOSE($H51,SUMPRODUCT($O52:$O$67*BH52:BH$67*($E52:$E$67=$D51)),IF(ISNUMBER(Data_2014_N!BB51),100*ABS($G51-(Data_2014_N!BB51-$K51)/$M51),0),IF(ISNUMBER(Data_2014_N!BB51),100*ABS($G51-(Data_2014_N!BB51-$K51)/$M51),0)))</f>
        <v>100</v>
      </c>
      <c r="BI51" s="161">
        <f>IF($H51=0,0,CHOOSE($H51,SUMPRODUCT($O52:$O$67*BI52:BI$67*($E52:$E$67=$D51)),IF(ISNUMBER(Data_2014_N!BC51),100*ABS($G51-(Data_2014_N!BC51-$K51)/$M51),0),IF(ISNUMBER(Data_2014_N!BC51),100*ABS($G51-(Data_2014_N!BC51-$K51)/$M51),0)))</f>
        <v>0</v>
      </c>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row>
    <row r="52" s="69" customFormat="1" ht="24.95" customHeight="1" spans="1:115">
      <c r="A52" s="92"/>
      <c r="B52" s="92">
        <f>tblIndicators!A48</f>
        <v>47</v>
      </c>
      <c r="C52" s="92">
        <f>tblIndicators!B48</f>
        <v>0</v>
      </c>
      <c r="D52" s="92" t="str">
        <f>tblIndicators!D48</f>
        <v>PESE4.1.5</v>
      </c>
      <c r="E52" s="92" t="str">
        <f>tblIndicators!E48</f>
        <v>PESE4.1</v>
      </c>
      <c r="F52" s="92">
        <f>tblIndicators!F48</f>
        <v>3</v>
      </c>
      <c r="G52" s="92">
        <f>tblIndicators!Y48</f>
        <v>0</v>
      </c>
      <c r="H52" s="92">
        <f>tblIndicators!Z48</f>
        <v>2</v>
      </c>
      <c r="I52" s="104">
        <f>tblIndicators!AA48</f>
        <v>0</v>
      </c>
      <c r="J52" s="92">
        <f>tblIndicators!AB48</f>
        <v>1</v>
      </c>
      <c r="K52" s="92">
        <f>CHOOSE(H52,"-",MIN(Data_2014_N!J52:BC52),I52)</f>
        <v>0</v>
      </c>
      <c r="L52" s="165">
        <f>CHOOSE(H52,"-",MAX(Data_2014_N!J52:BC52),J52)</f>
        <v>1</v>
      </c>
      <c r="M52" s="92">
        <f t="shared" si="1"/>
        <v>1</v>
      </c>
      <c r="N52" s="168" t="str">
        <f>REPT(" ",F52)&amp;tblIndicators!AE48</f>
        <v>   4.1.5) Private security measures</v>
      </c>
      <c r="O52" s="169">
        <f>tblIndicators!AD48</f>
        <v>0.142857142857143</v>
      </c>
      <c r="P52" s="161">
        <f>IF($H52=0,0,CHOOSE($H52,SUMPRODUCT($O53:$O$67*P53:P$67*($E53:$E$67=$D52)),IF(ISNUMBER(Data_2014_N!J52),100*ABS($G52-(Data_2014_N!J52-$K52)/$M52),0),IF(ISNUMBER(Data_2014_N!J52),100*ABS($G52-(Data_2014_N!J52-$K52)/$M52),0)))</f>
        <v>0</v>
      </c>
      <c r="Q52" s="161">
        <f>IF($H52=0,0,CHOOSE($H52,SUMPRODUCT($O53:$O$67*Q53:Q$67*($E53:$E$67=$D52)),IF(ISNUMBER(Data_2014_N!K52),100*ABS($G52-(Data_2014_N!K52-$K52)/$M52),0),IF(ISNUMBER(Data_2014_N!K52),100*ABS($G52-(Data_2014_N!K52-$K52)/$M52),0)))</f>
        <v>100</v>
      </c>
      <c r="R52" s="161">
        <f>IF($H52=0,0,CHOOSE($H52,SUMPRODUCT($O53:$O$67*R53:R$67*($E53:$E$67=$D52)),IF(ISNUMBER(Data_2014_N!L52),100*ABS($G52-(Data_2014_N!L52-$K52)/$M52),0),IF(ISNUMBER(Data_2014_N!L52),100*ABS($G52-(Data_2014_N!L52-$K52)/$M52),0)))</f>
        <v>100</v>
      </c>
      <c r="S52" s="161">
        <f>IF($H52=0,0,CHOOSE($H52,SUMPRODUCT($O53:$O$67*S53:S$67*($E53:$E$67=$D52)),IF(ISNUMBER(Data_2014_N!M52),100*ABS($G52-(Data_2014_N!M52-$K52)/$M52),0),IF(ISNUMBER(Data_2014_N!M52),100*ABS($G52-(Data_2014_N!M52-$K52)/$M52),0)))</f>
        <v>100</v>
      </c>
      <c r="T52" s="161">
        <f>IF($H52=0,0,CHOOSE($H52,SUMPRODUCT($O53:$O$67*T53:T$67*($E53:$E$67=$D52)),IF(ISNUMBER(Data_2014_N!N52),100*ABS($G52-(Data_2014_N!N52-$K52)/$M52),0),IF(ISNUMBER(Data_2014_N!N52),100*ABS($G52-(Data_2014_N!N52-$K52)/$M52),0)))</f>
        <v>0</v>
      </c>
      <c r="U52" s="161">
        <f>IF($H52=0,0,CHOOSE($H52,SUMPRODUCT($O53:$O$67*U53:U$67*($E53:$E$67=$D52)),IF(ISNUMBER(Data_2014_N!O52),100*ABS($G52-(Data_2014_N!O52-$K52)/$M52),0),IF(ISNUMBER(Data_2014_N!O52),100*ABS($G52-(Data_2014_N!O52-$K52)/$M52),0)))</f>
        <v>0</v>
      </c>
      <c r="V52" s="161">
        <f>IF($H52=0,0,CHOOSE($H52,SUMPRODUCT($O53:$O$67*V53:V$67*($E53:$E$67=$D52)),IF(ISNUMBER(Data_2014_N!P52),100*ABS($G52-(Data_2014_N!P52-$K52)/$M52),0),IF(ISNUMBER(Data_2014_N!P52),100*ABS($G52-(Data_2014_N!P52-$K52)/$M52),0)))</f>
        <v>100</v>
      </c>
      <c r="W52" s="161">
        <f>IF($H52=0,0,CHOOSE($H52,SUMPRODUCT($O53:$O$67*W53:W$67*($E53:$E$67=$D52)),IF(ISNUMBER(Data_2014_N!Q52),100*ABS($G52-(Data_2014_N!Q52-$K52)/$M52),0),IF(ISNUMBER(Data_2014_N!Q52),100*ABS($G52-(Data_2014_N!Q52-$K52)/$M52),0)))</f>
        <v>100</v>
      </c>
      <c r="X52" s="161">
        <f>IF($H52=0,0,CHOOSE($H52,SUMPRODUCT($O53:$O$67*X53:X$67*($E53:$E$67=$D52)),IF(ISNUMBER(Data_2014_N!R52),100*ABS($G52-(Data_2014_N!R52-$K52)/$M52),0),IF(ISNUMBER(Data_2014_N!R52),100*ABS($G52-(Data_2014_N!R52-$K52)/$M52),0)))</f>
        <v>100</v>
      </c>
      <c r="Y52" s="161">
        <f>IF($H52=0,0,CHOOSE($H52,SUMPRODUCT($O53:$O$67*Y53:Y$67*($E53:$E$67=$D52)),IF(ISNUMBER(Data_2014_N!S52),100*ABS($G52-(Data_2014_N!S52-$K52)/$M52),0),IF(ISNUMBER(Data_2014_N!S52),100*ABS($G52-(Data_2014_N!S52-$K52)/$M52),0)))</f>
        <v>100</v>
      </c>
      <c r="Z52" s="161">
        <f>IF($H52=0,0,CHOOSE($H52,SUMPRODUCT($O53:$O$67*Z53:Z$67*($E53:$E$67=$D52)),IF(ISNUMBER(Data_2014_N!T52),100*ABS($G52-(Data_2014_N!T52-$K52)/$M52),0),IF(ISNUMBER(Data_2014_N!T52),100*ABS($G52-(Data_2014_N!T52-$K52)/$M52),0)))</f>
        <v>0</v>
      </c>
      <c r="AA52" s="161">
        <f>IF($H52=0,0,CHOOSE($H52,SUMPRODUCT($O53:$O$67*AA53:AA$67*($E53:$E$67=$D52)),IF(ISNUMBER(Data_2014_N!U52),100*ABS($G52-(Data_2014_N!U52-$K52)/$M52),0),IF(ISNUMBER(Data_2014_N!U52),100*ABS($G52-(Data_2014_N!U52-$K52)/$M52),0)))</f>
        <v>100</v>
      </c>
      <c r="AB52" s="161">
        <f>IF($H52=0,0,CHOOSE($H52,SUMPRODUCT($O53:$O$67*AB53:AB$67*($E53:$E$67=$D52)),IF(ISNUMBER(Data_2014_N!V52),100*ABS($G52-(Data_2014_N!V52-$K52)/$M52),0),IF(ISNUMBER(Data_2014_N!V52),100*ABS($G52-(Data_2014_N!V52-$K52)/$M52),0)))</f>
        <v>100</v>
      </c>
      <c r="AC52" s="161">
        <f>IF($H52=0,0,CHOOSE($H52,SUMPRODUCT($O53:$O$67*AC53:AC$67*($E53:$E$67=$D52)),IF(ISNUMBER(Data_2014_N!W52),100*ABS($G52-(Data_2014_N!W52-$K52)/$M52),0),IF(ISNUMBER(Data_2014_N!W52),100*ABS($G52-(Data_2014_N!W52-$K52)/$M52),0)))</f>
        <v>100</v>
      </c>
      <c r="AD52" s="161">
        <f>IF($H52=0,0,CHOOSE($H52,SUMPRODUCT($O53:$O$67*AD53:AD$67*($E53:$E$67=$D52)),IF(ISNUMBER(Data_2014_N!X52),100*ABS($G52-(Data_2014_N!X52-$K52)/$M52),0),IF(ISNUMBER(Data_2014_N!X52),100*ABS($G52-(Data_2014_N!X52-$K52)/$M52),0)))</f>
        <v>0</v>
      </c>
      <c r="AE52" s="161">
        <f>IF($H52=0,0,CHOOSE($H52,SUMPRODUCT($O53:$O$67*AE53:AE$67*($E53:$E$67=$D52)),IF(ISNUMBER(Data_2014_N!Y52),100*ABS($G52-(Data_2014_N!Y52-$K52)/$M52),0),IF(ISNUMBER(Data_2014_N!Y52),100*ABS($G52-(Data_2014_N!Y52-$K52)/$M52),0)))</f>
        <v>100</v>
      </c>
      <c r="AF52" s="161">
        <f>IF($H52=0,0,CHOOSE($H52,SUMPRODUCT($O53:$O$67*AF53:AF$67*($E53:$E$67=$D52)),IF(ISNUMBER(Data_2014_N!Z52),100*ABS($G52-(Data_2014_N!Z52-$K52)/$M52),0),IF(ISNUMBER(Data_2014_N!Z52),100*ABS($G52-(Data_2014_N!Z52-$K52)/$M52),0)))</f>
        <v>0</v>
      </c>
      <c r="AG52" s="161">
        <f>IF($H52=0,0,CHOOSE($H52,SUMPRODUCT($O53:$O$67*AG53:AG$67*($E53:$E$67=$D52)),IF(ISNUMBER(Data_2014_N!AA52),100*ABS($G52-(Data_2014_N!AA52-$K52)/$M52),0),IF(ISNUMBER(Data_2014_N!AA52),100*ABS($G52-(Data_2014_N!AA52-$K52)/$M52),0)))</f>
        <v>100</v>
      </c>
      <c r="AH52" s="161">
        <f>IF($H52=0,0,CHOOSE($H52,SUMPRODUCT($O53:$O$67*AH53:AH$67*($E53:$E$67=$D52)),IF(ISNUMBER(Data_2014_N!AB52),100*ABS($G52-(Data_2014_N!AB52-$K52)/$M52),0),IF(ISNUMBER(Data_2014_N!AB52),100*ABS($G52-(Data_2014_N!AB52-$K52)/$M52),0)))</f>
        <v>100</v>
      </c>
      <c r="AI52" s="161">
        <f>IF($H52=0,0,CHOOSE($H52,SUMPRODUCT($O53:$O$67*AI53:AI$67*($E53:$E$67=$D52)),IF(ISNUMBER(Data_2014_N!AC52),100*ABS($G52-(Data_2014_N!AC52-$K52)/$M52),0),IF(ISNUMBER(Data_2014_N!AC52),100*ABS($G52-(Data_2014_N!AC52-$K52)/$M52),0)))</f>
        <v>100</v>
      </c>
      <c r="AJ52" s="161">
        <f>IF($H52=0,0,CHOOSE($H52,SUMPRODUCT($O53:$O$67*AJ53:AJ$67*($E53:$E$67=$D52)),IF(ISNUMBER(Data_2014_N!AD52),100*ABS($G52-(Data_2014_N!AD52-$K52)/$M52),0),IF(ISNUMBER(Data_2014_N!AD52),100*ABS($G52-(Data_2014_N!AD52-$K52)/$M52),0)))</f>
        <v>100</v>
      </c>
      <c r="AK52" s="161">
        <f>IF($H52=0,0,CHOOSE($H52,SUMPRODUCT($O53:$O$67*AK53:AK$67*($E53:$E$67=$D52)),IF(ISNUMBER(Data_2014_N!AE52),100*ABS($G52-(Data_2014_N!AE52-$K52)/$M52),0),IF(ISNUMBER(Data_2014_N!AE52),100*ABS($G52-(Data_2014_N!AE52-$K52)/$M52),0)))</f>
        <v>100</v>
      </c>
      <c r="AL52" s="161">
        <f>IF($H52=0,0,CHOOSE($H52,SUMPRODUCT($O53:$O$67*AL53:AL$67*($E53:$E$67=$D52)),IF(ISNUMBER(Data_2014_N!AF52),100*ABS($G52-(Data_2014_N!AF52-$K52)/$M52),0),IF(ISNUMBER(Data_2014_N!AF52),100*ABS($G52-(Data_2014_N!AF52-$K52)/$M52),0)))</f>
        <v>100</v>
      </c>
      <c r="AM52" s="161">
        <f>IF($H52=0,0,CHOOSE($H52,SUMPRODUCT($O53:$O$67*AM53:AM$67*($E53:$E$67=$D52)),IF(ISNUMBER(Data_2014_N!AG52),100*ABS($G52-(Data_2014_N!AG52-$K52)/$M52),0),IF(ISNUMBER(Data_2014_N!AG52),100*ABS($G52-(Data_2014_N!AG52-$K52)/$M52),0)))</f>
        <v>0</v>
      </c>
      <c r="AN52" s="161">
        <f>IF($H52=0,0,CHOOSE($H52,SUMPRODUCT($O53:$O$67*AN53:AN$67*($E53:$E$67=$D52)),IF(ISNUMBER(Data_2014_N!AH52),100*ABS($G52-(Data_2014_N!AH52-$K52)/$M52),0),IF(ISNUMBER(Data_2014_N!AH52),100*ABS($G52-(Data_2014_N!AH52-$K52)/$M52),0)))</f>
        <v>0</v>
      </c>
      <c r="AO52" s="161">
        <f>IF($H52=0,0,CHOOSE($H52,SUMPRODUCT($O53:$O$67*AO53:AO$67*($E53:$E$67=$D52)),IF(ISNUMBER(Data_2014_N!AI52),100*ABS($G52-(Data_2014_N!AI52-$K52)/$M52),0),IF(ISNUMBER(Data_2014_N!AI52),100*ABS($G52-(Data_2014_N!AI52-$K52)/$M52),0)))</f>
        <v>0</v>
      </c>
      <c r="AP52" s="161">
        <f>IF($H52=0,0,CHOOSE($H52,SUMPRODUCT($O53:$O$67*AP53:AP$67*($E53:$E$67=$D52)),IF(ISNUMBER(Data_2014_N!AJ52),100*ABS($G52-(Data_2014_N!AJ52-$K52)/$M52),0),IF(ISNUMBER(Data_2014_N!AJ52),100*ABS($G52-(Data_2014_N!AJ52-$K52)/$M52),0)))</f>
        <v>100</v>
      </c>
      <c r="AQ52" s="161">
        <f>IF($H52=0,0,CHOOSE($H52,SUMPRODUCT($O53:$O$67*AQ53:AQ$67*($E53:$E$67=$D52)),IF(ISNUMBER(Data_2014_N!AK52),100*ABS($G52-(Data_2014_N!AK52-$K52)/$M52),0),IF(ISNUMBER(Data_2014_N!AK52),100*ABS($G52-(Data_2014_N!AK52-$K52)/$M52),0)))</f>
        <v>100</v>
      </c>
      <c r="AR52" s="161">
        <f>IF($H52=0,0,CHOOSE($H52,SUMPRODUCT($O53:$O$67*AR53:AR$67*($E53:$E$67=$D52)),IF(ISNUMBER(Data_2014_N!AL52),100*ABS($G52-(Data_2014_N!AL52-$K52)/$M52),0),IF(ISNUMBER(Data_2014_N!AL52),100*ABS($G52-(Data_2014_N!AL52-$K52)/$M52),0)))</f>
        <v>0</v>
      </c>
      <c r="AS52" s="161">
        <f>IF($H52=0,0,CHOOSE($H52,SUMPRODUCT($O53:$O$67*AS53:AS$67*($E53:$E$67=$D52)),IF(ISNUMBER(Data_2014_N!AM52),100*ABS($G52-(Data_2014_N!AM52-$K52)/$M52),0),IF(ISNUMBER(Data_2014_N!AM52),100*ABS($G52-(Data_2014_N!AM52-$K52)/$M52),0)))</f>
        <v>100</v>
      </c>
      <c r="AT52" s="161">
        <f>IF($H52=0,0,CHOOSE($H52,SUMPRODUCT($O53:$O$67*AT53:AT$67*($E53:$E$67=$D52)),IF(ISNUMBER(Data_2014_N!AN52),100*ABS($G52-(Data_2014_N!AN52-$K52)/$M52),0),IF(ISNUMBER(Data_2014_N!AN52),100*ABS($G52-(Data_2014_N!AN52-$K52)/$M52),0)))</f>
        <v>0</v>
      </c>
      <c r="AU52" s="161">
        <f>IF($H52=0,0,CHOOSE($H52,SUMPRODUCT($O53:$O$67*AU53:AU$67*($E53:$E$67=$D52)),IF(ISNUMBER(Data_2014_N!AO52),100*ABS($G52-(Data_2014_N!AO52-$K52)/$M52),0),IF(ISNUMBER(Data_2014_N!AO52),100*ABS($G52-(Data_2014_N!AO52-$K52)/$M52),0)))</f>
        <v>0</v>
      </c>
      <c r="AV52" s="161">
        <f>IF($H52=0,0,CHOOSE($H52,SUMPRODUCT($O53:$O$67*AV53:AV$67*($E53:$E$67=$D52)),IF(ISNUMBER(Data_2014_N!AP52),100*ABS($G52-(Data_2014_N!AP52-$K52)/$M52),0),IF(ISNUMBER(Data_2014_N!AP52),100*ABS($G52-(Data_2014_N!AP52-$K52)/$M52),0)))</f>
        <v>100</v>
      </c>
      <c r="AW52" s="161">
        <f>IF($H52=0,0,CHOOSE($H52,SUMPRODUCT($O53:$O$67*AW53:AW$67*($E53:$E$67=$D52)),IF(ISNUMBER(Data_2014_N!AQ52),100*ABS($G52-(Data_2014_N!AQ52-$K52)/$M52),0),IF(ISNUMBER(Data_2014_N!AQ52),100*ABS($G52-(Data_2014_N!AQ52-$K52)/$M52),0)))</f>
        <v>0</v>
      </c>
      <c r="AX52" s="161">
        <f>IF($H52=0,0,CHOOSE($H52,SUMPRODUCT($O53:$O$67*AX53:AX$67*($E53:$E$67=$D52)),IF(ISNUMBER(Data_2014_N!AR52),100*ABS($G52-(Data_2014_N!AR52-$K52)/$M52),0),IF(ISNUMBER(Data_2014_N!AR52),100*ABS($G52-(Data_2014_N!AR52-$K52)/$M52),0)))</f>
        <v>100</v>
      </c>
      <c r="AY52" s="161">
        <f>IF($H52=0,0,CHOOSE($H52,SUMPRODUCT($O53:$O$67*AY53:AY$67*($E53:$E$67=$D52)),IF(ISNUMBER(Data_2014_N!AS52),100*ABS($G52-(Data_2014_N!AS52-$K52)/$M52),0),IF(ISNUMBER(Data_2014_N!AS52),100*ABS($G52-(Data_2014_N!AS52-$K52)/$M52),0)))</f>
        <v>100</v>
      </c>
      <c r="AZ52" s="161">
        <f>IF($H52=0,0,CHOOSE($H52,SUMPRODUCT($O53:$O$67*AZ53:AZ$67*($E53:$E$67=$D52)),IF(ISNUMBER(Data_2014_N!AT52),100*ABS($G52-(Data_2014_N!AT52-$K52)/$M52),0),IF(ISNUMBER(Data_2014_N!AT52),100*ABS($G52-(Data_2014_N!AT52-$K52)/$M52),0)))</f>
        <v>100</v>
      </c>
      <c r="BA52" s="161">
        <f>IF($H52=0,0,CHOOSE($H52,SUMPRODUCT($O53:$O$67*BA53:BA$67*($E53:$E$67=$D52)),IF(ISNUMBER(Data_2014_N!AU52),100*ABS($G52-(Data_2014_N!AU52-$K52)/$M52),0),IF(ISNUMBER(Data_2014_N!AU52),100*ABS($G52-(Data_2014_N!AU52-$K52)/$M52),0)))</f>
        <v>100</v>
      </c>
      <c r="BB52" s="161">
        <f>IF($H52=0,0,CHOOSE($H52,SUMPRODUCT($O53:$O$67*BB53:BB$67*($E53:$E$67=$D52)),IF(ISNUMBER(Data_2014_N!AV52),100*ABS($G52-(Data_2014_N!AV52-$K52)/$M52),0),IF(ISNUMBER(Data_2014_N!AV52),100*ABS($G52-(Data_2014_N!AV52-$K52)/$M52),0)))</f>
        <v>100</v>
      </c>
      <c r="BC52" s="161">
        <f>IF($H52=0,0,CHOOSE($H52,SUMPRODUCT($O53:$O$67*BC53:BC$67*($E53:$E$67=$D52)),IF(ISNUMBER(Data_2014_N!AW52),100*ABS($G52-(Data_2014_N!AW52-$K52)/$M52),0),IF(ISNUMBER(Data_2014_N!AW52),100*ABS($G52-(Data_2014_N!AW52-$K52)/$M52),0)))</f>
        <v>100</v>
      </c>
      <c r="BD52" s="161">
        <f>IF($H52=0,0,CHOOSE($H52,SUMPRODUCT($O53:$O$67*BD53:BD$67*($E53:$E$67=$D52)),IF(ISNUMBER(Data_2014_N!AX52),100*ABS($G52-(Data_2014_N!AX52-$K52)/$M52),0),IF(ISNUMBER(Data_2014_N!AX52),100*ABS($G52-(Data_2014_N!AX52-$K52)/$M52),0)))</f>
        <v>100</v>
      </c>
      <c r="BE52" s="161">
        <f>IF($H52=0,0,CHOOSE($H52,SUMPRODUCT($O53:$O$67*BE53:BE$67*($E53:$E$67=$D52)),IF(ISNUMBER(Data_2014_N!AY52),100*ABS($G52-(Data_2014_N!AY52-$K52)/$M52),0),IF(ISNUMBER(Data_2014_N!AY52),100*ABS($G52-(Data_2014_N!AY52-$K52)/$M52),0)))</f>
        <v>100</v>
      </c>
      <c r="BF52" s="161">
        <f>IF($H52=0,0,CHOOSE($H52,SUMPRODUCT($O53:$O$67*BF53:BF$67*($E53:$E$67=$D52)),IF(ISNUMBER(Data_2014_N!AZ52),100*ABS($G52-(Data_2014_N!AZ52-$K52)/$M52),0),IF(ISNUMBER(Data_2014_N!AZ52),100*ABS($G52-(Data_2014_N!AZ52-$K52)/$M52),0)))</f>
        <v>100</v>
      </c>
      <c r="BG52" s="161">
        <f>IF($H52=0,0,CHOOSE($H52,SUMPRODUCT($O53:$O$67*BG53:BG$67*($E53:$E$67=$D52)),IF(ISNUMBER(Data_2014_N!BA52),100*ABS($G52-(Data_2014_N!BA52-$K52)/$M52),0),IF(ISNUMBER(Data_2014_N!BA52),100*ABS($G52-(Data_2014_N!BA52-$K52)/$M52),0)))</f>
        <v>100</v>
      </c>
      <c r="BH52" s="161">
        <f>IF($H52=0,0,CHOOSE($H52,SUMPRODUCT($O53:$O$67*BH53:BH$67*($E53:$E$67=$D52)),IF(ISNUMBER(Data_2014_N!BB52),100*ABS($G52-(Data_2014_N!BB52-$K52)/$M52),0),IF(ISNUMBER(Data_2014_N!BB52),100*ABS($G52-(Data_2014_N!BB52-$K52)/$M52),0)))</f>
        <v>100</v>
      </c>
      <c r="BI52" s="161">
        <f>IF($H52=0,0,CHOOSE($H52,SUMPRODUCT($O53:$O$67*BI53:BI$67*($E53:$E$67=$D52)),IF(ISNUMBER(Data_2014_N!BC52),100*ABS($G52-(Data_2014_N!BC52-$K52)/$M52),0),IF(ISNUMBER(Data_2014_N!BC52),100*ABS($G52-(Data_2014_N!BC52-$K52)/$M52),0)))</f>
        <v>100</v>
      </c>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row>
    <row r="53" s="69" customFormat="1" ht="24.95" customHeight="1" spans="1:115">
      <c r="A53" s="92"/>
      <c r="B53" s="92">
        <f>tblIndicators!A49</f>
        <v>48</v>
      </c>
      <c r="C53" s="92">
        <f>tblIndicators!B49</f>
        <v>0</v>
      </c>
      <c r="D53" s="92" t="str">
        <f>tblIndicators!D49</f>
        <v>PESE4.1.6</v>
      </c>
      <c r="E53" s="92" t="str">
        <f>tblIndicators!E49</f>
        <v>PESE4.1</v>
      </c>
      <c r="F53" s="92">
        <f>tblIndicators!F49</f>
        <v>3</v>
      </c>
      <c r="G53" s="92">
        <f>tblIndicators!Y49</f>
        <v>1</v>
      </c>
      <c r="H53" s="92">
        <f>tblIndicators!Z49</f>
        <v>2</v>
      </c>
      <c r="I53" s="104">
        <f>tblIndicators!AA49</f>
        <v>0</v>
      </c>
      <c r="J53" s="92">
        <f>tblIndicators!AB49</f>
        <v>10</v>
      </c>
      <c r="K53" s="92">
        <f>CHOOSE(H53,"-",MIN(Data_2014_N!J53:BC53),I53)</f>
        <v>0.5</v>
      </c>
      <c r="L53" s="165">
        <f>CHOOSE(H53,"-",MAX(Data_2014_N!J53:BC53),J53)</f>
        <v>6.5</v>
      </c>
      <c r="M53" s="92">
        <f t="shared" si="1"/>
        <v>6</v>
      </c>
      <c r="N53" s="168" t="str">
        <f>REPT(" ",F53)&amp;tblIndicators!AE49</f>
        <v>   4.1.6) Gun regulation and enforcement</v>
      </c>
      <c r="O53" s="169">
        <f>tblIndicators!AD49</f>
        <v>0.142857142857143</v>
      </c>
      <c r="P53" s="161">
        <f>IF($H53=0,0,CHOOSE($H53,SUMPRODUCT($O54:$O$67*P54:P$67*($E54:$E$67=$D53)),IF(ISNUMBER(Data_2014_N!J53),100*ABS($G53-(Data_2014_N!J53-$K53)/$M53),0),IF(ISNUMBER(Data_2014_N!J53),100*ABS($G53-(Data_2014_N!J53-$K53)/$M53),0)))</f>
        <v>45</v>
      </c>
      <c r="Q53" s="161">
        <f>IF($H53=0,0,CHOOSE($H53,SUMPRODUCT($O54:$O$67*Q54:Q$67*($E54:$E$67=$D53)),IF(ISNUMBER(Data_2014_N!K53),100*ABS($G53-(Data_2014_N!K53-$K53)/$M53),0),IF(ISNUMBER(Data_2014_N!K53),100*ABS($G53-(Data_2014_N!K53-$K53)/$M53),0)))</f>
        <v>66.6666666666667</v>
      </c>
      <c r="R53" s="161">
        <f>IF($H53=0,0,CHOOSE($H53,SUMPRODUCT($O54:$O$67*R54:R$67*($E54:$E$67=$D53)),IF(ISNUMBER(Data_2014_N!L53),100*ABS($G53-(Data_2014_N!L53-$K53)/$M53),0),IF(ISNUMBER(Data_2014_N!L53),100*ABS($G53-(Data_2014_N!L53-$K53)/$M53),0)))</f>
        <v>38.3333333333333</v>
      </c>
      <c r="S53" s="161">
        <f>IF($H53=0,0,CHOOSE($H53,SUMPRODUCT($O54:$O$67*S54:S$67*($E54:$E$67=$D53)),IF(ISNUMBER(Data_2014_N!M53),100*ABS($G53-(Data_2014_N!M53-$K53)/$M53),0),IF(ISNUMBER(Data_2014_N!M53),100*ABS($G53-(Data_2014_N!M53-$K53)/$M53),0)))</f>
        <v>65</v>
      </c>
      <c r="T53" s="161">
        <f>IF($H53=0,0,CHOOSE($H53,SUMPRODUCT($O54:$O$67*T54:T$67*($E54:$E$67=$D53)),IF(ISNUMBER(Data_2014_N!N53),100*ABS($G53-(Data_2014_N!N53-$K53)/$M53),0),IF(ISNUMBER(Data_2014_N!N53),100*ABS($G53-(Data_2014_N!N53-$K53)/$M53),0)))</f>
        <v>100</v>
      </c>
      <c r="U53" s="161">
        <f>IF($H53=0,0,CHOOSE($H53,SUMPRODUCT($O54:$O$67*U54:U$67*($E54:$E$67=$D53)),IF(ISNUMBER(Data_2014_N!O53),100*ABS($G53-(Data_2014_N!O53-$K53)/$M53),0),IF(ISNUMBER(Data_2014_N!O53),100*ABS($G53-(Data_2014_N!O53-$K53)/$M53),0)))</f>
        <v>56.6666666666667</v>
      </c>
      <c r="V53" s="161">
        <f>IF($H53=0,0,CHOOSE($H53,SUMPRODUCT($O54:$O$67*V54:V$67*($E54:$E$67=$D53)),IF(ISNUMBER(Data_2014_N!P53),100*ABS($G53-(Data_2014_N!P53-$K53)/$M53),0),IF(ISNUMBER(Data_2014_N!P53),100*ABS($G53-(Data_2014_N!P53-$K53)/$M53),0)))</f>
        <v>66.6666666666667</v>
      </c>
      <c r="W53" s="161">
        <f>IF($H53=0,0,CHOOSE($H53,SUMPRODUCT($O54:$O$67*W54:W$67*($E54:$E$67=$D53)),IF(ISNUMBER(Data_2014_N!Q53),100*ABS($G53-(Data_2014_N!Q53-$K53)/$M53),0),IF(ISNUMBER(Data_2014_N!Q53),100*ABS($G53-(Data_2014_N!Q53-$K53)/$M53),0)))</f>
        <v>38.3333333333333</v>
      </c>
      <c r="X53" s="161">
        <f>IF($H53=0,0,CHOOSE($H53,SUMPRODUCT($O54:$O$67*X54:X$67*($E54:$E$67=$D53)),IF(ISNUMBER(Data_2014_N!R53),100*ABS($G53-(Data_2014_N!R53-$K53)/$M53),0),IF(ISNUMBER(Data_2014_N!R53),100*ABS($G53-(Data_2014_N!R53-$K53)/$M53),0)))</f>
        <v>46.6666666666667</v>
      </c>
      <c r="Y53" s="161">
        <f>IF($H53=0,0,CHOOSE($H53,SUMPRODUCT($O54:$O$67*Y54:Y$67*($E54:$E$67=$D53)),IF(ISNUMBER(Data_2014_N!S53),100*ABS($G53-(Data_2014_N!S53-$K53)/$M53),0),IF(ISNUMBER(Data_2014_N!S53),100*ABS($G53-(Data_2014_N!S53-$K53)/$M53),0)))</f>
        <v>58.3333333333333</v>
      </c>
      <c r="Z53" s="161">
        <f>IF($H53=0,0,CHOOSE($H53,SUMPRODUCT($O54:$O$67*Z54:Z$67*($E54:$E$67=$D53)),IF(ISNUMBER(Data_2014_N!T53),100*ABS($G53-(Data_2014_N!T53-$K53)/$M53),0),IF(ISNUMBER(Data_2014_N!T53),100*ABS($G53-(Data_2014_N!T53-$K53)/$M53),0)))</f>
        <v>55</v>
      </c>
      <c r="AA53" s="161">
        <f>IF($H53=0,0,CHOOSE($H53,SUMPRODUCT($O54:$O$67*AA54:AA$67*($E54:$E$67=$D53)),IF(ISNUMBER(Data_2014_N!U53),100*ABS($G53-(Data_2014_N!U53-$K53)/$M53),0),IF(ISNUMBER(Data_2014_N!U53),100*ABS($G53-(Data_2014_N!U53-$K53)/$M53),0)))</f>
        <v>100</v>
      </c>
      <c r="AB53" s="161">
        <f>IF($H53=0,0,CHOOSE($H53,SUMPRODUCT($O54:$O$67*AB54:AB$67*($E54:$E$67=$D53)),IF(ISNUMBER(Data_2014_N!V53),100*ABS($G53-(Data_2014_N!V53-$K53)/$M53),0),IF(ISNUMBER(Data_2014_N!V53),100*ABS($G53-(Data_2014_N!V53-$K53)/$M53),0)))</f>
        <v>83.3333333333333</v>
      </c>
      <c r="AC53" s="161">
        <f>IF($H53=0,0,CHOOSE($H53,SUMPRODUCT($O54:$O$67*AC54:AC$67*($E54:$E$67=$D53)),IF(ISNUMBER(Data_2014_N!W53),100*ABS($G53-(Data_2014_N!W53-$K53)/$M53),0),IF(ISNUMBER(Data_2014_N!W53),100*ABS($G53-(Data_2014_N!W53-$K53)/$M53),0)))</f>
        <v>13.3333333333333</v>
      </c>
      <c r="AD53" s="161">
        <f>IF($H53=0,0,CHOOSE($H53,SUMPRODUCT($O54:$O$67*AD54:AD$67*($E54:$E$67=$D53)),IF(ISNUMBER(Data_2014_N!X53),100*ABS($G53-(Data_2014_N!X53-$K53)/$M53),0),IF(ISNUMBER(Data_2014_N!X53),100*ABS($G53-(Data_2014_N!X53-$K53)/$M53),0)))</f>
        <v>41.6666666666667</v>
      </c>
      <c r="AE53" s="161">
        <f>IF($H53=0,0,CHOOSE($H53,SUMPRODUCT($O54:$O$67*AE54:AE$67*($E54:$E$67=$D53)),IF(ISNUMBER(Data_2014_N!Y53),100*ABS($G53-(Data_2014_N!Y53-$K53)/$M53),0),IF(ISNUMBER(Data_2014_N!Y53),100*ABS($G53-(Data_2014_N!Y53-$K53)/$M53),0)))</f>
        <v>8.33333333333334</v>
      </c>
      <c r="AF53" s="161">
        <f>IF($H53=0,0,CHOOSE($H53,SUMPRODUCT($O54:$O$67*AF54:AF$67*($E54:$E$67=$D53)),IF(ISNUMBER(Data_2014_N!Z53),100*ABS($G53-(Data_2014_N!Z53-$K53)/$M53),0),IF(ISNUMBER(Data_2014_N!Z53),100*ABS($G53-(Data_2014_N!Z53-$K53)/$M53),0)))</f>
        <v>95</v>
      </c>
      <c r="AG53" s="161">
        <f>IF($H53=0,0,CHOOSE($H53,SUMPRODUCT($O54:$O$67*AG54:AG$67*($E54:$E$67=$D53)),IF(ISNUMBER(Data_2014_N!AA53),100*ABS($G53-(Data_2014_N!AA53-$K53)/$M53),0),IF(ISNUMBER(Data_2014_N!AA53),100*ABS($G53-(Data_2014_N!AA53-$K53)/$M53),0)))</f>
        <v>8.33333333333334</v>
      </c>
      <c r="AH53" s="161">
        <f>IF($H53=0,0,CHOOSE($H53,SUMPRODUCT($O54:$O$67*AH54:AH$67*($E54:$E$67=$D53)),IF(ISNUMBER(Data_2014_N!AB53),100*ABS($G53-(Data_2014_N!AB53-$K53)/$M53),0),IF(ISNUMBER(Data_2014_N!AB53),100*ABS($G53-(Data_2014_N!AB53-$K53)/$M53),0)))</f>
        <v>83.3333333333333</v>
      </c>
      <c r="AI53" s="161">
        <f>IF($H53=0,0,CHOOSE($H53,SUMPRODUCT($O54:$O$67*AI54:AI$67*($E54:$E$67=$D53)),IF(ISNUMBER(Data_2014_N!AC53),100*ABS($G53-(Data_2014_N!AC53-$K53)/$M53),0),IF(ISNUMBER(Data_2014_N!AC53),100*ABS($G53-(Data_2014_N!AC53-$K53)/$M53),0)))</f>
        <v>43.3333333333333</v>
      </c>
      <c r="AJ53" s="161">
        <f>IF($H53=0,0,CHOOSE($H53,SUMPRODUCT($O54:$O$67*AJ54:AJ$67*($E54:$E$67=$D53)),IF(ISNUMBER(Data_2014_N!AD53),100*ABS($G53-(Data_2014_N!AD53-$K53)/$M53),0),IF(ISNUMBER(Data_2014_N!AD53),100*ABS($G53-(Data_2014_N!AD53-$K53)/$M53),0)))</f>
        <v>65</v>
      </c>
      <c r="AK53" s="161">
        <f>IF($H53=0,0,CHOOSE($H53,SUMPRODUCT($O54:$O$67*AK54:AK$67*($E54:$E$67=$D53)),IF(ISNUMBER(Data_2014_N!AE53),100*ABS($G53-(Data_2014_N!AE53-$K53)/$M53),0),IF(ISNUMBER(Data_2014_N!AE53),100*ABS($G53-(Data_2014_N!AE53-$K53)/$M53),0)))</f>
        <v>75</v>
      </c>
      <c r="AL53" s="161">
        <f>IF($H53=0,0,CHOOSE($H53,SUMPRODUCT($O54:$O$67*AL54:AL$67*($E54:$E$67=$D53)),IF(ISNUMBER(Data_2014_N!AF53),100*ABS($G53-(Data_2014_N!AF53-$K53)/$M53),0),IF(ISNUMBER(Data_2014_N!AF53),100*ABS($G53-(Data_2014_N!AF53-$K53)/$M53),0)))</f>
        <v>43.3333333333333</v>
      </c>
      <c r="AM53" s="161">
        <f>IF($H53=0,0,CHOOSE($H53,SUMPRODUCT($O54:$O$67*AM54:AM$67*($E54:$E$67=$D53)),IF(ISNUMBER(Data_2014_N!AG53),100*ABS($G53-(Data_2014_N!AG53-$K53)/$M53),0),IF(ISNUMBER(Data_2014_N!AG53),100*ABS($G53-(Data_2014_N!AG53-$K53)/$M53),0)))</f>
        <v>48.3333333333333</v>
      </c>
      <c r="AN53" s="161">
        <f>IF($H53=0,0,CHOOSE($H53,SUMPRODUCT($O54:$O$67*AN54:AN$67*($E54:$E$67=$D53)),IF(ISNUMBER(Data_2014_N!AH53),100*ABS($G53-(Data_2014_N!AH53-$K53)/$M53),0),IF(ISNUMBER(Data_2014_N!AH53),100*ABS($G53-(Data_2014_N!AH53-$K53)/$M53),0)))</f>
        <v>56.6666666666667</v>
      </c>
      <c r="AO53" s="161">
        <f>IF($H53=0,0,CHOOSE($H53,SUMPRODUCT($O54:$O$67*AO54:AO$67*($E54:$E$67=$D53)),IF(ISNUMBER(Data_2014_N!AI53),100*ABS($G53-(Data_2014_N!AI53-$K53)/$M53),0),IF(ISNUMBER(Data_2014_N!AI53),100*ABS($G53-(Data_2014_N!AI53-$K53)/$M53),0)))</f>
        <v>46.6666666666667</v>
      </c>
      <c r="AP53" s="161">
        <f>IF($H53=0,0,CHOOSE($H53,SUMPRODUCT($O54:$O$67*AP54:AP$67*($E54:$E$67=$D53)),IF(ISNUMBER(Data_2014_N!AJ53),100*ABS($G53-(Data_2014_N!AJ53-$K53)/$M53),0),IF(ISNUMBER(Data_2014_N!AJ53),100*ABS($G53-(Data_2014_N!AJ53-$K53)/$M53),0)))</f>
        <v>31.6666666666667</v>
      </c>
      <c r="AQ53" s="161">
        <f>IF($H53=0,0,CHOOSE($H53,SUMPRODUCT($O54:$O$67*AQ54:AQ$67*($E54:$E$67=$D53)),IF(ISNUMBER(Data_2014_N!AK53),100*ABS($G53-(Data_2014_N!AK53-$K53)/$M53),0),IF(ISNUMBER(Data_2014_N!AK53),100*ABS($G53-(Data_2014_N!AK53-$K53)/$M53),0)))</f>
        <v>83.3333333333333</v>
      </c>
      <c r="AR53" s="161">
        <f>IF($H53=0,0,CHOOSE($H53,SUMPRODUCT($O54:$O$67*AR54:AR$67*($E54:$E$67=$D53)),IF(ISNUMBER(Data_2014_N!AL53),100*ABS($G53-(Data_2014_N!AL53-$K53)/$M53),0),IF(ISNUMBER(Data_2014_N!AL53),100*ABS($G53-(Data_2014_N!AL53-$K53)/$M53),0)))</f>
        <v>41.6666666666667</v>
      </c>
      <c r="AS53" s="161">
        <f>IF($H53=0,0,CHOOSE($H53,SUMPRODUCT($O54:$O$67*AS54:AS$67*($E54:$E$67=$D53)),IF(ISNUMBER(Data_2014_N!AM53),100*ABS($G53-(Data_2014_N!AM53-$K53)/$M53),0),IF(ISNUMBER(Data_2014_N!AM53),100*ABS($G53-(Data_2014_N!AM53-$K53)/$M53),0)))</f>
        <v>50</v>
      </c>
      <c r="AT53" s="161">
        <f>IF($H53=0,0,CHOOSE($H53,SUMPRODUCT($O54:$O$67*AT54:AT$67*($E54:$E$67=$D53)),IF(ISNUMBER(Data_2014_N!AN53),100*ABS($G53-(Data_2014_N!AN53-$K53)/$M53),0),IF(ISNUMBER(Data_2014_N!AN53),100*ABS($G53-(Data_2014_N!AN53-$K53)/$M53),0)))</f>
        <v>0</v>
      </c>
      <c r="AU53" s="161">
        <f>IF($H53=0,0,CHOOSE($H53,SUMPRODUCT($O54:$O$67*AU54:AU$67*($E54:$E$67=$D53)),IF(ISNUMBER(Data_2014_N!AO53),100*ABS($G53-(Data_2014_N!AO53-$K53)/$M53),0),IF(ISNUMBER(Data_2014_N!AO53),100*ABS($G53-(Data_2014_N!AO53-$K53)/$M53),0)))</f>
        <v>48.3333333333333</v>
      </c>
      <c r="AV53" s="161">
        <f>IF($H53=0,0,CHOOSE($H53,SUMPRODUCT($O54:$O$67*AV54:AV$67*($E54:$E$67=$D53)),IF(ISNUMBER(Data_2014_N!AP53),100*ABS($G53-(Data_2014_N!AP53-$K53)/$M53),0),IF(ISNUMBER(Data_2014_N!AP53),100*ABS($G53-(Data_2014_N!AP53-$K53)/$M53),0)))</f>
        <v>43.3333333333333</v>
      </c>
      <c r="AW53" s="161">
        <f>IF($H53=0,0,CHOOSE($H53,SUMPRODUCT($O54:$O$67*AW54:AW$67*($E54:$E$67=$D53)),IF(ISNUMBER(Data_2014_N!AQ53),100*ABS($G53-(Data_2014_N!AQ53-$K53)/$M53),0),IF(ISNUMBER(Data_2014_N!AQ53),100*ABS($G53-(Data_2014_N!AQ53-$K53)/$M53),0)))</f>
        <v>30</v>
      </c>
      <c r="AX53" s="161">
        <f>IF($H53=0,0,CHOOSE($H53,SUMPRODUCT($O54:$O$67*AX54:AX$67*($E54:$E$67=$D53)),IF(ISNUMBER(Data_2014_N!AR53),100*ABS($G53-(Data_2014_N!AR53-$K53)/$M53),0),IF(ISNUMBER(Data_2014_N!AR53),100*ABS($G53-(Data_2014_N!AR53-$K53)/$M53),0)))</f>
        <v>50</v>
      </c>
      <c r="AY53" s="161">
        <f>IF($H53=0,0,CHOOSE($H53,SUMPRODUCT($O54:$O$67*AY54:AY$67*($E54:$E$67=$D53)),IF(ISNUMBER(Data_2014_N!AS53),100*ABS($G53-(Data_2014_N!AS53-$K53)/$M53),0),IF(ISNUMBER(Data_2014_N!AS53),100*ABS($G53-(Data_2014_N!AS53-$K53)/$M53),0)))</f>
        <v>75</v>
      </c>
      <c r="AZ53" s="161">
        <f>IF($H53=0,0,CHOOSE($H53,SUMPRODUCT($O54:$O$67*AZ54:AZ$67*($E54:$E$67=$D53)),IF(ISNUMBER(Data_2014_N!AT53),100*ABS($G53-(Data_2014_N!AT53-$K53)/$M53),0),IF(ISNUMBER(Data_2014_N!AT53),100*ABS($G53-(Data_2014_N!AT53-$K53)/$M53),0)))</f>
        <v>100</v>
      </c>
      <c r="BA53" s="161">
        <f>IF($H53=0,0,CHOOSE($H53,SUMPRODUCT($O54:$O$67*BA54:BA$67*($E54:$E$67=$D53)),IF(ISNUMBER(Data_2014_N!AU53),100*ABS($G53-(Data_2014_N!AU53-$K53)/$M53),0),IF(ISNUMBER(Data_2014_N!AU53),100*ABS($G53-(Data_2014_N!AU53-$K53)/$M53),0)))</f>
        <v>83.3333333333333</v>
      </c>
      <c r="BB53" s="161">
        <f>IF($H53=0,0,CHOOSE($H53,SUMPRODUCT($O54:$O$67*BB54:BB$67*($E54:$E$67=$D53)),IF(ISNUMBER(Data_2014_N!AV53),100*ABS($G53-(Data_2014_N!AV53-$K53)/$M53),0),IF(ISNUMBER(Data_2014_N!AV53),100*ABS($G53-(Data_2014_N!AV53-$K53)/$M53),0)))</f>
        <v>55</v>
      </c>
      <c r="BC53" s="161">
        <f>IF($H53=0,0,CHOOSE($H53,SUMPRODUCT($O54:$O$67*BC54:BC$67*($E54:$E$67=$D53)),IF(ISNUMBER(Data_2014_N!AW53),100*ABS($G53-(Data_2014_N!AW53-$K53)/$M53),0),IF(ISNUMBER(Data_2014_N!AW53),100*ABS($G53-(Data_2014_N!AW53-$K53)/$M53),0)))</f>
        <v>75</v>
      </c>
      <c r="BD53" s="161">
        <f>IF($H53=0,0,CHOOSE($H53,SUMPRODUCT($O54:$O$67*BD54:BD$67*($E54:$E$67=$D53)),IF(ISNUMBER(Data_2014_N!AX53),100*ABS($G53-(Data_2014_N!AX53-$K53)/$M53),0),IF(ISNUMBER(Data_2014_N!AX53),100*ABS($G53-(Data_2014_N!AX53-$K53)/$M53),0)))</f>
        <v>91.6666666666667</v>
      </c>
      <c r="BE53" s="161">
        <f>IF($H53=0,0,CHOOSE($H53,SUMPRODUCT($O54:$O$67*BE54:BE$67*($E54:$E$67=$D53)),IF(ISNUMBER(Data_2014_N!AY53),100*ABS($G53-(Data_2014_N!AY53-$K53)/$M53),0),IF(ISNUMBER(Data_2014_N!AY53),100*ABS($G53-(Data_2014_N!AY53-$K53)/$M53),0)))</f>
        <v>48.3333333333333</v>
      </c>
      <c r="BF53" s="161">
        <f>IF($H53=0,0,CHOOSE($H53,SUMPRODUCT($O54:$O$67*BF54:BF$67*($E54:$E$67=$D53)),IF(ISNUMBER(Data_2014_N!AZ53),100*ABS($G53-(Data_2014_N!AZ53-$K53)/$M53),0),IF(ISNUMBER(Data_2014_N!AZ53),100*ABS($G53-(Data_2014_N!AZ53-$K53)/$M53),0)))</f>
        <v>83.3333333333333</v>
      </c>
      <c r="BG53" s="161">
        <f>IF($H53=0,0,CHOOSE($H53,SUMPRODUCT($O54:$O$67*BG54:BG$67*($E54:$E$67=$D53)),IF(ISNUMBER(Data_2014_N!BA53),100*ABS($G53-(Data_2014_N!BA53-$K53)/$M53),0),IF(ISNUMBER(Data_2014_N!BA53),100*ABS($G53-(Data_2014_N!BA53-$K53)/$M53),0)))</f>
        <v>58.3333333333333</v>
      </c>
      <c r="BH53" s="161">
        <f>IF($H53=0,0,CHOOSE($H53,SUMPRODUCT($O54:$O$67*BH54:BH$67*($E54:$E$67=$D53)),IF(ISNUMBER(Data_2014_N!BB53),100*ABS($G53-(Data_2014_N!BB53-$K53)/$M53),0),IF(ISNUMBER(Data_2014_N!BB53),100*ABS($G53-(Data_2014_N!BB53-$K53)/$M53),0)))</f>
        <v>75</v>
      </c>
      <c r="BI53" s="161">
        <f>IF($H53=0,0,CHOOSE($H53,SUMPRODUCT($O54:$O$67*BI54:BI$67*($E54:$E$67=$D53)),IF(ISNUMBER(Data_2014_N!BC53),100*ABS($G53-(Data_2014_N!BC53-$K53)/$M53),0),IF(ISNUMBER(Data_2014_N!BC53),100*ABS($G53-(Data_2014_N!BC53-$K53)/$M53),0)))</f>
        <v>8.33333333333334</v>
      </c>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row>
    <row r="54" s="69" customFormat="1" ht="24.95" customHeight="1" spans="1:115">
      <c r="A54" s="92"/>
      <c r="B54" s="92">
        <f>tblIndicators!A50</f>
        <v>49</v>
      </c>
      <c r="C54" s="92">
        <f>tblIndicators!B50</f>
        <v>0</v>
      </c>
      <c r="D54" s="92" t="str">
        <f>tblIndicators!D50</f>
        <v>PESE4.1.7</v>
      </c>
      <c r="E54" s="92" t="str">
        <f>tblIndicators!E50</f>
        <v>PESE4.1</v>
      </c>
      <c r="F54" s="92">
        <f>tblIndicators!F50</f>
        <v>3</v>
      </c>
      <c r="G54" s="92">
        <f>tblIndicators!Y50</f>
        <v>1</v>
      </c>
      <c r="H54" s="92">
        <f>tblIndicators!Z50</f>
        <v>3</v>
      </c>
      <c r="I54" s="104">
        <f>tblIndicators!AA50</f>
        <v>0</v>
      </c>
      <c r="J54" s="92">
        <f>tblIndicators!AB50</f>
        <v>100</v>
      </c>
      <c r="K54" s="92">
        <f>CHOOSE(H54,"-",MIN(Data_2014_N!J54:BC54),I54)</f>
        <v>0</v>
      </c>
      <c r="L54" s="165">
        <f>CHOOSE(H54,"-",MAX(Data_2014_N!J54:BC54),J54)</f>
        <v>100</v>
      </c>
      <c r="M54" s="92">
        <f t="shared" si="1"/>
        <v>100</v>
      </c>
      <c r="N54" s="168" t="str">
        <f>REPT(" ",F54)&amp;tblIndicators!AE50</f>
        <v>   4.1.7) Political stability risk</v>
      </c>
      <c r="O54" s="169">
        <f>tblIndicators!AD50</f>
        <v>0.142857142857143</v>
      </c>
      <c r="P54" s="161">
        <f>IF($H54=0,0,CHOOSE($H54,SUMPRODUCT($O55:$O$67*P55:P$67*($E55:$E$67=$D54)),IF(ISNUMBER(Data_2014_N!J54),100*ABS($G54-(Data_2014_N!J54-$K54)/$M54),0),IF(ISNUMBER(Data_2014_N!J54),100*ABS($G54-(Data_2014_N!J54-$K54)/$M54),0)))</f>
        <v>55</v>
      </c>
      <c r="Q54" s="161">
        <f>IF($H54=0,0,CHOOSE($H54,SUMPRODUCT($O55:$O$67*Q55:Q$67*($E55:$E$67=$D54)),IF(ISNUMBER(Data_2014_N!K54),100*ABS($G54-(Data_2014_N!K54-$K54)/$M54),0),IF(ISNUMBER(Data_2014_N!K54),100*ABS($G54-(Data_2014_N!K54-$K54)/$M54),0)))</f>
        <v>80</v>
      </c>
      <c r="R54" s="161">
        <f>IF($H54=0,0,CHOOSE($H54,SUMPRODUCT($O55:$O$67*R55:R$67*($E55:$E$67=$D54)),IF(ISNUMBER(Data_2014_N!L54),100*ABS($G54-(Data_2014_N!L54-$K54)/$M54),0),IF(ISNUMBER(Data_2014_N!L54),100*ABS($G54-(Data_2014_N!L54-$K54)/$M54),0)))</f>
        <v>35</v>
      </c>
      <c r="S54" s="161">
        <f>IF($H54=0,0,CHOOSE($H54,SUMPRODUCT($O55:$O$67*S55:S$67*($E55:$E$67=$D54)),IF(ISNUMBER(Data_2014_N!M54),100*ABS($G54-(Data_2014_N!M54-$K54)/$M54),0),IF(ISNUMBER(Data_2014_N!M54),100*ABS($G54-(Data_2014_N!M54-$K54)/$M54),0)))</f>
        <v>75</v>
      </c>
      <c r="T54" s="161">
        <f>IF($H54=0,0,CHOOSE($H54,SUMPRODUCT($O55:$O$67*T55:T$67*($E55:$E$67=$D54)),IF(ISNUMBER(Data_2014_N!N54),100*ABS($G54-(Data_2014_N!N54-$K54)/$M54),0),IF(ISNUMBER(Data_2014_N!N54),100*ABS($G54-(Data_2014_N!N54-$K54)/$M54),0)))</f>
        <v>45</v>
      </c>
      <c r="U54" s="161">
        <f>IF($H54=0,0,CHOOSE($H54,SUMPRODUCT($O55:$O$67*U55:U$67*($E55:$E$67=$D54)),IF(ISNUMBER(Data_2014_N!O54),100*ABS($G54-(Data_2014_N!O54-$K54)/$M54),0),IF(ISNUMBER(Data_2014_N!O54),100*ABS($G54-(Data_2014_N!O54-$K54)/$M54),0)))</f>
        <v>75</v>
      </c>
      <c r="V54" s="161">
        <f>IF($H54=0,0,CHOOSE($H54,SUMPRODUCT($O55:$O$67*V55:V$67*($E55:$E$67=$D54)),IF(ISNUMBER(Data_2014_N!P54),100*ABS($G54-(Data_2014_N!P54-$K54)/$M54),0),IF(ISNUMBER(Data_2014_N!P54),100*ABS($G54-(Data_2014_N!P54-$K54)/$M54),0)))</f>
        <v>45</v>
      </c>
      <c r="W54" s="161">
        <f>IF($H54=0,0,CHOOSE($H54,SUMPRODUCT($O55:$O$67*W55:W$67*($E55:$E$67=$D54)),IF(ISNUMBER(Data_2014_N!Q54),100*ABS($G54-(Data_2014_N!Q54-$K54)/$M54),0),IF(ISNUMBER(Data_2014_N!Q54),100*ABS($G54-(Data_2014_N!Q54-$K54)/$M54),0)))</f>
        <v>90</v>
      </c>
      <c r="X54" s="161">
        <f>IF($H54=0,0,CHOOSE($H54,SUMPRODUCT($O55:$O$67*X55:X$67*($E55:$E$67=$D54)),IF(ISNUMBER(Data_2014_N!R54),100*ABS($G54-(Data_2014_N!R54-$K54)/$M54),0),IF(ISNUMBER(Data_2014_N!R54),100*ABS($G54-(Data_2014_N!R54-$K54)/$M54),0)))</f>
        <v>80</v>
      </c>
      <c r="Y54" s="161">
        <f>IF($H54=0,0,CHOOSE($H54,SUMPRODUCT($O55:$O$67*Y55:Y$67*($E55:$E$67=$D54)),IF(ISNUMBER(Data_2014_N!S54),100*ABS($G54-(Data_2014_N!S54-$K54)/$M54),0),IF(ISNUMBER(Data_2014_N!S54),100*ABS($G54-(Data_2014_N!S54-$K54)/$M54),0)))</f>
        <v>60</v>
      </c>
      <c r="Z54" s="161">
        <f>IF($H54=0,0,CHOOSE($H54,SUMPRODUCT($O55:$O$67*Z55:Z$67*($E55:$E$67=$D54)),IF(ISNUMBER(Data_2014_N!T54),100*ABS($G54-(Data_2014_N!T54-$K54)/$M54),0),IF(ISNUMBER(Data_2014_N!T54),100*ABS($G54-(Data_2014_N!T54-$K54)/$M54),0)))</f>
        <v>85</v>
      </c>
      <c r="AA54" s="161">
        <f>IF($H54=0,0,CHOOSE($H54,SUMPRODUCT($O55:$O$67*AA55:AA$67*($E55:$E$67=$D54)),IF(ISNUMBER(Data_2014_N!U54),100*ABS($G54-(Data_2014_N!U54-$K54)/$M54),0),IF(ISNUMBER(Data_2014_N!U54),100*ABS($G54-(Data_2014_N!U54-$K54)/$M54),0)))</f>
        <v>50</v>
      </c>
      <c r="AB54" s="161">
        <f>IF($H54=0,0,CHOOSE($H54,SUMPRODUCT($O55:$O$67*AB55:AB$67*($E55:$E$67=$D54)),IF(ISNUMBER(Data_2014_N!V54),100*ABS($G54-(Data_2014_N!V54-$K54)/$M54),0),IF(ISNUMBER(Data_2014_N!V54),100*ABS($G54-(Data_2014_N!V54-$K54)/$M54),0)))</f>
        <v>65</v>
      </c>
      <c r="AC54" s="161">
        <f>IF($H54=0,0,CHOOSE($H54,SUMPRODUCT($O55:$O$67*AC55:AC$67*($E55:$E$67=$D54)),IF(ISNUMBER(Data_2014_N!W54),100*ABS($G54-(Data_2014_N!W54-$K54)/$M54),0),IF(ISNUMBER(Data_2014_N!W54),100*ABS($G54-(Data_2014_N!W54-$K54)/$M54),0)))</f>
        <v>45</v>
      </c>
      <c r="AD54" s="161">
        <f>IF($H54=0,0,CHOOSE($H54,SUMPRODUCT($O55:$O$67*AD55:AD$67*($E55:$E$67=$D54)),IF(ISNUMBER(Data_2014_N!X54),100*ABS($G54-(Data_2014_N!X54-$K54)/$M54),0),IF(ISNUMBER(Data_2014_N!X54),100*ABS($G54-(Data_2014_N!X54-$K54)/$M54),0)))</f>
        <v>70</v>
      </c>
      <c r="AE54" s="161">
        <f>IF($H54=0,0,CHOOSE($H54,SUMPRODUCT($O55:$O$67*AE55:AE$67*($E55:$E$67=$D54)),IF(ISNUMBER(Data_2014_N!Y54),100*ABS($G54-(Data_2014_N!Y54-$K54)/$M54),0),IF(ISNUMBER(Data_2014_N!Y54),100*ABS($G54-(Data_2014_N!Y54-$K54)/$M54),0)))</f>
        <v>65</v>
      </c>
      <c r="AF54" s="161">
        <f>IF($H54=0,0,CHOOSE($H54,SUMPRODUCT($O55:$O$67*AF55:AF$67*($E55:$E$67=$D54)),IF(ISNUMBER(Data_2014_N!Z54),100*ABS($G54-(Data_2014_N!Z54-$K54)/$M54),0),IF(ISNUMBER(Data_2014_N!Z54),100*ABS($G54-(Data_2014_N!Z54-$K54)/$M54),0)))</f>
        <v>40</v>
      </c>
      <c r="AG54" s="161">
        <f>IF($H54=0,0,CHOOSE($H54,SUMPRODUCT($O55:$O$67*AG55:AG$67*($E55:$E$67=$D54)),IF(ISNUMBER(Data_2014_N!AA54),100*ABS($G54-(Data_2014_N!AA54-$K54)/$M54),0),IF(ISNUMBER(Data_2014_N!AA54),100*ABS($G54-(Data_2014_N!AA54-$K54)/$M54),0)))</f>
        <v>55</v>
      </c>
      <c r="AH54" s="161">
        <f>IF($H54=0,0,CHOOSE($H54,SUMPRODUCT($O55:$O$67*AH55:AH$67*($E55:$E$67=$D54)),IF(ISNUMBER(Data_2014_N!AB54),100*ABS($G54-(Data_2014_N!AB54-$K54)/$M54),0),IF(ISNUMBER(Data_2014_N!AB54),100*ABS($G54-(Data_2014_N!AB54-$K54)/$M54),0)))</f>
        <v>70</v>
      </c>
      <c r="AI54" s="161">
        <f>IF($H54=0,0,CHOOSE($H54,SUMPRODUCT($O55:$O$67*AI55:AI$67*($E55:$E$67=$D54)),IF(ISNUMBER(Data_2014_N!AC54),100*ABS($G54-(Data_2014_N!AC54-$K54)/$M54),0),IF(ISNUMBER(Data_2014_N!AC54),100*ABS($G54-(Data_2014_N!AC54-$K54)/$M54),0)))</f>
        <v>90</v>
      </c>
      <c r="AJ54" s="161">
        <f>IF($H54=0,0,CHOOSE($H54,SUMPRODUCT($O55:$O$67*AJ55:AJ$67*($E55:$E$67=$D54)),IF(ISNUMBER(Data_2014_N!AD54),100*ABS($G54-(Data_2014_N!AD54-$K54)/$M54),0),IF(ISNUMBER(Data_2014_N!AD54),100*ABS($G54-(Data_2014_N!AD54-$K54)/$M54),0)))</f>
        <v>75</v>
      </c>
      <c r="AK54" s="161">
        <f>IF($H54=0,0,CHOOSE($H54,SUMPRODUCT($O55:$O$67*AK55:AK$67*($E55:$E$67=$D54)),IF(ISNUMBER(Data_2014_N!AE54),100*ABS($G54-(Data_2014_N!AE54-$K54)/$M54),0),IF(ISNUMBER(Data_2014_N!AE54),100*ABS($G54-(Data_2014_N!AE54-$K54)/$M54),0)))</f>
        <v>90</v>
      </c>
      <c r="AL54" s="161">
        <f>IF($H54=0,0,CHOOSE($H54,SUMPRODUCT($O55:$O$67*AL55:AL$67*($E55:$E$67=$D54)),IF(ISNUMBER(Data_2014_N!AF54),100*ABS($G54-(Data_2014_N!AF54-$K54)/$M54),0),IF(ISNUMBER(Data_2014_N!AF54),100*ABS($G54-(Data_2014_N!AF54-$K54)/$M54),0)))</f>
        <v>60</v>
      </c>
      <c r="AM54" s="161">
        <f>IF($H54=0,0,CHOOSE($H54,SUMPRODUCT($O55:$O$67*AM55:AM$67*($E55:$E$67=$D54)),IF(ISNUMBER(Data_2014_N!AG54),100*ABS($G54-(Data_2014_N!AG54-$K54)/$M54),0),IF(ISNUMBER(Data_2014_N!AG54),100*ABS($G54-(Data_2014_N!AG54-$K54)/$M54),0)))</f>
        <v>65</v>
      </c>
      <c r="AN54" s="161">
        <f>IF($H54=0,0,CHOOSE($H54,SUMPRODUCT($O55:$O$67*AN55:AN$67*($E55:$E$67=$D54)),IF(ISNUMBER(Data_2014_N!AH54),100*ABS($G54-(Data_2014_N!AH54-$K54)/$M54),0),IF(ISNUMBER(Data_2014_N!AH54),100*ABS($G54-(Data_2014_N!AH54-$K54)/$M54),0)))</f>
        <v>35</v>
      </c>
      <c r="AO54" s="161">
        <f>IF($H54=0,0,CHOOSE($H54,SUMPRODUCT($O55:$O$67*AO55:AO$67*($E55:$E$67=$D54)),IF(ISNUMBER(Data_2014_N!AI54),100*ABS($G54-(Data_2014_N!AI54-$K54)/$M54),0),IF(ISNUMBER(Data_2014_N!AI54),100*ABS($G54-(Data_2014_N!AI54-$K54)/$M54),0)))</f>
        <v>80</v>
      </c>
      <c r="AP54" s="161">
        <f>IF($H54=0,0,CHOOSE($H54,SUMPRODUCT($O55:$O$67*AP55:AP$67*($E55:$E$67=$D54)),IF(ISNUMBER(Data_2014_N!AJ54),100*ABS($G54-(Data_2014_N!AJ54-$K54)/$M54),0),IF(ISNUMBER(Data_2014_N!AJ54),100*ABS($G54-(Data_2014_N!AJ54-$K54)/$M54),0)))</f>
        <v>90</v>
      </c>
      <c r="AQ54" s="161">
        <f>IF($H54=0,0,CHOOSE($H54,SUMPRODUCT($O55:$O$67*AQ55:AQ$67*($E55:$E$67=$D54)),IF(ISNUMBER(Data_2014_N!AK54),100*ABS($G54-(Data_2014_N!AK54-$K54)/$M54),0),IF(ISNUMBER(Data_2014_N!AK54),100*ABS($G54-(Data_2014_N!AK54-$K54)/$M54),0)))</f>
        <v>90</v>
      </c>
      <c r="AR54" s="161">
        <f>IF($H54=0,0,CHOOSE($H54,SUMPRODUCT($O55:$O$67*AR55:AR$67*($E55:$E$67=$D54)),IF(ISNUMBER(Data_2014_N!AL54),100*ABS($G54-(Data_2014_N!AL54-$K54)/$M54),0),IF(ISNUMBER(Data_2014_N!AL54),100*ABS($G54-(Data_2014_N!AL54-$K54)/$M54),0)))</f>
        <v>70</v>
      </c>
      <c r="AS54" s="161">
        <f>IF($H54=0,0,CHOOSE($H54,SUMPRODUCT($O55:$O$67*AS55:AS$67*($E55:$E$67=$D54)),IF(ISNUMBER(Data_2014_N!AM54),100*ABS($G54-(Data_2014_N!AM54-$K54)/$M54),0),IF(ISNUMBER(Data_2014_N!AM54),100*ABS($G54-(Data_2014_N!AM54-$K54)/$M54),0)))</f>
        <v>65</v>
      </c>
      <c r="AT54" s="161">
        <f>IF($H54=0,0,CHOOSE($H54,SUMPRODUCT($O55:$O$67*AT55:AT$67*($E55:$E$67=$D54)),IF(ISNUMBER(Data_2014_N!AN54),100*ABS($G54-(Data_2014_N!AN54-$K54)/$M54),0),IF(ISNUMBER(Data_2014_N!AN54),100*ABS($G54-(Data_2014_N!AN54-$K54)/$M54),0)))</f>
        <v>45</v>
      </c>
      <c r="AU54" s="161">
        <f>IF($H54=0,0,CHOOSE($H54,SUMPRODUCT($O55:$O$67*AU55:AU$67*($E55:$E$67=$D54)),IF(ISNUMBER(Data_2014_N!AO54),100*ABS($G54-(Data_2014_N!AO54-$K54)/$M54),0),IF(ISNUMBER(Data_2014_N!AO54),100*ABS($G54-(Data_2014_N!AO54-$K54)/$M54),0)))</f>
        <v>65</v>
      </c>
      <c r="AV54" s="161">
        <f>IF($H54=0,0,CHOOSE($H54,SUMPRODUCT($O55:$O$67*AV55:AV$67*($E55:$E$67=$D54)),IF(ISNUMBER(Data_2014_N!AP54),100*ABS($G54-(Data_2014_N!AP54-$K54)/$M54),0),IF(ISNUMBER(Data_2014_N!AP54),100*ABS($G54-(Data_2014_N!AP54-$K54)/$M54),0)))</f>
        <v>90</v>
      </c>
      <c r="AW54" s="161">
        <f>IF($H54=0,0,CHOOSE($H54,SUMPRODUCT($O55:$O$67*AW55:AW$67*($E55:$E$67=$D54)),IF(ISNUMBER(Data_2014_N!AQ54),100*ABS($G54-(Data_2014_N!AQ54-$K54)/$M54),0),IF(ISNUMBER(Data_2014_N!AQ54),100*ABS($G54-(Data_2014_N!AQ54-$K54)/$M54),0)))</f>
        <v>80</v>
      </c>
      <c r="AX54" s="161">
        <f>IF($H54=0,0,CHOOSE($H54,SUMPRODUCT($O55:$O$67*AX55:AX$67*($E55:$E$67=$D54)),IF(ISNUMBER(Data_2014_N!AR54),100*ABS($G54-(Data_2014_N!AR54-$K54)/$M54),0),IF(ISNUMBER(Data_2014_N!AR54),100*ABS($G54-(Data_2014_N!AR54-$K54)/$M54),0)))</f>
        <v>65</v>
      </c>
      <c r="AY54" s="161">
        <f>IF($H54=0,0,CHOOSE($H54,SUMPRODUCT($O55:$O$67*AY55:AY$67*($E55:$E$67=$D54)),IF(ISNUMBER(Data_2014_N!AS54),100*ABS($G54-(Data_2014_N!AS54-$K54)/$M54),0),IF(ISNUMBER(Data_2014_N!AS54),100*ABS($G54-(Data_2014_N!AS54-$K54)/$M54),0)))</f>
        <v>60</v>
      </c>
      <c r="AZ54" s="161">
        <f>IF($H54=0,0,CHOOSE($H54,SUMPRODUCT($O55:$O$67*AZ55:AZ$67*($E55:$E$67=$D54)),IF(ISNUMBER(Data_2014_N!AT54),100*ABS($G54-(Data_2014_N!AT54-$K54)/$M54),0),IF(ISNUMBER(Data_2014_N!AT54),100*ABS($G54-(Data_2014_N!AT54-$K54)/$M54),0)))</f>
        <v>45</v>
      </c>
      <c r="BA54" s="161">
        <f>IF($H54=0,0,CHOOSE($H54,SUMPRODUCT($O55:$O$67*BA55:BA$67*($E55:$E$67=$D54)),IF(ISNUMBER(Data_2014_N!AU54),100*ABS($G54-(Data_2014_N!AU54-$K54)/$M54),0),IF(ISNUMBER(Data_2014_N!AU54),100*ABS($G54-(Data_2014_N!AU54-$K54)/$M54),0)))</f>
        <v>80</v>
      </c>
      <c r="BB54" s="161">
        <f>IF($H54=0,0,CHOOSE($H54,SUMPRODUCT($O55:$O$67*BB55:BB$67*($E55:$E$67=$D54)),IF(ISNUMBER(Data_2014_N!AV54),100*ABS($G54-(Data_2014_N!AV54-$K54)/$M54),0),IF(ISNUMBER(Data_2014_N!AV54),100*ABS($G54-(Data_2014_N!AV54-$K54)/$M54),0)))</f>
        <v>35</v>
      </c>
      <c r="BC54" s="161">
        <f>IF($H54=0,0,CHOOSE($H54,SUMPRODUCT($O55:$O$67*BC55:BC$67*($E55:$E$67=$D54)),IF(ISNUMBER(Data_2014_N!AW54),100*ABS($G54-(Data_2014_N!AW54-$K54)/$M54),0),IF(ISNUMBER(Data_2014_N!AW54),100*ABS($G54-(Data_2014_N!AW54-$K54)/$M54),0)))</f>
        <v>90</v>
      </c>
      <c r="BD54" s="161">
        <f>IF($H54=0,0,CHOOSE($H54,SUMPRODUCT($O55:$O$67*BD55:BD$67*($E55:$E$67=$D54)),IF(ISNUMBER(Data_2014_N!AX54),100*ABS($G54-(Data_2014_N!AX54-$K54)/$M54),0),IF(ISNUMBER(Data_2014_N!AX54),100*ABS($G54-(Data_2014_N!AX54-$K54)/$M54),0)))</f>
        <v>70</v>
      </c>
      <c r="BE54" s="161">
        <f>IF($H54=0,0,CHOOSE($H54,SUMPRODUCT($O55:$O$67*BE55:BE$67*($E55:$E$67=$D54)),IF(ISNUMBER(Data_2014_N!AY54),100*ABS($G54-(Data_2014_N!AY54-$K54)/$M54),0),IF(ISNUMBER(Data_2014_N!AY54),100*ABS($G54-(Data_2014_N!AY54-$K54)/$M54),0)))</f>
        <v>25</v>
      </c>
      <c r="BF54" s="161">
        <f>IF($H54=0,0,CHOOSE($H54,SUMPRODUCT($O55:$O$67*BF55:BF$67*($E55:$E$67=$D54)),IF(ISNUMBER(Data_2014_N!AZ54),100*ABS($G54-(Data_2014_N!AZ54-$K54)/$M54),0),IF(ISNUMBER(Data_2014_N!AZ54),100*ABS($G54-(Data_2014_N!AZ54-$K54)/$M54),0)))</f>
        <v>90</v>
      </c>
      <c r="BG54" s="161">
        <f>IF($H54=0,0,CHOOSE($H54,SUMPRODUCT($O55:$O$67*BG55:BG$67*($E55:$E$67=$D54)),IF(ISNUMBER(Data_2014_N!BA54),100*ABS($G54-(Data_2014_N!BA54-$K54)/$M54),0),IF(ISNUMBER(Data_2014_N!BA54),100*ABS($G54-(Data_2014_N!BA54-$K54)/$M54),0)))</f>
        <v>95</v>
      </c>
      <c r="BH54" s="161">
        <f>IF($H54=0,0,CHOOSE($H54,SUMPRODUCT($O55:$O$67*BH55:BH$67*($E55:$E$67=$D54)),IF(ISNUMBER(Data_2014_N!BB54),100*ABS($G54-(Data_2014_N!BB54-$K54)/$M54),0),IF(ISNUMBER(Data_2014_N!BB54),100*ABS($G54-(Data_2014_N!BB54-$K54)/$M54),0)))</f>
        <v>90</v>
      </c>
      <c r="BI54" s="161">
        <f>IF($H54=0,0,CHOOSE($H54,SUMPRODUCT($O55:$O$67*BI55:BI$67*($E55:$E$67=$D54)),IF(ISNUMBER(Data_2014_N!BC54),100*ABS($G54-(Data_2014_N!BC54-$K54)/$M54),0),IF(ISNUMBER(Data_2014_N!BC54),100*ABS($G54-(Data_2014_N!BC54-$K54)/$M54),0)))</f>
        <v>90</v>
      </c>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row>
    <row r="55" s="69" customFormat="1" ht="24.95" customHeight="1" spans="1:115">
      <c r="A55" s="92"/>
      <c r="B55" s="92">
        <f>tblIndicators!A51</f>
        <v>50</v>
      </c>
      <c r="C55" s="92">
        <f>tblIndicators!B51</f>
        <v>0</v>
      </c>
      <c r="D55" s="92" t="str">
        <f>tblIndicators!D51</f>
        <v>PESE4.2</v>
      </c>
      <c r="E55" s="92" t="str">
        <f>tblIndicators!E51</f>
        <v>PESE</v>
      </c>
      <c r="F55" s="92">
        <f>tblIndicators!F51</f>
        <v>2</v>
      </c>
      <c r="G55" s="92" t="str">
        <f>tblIndicators!Y51</f>
        <v/>
      </c>
      <c r="H55" s="92">
        <f>tblIndicators!Z51</f>
        <v>1</v>
      </c>
      <c r="I55" s="104">
        <f>tblIndicators!AA51</f>
        <v>0</v>
      </c>
      <c r="J55" s="92">
        <f>tblIndicators!AB51</f>
        <v>0</v>
      </c>
      <c r="K55" s="92" t="str">
        <f>CHOOSE(H55,"-",MIN(Data_2014_N!J55:BC55),I55)</f>
        <v>-</v>
      </c>
      <c r="L55" s="165" t="str">
        <f>CHOOSE(H55,"-",MAX(Data_2014_N!J55:BC55),J55)</f>
        <v>-</v>
      </c>
      <c r="M55" s="92" t="str">
        <f t="shared" si="1"/>
        <v>-</v>
      </c>
      <c r="N55" s="168" t="str">
        <f>REPT(" ",F55)&amp;tblIndicators!AE51</f>
        <v>  4.2) Personal security (Outputs)</v>
      </c>
      <c r="O55" s="169">
        <f>tblIndicators!AD51</f>
        <v>0.5</v>
      </c>
      <c r="P55" s="161">
        <f>IF($H55=0,0,CHOOSE($H55,SUMPRODUCT($O56:$O$67*P56:P$67*($E56:$E$67=$D55)),IF(ISNUMBER(Data_2014_N!J55),100*ABS($G55-(Data_2014_N!J55-$K55)/$M55),0),IF(ISNUMBER(Data_2014_N!J55),100*ABS($G55-(Data_2014_N!J55-$K55)/$M55),0)))</f>
        <v>87.1682095832096</v>
      </c>
      <c r="Q55" s="161">
        <f>IF($H55=0,0,CHOOSE($H55,SUMPRODUCT($O56:$O$67*Q56:Q$67*($E56:$E$67=$D55)),IF(ISNUMBER(Data_2014_N!K55),100*ABS($G55-(Data_2014_N!K55-$K55)/$M55),0),IF(ISNUMBER(Data_2014_N!K55),100*ABS($G55-(Data_2014_N!K55-$K55)/$M55),0)))</f>
        <v>85.3699218129423</v>
      </c>
      <c r="R55" s="161">
        <f>IF($H55=0,0,CHOOSE($H55,SUMPRODUCT($O56:$O$67*R56:R$67*($E56:$E$67=$D55)),IF(ISNUMBER(Data_2014_N!L55),100*ABS($G55-(Data_2014_N!L55-$K55)/$M55),0),IF(ISNUMBER(Data_2014_N!L55),100*ABS($G55-(Data_2014_N!L55-$K55)/$M55),0)))</f>
        <v>54.1963474620787</v>
      </c>
      <c r="S55" s="161">
        <f>IF($H55=0,0,CHOOSE($H55,SUMPRODUCT($O56:$O$67*S56:S$67*($E56:$E$67=$D55)),IF(ISNUMBER(Data_2014_N!M55),100*ABS($G55-(Data_2014_N!M55-$K55)/$M55),0),IF(ISNUMBER(Data_2014_N!M55),100*ABS($G55-(Data_2014_N!M55-$K55)/$M55),0)))</f>
        <v>74.1830218820907</v>
      </c>
      <c r="T55" s="161">
        <f>IF($H55=0,0,CHOOSE($H55,SUMPRODUCT($O56:$O$67*T56:T$67*($E56:$E$67=$D55)),IF(ISNUMBER(Data_2014_N!N55),100*ABS($G55-(Data_2014_N!N55-$K55)/$M55),0),IF(ISNUMBER(Data_2014_N!N55),100*ABS($G55-(Data_2014_N!N55-$K55)/$M55),0)))</f>
        <v>74.8735316941669</v>
      </c>
      <c r="U55" s="161">
        <f>IF($H55=0,0,CHOOSE($H55,SUMPRODUCT($O56:$O$67*U56:U$67*($E56:$E$67=$D55)),IF(ISNUMBER(Data_2014_N!O55),100*ABS($G55-(Data_2014_N!O55-$K55)/$M55),0),IF(ISNUMBER(Data_2014_N!O55),100*ABS($G55-(Data_2014_N!O55-$K55)/$M55),0)))</f>
        <v>81.716504362142</v>
      </c>
      <c r="V55" s="161">
        <f>IF($H55=0,0,CHOOSE($H55,SUMPRODUCT($O56:$O$67*V56:V$67*($E56:$E$67=$D55)),IF(ISNUMBER(Data_2014_N!P55),100*ABS($G55-(Data_2014_N!P55-$K55)/$M55),0),IF(ISNUMBER(Data_2014_N!P55),100*ABS($G55-(Data_2014_N!P55-$K55)/$M55),0)))</f>
        <v>62.2586302281051</v>
      </c>
      <c r="W55" s="161">
        <f>IF($H55=0,0,CHOOSE($H55,SUMPRODUCT($O56:$O$67*W56:W$67*($E56:$E$67=$D55)),IF(ISNUMBER(Data_2014_N!Q55),100*ABS($G55-(Data_2014_N!Q55-$K55)/$M55),0),IF(ISNUMBER(Data_2014_N!Q55),100*ABS($G55-(Data_2014_N!Q55-$K55)/$M55),0)))</f>
        <v>74.2193537916981</v>
      </c>
      <c r="X55" s="161">
        <f>IF($H55=0,0,CHOOSE($H55,SUMPRODUCT($O56:$O$67*X56:X$67*($E56:$E$67=$D55)),IF(ISNUMBER(Data_2014_N!R55),100*ABS($G55-(Data_2014_N!R55-$K55)/$M55),0),IF(ISNUMBER(Data_2014_N!R55),100*ABS($G55-(Data_2014_N!R55-$K55)/$M55),0)))</f>
        <v>61.3828659065734</v>
      </c>
      <c r="Y55" s="161">
        <f>IF($H55=0,0,CHOOSE($H55,SUMPRODUCT($O56:$O$67*Y56:Y$67*($E56:$E$67=$D55)),IF(ISNUMBER(Data_2014_N!S55),100*ABS($G55-(Data_2014_N!S55-$K55)/$M55),0),IF(ISNUMBER(Data_2014_N!S55),100*ABS($G55-(Data_2014_N!S55-$K55)/$M55),0)))</f>
        <v>84.1393903416449</v>
      </c>
      <c r="Z55" s="161">
        <f>IF($H55=0,0,CHOOSE($H55,SUMPRODUCT($O56:$O$67*Z56:Z$67*($E56:$E$67=$D55)),IF(ISNUMBER(Data_2014_N!T55),100*ABS($G55-(Data_2014_N!T55-$K55)/$M55),0),IF(ISNUMBER(Data_2014_N!T55),100*ABS($G55-(Data_2014_N!T55-$K55)/$M55),0)))</f>
        <v>84.1976927297821</v>
      </c>
      <c r="AA55" s="161">
        <f>IF($H55=0,0,CHOOSE($H55,SUMPRODUCT($O56:$O$67*AA56:AA$67*($E56:$E$67=$D55)),IF(ISNUMBER(Data_2014_N!U55),100*ABS($G55-(Data_2014_N!U55-$K55)/$M55),0),IF(ISNUMBER(Data_2014_N!U55),100*ABS($G55-(Data_2014_N!U55-$K55)/$M55),0)))</f>
        <v>65.8610016335016</v>
      </c>
      <c r="AB55" s="161">
        <f>IF($H55=0,0,CHOOSE($H55,SUMPRODUCT($O56:$O$67*AB56:AB$67*($E56:$E$67=$D55)),IF(ISNUMBER(Data_2014_N!V55),100*ABS($G55-(Data_2014_N!V55-$K55)/$M55),0),IF(ISNUMBER(Data_2014_N!V55),100*ABS($G55-(Data_2014_N!V55-$K55)/$M55),0)))</f>
        <v>90.8783829159017</v>
      </c>
      <c r="AC55" s="161">
        <f>IF($H55=0,0,CHOOSE($H55,SUMPRODUCT($O56:$O$67*AC56:AC$67*($E56:$E$67=$D55)),IF(ISNUMBER(Data_2014_N!W55),100*ABS($G55-(Data_2014_N!W55-$K55)/$M55),0),IF(ISNUMBER(Data_2014_N!W55),100*ABS($G55-(Data_2014_N!W55-$K55)/$M55),0)))</f>
        <v>61.8591436910407</v>
      </c>
      <c r="AD55" s="161">
        <f>IF($H55=0,0,CHOOSE($H55,SUMPRODUCT($O56:$O$67*AD56:AD$67*($E56:$E$67=$D55)),IF(ISNUMBER(Data_2014_N!X55),100*ABS($G55-(Data_2014_N!X55-$K55)/$M55),0),IF(ISNUMBER(Data_2014_N!X55),100*ABS($G55-(Data_2014_N!X55-$K55)/$M55),0)))</f>
        <v>60.8937187581284</v>
      </c>
      <c r="AE55" s="161">
        <f>IF($H55=0,0,CHOOSE($H55,SUMPRODUCT($O56:$O$67*AE56:AE$67*($E56:$E$67=$D55)),IF(ISNUMBER(Data_2014_N!Y55),100*ABS($G55-(Data_2014_N!Y55-$K55)/$M55),0),IF(ISNUMBER(Data_2014_N!Y55),100*ABS($G55-(Data_2014_N!Y55-$K55)/$M55),0)))</f>
        <v>50.3979399000329</v>
      </c>
      <c r="AF55" s="161">
        <f>IF($H55=0,0,CHOOSE($H55,SUMPRODUCT($O56:$O$67*AF56:AF$67*($E56:$E$67=$D55)),IF(ISNUMBER(Data_2014_N!Z55),100*ABS($G55-(Data_2014_N!Z55-$K55)/$M55),0),IF(ISNUMBER(Data_2014_N!Z55),100*ABS($G55-(Data_2014_N!Z55-$K55)/$M55),0)))</f>
        <v>80.7249118899119</v>
      </c>
      <c r="AG55" s="161">
        <f>IF($H55=0,0,CHOOSE($H55,SUMPRODUCT($O56:$O$67*AG56:AG$67*($E56:$E$67=$D55)),IF(ISNUMBER(Data_2014_N!AA55),100*ABS($G55-(Data_2014_N!AA55-$K55)/$M55),0),IF(ISNUMBER(Data_2014_N!AA55),100*ABS($G55-(Data_2014_N!AA55-$K55)/$M55),0)))</f>
        <v>61.223772728769</v>
      </c>
      <c r="AH55" s="161">
        <f>IF($H55=0,0,CHOOSE($H55,SUMPRODUCT($O56:$O$67*AH56:AH$67*($E56:$E$67=$D55)),IF(ISNUMBER(Data_2014_N!AB55),100*ABS($G55-(Data_2014_N!AB55-$K55)/$M55),0),IF(ISNUMBER(Data_2014_N!AB55),100*ABS($G55-(Data_2014_N!AB55-$K55)/$M55),0)))</f>
        <v>67.2567172537808</v>
      </c>
      <c r="AI55" s="161">
        <f>IF($H55=0,0,CHOOSE($H55,SUMPRODUCT($O56:$O$67*AI56:AI$67*($E56:$E$67=$D55)),IF(ISNUMBER(Data_2014_N!AC55),100*ABS($G55-(Data_2014_N!AC55-$K55)/$M55),0),IF(ISNUMBER(Data_2014_N!AC55),100*ABS($G55-(Data_2014_N!AC55-$K55)/$M55),0)))</f>
        <v>73.4087812269368</v>
      </c>
      <c r="AJ55" s="161">
        <f>IF($H55=0,0,CHOOSE($H55,SUMPRODUCT($O56:$O$67*AJ56:AJ$67*($E56:$E$67=$D55)),IF(ISNUMBER(Data_2014_N!AD55),100*ABS($G55-(Data_2014_N!AD55-$K55)/$M55),0),IF(ISNUMBER(Data_2014_N!AD55),100*ABS($G55-(Data_2014_N!AD55-$K55)/$M55),0)))</f>
        <v>64.4894916517591</v>
      </c>
      <c r="AK55" s="161">
        <f>IF($H55=0,0,CHOOSE($H55,SUMPRODUCT($O56:$O$67*AK56:AK$67*($E56:$E$67=$D55)),IF(ISNUMBER(Data_2014_N!AE55),100*ABS($G55-(Data_2014_N!AE55-$K55)/$M55),0),IF(ISNUMBER(Data_2014_N!AE55),100*ABS($G55-(Data_2014_N!AE55-$K55)/$M55),0)))</f>
        <v>84.1407778932779</v>
      </c>
      <c r="AL55" s="161">
        <f>IF($H55=0,0,CHOOSE($H55,SUMPRODUCT($O56:$O$67*AL56:AL$67*($E56:$E$67=$D55)),IF(ISNUMBER(Data_2014_N!AF55),100*ABS($G55-(Data_2014_N!AF55-$K55)/$M55),0),IF(ISNUMBER(Data_2014_N!AF55),100*ABS($G55-(Data_2014_N!AF55-$K55)/$M55),0)))</f>
        <v>52.3096613792384</v>
      </c>
      <c r="AM55" s="161">
        <f>IF($H55=0,0,CHOOSE($H55,SUMPRODUCT($O56:$O$67*AM56:AM$67*($E56:$E$67=$D55)),IF(ISNUMBER(Data_2014_N!AG55),100*ABS($G55-(Data_2014_N!AG55-$K55)/$M55),0),IF(ISNUMBER(Data_2014_N!AG55),100*ABS($G55-(Data_2014_N!AG55-$K55)/$M55),0)))</f>
        <v>70.4323161878948</v>
      </c>
      <c r="AN55" s="161">
        <f>IF($H55=0,0,CHOOSE($H55,SUMPRODUCT($O56:$O$67*AN56:AN$67*($E56:$E$67=$D55)),IF(ISNUMBER(Data_2014_N!AH55),100*ABS($G55-(Data_2014_N!AH55-$K55)/$M55),0),IF(ISNUMBER(Data_2014_N!AH55),100*ABS($G55-(Data_2014_N!AH55-$K55)/$M55),0)))</f>
        <v>58.8393719267911</v>
      </c>
      <c r="AO55" s="161">
        <f>IF($H55=0,0,CHOOSE($H55,SUMPRODUCT($O56:$O$67*AO56:AO$67*($E56:$E$67=$D55)),IF(ISNUMBER(Data_2014_N!AI55),100*ABS($G55-(Data_2014_N!AI55-$K55)/$M55),0),IF(ISNUMBER(Data_2014_N!AI55),100*ABS($G55-(Data_2014_N!AI55-$K55)/$M55),0)))</f>
        <v>60.0573169903233</v>
      </c>
      <c r="AP55" s="161">
        <f>IF($H55=0,0,CHOOSE($H55,SUMPRODUCT($O56:$O$67*AP56:AP$67*($E56:$E$67=$D55)),IF(ISNUMBER(Data_2014_N!AJ55),100*ABS($G55-(Data_2014_N!AJ55-$K55)/$M55),0),IF(ISNUMBER(Data_2014_N!AJ55),100*ABS($G55-(Data_2014_N!AJ55-$K55)/$M55),0)))</f>
        <v>70.1254400006743</v>
      </c>
      <c r="AQ55" s="161">
        <f>IF($H55=0,0,CHOOSE($H55,SUMPRODUCT($O56:$O$67*AQ56:AQ$67*($E56:$E$67=$D55)),IF(ISNUMBER(Data_2014_N!AK55),100*ABS($G55-(Data_2014_N!AK55-$K55)/$M55),0),IF(ISNUMBER(Data_2014_N!AK55),100*ABS($G55-(Data_2014_N!AK55-$K55)/$M55),0)))</f>
        <v>89.1881499356499</v>
      </c>
      <c r="AR55" s="161">
        <f>IF($H55=0,0,CHOOSE($H55,SUMPRODUCT($O56:$O$67*AR56:AR$67*($E56:$E$67=$D55)),IF(ISNUMBER(Data_2014_N!AL55),100*ABS($G55-(Data_2014_N!AL55-$K55)/$M55),0),IF(ISNUMBER(Data_2014_N!AL55),100*ABS($G55-(Data_2014_N!AL55-$K55)/$M55),0)))</f>
        <v>81.0788692519369</v>
      </c>
      <c r="AS55" s="161">
        <f>IF($H55=0,0,CHOOSE($H55,SUMPRODUCT($O56:$O$67*AS56:AS$67*($E56:$E$67=$D55)),IF(ISNUMBER(Data_2014_N!AM55),100*ABS($G55-(Data_2014_N!AM55-$K55)/$M55),0),IF(ISNUMBER(Data_2014_N!AM55),100*ABS($G55-(Data_2014_N!AM55-$K55)/$M55),0)))</f>
        <v>59.6431279081279</v>
      </c>
      <c r="AT55" s="161">
        <f>IF($H55=0,0,CHOOSE($H55,SUMPRODUCT($O56:$O$67*AT56:AT$67*($E56:$E$67=$D55)),IF(ISNUMBER(Data_2014_N!AN55),100*ABS($G55-(Data_2014_N!AN55-$K55)/$M55),0),IF(ISNUMBER(Data_2014_N!AN55),100*ABS($G55-(Data_2014_N!AN55-$K55)/$M55),0)))</f>
        <v>74.4013446052965</v>
      </c>
      <c r="AU55" s="161">
        <f>IF($H55=0,0,CHOOSE($H55,SUMPRODUCT($O56:$O$67*AU56:AU$67*($E56:$E$67=$D55)),IF(ISNUMBER(Data_2014_N!AO55),100*ABS($G55-(Data_2014_N!AO55-$K55)/$M55),0),IF(ISNUMBER(Data_2014_N!AO55),100*ABS($G55-(Data_2014_N!AO55-$K55)/$M55),0)))</f>
        <v>66.7048836230758</v>
      </c>
      <c r="AV55" s="161">
        <f>IF($H55=0,0,CHOOSE($H55,SUMPRODUCT($O56:$O$67*AV56:AV$67*($E56:$E$67=$D55)),IF(ISNUMBER(Data_2014_N!AP55),100*ABS($G55-(Data_2014_N!AP55-$K55)/$M55),0),IF(ISNUMBER(Data_2014_N!AP55),100*ABS($G55-(Data_2014_N!AP55-$K55)/$M55),0)))</f>
        <v>77.0261882148135</v>
      </c>
      <c r="AW55" s="161">
        <f>IF($H55=0,0,CHOOSE($H55,SUMPRODUCT($O56:$O$67*AW56:AW$67*($E56:$E$67=$D55)),IF(ISNUMBER(Data_2014_N!AQ55),100*ABS($G55-(Data_2014_N!AQ55-$K55)/$M55),0),IF(ISNUMBER(Data_2014_N!AQ55),100*ABS($G55-(Data_2014_N!AQ55-$K55)/$M55),0)))</f>
        <v>69.6070252619053</v>
      </c>
      <c r="AX55" s="161">
        <f>IF($H55=0,0,CHOOSE($H55,SUMPRODUCT($O56:$O$67*AX56:AX$67*($E56:$E$67=$D55)),IF(ISNUMBER(Data_2014_N!AR55),100*ABS($G55-(Data_2014_N!AR55-$K55)/$M55),0),IF(ISNUMBER(Data_2014_N!AR55),100*ABS($G55-(Data_2014_N!AR55-$K55)/$M55),0)))</f>
        <v>61.4504488138689</v>
      </c>
      <c r="AY55" s="161">
        <f>IF($H55=0,0,CHOOSE($H55,SUMPRODUCT($O56:$O$67*AY56:AY$67*($E56:$E$67=$D55)),IF(ISNUMBER(Data_2014_N!AS55),100*ABS($G55-(Data_2014_N!AS55-$K55)/$M55),0),IF(ISNUMBER(Data_2014_N!AS55),100*ABS($G55-(Data_2014_N!AS55-$K55)/$M55),0)))</f>
        <v>82.8563312079001</v>
      </c>
      <c r="AZ55" s="161">
        <f>IF($H55=0,0,CHOOSE($H55,SUMPRODUCT($O56:$O$67*AZ56:AZ$67*($E56:$E$67=$D55)),IF(ISNUMBER(Data_2014_N!AT55),100*ABS($G55-(Data_2014_N!AT55-$K55)/$M55),0),IF(ISNUMBER(Data_2014_N!AT55),100*ABS($G55-(Data_2014_N!AT55-$K55)/$M55),0)))</f>
        <v>76.996487626125</v>
      </c>
      <c r="BA55" s="161">
        <f>IF($H55=0,0,CHOOSE($H55,SUMPRODUCT($O56:$O$67*BA56:BA$67*($E56:$E$67=$D55)),IF(ISNUMBER(Data_2014_N!AU55),100*ABS($G55-(Data_2014_N!AU55-$K55)/$M55),0),IF(ISNUMBER(Data_2014_N!AU55),100*ABS($G55-(Data_2014_N!AU55-$K55)/$M55),0)))</f>
        <v>95.0015384615384</v>
      </c>
      <c r="BB55" s="161">
        <f>IF($H55=0,0,CHOOSE($H55,SUMPRODUCT($O56:$O$67*BB56:BB$67*($E56:$E$67=$D55)),IF(ISNUMBER(Data_2014_N!AV55),100*ABS($G55-(Data_2014_N!AV55-$K55)/$M55),0),IF(ISNUMBER(Data_2014_N!AV55),100*ABS($G55-(Data_2014_N!AV55-$K55)/$M55),0)))</f>
        <v>94.9386026654022</v>
      </c>
      <c r="BC55" s="161">
        <f>IF($H55=0,0,CHOOSE($H55,SUMPRODUCT($O56:$O$67*BC56:BC$67*($E56:$E$67=$D55)),IF(ISNUMBER(Data_2014_N!AW55),100*ABS($G55-(Data_2014_N!AW55-$K55)/$M55),0),IF(ISNUMBER(Data_2014_N!AW55),100*ABS($G55-(Data_2014_N!AW55-$K55)/$M55),0)))</f>
        <v>82.1616112266112</v>
      </c>
      <c r="BD55" s="161">
        <f>IF($H55=0,0,CHOOSE($H55,SUMPRODUCT($O56:$O$67*BD56:BD$67*($E56:$E$67=$D55)),IF(ISNUMBER(Data_2014_N!AX55),100*ABS($G55-(Data_2014_N!AX55-$K55)/$M55),0),IF(ISNUMBER(Data_2014_N!AX55),100*ABS($G55-(Data_2014_N!AX55-$K55)/$M55),0)))</f>
        <v>85.6750929026341</v>
      </c>
      <c r="BE55" s="161">
        <f>IF($H55=0,0,CHOOSE($H55,SUMPRODUCT($O56:$O$67*BE56:BE$67*($E56:$E$67=$D55)),IF(ISNUMBER(Data_2014_N!AY55),100*ABS($G55-(Data_2014_N!AY55-$K55)/$M55),0),IF(ISNUMBER(Data_2014_N!AY55),100*ABS($G55-(Data_2014_N!AY55-$K55)/$M55),0)))</f>
        <v>67.4892820131944</v>
      </c>
      <c r="BF55" s="161">
        <f>IF($H55=0,0,CHOOSE($H55,SUMPRODUCT($O56:$O$67*BF56:BF$67*($E56:$E$67=$D55)),IF(ISNUMBER(Data_2014_N!AZ55),100*ABS($G55-(Data_2014_N!AZ55-$K55)/$M55),0),IF(ISNUMBER(Data_2014_N!AZ55),100*ABS($G55-(Data_2014_N!AZ55-$K55)/$M55),0)))</f>
        <v>88.0123166023166</v>
      </c>
      <c r="BG55" s="161">
        <f>IF($H55=0,0,CHOOSE($H55,SUMPRODUCT($O56:$O$67*BG56:BG$67*($E56:$E$67=$D55)),IF(ISNUMBER(Data_2014_N!BA55),100*ABS($G55-(Data_2014_N!BA55-$K55)/$M55),0),IF(ISNUMBER(Data_2014_N!BA55),100*ABS($G55-(Data_2014_N!BA55-$K55)/$M55),0)))</f>
        <v>88.7351302772233</v>
      </c>
      <c r="BH55" s="161">
        <f>IF($H55=0,0,CHOOSE($H55,SUMPRODUCT($O56:$O$67*BH56:BH$67*($E56:$E$67=$D55)),IF(ISNUMBER(Data_2014_N!BB55),100*ABS($G55-(Data_2014_N!BB55-$K55)/$M55),0),IF(ISNUMBER(Data_2014_N!BB55),100*ABS($G55-(Data_2014_N!BB55-$K55)/$M55),0)))</f>
        <v>72.0892691144998</v>
      </c>
      <c r="BI55" s="161">
        <f>IF($H55=0,0,CHOOSE($H55,SUMPRODUCT($O56:$O$67*BI56:BI$67*($E56:$E$67=$D55)),IF(ISNUMBER(Data_2014_N!BC55),100*ABS($G55-(Data_2014_N!BC55-$K55)/$M55),0),IF(ISNUMBER(Data_2014_N!BC55),100*ABS($G55-(Data_2014_N!BC55-$K55)/$M55),0)))</f>
        <v>92.0806854202784</v>
      </c>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row>
    <row r="56" s="69" customFormat="1" ht="24.95" customHeight="1" spans="1:115">
      <c r="A56" s="92"/>
      <c r="B56" s="92">
        <f>tblIndicators!A52</f>
        <v>51</v>
      </c>
      <c r="C56" s="92">
        <f>tblIndicators!B52</f>
        <v>0</v>
      </c>
      <c r="D56" s="92" t="str">
        <f>tblIndicators!D52</f>
        <v>PESE4.2.1</v>
      </c>
      <c r="E56" s="92" t="str">
        <f>tblIndicators!E52</f>
        <v>PESE4.2</v>
      </c>
      <c r="F56" s="92">
        <f>tblIndicators!F52</f>
        <v>3</v>
      </c>
      <c r="G56" s="92">
        <f>tblIndicators!Y52</f>
        <v>1</v>
      </c>
      <c r="H56" s="92">
        <f>tblIndicators!Z52</f>
        <v>3</v>
      </c>
      <c r="I56" s="104">
        <f>tblIndicators!AA52</f>
        <v>1</v>
      </c>
      <c r="J56" s="92">
        <f>tblIndicators!AB52</f>
        <v>5</v>
      </c>
      <c r="K56" s="92">
        <f>CHOOSE(H56,"-",MIN(Data_2014_N!J56:BC56),I56)</f>
        <v>1</v>
      </c>
      <c r="L56" s="165">
        <f>CHOOSE(H56,"-",MAX(Data_2014_N!J56:BC56),J56)</f>
        <v>5</v>
      </c>
      <c r="M56" s="92">
        <f t="shared" si="1"/>
        <v>4</v>
      </c>
      <c r="N56" s="168" t="str">
        <f>REPT(" ",F56)&amp;tblIndicators!AE52</f>
        <v>   4.2.1) Prevalence of petty crime</v>
      </c>
      <c r="O56" s="169">
        <f>tblIndicators!AD52</f>
        <v>0.0833333333333333</v>
      </c>
      <c r="P56" s="161">
        <f>IF($H56=0,0,CHOOSE($H56,SUMPRODUCT($O57:$O$67*P57:P$67*($E57:$E$67=$D56)),IF(ISNUMBER(Data_2014_N!J56),100*ABS($G56-(Data_2014_N!J56-$K56)/$M56),0),IF(ISNUMBER(Data_2014_N!J56),100*ABS($G56-(Data_2014_N!J56-$K56)/$M56),0)))</f>
        <v>75</v>
      </c>
      <c r="Q56" s="161">
        <f>IF($H56=0,0,CHOOSE($H56,SUMPRODUCT($O57:$O$67*Q57:Q$67*($E57:$E$67=$D56)),IF(ISNUMBER(Data_2014_N!K56),100*ABS($G56-(Data_2014_N!K56-$K56)/$M56),0),IF(ISNUMBER(Data_2014_N!K56),100*ABS($G56-(Data_2014_N!K56-$K56)/$M56),0)))</f>
        <v>50</v>
      </c>
      <c r="R56" s="161">
        <f>IF($H56=0,0,CHOOSE($H56,SUMPRODUCT($O57:$O$67*R57:R$67*($E57:$E$67=$D56)),IF(ISNUMBER(Data_2014_N!L56),100*ABS($G56-(Data_2014_N!L56-$K56)/$M56),0),IF(ISNUMBER(Data_2014_N!L56),100*ABS($G56-(Data_2014_N!L56-$K56)/$M56),0)))</f>
        <v>50</v>
      </c>
      <c r="S56" s="161">
        <f>IF($H56=0,0,CHOOSE($H56,SUMPRODUCT($O57:$O$67*S57:S$67*($E57:$E$67=$D56)),IF(ISNUMBER(Data_2014_N!M56),100*ABS($G56-(Data_2014_N!M56-$K56)/$M56),0),IF(ISNUMBER(Data_2014_N!M56),100*ABS($G56-(Data_2014_N!M56-$K56)/$M56),0)))</f>
        <v>75</v>
      </c>
      <c r="T56" s="161">
        <f>IF($H56=0,0,CHOOSE($H56,SUMPRODUCT($O57:$O$67*T57:T$67*($E57:$E$67=$D56)),IF(ISNUMBER(Data_2014_N!N56),100*ABS($G56-(Data_2014_N!N56-$K56)/$M56),0),IF(ISNUMBER(Data_2014_N!N56),100*ABS($G56-(Data_2014_N!N56-$K56)/$M56),0)))</f>
        <v>50</v>
      </c>
      <c r="U56" s="161">
        <f>IF($H56=0,0,CHOOSE($H56,SUMPRODUCT($O57:$O$67*U57:U$67*($E57:$E$67=$D56)),IF(ISNUMBER(Data_2014_N!O56),100*ABS($G56-(Data_2014_N!O56-$K56)/$M56),0),IF(ISNUMBER(Data_2014_N!O56),100*ABS($G56-(Data_2014_N!O56-$K56)/$M56),0)))</f>
        <v>75</v>
      </c>
      <c r="V56" s="161">
        <f>IF($H56=0,0,CHOOSE($H56,SUMPRODUCT($O57:$O$67*V57:V$67*($E57:$E$67=$D56)),IF(ISNUMBER(Data_2014_N!P56),100*ABS($G56-(Data_2014_N!P56-$K56)/$M56),0),IF(ISNUMBER(Data_2014_N!P56),100*ABS($G56-(Data_2014_N!P56-$K56)/$M56),0)))</f>
        <v>50</v>
      </c>
      <c r="W56" s="161">
        <f>IF($H56=0,0,CHOOSE($H56,SUMPRODUCT($O57:$O$67*W57:W$67*($E57:$E$67=$D56)),IF(ISNUMBER(Data_2014_N!Q56),100*ABS($G56-(Data_2014_N!Q56-$K56)/$M56),0),IF(ISNUMBER(Data_2014_N!Q56),100*ABS($G56-(Data_2014_N!Q56-$K56)/$M56),0)))</f>
        <v>75</v>
      </c>
      <c r="X56" s="161">
        <f>IF($H56=0,0,CHOOSE($H56,SUMPRODUCT($O57:$O$67*X57:X$67*($E57:$E$67=$D56)),IF(ISNUMBER(Data_2014_N!R56),100*ABS($G56-(Data_2014_N!R56-$K56)/$M56),0),IF(ISNUMBER(Data_2014_N!R56),100*ABS($G56-(Data_2014_N!R56-$K56)/$M56),0)))</f>
        <v>50</v>
      </c>
      <c r="Y56" s="161">
        <f>IF($H56=0,0,CHOOSE($H56,SUMPRODUCT($O57:$O$67*Y57:Y$67*($E57:$E$67=$D56)),IF(ISNUMBER(Data_2014_N!S56),100*ABS($G56-(Data_2014_N!S56-$K56)/$M56),0),IF(ISNUMBER(Data_2014_N!S56),100*ABS($G56-(Data_2014_N!S56-$K56)/$M56),0)))</f>
        <v>75</v>
      </c>
      <c r="Z56" s="161">
        <f>IF($H56=0,0,CHOOSE($H56,SUMPRODUCT($O57:$O$67*Z57:Z$67*($E57:$E$67=$D56)),IF(ISNUMBER(Data_2014_N!T56),100*ABS($G56-(Data_2014_N!T56-$K56)/$M56),0),IF(ISNUMBER(Data_2014_N!T56),100*ABS($G56-(Data_2014_N!T56-$K56)/$M56),0)))</f>
        <v>75</v>
      </c>
      <c r="AA56" s="161">
        <f>IF($H56=0,0,CHOOSE($H56,SUMPRODUCT($O57:$O$67*AA57:AA$67*($E57:$E$67=$D56)),IF(ISNUMBER(Data_2014_N!U56),100*ABS($G56-(Data_2014_N!U56-$K56)/$M56),0),IF(ISNUMBER(Data_2014_N!U56),100*ABS($G56-(Data_2014_N!U56-$K56)/$M56),0)))</f>
        <v>25</v>
      </c>
      <c r="AB56" s="161">
        <f>IF($H56=0,0,CHOOSE($H56,SUMPRODUCT($O57:$O$67*AB57:AB$67*($E57:$E$67=$D56)),IF(ISNUMBER(Data_2014_N!V56),100*ABS($G56-(Data_2014_N!V56-$K56)/$M56),0),IF(ISNUMBER(Data_2014_N!V56),100*ABS($G56-(Data_2014_N!V56-$K56)/$M56),0)))</f>
        <v>75</v>
      </c>
      <c r="AC56" s="161">
        <f>IF($H56=0,0,CHOOSE($H56,SUMPRODUCT($O57:$O$67*AC57:AC$67*($E57:$E$67=$D56)),IF(ISNUMBER(Data_2014_N!W56),100*ABS($G56-(Data_2014_N!W56-$K56)/$M56),0),IF(ISNUMBER(Data_2014_N!W56),100*ABS($G56-(Data_2014_N!W56-$K56)/$M56),0)))</f>
        <v>50</v>
      </c>
      <c r="AD56" s="161">
        <f>IF($H56=0,0,CHOOSE($H56,SUMPRODUCT($O57:$O$67*AD57:AD$67*($E57:$E$67=$D56)),IF(ISNUMBER(Data_2014_N!X56),100*ABS($G56-(Data_2014_N!X56-$K56)/$M56),0),IF(ISNUMBER(Data_2014_N!X56),100*ABS($G56-(Data_2014_N!X56-$K56)/$M56),0)))</f>
        <v>25</v>
      </c>
      <c r="AE56" s="161">
        <f>IF($H56=0,0,CHOOSE($H56,SUMPRODUCT($O57:$O$67*AE57:AE$67*($E57:$E$67=$D56)),IF(ISNUMBER(Data_2014_N!Y56),100*ABS($G56-(Data_2014_N!Y56-$K56)/$M56),0),IF(ISNUMBER(Data_2014_N!Y56),100*ABS($G56-(Data_2014_N!Y56-$K56)/$M56),0)))</f>
        <v>0</v>
      </c>
      <c r="AF56" s="161">
        <f>IF($H56=0,0,CHOOSE($H56,SUMPRODUCT($O57:$O$67*AF57:AF$67*($E57:$E$67=$D56)),IF(ISNUMBER(Data_2014_N!Z56),100*ABS($G56-(Data_2014_N!Z56-$K56)/$M56),0),IF(ISNUMBER(Data_2014_N!Z56),100*ABS($G56-(Data_2014_N!Z56-$K56)/$M56),0)))</f>
        <v>75</v>
      </c>
      <c r="AG56" s="161">
        <f>IF($H56=0,0,CHOOSE($H56,SUMPRODUCT($O57:$O$67*AG57:AG$67*($E57:$E$67=$D56)),IF(ISNUMBER(Data_2014_N!AA56),100*ABS($G56-(Data_2014_N!AA56-$K56)/$M56),0),IF(ISNUMBER(Data_2014_N!AA56),100*ABS($G56-(Data_2014_N!AA56-$K56)/$M56),0)))</f>
        <v>50</v>
      </c>
      <c r="AH56" s="161">
        <f>IF($H56=0,0,CHOOSE($H56,SUMPRODUCT($O57:$O$67*AH57:AH$67*($E57:$E$67=$D56)),IF(ISNUMBER(Data_2014_N!AB56),100*ABS($G56-(Data_2014_N!AB56-$K56)/$M56),0),IF(ISNUMBER(Data_2014_N!AB56),100*ABS($G56-(Data_2014_N!AB56-$K56)/$M56),0)))</f>
        <v>50</v>
      </c>
      <c r="AI56" s="161">
        <f>IF($H56=0,0,CHOOSE($H56,SUMPRODUCT($O57:$O$67*AI57:AI$67*($E57:$E$67=$D56)),IF(ISNUMBER(Data_2014_N!AC56),100*ABS($G56-(Data_2014_N!AC56-$K56)/$M56),0),IF(ISNUMBER(Data_2014_N!AC56),100*ABS($G56-(Data_2014_N!AC56-$K56)/$M56),0)))</f>
        <v>75</v>
      </c>
      <c r="AJ56" s="161">
        <f>IF($H56=0,0,CHOOSE($H56,SUMPRODUCT($O57:$O$67*AJ57:AJ$67*($E57:$E$67=$D56)),IF(ISNUMBER(Data_2014_N!AD56),100*ABS($G56-(Data_2014_N!AD56-$K56)/$M56),0),IF(ISNUMBER(Data_2014_N!AD56),100*ABS($G56-(Data_2014_N!AD56-$K56)/$M56),0)))</f>
        <v>75</v>
      </c>
      <c r="AK56" s="161">
        <f>IF($H56=0,0,CHOOSE($H56,SUMPRODUCT($O57:$O$67*AK57:AK$67*($E57:$E$67=$D56)),IF(ISNUMBER(Data_2014_N!AE56),100*ABS($G56-(Data_2014_N!AE56-$K56)/$M56),0),IF(ISNUMBER(Data_2014_N!AE56),100*ABS($G56-(Data_2014_N!AE56-$K56)/$M56),0)))</f>
        <v>75</v>
      </c>
      <c r="AL56" s="161">
        <f>IF($H56=0,0,CHOOSE($H56,SUMPRODUCT($O57:$O$67*AL57:AL$67*($E57:$E$67=$D56)),IF(ISNUMBER(Data_2014_N!AF56),100*ABS($G56-(Data_2014_N!AF56-$K56)/$M56),0),IF(ISNUMBER(Data_2014_N!AF56),100*ABS($G56-(Data_2014_N!AF56-$K56)/$M56),0)))</f>
        <v>0</v>
      </c>
      <c r="AM56" s="161">
        <f>IF($H56=0,0,CHOOSE($H56,SUMPRODUCT($O57:$O$67*AM57:AM$67*($E57:$E$67=$D56)),IF(ISNUMBER(Data_2014_N!AG56),100*ABS($G56-(Data_2014_N!AG56-$K56)/$M56),0),IF(ISNUMBER(Data_2014_N!AG56),100*ABS($G56-(Data_2014_N!AG56-$K56)/$M56),0)))</f>
        <v>75</v>
      </c>
      <c r="AN56" s="161">
        <f>IF($H56=0,0,CHOOSE($H56,SUMPRODUCT($O57:$O$67*AN57:AN$67*($E57:$E$67=$D56)),IF(ISNUMBER(Data_2014_N!AH56),100*ABS($G56-(Data_2014_N!AH56-$K56)/$M56),0),IF(ISNUMBER(Data_2014_N!AH56),100*ABS($G56-(Data_2014_N!AH56-$K56)/$M56),0)))</f>
        <v>50</v>
      </c>
      <c r="AO56" s="161">
        <f>IF($H56=0,0,CHOOSE($H56,SUMPRODUCT($O57:$O$67*AO57:AO$67*($E57:$E$67=$D56)),IF(ISNUMBER(Data_2014_N!AI56),100*ABS($G56-(Data_2014_N!AI56-$K56)/$M56),0),IF(ISNUMBER(Data_2014_N!AI56),100*ABS($G56-(Data_2014_N!AI56-$K56)/$M56),0)))</f>
        <v>25</v>
      </c>
      <c r="AP56" s="161">
        <f>IF($H56=0,0,CHOOSE($H56,SUMPRODUCT($O57:$O$67*AP57:AP$67*($E57:$E$67=$D56)),IF(ISNUMBER(Data_2014_N!AJ56),100*ABS($G56-(Data_2014_N!AJ56-$K56)/$M56),0),IF(ISNUMBER(Data_2014_N!AJ56),100*ABS($G56-(Data_2014_N!AJ56-$K56)/$M56),0)))</f>
        <v>50</v>
      </c>
      <c r="AQ56" s="161">
        <f>IF($H56=0,0,CHOOSE($H56,SUMPRODUCT($O57:$O$67*AQ57:AQ$67*($E57:$E$67=$D56)),IF(ISNUMBER(Data_2014_N!AK56),100*ABS($G56-(Data_2014_N!AK56-$K56)/$M56),0),IF(ISNUMBER(Data_2014_N!AK56),100*ABS($G56-(Data_2014_N!AK56-$K56)/$M56),0)))</f>
        <v>75</v>
      </c>
      <c r="AR56" s="161">
        <f>IF($H56=0,0,CHOOSE($H56,SUMPRODUCT($O57:$O$67*AR57:AR$67*($E57:$E$67=$D56)),IF(ISNUMBER(Data_2014_N!AL56),100*ABS($G56-(Data_2014_N!AL56-$K56)/$M56),0),IF(ISNUMBER(Data_2014_N!AL56),100*ABS($G56-(Data_2014_N!AL56-$K56)/$M56),0)))</f>
        <v>75</v>
      </c>
      <c r="AS56" s="161">
        <f>IF($H56=0,0,CHOOSE($H56,SUMPRODUCT($O57:$O$67*AS57:AS$67*($E57:$E$67=$D56)),IF(ISNUMBER(Data_2014_N!AM56),100*ABS($G56-(Data_2014_N!AM56-$K56)/$M56),0),IF(ISNUMBER(Data_2014_N!AM56),100*ABS($G56-(Data_2014_N!AM56-$K56)/$M56),0)))</f>
        <v>25</v>
      </c>
      <c r="AT56" s="161">
        <f>IF($H56=0,0,CHOOSE($H56,SUMPRODUCT($O57:$O$67*AT57:AT$67*($E57:$E$67=$D56)),IF(ISNUMBER(Data_2014_N!AN56),100*ABS($G56-(Data_2014_N!AN56-$K56)/$M56),0),IF(ISNUMBER(Data_2014_N!AN56),100*ABS($G56-(Data_2014_N!AN56-$K56)/$M56),0)))</f>
        <v>75</v>
      </c>
      <c r="AU56" s="161">
        <f>IF($H56=0,0,CHOOSE($H56,SUMPRODUCT($O57:$O$67*AU57:AU$67*($E57:$E$67=$D56)),IF(ISNUMBER(Data_2014_N!AO56),100*ABS($G56-(Data_2014_N!AO56-$K56)/$M56),0),IF(ISNUMBER(Data_2014_N!AO56),100*ABS($G56-(Data_2014_N!AO56-$K56)/$M56),0)))</f>
        <v>50</v>
      </c>
      <c r="AV56" s="161">
        <f>IF($H56=0,0,CHOOSE($H56,SUMPRODUCT($O57:$O$67*AV57:AV$67*($E57:$E$67=$D56)),IF(ISNUMBER(Data_2014_N!AP56),100*ABS($G56-(Data_2014_N!AP56-$K56)/$M56),0),IF(ISNUMBER(Data_2014_N!AP56),100*ABS($G56-(Data_2014_N!AP56-$K56)/$M56),0)))</f>
        <v>75</v>
      </c>
      <c r="AW56" s="161">
        <f>IF($H56=0,0,CHOOSE($H56,SUMPRODUCT($O57:$O$67*AW57:AW$67*($E57:$E$67=$D56)),IF(ISNUMBER(Data_2014_N!AQ56),100*ABS($G56-(Data_2014_N!AQ56-$K56)/$M56),0),IF(ISNUMBER(Data_2014_N!AQ56),100*ABS($G56-(Data_2014_N!AQ56-$K56)/$M56),0)))</f>
        <v>50</v>
      </c>
      <c r="AX56" s="161">
        <f>IF($H56=0,0,CHOOSE($H56,SUMPRODUCT($O57:$O$67*AX57:AX$67*($E57:$E$67=$D56)),IF(ISNUMBER(Data_2014_N!AR56),100*ABS($G56-(Data_2014_N!AR56-$K56)/$M56),0),IF(ISNUMBER(Data_2014_N!AR56),100*ABS($G56-(Data_2014_N!AR56-$K56)/$M56),0)))</f>
        <v>25</v>
      </c>
      <c r="AY56" s="161">
        <f>IF($H56=0,0,CHOOSE($H56,SUMPRODUCT($O57:$O$67*AY57:AY$67*($E57:$E$67=$D56)),IF(ISNUMBER(Data_2014_N!AS56),100*ABS($G56-(Data_2014_N!AS56-$K56)/$M56),0),IF(ISNUMBER(Data_2014_N!AS56),100*ABS($G56-(Data_2014_N!AS56-$K56)/$M56),0)))</f>
        <v>75</v>
      </c>
      <c r="AZ56" s="161">
        <f>IF($H56=0,0,CHOOSE($H56,SUMPRODUCT($O57:$O$67*AZ57:AZ$67*($E57:$E$67=$D56)),IF(ISNUMBER(Data_2014_N!AT56),100*ABS($G56-(Data_2014_N!AT56-$K56)/$M56),0),IF(ISNUMBER(Data_2014_N!AT56),100*ABS($G56-(Data_2014_N!AT56-$K56)/$M56),0)))</f>
        <v>50</v>
      </c>
      <c r="BA56" s="161">
        <f>IF($H56=0,0,CHOOSE($H56,SUMPRODUCT($O57:$O$67*BA57:BA$67*($E57:$E$67=$D56)),IF(ISNUMBER(Data_2014_N!AU56),100*ABS($G56-(Data_2014_N!AU56-$K56)/$M56),0),IF(ISNUMBER(Data_2014_N!AU56),100*ABS($G56-(Data_2014_N!AU56-$K56)/$M56),0)))</f>
        <v>100</v>
      </c>
      <c r="BB56" s="161">
        <f>IF($H56=0,0,CHOOSE($H56,SUMPRODUCT($O57:$O$67*BB57:BB$67*($E57:$E$67=$D56)),IF(ISNUMBER(Data_2014_N!AV56),100*ABS($G56-(Data_2014_N!AV56-$K56)/$M56),0),IF(ISNUMBER(Data_2014_N!AV56),100*ABS($G56-(Data_2014_N!AV56-$K56)/$M56),0)))</f>
        <v>100</v>
      </c>
      <c r="BC56" s="161">
        <f>IF($H56=0,0,CHOOSE($H56,SUMPRODUCT($O57:$O$67*BC57:BC$67*($E57:$E$67=$D56)),IF(ISNUMBER(Data_2014_N!AW56),100*ABS($G56-(Data_2014_N!AW56-$K56)/$M56),0),IF(ISNUMBER(Data_2014_N!AW56),100*ABS($G56-(Data_2014_N!AW56-$K56)/$M56),0)))</f>
        <v>75</v>
      </c>
      <c r="BD56" s="161">
        <f>IF($H56=0,0,CHOOSE($H56,SUMPRODUCT($O57:$O$67*BD57:BD$67*($E57:$E$67=$D56)),IF(ISNUMBER(Data_2014_N!AX56),100*ABS($G56-(Data_2014_N!AX56-$K56)/$M56),0),IF(ISNUMBER(Data_2014_N!AX56),100*ABS($G56-(Data_2014_N!AX56-$K56)/$M56),0)))</f>
        <v>75</v>
      </c>
      <c r="BE56" s="161">
        <f>IF($H56=0,0,CHOOSE($H56,SUMPRODUCT($O57:$O$67*BE57:BE$67*($E57:$E$67=$D56)),IF(ISNUMBER(Data_2014_N!AY56),100*ABS($G56-(Data_2014_N!AY56-$K56)/$M56),0),IF(ISNUMBER(Data_2014_N!AY56),100*ABS($G56-(Data_2014_N!AY56-$K56)/$M56),0)))</f>
        <v>50</v>
      </c>
      <c r="BF56" s="161">
        <f>IF($H56=0,0,CHOOSE($H56,SUMPRODUCT($O57:$O$67*BF57:BF$67*($E57:$E$67=$D56)),IF(ISNUMBER(Data_2014_N!AZ56),100*ABS($G56-(Data_2014_N!AZ56-$K56)/$M56),0),IF(ISNUMBER(Data_2014_N!AZ56),100*ABS($G56-(Data_2014_N!AZ56-$K56)/$M56),0)))</f>
        <v>75</v>
      </c>
      <c r="BG56" s="161">
        <f>IF($H56=0,0,CHOOSE($H56,SUMPRODUCT($O57:$O$67*BG57:BG$67*($E57:$E$67=$D56)),IF(ISNUMBER(Data_2014_N!BA56),100*ABS($G56-(Data_2014_N!BA56-$K56)/$M56),0),IF(ISNUMBER(Data_2014_N!BA56),100*ABS($G56-(Data_2014_N!BA56-$K56)/$M56),0)))</f>
        <v>100</v>
      </c>
      <c r="BH56" s="161">
        <f>IF($H56=0,0,CHOOSE($H56,SUMPRODUCT($O57:$O$67*BH57:BH$67*($E57:$E$67=$D56)),IF(ISNUMBER(Data_2014_N!BB56),100*ABS($G56-(Data_2014_N!BB56-$K56)/$M56),0),IF(ISNUMBER(Data_2014_N!BB56),100*ABS($G56-(Data_2014_N!BB56-$K56)/$M56),0)))</f>
        <v>75</v>
      </c>
      <c r="BI56" s="161">
        <f>IF($H56=0,0,CHOOSE($H56,SUMPRODUCT($O57:$O$67*BI57:BI$67*($E57:$E$67=$D56)),IF(ISNUMBER(Data_2014_N!BC56),100*ABS($G56-(Data_2014_N!BC56-$K56)/$M56),0),IF(ISNUMBER(Data_2014_N!BC56),100*ABS($G56-(Data_2014_N!BC56-$K56)/$M56),0)))</f>
        <v>75</v>
      </c>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row>
    <row r="57" s="69" customFormat="1" ht="24.95" customHeight="1" spans="1:115">
      <c r="A57" s="92"/>
      <c r="B57" s="92">
        <f>tblIndicators!A53</f>
        <v>52</v>
      </c>
      <c r="C57" s="92">
        <f>tblIndicators!B53</f>
        <v>0</v>
      </c>
      <c r="D57" s="92" t="str">
        <f>tblIndicators!D53</f>
        <v>PESE4.2.2</v>
      </c>
      <c r="E57" s="92" t="str">
        <f>tblIndicators!E53</f>
        <v>PESE4.2</v>
      </c>
      <c r="F57" s="92">
        <f>tblIndicators!F53</f>
        <v>3</v>
      </c>
      <c r="G57" s="92">
        <f>tblIndicators!Y53</f>
        <v>1</v>
      </c>
      <c r="H57" s="92">
        <f>tblIndicators!Z53</f>
        <v>3</v>
      </c>
      <c r="I57" s="104">
        <f>tblIndicators!AA53</f>
        <v>1</v>
      </c>
      <c r="J57" s="92">
        <f>tblIndicators!AB53</f>
        <v>5</v>
      </c>
      <c r="K57" s="92">
        <f>CHOOSE(H57,"-",MIN(Data_2014_N!J57:BC57),I57)</f>
        <v>1</v>
      </c>
      <c r="L57" s="165">
        <f>CHOOSE(H57,"-",MAX(Data_2014_N!J57:BC57),J57)</f>
        <v>5</v>
      </c>
      <c r="M57" s="92">
        <f t="shared" si="1"/>
        <v>4</v>
      </c>
      <c r="N57" s="168" t="str">
        <f>REPT(" ",F57)&amp;tblIndicators!AE53</f>
        <v>   4.2.2) Prevalence of violent crime</v>
      </c>
      <c r="O57" s="169">
        <f>tblIndicators!AD53</f>
        <v>0.0833333333333333</v>
      </c>
      <c r="P57" s="161">
        <f>IF($H57=0,0,CHOOSE($H57,SUMPRODUCT($O58:$O$67*P58:P$67*($E58:$E$67=$D57)),IF(ISNUMBER(Data_2014_N!J57),100*ABS($G57-(Data_2014_N!J57-$K57)/$M57),0),IF(ISNUMBER(Data_2014_N!J57),100*ABS($G57-(Data_2014_N!J57-$K57)/$M57),0)))</f>
        <v>100</v>
      </c>
      <c r="Q57" s="161">
        <f>IF($H57=0,0,CHOOSE($H57,SUMPRODUCT($O58:$O$67*Q58:Q$67*($E58:$E$67=$D57)),IF(ISNUMBER(Data_2014_N!K57),100*ABS($G57-(Data_2014_N!K57-$K57)/$M57),0),IF(ISNUMBER(Data_2014_N!K57),100*ABS($G57-(Data_2014_N!K57-$K57)/$M57),0)))</f>
        <v>75</v>
      </c>
      <c r="R57" s="161">
        <f>IF($H57=0,0,CHOOSE($H57,SUMPRODUCT($O58:$O$67*R58:R$67*($E58:$E$67=$D57)),IF(ISNUMBER(Data_2014_N!L57),100*ABS($G57-(Data_2014_N!L57-$K57)/$M57),0),IF(ISNUMBER(Data_2014_N!L57),100*ABS($G57-(Data_2014_N!L57-$K57)/$M57),0)))</f>
        <v>75</v>
      </c>
      <c r="S57" s="161">
        <f>IF($H57=0,0,CHOOSE($H57,SUMPRODUCT($O58:$O$67*S58:S$67*($E58:$E$67=$D57)),IF(ISNUMBER(Data_2014_N!M57),100*ABS($G57-(Data_2014_N!M57-$K57)/$M57),0),IF(ISNUMBER(Data_2014_N!M57),100*ABS($G57-(Data_2014_N!M57-$K57)/$M57),0)))</f>
        <v>75</v>
      </c>
      <c r="T57" s="161">
        <f>IF($H57=0,0,CHOOSE($H57,SUMPRODUCT($O58:$O$67*T58:T$67*($E58:$E$67=$D57)),IF(ISNUMBER(Data_2014_N!N57),100*ABS($G57-(Data_2014_N!N57-$K57)/$M57),0),IF(ISNUMBER(Data_2014_N!N57),100*ABS($G57-(Data_2014_N!N57-$K57)/$M57),0)))</f>
        <v>75</v>
      </c>
      <c r="U57" s="161">
        <f>IF($H57=0,0,CHOOSE($H57,SUMPRODUCT($O58:$O$67*U58:U$67*($E58:$E$67=$D57)),IF(ISNUMBER(Data_2014_N!O57),100*ABS($G57-(Data_2014_N!O57-$K57)/$M57),0),IF(ISNUMBER(Data_2014_N!O57),100*ABS($G57-(Data_2014_N!O57-$K57)/$M57),0)))</f>
        <v>75</v>
      </c>
      <c r="V57" s="161">
        <f>IF($H57=0,0,CHOOSE($H57,SUMPRODUCT($O58:$O$67*V58:V$67*($E58:$E$67=$D57)),IF(ISNUMBER(Data_2014_N!P57),100*ABS($G57-(Data_2014_N!P57-$K57)/$M57),0),IF(ISNUMBER(Data_2014_N!P57),100*ABS($G57-(Data_2014_N!P57-$K57)/$M57),0)))</f>
        <v>50</v>
      </c>
      <c r="W57" s="161">
        <f>IF($H57=0,0,CHOOSE($H57,SUMPRODUCT($O58:$O$67*W58:W$67*($E58:$E$67=$D57)),IF(ISNUMBER(Data_2014_N!Q57),100*ABS($G57-(Data_2014_N!Q57-$K57)/$M57),0),IF(ISNUMBER(Data_2014_N!Q57),100*ABS($G57-(Data_2014_N!Q57-$K57)/$M57),0)))</f>
        <v>75</v>
      </c>
      <c r="X57" s="161">
        <f>IF($H57=0,0,CHOOSE($H57,SUMPRODUCT($O58:$O$67*X58:X$67*($E58:$E$67=$D57)),IF(ISNUMBER(Data_2014_N!R57),100*ABS($G57-(Data_2014_N!R57-$K57)/$M57),0),IF(ISNUMBER(Data_2014_N!R57),100*ABS($G57-(Data_2014_N!R57-$K57)/$M57),0)))</f>
        <v>50</v>
      </c>
      <c r="Y57" s="161">
        <f>IF($H57=0,0,CHOOSE($H57,SUMPRODUCT($O58:$O$67*Y58:Y$67*($E58:$E$67=$D57)),IF(ISNUMBER(Data_2014_N!S57),100*ABS($G57-(Data_2014_N!S57-$K57)/$M57),0),IF(ISNUMBER(Data_2014_N!S57),100*ABS($G57-(Data_2014_N!S57-$K57)/$M57),0)))</f>
        <v>100</v>
      </c>
      <c r="Z57" s="161">
        <f>IF($H57=0,0,CHOOSE($H57,SUMPRODUCT($O58:$O$67*Z58:Z$67*($E58:$E$67=$D57)),IF(ISNUMBER(Data_2014_N!T57),100*ABS($G57-(Data_2014_N!T57-$K57)/$M57),0),IF(ISNUMBER(Data_2014_N!T57),100*ABS($G57-(Data_2014_N!T57-$K57)/$M57),0)))</f>
        <v>75</v>
      </c>
      <c r="AA57" s="161">
        <f>IF($H57=0,0,CHOOSE($H57,SUMPRODUCT($O58:$O$67*AA58:AA$67*($E58:$E$67=$D57)),IF(ISNUMBER(Data_2014_N!U57),100*ABS($G57-(Data_2014_N!U57-$K57)/$M57),0),IF(ISNUMBER(Data_2014_N!U57),100*ABS($G57-(Data_2014_N!U57-$K57)/$M57),0)))</f>
        <v>50</v>
      </c>
      <c r="AB57" s="161">
        <f>IF($H57=0,0,CHOOSE($H57,SUMPRODUCT($O58:$O$67*AB58:AB$67*($E58:$E$67=$D57)),IF(ISNUMBER(Data_2014_N!V57),100*ABS($G57-(Data_2014_N!V57-$K57)/$M57),0),IF(ISNUMBER(Data_2014_N!V57),100*ABS($G57-(Data_2014_N!V57-$K57)/$M57),0)))</f>
        <v>100</v>
      </c>
      <c r="AC57" s="161">
        <f>IF($H57=0,0,CHOOSE($H57,SUMPRODUCT($O58:$O$67*AC58:AC$67*($E58:$E$67=$D57)),IF(ISNUMBER(Data_2014_N!W57),100*ABS($G57-(Data_2014_N!W57-$K57)/$M57),0),IF(ISNUMBER(Data_2014_N!W57),100*ABS($G57-(Data_2014_N!W57-$K57)/$M57),0)))</f>
        <v>50</v>
      </c>
      <c r="AD57" s="161">
        <f>IF($H57=0,0,CHOOSE($H57,SUMPRODUCT($O58:$O$67*AD58:AD$67*($E58:$E$67=$D57)),IF(ISNUMBER(Data_2014_N!X57),100*ABS($G57-(Data_2014_N!X57-$K57)/$M57),0),IF(ISNUMBER(Data_2014_N!X57),100*ABS($G57-(Data_2014_N!X57-$K57)/$M57),0)))</f>
        <v>75</v>
      </c>
      <c r="AE57" s="161">
        <f>IF($H57=0,0,CHOOSE($H57,SUMPRODUCT($O58:$O$67*AE58:AE$67*($E58:$E$67=$D57)),IF(ISNUMBER(Data_2014_N!Y57),100*ABS($G57-(Data_2014_N!Y57-$K57)/$M57),0),IF(ISNUMBER(Data_2014_N!Y57),100*ABS($G57-(Data_2014_N!Y57-$K57)/$M57),0)))</f>
        <v>0</v>
      </c>
      <c r="AF57" s="161">
        <f>IF($H57=0,0,CHOOSE($H57,SUMPRODUCT($O58:$O$67*AF58:AF$67*($E58:$E$67=$D57)),IF(ISNUMBER(Data_2014_N!Z57),100*ABS($G57-(Data_2014_N!Z57-$K57)/$M57),0),IF(ISNUMBER(Data_2014_N!Z57),100*ABS($G57-(Data_2014_N!Z57-$K57)/$M57),0)))</f>
        <v>100</v>
      </c>
      <c r="AG57" s="161">
        <f>IF($H57=0,0,CHOOSE($H57,SUMPRODUCT($O58:$O$67*AG58:AG$67*($E58:$E$67=$D57)),IF(ISNUMBER(Data_2014_N!AA57),100*ABS($G57-(Data_2014_N!AA57-$K57)/$M57),0),IF(ISNUMBER(Data_2014_N!AA57),100*ABS($G57-(Data_2014_N!AA57-$K57)/$M57),0)))</f>
        <v>50</v>
      </c>
      <c r="AH57" s="161">
        <f>IF($H57=0,0,CHOOSE($H57,SUMPRODUCT($O58:$O$67*AH58:AH$67*($E58:$E$67=$D57)),IF(ISNUMBER(Data_2014_N!AB57),100*ABS($G57-(Data_2014_N!AB57-$K57)/$M57),0),IF(ISNUMBER(Data_2014_N!AB57),100*ABS($G57-(Data_2014_N!AB57-$K57)/$M57),0)))</f>
        <v>75</v>
      </c>
      <c r="AI57" s="161">
        <f>IF($H57=0,0,CHOOSE($H57,SUMPRODUCT($O58:$O$67*AI58:AI$67*($E58:$E$67=$D57)),IF(ISNUMBER(Data_2014_N!AC57),100*ABS($G57-(Data_2014_N!AC57-$K57)/$M57),0),IF(ISNUMBER(Data_2014_N!AC57),100*ABS($G57-(Data_2014_N!AC57-$K57)/$M57),0)))</f>
        <v>75</v>
      </c>
      <c r="AJ57" s="161">
        <f>IF($H57=0,0,CHOOSE($H57,SUMPRODUCT($O58:$O$67*AJ58:AJ$67*($E58:$E$67=$D57)),IF(ISNUMBER(Data_2014_N!AD57),100*ABS($G57-(Data_2014_N!AD57-$K57)/$M57),0),IF(ISNUMBER(Data_2014_N!AD57),100*ABS($G57-(Data_2014_N!AD57-$K57)/$M57),0)))</f>
        <v>75</v>
      </c>
      <c r="AK57" s="161">
        <f>IF($H57=0,0,CHOOSE($H57,SUMPRODUCT($O58:$O$67*AK58:AK$67*($E58:$E$67=$D57)),IF(ISNUMBER(Data_2014_N!AE57),100*ABS($G57-(Data_2014_N!AE57-$K57)/$M57),0),IF(ISNUMBER(Data_2014_N!AE57),100*ABS($G57-(Data_2014_N!AE57-$K57)/$M57),0)))</f>
        <v>100</v>
      </c>
      <c r="AL57" s="161">
        <f>IF($H57=0,0,CHOOSE($H57,SUMPRODUCT($O58:$O$67*AL58:AL$67*($E58:$E$67=$D57)),IF(ISNUMBER(Data_2014_N!AF57),100*ABS($G57-(Data_2014_N!AF57-$K57)/$M57),0),IF(ISNUMBER(Data_2014_N!AF57),100*ABS($G57-(Data_2014_N!AF57-$K57)/$M57),0)))</f>
        <v>0</v>
      </c>
      <c r="AM57" s="161">
        <f>IF($H57=0,0,CHOOSE($H57,SUMPRODUCT($O58:$O$67*AM58:AM$67*($E58:$E$67=$D57)),IF(ISNUMBER(Data_2014_N!AG57),100*ABS($G57-(Data_2014_N!AG57-$K57)/$M57),0),IF(ISNUMBER(Data_2014_N!AG57),100*ABS($G57-(Data_2014_N!AG57-$K57)/$M57),0)))</f>
        <v>75</v>
      </c>
      <c r="AN57" s="161">
        <f>IF($H57=0,0,CHOOSE($H57,SUMPRODUCT($O58:$O$67*AN58:AN$67*($E58:$E$67=$D57)),IF(ISNUMBER(Data_2014_N!AH57),100*ABS($G57-(Data_2014_N!AH57-$K57)/$M57),0),IF(ISNUMBER(Data_2014_N!AH57),100*ABS($G57-(Data_2014_N!AH57-$K57)/$M57),0)))</f>
        <v>75</v>
      </c>
      <c r="AO57" s="161">
        <f>IF($H57=0,0,CHOOSE($H57,SUMPRODUCT($O58:$O$67*AO58:AO$67*($E58:$E$67=$D57)),IF(ISNUMBER(Data_2014_N!AI57),100*ABS($G57-(Data_2014_N!AI57-$K57)/$M57),0),IF(ISNUMBER(Data_2014_N!AI57),100*ABS($G57-(Data_2014_N!AI57-$K57)/$M57),0)))</f>
        <v>75</v>
      </c>
      <c r="AP57" s="161">
        <f>IF($H57=0,0,CHOOSE($H57,SUMPRODUCT($O58:$O$67*AP58:AP$67*($E58:$E$67=$D57)),IF(ISNUMBER(Data_2014_N!AJ57),100*ABS($G57-(Data_2014_N!AJ57-$K57)/$M57),0),IF(ISNUMBER(Data_2014_N!AJ57),100*ABS($G57-(Data_2014_N!AJ57-$K57)/$M57),0)))</f>
        <v>75</v>
      </c>
      <c r="AQ57" s="161">
        <f>IF($H57=0,0,CHOOSE($H57,SUMPRODUCT($O58:$O$67*AQ58:AQ$67*($E58:$E$67=$D57)),IF(ISNUMBER(Data_2014_N!AK57),100*ABS($G57-(Data_2014_N!AK57-$K57)/$M57),0),IF(ISNUMBER(Data_2014_N!AK57),100*ABS($G57-(Data_2014_N!AK57-$K57)/$M57),0)))</f>
        <v>100</v>
      </c>
      <c r="AR57" s="161">
        <f>IF($H57=0,0,CHOOSE($H57,SUMPRODUCT($O58:$O$67*AR58:AR$67*($E58:$E$67=$D57)),IF(ISNUMBER(Data_2014_N!AL57),100*ABS($G57-(Data_2014_N!AL57-$K57)/$M57),0),IF(ISNUMBER(Data_2014_N!AL57),100*ABS($G57-(Data_2014_N!AL57-$K57)/$M57),0)))</f>
        <v>75</v>
      </c>
      <c r="AS57" s="161">
        <f>IF($H57=0,0,CHOOSE($H57,SUMPRODUCT($O58:$O$67*AS58:AS$67*($E58:$E$67=$D57)),IF(ISNUMBER(Data_2014_N!AM57),100*ABS($G57-(Data_2014_N!AM57-$K57)/$M57),0),IF(ISNUMBER(Data_2014_N!AM57),100*ABS($G57-(Data_2014_N!AM57-$K57)/$M57),0)))</f>
        <v>25</v>
      </c>
      <c r="AT57" s="161">
        <f>IF($H57=0,0,CHOOSE($H57,SUMPRODUCT($O58:$O$67*AT58:AT$67*($E58:$E$67=$D57)),IF(ISNUMBER(Data_2014_N!AN57),100*ABS($G57-(Data_2014_N!AN57-$K57)/$M57),0),IF(ISNUMBER(Data_2014_N!AN57),100*ABS($G57-(Data_2014_N!AN57-$K57)/$M57),0)))</f>
        <v>100</v>
      </c>
      <c r="AU57" s="161">
        <f>IF($H57=0,0,CHOOSE($H57,SUMPRODUCT($O58:$O$67*AU58:AU$67*($E58:$E$67=$D57)),IF(ISNUMBER(Data_2014_N!AO57),100*ABS($G57-(Data_2014_N!AO57-$K57)/$M57),0),IF(ISNUMBER(Data_2014_N!AO57),100*ABS($G57-(Data_2014_N!AO57-$K57)/$M57),0)))</f>
        <v>75</v>
      </c>
      <c r="AV57" s="161">
        <f>IF($H57=0,0,CHOOSE($H57,SUMPRODUCT($O58:$O$67*AV58:AV$67*($E58:$E$67=$D57)),IF(ISNUMBER(Data_2014_N!AP57),100*ABS($G57-(Data_2014_N!AP57-$K57)/$M57),0),IF(ISNUMBER(Data_2014_N!AP57),100*ABS($G57-(Data_2014_N!AP57-$K57)/$M57),0)))</f>
        <v>75</v>
      </c>
      <c r="AW57" s="161">
        <f>IF($H57=0,0,CHOOSE($H57,SUMPRODUCT($O58:$O$67*AW58:AW$67*($E58:$E$67=$D57)),IF(ISNUMBER(Data_2014_N!AQ57),100*ABS($G57-(Data_2014_N!AQ57-$K57)/$M57),0),IF(ISNUMBER(Data_2014_N!AQ57),100*ABS($G57-(Data_2014_N!AQ57-$K57)/$M57),0)))</f>
        <v>50</v>
      </c>
      <c r="AX57" s="161">
        <f>IF($H57=0,0,CHOOSE($H57,SUMPRODUCT($O58:$O$67*AX58:AX$67*($E58:$E$67=$D57)),IF(ISNUMBER(Data_2014_N!AR57),100*ABS($G57-(Data_2014_N!AR57-$K57)/$M57),0),IF(ISNUMBER(Data_2014_N!AR57),100*ABS($G57-(Data_2014_N!AR57-$K57)/$M57),0)))</f>
        <v>25</v>
      </c>
      <c r="AY57" s="161">
        <f>IF($H57=0,0,CHOOSE($H57,SUMPRODUCT($O58:$O$67*AY58:AY$67*($E58:$E$67=$D57)),IF(ISNUMBER(Data_2014_N!AS57),100*ABS($G57-(Data_2014_N!AS57-$K57)/$M57),0),IF(ISNUMBER(Data_2014_N!AS57),100*ABS($G57-(Data_2014_N!AS57-$K57)/$M57),0)))</f>
        <v>100</v>
      </c>
      <c r="AZ57" s="161">
        <f>IF($H57=0,0,CHOOSE($H57,SUMPRODUCT($O58:$O$67*AZ58:AZ$67*($E58:$E$67=$D57)),IF(ISNUMBER(Data_2014_N!AT57),100*ABS($G57-(Data_2014_N!AT57-$K57)/$M57),0),IF(ISNUMBER(Data_2014_N!AT57),100*ABS($G57-(Data_2014_N!AT57-$K57)/$M57),0)))</f>
        <v>75</v>
      </c>
      <c r="BA57" s="161">
        <f>IF($H57=0,0,CHOOSE($H57,SUMPRODUCT($O58:$O$67*BA58:BA$67*($E58:$E$67=$D57)),IF(ISNUMBER(Data_2014_N!AU57),100*ABS($G57-(Data_2014_N!AU57-$K57)/$M57),0),IF(ISNUMBER(Data_2014_N!AU57),100*ABS($G57-(Data_2014_N!AU57-$K57)/$M57),0)))</f>
        <v>100</v>
      </c>
      <c r="BB57" s="161">
        <f>IF($H57=0,0,CHOOSE($H57,SUMPRODUCT($O58:$O$67*BB58:BB$67*($E58:$E$67=$D57)),IF(ISNUMBER(Data_2014_N!AV57),100*ABS($G57-(Data_2014_N!AV57-$K57)/$M57),0),IF(ISNUMBER(Data_2014_N!AV57),100*ABS($G57-(Data_2014_N!AV57-$K57)/$M57),0)))</f>
        <v>100</v>
      </c>
      <c r="BC57" s="161">
        <f>IF($H57=0,0,CHOOSE($H57,SUMPRODUCT($O58:$O$67*BC58:BC$67*($E58:$E$67=$D57)),IF(ISNUMBER(Data_2014_N!AW57),100*ABS($G57-(Data_2014_N!AW57-$K57)/$M57),0),IF(ISNUMBER(Data_2014_N!AW57),100*ABS($G57-(Data_2014_N!AW57-$K57)/$M57),0)))</f>
        <v>75</v>
      </c>
      <c r="BD57" s="161">
        <f>IF($H57=0,0,CHOOSE($H57,SUMPRODUCT($O58:$O$67*BD58:BD$67*($E58:$E$67=$D57)),IF(ISNUMBER(Data_2014_N!AX57),100*ABS($G57-(Data_2014_N!AX57-$K57)/$M57),0),IF(ISNUMBER(Data_2014_N!AX57),100*ABS($G57-(Data_2014_N!AX57-$K57)/$M57),0)))</f>
        <v>75</v>
      </c>
      <c r="BE57" s="161">
        <f>IF($H57=0,0,CHOOSE($H57,SUMPRODUCT($O58:$O$67*BE58:BE$67*($E58:$E$67=$D57)),IF(ISNUMBER(Data_2014_N!AY57),100*ABS($G57-(Data_2014_N!AY57-$K57)/$M57),0),IF(ISNUMBER(Data_2014_N!AY57),100*ABS($G57-(Data_2014_N!AY57-$K57)/$M57),0)))</f>
        <v>75</v>
      </c>
      <c r="BF57" s="161">
        <f>IF($H57=0,0,CHOOSE($H57,SUMPRODUCT($O58:$O$67*BF58:BF$67*($E58:$E$67=$D57)),IF(ISNUMBER(Data_2014_N!AZ57),100*ABS($G57-(Data_2014_N!AZ57-$K57)/$M57),0),IF(ISNUMBER(Data_2014_N!AZ57),100*ABS($G57-(Data_2014_N!AZ57-$K57)/$M57),0)))</f>
        <v>100</v>
      </c>
      <c r="BG57" s="161">
        <f>IF($H57=0,0,CHOOSE($H57,SUMPRODUCT($O58:$O$67*BG58:BG$67*($E58:$E$67=$D57)),IF(ISNUMBER(Data_2014_N!BA57),100*ABS($G57-(Data_2014_N!BA57-$K57)/$M57),0),IF(ISNUMBER(Data_2014_N!BA57),100*ABS($G57-(Data_2014_N!BA57-$K57)/$M57),0)))</f>
        <v>100</v>
      </c>
      <c r="BH57" s="161">
        <f>IF($H57=0,0,CHOOSE($H57,SUMPRODUCT($O58:$O$67*BH58:BH$67*($E58:$E$67=$D57)),IF(ISNUMBER(Data_2014_N!BB57),100*ABS($G57-(Data_2014_N!BB57-$K57)/$M57),0),IF(ISNUMBER(Data_2014_N!BB57),100*ABS($G57-(Data_2014_N!BB57-$K57)/$M57),0)))</f>
        <v>75</v>
      </c>
      <c r="BI57" s="161">
        <f>IF($H57=0,0,CHOOSE($H57,SUMPRODUCT($O58:$O$67*BI58:BI$67*($E58:$E$67=$D57)),IF(ISNUMBER(Data_2014_N!BC57),100*ABS($G57-(Data_2014_N!BC57-$K57)/$M57),0),IF(ISNUMBER(Data_2014_N!BC57),100*ABS($G57-(Data_2014_N!BC57-$K57)/$M57),0)))</f>
        <v>100</v>
      </c>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row>
    <row r="58" s="69" customFormat="1" ht="24.95" customHeight="1" spans="1:115">
      <c r="A58" s="92"/>
      <c r="B58" s="92">
        <f>tblIndicators!A54</f>
        <v>53</v>
      </c>
      <c r="C58" s="92">
        <f>tblIndicators!B54</f>
        <v>0</v>
      </c>
      <c r="D58" s="92" t="str">
        <f>tblIndicators!D54</f>
        <v>PESE4.2.3</v>
      </c>
      <c r="E58" s="92" t="str">
        <f>tblIndicators!E54</f>
        <v>PESE4.2</v>
      </c>
      <c r="F58" s="92">
        <f>tblIndicators!F54</f>
        <v>3</v>
      </c>
      <c r="G58" s="92">
        <f>tblIndicators!Y54</f>
        <v>1</v>
      </c>
      <c r="H58" s="92">
        <f>tblIndicators!Z54</f>
        <v>3</v>
      </c>
      <c r="I58" s="104">
        <f>tblIndicators!AA54</f>
        <v>0</v>
      </c>
      <c r="J58" s="92">
        <f>tblIndicators!AB54</f>
        <v>4</v>
      </c>
      <c r="K58" s="92">
        <f>CHOOSE(H58,"-",MIN(Data_2014_N!J58:BC58),I58)</f>
        <v>0</v>
      </c>
      <c r="L58" s="165">
        <f>CHOOSE(H58,"-",MAX(Data_2014_N!J58:BC58),J58)</f>
        <v>4</v>
      </c>
      <c r="M58" s="92">
        <f t="shared" si="1"/>
        <v>4</v>
      </c>
      <c r="N58" s="168" t="str">
        <f>REPT(" ",F58)&amp;tblIndicators!AE54</f>
        <v>   4.2.3) Organised crime</v>
      </c>
      <c r="O58" s="169">
        <f>tblIndicators!AD54</f>
        <v>0.0833333333333333</v>
      </c>
      <c r="P58" s="161">
        <f>IF($H58=0,0,CHOOSE($H58,SUMPRODUCT($O59:$O$67*P59:P$67*($E59:$E$67=$D58)),IF(ISNUMBER(Data_2014_N!J58),100*ABS($G58-(Data_2014_N!J58-$K58)/$M58),0),IF(ISNUMBER(Data_2014_N!J58),100*ABS($G58-(Data_2014_N!J58-$K58)/$M58),0)))</f>
        <v>75</v>
      </c>
      <c r="Q58" s="161">
        <f>IF($H58=0,0,CHOOSE($H58,SUMPRODUCT($O59:$O$67*Q59:Q$67*($E59:$E$67=$D58)),IF(ISNUMBER(Data_2014_N!K58),100*ABS($G58-(Data_2014_N!K58-$K58)/$M58),0),IF(ISNUMBER(Data_2014_N!K58),100*ABS($G58-(Data_2014_N!K58-$K58)/$M58),0)))</f>
        <v>100</v>
      </c>
      <c r="R58" s="161">
        <f>IF($H58=0,0,CHOOSE($H58,SUMPRODUCT($O59:$O$67*R59:R$67*($E59:$E$67=$D58)),IF(ISNUMBER(Data_2014_N!L58),100*ABS($G58-(Data_2014_N!L58-$K58)/$M58),0),IF(ISNUMBER(Data_2014_N!L58),100*ABS($G58-(Data_2014_N!L58-$K58)/$M58),0)))</f>
        <v>50</v>
      </c>
      <c r="S58" s="161">
        <f>IF($H58=0,0,CHOOSE($H58,SUMPRODUCT($O59:$O$67*S59:S$67*($E59:$E$67=$D58)),IF(ISNUMBER(Data_2014_N!M58),100*ABS($G58-(Data_2014_N!M58-$K58)/$M58),0),IF(ISNUMBER(Data_2014_N!M58),100*ABS($G58-(Data_2014_N!M58-$K58)/$M58),0)))</f>
        <v>75</v>
      </c>
      <c r="T58" s="161">
        <f>IF($H58=0,0,CHOOSE($H58,SUMPRODUCT($O59:$O$67*T59:T$67*($E59:$E$67=$D58)),IF(ISNUMBER(Data_2014_N!N58),100*ABS($G58-(Data_2014_N!N58-$K58)/$M58),0),IF(ISNUMBER(Data_2014_N!N58),100*ABS($G58-(Data_2014_N!N58-$K58)/$M58),0)))</f>
        <v>50</v>
      </c>
      <c r="U58" s="161">
        <f>IF($H58=0,0,CHOOSE($H58,SUMPRODUCT($O59:$O$67*U59:U$67*($E59:$E$67=$D58)),IF(ISNUMBER(Data_2014_N!O58),100*ABS($G58-(Data_2014_N!O58-$K58)/$M58),0),IF(ISNUMBER(Data_2014_N!O58),100*ABS($G58-(Data_2014_N!O58-$K58)/$M58),0)))</f>
        <v>75</v>
      </c>
      <c r="V58" s="161">
        <f>IF($H58=0,0,CHOOSE($H58,SUMPRODUCT($O59:$O$67*V59:V$67*($E59:$E$67=$D58)),IF(ISNUMBER(Data_2014_N!P58),100*ABS($G58-(Data_2014_N!P58-$K58)/$M58),0),IF(ISNUMBER(Data_2014_N!P58),100*ABS($G58-(Data_2014_N!P58-$K58)/$M58),0)))</f>
        <v>50</v>
      </c>
      <c r="W58" s="161">
        <f>IF($H58=0,0,CHOOSE($H58,SUMPRODUCT($O59:$O$67*W59:W$67*($E59:$E$67=$D58)),IF(ISNUMBER(Data_2014_N!Q58),100*ABS($G58-(Data_2014_N!Q58-$K58)/$M58),0),IF(ISNUMBER(Data_2014_N!Q58),100*ABS($G58-(Data_2014_N!Q58-$K58)/$M58),0)))</f>
        <v>75</v>
      </c>
      <c r="X58" s="161">
        <f>IF($H58=0,0,CHOOSE($H58,SUMPRODUCT($O59:$O$67*X59:X$67*($E59:$E$67=$D58)),IF(ISNUMBER(Data_2014_N!R58),100*ABS($G58-(Data_2014_N!R58-$K58)/$M58),0),IF(ISNUMBER(Data_2014_N!R58),100*ABS($G58-(Data_2014_N!R58-$K58)/$M58),0)))</f>
        <v>50</v>
      </c>
      <c r="Y58" s="161">
        <f>IF($H58=0,0,CHOOSE($H58,SUMPRODUCT($O59:$O$67*Y59:Y$67*($E59:$E$67=$D58)),IF(ISNUMBER(Data_2014_N!S58),100*ABS($G58-(Data_2014_N!S58-$K58)/$M58),0),IF(ISNUMBER(Data_2014_N!S58),100*ABS($G58-(Data_2014_N!S58-$K58)/$M58),0)))</f>
        <v>100</v>
      </c>
      <c r="Z58" s="161">
        <f>IF($H58=0,0,CHOOSE($H58,SUMPRODUCT($O59:$O$67*Z59:Z$67*($E59:$E$67=$D58)),IF(ISNUMBER(Data_2014_N!T58),100*ABS($G58-(Data_2014_N!T58-$K58)/$M58),0),IF(ISNUMBER(Data_2014_N!T58),100*ABS($G58-(Data_2014_N!T58-$K58)/$M58),0)))</f>
        <v>75</v>
      </c>
      <c r="AA58" s="161">
        <f>IF($H58=0,0,CHOOSE($H58,SUMPRODUCT($O59:$O$67*AA59:AA$67*($E59:$E$67=$D58)),IF(ISNUMBER(Data_2014_N!U58),100*ABS($G58-(Data_2014_N!U58-$K58)/$M58),0),IF(ISNUMBER(Data_2014_N!U58),100*ABS($G58-(Data_2014_N!U58-$K58)/$M58),0)))</f>
        <v>50</v>
      </c>
      <c r="AB58" s="161">
        <f>IF($H58=0,0,CHOOSE($H58,SUMPRODUCT($O59:$O$67*AB59:AB$67*($E59:$E$67=$D58)),IF(ISNUMBER(Data_2014_N!V58),100*ABS($G58-(Data_2014_N!V58-$K58)/$M58),0),IF(ISNUMBER(Data_2014_N!V58),100*ABS($G58-(Data_2014_N!V58-$K58)/$M58),0)))</f>
        <v>75</v>
      </c>
      <c r="AC58" s="161">
        <f>IF($H58=0,0,CHOOSE($H58,SUMPRODUCT($O59:$O$67*AC59:AC$67*($E59:$E$67=$D58)),IF(ISNUMBER(Data_2014_N!W58),100*ABS($G58-(Data_2014_N!W58-$K58)/$M58),0),IF(ISNUMBER(Data_2014_N!W58),100*ABS($G58-(Data_2014_N!W58-$K58)/$M58),0)))</f>
        <v>50</v>
      </c>
      <c r="AD58" s="161">
        <f>IF($H58=0,0,CHOOSE($H58,SUMPRODUCT($O59:$O$67*AD59:AD$67*($E59:$E$67=$D58)),IF(ISNUMBER(Data_2014_N!X58),100*ABS($G58-(Data_2014_N!X58-$K58)/$M58),0),IF(ISNUMBER(Data_2014_N!X58),100*ABS($G58-(Data_2014_N!X58-$K58)/$M58),0)))</f>
        <v>50</v>
      </c>
      <c r="AE58" s="161">
        <f>IF($H58=0,0,CHOOSE($H58,SUMPRODUCT($O59:$O$67*AE59:AE$67*($E59:$E$67=$D58)),IF(ISNUMBER(Data_2014_N!Y58),100*ABS($G58-(Data_2014_N!Y58-$K58)/$M58),0),IF(ISNUMBER(Data_2014_N!Y58),100*ABS($G58-(Data_2014_N!Y58-$K58)/$M58),0)))</f>
        <v>25</v>
      </c>
      <c r="AF58" s="161">
        <f>IF($H58=0,0,CHOOSE($H58,SUMPRODUCT($O59:$O$67*AF59:AF$67*($E59:$E$67=$D58)),IF(ISNUMBER(Data_2014_N!Z58),100*ABS($G58-(Data_2014_N!Z58-$K58)/$M58),0),IF(ISNUMBER(Data_2014_N!Z58),100*ABS($G58-(Data_2014_N!Z58-$K58)/$M58),0)))</f>
        <v>75</v>
      </c>
      <c r="AG58" s="161">
        <f>IF($H58=0,0,CHOOSE($H58,SUMPRODUCT($O59:$O$67*AG59:AG$67*($E59:$E$67=$D58)),IF(ISNUMBER(Data_2014_N!AA58),100*ABS($G58-(Data_2014_N!AA58-$K58)/$M58),0),IF(ISNUMBER(Data_2014_N!AA58),100*ABS($G58-(Data_2014_N!AA58-$K58)/$M58),0)))</f>
        <v>25</v>
      </c>
      <c r="AH58" s="161">
        <f>IF($H58=0,0,CHOOSE($H58,SUMPRODUCT($O59:$O$67*AH59:AH$67*($E59:$E$67=$D58)),IF(ISNUMBER(Data_2014_N!AB58),100*ABS($G58-(Data_2014_N!AB58-$K58)/$M58),0),IF(ISNUMBER(Data_2014_N!AB58),100*ABS($G58-(Data_2014_N!AB58-$K58)/$M58),0)))</f>
        <v>75</v>
      </c>
      <c r="AI58" s="161">
        <f>IF($H58=0,0,CHOOSE($H58,SUMPRODUCT($O59:$O$67*AI59:AI$67*($E59:$E$67=$D58)),IF(ISNUMBER(Data_2014_N!AC58),100*ABS($G58-(Data_2014_N!AC58-$K58)/$M58),0),IF(ISNUMBER(Data_2014_N!AC58),100*ABS($G58-(Data_2014_N!AC58-$K58)/$M58),0)))</f>
        <v>75</v>
      </c>
      <c r="AJ58" s="161">
        <f>IF($H58=0,0,CHOOSE($H58,SUMPRODUCT($O59:$O$67*AJ59:AJ$67*($E59:$E$67=$D58)),IF(ISNUMBER(Data_2014_N!AD58),100*ABS($G58-(Data_2014_N!AD58-$K58)/$M58),0),IF(ISNUMBER(Data_2014_N!AD58),100*ABS($G58-(Data_2014_N!AD58-$K58)/$M58),0)))</f>
        <v>75</v>
      </c>
      <c r="AK58" s="161">
        <f>IF($H58=0,0,CHOOSE($H58,SUMPRODUCT($O59:$O$67*AK59:AK$67*($E59:$E$67=$D58)),IF(ISNUMBER(Data_2014_N!AE58),100*ABS($G58-(Data_2014_N!AE58-$K58)/$M58),0),IF(ISNUMBER(Data_2014_N!AE58),100*ABS($G58-(Data_2014_N!AE58-$K58)/$M58),0)))</f>
        <v>75</v>
      </c>
      <c r="AL58" s="161">
        <f>IF($H58=0,0,CHOOSE($H58,SUMPRODUCT($O59:$O$67*AL59:AL$67*($E59:$E$67=$D58)),IF(ISNUMBER(Data_2014_N!AF58),100*ABS($G58-(Data_2014_N!AF58-$K58)/$M58),0),IF(ISNUMBER(Data_2014_N!AF58),100*ABS($G58-(Data_2014_N!AF58-$K58)/$M58),0)))</f>
        <v>0</v>
      </c>
      <c r="AM58" s="161">
        <f>IF($H58=0,0,CHOOSE($H58,SUMPRODUCT($O59:$O$67*AM59:AM$67*($E59:$E$67=$D58)),IF(ISNUMBER(Data_2014_N!AG58),100*ABS($G58-(Data_2014_N!AG58-$K58)/$M58),0),IF(ISNUMBER(Data_2014_N!AG58),100*ABS($G58-(Data_2014_N!AG58-$K58)/$M58),0)))</f>
        <v>25</v>
      </c>
      <c r="AN58" s="161">
        <f>IF($H58=0,0,CHOOSE($H58,SUMPRODUCT($O59:$O$67*AN59:AN$67*($E59:$E$67=$D58)),IF(ISNUMBER(Data_2014_N!AH58),100*ABS($G58-(Data_2014_N!AH58-$K58)/$M58),0),IF(ISNUMBER(Data_2014_N!AH58),100*ABS($G58-(Data_2014_N!AH58-$K58)/$M58),0)))</f>
        <v>25</v>
      </c>
      <c r="AO58" s="161">
        <f>IF($H58=0,0,CHOOSE($H58,SUMPRODUCT($O59:$O$67*AO59:AO$67*($E59:$E$67=$D58)),IF(ISNUMBER(Data_2014_N!AI58),100*ABS($G58-(Data_2014_N!AI58-$K58)/$M58),0),IF(ISNUMBER(Data_2014_N!AI58),100*ABS($G58-(Data_2014_N!AI58-$K58)/$M58),0)))</f>
        <v>50</v>
      </c>
      <c r="AP58" s="161">
        <f>IF($H58=0,0,CHOOSE($H58,SUMPRODUCT($O59:$O$67*AP59:AP$67*($E59:$E$67=$D58)),IF(ISNUMBER(Data_2014_N!AJ58),100*ABS($G58-(Data_2014_N!AJ58-$K58)/$M58),0),IF(ISNUMBER(Data_2014_N!AJ58),100*ABS($G58-(Data_2014_N!AJ58-$K58)/$M58),0)))</f>
        <v>75</v>
      </c>
      <c r="AQ58" s="161">
        <f>IF($H58=0,0,CHOOSE($H58,SUMPRODUCT($O59:$O$67*AQ59:AQ$67*($E59:$E$67=$D58)),IF(ISNUMBER(Data_2014_N!AK58),100*ABS($G58-(Data_2014_N!AK58-$K58)/$M58),0),IF(ISNUMBER(Data_2014_N!AK58),100*ABS($G58-(Data_2014_N!AK58-$K58)/$M58),0)))</f>
        <v>50</v>
      </c>
      <c r="AR58" s="161">
        <f>IF($H58=0,0,CHOOSE($H58,SUMPRODUCT($O59:$O$67*AR59:AR$67*($E59:$E$67=$D58)),IF(ISNUMBER(Data_2014_N!AL58),100*ABS($G58-(Data_2014_N!AL58-$K58)/$M58),0),IF(ISNUMBER(Data_2014_N!AL58),100*ABS($G58-(Data_2014_N!AL58-$K58)/$M58),0)))</f>
        <v>75</v>
      </c>
      <c r="AS58" s="161">
        <f>IF($H58=0,0,CHOOSE($H58,SUMPRODUCT($O59:$O$67*AS59:AS$67*($E59:$E$67=$D58)),IF(ISNUMBER(Data_2014_N!AM58),100*ABS($G58-(Data_2014_N!AM58-$K58)/$M58),0),IF(ISNUMBER(Data_2014_N!AM58),100*ABS($G58-(Data_2014_N!AM58-$K58)/$M58),0)))</f>
        <v>50</v>
      </c>
      <c r="AT58" s="161">
        <f>IF($H58=0,0,CHOOSE($H58,SUMPRODUCT($O59:$O$67*AT59:AT$67*($E59:$E$67=$D58)),IF(ISNUMBER(Data_2014_N!AN58),100*ABS($G58-(Data_2014_N!AN58-$K58)/$M58),0),IF(ISNUMBER(Data_2014_N!AN58),100*ABS($G58-(Data_2014_N!AN58-$K58)/$M58),0)))</f>
        <v>75</v>
      </c>
      <c r="AU58" s="161">
        <f>IF($H58=0,0,CHOOSE($H58,SUMPRODUCT($O59:$O$67*AU59:AU$67*($E59:$E$67=$D58)),IF(ISNUMBER(Data_2014_N!AO58),100*ABS($G58-(Data_2014_N!AO58-$K58)/$M58),0),IF(ISNUMBER(Data_2014_N!AO58),100*ABS($G58-(Data_2014_N!AO58-$K58)/$M58),0)))</f>
        <v>25</v>
      </c>
      <c r="AV58" s="161">
        <f>IF($H58=0,0,CHOOSE($H58,SUMPRODUCT($O59:$O$67*AV59:AV$67*($E59:$E$67=$D58)),IF(ISNUMBER(Data_2014_N!AP58),100*ABS($G58-(Data_2014_N!AP58-$K58)/$M58),0),IF(ISNUMBER(Data_2014_N!AP58),100*ABS($G58-(Data_2014_N!AP58-$K58)/$M58),0)))</f>
        <v>75</v>
      </c>
      <c r="AW58" s="161">
        <f>IF($H58=0,0,CHOOSE($H58,SUMPRODUCT($O59:$O$67*AW59:AW$67*($E59:$E$67=$D58)),IF(ISNUMBER(Data_2014_N!AQ58),100*ABS($G58-(Data_2014_N!AQ58-$K58)/$M58),0),IF(ISNUMBER(Data_2014_N!AQ58),100*ABS($G58-(Data_2014_N!AQ58-$K58)/$M58),0)))</f>
        <v>75</v>
      </c>
      <c r="AX58" s="161">
        <f>IF($H58=0,0,CHOOSE($H58,SUMPRODUCT($O59:$O$67*AX59:AX$67*($E59:$E$67=$D58)),IF(ISNUMBER(Data_2014_N!AR58),100*ABS($G58-(Data_2014_N!AR58-$K58)/$M58),0),IF(ISNUMBER(Data_2014_N!AR58),100*ABS($G58-(Data_2014_N!AR58-$K58)/$M58),0)))</f>
        <v>50</v>
      </c>
      <c r="AY58" s="161">
        <f>IF($H58=0,0,CHOOSE($H58,SUMPRODUCT($O59:$O$67*AY59:AY$67*($E59:$E$67=$D58)),IF(ISNUMBER(Data_2014_N!AS58),100*ABS($G58-(Data_2014_N!AS58-$K58)/$M58),0),IF(ISNUMBER(Data_2014_N!AS58),100*ABS($G58-(Data_2014_N!AS58-$K58)/$M58),0)))</f>
        <v>75</v>
      </c>
      <c r="AZ58" s="161">
        <f>IF($H58=0,0,CHOOSE($H58,SUMPRODUCT($O59:$O$67*AZ59:AZ$67*($E59:$E$67=$D58)),IF(ISNUMBER(Data_2014_N!AT58),100*ABS($G58-(Data_2014_N!AT58-$K58)/$M58),0),IF(ISNUMBER(Data_2014_N!AT58),100*ABS($G58-(Data_2014_N!AT58-$K58)/$M58),0)))</f>
        <v>50</v>
      </c>
      <c r="BA58" s="161">
        <f>IF($H58=0,0,CHOOSE($H58,SUMPRODUCT($O59:$O$67*BA59:BA$67*($E59:$E$67=$D58)),IF(ISNUMBER(Data_2014_N!AU58),100*ABS($G58-(Data_2014_N!AU58-$K58)/$M58),0),IF(ISNUMBER(Data_2014_N!AU58),100*ABS($G58-(Data_2014_N!AU58-$K58)/$M58),0)))</f>
        <v>100</v>
      </c>
      <c r="BB58" s="161">
        <f>IF($H58=0,0,CHOOSE($H58,SUMPRODUCT($O59:$O$67*BB59:BB$67*($E59:$E$67=$D58)),IF(ISNUMBER(Data_2014_N!AV58),100*ABS($G58-(Data_2014_N!AV58-$K58)/$M58),0),IF(ISNUMBER(Data_2014_N!AV58),100*ABS($G58-(Data_2014_N!AV58-$K58)/$M58),0)))</f>
        <v>100</v>
      </c>
      <c r="BC58" s="161">
        <f>IF($H58=0,0,CHOOSE($H58,SUMPRODUCT($O59:$O$67*BC59:BC$67*($E59:$E$67=$D58)),IF(ISNUMBER(Data_2014_N!AW58),100*ABS($G58-(Data_2014_N!AW58-$K58)/$M58),0),IF(ISNUMBER(Data_2014_N!AW58),100*ABS($G58-(Data_2014_N!AW58-$K58)/$M58),0)))</f>
        <v>75</v>
      </c>
      <c r="BD58" s="161">
        <f>IF($H58=0,0,CHOOSE($H58,SUMPRODUCT($O59:$O$67*BD59:BD$67*($E59:$E$67=$D58)),IF(ISNUMBER(Data_2014_N!AX58),100*ABS($G58-(Data_2014_N!AX58-$K58)/$M58),0),IF(ISNUMBER(Data_2014_N!AX58),100*ABS($G58-(Data_2014_N!AX58-$K58)/$M58),0)))</f>
        <v>75</v>
      </c>
      <c r="BE58" s="161">
        <f>IF($H58=0,0,CHOOSE($H58,SUMPRODUCT($O59:$O$67*BE59:BE$67*($E59:$E$67=$D58)),IF(ISNUMBER(Data_2014_N!AY58),100*ABS($G58-(Data_2014_N!AY58-$K58)/$M58),0),IF(ISNUMBER(Data_2014_N!AY58),100*ABS($G58-(Data_2014_N!AY58-$K58)/$M58),0)))</f>
        <v>75</v>
      </c>
      <c r="BF58" s="161">
        <f>IF($H58=0,0,CHOOSE($H58,SUMPRODUCT($O59:$O$67*BF59:BF$67*($E59:$E$67=$D58)),IF(ISNUMBER(Data_2014_N!AZ58),100*ABS($G58-(Data_2014_N!AZ58-$K58)/$M58),0),IF(ISNUMBER(Data_2014_N!AZ58),100*ABS($G58-(Data_2014_N!AZ58-$K58)/$M58),0)))</f>
        <v>50</v>
      </c>
      <c r="BG58" s="161">
        <f>IF($H58=0,0,CHOOSE($H58,SUMPRODUCT($O59:$O$67*BG59:BG$67*($E59:$E$67=$D58)),IF(ISNUMBER(Data_2014_N!BA58),100*ABS($G58-(Data_2014_N!BA58-$K58)/$M58),0),IF(ISNUMBER(Data_2014_N!BA58),100*ABS($G58-(Data_2014_N!BA58-$K58)/$M58),0)))</f>
        <v>75</v>
      </c>
      <c r="BH58" s="161">
        <f>IF($H58=0,0,CHOOSE($H58,SUMPRODUCT($O59:$O$67*BH59:BH$67*($E59:$E$67=$D58)),IF(ISNUMBER(Data_2014_N!BB58),100*ABS($G58-(Data_2014_N!BB58-$K58)/$M58),0),IF(ISNUMBER(Data_2014_N!BB58),100*ABS($G58-(Data_2014_N!BB58-$K58)/$M58),0)))</f>
        <v>75</v>
      </c>
      <c r="BI58" s="161">
        <f>IF($H58=0,0,CHOOSE($H58,SUMPRODUCT($O59:$O$67*BI59:BI$67*($E59:$E$67=$D58)),IF(ISNUMBER(Data_2014_N!BC58),100*ABS($G58-(Data_2014_N!BC58-$K58)/$M58),0),IF(ISNUMBER(Data_2014_N!BC58),100*ABS($G58-(Data_2014_N!BC58-$K58)/$M58),0)))</f>
        <v>75</v>
      </c>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row>
    <row r="59" s="69" customFormat="1" ht="24.95" customHeight="1" spans="1:115">
      <c r="A59" s="92"/>
      <c r="B59" s="92">
        <f>tblIndicators!A55</f>
        <v>54</v>
      </c>
      <c r="C59" s="92">
        <f>tblIndicators!B55</f>
        <v>0</v>
      </c>
      <c r="D59" s="92" t="str">
        <f>tblIndicators!D55</f>
        <v>PESE4.2.4</v>
      </c>
      <c r="E59" s="92" t="str">
        <f>tblIndicators!E55</f>
        <v>PESE4.2</v>
      </c>
      <c r="F59" s="92">
        <f>tblIndicators!F55</f>
        <v>3</v>
      </c>
      <c r="G59" s="92">
        <f>tblIndicators!Y55</f>
        <v>0</v>
      </c>
      <c r="H59" s="92">
        <f>tblIndicators!Z55</f>
        <v>3</v>
      </c>
      <c r="I59" s="104">
        <f>tblIndicators!AA55</f>
        <v>0</v>
      </c>
      <c r="J59" s="92">
        <f>tblIndicators!AB55</f>
        <v>100</v>
      </c>
      <c r="K59" s="92">
        <f>CHOOSE(H59,"-",MIN(Data_2014_N!J59:BC59),I59)</f>
        <v>0</v>
      </c>
      <c r="L59" s="165">
        <f>CHOOSE(H59,"-",MAX(Data_2014_N!J59:BC59),J59)</f>
        <v>100</v>
      </c>
      <c r="M59" s="92">
        <f t="shared" si="1"/>
        <v>100</v>
      </c>
      <c r="N59" s="168" t="str">
        <f>REPT(" ",F59)&amp;tblIndicators!AE55</f>
        <v>   4.2.4) Level of corruption</v>
      </c>
      <c r="O59" s="169">
        <f>tblIndicators!AD55</f>
        <v>0.0833333333333333</v>
      </c>
      <c r="P59" s="161">
        <f>IF($H59=0,0,CHOOSE($H59,SUMPRODUCT($O60:$O$67*P60:P$67*($E60:$E$67=$D59)),IF(ISNUMBER(Data_2014_N!J59),100*ABS($G59-(Data_2014_N!J59-$K59)/$M59),0),IF(ISNUMBER(Data_2014_N!J59),100*ABS($G59-(Data_2014_N!J59-$K59)/$M59),0)))</f>
        <v>70</v>
      </c>
      <c r="Q59" s="161">
        <f>IF($H59=0,0,CHOOSE($H59,SUMPRODUCT($O60:$O$67*Q60:Q$67*($E60:$E$67=$D59)),IF(ISNUMBER(Data_2014_N!K59),100*ABS($G59-(Data_2014_N!K59-$K59)/$M59),0),IF(ISNUMBER(Data_2014_N!K59),100*ABS($G59-(Data_2014_N!K59-$K59)/$M59),0)))</f>
        <v>83</v>
      </c>
      <c r="R59" s="161">
        <f>IF($H59=0,0,CHOOSE($H59,SUMPRODUCT($O60:$O$67*R60:R$67*($E60:$E$67=$D59)),IF(ISNUMBER(Data_2014_N!L59),100*ABS($G59-(Data_2014_N!L59-$K59)/$M59),0),IF(ISNUMBER(Data_2014_N!L59),100*ABS($G59-(Data_2014_N!L59-$K59)/$M59),0)))</f>
        <v>38</v>
      </c>
      <c r="S59" s="161">
        <f>IF($H59=0,0,CHOOSE($H59,SUMPRODUCT($O60:$O$67*S60:S$67*($E60:$E$67=$D59)),IF(ISNUMBER(Data_2014_N!M59),100*ABS($G59-(Data_2014_N!M59-$K59)/$M59),0),IF(ISNUMBER(Data_2014_N!M59),100*ABS($G59-(Data_2014_N!M59-$K59)/$M59),0)))</f>
        <v>60</v>
      </c>
      <c r="T59" s="161">
        <f>IF($H59=0,0,CHOOSE($H59,SUMPRODUCT($O60:$O$67*T60:T$67*($E60:$E$67=$D59)),IF(ISNUMBER(Data_2014_N!N59),100*ABS($G59-(Data_2014_N!N59-$K59)/$M59),0),IF(ISNUMBER(Data_2014_N!N59),100*ABS($G59-(Data_2014_N!N59-$K59)/$M59),0)))</f>
        <v>36</v>
      </c>
      <c r="U59" s="161">
        <f>IF($H59=0,0,CHOOSE($H59,SUMPRODUCT($O60:$O$67*U60:U$67*($E60:$E$67=$D59)),IF(ISNUMBER(Data_2014_N!O59),100*ABS($G59-(Data_2014_N!O59-$K59)/$M59),0),IF(ISNUMBER(Data_2014_N!O59),100*ABS($G59-(Data_2014_N!O59-$K59)/$M59),0)))</f>
        <v>76</v>
      </c>
      <c r="V59" s="161">
        <f>IF($H59=0,0,CHOOSE($H59,SUMPRODUCT($O60:$O$67*V60:V$67*($E60:$E$67=$D59)),IF(ISNUMBER(Data_2014_N!P59),100*ABS($G59-(Data_2014_N!P59-$K59)/$M59),0),IF(ISNUMBER(Data_2014_N!P59),100*ABS($G59-(Data_2014_N!P59-$K59)/$M59),0)))</f>
        <v>34</v>
      </c>
      <c r="W59" s="161">
        <f>IF($H59=0,0,CHOOSE($H59,SUMPRODUCT($O60:$O$67*W60:W$67*($E60:$E$67=$D59)),IF(ISNUMBER(Data_2014_N!Q59),100*ABS($G59-(Data_2014_N!Q59-$K59)/$M59),0),IF(ISNUMBER(Data_2014_N!Q59),100*ABS($G59-(Data_2014_N!Q59-$K59)/$M59),0)))</f>
        <v>74</v>
      </c>
      <c r="X59" s="161">
        <f>IF($H59=0,0,CHOOSE($H59,SUMPRODUCT($O60:$O$67*X60:X$67*($E60:$E$67=$D59)),IF(ISNUMBER(Data_2014_N!R59),100*ABS($G59-(Data_2014_N!R59-$K59)/$M59),0),IF(ISNUMBER(Data_2014_N!R59),100*ABS($G59-(Data_2014_N!R59-$K59)/$M59),0)))</f>
        <v>38</v>
      </c>
      <c r="Y59" s="161">
        <f>IF($H59=0,0,CHOOSE($H59,SUMPRODUCT($O60:$O$67*Y60:Y$67*($E60:$E$67=$D59)),IF(ISNUMBER(Data_2014_N!S59),100*ABS($G59-(Data_2014_N!S59-$K59)/$M59),0),IF(ISNUMBER(Data_2014_N!S59),100*ABS($G59-(Data_2014_N!S59-$K59)/$M59),0)))</f>
        <v>69</v>
      </c>
      <c r="Z59" s="161">
        <f>IF($H59=0,0,CHOOSE($H59,SUMPRODUCT($O60:$O$67*Z60:Z$67*($E60:$E$67=$D59)),IF(ISNUMBER(Data_2014_N!T59),100*ABS($G59-(Data_2014_N!T59-$K59)/$M59),0),IF(ISNUMBER(Data_2014_N!T59),100*ABS($G59-(Data_2014_N!T59-$K59)/$M59),0)))</f>
        <v>79</v>
      </c>
      <c r="AA59" s="161">
        <f>IF($H59=0,0,CHOOSE($H59,SUMPRODUCT($O60:$O$67*AA60:AA$67*($E60:$E$67=$D59)),IF(ISNUMBER(Data_2014_N!U59),100*ABS($G59-(Data_2014_N!U59-$K59)/$M59),0),IF(ISNUMBER(Data_2014_N!U59),100*ABS($G59-(Data_2014_N!U59-$K59)/$M59),0)))</f>
        <v>31</v>
      </c>
      <c r="AB59" s="161">
        <f>IF($H59=0,0,CHOOSE($H59,SUMPRODUCT($O60:$O$67*AB60:AB$67*($E60:$E$67=$D59)),IF(ISNUMBER(Data_2014_N!V59),100*ABS($G59-(Data_2014_N!V59-$K59)/$M59),0),IF(ISNUMBER(Data_2014_N!V59),100*ABS($G59-(Data_2014_N!V59-$K59)/$M59),0)))</f>
        <v>74</v>
      </c>
      <c r="AC59" s="161">
        <f>IF($H59=0,0,CHOOSE($H59,SUMPRODUCT($O60:$O$67*AC60:AC$67*($E60:$E$67=$D59)),IF(ISNUMBER(Data_2014_N!W59),100*ABS($G59-(Data_2014_N!W59-$K59)/$M59),0),IF(ISNUMBER(Data_2014_N!W59),100*ABS($G59-(Data_2014_N!W59-$K59)/$M59),0)))</f>
        <v>45</v>
      </c>
      <c r="AD59" s="161">
        <f>IF($H59=0,0,CHOOSE($H59,SUMPRODUCT($O60:$O$67*AD60:AD$67*($E60:$E$67=$D59)),IF(ISNUMBER(Data_2014_N!X59),100*ABS($G59-(Data_2014_N!X59-$K59)/$M59),0),IF(ISNUMBER(Data_2014_N!X59),100*ABS($G59-(Data_2014_N!X59-$K59)/$M59),0)))</f>
        <v>34</v>
      </c>
      <c r="AE59" s="161">
        <f>IF($H59=0,0,CHOOSE($H59,SUMPRODUCT($O60:$O$67*AE60:AE$67*($E60:$E$67=$D59)),IF(ISNUMBER(Data_2014_N!Y59),100*ABS($G59-(Data_2014_N!Y59-$K59)/$M59),0),IF(ISNUMBER(Data_2014_N!Y59),100*ABS($G59-(Data_2014_N!Y59-$K59)/$M59),0)))</f>
        <v>44</v>
      </c>
      <c r="AF59" s="161">
        <f>IF($H59=0,0,CHOOSE($H59,SUMPRODUCT($O60:$O$67*AF60:AF$67*($E60:$E$67=$D59)),IF(ISNUMBER(Data_2014_N!Z59),100*ABS($G59-(Data_2014_N!Z59-$K59)/$M59),0),IF(ISNUMBER(Data_2014_N!Z59),100*ABS($G59-(Data_2014_N!Z59-$K59)/$M59),0)))</f>
        <v>44</v>
      </c>
      <c r="AG59" s="161">
        <f>IF($H59=0,0,CHOOSE($H59,SUMPRODUCT($O60:$O$67*AG60:AG$67*($E60:$E$67=$D59)),IF(ISNUMBER(Data_2014_N!AA59),100*ABS($G59-(Data_2014_N!AA59-$K59)/$M59),0),IF(ISNUMBER(Data_2014_N!AA59),100*ABS($G59-(Data_2014_N!AA59-$K59)/$M59),0)))</f>
        <v>38</v>
      </c>
      <c r="AH59" s="161">
        <f>IF($H59=0,0,CHOOSE($H59,SUMPRODUCT($O60:$O$67*AH60:AH$67*($E60:$E$67=$D59)),IF(ISNUMBER(Data_2014_N!AB59),100*ABS($G59-(Data_2014_N!AB59-$K59)/$M59),0),IF(ISNUMBER(Data_2014_N!AB59),100*ABS($G59-(Data_2014_N!AB59-$K59)/$M59),0)))</f>
        <v>78</v>
      </c>
      <c r="AI59" s="161">
        <f>IF($H59=0,0,CHOOSE($H59,SUMPRODUCT($O60:$O$67*AI60:AI$67*($E60:$E$67=$D59)),IF(ISNUMBER(Data_2014_N!AC59),100*ABS($G59-(Data_2014_N!AC59-$K59)/$M59),0),IF(ISNUMBER(Data_2014_N!AC59),100*ABS($G59-(Data_2014_N!AC59-$K59)/$M59),0)))</f>
        <v>74</v>
      </c>
      <c r="AJ59" s="161">
        <f>IF($H59=0,0,CHOOSE($H59,SUMPRODUCT($O60:$O$67*AJ60:AJ$67*($E60:$E$67=$D59)),IF(ISNUMBER(Data_2014_N!AD59),100*ABS($G59-(Data_2014_N!AD59-$K59)/$M59),0),IF(ISNUMBER(Data_2014_N!AD59),100*ABS($G59-(Data_2014_N!AD59-$K59)/$M59),0)))</f>
        <v>60</v>
      </c>
      <c r="AK59" s="161">
        <f>IF($H59=0,0,CHOOSE($H59,SUMPRODUCT($O60:$O$67*AK60:AK$67*($E60:$E$67=$D59)),IF(ISNUMBER(Data_2014_N!AE59),100*ABS($G59-(Data_2014_N!AE59-$K59)/$M59),0),IF(ISNUMBER(Data_2014_N!AE59),100*ABS($G59-(Data_2014_N!AE59-$K59)/$M59),0)))</f>
        <v>80</v>
      </c>
      <c r="AL59" s="161">
        <f>IF($H59=0,0,CHOOSE($H59,SUMPRODUCT($O60:$O$67*AL60:AL$67*($E60:$E$67=$D59)),IF(ISNUMBER(Data_2014_N!AF59),100*ABS($G59-(Data_2014_N!AF59-$K59)/$M59),0),IF(ISNUMBER(Data_2014_N!AF59),100*ABS($G59-(Data_2014_N!AF59-$K59)/$M59),0)))</f>
        <v>35</v>
      </c>
      <c r="AM59" s="161">
        <f>IF($H59=0,0,CHOOSE($H59,SUMPRODUCT($O60:$O$67*AM60:AM$67*($E60:$E$67=$D59)),IF(ISNUMBER(Data_2014_N!AG59),100*ABS($G59-(Data_2014_N!AG59-$K59)/$M59),0),IF(ISNUMBER(Data_2014_N!AG59),100*ABS($G59-(Data_2014_N!AG59-$K59)/$M59),0)))</f>
        <v>43</v>
      </c>
      <c r="AN59" s="161">
        <f>IF($H59=0,0,CHOOSE($H59,SUMPRODUCT($O60:$O$67*AN60:AN$67*($E60:$E$67=$D59)),IF(ISNUMBER(Data_2014_N!AH59),100*ABS($G59-(Data_2014_N!AH59-$K59)/$M59),0),IF(ISNUMBER(Data_2014_N!AH59),100*ABS($G59-(Data_2014_N!AH59-$K59)/$M59),0)))</f>
        <v>27</v>
      </c>
      <c r="AO59" s="161">
        <f>IF($H59=0,0,CHOOSE($H59,SUMPRODUCT($O60:$O$67*AO60:AO$67*($E60:$E$67=$D59)),IF(ISNUMBER(Data_2014_N!AI59),100*ABS($G59-(Data_2014_N!AI59-$K59)/$M59),0),IF(ISNUMBER(Data_2014_N!AI59),100*ABS($G59-(Data_2014_N!AI59-$K59)/$M59),0)))</f>
        <v>38</v>
      </c>
      <c r="AP59" s="161">
        <f>IF($H59=0,0,CHOOSE($H59,SUMPRODUCT($O60:$O$67*AP60:AP$67*($E60:$E$67=$D59)),IF(ISNUMBER(Data_2014_N!AJ59),100*ABS($G59-(Data_2014_N!AJ59-$K59)/$M59),0),IF(ISNUMBER(Data_2014_N!AJ59),100*ABS($G59-(Data_2014_N!AJ59-$K59)/$M59),0)))</f>
        <v>74</v>
      </c>
      <c r="AQ59" s="161">
        <f>IF($H59=0,0,CHOOSE($H59,SUMPRODUCT($O60:$O$67*AQ60:AQ$67*($E60:$E$67=$D59)),IF(ISNUMBER(Data_2014_N!AK59),100*ABS($G59-(Data_2014_N!AK59-$K59)/$M59),0),IF(ISNUMBER(Data_2014_N!AK59),100*ABS($G59-(Data_2014_N!AK59-$K59)/$M59),0)))</f>
        <v>76</v>
      </c>
      <c r="AR59" s="161">
        <f>IF($H59=0,0,CHOOSE($H59,SUMPRODUCT($O60:$O$67*AR60:AR$67*($E60:$E$67=$D59)),IF(ISNUMBER(Data_2014_N!AL59),100*ABS($G59-(Data_2014_N!AL59-$K59)/$M59),0),IF(ISNUMBER(Data_2014_N!AL59),100*ABS($G59-(Data_2014_N!AL59-$K59)/$M59),0)))</f>
        <v>69</v>
      </c>
      <c r="AS59" s="161">
        <f>IF($H59=0,0,CHOOSE($H59,SUMPRODUCT($O60:$O$67*AS60:AS$67*($E60:$E$67=$D59)),IF(ISNUMBER(Data_2014_N!AM59),100*ABS($G59-(Data_2014_N!AM59-$K59)/$M59),0),IF(ISNUMBER(Data_2014_N!AM59),100*ABS($G59-(Data_2014_N!AM59-$K59)/$M59),0)))</f>
        <v>43</v>
      </c>
      <c r="AT59" s="161">
        <f>IF($H59=0,0,CHOOSE($H59,SUMPRODUCT($O60:$O$67*AT60:AT$67*($E60:$E$67=$D59)),IF(ISNUMBER(Data_2014_N!AN59),100*ABS($G59-(Data_2014_N!AN59-$K59)/$M59),0),IF(ISNUMBER(Data_2014_N!AN59),100*ABS($G59-(Data_2014_N!AN59-$K59)/$M59),0)))</f>
        <v>49</v>
      </c>
      <c r="AU59" s="161">
        <f>IF($H59=0,0,CHOOSE($H59,SUMPRODUCT($O60:$O$67*AU60:AU$67*($E60:$E$67=$D59)),IF(ISNUMBER(Data_2014_N!AO59),100*ABS($G59-(Data_2014_N!AO59-$K59)/$M59),0),IF(ISNUMBER(Data_2014_N!AO59),100*ABS($G59-(Data_2014_N!AO59-$K59)/$M59),0)))</f>
        <v>43</v>
      </c>
      <c r="AV59" s="161">
        <f>IF($H59=0,0,CHOOSE($H59,SUMPRODUCT($O60:$O$67*AV60:AV$67*($E60:$E$67=$D59)),IF(ISNUMBER(Data_2014_N!AP59),100*ABS($G59-(Data_2014_N!AP59-$K59)/$M59),0),IF(ISNUMBER(Data_2014_N!AP59),100*ABS($G59-(Data_2014_N!AP59-$K59)/$M59),0)))</f>
        <v>74</v>
      </c>
      <c r="AW59" s="161">
        <f>IF($H59=0,0,CHOOSE($H59,SUMPRODUCT($O60:$O$67*AW60:AW$67*($E60:$E$67=$D59)),IF(ISNUMBER(Data_2014_N!AQ59),100*ABS($G59-(Data_2014_N!AQ59-$K59)/$M59),0),IF(ISNUMBER(Data_2014_N!AQ59),100*ABS($G59-(Data_2014_N!AQ59-$K59)/$M59),0)))</f>
        <v>73</v>
      </c>
      <c r="AX59" s="161">
        <f>IF($H59=0,0,CHOOSE($H59,SUMPRODUCT($O60:$O$67*AX60:AX$67*($E60:$E$67=$D59)),IF(ISNUMBER(Data_2014_N!AR59),100*ABS($G59-(Data_2014_N!AR59-$K59)/$M59),0),IF(ISNUMBER(Data_2014_N!AR59),100*ABS($G59-(Data_2014_N!AR59-$K59)/$M59),0)))</f>
        <v>43</v>
      </c>
      <c r="AY59" s="161">
        <f>IF($H59=0,0,CHOOSE($H59,SUMPRODUCT($O60:$O$67*AY60:AY$67*($E60:$E$67=$D59)),IF(ISNUMBER(Data_2014_N!AS59),100*ABS($G59-(Data_2014_N!AS59-$K59)/$M59),0),IF(ISNUMBER(Data_2014_N!AS59),100*ABS($G59-(Data_2014_N!AS59-$K59)/$M59),0)))</f>
        <v>55</v>
      </c>
      <c r="AZ59" s="161">
        <f>IF($H59=0,0,CHOOSE($H59,SUMPRODUCT($O60:$O$67*AZ60:AZ$67*($E60:$E$67=$D59)),IF(ISNUMBER(Data_2014_N!AT59),100*ABS($G59-(Data_2014_N!AT59-$K59)/$M59),0),IF(ISNUMBER(Data_2014_N!AT59),100*ABS($G59-(Data_2014_N!AT59-$K59)/$M59),0)))</f>
        <v>36</v>
      </c>
      <c r="BA59" s="161">
        <f>IF($H59=0,0,CHOOSE($H59,SUMPRODUCT($O60:$O$67*BA60:BA$67*($E60:$E$67=$D59)),IF(ISNUMBER(Data_2014_N!AU59),100*ABS($G59-(Data_2014_N!AU59-$K59)/$M59),0),IF(ISNUMBER(Data_2014_N!AU59),100*ABS($G59-(Data_2014_N!AU59-$K59)/$M59),0)))</f>
        <v>84</v>
      </c>
      <c r="BB59" s="161">
        <f>IF($H59=0,0,CHOOSE($H59,SUMPRODUCT($O60:$O$67*BB60:BB$67*($E60:$E$67=$D59)),IF(ISNUMBER(Data_2014_N!AV59),100*ABS($G59-(Data_2014_N!AV59-$K59)/$M59),0),IF(ISNUMBER(Data_2014_N!AV59),100*ABS($G59-(Data_2014_N!AV59-$K59)/$M59),0)))</f>
        <v>87</v>
      </c>
      <c r="BC59" s="161">
        <f>IF($H59=0,0,CHOOSE($H59,SUMPRODUCT($O60:$O$67*BC60:BC$67*($E60:$E$67=$D59)),IF(ISNUMBER(Data_2014_N!AW59),100*ABS($G59-(Data_2014_N!AW59-$K59)/$M59),0),IF(ISNUMBER(Data_2014_N!AW59),100*ABS($G59-(Data_2014_N!AW59-$K59)/$M59),0)))</f>
        <v>80</v>
      </c>
      <c r="BD59" s="161">
        <f>IF($H59=0,0,CHOOSE($H59,SUMPRODUCT($O60:$O$67*BD60:BD$67*($E60:$E$67=$D59)),IF(ISNUMBER(Data_2014_N!AX59),100*ABS($G59-(Data_2014_N!AX59-$K59)/$M59),0),IF(ISNUMBER(Data_2014_N!AX59),100*ABS($G59-(Data_2014_N!AX59-$K59)/$M59),0)))</f>
        <v>61</v>
      </c>
      <c r="BE59" s="161">
        <f>IF($H59=0,0,CHOOSE($H59,SUMPRODUCT($O60:$O$67*BE60:BE$67*($E60:$E$67=$D59)),IF(ISNUMBER(Data_2014_N!AY59),100*ABS($G59-(Data_2014_N!AY59-$K59)/$M59),0),IF(ISNUMBER(Data_2014_N!AY59),100*ABS($G59-(Data_2014_N!AY59-$K59)/$M59),0)))</f>
        <v>27</v>
      </c>
      <c r="BF59" s="161">
        <f>IF($H59=0,0,CHOOSE($H59,SUMPRODUCT($O60:$O$67*BF60:BF$67*($E60:$E$67=$D59)),IF(ISNUMBER(Data_2014_N!AZ59),100*ABS($G59-(Data_2014_N!AZ59-$K59)/$M59),0),IF(ISNUMBER(Data_2014_N!AZ59),100*ABS($G59-(Data_2014_N!AZ59-$K59)/$M59),0)))</f>
        <v>76</v>
      </c>
      <c r="BG59" s="161">
        <f>IF($H59=0,0,CHOOSE($H59,SUMPRODUCT($O60:$O$67*BG60:BG$67*($E60:$E$67=$D59)),IF(ISNUMBER(Data_2014_N!BA59),100*ABS($G59-(Data_2014_N!BA59-$K59)/$M59),0),IF(ISNUMBER(Data_2014_N!BA59),100*ABS($G59-(Data_2014_N!BA59-$K59)/$M59),0)))</f>
        <v>81</v>
      </c>
      <c r="BH59" s="161">
        <f>IF($H59=0,0,CHOOSE($H59,SUMPRODUCT($O60:$O$67*BH60:BH$67*($E60:$E$67=$D59)),IF(ISNUMBER(Data_2014_N!BB59),100*ABS($G59-(Data_2014_N!BB59-$K59)/$M59),0),IF(ISNUMBER(Data_2014_N!BB59),100*ABS($G59-(Data_2014_N!BB59-$K59)/$M59),0)))</f>
        <v>74</v>
      </c>
      <c r="BI59" s="161">
        <f>IF($H59=0,0,CHOOSE($H59,SUMPRODUCT($O60:$O$67*BI60:BI$67*($E60:$E$67=$D59)),IF(ISNUMBER(Data_2014_N!BC59),100*ABS($G59-(Data_2014_N!BC59-$K59)/$M59),0),IF(ISNUMBER(Data_2014_N!BC59),100*ABS($G59-(Data_2014_N!BC59-$K59)/$M59),0)))</f>
        <v>86</v>
      </c>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row>
    <row r="60" s="69" customFormat="1" ht="24.95" customHeight="1" spans="1:115">
      <c r="A60" s="92"/>
      <c r="B60" s="92">
        <f>tblIndicators!A56</f>
        <v>55</v>
      </c>
      <c r="C60" s="92">
        <f>tblIndicators!B56</f>
        <v>0</v>
      </c>
      <c r="D60" s="92" t="str">
        <f>tblIndicators!D56</f>
        <v>PESE4.2.5</v>
      </c>
      <c r="E60" s="92" t="str">
        <f>tblIndicators!E56</f>
        <v>PESE4.2</v>
      </c>
      <c r="F60" s="92">
        <f>tblIndicators!F56</f>
        <v>3</v>
      </c>
      <c r="G60" s="92">
        <f>tblIndicators!Y56</f>
        <v>1</v>
      </c>
      <c r="H60" s="92">
        <f>tblIndicators!Z56</f>
        <v>2</v>
      </c>
      <c r="I60" s="104">
        <f>tblIndicators!AA56</f>
        <v>0</v>
      </c>
      <c r="J60" s="92">
        <f>tblIndicators!AB56</f>
        <v>0</v>
      </c>
      <c r="K60" s="92">
        <f>CHOOSE(H60,"-",MIN(Data_2014_N!J60:BC60),I60)</f>
        <v>0.01</v>
      </c>
      <c r="L60" s="165">
        <f>CHOOSE(H60,"-",MAX(Data_2014_N!J60:BC60),J60)</f>
        <v>2.6</v>
      </c>
      <c r="M60" s="92">
        <f t="shared" si="1"/>
        <v>2.59</v>
      </c>
      <c r="N60" s="168" t="str">
        <f>REPT(" ",F60)&amp;tblIndicators!AE56</f>
        <v>   4.2.5) Rate of drug use </v>
      </c>
      <c r="O60" s="169">
        <f>tblIndicators!AD56</f>
        <v>0.0833333333333333</v>
      </c>
      <c r="P60" s="161">
        <f>IF($H60=0,0,CHOOSE($H60,SUMPRODUCT($O61:$O$67*P61:P$67*($E61:$E$67=$D60)),IF(ISNUMBER(Data_2014_N!J60),100*ABS($G60-(Data_2014_N!J60-$K60)/$M60),0),IF(ISNUMBER(Data_2014_N!J60),100*ABS($G60-(Data_2014_N!J60-$K60)/$M60),0)))</f>
        <v>99.6138996138996</v>
      </c>
      <c r="Q60" s="161">
        <f>IF($H60=0,0,CHOOSE($H60,SUMPRODUCT($O61:$O$67*Q61:Q$67*($E61:$E$67=$D60)),IF(ISNUMBER(Data_2014_N!K60),100*ABS($G60-(Data_2014_N!K60-$K60)/$M60),0),IF(ISNUMBER(Data_2014_N!K60),100*ABS($G60-(Data_2014_N!K60-$K60)/$M60),0)))</f>
        <v>77.2200772200772</v>
      </c>
      <c r="R60" s="161">
        <f>IF($H60=0,0,CHOOSE($H60,SUMPRODUCT($O61:$O$67*R61:R$67*($E61:$E$67=$D60)),IF(ISNUMBER(Data_2014_N!L60),100*ABS($G60-(Data_2014_N!L60-$K60)/$M60),0),IF(ISNUMBER(Data_2014_N!L60),100*ABS($G60-(Data_2014_N!L60-$K60)/$M60),0)))</f>
        <v>96.5250965250965</v>
      </c>
      <c r="S60" s="161">
        <f>IF($H60=0,0,CHOOSE($H60,SUMPRODUCT($O61:$O$67*S61:S$67*($E61:$E$67=$D60)),IF(ISNUMBER(Data_2014_N!M60),100*ABS($G60-(Data_2014_N!M60-$K60)/$M60),0),IF(ISNUMBER(Data_2014_N!M60),100*ABS($G60-(Data_2014_N!M60-$K60)/$M60),0)))</f>
        <v>0</v>
      </c>
      <c r="T60" s="161">
        <f>IF($H60=0,0,CHOOSE($H60,SUMPRODUCT($O61:$O$67*T61:T$67*($E61:$E$67=$D60)),IF(ISNUMBER(Data_2014_N!N60),100*ABS($G60-(Data_2014_N!N60-$K60)/$M60),0),IF(ISNUMBER(Data_2014_N!N60),100*ABS($G60-(Data_2014_N!N60-$K60)/$M60),0)))</f>
        <v>90.7335907335907</v>
      </c>
      <c r="U60" s="161">
        <f>IF($H60=0,0,CHOOSE($H60,SUMPRODUCT($O61:$O$67*U61:U$67*($E61:$E$67=$D60)),IF(ISNUMBER(Data_2014_N!O60),100*ABS($G60-(Data_2014_N!O60-$K60)/$M60),0),IF(ISNUMBER(Data_2014_N!O60),100*ABS($G60-(Data_2014_N!O60-$K60)/$M60),0)))</f>
        <v>65.6370656370656</v>
      </c>
      <c r="V60" s="161">
        <f>IF($H60=0,0,CHOOSE($H60,SUMPRODUCT($O61:$O$67*V61:V$67*($E61:$E$67=$D60)),IF(ISNUMBER(Data_2014_N!P60),100*ABS($G60-(Data_2014_N!P60-$K60)/$M60),0),IF(ISNUMBER(Data_2014_N!P60),100*ABS($G60-(Data_2014_N!P60-$K60)/$M60),0)))</f>
        <v>0</v>
      </c>
      <c r="W60" s="161">
        <f>IF($H60=0,0,CHOOSE($H60,SUMPRODUCT($O61:$O$67*W61:W$67*($E61:$E$67=$D60)),IF(ISNUMBER(Data_2014_N!Q60),100*ABS($G60-(Data_2014_N!Q60-$K60)/$M60),0),IF(ISNUMBER(Data_2014_N!Q60),100*ABS($G60-(Data_2014_N!Q60-$K60)/$M60),0)))</f>
        <v>7.72200772200773</v>
      </c>
      <c r="X60" s="161">
        <f>IF($H60=0,0,CHOOSE($H60,SUMPRODUCT($O61:$O$67*X61:X$67*($E61:$E$67=$D60)),IF(ISNUMBER(Data_2014_N!R60),100*ABS($G60-(Data_2014_N!R60-$K60)/$M60),0),IF(ISNUMBER(Data_2014_N!R60),100*ABS($G60-(Data_2014_N!R60-$K60)/$M60),0)))</f>
        <v>84.9420849420849</v>
      </c>
      <c r="Y60" s="161">
        <f>IF($H60=0,0,CHOOSE($H60,SUMPRODUCT($O61:$O$67*Y61:Y$67*($E61:$E$67=$D60)),IF(ISNUMBER(Data_2014_N!S60),100*ABS($G60-(Data_2014_N!S60-$K60)/$M60),0),IF(ISNUMBER(Data_2014_N!S60),100*ABS($G60-(Data_2014_N!S60-$K60)/$M60),0)))</f>
        <v>98.0694980694981</v>
      </c>
      <c r="Z60" s="161">
        <f>IF($H60=0,0,CHOOSE($H60,SUMPRODUCT($O61:$O$67*Z61:Z$67*($E61:$E$67=$D60)),IF(ISNUMBER(Data_2014_N!T60),100*ABS($G60-(Data_2014_N!T60-$K60)/$M60),0),IF(ISNUMBER(Data_2014_N!T60),100*ABS($G60-(Data_2014_N!T60-$K60)/$M60),0)))</f>
        <v>65.6370656370656</v>
      </c>
      <c r="AA60" s="161">
        <f>IF($H60=0,0,CHOOSE($H60,SUMPRODUCT($O61:$O$67*AA61:AA$67*($E61:$E$67=$D60)),IF(ISNUMBER(Data_2014_N!U60),100*ABS($G60-(Data_2014_N!U60-$K60)/$M60),0),IF(ISNUMBER(Data_2014_N!U60),100*ABS($G60-(Data_2014_N!U60-$K60)/$M60),0)))</f>
        <v>96.5250965250965</v>
      </c>
      <c r="AB60" s="161">
        <f>IF($H60=0,0,CHOOSE($H60,SUMPRODUCT($O61:$O$67*AB61:AB$67*($E61:$E$67=$D60)),IF(ISNUMBER(Data_2014_N!V60),100*ABS($G60-(Data_2014_N!V60-$K60)/$M60),0),IF(ISNUMBER(Data_2014_N!V60),100*ABS($G60-(Data_2014_N!V60-$K60)/$M60),0)))</f>
        <v>88.8030888030888</v>
      </c>
      <c r="AC60" s="161">
        <f>IF($H60=0,0,CHOOSE($H60,SUMPRODUCT($O61:$O$67*AC61:AC$67*($E61:$E$67=$D60)),IF(ISNUMBER(Data_2014_N!W60),100*ABS($G60-(Data_2014_N!W60-$K60)/$M60),0),IF(ISNUMBER(Data_2014_N!W60),100*ABS($G60-(Data_2014_N!W60-$K60)/$M60),0)))</f>
        <v>96.5250965250965</v>
      </c>
      <c r="AD60" s="161">
        <f>IF($H60=0,0,CHOOSE($H60,SUMPRODUCT($O61:$O$67*AD61:AD$67*($E61:$E$67=$D60)),IF(ISNUMBER(Data_2014_N!X60),100*ABS($G60-(Data_2014_N!X60-$K60)/$M60),0),IF(ISNUMBER(Data_2014_N!X60),100*ABS($G60-(Data_2014_N!X60-$K60)/$M60),0)))</f>
        <v>96.5250965250965</v>
      </c>
      <c r="AE60" s="161">
        <f>IF($H60=0,0,CHOOSE($H60,SUMPRODUCT($O61:$O$67*AE61:AE$67*($E61:$E$67=$D60)),IF(ISNUMBER(Data_2014_N!Y60),100*ABS($G60-(Data_2014_N!Y60-$K60)/$M60),0),IF(ISNUMBER(Data_2014_N!Y60),100*ABS($G60-(Data_2014_N!Y60-$K60)/$M60),0)))</f>
        <v>69.4980694980695</v>
      </c>
      <c r="AF60" s="161">
        <f>IF($H60=0,0,CHOOSE($H60,SUMPRODUCT($O61:$O$67*AF61:AF$67*($E61:$E$67=$D60)),IF(ISNUMBER(Data_2014_N!Z60),100*ABS($G60-(Data_2014_N!Z60-$K60)/$M60),0),IF(ISNUMBER(Data_2014_N!Z60),100*ABS($G60-(Data_2014_N!Z60-$K60)/$M60),0)))</f>
        <v>96.5250965250965</v>
      </c>
      <c r="AG60" s="161">
        <f>IF($H60=0,0,CHOOSE($H60,SUMPRODUCT($O61:$O$67*AG61:AG$67*($E61:$E$67=$D60)),IF(ISNUMBER(Data_2014_N!AA60),100*ABS($G60-(Data_2014_N!AA60-$K60)/$M60),0),IF(ISNUMBER(Data_2014_N!AA60),100*ABS($G60-(Data_2014_N!AA60-$K60)/$M60),0)))</f>
        <v>81.0810810810811</v>
      </c>
      <c r="AH60" s="161">
        <f>IF($H60=0,0,CHOOSE($H60,SUMPRODUCT($O61:$O$67*AH61:AH$67*($E61:$E$67=$D60)),IF(ISNUMBER(Data_2014_N!AB60),100*ABS($G60-(Data_2014_N!AB60-$K60)/$M60),0),IF(ISNUMBER(Data_2014_N!AB60),100*ABS($G60-(Data_2014_N!AB60-$K60)/$M60),0)))</f>
        <v>27.027027027027</v>
      </c>
      <c r="AI60" s="161">
        <f>IF($H60=0,0,CHOOSE($H60,SUMPRODUCT($O61:$O$67*AI61:AI$67*($E61:$E$67=$D60)),IF(ISNUMBER(Data_2014_N!AC60),100*ABS($G60-(Data_2014_N!AC60-$K60)/$M60),0),IF(ISNUMBER(Data_2014_N!AC60),100*ABS($G60-(Data_2014_N!AC60-$K60)/$M60),0)))</f>
        <v>7.72200772200773</v>
      </c>
      <c r="AJ60" s="161">
        <f>IF($H60=0,0,CHOOSE($H60,SUMPRODUCT($O61:$O$67*AJ61:AJ$67*($E61:$E$67=$D60)),IF(ISNUMBER(Data_2014_N!AD60),100*ABS($G60-(Data_2014_N!AD60-$K60)/$M60),0),IF(ISNUMBER(Data_2014_N!AD60),100*ABS($G60-(Data_2014_N!AD60-$K60)/$M60),0)))</f>
        <v>0</v>
      </c>
      <c r="AK60" s="161">
        <f>IF($H60=0,0,CHOOSE($H60,SUMPRODUCT($O61:$O$67*AK61:AK$67*($E61:$E$67=$D60)),IF(ISNUMBER(Data_2014_N!AE60),100*ABS($G60-(Data_2014_N!AE60-$K60)/$M60),0),IF(ISNUMBER(Data_2014_N!AE60),100*ABS($G60-(Data_2014_N!AE60-$K60)/$M60),0)))</f>
        <v>27.027027027027</v>
      </c>
      <c r="AL60" s="161">
        <f>IF($H60=0,0,CHOOSE($H60,SUMPRODUCT($O61:$O$67*AL61:AL$67*($E61:$E$67=$D60)),IF(ISNUMBER(Data_2014_N!AF60),100*ABS($G60-(Data_2014_N!AF60-$K60)/$M60),0),IF(ISNUMBER(Data_2014_N!AF60),100*ABS($G60-(Data_2014_N!AF60-$K60)/$M60),0)))</f>
        <v>84.9420849420849</v>
      </c>
      <c r="AM60" s="161">
        <f>IF($H60=0,0,CHOOSE($H60,SUMPRODUCT($O61:$O$67*AM61:AM$67*($E61:$E$67=$D60)),IF(ISNUMBER(Data_2014_N!AG60),100*ABS($G60-(Data_2014_N!AG60-$K60)/$M60),0),IF(ISNUMBER(Data_2014_N!AG60),100*ABS($G60-(Data_2014_N!AG60-$K60)/$M60),0)))</f>
        <v>15.4440154440154</v>
      </c>
      <c r="AN60" s="161">
        <f>IF($H60=0,0,CHOOSE($H60,SUMPRODUCT($O61:$O$67*AN61:AN$67*($E61:$E$67=$D60)),IF(ISNUMBER(Data_2014_N!AH60),100*ABS($G60-(Data_2014_N!AH60-$K60)/$M60),0),IF(ISNUMBER(Data_2014_N!AH60),100*ABS($G60-(Data_2014_N!AH60-$K60)/$M60),0)))</f>
        <v>92.6640926640927</v>
      </c>
      <c r="AO60" s="161">
        <f>IF($H60=0,0,CHOOSE($H60,SUMPRODUCT($O61:$O$67*AO61:AO$67*($E61:$E$67=$D60)),IF(ISNUMBER(Data_2014_N!AI60),100*ABS($G60-(Data_2014_N!AI60-$K60)/$M60),0),IF(ISNUMBER(Data_2014_N!AI60),100*ABS($G60-(Data_2014_N!AI60-$K60)/$M60),0)))</f>
        <v>84.9420849420849</v>
      </c>
      <c r="AP60" s="161">
        <f>IF($H60=0,0,CHOOSE($H60,SUMPRODUCT($O61:$O$67*AP61:AP$67*($E61:$E$67=$D60)),IF(ISNUMBER(Data_2014_N!AJ60),100*ABS($G60-(Data_2014_N!AJ60-$K60)/$M60),0),IF(ISNUMBER(Data_2014_N!AJ60),100*ABS($G60-(Data_2014_N!AJ60-$K60)/$M60),0)))</f>
        <v>7.72200772200773</v>
      </c>
      <c r="AQ60" s="161">
        <f>IF($H60=0,0,CHOOSE($H60,SUMPRODUCT($O61:$O$67*AQ61:AQ$67*($E61:$E$67=$D60)),IF(ISNUMBER(Data_2014_N!AK60),100*ABS($G60-(Data_2014_N!AK60-$K60)/$M60),0),IF(ISNUMBER(Data_2014_N!AK60),100*ABS($G60-(Data_2014_N!AK60-$K60)/$M60),0)))</f>
        <v>99.2277992277992</v>
      </c>
      <c r="AR60" s="161">
        <f>IF($H60=0,0,CHOOSE($H60,SUMPRODUCT($O61:$O$67*AR61:AR$67*($E61:$E$67=$D60)),IF(ISNUMBER(Data_2014_N!AL60),100*ABS($G60-(Data_2014_N!AL60-$K60)/$M60),0),IF(ISNUMBER(Data_2014_N!AL60),100*ABS($G60-(Data_2014_N!AL60-$K60)/$M60),0)))</f>
        <v>77.2200772200772</v>
      </c>
      <c r="AS60" s="161">
        <f>IF($H60=0,0,CHOOSE($H60,SUMPRODUCT($O61:$O$67*AS61:AS$67*($E61:$E$67=$D60)),IF(ISNUMBER(Data_2014_N!AM60),100*ABS($G60-(Data_2014_N!AM60-$K60)/$M60),0),IF(ISNUMBER(Data_2014_N!AM60),100*ABS($G60-(Data_2014_N!AM60-$K60)/$M60),0)))</f>
        <v>73.3590733590734</v>
      </c>
      <c r="AT60" s="161">
        <f>IF($H60=0,0,CHOOSE($H60,SUMPRODUCT($O61:$O$67*AT61:AT$67*($E61:$E$67=$D60)),IF(ISNUMBER(Data_2014_N!AN60),100*ABS($G60-(Data_2014_N!AN60-$K60)/$M60),0),IF(ISNUMBER(Data_2014_N!AN60),100*ABS($G60-(Data_2014_N!AN60-$K60)/$M60),0)))</f>
        <v>98.0694980694981</v>
      </c>
      <c r="AU60" s="161">
        <f>IF($H60=0,0,CHOOSE($H60,SUMPRODUCT($O61:$O$67*AU61:AU$67*($E61:$E$67=$D60)),IF(ISNUMBER(Data_2014_N!AO60),100*ABS($G60-(Data_2014_N!AO60-$K60)/$M60),0),IF(ISNUMBER(Data_2014_N!AO60),100*ABS($G60-(Data_2014_N!AO60-$K60)/$M60),0)))</f>
        <v>15.4440154440154</v>
      </c>
      <c r="AV60" s="161">
        <f>IF($H60=0,0,CHOOSE($H60,SUMPRODUCT($O61:$O$67*AV61:AV$67*($E61:$E$67=$D60)),IF(ISNUMBER(Data_2014_N!AP60),100*ABS($G60-(Data_2014_N!AP60-$K60)/$M60),0),IF(ISNUMBER(Data_2014_N!AP60),100*ABS($G60-(Data_2014_N!AP60-$K60)/$M60),0)))</f>
        <v>7.72200772200773</v>
      </c>
      <c r="AW60" s="161">
        <f>IF($H60=0,0,CHOOSE($H60,SUMPRODUCT($O61:$O$67*AW61:AW$67*($E61:$E$67=$D60)),IF(ISNUMBER(Data_2014_N!AQ60),100*ABS($G60-(Data_2014_N!AQ60-$K60)/$M60),0),IF(ISNUMBER(Data_2014_N!AQ60),100*ABS($G60-(Data_2014_N!AQ60-$K60)/$M60),0)))</f>
        <v>7.72200772200773</v>
      </c>
      <c r="AX60" s="161">
        <f>IF($H60=0,0,CHOOSE($H60,SUMPRODUCT($O61:$O$67*AX61:AX$67*($E61:$E$67=$D60)),IF(ISNUMBER(Data_2014_N!AR60),100*ABS($G60-(Data_2014_N!AR60-$K60)/$M60),0),IF(ISNUMBER(Data_2014_N!AR60),100*ABS($G60-(Data_2014_N!AR60-$K60)/$M60),0)))</f>
        <v>73.3590733590734</v>
      </c>
      <c r="AY60" s="161">
        <f>IF($H60=0,0,CHOOSE($H60,SUMPRODUCT($O61:$O$67*AY61:AY$67*($E61:$E$67=$D60)),IF(ISNUMBER(Data_2014_N!AS60),100*ABS($G60-(Data_2014_N!AS60-$K60)/$M60),0),IF(ISNUMBER(Data_2014_N!AS60),100*ABS($G60-(Data_2014_N!AS60-$K60)/$M60),0)))</f>
        <v>96.5250965250965</v>
      </c>
      <c r="AZ60" s="161">
        <f>IF($H60=0,0,CHOOSE($H60,SUMPRODUCT($O61:$O$67*AZ61:AZ$67*($E61:$E$67=$D60)),IF(ISNUMBER(Data_2014_N!AT60),100*ABS($G60-(Data_2014_N!AT60-$K60)/$M60),0),IF(ISNUMBER(Data_2014_N!AT60),100*ABS($G60-(Data_2014_N!AT60-$K60)/$M60),0)))</f>
        <v>90.7335907335907</v>
      </c>
      <c r="BA60" s="161">
        <f>IF($H60=0,0,CHOOSE($H60,SUMPRODUCT($O61:$O$67*BA61:BA$67*($E61:$E$67=$D60)),IF(ISNUMBER(Data_2014_N!AU60),100*ABS($G60-(Data_2014_N!AU60-$K60)/$M60),0),IF(ISNUMBER(Data_2014_N!AU60),100*ABS($G60-(Data_2014_N!AU60-$K60)/$M60),0)))</f>
        <v>100</v>
      </c>
      <c r="BB60" s="161">
        <f>IF($H60=0,0,CHOOSE($H60,SUMPRODUCT($O61:$O$67*BB61:BB$67*($E61:$E$67=$D60)),IF(ISNUMBER(Data_2014_N!AV60),100*ABS($G60-(Data_2014_N!AV60-$K60)/$M60),0),IF(ISNUMBER(Data_2014_N!AV60),100*ABS($G60-(Data_2014_N!AV60-$K60)/$M60),0)))</f>
        <v>81.0810810810811</v>
      </c>
      <c r="BC60" s="161">
        <f>IF($H60=0,0,CHOOSE($H60,SUMPRODUCT($O61:$O$67*BC61:BC$67*($E61:$E$67=$D60)),IF(ISNUMBER(Data_2014_N!AW60),100*ABS($G60-(Data_2014_N!AW60-$K60)/$M60),0),IF(ISNUMBER(Data_2014_N!AW60),100*ABS($G60-(Data_2014_N!AW60-$K60)/$M60),0)))</f>
        <v>27.027027027027</v>
      </c>
      <c r="BD60" s="161">
        <f>IF($H60=0,0,CHOOSE($H60,SUMPRODUCT($O61:$O$67*BD61:BD$67*($E61:$E$67=$D60)),IF(ISNUMBER(Data_2014_N!AX60),100*ABS($G60-(Data_2014_N!AX60-$K60)/$M60),0),IF(ISNUMBER(Data_2014_N!AX60),100*ABS($G60-(Data_2014_N!AX60-$K60)/$M60),0)))</f>
        <v>96.5250965250965</v>
      </c>
      <c r="BE60" s="161">
        <f>IF($H60=0,0,CHOOSE($H60,SUMPRODUCT($O61:$O$67*BE61:BE$67*($E61:$E$67=$D60)),IF(ISNUMBER(Data_2014_N!AY60),100*ABS($G60-(Data_2014_N!AY60-$K60)/$M60),0),IF(ISNUMBER(Data_2014_N!AY60),100*ABS($G60-(Data_2014_N!AY60-$K60)/$M60),0)))</f>
        <v>96.5250965250965</v>
      </c>
      <c r="BF60" s="161">
        <f>IF($H60=0,0,CHOOSE($H60,SUMPRODUCT($O61:$O$67*BF61:BF$67*($E61:$E$67=$D60)),IF(ISNUMBER(Data_2014_N!AZ60),100*ABS($G60-(Data_2014_N!AZ60-$K60)/$M60),0),IF(ISNUMBER(Data_2014_N!AZ60),100*ABS($G60-(Data_2014_N!AZ60-$K60)/$M60),0)))</f>
        <v>99.2277992277992</v>
      </c>
      <c r="BG60" s="161">
        <f>IF($H60=0,0,CHOOSE($H60,SUMPRODUCT($O61:$O$67*BG61:BG$67*($E61:$E$67=$D60)),IF(ISNUMBER(Data_2014_N!BA60),100*ABS($G60-(Data_2014_N!BA60-$K60)/$M60),0),IF(ISNUMBER(Data_2014_N!BA60),100*ABS($G60-(Data_2014_N!BA60-$K60)/$M60),0)))</f>
        <v>46.3320463320463</v>
      </c>
      <c r="BH60" s="161">
        <f>IF($H60=0,0,CHOOSE($H60,SUMPRODUCT($O61:$O$67*BH61:BH$67*($E61:$E$67=$D60)),IF(ISNUMBER(Data_2014_N!BB60),100*ABS($G60-(Data_2014_N!BB60-$K60)/$M60),0),IF(ISNUMBER(Data_2014_N!BB60),100*ABS($G60-(Data_2014_N!BB60-$K60)/$M60),0)))</f>
        <v>7.72200772200773</v>
      </c>
      <c r="BI60" s="161">
        <f>IF($H60=0,0,CHOOSE($H60,SUMPRODUCT($O61:$O$67*BI61:BI$67*($E61:$E$67=$D60)),IF(ISNUMBER(Data_2014_N!BC60),100*ABS($G60-(Data_2014_N!BC60-$K60)/$M60),0),IF(ISNUMBER(Data_2014_N!BC60),100*ABS($G60-(Data_2014_N!BC60-$K60)/$M60),0)))</f>
        <v>92.6640926640927</v>
      </c>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row>
    <row r="61" s="69" customFormat="1" ht="24.95" customHeight="1" spans="1:115">
      <c r="A61" s="92"/>
      <c r="B61" s="92">
        <f>tblIndicators!A57</f>
        <v>56</v>
      </c>
      <c r="C61" s="92">
        <f>tblIndicators!B57</f>
        <v>0</v>
      </c>
      <c r="D61" s="92" t="str">
        <f>tblIndicators!D57</f>
        <v>PESE4.2.6</v>
      </c>
      <c r="E61" s="92" t="str">
        <f>tblIndicators!E57</f>
        <v>PESE4.2</v>
      </c>
      <c r="F61" s="92">
        <f>tblIndicators!F57</f>
        <v>3</v>
      </c>
      <c r="G61" s="92">
        <f>tblIndicators!Y57</f>
        <v>1</v>
      </c>
      <c r="H61" s="92">
        <f>tblIndicators!Z57</f>
        <v>2</v>
      </c>
      <c r="I61" s="104">
        <f>tblIndicators!AA57</f>
        <v>0</v>
      </c>
      <c r="J61" s="92">
        <f>tblIndicators!AB57</f>
        <v>0</v>
      </c>
      <c r="K61" s="92">
        <f>CHOOSE(H61,"-",MIN(Data_2014_N!J61:BC61),I61)</f>
        <v>0</v>
      </c>
      <c r="L61" s="165">
        <f>CHOOSE(H61,"-",MAX(Data_2014_N!J61:BC61),J61)</f>
        <v>8.6</v>
      </c>
      <c r="M61" s="92">
        <f t="shared" si="1"/>
        <v>8.6</v>
      </c>
      <c r="N61" s="168" t="str">
        <f>REPT(" ",F61)&amp;tblIndicators!AE57</f>
        <v>   4.2.6) Frequency of terrorist attacks </v>
      </c>
      <c r="O61" s="169">
        <f>tblIndicators!AD57</f>
        <v>0.0833333333333333</v>
      </c>
      <c r="P61" s="161">
        <f>IF($H61=0,0,CHOOSE($H61,SUMPRODUCT($O62:$O$67*P62:P$67*($E62:$E$67=$D61)),IF(ISNUMBER(Data_2014_N!J61),100*ABS($G61-(Data_2014_N!J61-$K61)/$M61),0),IF(ISNUMBER(Data_2014_N!J61),100*ABS($G61-(Data_2014_N!J61-$K61)/$M61),0)))</f>
        <v>100</v>
      </c>
      <c r="Q61" s="161">
        <f>IF($H61=0,0,CHOOSE($H61,SUMPRODUCT($O62:$O$67*Q62:Q$67*($E62:$E$67=$D61)),IF(ISNUMBER(Data_2014_N!K61),100*ABS($G61-(Data_2014_N!K61-$K61)/$M61),0),IF(ISNUMBER(Data_2014_N!K61),100*ABS($G61-(Data_2014_N!K61-$K61)/$M61),0)))</f>
        <v>98.8372093023256</v>
      </c>
      <c r="R61" s="161">
        <f>IF($H61=0,0,CHOOSE($H61,SUMPRODUCT($O62:$O$67*R62:R$67*($E62:$E$67=$D61)),IF(ISNUMBER(Data_2014_N!L61),100*ABS($G61-(Data_2014_N!L61-$K61)/$M61),0),IF(ISNUMBER(Data_2014_N!L61),100*ABS($G61-(Data_2014_N!L61-$K61)/$M61),0)))</f>
        <v>0</v>
      </c>
      <c r="S61" s="161">
        <f>IF($H61=0,0,CHOOSE($H61,SUMPRODUCT($O62:$O$67*S62:S$67*($E62:$E$67=$D61)),IF(ISNUMBER(Data_2014_N!M61),100*ABS($G61-(Data_2014_N!M61-$K61)/$M61),0),IF(ISNUMBER(Data_2014_N!M61),100*ABS($G61-(Data_2014_N!M61-$K61)/$M61),0)))</f>
        <v>98.8372093023256</v>
      </c>
      <c r="T61" s="161">
        <f>IF($H61=0,0,CHOOSE($H61,SUMPRODUCT($O62:$O$67*T62:T$67*($E62:$E$67=$D61)),IF(ISNUMBER(Data_2014_N!N61),100*ABS($G61-(Data_2014_N!N61-$K61)/$M61),0),IF(ISNUMBER(Data_2014_N!N61),100*ABS($G61-(Data_2014_N!N61-$K61)/$M61),0)))</f>
        <v>96.5116279069768</v>
      </c>
      <c r="U61" s="161">
        <f>IF($H61=0,0,CHOOSE($H61,SUMPRODUCT($O62:$O$67*U62:U$67*($E62:$E$67=$D61)),IF(ISNUMBER(Data_2014_N!O61),100*ABS($G61-(Data_2014_N!O61-$K61)/$M61),0),IF(ISNUMBER(Data_2014_N!O61),100*ABS($G61-(Data_2014_N!O61-$K61)/$M61),0)))</f>
        <v>97.6744186046512</v>
      </c>
      <c r="V61" s="161">
        <f>IF($H61=0,0,CHOOSE($H61,SUMPRODUCT($O62:$O$67*V62:V$67*($E62:$E$67=$D61)),IF(ISNUMBER(Data_2014_N!P61),100*ABS($G61-(Data_2014_N!P61-$K61)/$M61),0),IF(ISNUMBER(Data_2014_N!P61),100*ABS($G61-(Data_2014_N!P61-$K61)/$M61),0)))</f>
        <v>87.2093023255814</v>
      </c>
      <c r="W61" s="161">
        <f>IF($H61=0,0,CHOOSE($H61,SUMPRODUCT($O62:$O$67*W62:W$67*($E62:$E$67=$D61)),IF(ISNUMBER(Data_2014_N!Q61),100*ABS($G61-(Data_2014_N!Q61-$K61)/$M61),0),IF(ISNUMBER(Data_2014_N!Q61),100*ABS($G61-(Data_2014_N!Q61-$K61)/$M61),0)))</f>
        <v>100</v>
      </c>
      <c r="X61" s="161">
        <f>IF($H61=0,0,CHOOSE($H61,SUMPRODUCT($O62:$O$67*X62:X$67*($E62:$E$67=$D61)),IF(ISNUMBER(Data_2014_N!R61),100*ABS($G61-(Data_2014_N!R61-$K61)/$M61),0),IF(ISNUMBER(Data_2014_N!R61),100*ABS($G61-(Data_2014_N!R61-$K61)/$M61),0)))</f>
        <v>83.7209302325581</v>
      </c>
      <c r="Y61" s="161">
        <f>IF($H61=0,0,CHOOSE($H61,SUMPRODUCT($O62:$O$67*Y62:Y$67*($E62:$E$67=$D61)),IF(ISNUMBER(Data_2014_N!S61),100*ABS($G61-(Data_2014_N!S61-$K61)/$M61),0),IF(ISNUMBER(Data_2014_N!S61),100*ABS($G61-(Data_2014_N!S61-$K61)/$M61),0)))</f>
        <v>98.8372093023256</v>
      </c>
      <c r="Z61" s="161">
        <f>IF($H61=0,0,CHOOSE($H61,SUMPRODUCT($O62:$O$67*Z62:Z$67*($E62:$E$67=$D61)),IF(ISNUMBER(Data_2014_N!T61),100*ABS($G61-(Data_2014_N!T61-$K61)/$M61),0),IF(ISNUMBER(Data_2014_N!T61),100*ABS($G61-(Data_2014_N!T61-$K61)/$M61),0)))</f>
        <v>97.6744186046512</v>
      </c>
      <c r="AA61" s="161">
        <f>IF($H61=0,0,CHOOSE($H61,SUMPRODUCT($O62:$O$67*AA62:AA$67*($E62:$E$67=$D61)),IF(ISNUMBER(Data_2014_N!U61),100*ABS($G61-(Data_2014_N!U61-$K61)/$M61),0),IF(ISNUMBER(Data_2014_N!U61),100*ABS($G61-(Data_2014_N!U61-$K61)/$M61),0)))</f>
        <v>100</v>
      </c>
      <c r="AB61" s="161">
        <f>IF($H61=0,0,CHOOSE($H61,SUMPRODUCT($O62:$O$67*AB62:AB$67*($E62:$E$67=$D61)),IF(ISNUMBER(Data_2014_N!V61),100*ABS($G61-(Data_2014_N!V61-$K61)/$M61),0),IF(ISNUMBER(Data_2014_N!V61),100*ABS($G61-(Data_2014_N!V61-$K61)/$M61),0)))</f>
        <v>98.8372093023256</v>
      </c>
      <c r="AC61" s="161">
        <f>IF($H61=0,0,CHOOSE($H61,SUMPRODUCT($O62:$O$67*AC62:AC$67*($E62:$E$67=$D61)),IF(ISNUMBER(Data_2014_N!W61),100*ABS($G61-(Data_2014_N!W61-$K61)/$M61),0),IF(ISNUMBER(Data_2014_N!W61),100*ABS($G61-(Data_2014_N!W61-$K61)/$M61),0)))</f>
        <v>36.046511627907</v>
      </c>
      <c r="AD61" s="161">
        <f>IF($H61=0,0,CHOOSE($H61,SUMPRODUCT($O62:$O$67*AD62:AD$67*($E62:$E$67=$D61)),IF(ISNUMBER(Data_2014_N!X61),100*ABS($G61-(Data_2014_N!X61-$K61)/$M61),0),IF(ISNUMBER(Data_2014_N!X61),100*ABS($G61-(Data_2014_N!X61-$K61)/$M61),0)))</f>
        <v>77.9069767441861</v>
      </c>
      <c r="AE61" s="161">
        <f>IF($H61=0,0,CHOOSE($H61,SUMPRODUCT($O62:$O$67*AE62:AE$67*($E62:$E$67=$D61)),IF(ISNUMBER(Data_2014_N!Y61),100*ABS($G61-(Data_2014_N!Y61-$K61)/$M61),0),IF(ISNUMBER(Data_2014_N!Y61),100*ABS($G61-(Data_2014_N!Y61-$K61)/$M61),0)))</f>
        <v>98.8372093023256</v>
      </c>
      <c r="AF61" s="161">
        <f>IF($H61=0,0,CHOOSE($H61,SUMPRODUCT($O62:$O$67*AF62:AF$67*($E62:$E$67=$D61)),IF(ISNUMBER(Data_2014_N!Z61),100*ABS($G61-(Data_2014_N!Z61-$K61)/$M61),0),IF(ISNUMBER(Data_2014_N!Z61),100*ABS($G61-(Data_2014_N!Z61-$K61)/$M61),0)))</f>
        <v>100</v>
      </c>
      <c r="AG61" s="161">
        <f>IF($H61=0,0,CHOOSE($H61,SUMPRODUCT($O62:$O$67*AG62:AG$67*($E62:$E$67=$D61)),IF(ISNUMBER(Data_2014_N!AA61),100*ABS($G61-(Data_2014_N!AA61-$K61)/$M61),0),IF(ISNUMBER(Data_2014_N!AA61),100*ABS($G61-(Data_2014_N!AA61-$K61)/$M61),0)))</f>
        <v>98.8372093023256</v>
      </c>
      <c r="AH61" s="161">
        <f>IF($H61=0,0,CHOOSE($H61,SUMPRODUCT($O62:$O$67*AH62:AH$67*($E62:$E$67=$D61)),IF(ISNUMBER(Data_2014_N!AB61),100*ABS($G61-(Data_2014_N!AB61-$K61)/$M61),0),IF(ISNUMBER(Data_2014_N!AB61),100*ABS($G61-(Data_2014_N!AB61-$K61)/$M61),0)))</f>
        <v>72.0930232558139</v>
      </c>
      <c r="AI61" s="161">
        <f>IF($H61=0,0,CHOOSE($H61,SUMPRODUCT($O62:$O$67*AI62:AI$67*($E62:$E$67=$D61)),IF(ISNUMBER(Data_2014_N!AC61),100*ABS($G61-(Data_2014_N!AC61-$K61)/$M61),0),IF(ISNUMBER(Data_2014_N!AC61),100*ABS($G61-(Data_2014_N!AC61-$K61)/$M61),0)))</f>
        <v>90.6976744186046</v>
      </c>
      <c r="AJ61" s="161">
        <f>IF($H61=0,0,CHOOSE($H61,SUMPRODUCT($O62:$O$67*AJ62:AJ$67*($E62:$E$67=$D61)),IF(ISNUMBER(Data_2014_N!AD61),100*ABS($G61-(Data_2014_N!AD61-$K61)/$M61),0),IF(ISNUMBER(Data_2014_N!AD61),100*ABS($G61-(Data_2014_N!AD61-$K61)/$M61),0)))</f>
        <v>77.9069767441861</v>
      </c>
      <c r="AK61" s="161">
        <f>IF($H61=0,0,CHOOSE($H61,SUMPRODUCT($O62:$O$67*AK62:AK$67*($E62:$E$67=$D61)),IF(ISNUMBER(Data_2014_N!AE61),100*ABS($G61-(Data_2014_N!AE61-$K61)/$M61),0),IF(ISNUMBER(Data_2014_N!AE61),100*ABS($G61-(Data_2014_N!AE61-$K61)/$M61),0)))</f>
        <v>100</v>
      </c>
      <c r="AL61" s="161">
        <f>IF($H61=0,0,CHOOSE($H61,SUMPRODUCT($O62:$O$67*AL62:AL$67*($E62:$E$67=$D61)),IF(ISNUMBER(Data_2014_N!AF61),100*ABS($G61-(Data_2014_N!AF61-$K61)/$M61),0),IF(ISNUMBER(Data_2014_N!AF61),100*ABS($G61-(Data_2014_N!AF61-$K61)/$M61),0)))</f>
        <v>93.0232558139535</v>
      </c>
      <c r="AM61" s="161">
        <f>IF($H61=0,0,CHOOSE($H61,SUMPRODUCT($O62:$O$67*AM62:AM$67*($E62:$E$67=$D61)),IF(ISNUMBER(Data_2014_N!AG61),100*ABS($G61-(Data_2014_N!AG61-$K61)/$M61),0),IF(ISNUMBER(Data_2014_N!AG61),100*ABS($G61-(Data_2014_N!AG61-$K61)/$M61),0)))</f>
        <v>91.8604651162791</v>
      </c>
      <c r="AN61" s="161">
        <f>IF($H61=0,0,CHOOSE($H61,SUMPRODUCT($O62:$O$67*AN62:AN$67*($E62:$E$67=$D61)),IF(ISNUMBER(Data_2014_N!AH61),100*ABS($G61-(Data_2014_N!AH61-$K61)/$M61),0),IF(ISNUMBER(Data_2014_N!AH61),100*ABS($G61-(Data_2014_N!AH61-$K61)/$M61),0)))</f>
        <v>74.4186046511628</v>
      </c>
      <c r="AO61" s="161">
        <f>IF($H61=0,0,CHOOSE($H61,SUMPRODUCT($O62:$O$67*AO62:AO$67*($E62:$E$67=$D61)),IF(ISNUMBER(Data_2014_N!AI61),100*ABS($G61-(Data_2014_N!AI61-$K61)/$M61),0),IF(ISNUMBER(Data_2014_N!AI61),100*ABS($G61-(Data_2014_N!AI61-$K61)/$M61),0)))</f>
        <v>84.8837209302326</v>
      </c>
      <c r="AP61" s="161">
        <f>IF($H61=0,0,CHOOSE($H61,SUMPRODUCT($O62:$O$67*AP62:AP$67*($E62:$E$67=$D61)),IF(ISNUMBER(Data_2014_N!AJ61),100*ABS($G61-(Data_2014_N!AJ61-$K61)/$M61),0),IF(ISNUMBER(Data_2014_N!AJ61),100*ABS($G61-(Data_2014_N!AJ61-$K61)/$M61),0)))</f>
        <v>90.6976744186046</v>
      </c>
      <c r="AQ61" s="161">
        <f>IF($H61=0,0,CHOOSE($H61,SUMPRODUCT($O62:$O$67*AQ62:AQ$67*($E62:$E$67=$D61)),IF(ISNUMBER(Data_2014_N!AK61),100*ABS($G61-(Data_2014_N!AK61-$K61)/$M61),0),IF(ISNUMBER(Data_2014_N!AK61),100*ABS($G61-(Data_2014_N!AK61-$K61)/$M61),0)))</f>
        <v>100</v>
      </c>
      <c r="AR61" s="161">
        <f>IF($H61=0,0,CHOOSE($H61,SUMPRODUCT($O62:$O$67*AR62:AR$67*($E62:$E$67=$D61)),IF(ISNUMBER(Data_2014_N!AL61),100*ABS($G61-(Data_2014_N!AL61-$K61)/$M61),0),IF(ISNUMBER(Data_2014_N!AL61),100*ABS($G61-(Data_2014_N!AL61-$K61)/$M61),0)))</f>
        <v>88.3720930232558</v>
      </c>
      <c r="AS61" s="161">
        <f>IF($H61=0,0,CHOOSE($H61,SUMPRODUCT($O62:$O$67*AS62:AS$67*($E62:$E$67=$D61)),IF(ISNUMBER(Data_2014_N!AM61),100*ABS($G61-(Data_2014_N!AM61-$K61)/$M61),0),IF(ISNUMBER(Data_2014_N!AM61),100*ABS($G61-(Data_2014_N!AM61-$K61)/$M61),0)))</f>
        <v>100</v>
      </c>
      <c r="AT61" s="161">
        <f>IF($H61=0,0,CHOOSE($H61,SUMPRODUCT($O62:$O$67*AT62:AT$67*($E62:$E$67=$D61)),IF(ISNUMBER(Data_2014_N!AN61),100*ABS($G61-(Data_2014_N!AN61-$K61)/$M61),0),IF(ISNUMBER(Data_2014_N!AN61),100*ABS($G61-(Data_2014_N!AN61-$K61)/$M61),0)))</f>
        <v>86.046511627907</v>
      </c>
      <c r="AU61" s="161">
        <f>IF($H61=0,0,CHOOSE($H61,SUMPRODUCT($O62:$O$67*AU62:AU$67*($E62:$E$67=$D61)),IF(ISNUMBER(Data_2014_N!AO61),100*ABS($G61-(Data_2014_N!AO61-$K61)/$M61),0),IF(ISNUMBER(Data_2014_N!AO61),100*ABS($G61-(Data_2014_N!AO61-$K61)/$M61),0)))</f>
        <v>89.5348837209302</v>
      </c>
      <c r="AV61" s="161">
        <f>IF($H61=0,0,CHOOSE($H61,SUMPRODUCT($O62:$O$67*AV62:AV$67*($E62:$E$67=$D61)),IF(ISNUMBER(Data_2014_N!AP61),100*ABS($G61-(Data_2014_N!AP61-$K61)/$M61),0),IF(ISNUMBER(Data_2014_N!AP61),100*ABS($G61-(Data_2014_N!AP61-$K61)/$M61),0)))</f>
        <v>98.8372093023256</v>
      </c>
      <c r="AW61" s="161">
        <f>IF($H61=0,0,CHOOSE($H61,SUMPRODUCT($O62:$O$67*AW62:AW$67*($E62:$E$67=$D61)),IF(ISNUMBER(Data_2014_N!AQ61),100*ABS($G61-(Data_2014_N!AQ61-$K61)/$M61),0),IF(ISNUMBER(Data_2014_N!AQ61),100*ABS($G61-(Data_2014_N!AQ61-$K61)/$M61),0)))</f>
        <v>62.7906976744186</v>
      </c>
      <c r="AX61" s="161">
        <f>IF($H61=0,0,CHOOSE($H61,SUMPRODUCT($O62:$O$67*AX62:AX$67*($E62:$E$67=$D61)),IF(ISNUMBER(Data_2014_N!AR61),100*ABS($G61-(Data_2014_N!AR61-$K61)/$M61),0),IF(ISNUMBER(Data_2014_N!AR61),100*ABS($G61-(Data_2014_N!AR61-$K61)/$M61),0)))</f>
        <v>97.6744186046512</v>
      </c>
      <c r="AY61" s="161">
        <f>IF($H61=0,0,CHOOSE($H61,SUMPRODUCT($O62:$O$67*AY62:AY$67*($E62:$E$67=$D61)),IF(ISNUMBER(Data_2014_N!AS61),100*ABS($G61-(Data_2014_N!AS61-$K61)/$M61),0),IF(ISNUMBER(Data_2014_N!AS61),100*ABS($G61-(Data_2014_N!AS61-$K61)/$M61),0)))</f>
        <v>98.8372093023256</v>
      </c>
      <c r="AZ61" s="161">
        <f>IF($H61=0,0,CHOOSE($H61,SUMPRODUCT($O62:$O$67*AZ62:AZ$67*($E62:$E$67=$D61)),IF(ISNUMBER(Data_2014_N!AT61),100*ABS($G61-(Data_2014_N!AT61-$K61)/$M61),0),IF(ISNUMBER(Data_2014_N!AT61),100*ABS($G61-(Data_2014_N!AT61-$K61)/$M61),0)))</f>
        <v>100</v>
      </c>
      <c r="BA61" s="161">
        <f>IF($H61=0,0,CHOOSE($H61,SUMPRODUCT($O62:$O$67*BA62:BA$67*($E62:$E$67=$D61)),IF(ISNUMBER(Data_2014_N!AU61),100*ABS($G61-(Data_2014_N!AU61-$K61)/$M61),0),IF(ISNUMBER(Data_2014_N!AU61),100*ABS($G61-(Data_2014_N!AU61-$K61)/$M61),0)))</f>
        <v>100</v>
      </c>
      <c r="BB61" s="161">
        <f>IF($H61=0,0,CHOOSE($H61,SUMPRODUCT($O62:$O$67*BB62:BB$67*($E62:$E$67=$D61)),IF(ISNUMBER(Data_2014_N!AV61),100*ABS($G61-(Data_2014_N!AV61-$K61)/$M61),0),IF(ISNUMBER(Data_2014_N!AV61),100*ABS($G61-(Data_2014_N!AV61-$K61)/$M61),0)))</f>
        <v>95.3488372093023</v>
      </c>
      <c r="BC61" s="161">
        <f>IF($H61=0,0,CHOOSE($H61,SUMPRODUCT($O62:$O$67*BC62:BC$67*($E62:$E$67=$D61)),IF(ISNUMBER(Data_2014_N!AW61),100*ABS($G61-(Data_2014_N!AW61-$K61)/$M61),0),IF(ISNUMBER(Data_2014_N!AW61),100*ABS($G61-(Data_2014_N!AW61-$K61)/$M61),0)))</f>
        <v>100</v>
      </c>
      <c r="BD61" s="161">
        <f>IF($H61=0,0,CHOOSE($H61,SUMPRODUCT($O62:$O$67*BD62:BD$67*($E62:$E$67=$D61)),IF(ISNUMBER(Data_2014_N!AX61),100*ABS($G61-(Data_2014_N!AX61-$K61)/$M61),0),IF(ISNUMBER(Data_2014_N!AX61),100*ABS($G61-(Data_2014_N!AX61-$K61)/$M61),0)))</f>
        <v>97.6744186046512</v>
      </c>
      <c r="BE61" s="161">
        <f>IF($H61=0,0,CHOOSE($H61,SUMPRODUCT($O62:$O$67*BE62:BE$67*($E62:$E$67=$D61)),IF(ISNUMBER(Data_2014_N!AY61),100*ABS($G61-(Data_2014_N!AY61-$K61)/$M61),0),IF(ISNUMBER(Data_2014_N!AY61),100*ABS($G61-(Data_2014_N!AY61-$K61)/$M61),0)))</f>
        <v>87.2093023255814</v>
      </c>
      <c r="BF61" s="161">
        <f>IF($H61=0,0,CHOOSE($H61,SUMPRODUCT($O62:$O$67*BF62:BF$67*($E62:$E$67=$D61)),IF(ISNUMBER(Data_2014_N!AZ61),100*ABS($G61-(Data_2014_N!AZ61-$K61)/$M61),0),IF(ISNUMBER(Data_2014_N!AZ61),100*ABS($G61-(Data_2014_N!AZ61-$K61)/$M61),0)))</f>
        <v>100</v>
      </c>
      <c r="BG61" s="161">
        <f>IF($H61=0,0,CHOOSE($H61,SUMPRODUCT($O62:$O$67*BG62:BG$67*($E62:$E$67=$D61)),IF(ISNUMBER(Data_2014_N!BA61),100*ABS($G61-(Data_2014_N!BA61-$K61)/$M61),0),IF(ISNUMBER(Data_2014_N!BA61),100*ABS($G61-(Data_2014_N!BA61-$K61)/$M61),0)))</f>
        <v>98.8372093023256</v>
      </c>
      <c r="BH61" s="161">
        <f>IF($H61=0,0,CHOOSE($H61,SUMPRODUCT($O62:$O$67*BH62:BH$67*($E62:$E$67=$D61)),IF(ISNUMBER(Data_2014_N!BB61),100*ABS($G61-(Data_2014_N!BB61-$K61)/$M61),0),IF(ISNUMBER(Data_2014_N!BB61),100*ABS($G61-(Data_2014_N!BB61-$K61)/$M61),0)))</f>
        <v>96.5116279069768</v>
      </c>
      <c r="BI61" s="161">
        <f>IF($H61=0,0,CHOOSE($H61,SUMPRODUCT($O62:$O$67*BI62:BI$67*($E62:$E$67=$D61)),IF(ISNUMBER(Data_2014_N!BC61),100*ABS($G61-(Data_2014_N!BC61-$K61)/$M61),0),IF(ISNUMBER(Data_2014_N!BC61),100*ABS($G61-(Data_2014_N!BC61-$K61)/$M61),0)))</f>
        <v>98.8372093023256</v>
      </c>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row>
    <row r="62" s="69" customFormat="1" ht="24.95" customHeight="1" spans="1:115">
      <c r="A62" s="92"/>
      <c r="B62" s="92">
        <f>tblIndicators!A58</f>
        <v>57</v>
      </c>
      <c r="C62" s="92">
        <f>tblIndicators!B58</f>
        <v>0</v>
      </c>
      <c r="D62" s="92" t="str">
        <f>tblIndicators!D58</f>
        <v>PESE4.2.7</v>
      </c>
      <c r="E62" s="92" t="str">
        <f>tblIndicators!E58</f>
        <v>PESE4.2</v>
      </c>
      <c r="F62" s="92">
        <f>tblIndicators!F58</f>
        <v>3</v>
      </c>
      <c r="G62" s="92">
        <f>tblIndicators!Y58</f>
        <v>1</v>
      </c>
      <c r="H62" s="92">
        <f>tblIndicators!Z58</f>
        <v>2</v>
      </c>
      <c r="I62" s="104">
        <f>tblIndicators!AA58</f>
        <v>0</v>
      </c>
      <c r="J62" s="92">
        <f>tblIndicators!AB58</f>
        <v>0</v>
      </c>
      <c r="K62" s="92">
        <f>CHOOSE(H62,"-",MIN(Data_2014_N!J62:BC62),I62)</f>
        <v>0</v>
      </c>
      <c r="L62" s="165">
        <f>CHOOSE(H62,"-",MAX(Data_2014_N!J62:BC62),J62)</f>
        <v>208.9</v>
      </c>
      <c r="M62" s="92">
        <f t="shared" si="1"/>
        <v>208.9</v>
      </c>
      <c r="N62" s="168" t="str">
        <f>REPT(" ",F62)&amp;tblIndicators!AE58</f>
        <v>   4.2.7) Severity of terrorist attacks</v>
      </c>
      <c r="O62" s="169">
        <f>tblIndicators!AD58</f>
        <v>0.0833333333333333</v>
      </c>
      <c r="P62" s="161">
        <f>IF($H62=0,0,CHOOSE($H62,SUMPRODUCT($O63:$O$67*P63:P$67*($E63:$E$67=$D62)),IF(ISNUMBER(Data_2014_N!J62),100*ABS($G62-(Data_2014_N!J62-$K62)/$M62),0),IF(ISNUMBER(Data_2014_N!J62),100*ABS($G62-(Data_2014_N!J62-$K62)/$M62),0)))</f>
        <v>100</v>
      </c>
      <c r="Q62" s="161">
        <f>IF($H62=0,0,CHOOSE($H62,SUMPRODUCT($O63:$O$67*Q63:Q$67*($E63:$E$67=$D62)),IF(ISNUMBER(Data_2014_N!K62),100*ABS($G62-(Data_2014_N!K62-$K62)/$M62),0),IF(ISNUMBER(Data_2014_N!K62),100*ABS($G62-(Data_2014_N!K62-$K62)/$M62),0)))</f>
        <v>99.8563906175203</v>
      </c>
      <c r="R62" s="161">
        <f>IF($H62=0,0,CHOOSE($H62,SUMPRODUCT($O63:$O$67*R63:R$67*($E63:$E$67=$D62)),IF(ISNUMBER(Data_2014_N!L62),100*ABS($G62-(Data_2014_N!L62-$K62)/$M62),0),IF(ISNUMBER(Data_2014_N!L62),100*ABS($G62-(Data_2014_N!L62-$K62)/$M62),0)))</f>
        <v>86.5964576352322</v>
      </c>
      <c r="S62" s="161">
        <f>IF($H62=0,0,CHOOSE($H62,SUMPRODUCT($O63:$O$67*S63:S$67*($E63:$E$67=$D62)),IF(ISNUMBER(Data_2014_N!M62),100*ABS($G62-(Data_2014_N!M62-$K62)/$M62),0),IF(ISNUMBER(Data_2014_N!M62),100*ABS($G62-(Data_2014_N!M62-$K62)/$M62),0)))</f>
        <v>99.9521302058401</v>
      </c>
      <c r="T62" s="161">
        <f>IF($H62=0,0,CHOOSE($H62,SUMPRODUCT($O63:$O$67*T63:T$67*($E63:$E$67=$D62)),IF(ISNUMBER(Data_2014_N!N62),100*ABS($G62-(Data_2014_N!N62-$K62)/$M62),0),IF(ISNUMBER(Data_2014_N!N62),100*ABS($G62-(Data_2014_N!N62-$K62)/$M62),0)))</f>
        <v>96.7448539971278</v>
      </c>
      <c r="U62" s="161">
        <f>IF($H62=0,0,CHOOSE($H62,SUMPRODUCT($O63:$O$67*U63:U$67*($E63:$E$67=$D62)),IF(ISNUMBER(Data_2014_N!O62),100*ABS($G62-(Data_2014_N!O62-$K62)/$M62),0),IF(ISNUMBER(Data_2014_N!O62),100*ABS($G62-(Data_2014_N!O62-$K62)/$M62),0)))</f>
        <v>99.9042604116802</v>
      </c>
      <c r="V62" s="161">
        <f>IF($H62=0,0,CHOOSE($H62,SUMPRODUCT($O63:$O$67*V63:V$67*($E63:$E$67=$D62)),IF(ISNUMBER(Data_2014_N!P62),100*ABS($G62-(Data_2014_N!P62-$K62)/$M62),0),IF(ISNUMBER(Data_2014_N!P62),100*ABS($G62-(Data_2014_N!P62-$K62)/$M62),0)))</f>
        <v>99.9042604116802</v>
      </c>
      <c r="W62" s="161">
        <f>IF($H62=0,0,CHOOSE($H62,SUMPRODUCT($O63:$O$67*W63:W$67*($E63:$E$67=$D62)),IF(ISNUMBER(Data_2014_N!Q62),100*ABS($G62-(Data_2014_N!Q62-$K62)/$M62),0),IF(ISNUMBER(Data_2014_N!Q62),100*ABS($G62-(Data_2014_N!Q62-$K62)/$M62),0)))</f>
        <v>100</v>
      </c>
      <c r="X62" s="161">
        <f>IF($H62=0,0,CHOOSE($H62,SUMPRODUCT($O63:$O$67*X63:X$67*($E63:$E$67=$D62)),IF(ISNUMBER(Data_2014_N!R62),100*ABS($G62-(Data_2014_N!R62-$K62)/$M62),0),IF(ISNUMBER(Data_2014_N!R62),100*ABS($G62-(Data_2014_N!R62-$K62)/$M62),0)))</f>
        <v>75.0598372426999</v>
      </c>
      <c r="Y62" s="161">
        <f>IF($H62=0,0,CHOOSE($H62,SUMPRODUCT($O63:$O$67*Y63:Y$67*($E63:$E$67=$D62)),IF(ISNUMBER(Data_2014_N!S62),100*ABS($G62-(Data_2014_N!S62-$K62)/$M62),0),IF(ISNUMBER(Data_2014_N!S62),100*ABS($G62-(Data_2014_N!S62-$K62)/$M62),0)))</f>
        <v>99.3298228817616</v>
      </c>
      <c r="Z62" s="161">
        <f>IF($H62=0,0,CHOOSE($H62,SUMPRODUCT($O63:$O$67*Z63:Z$67*($E63:$E$67=$D62)),IF(ISNUMBER(Data_2014_N!T62),100*ABS($G62-(Data_2014_N!T62-$K62)/$M62),0),IF(ISNUMBER(Data_2014_N!T62),100*ABS($G62-(Data_2014_N!T62-$K62)/$M62),0)))</f>
        <v>99.8085208233605</v>
      </c>
      <c r="AA62" s="161">
        <f>IF($H62=0,0,CHOOSE($H62,SUMPRODUCT($O63:$O$67*AA63:AA$67*($E63:$E$67=$D62)),IF(ISNUMBER(Data_2014_N!U62),100*ABS($G62-(Data_2014_N!U62-$K62)/$M62),0),IF(ISNUMBER(Data_2014_N!U62),100*ABS($G62-(Data_2014_N!U62-$K62)/$M62),0)))</f>
        <v>100</v>
      </c>
      <c r="AB62" s="161">
        <f>IF($H62=0,0,CHOOSE($H62,SUMPRODUCT($O63:$O$67*AB63:AB$67*($E63:$E$67=$D62)),IF(ISNUMBER(Data_2014_N!V62),100*ABS($G62-(Data_2014_N!V62-$K62)/$M62),0),IF(ISNUMBER(Data_2014_N!V62),100*ABS($G62-(Data_2014_N!V62-$K62)/$M62),0)))</f>
        <v>95.1651507898516</v>
      </c>
      <c r="AC62" s="161">
        <f>IF($H62=0,0,CHOOSE($H62,SUMPRODUCT($O63:$O$67*AC63:AC$67*($E63:$E$67=$D62)),IF(ISNUMBER(Data_2014_N!W62),100*ABS($G62-(Data_2014_N!W62-$K62)/$M62),0),IF(ISNUMBER(Data_2014_N!W62),100*ABS($G62-(Data_2014_N!W62-$K62)/$M62),0)))</f>
        <v>83.7242699856391</v>
      </c>
      <c r="AD62" s="161">
        <f>IF($H62=0,0,CHOOSE($H62,SUMPRODUCT($O63:$O$67*AD63:AD$67*($E63:$E$67=$D62)),IF(ISNUMBER(Data_2014_N!X62),100*ABS($G62-(Data_2014_N!X62-$K62)/$M62),0),IF(ISNUMBER(Data_2014_N!X62),100*ABS($G62-(Data_2014_N!X62-$K62)/$M62),0)))</f>
        <v>87.4102441359502</v>
      </c>
      <c r="AE62" s="161">
        <f>IF($H62=0,0,CHOOSE($H62,SUMPRODUCT($O63:$O$67*AE63:AE$67*($E63:$E$67=$D62)),IF(ISNUMBER(Data_2014_N!Y62),100*ABS($G62-(Data_2014_N!Y62-$K62)/$M62),0),IF(ISNUMBER(Data_2014_N!Y62),100*ABS($G62-(Data_2014_N!Y62-$K62)/$M62),0)))</f>
        <v>100</v>
      </c>
      <c r="AF62" s="161">
        <f>IF($H62=0,0,CHOOSE($H62,SUMPRODUCT($O63:$O$67*AF63:AF$67*($E63:$E$67=$D62)),IF(ISNUMBER(Data_2014_N!Z62),100*ABS($G62-(Data_2014_N!Z62-$K62)/$M62),0),IF(ISNUMBER(Data_2014_N!Z62),100*ABS($G62-(Data_2014_N!Z62-$K62)/$M62),0)))</f>
        <v>100</v>
      </c>
      <c r="AG62" s="161">
        <f>IF($H62=0,0,CHOOSE($H62,SUMPRODUCT($O63:$O$67*AG63:AG$67*($E63:$E$67=$D62)),IF(ISNUMBER(Data_2014_N!AA62),100*ABS($G62-(Data_2014_N!AA62-$K62)/$M62),0),IF(ISNUMBER(Data_2014_N!AA62),100*ABS($G62-(Data_2014_N!AA62-$K62)/$M62),0)))</f>
        <v>99.8085208233605</v>
      </c>
      <c r="AH62" s="161">
        <f>IF($H62=0,0,CHOOSE($H62,SUMPRODUCT($O63:$O$67*AH63:AH$67*($E63:$E$67=$D62)),IF(ISNUMBER(Data_2014_N!AB62),100*ABS($G62-(Data_2014_N!AB62-$K62)/$M62),0),IF(ISNUMBER(Data_2014_N!AB62),100*ABS($G62-(Data_2014_N!AB62-$K62)/$M62),0)))</f>
        <v>59.0713259932982</v>
      </c>
      <c r="AI62" s="161">
        <f>IF($H62=0,0,CHOOSE($H62,SUMPRODUCT($O63:$O$67*AI63:AI$67*($E63:$E$67=$D62)),IF(ISNUMBER(Data_2014_N!AC62),100*ABS($G62-(Data_2014_N!AC62-$K62)/$M62),0),IF(ISNUMBER(Data_2014_N!AC62),100*ABS($G62-(Data_2014_N!AC62-$K62)/$M62),0)))</f>
        <v>99.7606510292006</v>
      </c>
      <c r="AJ62" s="161">
        <f>IF($H62=0,0,CHOOSE($H62,SUMPRODUCT($O63:$O$67*AJ63:AJ$67*($E63:$E$67=$D62)),IF(ISNUMBER(Data_2014_N!AD62),100*ABS($G62-(Data_2014_N!AD62-$K62)/$M62),0),IF(ISNUMBER(Data_2014_N!AD62),100*ABS($G62-(Data_2014_N!AD62-$K62)/$M62),0)))</f>
        <v>0</v>
      </c>
      <c r="AK62" s="161">
        <f>IF($H62=0,0,CHOOSE($H62,SUMPRODUCT($O63:$O$67*AK63:AK$67*($E63:$E$67=$D62)),IF(ISNUMBER(Data_2014_N!AE62),100*ABS($G62-(Data_2014_N!AE62-$K62)/$M62),0),IF(ISNUMBER(Data_2014_N!AE62),100*ABS($G62-(Data_2014_N!AE62-$K62)/$M62),0)))</f>
        <v>100</v>
      </c>
      <c r="AL62" s="161">
        <f>IF($H62=0,0,CHOOSE($H62,SUMPRODUCT($O63:$O$67*AL63:AL$67*($E63:$E$67=$D62)),IF(ISNUMBER(Data_2014_N!AF62),100*ABS($G62-(Data_2014_N!AF62-$K62)/$M62),0),IF(ISNUMBER(Data_2014_N!AF62),100*ABS($G62-(Data_2014_N!AF62-$K62)/$M62),0)))</f>
        <v>93.1067496409765</v>
      </c>
      <c r="AM62" s="161">
        <f>IF($H62=0,0,CHOOSE($H62,SUMPRODUCT($O63:$O$67*AM63:AM$67*($E63:$E$67=$D62)),IF(ISNUMBER(Data_2014_N!AG62),100*ABS($G62-(Data_2014_N!AG62-$K62)/$M62),0),IF(ISNUMBER(Data_2014_N!AG62),100*ABS($G62-(Data_2014_N!AG62-$K62)/$M62),0)))</f>
        <v>99.8563906175203</v>
      </c>
      <c r="AN62" s="161">
        <f>IF($H62=0,0,CHOOSE($H62,SUMPRODUCT($O63:$O$67*AN63:AN$67*($E63:$E$67=$D62)),IF(ISNUMBER(Data_2014_N!AH62),100*ABS($G62-(Data_2014_N!AH62-$K62)/$M62),0),IF(ISNUMBER(Data_2014_N!AH62),100*ABS($G62-(Data_2014_N!AH62-$K62)/$M62),0)))</f>
        <v>95.7874581139301</v>
      </c>
      <c r="AO62" s="161">
        <f>IF($H62=0,0,CHOOSE($H62,SUMPRODUCT($O63:$O$67*AO63:AO$67*($E63:$E$67=$D62)),IF(ISNUMBER(Data_2014_N!AI62),100*ABS($G62-(Data_2014_N!AI62-$K62)/$M62),0),IF(ISNUMBER(Data_2014_N!AI62),100*ABS($G62-(Data_2014_N!AI62-$K62)/$M62),0)))</f>
        <v>23.3604595500239</v>
      </c>
      <c r="AP62" s="161">
        <f>IF($H62=0,0,CHOOSE($H62,SUMPRODUCT($O63:$O$67*AP63:AP$67*($E63:$E$67=$D62)),IF(ISNUMBER(Data_2014_N!AJ62),100*ABS($G62-(Data_2014_N!AJ62-$K62)/$M62),0),IF(ISNUMBER(Data_2014_N!AJ62),100*ABS($G62-(Data_2014_N!AJ62-$K62)/$M62),0)))</f>
        <v>100</v>
      </c>
      <c r="AQ62" s="161">
        <f>IF($H62=0,0,CHOOSE($H62,SUMPRODUCT($O63:$O$67*AQ63:AQ$67*($E63:$E$67=$D62)),IF(ISNUMBER(Data_2014_N!AK62),100*ABS($G62-(Data_2014_N!AK62-$K62)/$M62),0),IF(ISNUMBER(Data_2014_N!AK62),100*ABS($G62-(Data_2014_N!AK62-$K62)/$M62),0)))</f>
        <v>100</v>
      </c>
      <c r="AR62" s="161">
        <f>IF($H62=0,0,CHOOSE($H62,SUMPRODUCT($O63:$O$67*AR63:AR$67*($E63:$E$67=$D62)),IF(ISNUMBER(Data_2014_N!AL62),100*ABS($G62-(Data_2014_N!AL62-$K62)/$M62),0),IF(ISNUMBER(Data_2014_N!AL62),100*ABS($G62-(Data_2014_N!AL62-$K62)/$M62),0)))</f>
        <v>99.2819530876017</v>
      </c>
      <c r="AS62" s="161">
        <f>IF($H62=0,0,CHOOSE($H62,SUMPRODUCT($O63:$O$67*AS63:AS$67*($E63:$E$67=$D62)),IF(ISNUMBER(Data_2014_N!AM62),100*ABS($G62-(Data_2014_N!AM62-$K62)/$M62),0),IF(ISNUMBER(Data_2014_N!AM62),100*ABS($G62-(Data_2014_N!AM62-$K62)/$M62),0)))</f>
        <v>100</v>
      </c>
      <c r="AT62" s="161">
        <f>IF($H62=0,0,CHOOSE($H62,SUMPRODUCT($O63:$O$67*AT63:AT$67*($E63:$E$67=$D62)),IF(ISNUMBER(Data_2014_N!AN62),100*ABS($G62-(Data_2014_N!AN62-$K62)/$M62),0),IF(ISNUMBER(Data_2014_N!AN62),100*ABS($G62-(Data_2014_N!AN62-$K62)/$M62),0)))</f>
        <v>87.7932024892293</v>
      </c>
      <c r="AU62" s="161">
        <f>IF($H62=0,0,CHOOSE($H62,SUMPRODUCT($O63:$O$67*AU63:AU$67*($E63:$E$67=$D62)),IF(ISNUMBER(Data_2014_N!AO62),100*ABS($G62-(Data_2014_N!AO62-$K62)/$M62),0),IF(ISNUMBER(Data_2014_N!AO62),100*ABS($G62-(Data_2014_N!AO62-$K62)/$M62),0)))</f>
        <v>99.7127812350407</v>
      </c>
      <c r="AV62" s="161">
        <f>IF($H62=0,0,CHOOSE($H62,SUMPRODUCT($O63:$O$67*AV63:AV$67*($E63:$E$67=$D62)),IF(ISNUMBER(Data_2014_N!AP62),100*ABS($G62-(Data_2014_N!AP62-$K62)/$M62),0),IF(ISNUMBER(Data_2014_N!AP62),100*ABS($G62-(Data_2014_N!AP62-$K62)/$M62),0)))</f>
        <v>100</v>
      </c>
      <c r="AW62" s="161">
        <f>IF($H62=0,0,CHOOSE($H62,SUMPRODUCT($O63:$O$67*AW63:AW$67*($E63:$E$67=$D62)),IF(ISNUMBER(Data_2014_N!AQ62),100*ABS($G62-(Data_2014_N!AQ62-$K62)/$M62),0),IF(ISNUMBER(Data_2014_N!AQ62),100*ABS($G62-(Data_2014_N!AQ62-$K62)/$M62),0)))</f>
        <v>99.8085208233605</v>
      </c>
      <c r="AX62" s="161">
        <f>IF($H62=0,0,CHOOSE($H62,SUMPRODUCT($O63:$O$67*AX63:AX$67*($E63:$E$67=$D62)),IF(ISNUMBER(Data_2014_N!AR62),100*ABS($G62-(Data_2014_N!AR62-$K62)/$M62),0),IF(ISNUMBER(Data_2014_N!AR62),100*ABS($G62-(Data_2014_N!AR62-$K62)/$M62),0)))</f>
        <v>99.4734322642413</v>
      </c>
      <c r="AY62" s="161">
        <f>IF($H62=0,0,CHOOSE($H62,SUMPRODUCT($O63:$O$67*AY63:AY$67*($E63:$E$67=$D62)),IF(ISNUMBER(Data_2014_N!AS62),100*ABS($G62-(Data_2014_N!AS62-$K62)/$M62),0),IF(ISNUMBER(Data_2014_N!AS62),100*ABS($G62-(Data_2014_N!AS62-$K62)/$M62),0)))</f>
        <v>99.9521302058401</v>
      </c>
      <c r="AZ62" s="161">
        <f>IF($H62=0,0,CHOOSE($H62,SUMPRODUCT($O63:$O$67*AZ63:AZ$67*($E63:$E$67=$D62)),IF(ISNUMBER(Data_2014_N!AT62),100*ABS($G62-(Data_2014_N!AT62-$K62)/$M62),0),IF(ISNUMBER(Data_2014_N!AT62),100*ABS($G62-(Data_2014_N!AT62-$K62)/$M62),0)))</f>
        <v>99.2819530876017</v>
      </c>
      <c r="BA62" s="161">
        <f>IF($H62=0,0,CHOOSE($H62,SUMPRODUCT($O63:$O$67*BA63:BA$67*($E63:$E$67=$D62)),IF(ISNUMBER(Data_2014_N!AU62),100*ABS($G62-(Data_2014_N!AU62-$K62)/$M62),0),IF(ISNUMBER(Data_2014_N!AU62),100*ABS($G62-(Data_2014_N!AU62-$K62)/$M62),0)))</f>
        <v>100</v>
      </c>
      <c r="BB62" s="161">
        <f>IF($H62=0,0,CHOOSE($H62,SUMPRODUCT($O63:$O$67*BB63:BB$67*($E63:$E$67=$D62)),IF(ISNUMBER(Data_2014_N!AV62),100*ABS($G62-(Data_2014_N!AV62-$K62)/$M62),0),IF(ISNUMBER(Data_2014_N!AV62),100*ABS($G62-(Data_2014_N!AV62-$K62)/$M62),0)))</f>
        <v>99.8563906175203</v>
      </c>
      <c r="BC62" s="161">
        <f>IF($H62=0,0,CHOOSE($H62,SUMPRODUCT($O63:$O$67*BC63:BC$67*($E63:$E$67=$D62)),IF(ISNUMBER(Data_2014_N!AW62),100*ABS($G62-(Data_2014_N!AW62-$K62)/$M62),0),IF(ISNUMBER(Data_2014_N!AW62),100*ABS($G62-(Data_2014_N!AW62-$K62)/$M62),0)))</f>
        <v>100</v>
      </c>
      <c r="BD62" s="161">
        <f>IF($H62=0,0,CHOOSE($H62,SUMPRODUCT($O63:$O$67*BD63:BD$67*($E63:$E$67=$D62)),IF(ISNUMBER(Data_2014_N!AX62),100*ABS($G62-(Data_2014_N!AX62-$K62)/$M62),0),IF(ISNUMBER(Data_2014_N!AX62),100*ABS($G62-(Data_2014_N!AX62-$K62)/$M62),0)))</f>
        <v>99.9521302058401</v>
      </c>
      <c r="BE62" s="161">
        <f>IF($H62=0,0,CHOOSE($H62,SUMPRODUCT($O63:$O$67*BE63:BE$67*($E63:$E$67=$D62)),IF(ISNUMBER(Data_2014_N!AY62),100*ABS($G62-(Data_2014_N!AY62-$K62)/$M62),0),IF(ISNUMBER(Data_2014_N!AY62),100*ABS($G62-(Data_2014_N!AY62-$K62)/$M62),0)))</f>
        <v>94.8300622307324</v>
      </c>
      <c r="BF62" s="161">
        <f>IF($H62=0,0,CHOOSE($H62,SUMPRODUCT($O63:$O$67*BF63:BF$67*($E63:$E$67=$D62)),IF(ISNUMBER(Data_2014_N!AZ62),100*ABS($G62-(Data_2014_N!AZ62-$K62)/$M62),0),IF(ISNUMBER(Data_2014_N!AZ62),100*ABS($G62-(Data_2014_N!AZ62-$K62)/$M62),0)))</f>
        <v>100</v>
      </c>
      <c r="BG62" s="161">
        <f>IF($H62=0,0,CHOOSE($H62,SUMPRODUCT($O63:$O$67*BG63:BG$67*($E63:$E$67=$D62)),IF(ISNUMBER(Data_2014_N!BA62),100*ABS($G62-(Data_2014_N!BA62-$K62)/$M62),0),IF(ISNUMBER(Data_2014_N!BA62),100*ABS($G62-(Data_2014_N!BA62-$K62)/$M62),0)))</f>
        <v>100</v>
      </c>
      <c r="BH62" s="161">
        <f>IF($H62=0,0,CHOOSE($H62,SUMPRODUCT($O63:$O$67*BH63:BH$67*($E63:$E$67=$D62)),IF(ISNUMBER(Data_2014_N!BB62),100*ABS($G62-(Data_2014_N!BB62-$K62)/$M62),0),IF(ISNUMBER(Data_2014_N!BB62),100*ABS($G62-(Data_2014_N!BB62-$K62)/$M62),0)))</f>
        <v>99.9042604116802</v>
      </c>
      <c r="BI62" s="161">
        <f>IF($H62=0,0,CHOOSE($H62,SUMPRODUCT($O63:$O$67*BI63:BI$67*($E63:$E$67=$D62)),IF(ISNUMBER(Data_2014_N!BC62),100*ABS($G62-(Data_2014_N!BC62-$K62)/$M62),0),IF(ISNUMBER(Data_2014_N!BC62),100*ABS($G62-(Data_2014_N!BC62-$K62)/$M62),0)))</f>
        <v>100</v>
      </c>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row>
    <row r="63" s="69" customFormat="1" ht="24.95" customHeight="1" spans="1:115">
      <c r="A63" s="92"/>
      <c r="B63" s="92">
        <f>tblIndicators!A59</f>
        <v>58</v>
      </c>
      <c r="C63" s="92">
        <f>tblIndicators!B59</f>
        <v>0</v>
      </c>
      <c r="D63" s="92" t="str">
        <f>tblIndicators!D59</f>
        <v>PESE4.2.8</v>
      </c>
      <c r="E63" s="92" t="str">
        <f>tblIndicators!E59</f>
        <v>PESE4.2</v>
      </c>
      <c r="F63" s="92">
        <f>tblIndicators!F59</f>
        <v>3</v>
      </c>
      <c r="G63" s="92">
        <f>tblIndicators!Y59</f>
        <v>1</v>
      </c>
      <c r="H63" s="92">
        <f>tblIndicators!Z59</f>
        <v>2</v>
      </c>
      <c r="I63" s="104">
        <f>tblIndicators!AA59</f>
        <v>0</v>
      </c>
      <c r="J63" s="92">
        <f>tblIndicators!AB59</f>
        <v>0</v>
      </c>
      <c r="K63" s="92">
        <f>CHOOSE(H63,"-",MIN(Data_2014_N!J63:BC63),I63)</f>
        <v>0.3</v>
      </c>
      <c r="L63" s="165">
        <f>CHOOSE(H63,"-",MAX(Data_2014_N!J63:BC63),J63)</f>
        <v>10.7</v>
      </c>
      <c r="M63" s="92">
        <f t="shared" si="1"/>
        <v>10.4</v>
      </c>
      <c r="N63" s="168" t="str">
        <f>REPT(" ",F63)&amp;tblIndicators!AE59</f>
        <v>   4.2.8) Gender safety</v>
      </c>
      <c r="O63" s="169">
        <f>tblIndicators!AD59</f>
        <v>0.0833333333333333</v>
      </c>
      <c r="P63" s="161">
        <f>IF($H63=0,0,CHOOSE($H63,SUMPRODUCT($O64:$O$67*P64:P$67*($E64:$E$67=$D63)),IF(ISNUMBER(Data_2014_N!J63),100*ABS($G63-(Data_2014_N!J63-$K63)/$M63),0),IF(ISNUMBER(Data_2014_N!J63),100*ABS($G63-(Data_2014_N!J63-$K63)/$M63),0)))</f>
        <v>90.3846153846154</v>
      </c>
      <c r="Q63" s="161">
        <f>IF($H63=0,0,CHOOSE($H63,SUMPRODUCT($O64:$O$67*Q64:Q$67*($E64:$E$67=$D63)),IF(ISNUMBER(Data_2014_N!K63),100*ABS($G63-(Data_2014_N!K63-$K63)/$M63),0),IF(ISNUMBER(Data_2014_N!K63),100*ABS($G63-(Data_2014_N!K63-$K63)/$M63),0)))</f>
        <v>97.1153846153846</v>
      </c>
      <c r="R63" s="161">
        <f>IF($H63=0,0,CHOOSE($H63,SUMPRODUCT($O64:$O$67*R64:R$67*($E64:$E$67=$D63)),IF(ISNUMBER(Data_2014_N!L63),100*ABS($G63-(Data_2014_N!L63-$K63)/$M63),0),IF(ISNUMBER(Data_2014_N!L63),100*ABS($G63-(Data_2014_N!L63-$K63)/$M63),0)))</f>
        <v>90.3846153846154</v>
      </c>
      <c r="S63" s="161">
        <f>IF($H63=0,0,CHOOSE($H63,SUMPRODUCT($O64:$O$67*S64:S$67*($E64:$E$67=$D63)),IF(ISNUMBER(Data_2014_N!M63),100*ABS($G63-(Data_2014_N!M63-$K63)/$M63),0),IF(ISNUMBER(Data_2014_N!M63),100*ABS($G63-(Data_2014_N!M63-$K63)/$M63),0)))</f>
        <v>98.0769230769231</v>
      </c>
      <c r="T63" s="161">
        <f>IF($H63=0,0,CHOOSE($H63,SUMPRODUCT($O64:$O$67*T64:T$67*($E64:$E$67=$D63)),IF(ISNUMBER(Data_2014_N!N63),100*ABS($G63-(Data_2014_N!N63-$K63)/$M63),0),IF(ISNUMBER(Data_2014_N!N63),100*ABS($G63-(Data_2014_N!N63-$K63)/$M63),0)))</f>
        <v>95.1923076923077</v>
      </c>
      <c r="U63" s="161">
        <f>IF($H63=0,0,CHOOSE($H63,SUMPRODUCT($O64:$O$67*U64:U$67*($E64:$E$67=$D63)),IF(ISNUMBER(Data_2014_N!O63),100*ABS($G63-(Data_2014_N!O63-$K63)/$M63),0),IF(ISNUMBER(Data_2014_N!O63),100*ABS($G63-(Data_2014_N!O63-$K63)/$M63),0)))</f>
        <v>95.1923076923077</v>
      </c>
      <c r="V63" s="161">
        <f>IF($H63=0,0,CHOOSE($H63,SUMPRODUCT($O64:$O$67*V64:V$67*($E64:$E$67=$D63)),IF(ISNUMBER(Data_2014_N!P63),100*ABS($G63-(Data_2014_N!P63-$K63)/$M63),0),IF(ISNUMBER(Data_2014_N!P63),100*ABS($G63-(Data_2014_N!P63-$K63)/$M63),0)))</f>
        <v>87.5</v>
      </c>
      <c r="W63" s="161">
        <f>IF($H63=0,0,CHOOSE($H63,SUMPRODUCT($O64:$O$67*W64:W$67*($E64:$E$67=$D63)),IF(ISNUMBER(Data_2014_N!Q63),100*ABS($G63-(Data_2014_N!Q63-$K63)/$M63),0),IF(ISNUMBER(Data_2014_N!Q63),100*ABS($G63-(Data_2014_N!Q63-$K63)/$M63),0)))</f>
        <v>68.9202377783693</v>
      </c>
      <c r="X63" s="161">
        <f>IF($H63=0,0,CHOOSE($H63,SUMPRODUCT($O64:$O$67*X64:X$67*($E64:$E$67=$D63)),IF(ISNUMBER(Data_2014_N!R63),100*ABS($G63-(Data_2014_N!R63-$K63)/$M63),0),IF(ISNUMBER(Data_2014_N!R63),100*ABS($G63-(Data_2014_N!R63-$K63)/$M63),0)))</f>
        <v>88.4615384615385</v>
      </c>
      <c r="Y63" s="161">
        <f>IF($H63=0,0,CHOOSE($H63,SUMPRODUCT($O64:$O$67*Y64:Y$67*($E64:$E$67=$D63)),IF(ISNUMBER(Data_2014_N!S63),100*ABS($G63-(Data_2014_N!S63-$K63)/$M63),0),IF(ISNUMBER(Data_2014_N!S63),100*ABS($G63-(Data_2014_N!S63-$K63)/$M63),0)))</f>
        <v>66.3461538461538</v>
      </c>
      <c r="Z63" s="161">
        <f>IF($H63=0,0,CHOOSE($H63,SUMPRODUCT($O64:$O$67*Z64:Z$67*($E64:$E$67=$D63)),IF(ISNUMBER(Data_2014_N!T63),100*ABS($G63-(Data_2014_N!T63-$K63)/$M63),0),IF(ISNUMBER(Data_2014_N!T63),100*ABS($G63-(Data_2014_N!T63-$K63)/$M63),0)))</f>
        <v>95.1923076923077</v>
      </c>
      <c r="AA63" s="161">
        <f>IF($H63=0,0,CHOOSE($H63,SUMPRODUCT($O64:$O$67*AA64:AA$67*($E64:$E$67=$D63)),IF(ISNUMBER(Data_2014_N!U63),100*ABS($G63-(Data_2014_N!U63-$K63)/$M63),0),IF(ISNUMBER(Data_2014_N!U63),100*ABS($G63-(Data_2014_N!U63-$K63)/$M63),0)))</f>
        <v>85.5769230769231</v>
      </c>
      <c r="AB63" s="161">
        <f>IF($H63=0,0,CHOOSE($H63,SUMPRODUCT($O64:$O$67*AB64:AB$67*($E64:$E$67=$D63)),IF(ISNUMBER(Data_2014_N!V63),100*ABS($G63-(Data_2014_N!V63-$K63)/$M63),0),IF(ISNUMBER(Data_2014_N!V63),100*ABS($G63-(Data_2014_N!V63-$K63)/$M63),0)))</f>
        <v>99.855146095555</v>
      </c>
      <c r="AC63" s="161">
        <f>IF($H63=0,0,CHOOSE($H63,SUMPRODUCT($O64:$O$67*AC64:AC$67*($E64:$E$67=$D63)),IF(ISNUMBER(Data_2014_N!W63),100*ABS($G63-(Data_2014_N!W63-$K63)/$M63),0),IF(ISNUMBER(Data_2014_N!W63),100*ABS($G63-(Data_2014_N!W63-$K63)/$M63),0)))</f>
        <v>96.1538461538462</v>
      </c>
      <c r="AD63" s="161">
        <f>IF($H63=0,0,CHOOSE($H63,SUMPRODUCT($O64:$O$67*AD64:AD$67*($E64:$E$67=$D63)),IF(ISNUMBER(Data_2014_N!X63),100*ABS($G63-(Data_2014_N!X63-$K63)/$M63),0),IF(ISNUMBER(Data_2014_N!X63),100*ABS($G63-(Data_2014_N!X63-$K63)/$M63),0)))</f>
        <v>82.6923076923077</v>
      </c>
      <c r="AE63" s="161">
        <f>IF($H63=0,0,CHOOSE($H63,SUMPRODUCT($O64:$O$67*AE64:AE$67*($E64:$E$67=$D63)),IF(ISNUMBER(Data_2014_N!Y63),100*ABS($G63-(Data_2014_N!Y63-$K63)/$M63),0),IF(ISNUMBER(Data_2014_N!Y63),100*ABS($G63-(Data_2014_N!Y63-$K63)/$M63),0)))</f>
        <v>0</v>
      </c>
      <c r="AF63" s="161">
        <f>IF($H63=0,0,CHOOSE($H63,SUMPRODUCT($O64:$O$67*AF64:AF$67*($E64:$E$67=$D63)),IF(ISNUMBER(Data_2014_N!Z63),100*ABS($G63-(Data_2014_N!Z63-$K63)/$M63),0),IF(ISNUMBER(Data_2014_N!Z63),100*ABS($G63-(Data_2014_N!Z63-$K63)/$M63),0)))</f>
        <v>96.1538461538462</v>
      </c>
      <c r="AG63" s="161">
        <f>IF($H63=0,0,CHOOSE($H63,SUMPRODUCT($O64:$O$67*AG64:AG$67*($E64:$E$67=$D63)),IF(ISNUMBER(Data_2014_N!AA63),100*ABS($G63-(Data_2014_N!AA63-$K63)/$M63),0),IF(ISNUMBER(Data_2014_N!AA63),100*ABS($G63-(Data_2014_N!AA63-$K63)/$M63),0)))</f>
        <v>61.5384615384615</v>
      </c>
      <c r="AH63" s="161">
        <f>IF($H63=0,0,CHOOSE($H63,SUMPRODUCT($O64:$O$67*AH64:AH$67*($E64:$E$67=$D63)),IF(ISNUMBER(Data_2014_N!AB63),100*ABS($G63-(Data_2014_N!AB63-$K63)/$M63),0),IF(ISNUMBER(Data_2014_N!AB63),100*ABS($G63-(Data_2014_N!AB63-$K63)/$M63),0)))</f>
        <v>93.2692307692308</v>
      </c>
      <c r="AI63" s="161">
        <f>IF($H63=0,0,CHOOSE($H63,SUMPRODUCT($O64:$O$67*AI64:AI$67*($E64:$E$67=$D63)),IF(ISNUMBER(Data_2014_N!AC63),100*ABS($G63-(Data_2014_N!AC63-$K63)/$M63),0),IF(ISNUMBER(Data_2014_N!AC63),100*ABS($G63-(Data_2014_N!AC63-$K63)/$M63),0)))</f>
        <v>85.5050415534287</v>
      </c>
      <c r="AJ63" s="161">
        <f>IF($H63=0,0,CHOOSE($H63,SUMPRODUCT($O64:$O$67*AJ64:AJ$67*($E64:$E$67=$D63)),IF(ISNUMBER(Data_2014_N!AD63),100*ABS($G63-(Data_2014_N!AD63-$K63)/$M63),0),IF(ISNUMBER(Data_2014_N!AD63),100*ABS($G63-(Data_2014_N!AD63-$K63)/$M63),0)))</f>
        <v>98.0769230769231</v>
      </c>
      <c r="AK63" s="161">
        <f>IF($H63=0,0,CHOOSE($H63,SUMPRODUCT($O64:$O$67*AK64:AK$67*($E64:$E$67=$D63)),IF(ISNUMBER(Data_2014_N!AE63),100*ABS($G63-(Data_2014_N!AE63-$K63)/$M63),0),IF(ISNUMBER(Data_2014_N!AE63),100*ABS($G63-(Data_2014_N!AE63-$K63)/$M63),0)))</f>
        <v>95.1923076923077</v>
      </c>
      <c r="AL63" s="161">
        <f>IF($H63=0,0,CHOOSE($H63,SUMPRODUCT($O64:$O$67*AL64:AL$67*($E64:$E$67=$D63)),IF(ISNUMBER(Data_2014_N!AF63),100*ABS($G63-(Data_2014_N!AF63-$K63)/$M63),0),IF(ISNUMBER(Data_2014_N!AF63),100*ABS($G63-(Data_2014_N!AF63-$K63)/$M63),0)))</f>
        <v>58.6538461538461</v>
      </c>
      <c r="AM63" s="161">
        <f>IF($H63=0,0,CHOOSE($H63,SUMPRODUCT($O64:$O$67*AM64:AM$67*($E64:$E$67=$D63)),IF(ISNUMBER(Data_2014_N!AG63),100*ABS($G63-(Data_2014_N!AG63-$K63)/$M63),0),IF(ISNUMBER(Data_2014_N!AG63),100*ABS($G63-(Data_2014_N!AG63-$K63)/$M63),0)))</f>
        <v>98.0769230769231</v>
      </c>
      <c r="AN63" s="161">
        <f>IF($H63=0,0,CHOOSE($H63,SUMPRODUCT($O64:$O$67*AN64:AN$67*($E64:$E$67=$D63)),IF(ISNUMBER(Data_2014_N!AH63),100*ABS($G63-(Data_2014_N!AH63-$K63)/$M63),0),IF(ISNUMBER(Data_2014_N!AH63),100*ABS($G63-(Data_2014_N!AH63-$K63)/$M63),0)))</f>
        <v>45.1923076923077</v>
      </c>
      <c r="AO63" s="161">
        <f>IF($H63=0,0,CHOOSE($H63,SUMPRODUCT($O64:$O$67*AO64:AO$67*($E64:$E$67=$D63)),IF(ISNUMBER(Data_2014_N!AI63),100*ABS($G63-(Data_2014_N!AI63-$K63)/$M63),0),IF(ISNUMBER(Data_2014_N!AI63),100*ABS($G63-(Data_2014_N!AI63-$K63)/$M63),0)))</f>
        <v>88.4615384615385</v>
      </c>
      <c r="AP63" s="161">
        <f>IF($H63=0,0,CHOOSE($H63,SUMPRODUCT($O64:$O$67*AP64:AP$67*($E64:$E$67=$D63)),IF(ISNUMBER(Data_2014_N!AJ63),100*ABS($G63-(Data_2014_N!AJ63-$K63)/$M63),0),IF(ISNUMBER(Data_2014_N!AJ63),100*ABS($G63-(Data_2014_N!AJ63-$K63)/$M63),0)))</f>
        <v>91.5555978674791</v>
      </c>
      <c r="AQ63" s="161">
        <f>IF($H63=0,0,CHOOSE($H63,SUMPRODUCT($O64:$O$67*AQ64:AQ$67*($E64:$E$67=$D63)),IF(ISNUMBER(Data_2014_N!AK63),100*ABS($G63-(Data_2014_N!AK63-$K63)/$M63),0),IF(ISNUMBER(Data_2014_N!AK63),100*ABS($G63-(Data_2014_N!AK63-$K63)/$M63),0)))</f>
        <v>100</v>
      </c>
      <c r="AR63" s="161">
        <f>IF($H63=0,0,CHOOSE($H63,SUMPRODUCT($O64:$O$67*AR64:AR$67*($E64:$E$67=$D63)),IF(ISNUMBER(Data_2014_N!AL63),100*ABS($G63-(Data_2014_N!AL63-$K63)/$M63),0),IF(ISNUMBER(Data_2014_N!AL63),100*ABS($G63-(Data_2014_N!AL63-$K63)/$M63),0)))</f>
        <v>95.1923076923077</v>
      </c>
      <c r="AS63" s="161">
        <f>IF($H63=0,0,CHOOSE($H63,SUMPRODUCT($O64:$O$67*AS64:AS$67*($E64:$E$67=$D63)),IF(ISNUMBER(Data_2014_N!AM63),100*ABS($G63-(Data_2014_N!AM63-$K63)/$M63),0),IF(ISNUMBER(Data_2014_N!AM63),100*ABS($G63-(Data_2014_N!AM63-$K63)/$M63),0)))</f>
        <v>49.0384615384615</v>
      </c>
      <c r="AT63" s="161">
        <f>IF($H63=0,0,CHOOSE($H63,SUMPRODUCT($O64:$O$67*AT64:AT$67*($E64:$E$67=$D63)),IF(ISNUMBER(Data_2014_N!AN63),100*ABS($G63-(Data_2014_N!AN63-$K63)/$M63),0),IF(ISNUMBER(Data_2014_N!AN63),100*ABS($G63-(Data_2014_N!AN63-$K63)/$M63),0)))</f>
        <v>48.0769230769231</v>
      </c>
      <c r="AU63" s="161">
        <f>IF($H63=0,0,CHOOSE($H63,SUMPRODUCT($O64:$O$67*AU64:AU$67*($E64:$E$67=$D63)),IF(ISNUMBER(Data_2014_N!AO63),100*ABS($G63-(Data_2014_N!AO63-$K63)/$M63),0),IF(ISNUMBER(Data_2014_N!AO63),100*ABS($G63-(Data_2014_N!AO63-$K63)/$M63),0)))</f>
        <v>98.0769230769231</v>
      </c>
      <c r="AV63" s="161">
        <f>IF($H63=0,0,CHOOSE($H63,SUMPRODUCT($O64:$O$67*AV64:AV$67*($E64:$E$67=$D63)),IF(ISNUMBER(Data_2014_N!AP63),100*ABS($G63-(Data_2014_N!AP63-$K63)/$M63),0),IF(ISNUMBER(Data_2014_N!AP63),100*ABS($G63-(Data_2014_N!AP63-$K63)/$M63),0)))</f>
        <v>85.5050415534287</v>
      </c>
      <c r="AW63" s="161">
        <f>IF($H63=0,0,CHOOSE($H63,SUMPRODUCT($O64:$O$67*AW64:AW$67*($E64:$E$67=$D63)),IF(ISNUMBER(Data_2014_N!AQ63),100*ABS($G63-(Data_2014_N!AQ63-$K63)/$M63),0),IF(ISNUMBER(Data_2014_N!AQ63),100*ABS($G63-(Data_2014_N!AQ63-$K63)/$M63),0)))</f>
        <v>89.4230769230769</v>
      </c>
      <c r="AX63" s="161">
        <f>IF($H63=0,0,CHOOSE($H63,SUMPRODUCT($O64:$O$67*AX64:AX$67*($E64:$E$67=$D63)),IF(ISNUMBER(Data_2014_N!AR63),100*ABS($G63-(Data_2014_N!AR63-$K63)/$M63),0),IF(ISNUMBER(Data_2014_N!AR63),100*ABS($G63-(Data_2014_N!AR63-$K63)/$M63),0)))</f>
        <v>49.0384615384615</v>
      </c>
      <c r="AY63" s="161">
        <f>IF($H63=0,0,CHOOSE($H63,SUMPRODUCT($O64:$O$67*AY64:AY$67*($E64:$E$67=$D63)),IF(ISNUMBER(Data_2014_N!AS63),100*ABS($G63-(Data_2014_N!AS63-$K63)/$M63),0),IF(ISNUMBER(Data_2014_N!AS63),100*ABS($G63-(Data_2014_N!AS63-$K63)/$M63),0)))</f>
        <v>88.4615384615385</v>
      </c>
      <c r="AZ63" s="161">
        <f>IF($H63=0,0,CHOOSE($H63,SUMPRODUCT($O64:$O$67*AZ64:AZ$67*($E64:$E$67=$D63)),IF(ISNUMBER(Data_2014_N!AT63),100*ABS($G63-(Data_2014_N!AT63-$K63)/$M63),0),IF(ISNUMBER(Data_2014_N!AT63),100*ABS($G63-(Data_2014_N!AT63-$K63)/$M63),0)))</f>
        <v>95.1923076923077</v>
      </c>
      <c r="BA63" s="161">
        <f>IF($H63=0,0,CHOOSE($H63,SUMPRODUCT($O64:$O$67*BA64:BA$67*($E64:$E$67=$D63)),IF(ISNUMBER(Data_2014_N!AU63),100*ABS($G63-(Data_2014_N!AU63-$K63)/$M63),0),IF(ISNUMBER(Data_2014_N!AU63),100*ABS($G63-(Data_2014_N!AU63-$K63)/$M63),0)))</f>
        <v>99.0384615384615</v>
      </c>
      <c r="BB63" s="161">
        <f>IF($H63=0,0,CHOOSE($H63,SUMPRODUCT($O64:$O$67*BB64:BB$67*($E64:$E$67=$D63)),IF(ISNUMBER(Data_2014_N!AV63),100*ABS($G63-(Data_2014_N!AV63-$K63)/$M63),0),IF(ISNUMBER(Data_2014_N!AV63),100*ABS($G63-(Data_2014_N!AV63-$K63)/$M63),0)))</f>
        <v>98.0769230769231</v>
      </c>
      <c r="BC63" s="161">
        <f>IF($H63=0,0,CHOOSE($H63,SUMPRODUCT($O64:$O$67*BC64:BC$67*($E64:$E$67=$D63)),IF(ISNUMBER(Data_2014_N!AW63),100*ABS($G63-(Data_2014_N!AW63-$K63)/$M63),0),IF(ISNUMBER(Data_2014_N!AW63),100*ABS($G63-(Data_2014_N!AW63-$K63)/$M63),0)))</f>
        <v>95.1923076923077</v>
      </c>
      <c r="BD63" s="161">
        <f>IF($H63=0,0,CHOOSE($H63,SUMPRODUCT($O64:$O$67*BD64:BD$67*($E64:$E$67=$D63)),IF(ISNUMBER(Data_2014_N!AX63),100*ABS($G63-(Data_2014_N!AX63-$K63)/$M63),0),IF(ISNUMBER(Data_2014_N!AX63),100*ABS($G63-(Data_2014_N!AX63-$K63)/$M63),0)))</f>
        <v>93.8494694960212</v>
      </c>
      <c r="BE63" s="161">
        <f>IF($H63=0,0,CHOOSE($H63,SUMPRODUCT($O64:$O$67*BE64:BE$67*($E64:$E$67=$D63)),IF(ISNUMBER(Data_2014_N!AY63),100*ABS($G63-(Data_2014_N!AY63-$K63)/$M63),0),IF(ISNUMBER(Data_2014_N!AY63),100*ABS($G63-(Data_2014_N!AY63-$K63)/$M63),0)))</f>
        <v>85.5769230769231</v>
      </c>
      <c r="BF63" s="161">
        <f>IF($H63=0,0,CHOOSE($H63,SUMPRODUCT($O64:$O$67*BF64:BF$67*($E64:$E$67=$D63)),IF(ISNUMBER(Data_2014_N!AZ63),100*ABS($G63-(Data_2014_N!AZ63-$K63)/$M63),0),IF(ISNUMBER(Data_2014_N!AZ63),100*ABS($G63-(Data_2014_N!AZ63-$K63)/$M63),0)))</f>
        <v>100</v>
      </c>
      <c r="BG63" s="161">
        <f>IF($H63=0,0,CHOOSE($H63,SUMPRODUCT($O64:$O$67*BG64:BG$67*($E64:$E$67=$D63)),IF(ISNUMBER(Data_2014_N!BA63),100*ABS($G63-(Data_2014_N!BA63-$K63)/$M63),0),IF(ISNUMBER(Data_2014_N!BA63),100*ABS($G63-(Data_2014_N!BA63-$K63)/$M63),0)))</f>
        <v>95.1923076923077</v>
      </c>
      <c r="BH63" s="161">
        <f>IF($H63=0,0,CHOOSE($H63,SUMPRODUCT($O64:$O$67*BH64:BH$67*($E64:$E$67=$D63)),IF(ISNUMBER(Data_2014_N!BB63),100*ABS($G63-(Data_2014_N!BB63-$K63)/$M63),0),IF(ISNUMBER(Data_2014_N!BB63),100*ABS($G63-(Data_2014_N!BB63-$K63)/$M63),0)))</f>
        <v>70.8333333333333</v>
      </c>
      <c r="BI63" s="161">
        <f>IF($H63=0,0,CHOOSE($H63,SUMPRODUCT($O64:$O$67*BI64:BI$67*($E64:$E$67=$D63)),IF(ISNUMBER(Data_2014_N!BC63),100*ABS($G63-(Data_2014_N!BC63-$K63)/$M63),0),IF(ISNUMBER(Data_2014_N!BC63),100*ABS($G63-(Data_2014_N!BC63-$K63)/$M63),0)))</f>
        <v>98.0769230769231</v>
      </c>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row>
    <row r="64" s="69" customFormat="1" ht="24.95" customHeight="1" spans="1:115">
      <c r="A64" s="92"/>
      <c r="B64" s="92">
        <f>tblIndicators!A60</f>
        <v>59</v>
      </c>
      <c r="C64" s="92">
        <f>tblIndicators!B60</f>
        <v>0</v>
      </c>
      <c r="D64" s="92" t="str">
        <f>tblIndicators!D60</f>
        <v>PESE4.2.9</v>
      </c>
      <c r="E64" s="92" t="str">
        <f>tblIndicators!E60</f>
        <v>PESE4.2</v>
      </c>
      <c r="F64" s="92">
        <f>tblIndicators!F60</f>
        <v>3</v>
      </c>
      <c r="G64" s="92">
        <f>tblIndicators!Y60</f>
        <v>0</v>
      </c>
      <c r="H64" s="92">
        <f>tblIndicators!Z60</f>
        <v>3</v>
      </c>
      <c r="I64" s="104">
        <f>tblIndicators!AA60</f>
        <v>0</v>
      </c>
      <c r="J64" s="92">
        <f>tblIndicators!AB60</f>
        <v>100</v>
      </c>
      <c r="K64" s="92">
        <f>CHOOSE(H64,"-",MIN(Data_2014_N!J64:BC64),I64)</f>
        <v>0</v>
      </c>
      <c r="L64" s="165">
        <f>CHOOSE(H64,"-",MAX(Data_2014_N!J64:BC64),J64)</f>
        <v>100</v>
      </c>
      <c r="M64" s="92">
        <f t="shared" si="1"/>
        <v>100</v>
      </c>
      <c r="N64" s="168" t="str">
        <f>REPT(" ",F64)&amp;tblIndicators!AE60</f>
        <v>   4.2.9) Perceptions of safety</v>
      </c>
      <c r="O64" s="169">
        <f>tblIndicators!AD60</f>
        <v>0.0833333333333333</v>
      </c>
      <c r="P64" s="161">
        <f>IF($H64=0,0,CHOOSE($H64,SUMPRODUCT($O65:$O$67*P65:P$67*($E65:$E$67=$D64)),IF(ISNUMBER(Data_2014_N!J64),100*ABS($G64-(Data_2014_N!J64-$K64)/$M64),0),IF(ISNUMBER(Data_2014_N!J64),100*ABS($G64-(Data_2014_N!J64-$K64)/$M64),0)))</f>
        <v>86.02</v>
      </c>
      <c r="Q64" s="161">
        <f>IF($H64=0,0,CHOOSE($H64,SUMPRODUCT($O65:$O$67*Q65:Q$67*($E65:$E$67=$D64)),IF(ISNUMBER(Data_2014_N!K64),100*ABS($G64-(Data_2014_N!K64-$K64)/$M64),0),IF(ISNUMBER(Data_2014_N!K64),100*ABS($G64-(Data_2014_N!K64-$K64)/$M64),0)))</f>
        <v>68.41</v>
      </c>
      <c r="R64" s="161">
        <f>IF($H64=0,0,CHOOSE($H64,SUMPRODUCT($O65:$O$67*R65:R$67*($E65:$E$67=$D64)),IF(ISNUMBER(Data_2014_N!L64),100*ABS($G64-(Data_2014_N!L64-$K64)/$M64),0),IF(ISNUMBER(Data_2014_N!L64),100*ABS($G64-(Data_2014_N!L64-$K64)/$M64),0)))</f>
        <v>63.85</v>
      </c>
      <c r="S64" s="161">
        <f>IF($H64=0,0,CHOOSE($H64,SUMPRODUCT($O65:$O$67*S65:S$67*($E65:$E$67=$D64)),IF(ISNUMBER(Data_2014_N!M64),100*ABS($G64-(Data_2014_N!M64-$K64)/$M64),0),IF(ISNUMBER(Data_2014_N!M64),100*ABS($G64-(Data_2014_N!M64-$K64)/$M64),0)))</f>
        <v>58.33</v>
      </c>
      <c r="T64" s="161">
        <f>IF($H64=0,0,CHOOSE($H64,SUMPRODUCT($O65:$O$67*T65:T$67*($E65:$E$67=$D64)),IF(ISNUMBER(Data_2014_N!N64),100*ABS($G64-(Data_2014_N!N64-$K64)/$M64),0),IF(ISNUMBER(Data_2014_N!N64),100*ABS($G64-(Data_2014_N!N64-$K64)/$M64),0)))</f>
        <v>58.3</v>
      </c>
      <c r="U64" s="161">
        <f>IF($H64=0,0,CHOOSE($H64,SUMPRODUCT($O65:$O$67*U65:U$67*($E65:$E$67=$D64)),IF(ISNUMBER(Data_2014_N!O64),100*ABS($G64-(Data_2014_N!O64-$K64)/$M64),0),IF(ISNUMBER(Data_2014_N!O64),100*ABS($G64-(Data_2014_N!O64-$K64)/$M64),0)))</f>
        <v>46.19</v>
      </c>
      <c r="V64" s="161">
        <f>IF($H64=0,0,CHOOSE($H64,SUMPRODUCT($O65:$O$67*V65:V$67*($E65:$E$67=$D64)),IF(ISNUMBER(Data_2014_N!P64),100*ABS($G64-(Data_2014_N!P64-$K64)/$M64),0),IF(ISNUMBER(Data_2014_N!P64),100*ABS($G64-(Data_2014_N!P64-$K64)/$M64),0)))</f>
        <v>38.49</v>
      </c>
      <c r="W64" s="161">
        <f>IF($H64=0,0,CHOOSE($H64,SUMPRODUCT($O65:$O$67*W65:W$67*($E65:$E$67=$D64)),IF(ISNUMBER(Data_2014_N!Q64),100*ABS($G64-(Data_2014_N!Q64-$K64)/$M64),0),IF(ISNUMBER(Data_2014_N!Q64),100*ABS($G64-(Data_2014_N!Q64-$K64)/$M64),0)))</f>
        <v>39.99</v>
      </c>
      <c r="X64" s="161">
        <f>IF($H64=0,0,CHOOSE($H64,SUMPRODUCT($O65:$O$67*X65:X$67*($E65:$E$67=$D64)),IF(ISNUMBER(Data_2014_N!R64),100*ABS($G64-(Data_2014_N!R64-$K64)/$M64),0),IF(ISNUMBER(Data_2014_N!R64),100*ABS($G64-(Data_2014_N!R64-$K64)/$M64),0)))</f>
        <v>41.41</v>
      </c>
      <c r="Y64" s="161">
        <f>IF($H64=0,0,CHOOSE($H64,SUMPRODUCT($O65:$O$67*Y65:Y$67*($E65:$E$67=$D64)),IF(ISNUMBER(Data_2014_N!S64),100*ABS($G64-(Data_2014_N!S64-$K64)/$M64),0),IF(ISNUMBER(Data_2014_N!S64),100*ABS($G64-(Data_2014_N!S64-$K64)/$M64),0)))</f>
        <v>78.09</v>
      </c>
      <c r="Z64" s="161">
        <f>IF($H64=0,0,CHOOSE($H64,SUMPRODUCT($O65:$O$67*Z65:Z$67*($E65:$E$67=$D64)),IF(ISNUMBER(Data_2014_N!T64),100*ABS($G64-(Data_2014_N!T64-$K64)/$M64),0),IF(ISNUMBER(Data_2014_N!T64),100*ABS($G64-(Data_2014_N!T64-$K64)/$M64),0)))</f>
        <v>73.06</v>
      </c>
      <c r="AA64" s="161">
        <f>IF($H64=0,0,CHOOSE($H64,SUMPRODUCT($O65:$O$67*AA65:AA$67*($E65:$E$67=$D64)),IF(ISNUMBER(Data_2014_N!U64),100*ABS($G64-(Data_2014_N!U64-$K64)/$M64),0),IF(ISNUMBER(Data_2014_N!U64),100*ABS($G64-(Data_2014_N!U64-$K64)/$M64),0)))</f>
        <v>52.23</v>
      </c>
      <c r="AB64" s="161">
        <f>IF($H64=0,0,CHOOSE($H64,SUMPRODUCT($O65:$O$67*AB65:AB$67*($E65:$E$67=$D64)),IF(ISNUMBER(Data_2014_N!V64),100*ABS($G64-(Data_2014_N!V64-$K64)/$M64),0),IF(ISNUMBER(Data_2014_N!V64),100*ABS($G64-(Data_2014_N!V64-$K64)/$M64),0)))</f>
        <v>83.88</v>
      </c>
      <c r="AC64" s="161">
        <f>IF($H64=0,0,CHOOSE($H64,SUMPRODUCT($O65:$O$67*AC65:AC$67*($E65:$E$67=$D64)),IF(ISNUMBER(Data_2014_N!W64),100*ABS($G64-(Data_2014_N!W64-$K64)/$M64),0),IF(ISNUMBER(Data_2014_N!W64),100*ABS($G64-(Data_2014_N!W64-$K64)/$M64),0)))</f>
        <v>59.86</v>
      </c>
      <c r="AD64" s="161">
        <f>IF($H64=0,0,CHOOSE($H64,SUMPRODUCT($O65:$O$67*AD65:AD$67*($E65:$E$67=$D64)),IF(ISNUMBER(Data_2014_N!X64),100*ABS($G64-(Data_2014_N!X64-$K64)/$M64),0),IF(ISNUMBER(Data_2014_N!X64),100*ABS($G64-(Data_2014_N!X64-$K64)/$M64),0)))</f>
        <v>52.19</v>
      </c>
      <c r="AE64" s="161">
        <f>IF($H64=0,0,CHOOSE($H64,SUMPRODUCT($O65:$O$67*AE65:AE$67*($E65:$E$67=$D64)),IF(ISNUMBER(Data_2014_N!Y64),100*ABS($G64-(Data_2014_N!Y64-$K64)/$M64),0),IF(ISNUMBER(Data_2014_N!Y64),100*ABS($G64-(Data_2014_N!Y64-$K64)/$M64),0)))</f>
        <v>17.44</v>
      </c>
      <c r="AF64" s="161">
        <f>IF($H64=0,0,CHOOSE($H64,SUMPRODUCT($O65:$O$67*AF65:AF$67*($E65:$E$67=$D64)),IF(ISNUMBER(Data_2014_N!Z64),100*ABS($G64-(Data_2014_N!Z64-$K64)/$M64),0),IF(ISNUMBER(Data_2014_N!Z64),100*ABS($G64-(Data_2014_N!Z64-$K64)/$M64),0)))</f>
        <v>57.02</v>
      </c>
      <c r="AG64" s="161">
        <f>IF($H64=0,0,CHOOSE($H64,SUMPRODUCT($O65:$O$67*AG65:AG$67*($E65:$E$67=$D64)),IF(ISNUMBER(Data_2014_N!AA64),100*ABS($G64-(Data_2014_N!AA64-$K64)/$M64),0),IF(ISNUMBER(Data_2014_N!AA64),100*ABS($G64-(Data_2014_N!AA64-$K64)/$M64),0)))</f>
        <v>30.42</v>
      </c>
      <c r="AH64" s="161">
        <f>IF($H64=0,0,CHOOSE($H64,SUMPRODUCT($O65:$O$67*AH65:AH$67*($E65:$E$67=$D64)),IF(ISNUMBER(Data_2014_N!AB64),100*ABS($G64-(Data_2014_N!AB64-$K64)/$M64),0),IF(ISNUMBER(Data_2014_N!AB64),100*ABS($G64-(Data_2014_N!AB64-$K64)/$M64),0)))</f>
        <v>52.62</v>
      </c>
      <c r="AI64" s="161">
        <f>IF($H64=0,0,CHOOSE($H64,SUMPRODUCT($O65:$O$67*AI65:AI$67*($E65:$E$67=$D64)),IF(ISNUMBER(Data_2014_N!AC64),100*ABS($G64-(Data_2014_N!AC64-$K64)/$M64),0),IF(ISNUMBER(Data_2014_N!AC64),100*ABS($G64-(Data_2014_N!AC64-$K64)/$M64),0)))</f>
        <v>48.22</v>
      </c>
      <c r="AJ64" s="161">
        <f>IF($H64=0,0,CHOOSE($H64,SUMPRODUCT($O65:$O$67*AJ65:AJ$67*($E65:$E$67=$D64)),IF(ISNUMBER(Data_2014_N!AD64),100*ABS($G64-(Data_2014_N!AD64-$K64)/$M64),0),IF(ISNUMBER(Data_2014_N!AD64),100*ABS($G64-(Data_2014_N!AD64-$K64)/$M64),0)))</f>
        <v>62.89</v>
      </c>
      <c r="AK64" s="161">
        <f>IF($H64=0,0,CHOOSE($H64,SUMPRODUCT($O65:$O$67*AK65:AK$67*($E65:$E$67=$D64)),IF(ISNUMBER(Data_2014_N!AE64),100*ABS($G64-(Data_2014_N!AE64-$K64)/$M64),0),IF(ISNUMBER(Data_2014_N!AE64),100*ABS($G64-(Data_2014_N!AE64-$K64)/$M64),0)))</f>
        <v>57.47</v>
      </c>
      <c r="AL64" s="161">
        <f>IF($H64=0,0,CHOOSE($H64,SUMPRODUCT($O65:$O$67*AL65:AL$67*($E65:$E$67=$D64)),IF(ISNUMBER(Data_2014_N!AF64),100*ABS($G64-(Data_2014_N!AF64-$K64)/$M64),0),IF(ISNUMBER(Data_2014_N!AF64),100*ABS($G64-(Data_2014_N!AF64-$K64)/$M64),0)))</f>
        <v>37.99</v>
      </c>
      <c r="AM64" s="161">
        <f>IF($H64=0,0,CHOOSE($H64,SUMPRODUCT($O65:$O$67*AM65:AM$67*($E65:$E$67=$D64)),IF(ISNUMBER(Data_2014_N!AG64),100*ABS($G64-(Data_2014_N!AG64-$K64)/$M64),0),IF(ISNUMBER(Data_2014_N!AG64),100*ABS($G64-(Data_2014_N!AG64-$K64)/$M64),0)))</f>
        <v>46.95</v>
      </c>
      <c r="AN64" s="161">
        <f>IF($H64=0,0,CHOOSE($H64,SUMPRODUCT($O65:$O$67*AN65:AN$67*($E65:$E$67=$D64)),IF(ISNUMBER(Data_2014_N!AH64),100*ABS($G64-(Data_2014_N!AH64-$K64)/$M64),0),IF(ISNUMBER(Data_2014_N!AH64),100*ABS($G64-(Data_2014_N!AH64-$K64)/$M64),0)))</f>
        <v>46.01</v>
      </c>
      <c r="AO64" s="161">
        <f>IF($H64=0,0,CHOOSE($H64,SUMPRODUCT($O65:$O$67*AO65:AO$67*($E65:$E$67=$D64)),IF(ISNUMBER(Data_2014_N!AI64),100*ABS($G64-(Data_2014_N!AI64-$K64)/$M64),0),IF(ISNUMBER(Data_2014_N!AI64),100*ABS($G64-(Data_2014_N!AI64-$K64)/$M64),0)))</f>
        <v>51.04</v>
      </c>
      <c r="AP64" s="161">
        <f>IF($H64=0,0,CHOOSE($H64,SUMPRODUCT($O65:$O$67*AP65:AP$67*($E65:$E$67=$D64)),IF(ISNUMBER(Data_2014_N!AJ64),100*ABS($G64-(Data_2014_N!AJ64-$K64)/$M64),0),IF(ISNUMBER(Data_2014_N!AJ64),100*ABS($G64-(Data_2014_N!AJ64-$K64)/$M64),0)))</f>
        <v>52.53</v>
      </c>
      <c r="AQ64" s="161">
        <f>IF($H64=0,0,CHOOSE($H64,SUMPRODUCT($O65:$O$67*AQ65:AQ$67*($E65:$E$67=$D64)),IF(ISNUMBER(Data_2014_N!AK64),100*ABS($G64-(Data_2014_N!AK64-$K64)/$M64),0),IF(ISNUMBER(Data_2014_N!AK64),100*ABS($G64-(Data_2014_N!AK64-$K64)/$M64),0)))</f>
        <v>95.03</v>
      </c>
      <c r="AR64" s="161">
        <f>IF($H64=0,0,CHOOSE($H64,SUMPRODUCT($O65:$O$67*AR65:AR$67*($E65:$E$67=$D64)),IF(ISNUMBER(Data_2014_N!AL64),100*ABS($G64-(Data_2014_N!AL64-$K64)/$M64),0),IF(ISNUMBER(Data_2014_N!AL64),100*ABS($G64-(Data_2014_N!AL64-$K64)/$M64),0)))</f>
        <v>43.88</v>
      </c>
      <c r="AS64" s="161">
        <f>IF($H64=0,0,CHOOSE($H64,SUMPRODUCT($O65:$O$67*AS65:AS$67*($E65:$E$67=$D64)),IF(ISNUMBER(Data_2014_N!AM64),100*ABS($G64-(Data_2014_N!AM64-$K64)/$M64),0),IF(ISNUMBER(Data_2014_N!AM64),100*ABS($G64-(Data_2014_N!AM64-$K64)/$M64),0)))</f>
        <v>25.32</v>
      </c>
      <c r="AT64" s="161">
        <f>IF($H64=0,0,CHOOSE($H64,SUMPRODUCT($O65:$O$67*AT65:AT$67*($E65:$E$67=$D64)),IF(ISNUMBER(Data_2014_N!AN64),100*ABS($G64-(Data_2014_N!AN64-$K64)/$M64),0),IF(ISNUMBER(Data_2014_N!AN64),100*ABS($G64-(Data_2014_N!AN64-$K64)/$M64),0)))</f>
        <v>73.83</v>
      </c>
      <c r="AU64" s="161">
        <f>IF($H64=0,0,CHOOSE($H64,SUMPRODUCT($O65:$O$67*AU65:AU$67*($E65:$E$67=$D64)),IF(ISNUMBER(Data_2014_N!AO64),100*ABS($G64-(Data_2014_N!AO64-$K64)/$M64),0),IF(ISNUMBER(Data_2014_N!AO64),100*ABS($G64-(Data_2014_N!AO64-$K64)/$M64),0)))</f>
        <v>29.69</v>
      </c>
      <c r="AV64" s="161">
        <f>IF($H64=0,0,CHOOSE($H64,SUMPRODUCT($O65:$O$67*AV65:AV$67*($E65:$E$67=$D64)),IF(ISNUMBER(Data_2014_N!AP64),100*ABS($G64-(Data_2014_N!AP64-$K64)/$M64),0),IF(ISNUMBER(Data_2014_N!AP64),100*ABS($G64-(Data_2014_N!AP64-$K64)/$M64),0)))</f>
        <v>58.25</v>
      </c>
      <c r="AW64" s="161">
        <f>IF($H64=0,0,CHOOSE($H64,SUMPRODUCT($O65:$O$67*AW65:AW$67*($E65:$E$67=$D64)),IF(ISNUMBER(Data_2014_N!AQ64),100*ABS($G64-(Data_2014_N!AQ64-$K64)/$M64),0),IF(ISNUMBER(Data_2014_N!AQ64),100*ABS($G64-(Data_2014_N!AQ64-$K64)/$M64),0)))</f>
        <v>52.54</v>
      </c>
      <c r="AX64" s="161">
        <f>IF($H64=0,0,CHOOSE($H64,SUMPRODUCT($O65:$O$67*AX65:AX$67*($E65:$E$67=$D64)),IF(ISNUMBER(Data_2014_N!AR64),100*ABS($G64-(Data_2014_N!AR64-$K64)/$M64),0),IF(ISNUMBER(Data_2014_N!AR64),100*ABS($G64-(Data_2014_N!AR64-$K64)/$M64),0)))</f>
        <v>24.86</v>
      </c>
      <c r="AY64" s="161">
        <f>IF($H64=0,0,CHOOSE($H64,SUMPRODUCT($O65:$O$67*AY65:AY$67*($E65:$E$67=$D64)),IF(ISNUMBER(Data_2014_N!AS64),100*ABS($G64-(Data_2014_N!AS64-$K64)/$M64),0),IF(ISNUMBER(Data_2014_N!AS64),100*ABS($G64-(Data_2014_N!AS64-$K64)/$M64),0)))</f>
        <v>80.5</v>
      </c>
      <c r="AZ64" s="161">
        <f>IF($H64=0,0,CHOOSE($H64,SUMPRODUCT($O65:$O$67*AZ65:AZ$67*($E65:$E$67=$D64)),IF(ISNUMBER(Data_2014_N!AT64),100*ABS($G64-(Data_2014_N!AT64-$K64)/$M64),0),IF(ISNUMBER(Data_2014_N!AT64),100*ABS($G64-(Data_2014_N!AT64-$K64)/$M64),0)))</f>
        <v>77.75</v>
      </c>
      <c r="BA64" s="161">
        <f>IF($H64=0,0,CHOOSE($H64,SUMPRODUCT($O65:$O$67*BA65:BA$67*($E65:$E$67=$D64)),IF(ISNUMBER(Data_2014_N!AU64),100*ABS($G64-(Data_2014_N!AU64-$K64)/$M64),0),IF(ISNUMBER(Data_2014_N!AU64),100*ABS($G64-(Data_2014_N!AU64-$K64)/$M64),0)))</f>
        <v>81.98</v>
      </c>
      <c r="BB64" s="161">
        <f>IF($H64=0,0,CHOOSE($H64,SUMPRODUCT($O65:$O$67*BB65:BB$67*($E65:$E$67=$D64)),IF(ISNUMBER(Data_2014_N!AV64),100*ABS($G64-(Data_2014_N!AV64-$K64)/$M64),0),IF(ISNUMBER(Data_2014_N!AV64),100*ABS($G64-(Data_2014_N!AV64-$K64)/$M64),0)))</f>
        <v>77.9</v>
      </c>
      <c r="BC64" s="161">
        <f>IF($H64=0,0,CHOOSE($H64,SUMPRODUCT($O65:$O$67*BC65:BC$67*($E65:$E$67=$D64)),IF(ISNUMBER(Data_2014_N!AW64),100*ABS($G64-(Data_2014_N!AW64-$K64)/$M64),0),IF(ISNUMBER(Data_2014_N!AW64),100*ABS($G64-(Data_2014_N!AW64-$K64)/$M64),0)))</f>
        <v>58.72</v>
      </c>
      <c r="BD64" s="161">
        <f>IF($H64=0,0,CHOOSE($H64,SUMPRODUCT($O65:$O$67*BD65:BD$67*($E65:$E$67=$D64)),IF(ISNUMBER(Data_2014_N!AX64),100*ABS($G64-(Data_2014_N!AX64-$K64)/$M64),0),IF(ISNUMBER(Data_2014_N!AX64),100*ABS($G64-(Data_2014_N!AX64-$K64)/$M64),0)))</f>
        <v>79.1</v>
      </c>
      <c r="BE64" s="161">
        <f>IF($H64=0,0,CHOOSE($H64,SUMPRODUCT($O65:$O$67*BE65:BE$67*($E65:$E$67=$D64)),IF(ISNUMBER(Data_2014_N!AY64),100*ABS($G64-(Data_2014_N!AY64-$K64)/$M64),0),IF(ISNUMBER(Data_2014_N!AY64),100*ABS($G64-(Data_2014_N!AY64-$K64)/$M64),0)))</f>
        <v>43.73</v>
      </c>
      <c r="BF64" s="161">
        <f>IF($H64=0,0,CHOOSE($H64,SUMPRODUCT($O65:$O$67*BF65:BF$67*($E65:$E$67=$D64)),IF(ISNUMBER(Data_2014_N!AZ64),100*ABS($G64-(Data_2014_N!AZ64-$K64)/$M64),0),IF(ISNUMBER(Data_2014_N!AZ64),100*ABS($G64-(Data_2014_N!AZ64-$K64)/$M64),0)))</f>
        <v>80.92</v>
      </c>
      <c r="BG64" s="161">
        <f>IF($H64=0,0,CHOOSE($H64,SUMPRODUCT($O65:$O$67*BG65:BG$67*($E65:$E$67=$D64)),IF(ISNUMBER(Data_2014_N!BA64),100*ABS($G64-(Data_2014_N!BA64-$K64)/$M64),0),IF(ISNUMBER(Data_2014_N!BA64),100*ABS($G64-(Data_2014_N!BA64-$K64)/$M64),0)))</f>
        <v>68.46</v>
      </c>
      <c r="BH64" s="161">
        <f>IF($H64=0,0,CHOOSE($H64,SUMPRODUCT($O65:$O$67*BH65:BH$67*($E65:$E$67=$D64)),IF(ISNUMBER(Data_2014_N!BB64),100*ABS($G64-(Data_2014_N!BB64-$K64)/$M64),0),IF(ISNUMBER(Data_2014_N!BB64),100*ABS($G64-(Data_2014_N!BB64-$K64)/$M64),0)))</f>
        <v>41.1</v>
      </c>
      <c r="BI64" s="161">
        <f>IF($H64=0,0,CHOOSE($H64,SUMPRODUCT($O65:$O$67*BI65:BI$67*($E65:$E$67=$D64)),IF(ISNUMBER(Data_2014_N!BC64),100*ABS($G64-(Data_2014_N!BC64-$K64)/$M64),0),IF(ISNUMBER(Data_2014_N!BC64),100*ABS($G64-(Data_2014_N!BC64-$K64)/$M64),0)))</f>
        <v>79.39</v>
      </c>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row>
    <row r="65" s="69" customFormat="1" ht="24.95" customHeight="1" spans="1:115">
      <c r="A65" s="92"/>
      <c r="B65" s="92">
        <f>tblIndicators!A61</f>
        <v>60</v>
      </c>
      <c r="C65" s="92">
        <f>tblIndicators!B61</f>
        <v>0</v>
      </c>
      <c r="D65" s="92" t="str">
        <f>tblIndicators!D61</f>
        <v>PESE4.2.10</v>
      </c>
      <c r="E65" s="92" t="str">
        <f>tblIndicators!E61</f>
        <v>PESE4.2</v>
      </c>
      <c r="F65" s="92">
        <f>tblIndicators!F61</f>
        <v>3</v>
      </c>
      <c r="G65" s="92">
        <f>tblIndicators!Y61</f>
        <v>0</v>
      </c>
      <c r="H65" s="92">
        <f>tblIndicators!Z61</f>
        <v>3</v>
      </c>
      <c r="I65" s="104">
        <f>tblIndicators!AA61</f>
        <v>0</v>
      </c>
      <c r="J65" s="92">
        <f>tblIndicators!AB61</f>
        <v>4</v>
      </c>
      <c r="K65" s="92">
        <f>CHOOSE(H65,"-",MIN(Data_2014_N!J65:BC65),I65)</f>
        <v>0</v>
      </c>
      <c r="L65" s="165">
        <f>CHOOSE(H65,"-",MAX(Data_2014_N!J65:BC65),J65)</f>
        <v>4</v>
      </c>
      <c r="M65" s="92">
        <f t="shared" si="1"/>
        <v>4</v>
      </c>
      <c r="N65" s="168" t="str">
        <f>REPT(" ",F65)&amp;tblIndicators!AE61</f>
        <v>   4.2.10) Threat of terrorism</v>
      </c>
      <c r="O65" s="169">
        <f>tblIndicators!AD61</f>
        <v>0.0833333333333333</v>
      </c>
      <c r="P65" s="161">
        <f>IF($H65=0,0,CHOOSE($H65,SUMPRODUCT($O66:$O$67*P66:P$67*($E66:$E$67=$D65)),IF(ISNUMBER(Data_2014_N!J65),100*ABS($G65-(Data_2014_N!J65-$K65)/$M65),0),IF(ISNUMBER(Data_2014_N!J65),100*ABS($G65-(Data_2014_N!J65-$K65)/$M65),0)))</f>
        <v>75</v>
      </c>
      <c r="Q65" s="161">
        <f>IF($H65=0,0,CHOOSE($H65,SUMPRODUCT($O66:$O$67*Q66:Q$67*($E66:$E$67=$D65)),IF(ISNUMBER(Data_2014_N!K65),100*ABS($G65-(Data_2014_N!K65-$K65)/$M65),0),IF(ISNUMBER(Data_2014_N!K65),100*ABS($G65-(Data_2014_N!K65-$K65)/$M65),0)))</f>
        <v>75</v>
      </c>
      <c r="R65" s="161">
        <f>IF($H65=0,0,CHOOSE($H65,SUMPRODUCT($O66:$O$67*R66:R$67*($E66:$E$67=$D65)),IF(ISNUMBER(Data_2014_N!L65),100*ABS($G65-(Data_2014_N!L65-$K65)/$M65),0),IF(ISNUMBER(Data_2014_N!L65),100*ABS($G65-(Data_2014_N!L65-$K65)/$M65),0)))</f>
        <v>50</v>
      </c>
      <c r="S65" s="161">
        <f>IF($H65=0,0,CHOOSE($H65,SUMPRODUCT($O66:$O$67*S66:S$67*($E66:$E$67=$D65)),IF(ISNUMBER(Data_2014_N!M65),100*ABS($G65-(Data_2014_N!M65-$K65)/$M65),0),IF(ISNUMBER(Data_2014_N!M65),100*ABS($G65-(Data_2014_N!M65-$K65)/$M65),0)))</f>
        <v>75</v>
      </c>
      <c r="T65" s="161">
        <f>IF($H65=0,0,CHOOSE($H65,SUMPRODUCT($O66:$O$67*T66:T$67*($E66:$E$67=$D65)),IF(ISNUMBER(Data_2014_N!N65),100*ABS($G65-(Data_2014_N!N65-$K65)/$M65),0),IF(ISNUMBER(Data_2014_N!N65),100*ABS($G65-(Data_2014_N!N65-$K65)/$M65),0)))</f>
        <v>100</v>
      </c>
      <c r="U65" s="161">
        <f>IF($H65=0,0,CHOOSE($H65,SUMPRODUCT($O66:$O$67*U66:U$67*($E66:$E$67=$D65)),IF(ISNUMBER(Data_2014_N!O65),100*ABS($G65-(Data_2014_N!O65-$K65)/$M65),0),IF(ISNUMBER(Data_2014_N!O65),100*ABS($G65-(Data_2014_N!O65-$K65)/$M65),0)))</f>
        <v>75</v>
      </c>
      <c r="V65" s="161">
        <f>IF($H65=0,0,CHOOSE($H65,SUMPRODUCT($O66:$O$67*V66:V$67*($E66:$E$67=$D65)),IF(ISNUMBER(Data_2014_N!P65),100*ABS($G65-(Data_2014_N!P65-$K65)/$M65),0),IF(ISNUMBER(Data_2014_N!P65),100*ABS($G65-(Data_2014_N!P65-$K65)/$M65),0)))</f>
        <v>75</v>
      </c>
      <c r="W65" s="161">
        <f>IF($H65=0,0,CHOOSE($H65,SUMPRODUCT($O66:$O$67*W66:W$67*($E66:$E$67=$D65)),IF(ISNUMBER(Data_2014_N!Q65),100*ABS($G65-(Data_2014_N!Q65-$K65)/$M65),0),IF(ISNUMBER(Data_2014_N!Q65),100*ABS($G65-(Data_2014_N!Q65-$K65)/$M65),0)))</f>
        <v>75</v>
      </c>
      <c r="X65" s="161">
        <f>IF($H65=0,0,CHOOSE($H65,SUMPRODUCT($O66:$O$67*X66:X$67*($E66:$E$67=$D65)),IF(ISNUMBER(Data_2014_N!R65),100*ABS($G65-(Data_2014_N!R65-$K65)/$M65),0),IF(ISNUMBER(Data_2014_N!R65),100*ABS($G65-(Data_2014_N!R65-$K65)/$M65),0)))</f>
        <v>50</v>
      </c>
      <c r="Y65" s="161">
        <f>IF($H65=0,0,CHOOSE($H65,SUMPRODUCT($O66:$O$67*Y66:Y$67*($E66:$E$67=$D65)),IF(ISNUMBER(Data_2014_N!S65),100*ABS($G65-(Data_2014_N!S65-$K65)/$M65),0),IF(ISNUMBER(Data_2014_N!S65),100*ABS($G65-(Data_2014_N!S65-$K65)/$M65),0)))</f>
        <v>75</v>
      </c>
      <c r="Z65" s="161">
        <f>IF($H65=0,0,CHOOSE($H65,SUMPRODUCT($O66:$O$67*Z66:Z$67*($E66:$E$67=$D65)),IF(ISNUMBER(Data_2014_N!T65),100*ABS($G65-(Data_2014_N!T65-$K65)/$M65),0),IF(ISNUMBER(Data_2014_N!T65),100*ABS($G65-(Data_2014_N!T65-$K65)/$M65),0)))</f>
        <v>75</v>
      </c>
      <c r="AA65" s="161">
        <f>IF($H65=0,0,CHOOSE($H65,SUMPRODUCT($O66:$O$67*AA66:AA$67*($E66:$E$67=$D65)),IF(ISNUMBER(Data_2014_N!U65),100*ABS($G65-(Data_2014_N!U65-$K65)/$M65),0),IF(ISNUMBER(Data_2014_N!U65),100*ABS($G65-(Data_2014_N!U65-$K65)/$M65),0)))</f>
        <v>75</v>
      </c>
      <c r="AB65" s="161">
        <f>IF($H65=0,0,CHOOSE($H65,SUMPRODUCT($O66:$O$67*AB66:AB$67*($E66:$E$67=$D65)),IF(ISNUMBER(Data_2014_N!V65),100*ABS($G65-(Data_2014_N!V65-$K65)/$M65),0),IF(ISNUMBER(Data_2014_N!V65),100*ABS($G65-(Data_2014_N!V65-$K65)/$M65),0)))</f>
        <v>100</v>
      </c>
      <c r="AC65" s="161">
        <f>IF($H65=0,0,CHOOSE($H65,SUMPRODUCT($O66:$O$67*AC66:AC$67*($E66:$E$67=$D65)),IF(ISNUMBER(Data_2014_N!W65),100*ABS($G65-(Data_2014_N!W65-$K65)/$M65),0),IF(ISNUMBER(Data_2014_N!W65),100*ABS($G65-(Data_2014_N!W65-$K65)/$M65),0)))</f>
        <v>50</v>
      </c>
      <c r="AD65" s="161">
        <f>IF($H65=0,0,CHOOSE($H65,SUMPRODUCT($O66:$O$67*AD66:AD$67*($E66:$E$67=$D65)),IF(ISNUMBER(Data_2014_N!X65),100*ABS($G65-(Data_2014_N!X65-$K65)/$M65),0),IF(ISNUMBER(Data_2014_N!X65),100*ABS($G65-(Data_2014_N!X65-$K65)/$M65),0)))</f>
        <v>25</v>
      </c>
      <c r="AE65" s="161">
        <f>IF($H65=0,0,CHOOSE($H65,SUMPRODUCT($O66:$O$67*AE66:AE$67*($E66:$E$67=$D65)),IF(ISNUMBER(Data_2014_N!Y65),100*ABS($G65-(Data_2014_N!Y65-$K65)/$M65),0),IF(ISNUMBER(Data_2014_N!Y65),100*ABS($G65-(Data_2014_N!Y65-$K65)/$M65),0)))</f>
        <v>75</v>
      </c>
      <c r="AF65" s="161">
        <f>IF($H65=0,0,CHOOSE($H65,SUMPRODUCT($O66:$O$67*AF66:AF$67*($E66:$E$67=$D65)),IF(ISNUMBER(Data_2014_N!Z65),100*ABS($G65-(Data_2014_N!Z65-$K65)/$M65),0),IF(ISNUMBER(Data_2014_N!Z65),100*ABS($G65-(Data_2014_N!Z65-$K65)/$M65),0)))</f>
        <v>75</v>
      </c>
      <c r="AG65" s="161">
        <f>IF($H65=0,0,CHOOSE($H65,SUMPRODUCT($O66:$O$67*AG66:AG$67*($E66:$E$67=$D65)),IF(ISNUMBER(Data_2014_N!AA65),100*ABS($G65-(Data_2014_N!AA65-$K65)/$M65),0),IF(ISNUMBER(Data_2014_N!AA65),100*ABS($G65-(Data_2014_N!AA65-$K65)/$M65),0)))</f>
        <v>75</v>
      </c>
      <c r="AH65" s="161">
        <f>IF($H65=0,0,CHOOSE($H65,SUMPRODUCT($O66:$O$67*AH66:AH$67*($E66:$E$67=$D65)),IF(ISNUMBER(Data_2014_N!AB65),100*ABS($G65-(Data_2014_N!AB65-$K65)/$M65),0),IF(ISNUMBER(Data_2014_N!AB65),100*ABS($G65-(Data_2014_N!AB65-$K65)/$M65),0)))</f>
        <v>50</v>
      </c>
      <c r="AI65" s="161">
        <f>IF($H65=0,0,CHOOSE($H65,SUMPRODUCT($O66:$O$67*AI66:AI$67*($E66:$E$67=$D65)),IF(ISNUMBER(Data_2014_N!AC65),100*ABS($G65-(Data_2014_N!AC65-$K65)/$M65),0),IF(ISNUMBER(Data_2014_N!AC65),100*ABS($G65-(Data_2014_N!AC65-$K65)/$M65),0)))</f>
        <v>75</v>
      </c>
      <c r="AJ65" s="161">
        <f>IF($H65=0,0,CHOOSE($H65,SUMPRODUCT($O66:$O$67*AJ66:AJ$67*($E66:$E$67=$D65)),IF(ISNUMBER(Data_2014_N!AD65),100*ABS($G65-(Data_2014_N!AD65-$K65)/$M65),0),IF(ISNUMBER(Data_2014_N!AD65),100*ABS($G65-(Data_2014_N!AD65-$K65)/$M65),0)))</f>
        <v>75</v>
      </c>
      <c r="AK65" s="161">
        <f>IF($H65=0,0,CHOOSE($H65,SUMPRODUCT($O66:$O$67*AK66:AK$67*($E66:$E$67=$D65)),IF(ISNUMBER(Data_2014_N!AE65),100*ABS($G65-(Data_2014_N!AE65-$K65)/$M65),0),IF(ISNUMBER(Data_2014_N!AE65),100*ABS($G65-(Data_2014_N!AE65-$K65)/$M65),0)))</f>
        <v>100</v>
      </c>
      <c r="AL65" s="161">
        <f>IF($H65=0,0,CHOOSE($H65,SUMPRODUCT($O66:$O$67*AL66:AL$67*($E66:$E$67=$D65)),IF(ISNUMBER(Data_2014_N!AF65),100*ABS($G65-(Data_2014_N!AF65-$K65)/$M65),0),IF(ISNUMBER(Data_2014_N!AF65),100*ABS($G65-(Data_2014_N!AF65-$K65)/$M65),0)))</f>
        <v>50</v>
      </c>
      <c r="AM65" s="161">
        <f>IF($H65=0,0,CHOOSE($H65,SUMPRODUCT($O66:$O$67*AM66:AM$67*($E66:$E$67=$D65)),IF(ISNUMBER(Data_2014_N!AG65),100*ABS($G65-(Data_2014_N!AG65-$K65)/$M65),0),IF(ISNUMBER(Data_2014_N!AG65),100*ABS($G65-(Data_2014_N!AG65-$K65)/$M65),0)))</f>
        <v>100</v>
      </c>
      <c r="AN65" s="161">
        <f>IF($H65=0,0,CHOOSE($H65,SUMPRODUCT($O66:$O$67*AN66:AN$67*($E66:$E$67=$D65)),IF(ISNUMBER(Data_2014_N!AH65),100*ABS($G65-(Data_2014_N!AH65-$K65)/$M65),0),IF(ISNUMBER(Data_2014_N!AH65),100*ABS($G65-(Data_2014_N!AH65-$K65)/$M65),0)))</f>
        <v>50</v>
      </c>
      <c r="AO65" s="161">
        <f>IF($H65=0,0,CHOOSE($H65,SUMPRODUCT($O66:$O$67*AO66:AO$67*($E66:$E$67=$D65)),IF(ISNUMBER(Data_2014_N!AI65),100*ABS($G65-(Data_2014_N!AI65-$K65)/$M65),0),IF(ISNUMBER(Data_2014_N!AI65),100*ABS($G65-(Data_2014_N!AI65-$K65)/$M65),0)))</f>
        <v>50</v>
      </c>
      <c r="AP65" s="161">
        <f>IF($H65=0,0,CHOOSE($H65,SUMPRODUCT($O66:$O$67*AP66:AP$67*($E66:$E$67=$D65)),IF(ISNUMBER(Data_2014_N!AJ65),100*ABS($G65-(Data_2014_N!AJ65-$K65)/$M65),0),IF(ISNUMBER(Data_2014_N!AJ65),100*ABS($G65-(Data_2014_N!AJ65-$K65)/$M65),0)))</f>
        <v>50</v>
      </c>
      <c r="AQ65" s="161">
        <f>IF($H65=0,0,CHOOSE($H65,SUMPRODUCT($O66:$O$67*AQ66:AQ$67*($E66:$E$67=$D65)),IF(ISNUMBER(Data_2014_N!AK65),100*ABS($G65-(Data_2014_N!AK65-$K65)/$M65),0),IF(ISNUMBER(Data_2014_N!AK65),100*ABS($G65-(Data_2014_N!AK65-$K65)/$M65),0)))</f>
        <v>75</v>
      </c>
      <c r="AR65" s="161">
        <f>IF($H65=0,0,CHOOSE($H65,SUMPRODUCT($O66:$O$67*AR66:AR$67*($E66:$E$67=$D65)),IF(ISNUMBER(Data_2014_N!AL65),100*ABS($G65-(Data_2014_N!AL65-$K65)/$M65),0),IF(ISNUMBER(Data_2014_N!AL65),100*ABS($G65-(Data_2014_N!AL65-$K65)/$M65),0)))</f>
        <v>100</v>
      </c>
      <c r="AS65" s="161">
        <f>IF($H65=0,0,CHOOSE($H65,SUMPRODUCT($O66:$O$67*AS66:AS$67*($E66:$E$67=$D65)),IF(ISNUMBER(Data_2014_N!AM65),100*ABS($G65-(Data_2014_N!AM65-$K65)/$M65),0),IF(ISNUMBER(Data_2014_N!AM65),100*ABS($G65-(Data_2014_N!AM65-$K65)/$M65),0)))</f>
        <v>75</v>
      </c>
      <c r="AT65" s="161">
        <f>IF($H65=0,0,CHOOSE($H65,SUMPRODUCT($O66:$O$67*AT66:AT$67*($E66:$E$67=$D65)),IF(ISNUMBER(Data_2014_N!AN65),100*ABS($G65-(Data_2014_N!AN65-$K65)/$M65),0),IF(ISNUMBER(Data_2014_N!AN65),100*ABS($G65-(Data_2014_N!AN65-$K65)/$M65),0)))</f>
        <v>50</v>
      </c>
      <c r="AU65" s="161">
        <f>IF($H65=0,0,CHOOSE($H65,SUMPRODUCT($O66:$O$67*AU66:AU$67*($E66:$E$67=$D65)),IF(ISNUMBER(Data_2014_N!AO65),100*ABS($G65-(Data_2014_N!AO65-$K65)/$M65),0),IF(ISNUMBER(Data_2014_N!AO65),100*ABS($G65-(Data_2014_N!AO65-$K65)/$M65),0)))</f>
        <v>100</v>
      </c>
      <c r="AV65" s="161">
        <f>IF($H65=0,0,CHOOSE($H65,SUMPRODUCT($O66:$O$67*AV66:AV$67*($E66:$E$67=$D65)),IF(ISNUMBER(Data_2014_N!AP65),100*ABS($G65-(Data_2014_N!AP65-$K65)/$M65),0),IF(ISNUMBER(Data_2014_N!AP65),100*ABS($G65-(Data_2014_N!AP65-$K65)/$M65),0)))</f>
        <v>75</v>
      </c>
      <c r="AW65" s="161">
        <f>IF($H65=0,0,CHOOSE($H65,SUMPRODUCT($O66:$O$67*AW66:AW$67*($E66:$E$67=$D65)),IF(ISNUMBER(Data_2014_N!AQ65),100*ABS($G65-(Data_2014_N!AQ65-$K65)/$M65),0),IF(ISNUMBER(Data_2014_N!AQ65),100*ABS($G65-(Data_2014_N!AQ65-$K65)/$M65),0)))</f>
        <v>100</v>
      </c>
      <c r="AX65" s="161">
        <f>IF($H65=0,0,CHOOSE($H65,SUMPRODUCT($O66:$O$67*AX66:AX$67*($E66:$E$67=$D65)),IF(ISNUMBER(Data_2014_N!AR65),100*ABS($G65-(Data_2014_N!AR65-$K65)/$M65),0),IF(ISNUMBER(Data_2014_N!AR65),100*ABS($G65-(Data_2014_N!AR65-$K65)/$M65),0)))</f>
        <v>75</v>
      </c>
      <c r="AY65" s="161">
        <f>IF($H65=0,0,CHOOSE($H65,SUMPRODUCT($O66:$O$67*AY66:AY$67*($E66:$E$67=$D65)),IF(ISNUMBER(Data_2014_N!AS65),100*ABS($G65-(Data_2014_N!AS65-$K65)/$M65),0),IF(ISNUMBER(Data_2014_N!AS65),100*ABS($G65-(Data_2014_N!AS65-$K65)/$M65),0)))</f>
        <v>75</v>
      </c>
      <c r="AZ65" s="161">
        <f>IF($H65=0,0,CHOOSE($H65,SUMPRODUCT($O66:$O$67*AZ66:AZ$67*($E66:$E$67=$D65)),IF(ISNUMBER(Data_2014_N!AT65),100*ABS($G65-(Data_2014_N!AT65-$K65)/$M65),0),IF(ISNUMBER(Data_2014_N!AT65),100*ABS($G65-(Data_2014_N!AT65-$K65)/$M65),0)))</f>
        <v>100</v>
      </c>
      <c r="BA65" s="161">
        <f>IF($H65=0,0,CHOOSE($H65,SUMPRODUCT($O66:$O$67*BA66:BA$67*($E66:$E$67=$D65)),IF(ISNUMBER(Data_2014_N!AU65),100*ABS($G65-(Data_2014_N!AU65-$K65)/$M65),0),IF(ISNUMBER(Data_2014_N!AU65),100*ABS($G65-(Data_2014_N!AU65-$K65)/$M65),0)))</f>
        <v>75</v>
      </c>
      <c r="BB65" s="161">
        <f>IF($H65=0,0,CHOOSE($H65,SUMPRODUCT($O66:$O$67*BB66:BB$67*($E66:$E$67=$D65)),IF(ISNUMBER(Data_2014_N!AV65),100*ABS($G65-(Data_2014_N!AV65-$K65)/$M65),0),IF(ISNUMBER(Data_2014_N!AV65),100*ABS($G65-(Data_2014_N!AV65-$K65)/$M65),0)))</f>
        <v>100</v>
      </c>
      <c r="BC65" s="161">
        <f>IF($H65=0,0,CHOOSE($H65,SUMPRODUCT($O66:$O$67*BC66:BC$67*($E66:$E$67=$D65)),IF(ISNUMBER(Data_2014_N!AW65),100*ABS($G65-(Data_2014_N!AW65-$K65)/$M65),0),IF(ISNUMBER(Data_2014_N!AW65),100*ABS($G65-(Data_2014_N!AW65-$K65)/$M65),0)))</f>
        <v>100</v>
      </c>
      <c r="BD65" s="161">
        <f>IF($H65=0,0,CHOOSE($H65,SUMPRODUCT($O66:$O$67*BD66:BD$67*($E66:$E$67=$D65)),IF(ISNUMBER(Data_2014_N!AX65),100*ABS($G65-(Data_2014_N!AX65-$K65)/$M65),0),IF(ISNUMBER(Data_2014_N!AX65),100*ABS($G65-(Data_2014_N!AX65-$K65)/$M65),0)))</f>
        <v>100</v>
      </c>
      <c r="BE65" s="161">
        <f>IF($H65=0,0,CHOOSE($H65,SUMPRODUCT($O66:$O$67*BE66:BE$67*($E66:$E$67=$D65)),IF(ISNUMBER(Data_2014_N!AY65),100*ABS($G65-(Data_2014_N!AY65-$K65)/$M65),0),IF(ISNUMBER(Data_2014_N!AY65),100*ABS($G65-(Data_2014_N!AY65-$K65)/$M65),0)))</f>
        <v>50</v>
      </c>
      <c r="BF65" s="161">
        <f>IF($H65=0,0,CHOOSE($H65,SUMPRODUCT($O66:$O$67*BF66:BF$67*($E66:$E$67=$D65)),IF(ISNUMBER(Data_2014_N!AZ65),100*ABS($G65-(Data_2014_N!AZ65-$K65)/$M65),0),IF(ISNUMBER(Data_2014_N!AZ65),100*ABS($G65-(Data_2014_N!AZ65-$K65)/$M65),0)))</f>
        <v>75</v>
      </c>
      <c r="BG65" s="161">
        <f>IF($H65=0,0,CHOOSE($H65,SUMPRODUCT($O66:$O$67*BG66:BG$67*($E66:$E$67=$D65)),IF(ISNUMBER(Data_2014_N!BA65),100*ABS($G65-(Data_2014_N!BA65-$K65)/$M65),0),IF(ISNUMBER(Data_2014_N!BA65),100*ABS($G65-(Data_2014_N!BA65-$K65)/$M65),0)))</f>
        <v>100</v>
      </c>
      <c r="BH65" s="161">
        <f>IF($H65=0,0,CHOOSE($H65,SUMPRODUCT($O66:$O$67*BH66:BH$67*($E66:$E$67=$D65)),IF(ISNUMBER(Data_2014_N!BB65),100*ABS($G65-(Data_2014_N!BB65-$K65)/$M65),0),IF(ISNUMBER(Data_2014_N!BB65),100*ABS($G65-(Data_2014_N!BB65-$K65)/$M65),0)))</f>
        <v>75</v>
      </c>
      <c r="BI65" s="161">
        <f>IF($H65=0,0,CHOOSE($H65,SUMPRODUCT($O66:$O$67*BI66:BI$67*($E66:$E$67=$D65)),IF(ISNUMBER(Data_2014_N!BC65),100*ABS($G65-(Data_2014_N!BC65-$K65)/$M65),0),IF(ISNUMBER(Data_2014_N!BC65),100*ABS($G65-(Data_2014_N!BC65-$K65)/$M65),0)))</f>
        <v>100</v>
      </c>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row>
    <row r="66" s="69" customFormat="1" ht="24.95" customHeight="1" spans="1:115">
      <c r="A66" s="92"/>
      <c r="B66" s="92">
        <f>tblIndicators!A62</f>
        <v>61</v>
      </c>
      <c r="C66" s="92">
        <f>tblIndicators!B62</f>
        <v>0</v>
      </c>
      <c r="D66" s="92" t="str">
        <f>tblIndicators!D62</f>
        <v>PESE4.2.11</v>
      </c>
      <c r="E66" s="92" t="str">
        <f>tblIndicators!E62</f>
        <v>PESE4.2</v>
      </c>
      <c r="F66" s="92">
        <f>tblIndicators!F62</f>
        <v>3</v>
      </c>
      <c r="G66" s="92">
        <f>tblIndicators!Y62</f>
        <v>0</v>
      </c>
      <c r="H66" s="92">
        <f>tblIndicators!Z62</f>
        <v>3</v>
      </c>
      <c r="I66" s="104">
        <f>tblIndicators!AA62</f>
        <v>0</v>
      </c>
      <c r="J66" s="92">
        <f>tblIndicators!AB62</f>
        <v>4</v>
      </c>
      <c r="K66" s="92">
        <f>CHOOSE(H66,"-",MIN(Data_2014_N!J66:BC66),I66)</f>
        <v>0</v>
      </c>
      <c r="L66" s="165">
        <f>CHOOSE(H66,"-",MAX(Data_2014_N!J66:BC66),J66)</f>
        <v>4</v>
      </c>
      <c r="M66" s="92">
        <f t="shared" si="1"/>
        <v>4</v>
      </c>
      <c r="N66" s="168" t="str">
        <f>REPT(" ",F66)&amp;tblIndicators!AE62</f>
        <v>   4.2.11) Threat of military conflict</v>
      </c>
      <c r="O66" s="169">
        <f>tblIndicators!AD62</f>
        <v>0.0833333333333333</v>
      </c>
      <c r="P66" s="161">
        <f>IF($H66=0,0,CHOOSE($H66,SUMPRODUCT($O67:$O$67*P67:P$67*($E67:$E$67=$D66)),IF(ISNUMBER(Data_2014_N!J66),100*ABS($G66-(Data_2014_N!J66-$K66)/$M66),0),IF(ISNUMBER(Data_2014_N!J66),100*ABS($G66-(Data_2014_N!J66-$K66)/$M66),0)))</f>
        <v>100</v>
      </c>
      <c r="Q66" s="161">
        <f>IF($H66=0,0,CHOOSE($H66,SUMPRODUCT($O67:$O$67*Q67:Q$67*($E67:$E$67=$D66)),IF(ISNUMBER(Data_2014_N!K66),100*ABS($G66-(Data_2014_N!K66-$K66)/$M66),0),IF(ISNUMBER(Data_2014_N!K66),100*ABS($G66-(Data_2014_N!K66-$K66)/$M66),0)))</f>
        <v>100</v>
      </c>
      <c r="R66" s="161">
        <f>IF($H66=0,0,CHOOSE($H66,SUMPRODUCT($O67:$O$67*R67:R$67*($E67:$E$67=$D66)),IF(ISNUMBER(Data_2014_N!L66),100*ABS($G66-(Data_2014_N!L66-$K66)/$M66),0),IF(ISNUMBER(Data_2014_N!L66),100*ABS($G66-(Data_2014_N!L66-$K66)/$M66),0)))</f>
        <v>50</v>
      </c>
      <c r="S66" s="161">
        <f>IF($H66=0,0,CHOOSE($H66,SUMPRODUCT($O67:$O$67*S67:S$67*($E67:$E$67=$D66)),IF(ISNUMBER(Data_2014_N!M66),100*ABS($G66-(Data_2014_N!M66-$K66)/$M66),0),IF(ISNUMBER(Data_2014_N!M66),100*ABS($G66-(Data_2014_N!M66-$K66)/$M66),0)))</f>
        <v>100</v>
      </c>
      <c r="T66" s="161">
        <f>IF($H66=0,0,CHOOSE($H66,SUMPRODUCT($O67:$O$67*T67:T$67*($E67:$E$67=$D66)),IF(ISNUMBER(Data_2014_N!N66),100*ABS($G66-(Data_2014_N!N66-$K66)/$M66),0),IF(ISNUMBER(Data_2014_N!N66),100*ABS($G66-(Data_2014_N!N66-$K66)/$M66),0)))</f>
        <v>100</v>
      </c>
      <c r="U66" s="161">
        <f>IF($H66=0,0,CHOOSE($H66,SUMPRODUCT($O67:$O$67*U67:U$67*($E67:$E$67=$D66)),IF(ISNUMBER(Data_2014_N!O66),100*ABS($G66-(Data_2014_N!O66-$K66)/$M66),0),IF(ISNUMBER(Data_2014_N!O66),100*ABS($G66-(Data_2014_N!O66-$K66)/$M66),0)))</f>
        <v>100</v>
      </c>
      <c r="V66" s="161">
        <f>IF($H66=0,0,CHOOSE($H66,SUMPRODUCT($O67:$O$67*V67:V$67*($E67:$E$67=$D66)),IF(ISNUMBER(Data_2014_N!P66),100*ABS($G66-(Data_2014_N!P66-$K66)/$M66),0),IF(ISNUMBER(Data_2014_N!P66),100*ABS($G66-(Data_2014_N!P66-$K66)/$M66),0)))</f>
        <v>100</v>
      </c>
      <c r="W66" s="161">
        <f>IF($H66=0,0,CHOOSE($H66,SUMPRODUCT($O67:$O$67*W67:W$67*($E67:$E$67=$D66)),IF(ISNUMBER(Data_2014_N!Q66),100*ABS($G66-(Data_2014_N!Q66-$K66)/$M66),0),IF(ISNUMBER(Data_2014_N!Q66),100*ABS($G66-(Data_2014_N!Q66-$K66)/$M66),0)))</f>
        <v>100</v>
      </c>
      <c r="X66" s="161">
        <f>IF($H66=0,0,CHOOSE($H66,SUMPRODUCT($O67:$O$67*X67:X$67*($E67:$E$67=$D66)),IF(ISNUMBER(Data_2014_N!R66),100*ABS($G66-(Data_2014_N!R66-$K66)/$M66),0),IF(ISNUMBER(Data_2014_N!R66),100*ABS($G66-(Data_2014_N!R66-$K66)/$M66),0)))</f>
        <v>75</v>
      </c>
      <c r="Y66" s="161">
        <f>IF($H66=0,0,CHOOSE($H66,SUMPRODUCT($O67:$O$67*Y67:Y$67*($E67:$E$67=$D66)),IF(ISNUMBER(Data_2014_N!S66),100*ABS($G66-(Data_2014_N!S66-$K66)/$M66),0),IF(ISNUMBER(Data_2014_N!S66),100*ABS($G66-(Data_2014_N!S66-$K66)/$M66),0)))</f>
        <v>75</v>
      </c>
      <c r="Z66" s="161">
        <f>IF($H66=0,0,CHOOSE($H66,SUMPRODUCT($O67:$O$67*Z67:Z$67*($E67:$E$67=$D66)),IF(ISNUMBER(Data_2014_N!T66),100*ABS($G66-(Data_2014_N!T66-$K66)/$M66),0),IF(ISNUMBER(Data_2014_N!T66),100*ABS($G66-(Data_2014_N!T66-$K66)/$M66),0)))</f>
        <v>100</v>
      </c>
      <c r="AA66" s="161">
        <f>IF($H66=0,0,CHOOSE($H66,SUMPRODUCT($O67:$O$67*AA67:AA$67*($E67:$E$67=$D66)),IF(ISNUMBER(Data_2014_N!U66),100*ABS($G66-(Data_2014_N!U66-$K66)/$M66),0),IF(ISNUMBER(Data_2014_N!U66),100*ABS($G66-(Data_2014_N!U66-$K66)/$M66),0)))</f>
        <v>75</v>
      </c>
      <c r="AB66" s="161">
        <f>IF($H66=0,0,CHOOSE($H66,SUMPRODUCT($O67:$O$67*AB67:AB$67*($E67:$E$67=$D66)),IF(ISNUMBER(Data_2014_N!V66),100*ABS($G66-(Data_2014_N!V66-$K66)/$M66),0),IF(ISNUMBER(Data_2014_N!V66),100*ABS($G66-(Data_2014_N!V66-$K66)/$M66),0)))</f>
        <v>100</v>
      </c>
      <c r="AC66" s="161">
        <f>IF($H66=0,0,CHOOSE($H66,SUMPRODUCT($O67:$O$67*AC67:AC$67*($E67:$E$67=$D66)),IF(ISNUMBER(Data_2014_N!W66),100*ABS($G66-(Data_2014_N!W66-$K66)/$M66),0),IF(ISNUMBER(Data_2014_N!W66),100*ABS($G66-(Data_2014_N!W66-$K66)/$M66),0)))</f>
        <v>75</v>
      </c>
      <c r="AD66" s="161">
        <f>IF($H66=0,0,CHOOSE($H66,SUMPRODUCT($O67:$O$67*AD67:AD$67*($E67:$E$67=$D66)),IF(ISNUMBER(Data_2014_N!X66),100*ABS($G66-(Data_2014_N!X66-$K66)/$M66),0),IF(ISNUMBER(Data_2014_N!X66),100*ABS($G66-(Data_2014_N!X66-$K66)/$M66),0)))</f>
        <v>100</v>
      </c>
      <c r="AE66" s="161">
        <f>IF($H66=0,0,CHOOSE($H66,SUMPRODUCT($O67:$O$67*AE67:AE$67*($E67:$E$67=$D66)),IF(ISNUMBER(Data_2014_N!Y66),100*ABS($G66-(Data_2014_N!Y66-$K66)/$M66),0),IF(ISNUMBER(Data_2014_N!Y66),100*ABS($G66-(Data_2014_N!Y66-$K66)/$M66),0)))</f>
        <v>100</v>
      </c>
      <c r="AF66" s="161">
        <f>IF($H66=0,0,CHOOSE($H66,SUMPRODUCT($O67:$O$67*AF67:AF$67*($E67:$E$67=$D66)),IF(ISNUMBER(Data_2014_N!Z66),100*ABS($G66-(Data_2014_N!Z66-$K66)/$M66),0),IF(ISNUMBER(Data_2014_N!Z66),100*ABS($G66-(Data_2014_N!Z66-$K66)/$M66),0)))</f>
        <v>75</v>
      </c>
      <c r="AG66" s="161">
        <f>IF($H66=0,0,CHOOSE($H66,SUMPRODUCT($O67:$O$67*AG67:AG$67*($E67:$E$67=$D66)),IF(ISNUMBER(Data_2014_N!AA66),100*ABS($G66-(Data_2014_N!AA66-$K66)/$M66),0),IF(ISNUMBER(Data_2014_N!AA66),100*ABS($G66-(Data_2014_N!AA66-$K66)/$M66),0)))</f>
        <v>75</v>
      </c>
      <c r="AH66" s="161">
        <f>IF($H66=0,0,CHOOSE($H66,SUMPRODUCT($O67:$O$67*AH67:AH$67*($E67:$E$67=$D66)),IF(ISNUMBER(Data_2014_N!AB66),100*ABS($G66-(Data_2014_N!AB66-$K66)/$M66),0),IF(ISNUMBER(Data_2014_N!AB66),100*ABS($G66-(Data_2014_N!AB66-$K66)/$M66),0)))</f>
        <v>100</v>
      </c>
      <c r="AI66" s="161">
        <f>IF($H66=0,0,CHOOSE($H66,SUMPRODUCT($O67:$O$67*AI67:AI$67*($E67:$E$67=$D66)),IF(ISNUMBER(Data_2014_N!AC66),100*ABS($G66-(Data_2014_N!AC66-$K66)/$M66),0),IF(ISNUMBER(Data_2014_N!AC66),100*ABS($G66-(Data_2014_N!AC66-$K66)/$M66),0)))</f>
        <v>100</v>
      </c>
      <c r="AJ66" s="161">
        <f>IF($H66=0,0,CHOOSE($H66,SUMPRODUCT($O67:$O$67*AJ67:AJ$67*($E67:$E$67=$D66)),IF(ISNUMBER(Data_2014_N!AD66),100*ABS($G66-(Data_2014_N!AD66-$K66)/$M66),0),IF(ISNUMBER(Data_2014_N!AD66),100*ABS($G66-(Data_2014_N!AD66-$K66)/$M66),0)))</f>
        <v>100</v>
      </c>
      <c r="AK66" s="161">
        <f>IF($H66=0,0,CHOOSE($H66,SUMPRODUCT($O67:$O$67*AK67:AK$67*($E67:$E$67=$D66)),IF(ISNUMBER(Data_2014_N!AE66),100*ABS($G66-(Data_2014_N!AE66-$K66)/$M66),0),IF(ISNUMBER(Data_2014_N!AE66),100*ABS($G66-(Data_2014_N!AE66-$K66)/$M66),0)))</f>
        <v>100</v>
      </c>
      <c r="AL66" s="161">
        <f>IF($H66=0,0,CHOOSE($H66,SUMPRODUCT($O67:$O$67*AL67:AL$67*($E67:$E$67=$D66)),IF(ISNUMBER(Data_2014_N!AF66),100*ABS($G66-(Data_2014_N!AF66-$K66)/$M66),0),IF(ISNUMBER(Data_2014_N!AF66),100*ABS($G66-(Data_2014_N!AF66-$K66)/$M66),0)))</f>
        <v>100</v>
      </c>
      <c r="AM66" s="161">
        <f>IF($H66=0,0,CHOOSE($H66,SUMPRODUCT($O67:$O$67*AM67:AM$67*($E67:$E$67=$D66)),IF(ISNUMBER(Data_2014_N!AG66),100*ABS($G66-(Data_2014_N!AG66-$K66)/$M66),0),IF(ISNUMBER(Data_2014_N!AG66),100*ABS($G66-(Data_2014_N!AG66-$K66)/$M66),0)))</f>
        <v>100</v>
      </c>
      <c r="AN66" s="161">
        <f>IF($H66=0,0,CHOOSE($H66,SUMPRODUCT($O67:$O$67*AN67:AN$67*($E67:$E$67=$D66)),IF(ISNUMBER(Data_2014_N!AH66),100*ABS($G66-(Data_2014_N!AH66-$K66)/$M66),0),IF(ISNUMBER(Data_2014_N!AH66),100*ABS($G66-(Data_2014_N!AH66-$K66)/$M66),0)))</f>
        <v>50</v>
      </c>
      <c r="AO66" s="161">
        <f>IF($H66=0,0,CHOOSE($H66,SUMPRODUCT($O67:$O$67*AO67:AO$67*($E67:$E$67=$D66)),IF(ISNUMBER(Data_2014_N!AI66),100*ABS($G66-(Data_2014_N!AI66-$K66)/$M66),0),IF(ISNUMBER(Data_2014_N!AI66),100*ABS($G66-(Data_2014_N!AI66-$K66)/$M66),0)))</f>
        <v>75</v>
      </c>
      <c r="AP66" s="161">
        <f>IF($H66=0,0,CHOOSE($H66,SUMPRODUCT($O67:$O$67*AP67:AP$67*($E67:$E$67=$D66)),IF(ISNUMBER(Data_2014_N!AJ66),100*ABS($G66-(Data_2014_N!AJ66-$K66)/$M66),0),IF(ISNUMBER(Data_2014_N!AJ66),100*ABS($G66-(Data_2014_N!AJ66-$K66)/$M66),0)))</f>
        <v>100</v>
      </c>
      <c r="AQ66" s="161">
        <f>IF($H66=0,0,CHOOSE($H66,SUMPRODUCT($O67:$O$67*AQ67:AQ$67*($E67:$E$67=$D66)),IF(ISNUMBER(Data_2014_N!AK66),100*ABS($G66-(Data_2014_N!AK66-$K66)/$M66),0),IF(ISNUMBER(Data_2014_N!AK66),100*ABS($G66-(Data_2014_N!AK66-$K66)/$M66),0)))</f>
        <v>100</v>
      </c>
      <c r="AR66" s="161">
        <f>IF($H66=0,0,CHOOSE($H66,SUMPRODUCT($O67:$O$67*AR67:AR$67*($E67:$E$67=$D66)),IF(ISNUMBER(Data_2014_N!AL66),100*ABS($G66-(Data_2014_N!AL66-$K66)/$M66),0),IF(ISNUMBER(Data_2014_N!AL66),100*ABS($G66-(Data_2014_N!AL66-$K66)/$M66),0)))</f>
        <v>100</v>
      </c>
      <c r="AS66" s="161">
        <f>IF($H66=0,0,CHOOSE($H66,SUMPRODUCT($O67:$O$67*AS67:AS$67*($E67:$E$67=$D66)),IF(ISNUMBER(Data_2014_N!AM66),100*ABS($G66-(Data_2014_N!AM66-$K66)/$M66),0),IF(ISNUMBER(Data_2014_N!AM66),100*ABS($G66-(Data_2014_N!AM66-$K66)/$M66),0)))</f>
        <v>100</v>
      </c>
      <c r="AT66" s="161">
        <f>IF($H66=0,0,CHOOSE($H66,SUMPRODUCT($O67:$O$67*AT67:AT$67*($E67:$E$67=$D66)),IF(ISNUMBER(Data_2014_N!AN66),100*ABS($G66-(Data_2014_N!AN66-$K66)/$M66),0),IF(ISNUMBER(Data_2014_N!AN66),100*ABS($G66-(Data_2014_N!AN66-$K66)/$M66),0)))</f>
        <v>75</v>
      </c>
      <c r="AU66" s="161">
        <f>IF($H66=0,0,CHOOSE($H66,SUMPRODUCT($O67:$O$67*AU67:AU$67*($E67:$E$67=$D66)),IF(ISNUMBER(Data_2014_N!AO66),100*ABS($G66-(Data_2014_N!AO66-$K66)/$M66),0),IF(ISNUMBER(Data_2014_N!AO66),100*ABS($G66-(Data_2014_N!AO66-$K66)/$M66),0)))</f>
        <v>100</v>
      </c>
      <c r="AV66" s="161">
        <f>IF($H66=0,0,CHOOSE($H66,SUMPRODUCT($O67:$O$67*AV67:AV$67*($E67:$E$67=$D66)),IF(ISNUMBER(Data_2014_N!AP66),100*ABS($G66-(Data_2014_N!AP66-$K66)/$M66),0),IF(ISNUMBER(Data_2014_N!AP66),100*ABS($G66-(Data_2014_N!AP66-$K66)/$M66),0)))</f>
        <v>100</v>
      </c>
      <c r="AW66" s="161">
        <f>IF($H66=0,0,CHOOSE($H66,SUMPRODUCT($O67:$O$67*AW67:AW$67*($E67:$E$67=$D66)),IF(ISNUMBER(Data_2014_N!AQ66),100*ABS($G66-(Data_2014_N!AQ66-$K66)/$M66),0),IF(ISNUMBER(Data_2014_N!AQ66),100*ABS($G66-(Data_2014_N!AQ66-$K66)/$M66),0)))</f>
        <v>100</v>
      </c>
      <c r="AX66" s="161">
        <f>IF($H66=0,0,CHOOSE($H66,SUMPRODUCT($O67:$O$67*AX67:AX$67*($E67:$E$67=$D66)),IF(ISNUMBER(Data_2014_N!AR66),100*ABS($G66-(Data_2014_N!AR66-$K66)/$M66),0),IF(ISNUMBER(Data_2014_N!AR66),100*ABS($G66-(Data_2014_N!AR66-$K66)/$M66),0)))</f>
        <v>100</v>
      </c>
      <c r="AY66" s="161">
        <f>IF($H66=0,0,CHOOSE($H66,SUMPRODUCT($O67:$O$67*AY67:AY$67*($E67:$E$67=$D66)),IF(ISNUMBER(Data_2014_N!AS66),100*ABS($G66-(Data_2014_N!AS66-$K66)/$M66),0),IF(ISNUMBER(Data_2014_N!AS66),100*ABS($G66-(Data_2014_N!AS66-$K66)/$M66),0)))</f>
        <v>50</v>
      </c>
      <c r="AZ66" s="161">
        <f>IF($H66=0,0,CHOOSE($H66,SUMPRODUCT($O67:$O$67*AZ67:AZ$67*($E67:$E$67=$D66)),IF(ISNUMBER(Data_2014_N!AT66),100*ABS($G66-(Data_2014_N!AT66-$K66)/$M66),0),IF(ISNUMBER(Data_2014_N!AT66),100*ABS($G66-(Data_2014_N!AT66-$K66)/$M66),0)))</f>
        <v>100</v>
      </c>
      <c r="BA66" s="161">
        <f>IF($H66=0,0,CHOOSE($H66,SUMPRODUCT($O67:$O$67*BA67:BA$67*($E67:$E$67=$D66)),IF(ISNUMBER(Data_2014_N!AU66),100*ABS($G66-(Data_2014_N!AU66-$K66)/$M66),0),IF(ISNUMBER(Data_2014_N!AU66),100*ABS($G66-(Data_2014_N!AU66-$K66)/$M66),0)))</f>
        <v>100</v>
      </c>
      <c r="BB66" s="161">
        <f>IF($H66=0,0,CHOOSE($H66,SUMPRODUCT($O67:$O$67*BB67:BB$67*($E67:$E$67=$D66)),IF(ISNUMBER(Data_2014_N!AV66),100*ABS($G66-(Data_2014_N!AV66-$K66)/$M66),0),IF(ISNUMBER(Data_2014_N!AV66),100*ABS($G66-(Data_2014_N!AV66-$K66)/$M66),0)))</f>
        <v>100</v>
      </c>
      <c r="BC66" s="161">
        <f>IF($H66=0,0,CHOOSE($H66,SUMPRODUCT($O67:$O$67*BC67:BC$67*($E67:$E$67=$D66)),IF(ISNUMBER(Data_2014_N!AW66),100*ABS($G66-(Data_2014_N!AW66-$K66)/$M66),0),IF(ISNUMBER(Data_2014_N!AW66),100*ABS($G66-(Data_2014_N!AW66-$K66)/$M66),0)))</f>
        <v>100</v>
      </c>
      <c r="BD66" s="161">
        <f>IF($H66=0,0,CHOOSE($H66,SUMPRODUCT($O67:$O$67*BD67:BD$67*($E67:$E$67=$D66)),IF(ISNUMBER(Data_2014_N!AX66),100*ABS($G66-(Data_2014_N!AX66-$K66)/$M66),0),IF(ISNUMBER(Data_2014_N!AX66),100*ABS($G66-(Data_2014_N!AX66-$K66)/$M66),0)))</f>
        <v>100</v>
      </c>
      <c r="BE66" s="161">
        <f>IF($H66=0,0,CHOOSE($H66,SUMPRODUCT($O67:$O$67*BE67:BE$67*($E67:$E$67=$D66)),IF(ISNUMBER(Data_2014_N!AY66),100*ABS($G66-(Data_2014_N!AY66-$K66)/$M66),0),IF(ISNUMBER(Data_2014_N!AY66),100*ABS($G66-(Data_2014_N!AY66-$K66)/$M66),0)))</f>
        <v>75</v>
      </c>
      <c r="BF66" s="161">
        <f>IF($H66=0,0,CHOOSE($H66,SUMPRODUCT($O67:$O$67*BF67:BF$67*($E67:$E$67=$D66)),IF(ISNUMBER(Data_2014_N!AZ66),100*ABS($G66-(Data_2014_N!AZ66-$K66)/$M66),0),IF(ISNUMBER(Data_2014_N!AZ66),100*ABS($G66-(Data_2014_N!AZ66-$K66)/$M66),0)))</f>
        <v>100</v>
      </c>
      <c r="BG66" s="161">
        <f>IF($H66=0,0,CHOOSE($H66,SUMPRODUCT($O67:$O$67*BG67:BG$67*($E67:$E$67=$D66)),IF(ISNUMBER(Data_2014_N!BA66),100*ABS($G66-(Data_2014_N!BA66-$K66)/$M66),0),IF(ISNUMBER(Data_2014_N!BA66),100*ABS($G66-(Data_2014_N!BA66-$K66)/$M66),0)))</f>
        <v>100</v>
      </c>
      <c r="BH66" s="161">
        <f>IF($H66=0,0,CHOOSE($H66,SUMPRODUCT($O67:$O$67*BH67:BH$67*($E67:$E$67=$D66)),IF(ISNUMBER(Data_2014_N!BB66),100*ABS($G66-(Data_2014_N!BB66-$K66)/$M66),0),IF(ISNUMBER(Data_2014_N!BB66),100*ABS($G66-(Data_2014_N!BB66-$K66)/$M66),0)))</f>
        <v>100</v>
      </c>
      <c r="BI66" s="161">
        <f>IF($H66=0,0,CHOOSE($H66,SUMPRODUCT($O67:$O$67*BI67:BI$67*($E67:$E$67=$D66)),IF(ISNUMBER(Data_2014_N!BC66),100*ABS($G66-(Data_2014_N!BC66-$K66)/$M66),0),IF(ISNUMBER(Data_2014_N!BC66),100*ABS($G66-(Data_2014_N!BC66-$K66)/$M66),0)))</f>
        <v>100</v>
      </c>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row>
    <row r="67" s="69" customFormat="1" ht="24.95" customHeight="1" spans="1:115">
      <c r="A67" s="92"/>
      <c r="B67" s="92">
        <f>tblIndicators!A63</f>
        <v>62</v>
      </c>
      <c r="C67" s="92">
        <f>tblIndicators!B63</f>
        <v>0</v>
      </c>
      <c r="D67" s="92" t="str">
        <f>tblIndicators!D63</f>
        <v>PESE4.2.12</v>
      </c>
      <c r="E67" s="92" t="str">
        <f>tblIndicators!E63</f>
        <v>PESE4.2</v>
      </c>
      <c r="F67" s="92">
        <f>tblIndicators!F63</f>
        <v>3</v>
      </c>
      <c r="G67" s="92">
        <f>tblIndicators!Y63</f>
        <v>0</v>
      </c>
      <c r="H67" s="92">
        <f>tblIndicators!Z63</f>
        <v>3</v>
      </c>
      <c r="I67" s="104">
        <f>tblIndicators!AA63</f>
        <v>0</v>
      </c>
      <c r="J67" s="92">
        <f>tblIndicators!AB63</f>
        <v>4</v>
      </c>
      <c r="K67" s="92">
        <f>CHOOSE(H67,"-",MIN(Data_2014_N!J67:BC67),I67)</f>
        <v>0</v>
      </c>
      <c r="L67" s="165">
        <f>CHOOSE(H67,"-",MAX(Data_2014_N!J67:BC67),J67)</f>
        <v>4</v>
      </c>
      <c r="M67" s="92">
        <f t="shared" si="1"/>
        <v>4</v>
      </c>
      <c r="N67" s="168" t="str">
        <f>REPT(" ",F67)&amp;tblIndicators!AE63</f>
        <v>   4.2.12) Threat of civil unrest</v>
      </c>
      <c r="O67" s="169">
        <f>tblIndicators!AD63</f>
        <v>0.0833333333333333</v>
      </c>
      <c r="P67" s="161">
        <f>IF($H67=0,0,CHOOSE($H67,SUMPRODUCT($O$67:$O68*P$67:P68*($E$67:$E68=$D67)),IF(ISNUMBER(Data_2014_N!J67),100*ABS($G67-(Data_2014_N!J67-$K67)/$M67),0),IF(ISNUMBER(Data_2014_N!J67),100*ABS($G67-(Data_2014_N!J67-$K67)/$M67),0)))</f>
        <v>75</v>
      </c>
      <c r="Q67" s="161">
        <f>IF($H67=0,0,CHOOSE($H67,SUMPRODUCT($O$67:$O68*Q$67:Q68*($E$67:$E68=$D67)),IF(ISNUMBER(Data_2014_N!K67),100*ABS($G67-(Data_2014_N!K67-$K67)/$M67),0),IF(ISNUMBER(Data_2014_N!K67),100*ABS($G67-(Data_2014_N!K67-$K67)/$M67),0)))</f>
        <v>100</v>
      </c>
      <c r="R67" s="161">
        <f>IF($H67=0,0,CHOOSE($H67,SUMPRODUCT($O$67:$O68*R$67:R68*($E$67:$E68=$D67)),IF(ISNUMBER(Data_2014_N!L67),100*ABS($G67-(Data_2014_N!L67-$K67)/$M67),0),IF(ISNUMBER(Data_2014_N!L67),100*ABS($G67-(Data_2014_N!L67-$K67)/$M67),0)))</f>
        <v>0</v>
      </c>
      <c r="S67" s="161">
        <f>IF($H67=0,0,CHOOSE($H67,SUMPRODUCT($O$67:$O68*S$67:S68*($E$67:$E68=$D67)),IF(ISNUMBER(Data_2014_N!M67),100*ABS($G67-(Data_2014_N!M67-$K67)/$M67),0),IF(ISNUMBER(Data_2014_N!M67),100*ABS($G67-(Data_2014_N!M67-$K67)/$M67),0)))</f>
        <v>75</v>
      </c>
      <c r="T67" s="161">
        <f>IF($H67=0,0,CHOOSE($H67,SUMPRODUCT($O$67:$O68*T$67:T68*($E$67:$E68=$D67)),IF(ISNUMBER(Data_2014_N!N67),100*ABS($G67-(Data_2014_N!N67-$K67)/$M67),0),IF(ISNUMBER(Data_2014_N!N67),100*ABS($G67-(Data_2014_N!N67-$K67)/$M67),0)))</f>
        <v>50</v>
      </c>
      <c r="U67" s="161">
        <f>IF($H67=0,0,CHOOSE($H67,SUMPRODUCT($O$67:$O68*U$67:U68*($E$67:$E68=$D67)),IF(ISNUMBER(Data_2014_N!O67),100*ABS($G67-(Data_2014_N!O67-$K67)/$M67),0),IF(ISNUMBER(Data_2014_N!O67),100*ABS($G67-(Data_2014_N!O67-$K67)/$M67),0)))</f>
        <v>100</v>
      </c>
      <c r="V67" s="161">
        <f>IF($H67=0,0,CHOOSE($H67,SUMPRODUCT($O$67:$O68*V$67:V68*($E$67:$E68=$D67)),IF(ISNUMBER(Data_2014_N!P67),100*ABS($G67-(Data_2014_N!P67-$K67)/$M67),0),IF(ISNUMBER(Data_2014_N!P67),100*ABS($G67-(Data_2014_N!P67-$K67)/$M67),0)))</f>
        <v>75</v>
      </c>
      <c r="W67" s="161">
        <f>IF($H67=0,0,CHOOSE($H67,SUMPRODUCT($O$67:$O68*W$67:W68*($E$67:$E68=$D67)),IF(ISNUMBER(Data_2014_N!Q67),100*ABS($G67-(Data_2014_N!Q67-$K67)/$M67),0),IF(ISNUMBER(Data_2014_N!Q67),100*ABS($G67-(Data_2014_N!Q67-$K67)/$M67),0)))</f>
        <v>100</v>
      </c>
      <c r="X67" s="161">
        <f>IF($H67=0,0,CHOOSE($H67,SUMPRODUCT($O$67:$O68*X$67:X68*($E$67:$E68=$D67)),IF(ISNUMBER(Data_2014_N!R67),100*ABS($G67-(Data_2014_N!R67-$K67)/$M67),0),IF(ISNUMBER(Data_2014_N!R67),100*ABS($G67-(Data_2014_N!R67-$K67)/$M67),0)))</f>
        <v>50</v>
      </c>
      <c r="Y67" s="161">
        <f>IF($H67=0,0,CHOOSE($H67,SUMPRODUCT($O$67:$O68*Y$67:Y68*($E$67:$E68=$D67)),IF(ISNUMBER(Data_2014_N!S67),100*ABS($G67-(Data_2014_N!S67-$K67)/$M67),0),IF(ISNUMBER(Data_2014_N!S67),100*ABS($G67-(Data_2014_N!S67-$K67)/$M67),0)))</f>
        <v>75</v>
      </c>
      <c r="Z67" s="161">
        <f>IF($H67=0,0,CHOOSE($H67,SUMPRODUCT($O$67:$O68*Z$67:Z68*($E$67:$E68=$D67)),IF(ISNUMBER(Data_2014_N!T67),100*ABS($G67-(Data_2014_N!T67-$K67)/$M67),0),IF(ISNUMBER(Data_2014_N!T67),100*ABS($G67-(Data_2014_N!T67-$K67)/$M67),0)))</f>
        <v>100</v>
      </c>
      <c r="AA67" s="161">
        <f>IF($H67=0,0,CHOOSE($H67,SUMPRODUCT($O$67:$O68*AA$67:AA68*($E$67:$E68=$D67)),IF(ISNUMBER(Data_2014_N!U67),100*ABS($G67-(Data_2014_N!U67-$K67)/$M67),0),IF(ISNUMBER(Data_2014_N!U67),100*ABS($G67-(Data_2014_N!U67-$K67)/$M67),0)))</f>
        <v>50</v>
      </c>
      <c r="AB67" s="161">
        <f>IF($H67=0,0,CHOOSE($H67,SUMPRODUCT($O$67:$O68*AB$67:AB68*($E$67:$E68=$D67)),IF(ISNUMBER(Data_2014_N!V67),100*ABS($G67-(Data_2014_N!V67-$K67)/$M67),0),IF(ISNUMBER(Data_2014_N!V67),100*ABS($G67-(Data_2014_N!V67-$K67)/$M67),0)))</f>
        <v>100</v>
      </c>
      <c r="AC67" s="161">
        <f>IF($H67=0,0,CHOOSE($H67,SUMPRODUCT($O$67:$O68*AC$67:AC68*($E$67:$E68=$D67)),IF(ISNUMBER(Data_2014_N!W67),100*ABS($G67-(Data_2014_N!W67-$K67)/$M67),0),IF(ISNUMBER(Data_2014_N!W67),100*ABS($G67-(Data_2014_N!W67-$K67)/$M67),0)))</f>
        <v>50</v>
      </c>
      <c r="AD67" s="161">
        <f>IF($H67=0,0,CHOOSE($H67,SUMPRODUCT($O$67:$O68*AD$67:AD68*($E$67:$E68=$D67)),IF(ISNUMBER(Data_2014_N!X67),100*ABS($G67-(Data_2014_N!X67-$K67)/$M67),0),IF(ISNUMBER(Data_2014_N!X67),100*ABS($G67-(Data_2014_N!X67-$K67)/$M67),0)))</f>
        <v>25</v>
      </c>
      <c r="AE67" s="161">
        <f>IF($H67=0,0,CHOOSE($H67,SUMPRODUCT($O$67:$O68*AE$67:AE68*($E$67:$E68=$D67)),IF(ISNUMBER(Data_2014_N!Y67),100*ABS($G67-(Data_2014_N!Y67-$K67)/$M67),0),IF(ISNUMBER(Data_2014_N!Y67),100*ABS($G67-(Data_2014_N!Y67-$K67)/$M67),0)))</f>
        <v>75</v>
      </c>
      <c r="AF67" s="161">
        <f>IF($H67=0,0,CHOOSE($H67,SUMPRODUCT($O$67:$O68*AF$67:AF68*($E$67:$E68=$D67)),IF(ISNUMBER(Data_2014_N!Z67),100*ABS($G67-(Data_2014_N!Z67-$K67)/$M67),0),IF(ISNUMBER(Data_2014_N!Z67),100*ABS($G67-(Data_2014_N!Z67-$K67)/$M67),0)))</f>
        <v>75</v>
      </c>
      <c r="AG67" s="161">
        <f>IF($H67=0,0,CHOOSE($H67,SUMPRODUCT($O$67:$O68*AG$67:AG68*($E$67:$E68=$D67)),IF(ISNUMBER(Data_2014_N!AA67),100*ABS($G67-(Data_2014_N!AA67-$K67)/$M67),0),IF(ISNUMBER(Data_2014_N!AA67),100*ABS($G67-(Data_2014_N!AA67-$K67)/$M67),0)))</f>
        <v>50</v>
      </c>
      <c r="AH67" s="161">
        <f>IF($H67=0,0,CHOOSE($H67,SUMPRODUCT($O$67:$O68*AH$67:AH68*($E$67:$E68=$D67)),IF(ISNUMBER(Data_2014_N!AB67),100*ABS($G67-(Data_2014_N!AB67-$K67)/$M67),0),IF(ISNUMBER(Data_2014_N!AB67),100*ABS($G67-(Data_2014_N!AB67-$K67)/$M67),0)))</f>
        <v>75</v>
      </c>
      <c r="AI67" s="161">
        <f>IF($H67=0,0,CHOOSE($H67,SUMPRODUCT($O$67:$O68*AI$67:AI68*($E$67:$E68=$D67)),IF(ISNUMBER(Data_2014_N!AC67),100*ABS($G67-(Data_2014_N!AC67-$K67)/$M67),0),IF(ISNUMBER(Data_2014_N!AC67),100*ABS($G67-(Data_2014_N!AC67-$K67)/$M67),0)))</f>
        <v>75</v>
      </c>
      <c r="AJ67" s="161">
        <f>IF($H67=0,0,CHOOSE($H67,SUMPRODUCT($O$67:$O68*AJ$67:AJ68*($E$67:$E68=$D67)),IF(ISNUMBER(Data_2014_N!AD67),100*ABS($G67-(Data_2014_N!AD67-$K67)/$M67),0),IF(ISNUMBER(Data_2014_N!AD67),100*ABS($G67-(Data_2014_N!AD67-$K67)/$M67),0)))</f>
        <v>75</v>
      </c>
      <c r="AK67" s="161">
        <f>IF($H67=0,0,CHOOSE($H67,SUMPRODUCT($O$67:$O68*AK$67:AK68*($E$67:$E68=$D67)),IF(ISNUMBER(Data_2014_N!AE67),100*ABS($G67-(Data_2014_N!AE67-$K67)/$M67),0),IF(ISNUMBER(Data_2014_N!AE67),100*ABS($G67-(Data_2014_N!AE67-$K67)/$M67),0)))</f>
        <v>100</v>
      </c>
      <c r="AL67" s="161">
        <f>IF($H67=0,0,CHOOSE($H67,SUMPRODUCT($O$67:$O68*AL$67:AL68*($E$67:$E68=$D67)),IF(ISNUMBER(Data_2014_N!AF67),100*ABS($G67-(Data_2014_N!AF67-$K67)/$M67),0),IF(ISNUMBER(Data_2014_N!AF67),100*ABS($G67-(Data_2014_N!AF67-$K67)/$M67),0)))</f>
        <v>75</v>
      </c>
      <c r="AM67" s="161">
        <f>IF($H67=0,0,CHOOSE($H67,SUMPRODUCT($O$67:$O68*AM$67:AM68*($E$67:$E68=$D67)),IF(ISNUMBER(Data_2014_N!AG67),100*ABS($G67-(Data_2014_N!AG67-$K67)/$M67),0),IF(ISNUMBER(Data_2014_N!AG67),100*ABS($G67-(Data_2014_N!AG67-$K67)/$M67),0)))</f>
        <v>75</v>
      </c>
      <c r="AN67" s="161">
        <f>IF($H67=0,0,CHOOSE($H67,SUMPRODUCT($O$67:$O68*AN$67:AN68*($E$67:$E68=$D67)),IF(ISNUMBER(Data_2014_N!AH67),100*ABS($G67-(Data_2014_N!AH67-$K67)/$M67),0),IF(ISNUMBER(Data_2014_N!AH67),100*ABS($G67-(Data_2014_N!AH67-$K67)/$M67),0)))</f>
        <v>75</v>
      </c>
      <c r="AO67" s="161">
        <f>IF($H67=0,0,CHOOSE($H67,SUMPRODUCT($O$67:$O68*AO$67:AO68*($E$67:$E68=$D67)),IF(ISNUMBER(Data_2014_N!AI67),100*ABS($G67-(Data_2014_N!AI67-$K67)/$M67),0),IF(ISNUMBER(Data_2014_N!AI67),100*ABS($G67-(Data_2014_N!AI67-$K67)/$M67),0)))</f>
        <v>75</v>
      </c>
      <c r="AP67" s="161">
        <f>IF($H67=0,0,CHOOSE($H67,SUMPRODUCT($O$67:$O68*AP$67:AP68*($E$67:$E68=$D67)),IF(ISNUMBER(Data_2014_N!AJ67),100*ABS($G67-(Data_2014_N!AJ67-$K67)/$M67),0),IF(ISNUMBER(Data_2014_N!AJ67),100*ABS($G67-(Data_2014_N!AJ67-$K67)/$M67),0)))</f>
        <v>75</v>
      </c>
      <c r="AQ67" s="161">
        <f>IF($H67=0,0,CHOOSE($H67,SUMPRODUCT($O$67:$O68*AQ$67:AQ68*($E$67:$E68=$D67)),IF(ISNUMBER(Data_2014_N!AK67),100*ABS($G67-(Data_2014_N!AK67-$K67)/$M67),0),IF(ISNUMBER(Data_2014_N!AK67),100*ABS($G67-(Data_2014_N!AK67-$K67)/$M67),0)))</f>
        <v>100</v>
      </c>
      <c r="AR67" s="161">
        <f>IF($H67=0,0,CHOOSE($H67,SUMPRODUCT($O$67:$O68*AR$67:AR68*($E$67:$E68=$D67)),IF(ISNUMBER(Data_2014_N!AL67),100*ABS($G67-(Data_2014_N!AL67-$K67)/$M67),0),IF(ISNUMBER(Data_2014_N!AL67),100*ABS($G67-(Data_2014_N!AL67-$K67)/$M67),0)))</f>
        <v>75</v>
      </c>
      <c r="AS67" s="161">
        <f>IF($H67=0,0,CHOOSE($H67,SUMPRODUCT($O$67:$O68*AS$67:AS68*($E$67:$E68=$D67)),IF(ISNUMBER(Data_2014_N!AM67),100*ABS($G67-(Data_2014_N!AM67-$K67)/$M67),0),IF(ISNUMBER(Data_2014_N!AM67),100*ABS($G67-(Data_2014_N!AM67-$K67)/$M67),0)))</f>
        <v>50</v>
      </c>
      <c r="AT67" s="161">
        <f>IF($H67=0,0,CHOOSE($H67,SUMPRODUCT($O$67:$O68*AT$67:AT68*($E$67:$E68=$D67)),IF(ISNUMBER(Data_2014_N!AN67),100*ABS($G67-(Data_2014_N!AN67-$K67)/$M67),0),IF(ISNUMBER(Data_2014_N!AN67),100*ABS($G67-(Data_2014_N!AN67-$K67)/$M67),0)))</f>
        <v>75</v>
      </c>
      <c r="AU67" s="161">
        <f>IF($H67=0,0,CHOOSE($H67,SUMPRODUCT($O$67:$O68*AU$67:AU68*($E$67:$E68=$D67)),IF(ISNUMBER(Data_2014_N!AO67),100*ABS($G67-(Data_2014_N!AO67-$K67)/$M67),0),IF(ISNUMBER(Data_2014_N!AO67),100*ABS($G67-(Data_2014_N!AO67-$K67)/$M67),0)))</f>
        <v>75</v>
      </c>
      <c r="AV67" s="161">
        <f>IF($H67=0,0,CHOOSE($H67,SUMPRODUCT($O$67:$O68*AV$67:AV68*($E$67:$E68=$D67)),IF(ISNUMBER(Data_2014_N!AP67),100*ABS($G67-(Data_2014_N!AP67-$K67)/$M67),0),IF(ISNUMBER(Data_2014_N!AP67),100*ABS($G67-(Data_2014_N!AP67-$K67)/$M67),0)))</f>
        <v>100</v>
      </c>
      <c r="AW67" s="161">
        <f>IF($H67=0,0,CHOOSE($H67,SUMPRODUCT($O$67:$O68*AW$67:AW68*($E$67:$E68=$D67)),IF(ISNUMBER(Data_2014_N!AQ67),100*ABS($G67-(Data_2014_N!AQ67-$K67)/$M67),0),IF(ISNUMBER(Data_2014_N!AQ67),100*ABS($G67-(Data_2014_N!AQ67-$K67)/$M67),0)))</f>
        <v>75</v>
      </c>
      <c r="AX67" s="161">
        <f>IF($H67=0,0,CHOOSE($H67,SUMPRODUCT($O$67:$O68*AX$67:AX68*($E$67:$E68=$D67)),IF(ISNUMBER(Data_2014_N!AR67),100*ABS($G67-(Data_2014_N!AR67-$K67)/$M67),0),IF(ISNUMBER(Data_2014_N!AR67),100*ABS($G67-(Data_2014_N!AR67-$K67)/$M67),0)))</f>
        <v>75</v>
      </c>
      <c r="AY67" s="161">
        <f>IF($H67=0,0,CHOOSE($H67,SUMPRODUCT($O$67:$O68*AY$67:AY68*($E$67:$E68=$D67)),IF(ISNUMBER(Data_2014_N!AS67),100*ABS($G67-(Data_2014_N!AS67-$K67)/$M67),0),IF(ISNUMBER(Data_2014_N!AS67),100*ABS($G67-(Data_2014_N!AS67-$K67)/$M67),0)))</f>
        <v>100</v>
      </c>
      <c r="AZ67" s="161">
        <f>IF($H67=0,0,CHOOSE($H67,SUMPRODUCT($O$67:$O68*AZ$67:AZ68*($E$67:$E68=$D67)),IF(ISNUMBER(Data_2014_N!AT67),100*ABS($G67-(Data_2014_N!AT67-$K67)/$M67),0),IF(ISNUMBER(Data_2014_N!AT67),100*ABS($G67-(Data_2014_N!AT67-$K67)/$M67),0)))</f>
        <v>50</v>
      </c>
      <c r="BA67" s="161">
        <f>IF($H67=0,0,CHOOSE($H67,SUMPRODUCT($O$67:$O68*BA$67:BA68*($E$67:$E68=$D67)),IF(ISNUMBER(Data_2014_N!AU67),100*ABS($G67-(Data_2014_N!AU67-$K67)/$M67),0),IF(ISNUMBER(Data_2014_N!AU67),100*ABS($G67-(Data_2014_N!AU67-$K67)/$M67),0)))</f>
        <v>100</v>
      </c>
      <c r="BB67" s="161">
        <f>IF($H67=0,0,CHOOSE($H67,SUMPRODUCT($O$67:$O68*BB$67:BB68*($E$67:$E68=$D67)),IF(ISNUMBER(Data_2014_N!AV67),100*ABS($G67-(Data_2014_N!AV67-$K67)/$M67),0),IF(ISNUMBER(Data_2014_N!AV67),100*ABS($G67-(Data_2014_N!AV67-$K67)/$M67),0)))</f>
        <v>100</v>
      </c>
      <c r="BC67" s="161">
        <f>IF($H67=0,0,CHOOSE($H67,SUMPRODUCT($O$67:$O68*BC$67:BC68*($E$67:$E68=$D67)),IF(ISNUMBER(Data_2014_N!AW67),100*ABS($G67-(Data_2014_N!AW67-$K67)/$M67),0),IF(ISNUMBER(Data_2014_N!AW67),100*ABS($G67-(Data_2014_N!AW67-$K67)/$M67),0)))</f>
        <v>100</v>
      </c>
      <c r="BD67" s="161">
        <f>IF($H67=0,0,CHOOSE($H67,SUMPRODUCT($O$67:$O68*BD$67:BD68*($E$67:$E68=$D67)),IF(ISNUMBER(Data_2014_N!AX67),100*ABS($G67-(Data_2014_N!AX67-$K67)/$M67),0),IF(ISNUMBER(Data_2014_N!AX67),100*ABS($G67-(Data_2014_N!AX67-$K67)/$M67),0)))</f>
        <v>75</v>
      </c>
      <c r="BE67" s="161">
        <f>IF($H67=0,0,CHOOSE($H67,SUMPRODUCT($O$67:$O68*BE$67:BE68*($E$67:$E68=$D67)),IF(ISNUMBER(Data_2014_N!AY67),100*ABS($G67-(Data_2014_N!AY67-$K67)/$M67),0),IF(ISNUMBER(Data_2014_N!AY67),100*ABS($G67-(Data_2014_N!AY67-$K67)/$M67),0)))</f>
        <v>50</v>
      </c>
      <c r="BF67" s="161">
        <f>IF($H67=0,0,CHOOSE($H67,SUMPRODUCT($O$67:$O68*BF$67:BF68*($E$67:$E68=$D67)),IF(ISNUMBER(Data_2014_N!AZ67),100*ABS($G67-(Data_2014_N!AZ67-$K67)/$M67),0),IF(ISNUMBER(Data_2014_N!AZ67),100*ABS($G67-(Data_2014_N!AZ67-$K67)/$M67),0)))</f>
        <v>100</v>
      </c>
      <c r="BG67" s="161">
        <f>IF($H67=0,0,CHOOSE($H67,SUMPRODUCT($O$67:$O68*BG$67:BG68*($E$67:$E68=$D67)),IF(ISNUMBER(Data_2014_N!BA67),100*ABS($G67-(Data_2014_N!BA67-$K67)/$M67),0),IF(ISNUMBER(Data_2014_N!BA67),100*ABS($G67-(Data_2014_N!BA67-$K67)/$M67),0)))</f>
        <v>100</v>
      </c>
      <c r="BH67" s="161">
        <f>IF($H67=0,0,CHOOSE($H67,SUMPRODUCT($O$67:$O68*BH$67:BH68*($E$67:$E68=$D67)),IF(ISNUMBER(Data_2014_N!BB67),100*ABS($G67-(Data_2014_N!BB67-$K67)/$M67),0),IF(ISNUMBER(Data_2014_N!BB67),100*ABS($G67-(Data_2014_N!BB67-$K67)/$M67),0)))</f>
        <v>75</v>
      </c>
      <c r="BI67" s="161">
        <f>IF($H67=0,0,CHOOSE($H67,SUMPRODUCT($O$67:$O68*BI$67:BI68*($E$67:$E68=$D67)),IF(ISNUMBER(Data_2014_N!BC67),100*ABS($G67-(Data_2014_N!BC67-$K67)/$M67),0),IF(ISNUMBER(Data_2014_N!BC67),100*ABS($G67-(Data_2014_N!BC67-$K67)/$M67),0)))</f>
        <v>100</v>
      </c>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row>
    <row r="68" s="68" customFormat="1" spans="1:115">
      <c r="A68" s="108"/>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row>
    <row r="69" s="68" customFormat="1" spans="14:115">
      <c r="N69" s="110"/>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row>
    <row r="70" s="68" customFormat="1" spans="14:115">
      <c r="N70" s="110"/>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row>
    <row r="71" s="68" customFormat="1" spans="14:115">
      <c r="N71" s="110"/>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row>
    <row r="72" s="68" customFormat="1" spans="14:115">
      <c r="N72" s="110"/>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row>
    <row r="73" s="68" customFormat="1" spans="14:115">
      <c r="N73" s="110"/>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row>
    <row r="74" s="68" customFormat="1" spans="14:115">
      <c r="N74" s="110"/>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row>
    <row r="75" s="68" customFormat="1" spans="14:115">
      <c r="N75" s="110"/>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row>
    <row r="76" s="68" customFormat="1" spans="14:115">
      <c r="N76" s="110"/>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row>
    <row r="77" s="68" customFormat="1" spans="14:115">
      <c r="N77" s="110"/>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row>
    <row r="78" s="68" customFormat="1" spans="14:115">
      <c r="N78" s="110"/>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row>
    <row r="79" s="68" customFormat="1" spans="14:115">
      <c r="N79" s="110"/>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row>
    <row r="80" s="68" customFormat="1" spans="14:115">
      <c r="N80" s="110"/>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row>
    <row r="81" s="68" customFormat="1" spans="14:115">
      <c r="N81" s="110"/>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row>
    <row r="82" s="68" customFormat="1" spans="14:115">
      <c r="N82" s="110"/>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row>
    <row r="83" s="68" customFormat="1" spans="14:115">
      <c r="N83" s="110"/>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row>
    <row r="84" s="68" customFormat="1" spans="14:115">
      <c r="N84" s="110"/>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row>
    <row r="85" s="68" customFormat="1" spans="14:115">
      <c r="N85" s="110"/>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row>
    <row r="86" s="68" customFormat="1" spans="14:115">
      <c r="N86" s="110"/>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row>
  </sheetData>
  <conditionalFormatting sqref="N7:BI67">
    <cfRule type="expression" dxfId="17" priority="3">
      <formula>$F7=3</formula>
    </cfRule>
  </conditionalFormatting>
  <pageMargins left="0.551181102362205" right="0.551181102362205" top="0.590551181102362" bottom="0.78740157480315" header="0.511811023622047" footer="0.511811023622047"/>
  <pageSetup paperSize="9" scale="16" orientation="landscape" horizontalDpi="1200" verticalDpi="1200"/>
  <headerFooter alignWithMargins="0">
    <oddHeader>&amp;RSafe Cities Index : 2017</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pageSetUpPr fitToPage="1"/>
  </sheetPr>
  <dimension ref="A1:CA81"/>
  <sheetViews>
    <sheetView showGridLines="0" showRowColHeaders="0" zoomScale="90" zoomScaleNormal="90" workbookViewId="0">
      <pane ySplit="4" topLeftCell="A5" activePane="bottomLeft" state="frozen"/>
      <selection/>
      <selection pane="bottomLeft" activeCell="A1" sqref="A1"/>
    </sheetView>
  </sheetViews>
  <sheetFormatPr defaultColWidth="9" defaultRowHeight="15"/>
  <cols>
    <col min="1" max="1" width="1.71428571428571" style="68" customWidth="1"/>
    <col min="2" max="2" width="4.42857142857143" style="70" hidden="1" customWidth="1"/>
    <col min="3" max="3" width="5.14285714285714" style="70" hidden="1" customWidth="1"/>
    <col min="4" max="4" width="1.71428571428571" style="70" customWidth="1"/>
    <col min="5" max="5" width="5.14285714285714" style="70" customWidth="1"/>
    <col min="6" max="6" width="21" style="70" customWidth="1"/>
    <col min="7" max="7" width="5.28571428571429" style="598" hidden="1" customWidth="1"/>
    <col min="8" max="8" width="11.4285714285714" style="70" customWidth="1"/>
    <col min="9" max="9" width="29.7142857142857" style="70" customWidth="1"/>
    <col min="10" max="10" width="7.42857142857143" style="599" customWidth="1"/>
    <col min="11" max="12" width="6.71428571428571" style="70" hidden="1" customWidth="1"/>
    <col min="13" max="13" width="6.71428571428571" style="600" hidden="1" customWidth="1"/>
    <col min="14" max="14" width="6.71428571428571" style="70" hidden="1" customWidth="1"/>
    <col min="15" max="15" width="5" style="70" customWidth="1"/>
    <col min="16" max="16" width="9.14285714285714" style="70" hidden="1" customWidth="1"/>
    <col min="17" max="17" width="31.4285714285714" style="68" customWidth="1"/>
    <col min="18" max="18" width="6.85714285714286" style="70" customWidth="1"/>
    <col min="19" max="19" width="39.1428571428571" style="70" customWidth="1"/>
    <col min="20" max="20" width="9.14285714285714" style="70"/>
    <col min="21" max="21" width="25" style="70" customWidth="1"/>
    <col min="22" max="16384" width="9.14285714285714" style="70"/>
  </cols>
  <sheetData>
    <row r="1" s="68" customFormat="1" ht="29.1" customHeight="1" spans="4:74">
      <c r="D1" s="601" t="str">
        <f>uxb_works!$B$90</f>
        <v>Safe Cities Index: 2017</v>
      </c>
      <c r="G1" s="602"/>
      <c r="J1" s="620"/>
      <c r="M1" s="621"/>
      <c r="S1" s="638"/>
      <c r="X1"/>
      <c r="AD1" s="638"/>
      <c r="AO1" s="638"/>
      <c r="AZ1" s="638"/>
      <c r="BA1" s="423">
        <v>2</v>
      </c>
      <c r="BB1" s="423">
        <v>0</v>
      </c>
      <c r="BC1" s="423"/>
      <c r="BE1" s="423"/>
      <c r="BK1" s="638"/>
      <c r="BV1" s="638"/>
    </row>
    <row r="2" ht="29.1" customHeight="1" spans="2:74">
      <c r="B2" s="68"/>
      <c r="C2" s="68"/>
      <c r="D2" s="68"/>
      <c r="E2" s="68"/>
      <c r="F2" s="68"/>
      <c r="G2" s="603"/>
      <c r="Q2" s="70"/>
      <c r="S2" s="639"/>
      <c r="X2"/>
      <c r="AD2" s="639"/>
      <c r="AO2" s="639"/>
      <c r="AZ2" s="639"/>
      <c r="BE2" s="70">
        <v>3</v>
      </c>
      <c r="BF2" s="70">
        <v>1</v>
      </c>
      <c r="BK2" s="639"/>
      <c r="BV2" s="639"/>
    </row>
    <row r="3" ht="71.1" customHeight="1" spans="5:78">
      <c r="E3" s="604"/>
      <c r="F3" s="604"/>
      <c r="G3" s="604"/>
      <c r="H3" s="604"/>
      <c r="I3" s="604"/>
      <c r="J3" s="604"/>
      <c r="K3" s="604"/>
      <c r="L3" s="604"/>
      <c r="M3" s="604"/>
      <c r="N3" s="604"/>
      <c r="O3" s="604"/>
      <c r="P3" s="604"/>
      <c r="Q3" s="604"/>
      <c r="R3" s="604"/>
      <c r="S3" s="604"/>
      <c r="T3" s="604"/>
      <c r="U3" s="604"/>
      <c r="V3" s="604"/>
      <c r="W3" s="604"/>
      <c r="X3"/>
      <c r="AB3" s="68"/>
      <c r="AC3" s="68"/>
      <c r="AD3" s="638"/>
      <c r="AE3" s="68"/>
      <c r="AF3" s="604"/>
      <c r="AG3" s="604"/>
      <c r="AH3" s="604"/>
      <c r="AI3" s="68"/>
      <c r="AJ3" s="68"/>
      <c r="AK3" s="68"/>
      <c r="AL3" s="68"/>
      <c r="AM3" s="68"/>
      <c r="AN3" s="68"/>
      <c r="AO3" s="638"/>
      <c r="AP3" s="68"/>
      <c r="AQ3" s="604"/>
      <c r="AR3" s="604"/>
      <c r="AS3" s="604"/>
      <c r="AT3" s="68"/>
      <c r="AU3" s="68"/>
      <c r="AV3" s="68"/>
      <c r="AW3" s="68"/>
      <c r="AX3" s="68"/>
      <c r="AY3" s="68"/>
      <c r="AZ3" s="638"/>
      <c r="BA3" s="68"/>
      <c r="BB3" s="604"/>
      <c r="BC3" s="604"/>
      <c r="BD3" s="604"/>
      <c r="BE3" s="68"/>
      <c r="BF3" s="68"/>
      <c r="BG3" s="68"/>
      <c r="BH3" s="68"/>
      <c r="BI3" s="68"/>
      <c r="BJ3" s="68"/>
      <c r="BK3" s="638"/>
      <c r="BL3" s="68"/>
      <c r="BM3" s="604"/>
      <c r="BN3" s="604"/>
      <c r="BO3" s="604"/>
      <c r="BQ3" s="68"/>
      <c r="BR3" s="68"/>
      <c r="BS3" s="68"/>
      <c r="BT3" s="68"/>
      <c r="BU3" s="68"/>
      <c r="BV3" s="638"/>
      <c r="BW3" s="68"/>
      <c r="BX3" s="604"/>
      <c r="BY3" s="604"/>
      <c r="BZ3" s="604"/>
    </row>
    <row r="4" s="596" customFormat="1" ht="45.75" customHeight="1" spans="1:18">
      <c r="A4" s="605"/>
      <c r="D4" s="393" t="str">
        <f>iIndiRank!G2</f>
        <v>OVERALL SCORE</v>
      </c>
      <c r="E4" s="386"/>
      <c r="G4" s="606"/>
      <c r="J4" s="599"/>
      <c r="M4" s="600"/>
      <c r="P4" s="605"/>
      <c r="Q4" s="605"/>
      <c r="R4" s="605"/>
    </row>
    <row r="5" ht="18" customHeight="1" spans="4:18">
      <c r="D5" s="607" t="str">
        <f>iIndiRank!F2</f>
        <v/>
      </c>
      <c r="P5" s="68"/>
      <c r="R5" s="68"/>
    </row>
    <row r="6" hidden="1" spans="5:17">
      <c r="E6" s="395"/>
      <c r="Q6" s="640"/>
    </row>
    <row r="7" ht="3" hidden="1" customHeight="1" spans="5:17">
      <c r="E7" s="395"/>
      <c r="Q7" s="640"/>
    </row>
    <row r="8" spans="4:17">
      <c r="D8" s="608" t="s">
        <v>11</v>
      </c>
      <c r="O8" s="68"/>
      <c r="Q8" s="641"/>
    </row>
    <row r="9" ht="12.75" customHeight="1" spans="15:15">
      <c r="O9" s="68"/>
    </row>
    <row r="10" ht="50.25" customHeight="1" spans="15:22">
      <c r="O10" s="68"/>
      <c r="R10" s="642"/>
      <c r="S10" s="642"/>
      <c r="T10" s="642"/>
      <c r="U10" s="642"/>
      <c r="V10" s="642"/>
    </row>
    <row r="11" ht="17.1" customHeight="1" spans="15:22">
      <c r="O11" s="68"/>
      <c r="R11" s="642"/>
      <c r="S11" s="642"/>
      <c r="T11" s="642"/>
      <c r="U11" s="642"/>
      <c r="V11" s="642"/>
    </row>
    <row r="12" ht="17.1" customHeight="1" spans="15:22">
      <c r="O12" s="68"/>
      <c r="Q12" s="643" t="s">
        <v>12</v>
      </c>
      <c r="R12" s="642"/>
      <c r="S12" s="642"/>
      <c r="T12" s="642"/>
      <c r="U12" s="642"/>
      <c r="V12" s="642"/>
    </row>
    <row r="13" ht="17.1" customHeight="1" spans="4:22">
      <c r="D13" s="609">
        <f>uxb_works!C46</f>
        <v>2017</v>
      </c>
      <c r="E13" s="609"/>
      <c r="F13" s="609"/>
      <c r="G13" s="609"/>
      <c r="H13" s="609"/>
      <c r="K13" s="622" t="str">
        <f>iIndiRank!C5</f>
        <v>Compare 2017 with 2015 Updated</v>
      </c>
      <c r="L13" s="622"/>
      <c r="M13" s="622"/>
      <c r="N13" s="622"/>
      <c r="O13" s="68"/>
      <c r="Q13" s="642" t="str">
        <f>uxb_works!H21</f>
        <v>Weighted sum of the category scores</v>
      </c>
      <c r="R13" s="642"/>
      <c r="S13" s="642"/>
      <c r="T13" s="642"/>
      <c r="U13" s="642"/>
      <c r="V13" s="642"/>
    </row>
    <row r="14" s="597" customFormat="1" ht="16.5" customHeight="1" spans="1:79">
      <c r="A14" s="610"/>
      <c r="C14" s="597">
        <f>IF(AND(uxb_works!$B$49,iIndiRank!D2&lt;=1),1,0)</f>
        <v>0</v>
      </c>
      <c r="D14" s="609"/>
      <c r="E14" s="609"/>
      <c r="F14" s="609"/>
      <c r="G14" s="609"/>
      <c r="H14" s="609"/>
      <c r="J14" s="623"/>
      <c r="K14" s="622"/>
      <c r="L14" s="622"/>
      <c r="M14" s="622"/>
      <c r="N14" s="622"/>
      <c r="O14" s="610"/>
      <c r="Q14" s="644" t="s">
        <v>13</v>
      </c>
      <c r="R14" s="642"/>
      <c r="S14" s="642"/>
      <c r="T14" s="642"/>
      <c r="U14" s="642"/>
      <c r="V14" s="642"/>
      <c r="BZ14" s="70"/>
      <c r="CA14" s="70"/>
    </row>
    <row r="15" ht="17.1" customHeight="1" spans="4:23">
      <c r="D15" s="611"/>
      <c r="E15" s="612" t="s">
        <v>14</v>
      </c>
      <c r="F15" s="613" t="s">
        <v>15</v>
      </c>
      <c r="G15" s="614" t="s">
        <v>16</v>
      </c>
      <c r="H15" s="612" t="s">
        <v>16</v>
      </c>
      <c r="I15" s="613" t="s">
        <v>17</v>
      </c>
      <c r="J15" s="624"/>
      <c r="K15" s="625" t="s">
        <v>8</v>
      </c>
      <c r="L15" s="626" t="s">
        <v>9</v>
      </c>
      <c r="M15" s="627" t="s">
        <v>8</v>
      </c>
      <c r="N15" s="628" t="s">
        <v>10</v>
      </c>
      <c r="O15" s="68"/>
      <c r="Q15" s="642" t="str">
        <f>uxb_works!I21</f>
        <v>The overall score is the weighted sum of the following category scores:
1) DIGITAL SECURITY
2) HEALTH SECURITY
3) INFRASTRUCTURE SECURITY
4) PERSONAL SECURITY</v>
      </c>
      <c r="R15" s="642"/>
      <c r="S15" s="642"/>
      <c r="T15" s="642"/>
      <c r="U15" s="642"/>
      <c r="V15" s="642"/>
      <c r="W15" s="642"/>
    </row>
    <row r="16" customHeight="1" spans="1:23">
      <c r="A16"/>
      <c r="B16">
        <f>iIndiRank!O8</f>
        <v>1</v>
      </c>
      <c r="C16">
        <f>IF(B16=0,0,IF($C$14=1,IF(G16&lt;$C$80,1,IF(G16&gt;$C$80,4,2)),IF(G16&lt;Summary!$B$80,1,IF(G16&lt;=Summary!$B$81,2,(IF(G16&lt;=Summary!$B$82,3,4))))))</f>
        <v>4</v>
      </c>
      <c r="D16" s="615"/>
      <c r="E16" s="616">
        <f>iIndiRank!R8</f>
        <v>1</v>
      </c>
      <c r="F16" s="617" t="str">
        <f ca="1">iIndiRank!S8</f>
        <v>Tokyo</v>
      </c>
      <c r="G16" s="618">
        <f>iIndiRank!T8</f>
        <v>89.8</v>
      </c>
      <c r="H16" s="619">
        <f>IF(ISNUMBER(iIndiRank!AA8),ROUND(iIndiRank!AA8,2),"")</f>
        <v>89.8</v>
      </c>
      <c r="I16" s="629" t="str">
        <f>IF($C$14=1,IF(AND(ISNUMBER(G16),G16&gt;0),REPT("|",G16*10),""),IF(AND(ISNUMBER(G16),G16&gt;0),REPT("|",G16/3),""))</f>
        <v>|||||||||||||||||||||||||||||</v>
      </c>
      <c r="J16" s="630"/>
      <c r="K16" s="631">
        <f ca="1">IF(iIndiRank!U8=0,"=",iIndiRank!U8)</f>
        <v>3.5</v>
      </c>
      <c r="L16" s="632" t="b">
        <f ca="1">IF(ISERROR(iIndiRank!V8),"",iIndiRank!V8)</f>
        <v>0</v>
      </c>
      <c r="M16" s="633" t="str">
        <f ca="1">IF(iIndiRank!W8=0,"=",iIndiRank!W8)</f>
        <v>=</v>
      </c>
      <c r="N16" s="634" t="b">
        <f ca="1">IF(ISERROR(iIndiRank!X8),"",iIndiRank!X8)</f>
        <v>0</v>
      </c>
      <c r="O16" s="68"/>
      <c r="Q16" s="642"/>
      <c r="R16" s="642"/>
      <c r="S16" s="642"/>
      <c r="T16" s="642"/>
      <c r="U16" s="642"/>
      <c r="V16" s="642"/>
      <c r="W16" s="642"/>
    </row>
    <row r="17" customHeight="1" spans="1:23">
      <c r="A17"/>
      <c r="B17">
        <f>iIndiRank!O9</f>
        <v>1</v>
      </c>
      <c r="C17">
        <f>IF(B17=0,0,IF($C$14=1,IF(G17&lt;$C$80,1,IF(G17&gt;$C$80,4,2)),IF(G17&lt;Summary!$B$80,1,IF(G17&lt;=Summary!$B$81,2,(IF(G17&lt;=Summary!$B$82,3,4))))))</f>
        <v>4</v>
      </c>
      <c r="D17" s="615"/>
      <c r="E17" s="616">
        <f>iIndiRank!R9</f>
        <v>2</v>
      </c>
      <c r="F17" s="617" t="str">
        <f ca="1">iIndiRank!S9</f>
        <v>Singapore</v>
      </c>
      <c r="G17" s="618">
        <f>iIndiRank!T9</f>
        <v>89.64</v>
      </c>
      <c r="H17" s="619">
        <f>IF(ISNUMBER(iIndiRank!AA9),ROUND(iIndiRank!AA9,2),"")</f>
        <v>89.64</v>
      </c>
      <c r="I17" s="629" t="str">
        <f t="shared" ref="I17:I76" si="0">IF($C$14=1,IF(AND(ISNUMBER(G17),G17&gt;0),REPT("|",G17*10),""),IF(AND(ISNUMBER(G17),G17&gt;0),REPT("|",G17/3),""))</f>
        <v>|||||||||||||||||||||||||||||</v>
      </c>
      <c r="J17" s="630"/>
      <c r="K17" s="635">
        <f ca="1">IF(iIndiRank!U9=0,"=",iIndiRank!U9)</f>
        <v>3.9</v>
      </c>
      <c r="L17" s="632" t="b">
        <f ca="1">IF(ISERROR(iIndiRank!V9),"",iIndiRank!V9)</f>
        <v>0</v>
      </c>
      <c r="M17" s="636" t="str">
        <f ca="1">IF(iIndiRank!W9=0,"=",iIndiRank!W9)</f>
        <v>=</v>
      </c>
      <c r="N17" s="634" t="b">
        <f ca="1">IF(ISERROR(iIndiRank!X9),"",iIndiRank!X9)</f>
        <v>0</v>
      </c>
      <c r="O17" s="68"/>
      <c r="Q17" s="642"/>
      <c r="R17" s="642"/>
      <c r="S17" s="642"/>
      <c r="T17" s="642"/>
      <c r="U17" s="642"/>
      <c r="V17" s="642"/>
      <c r="W17" s="642"/>
    </row>
    <row r="18" customHeight="1" spans="1:23">
      <c r="A18"/>
      <c r="B18">
        <f>iIndiRank!O10</f>
        <v>1</v>
      </c>
      <c r="C18">
        <f>IF(B18=0,0,IF($C$14=1,IF(G18&lt;$C$80,1,IF(G18&gt;$C$80,4,2)),IF(G18&lt;Summary!$B$80,1,IF(G18&lt;=Summary!$B$81,2,(IF(G18&lt;=Summary!$B$82,3,4))))))</f>
        <v>4</v>
      </c>
      <c r="D18" s="615"/>
      <c r="E18" s="616">
        <f>iIndiRank!R10</f>
        <v>3</v>
      </c>
      <c r="F18" s="617" t="str">
        <f ca="1">iIndiRank!S10</f>
        <v>Osaka</v>
      </c>
      <c r="G18" s="618">
        <f>iIndiRank!T10</f>
        <v>88.87</v>
      </c>
      <c r="H18" s="619">
        <f>IF(ISNUMBER(iIndiRank!AA10),ROUND(iIndiRank!AA10,2),"")</f>
        <v>88.87</v>
      </c>
      <c r="I18" s="629" t="str">
        <f t="shared" si="0"/>
        <v>|||||||||||||||||||||||||||||</v>
      </c>
      <c r="J18" s="630"/>
      <c r="K18" s="635">
        <f ca="1">IF(iIndiRank!U10=0,"=",iIndiRank!U10)</f>
        <v>5.65</v>
      </c>
      <c r="L18" s="632" t="b">
        <f ca="1">IF(ISERROR(iIndiRank!V10),"",iIndiRank!V10)</f>
        <v>0</v>
      </c>
      <c r="M18" s="636">
        <f ca="1">IF(iIndiRank!W10=0,"=",iIndiRank!W10)</f>
        <v>1</v>
      </c>
      <c r="N18" s="634" t="b">
        <f ca="1">IF(ISERROR(iIndiRank!X10),"",iIndiRank!X10)</f>
        <v>0</v>
      </c>
      <c r="O18" s="68"/>
      <c r="Q18" s="642"/>
      <c r="R18" s="642"/>
      <c r="S18" s="642"/>
      <c r="T18" s="642"/>
      <c r="U18" s="642"/>
      <c r="V18" s="642"/>
      <c r="W18" s="642"/>
    </row>
    <row r="19" customHeight="1" spans="1:23">
      <c r="A19"/>
      <c r="B19">
        <f>iIndiRank!O11</f>
        <v>1</v>
      </c>
      <c r="C19">
        <f>IF(B19=0,0,IF($C$14=1,IF(G19&lt;$C$80,1,IF(G19&gt;$C$80,4,2)),IF(G19&lt;Summary!$B$80,1,IF(G19&lt;=Summary!$B$81,2,(IF(G19&lt;=Summary!$B$82,3,4))))))</f>
        <v>4</v>
      </c>
      <c r="D19" s="615"/>
      <c r="E19" s="616">
        <f>iIndiRank!R11</f>
        <v>4</v>
      </c>
      <c r="F19" s="617" t="str">
        <f ca="1">iIndiRank!S11</f>
        <v>Toronto</v>
      </c>
      <c r="G19" s="618">
        <f>iIndiRank!T11</f>
        <v>87.36</v>
      </c>
      <c r="H19" s="619">
        <f>IF(ISNUMBER(iIndiRank!AA11),ROUND(iIndiRank!AA11,2),"")</f>
        <v>87.36</v>
      </c>
      <c r="I19" s="629" t="str">
        <f t="shared" si="0"/>
        <v>|||||||||||||||||||||||||||||</v>
      </c>
      <c r="J19" s="630"/>
      <c r="K19" s="635">
        <f ca="1">IF(iIndiRank!U11=0,"=",iIndiRank!U11)</f>
        <v>5.99</v>
      </c>
      <c r="L19" s="632" t="b">
        <f ca="1">IF(ISERROR(iIndiRank!V11),"",iIndiRank!V11)</f>
        <v>0</v>
      </c>
      <c r="M19" s="636">
        <f ca="1">IF(iIndiRank!W11=0,"=",iIndiRank!W11)</f>
        <v>2</v>
      </c>
      <c r="N19" s="634" t="b">
        <f ca="1">IF(ISERROR(iIndiRank!X11),"",iIndiRank!X11)</f>
        <v>0</v>
      </c>
      <c r="O19" s="68"/>
      <c r="Q19" s="642"/>
      <c r="R19" s="642"/>
      <c r="S19" s="642"/>
      <c r="T19" s="642"/>
      <c r="U19" s="642"/>
      <c r="V19" s="642"/>
      <c r="W19" s="642"/>
    </row>
    <row r="20" customHeight="1" spans="1:23">
      <c r="A20"/>
      <c r="B20">
        <f>iIndiRank!O12</f>
        <v>1</v>
      </c>
      <c r="C20">
        <f>IF(B20=0,0,IF($C$14=1,IF(G20&lt;$C$80,1,IF(G20&gt;$C$80,4,2)),IF(G20&lt;Summary!$B$80,1,IF(G20&lt;=Summary!$B$81,2,(IF(G20&lt;=Summary!$B$82,3,4))))))</f>
        <v>4</v>
      </c>
      <c r="D20" s="615"/>
      <c r="E20" s="616">
        <f>iIndiRank!R12</f>
        <v>5</v>
      </c>
      <c r="F20" s="617" t="str">
        <f ca="1">iIndiRank!S12</f>
        <v>Melbourne</v>
      </c>
      <c r="G20" s="618">
        <f>iIndiRank!T12</f>
        <v>87.3</v>
      </c>
      <c r="H20" s="619">
        <f>IF(ISNUMBER(iIndiRank!AA12),ROUND(iIndiRank!AA12,2),"")</f>
        <v>87.3</v>
      </c>
      <c r="I20" s="629" t="str">
        <f t="shared" si="0"/>
        <v>|||||||||||||||||||||||||||||</v>
      </c>
      <c r="J20" s="630"/>
      <c r="K20" s="635">
        <f ca="1">IF(iIndiRank!U12=0,"=",iIndiRank!U12)</f>
        <v>6.03</v>
      </c>
      <c r="L20" s="632" t="b">
        <f ca="1">IF(ISERROR(iIndiRank!V12),"",iIndiRank!V12)</f>
        <v>0</v>
      </c>
      <c r="M20" s="636">
        <f ca="1">IF(iIndiRank!W12=0,"=",iIndiRank!W12)</f>
        <v>2</v>
      </c>
      <c r="N20" s="634" t="b">
        <f ca="1">IF(ISERROR(iIndiRank!X12),"",iIndiRank!X12)</f>
        <v>0</v>
      </c>
      <c r="O20" s="68"/>
      <c r="Q20" s="642"/>
      <c r="R20" s="642"/>
      <c r="S20" s="642"/>
      <c r="T20" s="642"/>
      <c r="U20" s="642"/>
      <c r="V20" s="642"/>
      <c r="W20" s="642"/>
    </row>
    <row r="21" customHeight="1" spans="1:23">
      <c r="A21"/>
      <c r="B21">
        <f>iIndiRank!O13</f>
        <v>1</v>
      </c>
      <c r="C21">
        <f>IF(B21=0,0,IF($C$14=1,IF(G21&lt;$C$80,1,IF(G21&gt;$C$80,4,2)),IF(G21&lt;Summary!$B$80,1,IF(G21&lt;=Summary!$B$81,2,(IF(G21&lt;=Summary!$B$82,3,4))))))</f>
        <v>4</v>
      </c>
      <c r="D21" s="615"/>
      <c r="E21" s="616">
        <f>iIndiRank!R13</f>
        <v>6</v>
      </c>
      <c r="F21" s="617" t="str">
        <f ca="1">iIndiRank!S13</f>
        <v>Amsterdam</v>
      </c>
      <c r="G21" s="618">
        <f>iIndiRank!T13</f>
        <v>87.26</v>
      </c>
      <c r="H21" s="619">
        <f>IF(ISNUMBER(iIndiRank!AA13),ROUND(iIndiRank!AA13,2),"")</f>
        <v>87.26</v>
      </c>
      <c r="I21" s="629" t="str">
        <f t="shared" si="0"/>
        <v>|||||||||||||||||||||||||||||</v>
      </c>
      <c r="J21" s="630"/>
      <c r="K21" s="635">
        <f ca="1">IF(iIndiRank!U13=0,"=",iIndiRank!U13)</f>
        <v>3.22</v>
      </c>
      <c r="L21" s="632" t="b">
        <f ca="1">IF(ISERROR(iIndiRank!V13),"",iIndiRank!V13)</f>
        <v>0</v>
      </c>
      <c r="M21" s="636">
        <f ca="1">IF(iIndiRank!W13=0,"=",iIndiRank!W13)</f>
        <v>-3</v>
      </c>
      <c r="N21" s="634" t="b">
        <f ca="1">IF(ISERROR(iIndiRank!X13),"",iIndiRank!X13)</f>
        <v>0</v>
      </c>
      <c r="O21" s="68"/>
      <c r="Q21" s="642"/>
      <c r="R21" s="642"/>
      <c r="S21" s="642"/>
      <c r="T21" s="642"/>
      <c r="U21" s="642"/>
      <c r="V21" s="642"/>
      <c r="W21" s="642"/>
    </row>
    <row r="22" customHeight="1" spans="1:23">
      <c r="A22"/>
      <c r="B22">
        <f>iIndiRank!O14</f>
        <v>1</v>
      </c>
      <c r="C22">
        <f>IF(B22=0,0,IF($C$14=1,IF(G22&lt;$C$80,1,IF(G22&gt;$C$80,4,2)),IF(G22&lt;Summary!$B$80,1,IF(G22&lt;=Summary!$B$81,2,(IF(G22&lt;=Summary!$B$82,3,4))))))</f>
        <v>4</v>
      </c>
      <c r="D22" s="615"/>
      <c r="E22" s="616">
        <f>iIndiRank!R14</f>
        <v>7</v>
      </c>
      <c r="F22" s="617" t="str">
        <f ca="1">iIndiRank!S14</f>
        <v>Sydney</v>
      </c>
      <c r="G22" s="618">
        <f>iIndiRank!T14</f>
        <v>86.74</v>
      </c>
      <c r="H22" s="619">
        <f>IF(ISNUMBER(iIndiRank!AA14),ROUND(iIndiRank!AA14,2),"")</f>
        <v>86.74</v>
      </c>
      <c r="I22" s="629" t="str">
        <f t="shared" si="0"/>
        <v>||||||||||||||||||||||||||||</v>
      </c>
      <c r="J22" s="630"/>
      <c r="K22" s="635">
        <f ca="1">IF(iIndiRank!U14=0,"=",iIndiRank!U14)</f>
        <v>4.86</v>
      </c>
      <c r="L22" s="632" t="b">
        <f ca="1">IF(ISERROR(iIndiRank!V14),"",iIndiRank!V14)</f>
        <v>0</v>
      </c>
      <c r="M22" s="636">
        <f ca="1">IF(iIndiRank!W14=0,"=",iIndiRank!W14)</f>
        <v>-2</v>
      </c>
      <c r="N22" s="634" t="b">
        <f ca="1">IF(ISERROR(iIndiRank!X14),"",iIndiRank!X14)</f>
        <v>0</v>
      </c>
      <c r="O22" s="68"/>
      <c r="Q22" s="642"/>
      <c r="R22" s="642"/>
      <c r="S22" s="642"/>
      <c r="T22" s="642"/>
      <c r="U22" s="642"/>
      <c r="V22" s="642"/>
      <c r="W22" s="642"/>
    </row>
    <row r="23" customHeight="1" spans="1:23">
      <c r="A23"/>
      <c r="B23">
        <f>iIndiRank!O15</f>
        <v>1</v>
      </c>
      <c r="C23">
        <f>IF(B23=0,0,IF($C$14=1,IF(G23&lt;$C$80,1,IF(G23&gt;$C$80,4,2)),IF(G23&lt;Summary!$B$80,1,IF(G23&lt;=Summary!$B$81,2,(IF(G23&lt;=Summary!$B$82,3,4))))))</f>
        <v>4</v>
      </c>
      <c r="D23" s="615"/>
      <c r="E23" s="616">
        <f>iIndiRank!R15</f>
        <v>8</v>
      </c>
      <c r="F23" s="617" t="str">
        <f ca="1">iIndiRank!S15</f>
        <v>Stockholm</v>
      </c>
      <c r="G23" s="618">
        <f>iIndiRank!T15</f>
        <v>86.72</v>
      </c>
      <c r="H23" s="619">
        <f>IF(ISNUMBER(iIndiRank!AA15),ROUND(iIndiRank!AA15,2),"")</f>
        <v>86.72</v>
      </c>
      <c r="I23" s="629" t="str">
        <f t="shared" si="0"/>
        <v>||||||||||||||||||||||||||||</v>
      </c>
      <c r="J23" s="630"/>
      <c r="K23" s="635">
        <f ca="1">IF(iIndiRank!U15=0,"=",iIndiRank!U15)</f>
        <v>5.66</v>
      </c>
      <c r="L23" s="632" t="b">
        <f ca="1">IF(ISERROR(iIndiRank!V15),"",iIndiRank!V15)</f>
        <v>0</v>
      </c>
      <c r="M23" s="636" t="str">
        <f ca="1">IF(iIndiRank!W15=0,"=",iIndiRank!W15)</f>
        <v>=</v>
      </c>
      <c r="N23" s="634" t="b">
        <f ca="1">IF(ISERROR(iIndiRank!X15),"",iIndiRank!X15)</f>
        <v>0</v>
      </c>
      <c r="O23" s="68"/>
      <c r="Q23" s="642"/>
      <c r="R23" s="642"/>
      <c r="S23" s="642"/>
      <c r="T23" s="642"/>
      <c r="U23" s="642"/>
      <c r="V23" s="642"/>
      <c r="W23" s="642"/>
    </row>
    <row r="24" customHeight="1" spans="1:23">
      <c r="A24"/>
      <c r="B24">
        <f>iIndiRank!O16</f>
        <v>1</v>
      </c>
      <c r="C24">
        <f>IF(B24=0,0,IF($C$14=1,IF(G24&lt;$C$80,1,IF(G24&gt;$C$80,4,2)),IF(G24&lt;Summary!$B$80,1,IF(G24&lt;=Summary!$B$81,2,(IF(G24&lt;=Summary!$B$82,3,4))))))</f>
        <v>4</v>
      </c>
      <c r="D24" s="615"/>
      <c r="E24" s="616">
        <f>iIndiRank!R16</f>
        <v>9</v>
      </c>
      <c r="F24" s="617" t="str">
        <f ca="1">iIndiRank!S16</f>
        <v>Hong Kong</v>
      </c>
      <c r="G24" s="618">
        <f>iIndiRank!T16</f>
        <v>86.22</v>
      </c>
      <c r="H24" s="619">
        <f>IF(ISNUMBER(iIndiRank!AA16),ROUND(iIndiRank!AA16,2),"")</f>
        <v>86.22</v>
      </c>
      <c r="I24" s="629" t="str">
        <f t="shared" si="0"/>
        <v>||||||||||||||||||||||||||||</v>
      </c>
      <c r="J24" s="630"/>
      <c r="K24" s="635">
        <f ca="1">IF(iIndiRank!U16=0,"=",iIndiRank!U16)</f>
        <v>7.69</v>
      </c>
      <c r="L24" s="632" t="b">
        <f ca="1">IF(ISERROR(iIndiRank!V16),"",iIndiRank!V16)</f>
        <v>0</v>
      </c>
      <c r="M24" s="636">
        <f ca="1">IF(iIndiRank!W16=0,"=",iIndiRank!W16)</f>
        <v>3</v>
      </c>
      <c r="N24" s="634" t="b">
        <f ca="1">IF(ISERROR(iIndiRank!X16),"",iIndiRank!X16)</f>
        <v>0</v>
      </c>
      <c r="O24" s="68"/>
      <c r="Q24" s="642"/>
      <c r="R24" s="642"/>
      <c r="S24" s="642"/>
      <c r="T24" s="642"/>
      <c r="U24" s="642"/>
      <c r="V24" s="642"/>
      <c r="W24" s="642"/>
    </row>
    <row r="25" customHeight="1" spans="1:23">
      <c r="A25"/>
      <c r="B25">
        <f>iIndiRank!O17</f>
        <v>1</v>
      </c>
      <c r="C25">
        <f>IF(B25=0,0,IF($C$14=1,IF(G25&lt;$C$80,1,IF(G25&gt;$C$80,4,2)),IF(G25&lt;Summary!$B$80,1,IF(G25&lt;=Summary!$B$81,2,(IF(G25&lt;=Summary!$B$82,3,4))))))</f>
        <v>4</v>
      </c>
      <c r="D25" s="615"/>
      <c r="E25" s="616">
        <f>iIndiRank!R17</f>
        <v>10</v>
      </c>
      <c r="F25" s="617" t="str">
        <f ca="1">iIndiRank!S17</f>
        <v>Zurich</v>
      </c>
      <c r="G25" s="618">
        <f>iIndiRank!T17</f>
        <v>85.2</v>
      </c>
      <c r="H25" s="619">
        <f>IF(ISNUMBER(iIndiRank!AA17),ROUND(iIndiRank!AA17,2),"")</f>
        <v>85.2</v>
      </c>
      <c r="I25" s="629" t="str">
        <f t="shared" si="0"/>
        <v>||||||||||||||||||||||||||||</v>
      </c>
      <c r="J25" s="630"/>
      <c r="K25" s="635">
        <f ca="1">IF(iIndiRank!U17=0,"=",iIndiRank!U17)</f>
        <v>4.38</v>
      </c>
      <c r="L25" s="632" t="b">
        <f ca="1">IF(ISERROR(iIndiRank!V17),"",iIndiRank!V17)</f>
        <v>0</v>
      </c>
      <c r="M25" s="636">
        <f ca="1">IF(iIndiRank!W17=0,"=",iIndiRank!W17)</f>
        <v>-1</v>
      </c>
      <c r="N25" s="634" t="b">
        <f ca="1">IF(ISERROR(iIndiRank!X17),"",iIndiRank!X17)</f>
        <v>0</v>
      </c>
      <c r="O25" s="68"/>
      <c r="Q25" s="642"/>
      <c r="R25" s="642"/>
      <c r="S25" s="642"/>
      <c r="T25" s="642"/>
      <c r="U25" s="642"/>
      <c r="V25" s="642"/>
      <c r="W25" s="642"/>
    </row>
    <row r="26" customHeight="1" spans="1:23">
      <c r="A26"/>
      <c r="B26">
        <f>iIndiRank!O18</f>
        <v>1</v>
      </c>
      <c r="C26">
        <f>IF(B26=0,0,IF($C$14=1,IF(G26&lt;$C$80,1,IF(G26&gt;$C$80,4,2)),IF(G26&lt;Summary!$B$80,1,IF(G26&lt;=Summary!$B$81,2,(IF(G26&lt;=Summary!$B$82,3,4))))))</f>
        <v>4</v>
      </c>
      <c r="D26" s="615"/>
      <c r="E26" s="616">
        <f>iIndiRank!R18</f>
        <v>11</v>
      </c>
      <c r="F26" s="617" t="str">
        <f ca="1">iIndiRank!S18</f>
        <v>Frankfurt</v>
      </c>
      <c r="G26" s="618">
        <f>iIndiRank!T18</f>
        <v>84.86</v>
      </c>
      <c r="H26" s="619">
        <f>IF(ISNUMBER(iIndiRank!AA18),ROUND(iIndiRank!AA18,2),"")</f>
        <v>84.86</v>
      </c>
      <c r="I26" s="629" t="str">
        <f t="shared" si="0"/>
        <v>||||||||||||||||||||||||||||</v>
      </c>
      <c r="J26" s="630"/>
      <c r="K26" s="635">
        <f ca="1">IF(iIndiRank!U18=0,"=",iIndiRank!U18)</f>
        <v>7.85</v>
      </c>
      <c r="L26" s="632" t="b">
        <f ca="1">IF(ISERROR(iIndiRank!V18),"",iIndiRank!V18)</f>
        <v>0</v>
      </c>
      <c r="M26" s="636">
        <f ca="1">IF(iIndiRank!W18=0,"=",iIndiRank!W18)</f>
        <v>5</v>
      </c>
      <c r="N26" s="634" t="b">
        <f ca="1">IF(ISERROR(iIndiRank!X18),"",iIndiRank!X18)</f>
        <v>0</v>
      </c>
      <c r="O26" s="68"/>
      <c r="Q26" s="642"/>
      <c r="R26" s="642"/>
      <c r="S26" s="642"/>
      <c r="T26" s="642"/>
      <c r="U26" s="642"/>
      <c r="V26" s="642"/>
      <c r="W26" s="642"/>
    </row>
    <row r="27" customHeight="1" spans="1:23">
      <c r="A27"/>
      <c r="B27">
        <f>iIndiRank!O19</f>
        <v>1</v>
      </c>
      <c r="C27">
        <f>IF(B27=0,0,IF($C$14=1,IF(G27&lt;$C$80,1,IF(G27&gt;$C$80,4,2)),IF(G27&lt;Summary!$B$80,1,IF(G27&lt;=Summary!$B$81,2,(IF(G27&lt;=Summary!$B$82,3,4))))))</f>
        <v>4</v>
      </c>
      <c r="D27" s="615"/>
      <c r="E27" s="616">
        <f>iIndiRank!R19</f>
        <v>12</v>
      </c>
      <c r="F27" s="617" t="str">
        <f ca="1">iIndiRank!S19</f>
        <v>Madrid</v>
      </c>
      <c r="G27" s="618">
        <f>iIndiRank!T19</f>
        <v>83.88</v>
      </c>
      <c r="H27" s="619">
        <f>IF(ISNUMBER(iIndiRank!AA19),ROUND(iIndiRank!AA19,2),"")</f>
        <v>83.88</v>
      </c>
      <c r="I27" s="629" t="str">
        <f t="shared" si="0"/>
        <v>|||||||||||||||||||||||||||</v>
      </c>
      <c r="J27" s="630"/>
      <c r="K27" s="635">
        <f ca="1">IF(iIndiRank!U19=0,"=",iIndiRank!U19)</f>
        <v>11.31</v>
      </c>
      <c r="L27" s="632" t="b">
        <f ca="1">IF(ISERROR(iIndiRank!V19),"",iIndiRank!V19)</f>
        <v>0</v>
      </c>
      <c r="M27" s="636">
        <f ca="1">IF(iIndiRank!W19=0,"=",iIndiRank!W19)</f>
        <v>13</v>
      </c>
      <c r="N27" s="634" t="b">
        <f ca="1">IF(ISERROR(iIndiRank!X19),"",iIndiRank!X19)</f>
        <v>0</v>
      </c>
      <c r="O27" s="68"/>
      <c r="Q27" s="642"/>
      <c r="R27" s="642"/>
      <c r="S27" s="642"/>
      <c r="T27" s="642"/>
      <c r="U27" s="642"/>
      <c r="V27" s="642"/>
      <c r="W27" s="642"/>
    </row>
    <row r="28" customHeight="1" spans="1:23">
      <c r="A28"/>
      <c r="B28">
        <f>iIndiRank!O20</f>
        <v>1</v>
      </c>
      <c r="C28">
        <f>IF(B28=0,0,IF($C$14=1,IF(G28&lt;$C$80,1,IF(G28&gt;$C$80,4,2)),IF(G28&lt;Summary!$B$80,1,IF(G28&lt;=Summary!$B$81,2,(IF(G28&lt;=Summary!$B$82,3,4))))))</f>
        <v>4</v>
      </c>
      <c r="D28" s="615"/>
      <c r="E28" s="616">
        <f>iIndiRank!R20</f>
        <v>13</v>
      </c>
      <c r="F28" s="617" t="str">
        <f ca="1">iIndiRank!S20</f>
        <v>Barcelona</v>
      </c>
      <c r="G28" s="618">
        <f>iIndiRank!T20</f>
        <v>83.71</v>
      </c>
      <c r="H28" s="619">
        <f>IF(ISNUMBER(iIndiRank!AA20),ROUND(iIndiRank!AA20,2),"")</f>
        <v>83.71</v>
      </c>
      <c r="I28" s="629" t="str">
        <f t="shared" si="0"/>
        <v>|||||||||||||||||||||||||||</v>
      </c>
      <c r="J28" s="630"/>
      <c r="K28" s="635">
        <f ca="1">IF(iIndiRank!U20=0,"=",iIndiRank!U20)</f>
        <v>6.32</v>
      </c>
      <c r="L28" s="632" t="b">
        <f ca="1">IF(ISERROR(iIndiRank!V20),"",iIndiRank!V20)</f>
        <v>0</v>
      </c>
      <c r="M28" s="636">
        <f ca="1">IF(iIndiRank!W20=0,"=",iIndiRank!W20)</f>
        <v>2</v>
      </c>
      <c r="N28" s="634" t="b">
        <f ca="1">IF(ISERROR(iIndiRank!X20),"",iIndiRank!X20)</f>
        <v>0</v>
      </c>
      <c r="O28" s="68"/>
      <c r="Q28" s="642"/>
      <c r="R28" s="642"/>
      <c r="S28" s="642"/>
      <c r="T28" s="642"/>
      <c r="U28" s="642"/>
      <c r="V28" s="642"/>
      <c r="W28" s="642"/>
    </row>
    <row r="29" customHeight="1" spans="1:23">
      <c r="A29"/>
      <c r="B29">
        <f>iIndiRank!O21</f>
        <v>1</v>
      </c>
      <c r="C29">
        <f>IF(B29=0,0,IF($C$14=1,IF(G29&lt;$C$80,1,IF(G29&gt;$C$80,4,2)),IF(G29&lt;Summary!$B$80,1,IF(G29&lt;=Summary!$B$81,2,(IF(G29&lt;=Summary!$B$82,3,4))))))</f>
        <v>4</v>
      </c>
      <c r="D29" s="615"/>
      <c r="E29" s="616">
        <f>iIndiRank!R21</f>
        <v>14</v>
      </c>
      <c r="F29" s="617" t="str">
        <f ca="1">iIndiRank!S21</f>
        <v>Seoul</v>
      </c>
      <c r="G29" s="618">
        <f>iIndiRank!T21</f>
        <v>83.61</v>
      </c>
      <c r="H29" s="619">
        <f>IF(ISNUMBER(iIndiRank!AA21),ROUND(iIndiRank!AA21,2),"")</f>
        <v>83.61</v>
      </c>
      <c r="I29" s="629" t="str">
        <f t="shared" si="0"/>
        <v>|||||||||||||||||||||||||||</v>
      </c>
      <c r="J29" s="630"/>
      <c r="K29" s="635">
        <f ca="1">IF(iIndiRank!U21=0,"=",iIndiRank!U21)</f>
        <v>9.7</v>
      </c>
      <c r="L29" s="632" t="b">
        <f ca="1">IF(ISERROR(iIndiRank!V21),"",iIndiRank!V21)</f>
        <v>0</v>
      </c>
      <c r="M29" s="636">
        <f ca="1">IF(iIndiRank!W21=0,"=",iIndiRank!W21)</f>
        <v>6</v>
      </c>
      <c r="N29" s="634" t="b">
        <f ca="1">IF(ISERROR(iIndiRank!X21),"",iIndiRank!X21)</f>
        <v>0</v>
      </c>
      <c r="O29" s="68"/>
      <c r="Q29" s="642"/>
      <c r="R29" s="642"/>
      <c r="S29" s="642"/>
      <c r="T29" s="642"/>
      <c r="U29" s="642"/>
      <c r="V29" s="642"/>
      <c r="W29" s="642"/>
    </row>
    <row r="30" customHeight="1" spans="1:23">
      <c r="A30"/>
      <c r="B30">
        <f>iIndiRank!O22</f>
        <v>1</v>
      </c>
      <c r="C30">
        <f>IF(B30=0,0,IF($C$14=1,IF(G30&lt;$C$80,1,IF(G30&gt;$C$80,4,2)),IF(G30&lt;Summary!$B$80,1,IF(G30&lt;=Summary!$B$81,2,(IF(G30&lt;=Summary!$B$82,3,4))))))</f>
        <v>4</v>
      </c>
      <c r="D30" s="615"/>
      <c r="E30" s="616">
        <f>iIndiRank!R22</f>
        <v>15</v>
      </c>
      <c r="F30" s="617" t="str">
        <f ca="1">iIndiRank!S22</f>
        <v>San Francisco</v>
      </c>
      <c r="G30" s="618">
        <f>iIndiRank!T22</f>
        <v>83.55</v>
      </c>
      <c r="H30" s="619">
        <f>IF(ISNUMBER(iIndiRank!AA22),ROUND(iIndiRank!AA22,2),"")</f>
        <v>83.55</v>
      </c>
      <c r="I30" s="629" t="str">
        <f t="shared" si="0"/>
        <v>|||||||||||||||||||||||||||</v>
      </c>
      <c r="J30" s="630"/>
      <c r="K30" s="635">
        <f ca="1">IF(iIndiRank!U22=0,"=",iIndiRank!U22)</f>
        <v>4.23</v>
      </c>
      <c r="L30" s="632" t="b">
        <f ca="1">IF(ISERROR(iIndiRank!V22),"",iIndiRank!V22)</f>
        <v>0</v>
      </c>
      <c r="M30" s="636">
        <f ca="1">IF(iIndiRank!W22=0,"=",iIndiRank!W22)</f>
        <v>-4</v>
      </c>
      <c r="N30" s="634" t="b">
        <f ca="1">IF(ISERROR(iIndiRank!X22),"",iIndiRank!X22)</f>
        <v>0</v>
      </c>
      <c r="O30" s="68"/>
      <c r="Q30" s="642"/>
      <c r="R30" s="642"/>
      <c r="S30" s="642"/>
      <c r="T30" s="642"/>
      <c r="U30" s="642"/>
      <c r="V30" s="642"/>
      <c r="W30" s="642"/>
    </row>
    <row r="31" customHeight="1" spans="1:23">
      <c r="A31"/>
      <c r="B31">
        <f>iIndiRank!O23</f>
        <v>1</v>
      </c>
      <c r="C31">
        <f>IF(B31=0,0,IF($C$14=1,IF(G31&lt;$C$80,1,IF(G31&gt;$C$80,4,2)),IF(G31&lt;Summary!$B$80,1,IF(G31&lt;=Summary!$B$81,2,(IF(G31&lt;=Summary!$B$82,3,4))))))</f>
        <v>4</v>
      </c>
      <c r="D31" s="615"/>
      <c r="E31" s="616">
        <f>iIndiRank!R23</f>
        <v>16</v>
      </c>
      <c r="F31" s="617" t="str">
        <f ca="1">iIndiRank!S23</f>
        <v>Wellington *</v>
      </c>
      <c r="G31" s="618">
        <f>iIndiRank!T23</f>
        <v>83.18</v>
      </c>
      <c r="H31" s="619">
        <f>IF(ISNUMBER(iIndiRank!AA23),ROUND(iIndiRank!AA23,2),"")</f>
        <v>83.18</v>
      </c>
      <c r="I31" s="629" t="str">
        <f t="shared" si="0"/>
        <v>|||||||||||||||||||||||||||</v>
      </c>
      <c r="J31" s="630"/>
      <c r="K31" s="635" t="str">
        <f ca="1">IF(iIndiRank!U23=0,"=",iIndiRank!U23)</f>
        <v/>
      </c>
      <c r="L31" s="632" t="b">
        <f ca="1">IF(ISERROR(iIndiRank!V23),"",iIndiRank!V23)</f>
        <v>0</v>
      </c>
      <c r="M31" s="636" t="str">
        <f ca="1">IF(iIndiRank!W23=0,"=",iIndiRank!W23)</f>
        <v/>
      </c>
      <c r="N31" s="634" t="b">
        <f ca="1">IF(ISERROR(iIndiRank!X23),"",iIndiRank!X23)</f>
        <v>0</v>
      </c>
      <c r="O31" s="68"/>
      <c r="Q31" s="642"/>
      <c r="R31" s="642"/>
      <c r="S31" s="642"/>
      <c r="T31" s="642"/>
      <c r="U31" s="642"/>
      <c r="V31" s="642"/>
      <c r="W31" s="642"/>
    </row>
    <row r="32" customHeight="1" spans="1:23">
      <c r="A32"/>
      <c r="B32">
        <f>iIndiRank!O24</f>
        <v>1</v>
      </c>
      <c r="C32">
        <f>IF(B32=0,0,IF($C$14=1,IF(G32&lt;$C$80,1,IF(G32&gt;$C$80,4,2)),IF(G32&lt;Summary!$B$80,1,IF(G32&lt;=Summary!$B$81,2,(IF(G32&lt;=Summary!$B$82,3,4))))))</f>
        <v>4</v>
      </c>
      <c r="D32" s="615"/>
      <c r="E32" s="616">
        <f>iIndiRank!R24</f>
        <v>17</v>
      </c>
      <c r="F32" s="617" t="str">
        <f ca="1">iIndiRank!S24</f>
        <v>Brussels</v>
      </c>
      <c r="G32" s="618">
        <f>iIndiRank!T24</f>
        <v>83.01</v>
      </c>
      <c r="H32" s="619">
        <f>IF(ISNUMBER(iIndiRank!AA24),ROUND(iIndiRank!AA24,2),"")</f>
        <v>83.01</v>
      </c>
      <c r="I32" s="629" t="str">
        <f t="shared" si="0"/>
        <v>|||||||||||||||||||||||||||</v>
      </c>
      <c r="J32" s="630"/>
      <c r="K32" s="635">
        <f ca="1">IF(iIndiRank!U24=0,"=",iIndiRank!U24)</f>
        <v>6.83</v>
      </c>
      <c r="L32" s="632" t="b">
        <f ca="1">IF(ISERROR(iIndiRank!V24),"",iIndiRank!V24)</f>
        <v>0</v>
      </c>
      <c r="M32" s="636">
        <f ca="1">IF(iIndiRank!W24=0,"=",iIndiRank!W24)</f>
        <v>2</v>
      </c>
      <c r="N32" s="634" t="b">
        <f ca="1">IF(ISERROR(iIndiRank!X24),"",iIndiRank!X24)</f>
        <v>0</v>
      </c>
      <c r="O32" s="68"/>
      <c r="Q32" s="642"/>
      <c r="R32" s="642"/>
      <c r="S32" s="642"/>
      <c r="T32" s="642"/>
      <c r="U32" s="642"/>
      <c r="V32" s="642"/>
      <c r="W32" s="642"/>
    </row>
    <row r="33" customHeight="1" spans="1:23">
      <c r="A33"/>
      <c r="B33">
        <f>iIndiRank!O25</f>
        <v>1</v>
      </c>
      <c r="C33">
        <f>IF(B33=0,0,IF($C$14=1,IF(G33&lt;$C$80,1,IF(G33&gt;$C$80,4,2)),IF(G33&lt;Summary!$B$80,1,IF(G33&lt;=Summary!$B$81,2,(IF(G33&lt;=Summary!$B$82,3,4))))))</f>
        <v>4</v>
      </c>
      <c r="D33" s="615"/>
      <c r="E33" s="616">
        <f>iIndiRank!R25</f>
        <v>18</v>
      </c>
      <c r="F33" s="617" t="str">
        <f ca="1">iIndiRank!S25</f>
        <v>Los Angeles</v>
      </c>
      <c r="G33" s="618">
        <f>iIndiRank!T25</f>
        <v>82.26</v>
      </c>
      <c r="H33" s="619">
        <f>IF(ISNUMBER(iIndiRank!AA25),ROUND(iIndiRank!AA25,2),"")</f>
        <v>82.26</v>
      </c>
      <c r="I33" s="629" t="str">
        <f t="shared" si="0"/>
        <v>|||||||||||||||||||||||||||</v>
      </c>
      <c r="J33" s="630"/>
      <c r="K33" s="635">
        <f ca="1">IF(iIndiRank!U25=0,"=",iIndiRank!U25)</f>
        <v>5.39</v>
      </c>
      <c r="L33" s="632" t="b">
        <f ca="1">IF(ISERROR(iIndiRank!V25),"",iIndiRank!V25)</f>
        <v>0</v>
      </c>
      <c r="M33" s="636">
        <f ca="1">IF(iIndiRank!W25=0,"=",iIndiRank!W25)</f>
        <v>-1</v>
      </c>
      <c r="N33" s="634" t="b">
        <f ca="1">IF(ISERROR(iIndiRank!X25),"",iIndiRank!X25)</f>
        <v>0</v>
      </c>
      <c r="O33" s="68"/>
      <c r="Q33" s="642"/>
      <c r="R33" s="642"/>
      <c r="S33" s="642"/>
      <c r="T33" s="642"/>
      <c r="U33" s="642"/>
      <c r="V33" s="642"/>
      <c r="W33" s="642"/>
    </row>
    <row r="34" customHeight="1" spans="1:23">
      <c r="A34"/>
      <c r="B34">
        <f>iIndiRank!O26</f>
        <v>1</v>
      </c>
      <c r="C34">
        <f>IF(B34=0,0,IF($C$14=1,IF(G34&lt;$C$80,1,IF(G34&gt;$C$80,4,2)),IF(G34&lt;Summary!$B$80,1,IF(G34&lt;=Summary!$B$81,2,(IF(G34&lt;=Summary!$B$82,3,4))))))</f>
        <v>4</v>
      </c>
      <c r="D34" s="615"/>
      <c r="E34" s="616">
        <f>iIndiRank!R26</f>
        <v>19</v>
      </c>
      <c r="F34" s="617" t="str">
        <f ca="1">iIndiRank!S26</f>
        <v>Chicago</v>
      </c>
      <c r="G34" s="618">
        <f>iIndiRank!T26</f>
        <v>82.21</v>
      </c>
      <c r="H34" s="619">
        <f>IF(ISNUMBER(iIndiRank!AA26),ROUND(iIndiRank!AA26,2),"")</f>
        <v>82.21</v>
      </c>
      <c r="I34" s="629" t="str">
        <f t="shared" si="0"/>
        <v>|||||||||||||||||||||||||||</v>
      </c>
      <c r="J34" s="630"/>
      <c r="K34" s="635">
        <f ca="1">IF(iIndiRank!U26=0,"=",iIndiRank!U26)</f>
        <v>4.48</v>
      </c>
      <c r="L34" s="632" t="b">
        <f ca="1">IF(ISERROR(iIndiRank!V26),"",iIndiRank!V26)</f>
        <v>0</v>
      </c>
      <c r="M34" s="636">
        <f ca="1">IF(iIndiRank!W26=0,"=",iIndiRank!W26)</f>
        <v>-6</v>
      </c>
      <c r="N34" s="634" t="b">
        <f ca="1">IF(ISERROR(iIndiRank!X26),"",iIndiRank!X26)</f>
        <v>0</v>
      </c>
      <c r="O34" s="68"/>
      <c r="Q34" s="642"/>
      <c r="R34" s="642"/>
      <c r="S34" s="642"/>
      <c r="T34" s="642"/>
      <c r="U34" s="642"/>
      <c r="V34" s="642"/>
      <c r="W34" s="642"/>
    </row>
    <row r="35" customHeight="1" spans="1:23">
      <c r="A35"/>
      <c r="B35">
        <f>iIndiRank!O27</f>
        <v>1</v>
      </c>
      <c r="C35">
        <f>IF(B35=0,0,IF($C$14=1,IF(G35&lt;$C$80,1,IF(G35&gt;$C$80,4,2)),IF(G35&lt;Summary!$B$80,1,IF(G35&lt;=Summary!$B$81,2,(IF(G35&lt;=Summary!$B$82,3,4))))))</f>
        <v>4</v>
      </c>
      <c r="D35" s="615"/>
      <c r="E35" s="616">
        <f>iIndiRank!R27</f>
        <v>20</v>
      </c>
      <c r="F35" s="617" t="str">
        <f ca="1">iIndiRank!S27</f>
        <v>London</v>
      </c>
      <c r="G35" s="618">
        <f>iIndiRank!T27</f>
        <v>82.1</v>
      </c>
      <c r="H35" s="619">
        <f>IF(ISNUMBER(iIndiRank!AA27),ROUND(iIndiRank!AA27,2),"")</f>
        <v>82.1</v>
      </c>
      <c r="I35" s="629" t="str">
        <f t="shared" si="0"/>
        <v>|||||||||||||||||||||||||||</v>
      </c>
      <c r="J35" s="630"/>
      <c r="K35" s="635">
        <f ca="1">IF(iIndiRank!U27=0,"=",iIndiRank!U27)</f>
        <v>8.64</v>
      </c>
      <c r="L35" s="632" t="b">
        <f ca="1">IF(ISERROR(iIndiRank!V27),"",iIndiRank!V27)</f>
        <v>0</v>
      </c>
      <c r="M35" s="636">
        <f ca="1">IF(iIndiRank!W27=0,"=",iIndiRank!W27)</f>
        <v>1</v>
      </c>
      <c r="N35" s="634" t="b">
        <f ca="1">IF(ISERROR(iIndiRank!X27),"",iIndiRank!X27)</f>
        <v>0</v>
      </c>
      <c r="O35" s="68"/>
      <c r="Q35" s="642"/>
      <c r="R35" s="642"/>
      <c r="S35" s="642"/>
      <c r="T35" s="642"/>
      <c r="U35" s="642"/>
      <c r="V35" s="642"/>
      <c r="W35" s="642"/>
    </row>
    <row r="36" customHeight="1" spans="1:23">
      <c r="A36"/>
      <c r="B36">
        <f>iIndiRank!O28</f>
        <v>1</v>
      </c>
      <c r="C36">
        <f>IF(B36=0,0,IF($C$14=1,IF(G36&lt;$C$80,1,IF(G36&gt;$C$80,4,2)),IF(G36&lt;Summary!$B$80,1,IF(G36&lt;=Summary!$B$81,2,(IF(G36&lt;=Summary!$B$82,3,4))))))</f>
        <v>4</v>
      </c>
      <c r="D36" s="615"/>
      <c r="E36" s="616">
        <f>iIndiRank!R28</f>
        <v>21</v>
      </c>
      <c r="F36" s="617" t="str">
        <f ca="1">iIndiRank!S28</f>
        <v>New York</v>
      </c>
      <c r="G36" s="618">
        <f>iIndiRank!T28</f>
        <v>81.01</v>
      </c>
      <c r="H36" s="619">
        <f>IF(ISNUMBER(iIndiRank!AA28),ROUND(iIndiRank!AA28,2),"")</f>
        <v>81.01</v>
      </c>
      <c r="I36" s="629" t="str">
        <f t="shared" si="0"/>
        <v>|||||||||||||||||||||||||||</v>
      </c>
      <c r="J36" s="630"/>
      <c r="K36" s="635">
        <f ca="1">IF(iIndiRank!U28=0,"=",iIndiRank!U28)</f>
        <v>0.73</v>
      </c>
      <c r="L36" s="632" t="b">
        <f ca="1">IF(ISERROR(iIndiRank!V28),"",iIndiRank!V28)</f>
        <v>0</v>
      </c>
      <c r="M36" s="636">
        <f ca="1">IF(iIndiRank!W28=0,"=",iIndiRank!W28)</f>
        <v>-11</v>
      </c>
      <c r="N36" s="634" t="b">
        <f ca="1">IF(ISERROR(iIndiRank!X28),"",iIndiRank!X28)</f>
        <v>0</v>
      </c>
      <c r="O36" s="68"/>
      <c r="Q36" s="642"/>
      <c r="R36" s="642"/>
      <c r="S36" s="642"/>
      <c r="T36" s="642"/>
      <c r="U36" s="642"/>
      <c r="V36" s="642"/>
      <c r="W36" s="642"/>
    </row>
    <row r="37" customHeight="1" spans="1:23">
      <c r="A37"/>
      <c r="B37">
        <f>iIndiRank!O29</f>
        <v>1</v>
      </c>
      <c r="C37">
        <f>IF(B37=0,0,IF($C$14=1,IF(G37&lt;$C$80,1,IF(G37&gt;$C$80,4,2)),IF(G37&lt;Summary!$B$80,1,IF(G37&lt;=Summary!$B$81,2,(IF(G37&lt;=Summary!$B$82,3,4))))))</f>
        <v>4</v>
      </c>
      <c r="D37" s="615"/>
      <c r="E37" s="616">
        <f>iIndiRank!R29</f>
        <v>22</v>
      </c>
      <c r="F37" s="617" t="str">
        <f ca="1">iIndiRank!S29</f>
        <v>Taipei</v>
      </c>
      <c r="G37" s="618">
        <f>iIndiRank!T29</f>
        <v>80.7</v>
      </c>
      <c r="H37" s="619">
        <f>IF(ISNUMBER(iIndiRank!AA29),ROUND(iIndiRank!AA29,2),"")</f>
        <v>80.7</v>
      </c>
      <c r="I37" s="629" t="str">
        <f t="shared" si="0"/>
        <v>||||||||||||||||||||||||||</v>
      </c>
      <c r="J37" s="630"/>
      <c r="K37" s="635">
        <f ca="1">IF(iIndiRank!U29=0,"=",iIndiRank!U29)</f>
        <v>3.11</v>
      </c>
      <c r="L37" s="632" t="b">
        <f ca="1">IF(ISERROR(iIndiRank!V29),"",iIndiRank!V29)</f>
        <v>0</v>
      </c>
      <c r="M37" s="636">
        <f ca="1">IF(iIndiRank!W29=0,"=",iIndiRank!W29)</f>
        <v>-8</v>
      </c>
      <c r="N37" s="634" t="b">
        <f ca="1">IF(ISERROR(iIndiRank!X29),"",iIndiRank!X29)</f>
        <v>0</v>
      </c>
      <c r="O37" s="68"/>
      <c r="Q37" s="642"/>
      <c r="R37" s="642"/>
      <c r="S37" s="642"/>
      <c r="T37" s="642"/>
      <c r="U37" s="642"/>
      <c r="V37" s="642"/>
      <c r="W37" s="642"/>
    </row>
    <row r="38" customHeight="1" spans="1:23">
      <c r="A38"/>
      <c r="B38">
        <f>iIndiRank!O30</f>
        <v>1</v>
      </c>
      <c r="C38">
        <f>IF(B38=0,0,IF($C$14=1,IF(G38&lt;$C$80,1,IF(G38&gt;$C$80,4,2)),IF(G38&lt;Summary!$B$80,1,IF(G38&lt;=Summary!$B$81,2,(IF(G38&lt;=Summary!$B$82,3,4))))))</f>
        <v>4</v>
      </c>
      <c r="D38" s="615"/>
      <c r="E38" s="616">
        <f>iIndiRank!R30</f>
        <v>23</v>
      </c>
      <c r="F38" s="617" t="str">
        <f ca="1">iIndiRank!S30</f>
        <v>Washington DC</v>
      </c>
      <c r="G38" s="618">
        <f>iIndiRank!T30</f>
        <v>80.37</v>
      </c>
      <c r="H38" s="619">
        <f>IF(ISNUMBER(iIndiRank!AA30),ROUND(iIndiRank!AA30,2),"")</f>
        <v>80.37</v>
      </c>
      <c r="I38" s="629" t="str">
        <f t="shared" si="0"/>
        <v>||||||||||||||||||||||||||</v>
      </c>
      <c r="J38" s="630"/>
      <c r="K38" s="635">
        <f ca="1">IF(iIndiRank!U30=0,"=",iIndiRank!U30)</f>
        <v>3.93</v>
      </c>
      <c r="L38" s="632" t="b">
        <f ca="1">IF(ISERROR(iIndiRank!V30),"",iIndiRank!V30)</f>
        <v>0</v>
      </c>
      <c r="M38" s="636">
        <f ca="1">IF(iIndiRank!W30=0,"=",iIndiRank!W30)</f>
        <v>-5</v>
      </c>
      <c r="N38" s="634" t="b">
        <f ca="1">IF(ISERROR(iIndiRank!X30),"",iIndiRank!X30)</f>
        <v>0</v>
      </c>
      <c r="O38" s="68"/>
      <c r="Q38" s="642"/>
      <c r="R38" s="642"/>
      <c r="S38" s="642"/>
      <c r="T38" s="642"/>
      <c r="U38" s="642"/>
      <c r="V38" s="642"/>
      <c r="W38" s="642"/>
    </row>
    <row r="39" customHeight="1" spans="1:23">
      <c r="A39"/>
      <c r="B39">
        <f>iIndiRank!O31</f>
        <v>1</v>
      </c>
      <c r="C39">
        <f>IF(B39=0,0,IF($C$14=1,IF(G39&lt;$C$80,1,IF(G39&gt;$C$80,4,2)),IF(G39&lt;Summary!$B$80,1,IF(G39&lt;=Summary!$B$81,2,(IF(G39&lt;=Summary!$B$82,3,4))))))</f>
        <v>4</v>
      </c>
      <c r="D39" s="615"/>
      <c r="E39" s="616">
        <f>iIndiRank!R31</f>
        <v>24</v>
      </c>
      <c r="F39" s="617" t="str">
        <f ca="1">iIndiRank!S31</f>
        <v>Paris</v>
      </c>
      <c r="G39" s="618">
        <f>iIndiRank!T31</f>
        <v>79.71</v>
      </c>
      <c r="H39" s="619">
        <f>IF(ISNUMBER(iIndiRank!AA31),ROUND(iIndiRank!AA31,2),"")</f>
        <v>79.71</v>
      </c>
      <c r="I39" s="629" t="str">
        <f t="shared" si="0"/>
        <v>||||||||||||||||||||||||||</v>
      </c>
      <c r="J39" s="630"/>
      <c r="K39" s="635">
        <f ca="1">IF(iIndiRank!U31=0,"=",iIndiRank!U31)</f>
        <v>6.5</v>
      </c>
      <c r="L39" s="632" t="b">
        <f ca="1">IF(ISERROR(iIndiRank!V31),"",iIndiRank!V31)</f>
        <v>0</v>
      </c>
      <c r="M39" s="636">
        <f ca="1">IF(iIndiRank!W31=0,"=",iIndiRank!W31)</f>
        <v>-2</v>
      </c>
      <c r="N39" s="634" t="b">
        <f ca="1">IF(ISERROR(iIndiRank!X31),"",iIndiRank!X31)</f>
        <v>0</v>
      </c>
      <c r="O39" s="68"/>
      <c r="Q39" s="642"/>
      <c r="R39" s="642"/>
      <c r="S39" s="642"/>
      <c r="T39" s="642"/>
      <c r="U39" s="642"/>
      <c r="V39" s="642"/>
      <c r="W39" s="642"/>
    </row>
    <row r="40" customHeight="1" spans="1:23">
      <c r="A40"/>
      <c r="B40">
        <f>iIndiRank!O32</f>
        <v>1</v>
      </c>
      <c r="C40">
        <f>IF(B40=0,0,IF($C$14=1,IF(G40&lt;$C$80,1,IF(G40&gt;$C$80,4,2)),IF(G40&lt;Summary!$B$80,1,IF(G40&lt;=Summary!$B$81,2,(IF(G40&lt;=Summary!$B$82,3,4))))))</f>
        <v>4</v>
      </c>
      <c r="D40" s="615"/>
      <c r="E40" s="616">
        <f>iIndiRank!R32</f>
        <v>25</v>
      </c>
      <c r="F40" s="617" t="str">
        <f ca="1">iIndiRank!S32</f>
        <v>Milan</v>
      </c>
      <c r="G40" s="618">
        <f>iIndiRank!T32</f>
        <v>79.3</v>
      </c>
      <c r="H40" s="619">
        <f>IF(ISNUMBER(iIndiRank!AA32),ROUND(iIndiRank!AA32,2),"")</f>
        <v>79.3</v>
      </c>
      <c r="I40" s="629" t="str">
        <f t="shared" si="0"/>
        <v>||||||||||||||||||||||||||</v>
      </c>
      <c r="J40" s="630"/>
      <c r="K40" s="635">
        <f ca="1">IF(iIndiRank!U32=0,"=",iIndiRank!U32)</f>
        <v>6.72</v>
      </c>
      <c r="L40" s="632" t="b">
        <f ca="1">IF(ISERROR(iIndiRank!V32),"",iIndiRank!V32)</f>
        <v>0</v>
      </c>
      <c r="M40" s="636">
        <f ca="1">IF(iIndiRank!W32=0,"=",iIndiRank!W32)</f>
        <v>-1</v>
      </c>
      <c r="N40" s="634" t="b">
        <f ca="1">IF(ISERROR(iIndiRank!X32),"",iIndiRank!X32)</f>
        <v>0</v>
      </c>
      <c r="O40" s="68"/>
      <c r="Q40" s="642"/>
      <c r="R40" s="642"/>
      <c r="S40" s="642"/>
      <c r="T40" s="642"/>
      <c r="U40" s="642"/>
      <c r="V40" s="642"/>
      <c r="W40" s="642"/>
    </row>
    <row r="41" customHeight="1" spans="1:23">
      <c r="A41"/>
      <c r="B41">
        <f>iIndiRank!O33</f>
        <v>1</v>
      </c>
      <c r="C41">
        <f>IF(B41=0,0,IF($C$14=1,IF(G41&lt;$C$80,1,IF(G41&gt;$C$80,4,2)),IF(G41&lt;Summary!$B$80,1,IF(G41&lt;=Summary!$B$81,2,(IF(G41&lt;=Summary!$B$82,3,4))))))</f>
        <v>4</v>
      </c>
      <c r="D41" s="615"/>
      <c r="E41" s="616">
        <f>iIndiRank!R33</f>
        <v>26</v>
      </c>
      <c r="F41" s="617" t="str">
        <f ca="1">iIndiRank!S33</f>
        <v>Dallas *</v>
      </c>
      <c r="G41" s="618">
        <f>iIndiRank!T33</f>
        <v>78.73</v>
      </c>
      <c r="H41" s="619">
        <f>IF(ISNUMBER(iIndiRank!AA33),ROUND(iIndiRank!AA33,2),"")</f>
        <v>78.73</v>
      </c>
      <c r="I41" s="629" t="str">
        <f t="shared" si="0"/>
        <v>||||||||||||||||||||||||||</v>
      </c>
      <c r="J41" s="630"/>
      <c r="K41" s="635" t="str">
        <f ca="1">IF(iIndiRank!U33=0,"=",iIndiRank!U33)</f>
        <v/>
      </c>
      <c r="L41" s="632" t="b">
        <f ca="1">IF(ISERROR(iIndiRank!V33),"",iIndiRank!V33)</f>
        <v>0</v>
      </c>
      <c r="M41" s="636" t="str">
        <f ca="1">IF(iIndiRank!W33=0,"=",iIndiRank!W33)</f>
        <v/>
      </c>
      <c r="N41" s="634" t="b">
        <f ca="1">IF(ISERROR(iIndiRank!X33),"",iIndiRank!X33)</f>
        <v>0</v>
      </c>
      <c r="O41" s="68"/>
      <c r="Q41" s="642"/>
      <c r="R41" s="642"/>
      <c r="S41" s="642"/>
      <c r="T41" s="642"/>
      <c r="U41" s="642"/>
      <c r="V41" s="642"/>
      <c r="W41" s="642"/>
    </row>
    <row r="42" customHeight="1" spans="1:23">
      <c r="A42"/>
      <c r="B42">
        <f>iIndiRank!O34</f>
        <v>1</v>
      </c>
      <c r="C42">
        <f>IF(B42=0,0,IF($C$14=1,IF(G42&lt;$C$80,1,IF(G42&gt;$C$80,4,2)),IF(G42&lt;Summary!$B$80,1,IF(G42&lt;=Summary!$B$81,2,(IF(G42&lt;=Summary!$B$82,3,4))))))</f>
        <v>4</v>
      </c>
      <c r="D42" s="615"/>
      <c r="E42" s="616">
        <f>iIndiRank!R34</f>
        <v>27</v>
      </c>
      <c r="F42" s="617" t="str">
        <f ca="1">iIndiRank!S34</f>
        <v>Rome</v>
      </c>
      <c r="G42" s="618">
        <f>iIndiRank!T34</f>
        <v>78.67</v>
      </c>
      <c r="H42" s="619">
        <f>IF(ISNUMBER(iIndiRank!AA34),ROUND(iIndiRank!AA34,2),"")</f>
        <v>78.67</v>
      </c>
      <c r="I42" s="629" t="str">
        <f t="shared" si="0"/>
        <v>||||||||||||||||||||||||||</v>
      </c>
      <c r="J42" s="630"/>
      <c r="K42" s="635">
        <f ca="1">IF(iIndiRank!U34=0,"=",iIndiRank!U34)</f>
        <v>8.69</v>
      </c>
      <c r="L42" s="632" t="b">
        <f ca="1">IF(ISERROR(iIndiRank!V34),"",iIndiRank!V34)</f>
        <v>0</v>
      </c>
      <c r="M42" s="636" t="str">
        <f ca="1">IF(iIndiRank!W34=0,"=",iIndiRank!W34)</f>
        <v>=</v>
      </c>
      <c r="N42" s="634" t="b">
        <f ca="1">IF(ISERROR(iIndiRank!X34),"",iIndiRank!X34)</f>
        <v>0</v>
      </c>
      <c r="O42" s="68"/>
      <c r="Q42" s="642"/>
      <c r="R42" s="642"/>
      <c r="S42" s="642"/>
      <c r="T42" s="642"/>
      <c r="U42" s="642"/>
      <c r="V42" s="642"/>
      <c r="W42" s="642"/>
    </row>
    <row r="43" customHeight="1" spans="1:23">
      <c r="A43"/>
      <c r="B43">
        <f>iIndiRank!O35</f>
        <v>1</v>
      </c>
      <c r="C43">
        <f>IF(B43=0,0,IF($C$14=1,IF(G43&lt;$C$80,1,IF(G43&gt;$C$80,4,2)),IF(G43&lt;Summary!$B$80,1,IF(G43&lt;=Summary!$B$81,2,(IF(G43&lt;=Summary!$B$82,3,4))))))</f>
        <v>4</v>
      </c>
      <c r="D43" s="615"/>
      <c r="E43" s="616">
        <f>iIndiRank!R35</f>
        <v>28</v>
      </c>
      <c r="F43" s="617" t="str">
        <f ca="1">iIndiRank!S35</f>
        <v>Abu Dhabi</v>
      </c>
      <c r="G43" s="618">
        <f>iIndiRank!T35</f>
        <v>76.91</v>
      </c>
      <c r="H43" s="619">
        <f>IF(ISNUMBER(iIndiRank!AA35),ROUND(iIndiRank!AA35,2),"")</f>
        <v>76.91</v>
      </c>
      <c r="I43" s="629" t="str">
        <f t="shared" si="0"/>
        <v>|||||||||||||||||||||||||</v>
      </c>
      <c r="J43" s="630"/>
      <c r="K43" s="635">
        <f ca="1">IF(iIndiRank!U35=0,"=",iIndiRank!U35)</f>
        <v>4.18</v>
      </c>
      <c r="L43" s="632" t="b">
        <f ca="1">IF(ISERROR(iIndiRank!V35),"",iIndiRank!V35)</f>
        <v>0</v>
      </c>
      <c r="M43" s="636">
        <f ca="1">IF(iIndiRank!W35=0,"=",iIndiRank!W35)</f>
        <v>-5</v>
      </c>
      <c r="N43" s="634" t="b">
        <f ca="1">IF(ISERROR(iIndiRank!X35),"",iIndiRank!X35)</f>
        <v>0</v>
      </c>
      <c r="O43" s="68"/>
      <c r="Q43" s="642"/>
      <c r="R43" s="642"/>
      <c r="S43" s="642"/>
      <c r="T43" s="642"/>
      <c r="U43" s="642"/>
      <c r="V43" s="642"/>
      <c r="W43" s="642"/>
    </row>
    <row r="44" customHeight="1" spans="1:23">
      <c r="A44"/>
      <c r="B44">
        <f>iIndiRank!O36</f>
        <v>1</v>
      </c>
      <c r="C44">
        <f>IF(B44=0,0,IF($C$14=1,IF(G44&lt;$C$80,1,IF(G44&gt;$C$80,4,2)),IF(G44&lt;Summary!$B$80,1,IF(G44&lt;=Summary!$B$81,2,(IF(G44&lt;=Summary!$B$82,3,4))))))</f>
        <v>4</v>
      </c>
      <c r="D44" s="615"/>
      <c r="E44" s="616">
        <f>iIndiRank!R36</f>
        <v>29</v>
      </c>
      <c r="F44" s="617" t="str">
        <f ca="1">iIndiRank!S36</f>
        <v>Buenos Aires</v>
      </c>
      <c r="G44" s="618">
        <f>iIndiRank!T36</f>
        <v>76.35</v>
      </c>
      <c r="H44" s="619">
        <f>IF(ISNUMBER(iIndiRank!AA36),ROUND(iIndiRank!AA36,2),"")</f>
        <v>76.35</v>
      </c>
      <c r="I44" s="629" t="str">
        <f t="shared" si="0"/>
        <v>|||||||||||||||||||||||||</v>
      </c>
      <c r="J44" s="630"/>
      <c r="K44" s="635">
        <f ca="1">IF(iIndiRank!U36=0,"=",iIndiRank!U36)</f>
        <v>6.33</v>
      </c>
      <c r="L44" s="632" t="b">
        <f ca="1">IF(ISERROR(iIndiRank!V36),"",iIndiRank!V36)</f>
        <v>0</v>
      </c>
      <c r="M44" s="636">
        <f ca="1">IF(iIndiRank!W36=0,"=",iIndiRank!W36)</f>
        <v>-3</v>
      </c>
      <c r="N44" s="634" t="b">
        <f ca="1">IF(ISERROR(iIndiRank!X36),"",iIndiRank!X36)</f>
        <v>0</v>
      </c>
      <c r="O44" s="68"/>
      <c r="Q44" s="642"/>
      <c r="R44" s="642"/>
      <c r="S44" s="642"/>
      <c r="T44" s="642"/>
      <c r="U44" s="642"/>
      <c r="V44" s="642"/>
      <c r="W44" s="642"/>
    </row>
    <row r="45" customHeight="1" spans="1:23">
      <c r="A45"/>
      <c r="B45">
        <f>iIndiRank!O37</f>
        <v>1</v>
      </c>
      <c r="C45">
        <f>IF(B45=0,0,IF($C$14=1,IF(G45&lt;$C$80,1,IF(G45&gt;$C$80,4,2)),IF(G45&lt;Summary!$B$80,1,IF(G45&lt;=Summary!$B$81,2,(IF(G45&lt;=Summary!$B$82,3,4))))))</f>
        <v>3</v>
      </c>
      <c r="D45" s="615"/>
      <c r="E45" s="616">
        <f>iIndiRank!R37</f>
        <v>30</v>
      </c>
      <c r="F45" s="617" t="str">
        <f ca="1">iIndiRank!S37</f>
        <v>Doha</v>
      </c>
      <c r="G45" s="618">
        <f>iIndiRank!T37</f>
        <v>73.59</v>
      </c>
      <c r="H45" s="619">
        <f>IF(ISNUMBER(iIndiRank!AA37),ROUND(iIndiRank!AA37,2),"")</f>
        <v>73.59</v>
      </c>
      <c r="I45" s="629" t="str">
        <f t="shared" si="0"/>
        <v>||||||||||||||||||||||||</v>
      </c>
      <c r="J45" s="630"/>
      <c r="K45" s="635">
        <f ca="1">IF(iIndiRank!U37=0,"=",iIndiRank!U37)</f>
        <v>4.78</v>
      </c>
      <c r="L45" s="632" t="b">
        <f ca="1">IF(ISERROR(iIndiRank!V37),"",iIndiRank!V37)</f>
        <v>0</v>
      </c>
      <c r="M45" s="636">
        <f ca="1">IF(iIndiRank!W37=0,"=",iIndiRank!W37)</f>
        <v>-2</v>
      </c>
      <c r="N45" s="634" t="b">
        <f ca="1">IF(ISERROR(iIndiRank!X37),"",iIndiRank!X37)</f>
        <v>0</v>
      </c>
      <c r="O45" s="68"/>
      <c r="Q45" s="642"/>
      <c r="R45" s="642"/>
      <c r="S45" s="642"/>
      <c r="T45" s="642"/>
      <c r="U45" s="642"/>
      <c r="V45" s="642"/>
      <c r="W45" s="642"/>
    </row>
    <row r="46" customHeight="1" spans="1:23">
      <c r="A46"/>
      <c r="B46">
        <f>iIndiRank!O38</f>
        <v>1</v>
      </c>
      <c r="C46">
        <f>IF(B46=0,0,IF($C$14=1,IF(G46&lt;$C$80,1,IF(G46&gt;$C$80,4,2)),IF(G46&lt;Summary!$B$80,1,IF(G46&lt;=Summary!$B$81,2,(IF(G46&lt;=Summary!$B$82,3,4))))))</f>
        <v>3</v>
      </c>
      <c r="D46" s="615"/>
      <c r="E46" s="616">
        <f>iIndiRank!R38</f>
        <v>31</v>
      </c>
      <c r="F46" s="617" t="str">
        <f ca="1">iIndiRank!S38</f>
        <v>Kuala Lumpur *</v>
      </c>
      <c r="G46" s="618">
        <f>iIndiRank!T38</f>
        <v>73.11</v>
      </c>
      <c r="H46" s="619">
        <f>IF(ISNUMBER(iIndiRank!AA38),ROUND(iIndiRank!AA38,2),"")</f>
        <v>73.11</v>
      </c>
      <c r="I46" s="629" t="str">
        <f t="shared" si="0"/>
        <v>||||||||||||||||||||||||</v>
      </c>
      <c r="J46" s="630"/>
      <c r="K46" s="635" t="str">
        <f ca="1">IF(iIndiRank!U38=0,"=",iIndiRank!U38)</f>
        <v/>
      </c>
      <c r="L46" s="632" t="b">
        <f ca="1">IF(ISERROR(iIndiRank!V38),"",iIndiRank!V38)</f>
        <v>0</v>
      </c>
      <c r="M46" s="636" t="str">
        <f ca="1">IF(iIndiRank!W38=0,"=",iIndiRank!W38)</f>
        <v/>
      </c>
      <c r="N46" s="634" t="b">
        <f ca="1">IF(ISERROR(iIndiRank!X38),"",iIndiRank!X38)</f>
        <v>0</v>
      </c>
      <c r="O46" s="68"/>
      <c r="Q46" s="642"/>
      <c r="R46" s="642"/>
      <c r="S46" s="642"/>
      <c r="T46" s="642"/>
      <c r="U46" s="642"/>
      <c r="V46" s="642"/>
      <c r="W46" s="642"/>
    </row>
    <row r="47" customHeight="1" spans="1:23">
      <c r="A47"/>
      <c r="B47">
        <f>iIndiRank!O39</f>
        <v>1</v>
      </c>
      <c r="C47">
        <f>IF(B47=0,0,IF($C$14=1,IF(G47&lt;$C$80,1,IF(G47&gt;$C$80,4,2)),IF(G47&lt;Summary!$B$80,1,IF(G47&lt;=Summary!$B$81,2,(IF(G47&lt;=Summary!$B$82,3,4))))))</f>
        <v>3</v>
      </c>
      <c r="D47" s="615"/>
      <c r="E47" s="616">
        <f>iIndiRank!R39</f>
        <v>32</v>
      </c>
      <c r="F47" s="617" t="str">
        <f ca="1">iIndiRank!S39</f>
        <v>Beijing</v>
      </c>
      <c r="G47" s="618">
        <f>iIndiRank!T39</f>
        <v>72.06</v>
      </c>
      <c r="H47" s="619">
        <f>IF(ISNUMBER(iIndiRank!AA39),ROUND(iIndiRank!AA39,2),"")</f>
        <v>72.06</v>
      </c>
      <c r="I47" s="629" t="str">
        <f t="shared" si="0"/>
        <v>||||||||||||||||||||||||</v>
      </c>
      <c r="J47" s="630"/>
      <c r="K47" s="635">
        <f ca="1">IF(iIndiRank!U39=0,"=",iIndiRank!U39)</f>
        <v>7.66</v>
      </c>
      <c r="L47" s="632" t="b">
        <f ca="1">IF(ISERROR(iIndiRank!V39),"",iIndiRank!V39)</f>
        <v>0</v>
      </c>
      <c r="M47" s="636" t="str">
        <f ca="1">IF(iIndiRank!W39=0,"=",iIndiRank!W39)</f>
        <v>=</v>
      </c>
      <c r="N47" s="634" t="b">
        <f ca="1">IF(ISERROR(iIndiRank!X39),"",iIndiRank!X39)</f>
        <v>0</v>
      </c>
      <c r="O47" s="68"/>
      <c r="Q47" s="642"/>
      <c r="R47" s="642"/>
      <c r="S47" s="642"/>
      <c r="T47" s="642"/>
      <c r="U47" s="642"/>
      <c r="V47" s="642"/>
      <c r="W47" s="642"/>
    </row>
    <row r="48" customHeight="1" spans="1:23">
      <c r="A48"/>
      <c r="B48">
        <f>iIndiRank!O40</f>
        <v>1</v>
      </c>
      <c r="C48">
        <f>IF(B48=0,0,IF($C$14=1,IF(G48&lt;$C$80,1,IF(G48&gt;$C$80,4,2)),IF(G48&lt;Summary!$B$80,1,IF(G48&lt;=Summary!$B$81,2,(IF(G48&lt;=Summary!$B$82,3,4))))))</f>
        <v>3</v>
      </c>
      <c r="D48" s="615"/>
      <c r="E48" s="616">
        <f>iIndiRank!R40</f>
        <v>33</v>
      </c>
      <c r="F48" s="617" t="str">
        <f ca="1">iIndiRank!S40</f>
        <v>Athens *</v>
      </c>
      <c r="G48" s="618">
        <f>iIndiRank!T40</f>
        <v>71.9</v>
      </c>
      <c r="H48" s="619">
        <f>IF(ISNUMBER(iIndiRank!AA40),ROUND(iIndiRank!AA40,2),"")</f>
        <v>71.9</v>
      </c>
      <c r="I48" s="629" t="str">
        <f t="shared" si="0"/>
        <v>|||||||||||||||||||||||</v>
      </c>
      <c r="J48" s="630"/>
      <c r="K48" s="635" t="str">
        <f ca="1">IF(iIndiRank!U40=0,"=",iIndiRank!U40)</f>
        <v/>
      </c>
      <c r="L48" s="632" t="b">
        <f ca="1">IF(ISERROR(iIndiRank!V40),"",iIndiRank!V40)</f>
        <v>0</v>
      </c>
      <c r="M48" s="636" t="str">
        <f ca="1">IF(iIndiRank!W40=0,"=",iIndiRank!W40)</f>
        <v/>
      </c>
      <c r="N48" s="634" t="b">
        <f ca="1">IF(ISERROR(iIndiRank!X40),"",iIndiRank!X40)</f>
        <v>0</v>
      </c>
      <c r="O48" s="68"/>
      <c r="Q48" s="642"/>
      <c r="R48" s="642"/>
      <c r="S48" s="642"/>
      <c r="T48" s="642"/>
      <c r="U48" s="642"/>
      <c r="V48" s="642"/>
      <c r="W48" s="642"/>
    </row>
    <row r="49" customHeight="1" spans="1:23">
      <c r="A49"/>
      <c r="B49">
        <f>iIndiRank!O41</f>
        <v>1</v>
      </c>
      <c r="C49">
        <f>IF(B49=0,0,IF($C$14=1,IF(G49&lt;$C$80,1,IF(G49&gt;$C$80,4,2)),IF(G49&lt;Summary!$B$80,1,IF(G49&lt;=Summary!$B$81,2,(IF(G49&lt;=Summary!$B$82,3,4))))))</f>
        <v>3</v>
      </c>
      <c r="D49" s="615"/>
      <c r="E49" s="616">
        <f>iIndiRank!R41</f>
        <v>34</v>
      </c>
      <c r="F49" s="617" t="str">
        <f ca="1">iIndiRank!S41</f>
        <v>Shanghai</v>
      </c>
      <c r="G49" s="618">
        <f>iIndiRank!T41</f>
        <v>70.93</v>
      </c>
      <c r="H49" s="619">
        <f>IF(ISNUMBER(iIndiRank!AA41),ROUND(iIndiRank!AA41,2),"")</f>
        <v>70.93</v>
      </c>
      <c r="I49" s="629" t="str">
        <f t="shared" si="0"/>
        <v>|||||||||||||||||||||||</v>
      </c>
      <c r="J49" s="630"/>
      <c r="K49" s="635">
        <f ca="1">IF(iIndiRank!U41=0,"=",iIndiRank!U41)</f>
        <v>4.4</v>
      </c>
      <c r="L49" s="632" t="b">
        <f ca="1">IF(ISERROR(iIndiRank!V41),"",iIndiRank!V41)</f>
        <v>0</v>
      </c>
      <c r="M49" s="636">
        <f ca="1">IF(iIndiRank!W41=0,"=",iIndiRank!W41)</f>
        <v>-4</v>
      </c>
      <c r="N49" s="634" t="b">
        <f ca="1">IF(ISERROR(iIndiRank!X41),"",iIndiRank!X41)</f>
        <v>0</v>
      </c>
      <c r="O49" s="68"/>
      <c r="Q49" s="642"/>
      <c r="R49" s="642"/>
      <c r="S49" s="642"/>
      <c r="T49" s="642"/>
      <c r="U49" s="642"/>
      <c r="V49" s="642"/>
      <c r="W49" s="642"/>
    </row>
    <row r="50" customHeight="1" spans="1:23">
      <c r="A50"/>
      <c r="B50">
        <f>iIndiRank!O42</f>
        <v>1</v>
      </c>
      <c r="C50">
        <f>IF(B50=0,0,IF($C$14=1,IF(G50&lt;$C$80,1,IF(G50&gt;$C$80,4,2)),IF(G50&lt;Summary!$B$80,1,IF(G50&lt;=Summary!$B$81,2,(IF(G50&lt;=Summary!$B$82,3,4))))))</f>
        <v>3</v>
      </c>
      <c r="D50" s="615"/>
      <c r="E50" s="616">
        <f>iIndiRank!R42</f>
        <v>35</v>
      </c>
      <c r="F50" s="617" t="str">
        <f ca="1">iIndiRank!S42</f>
        <v>Santiago</v>
      </c>
      <c r="G50" s="618">
        <f>iIndiRank!T42</f>
        <v>70.03</v>
      </c>
      <c r="H50" s="619">
        <f>IF(ISNUMBER(iIndiRank!AA42),ROUND(iIndiRank!AA42,2),"")</f>
        <v>70.03</v>
      </c>
      <c r="I50" s="629" t="str">
        <f t="shared" si="0"/>
        <v>|||||||||||||||||||||||</v>
      </c>
      <c r="J50" s="630"/>
      <c r="K50" s="635">
        <f ca="1">IF(iIndiRank!U42=0,"=",iIndiRank!U42)</f>
        <v>2.49</v>
      </c>
      <c r="L50" s="632" t="b">
        <f ca="1">IF(ISERROR(iIndiRank!V42),"",iIndiRank!V42)</f>
        <v>0</v>
      </c>
      <c r="M50" s="636">
        <f ca="1">IF(iIndiRank!W42=0,"=",iIndiRank!W42)</f>
        <v>-6</v>
      </c>
      <c r="N50" s="634" t="b">
        <f ca="1">IF(ISERROR(iIndiRank!X42),"",iIndiRank!X42)</f>
        <v>0</v>
      </c>
      <c r="O50" s="68"/>
      <c r="Q50" s="642"/>
      <c r="R50" s="642"/>
      <c r="S50" s="642"/>
      <c r="T50" s="642"/>
      <c r="U50" s="642"/>
      <c r="V50" s="642"/>
      <c r="W50" s="642"/>
    </row>
    <row r="51" customHeight="1" spans="1:23">
      <c r="A51"/>
      <c r="B51">
        <f>iIndiRank!O43</f>
        <v>1</v>
      </c>
      <c r="C51">
        <f>IF(B51=0,0,IF($C$14=1,IF(G51&lt;$C$80,1,IF(G51&gt;$C$80,4,2)),IF(G51&lt;Summary!$B$80,1,IF(G51&lt;=Summary!$B$81,2,(IF(G51&lt;=Summary!$B$82,3,4))))))</f>
        <v>3</v>
      </c>
      <c r="D51" s="615"/>
      <c r="E51" s="616">
        <f>iIndiRank!R43</f>
        <v>36</v>
      </c>
      <c r="F51" s="617" t="str">
        <f ca="1">iIndiRank!S43</f>
        <v>Kuwait City</v>
      </c>
      <c r="G51" s="618">
        <f>iIndiRank!T43</f>
        <v>67.61</v>
      </c>
      <c r="H51" s="619">
        <f>IF(ISNUMBER(iIndiRank!AA43),ROUND(iIndiRank!AA43,2),"")</f>
        <v>67.61</v>
      </c>
      <c r="I51" s="629" t="str">
        <f t="shared" si="0"/>
        <v>||||||||||||||||||||||</v>
      </c>
      <c r="J51" s="630"/>
      <c r="K51" s="635">
        <f ca="1">IF(iIndiRank!U43=0,"=",iIndiRank!U43)</f>
        <v>5.09</v>
      </c>
      <c r="L51" s="632" t="b">
        <f ca="1">IF(ISERROR(iIndiRank!V43),"",iIndiRank!V43)</f>
        <v>0</v>
      </c>
      <c r="M51" s="636">
        <f ca="1">IF(iIndiRank!W43=0,"=",iIndiRank!W43)</f>
        <v>-1</v>
      </c>
      <c r="N51" s="634" t="b">
        <f ca="1">IF(ISERROR(iIndiRank!X43),"",iIndiRank!X43)</f>
        <v>0</v>
      </c>
      <c r="O51" s="68"/>
      <c r="Q51" s="642"/>
      <c r="R51" s="642"/>
      <c r="S51" s="642"/>
      <c r="T51" s="642"/>
      <c r="U51" s="642"/>
      <c r="V51" s="642"/>
      <c r="W51" s="642"/>
    </row>
    <row r="52" customHeight="1" spans="1:23">
      <c r="A52"/>
      <c r="B52">
        <f>iIndiRank!O44</f>
        <v>1</v>
      </c>
      <c r="C52">
        <f>IF(B52=0,0,IF($C$14=1,IF(G52&lt;$C$80,1,IF(G52&gt;$C$80,4,2)),IF(G52&lt;Summary!$B$80,1,IF(G52&lt;=Summary!$B$81,2,(IF(G52&lt;=Summary!$B$82,3,4))))))</f>
        <v>3</v>
      </c>
      <c r="D52" s="615"/>
      <c r="E52" s="616">
        <f>iIndiRank!R44</f>
        <v>37</v>
      </c>
      <c r="F52" s="617" t="str">
        <f ca="1">iIndiRank!S44</f>
        <v>Rio de Janeiro</v>
      </c>
      <c r="G52" s="618">
        <f>iIndiRank!T44</f>
        <v>66.54</v>
      </c>
      <c r="H52" s="619">
        <f>IF(ISNUMBER(iIndiRank!AA44),ROUND(iIndiRank!AA44,2),"")</f>
        <v>66.54</v>
      </c>
      <c r="I52" s="629" t="str">
        <f t="shared" si="0"/>
        <v>||||||||||||||||||||||</v>
      </c>
      <c r="J52" s="630"/>
      <c r="K52" s="635">
        <f ca="1">IF(iIndiRank!U44=0,"=",iIndiRank!U44)</f>
        <v>2.5</v>
      </c>
      <c r="L52" s="632" t="b">
        <f ca="1">IF(ISERROR(iIndiRank!V44),"",iIndiRank!V44)</f>
        <v>0</v>
      </c>
      <c r="M52" s="636">
        <f ca="1">IF(iIndiRank!W44=0,"=",iIndiRank!W44)</f>
        <v>-4</v>
      </c>
      <c r="N52" s="634" t="b">
        <f ca="1">IF(ISERROR(iIndiRank!X44),"",iIndiRank!X44)</f>
        <v>0</v>
      </c>
      <c r="O52" s="68"/>
      <c r="Q52" s="642"/>
      <c r="R52" s="642"/>
      <c r="S52" s="642"/>
      <c r="T52" s="642"/>
      <c r="U52" s="642"/>
      <c r="V52" s="642"/>
      <c r="W52" s="642"/>
    </row>
    <row r="53" customHeight="1" spans="1:23">
      <c r="A53"/>
      <c r="B53">
        <f>iIndiRank!O45</f>
        <v>1</v>
      </c>
      <c r="C53">
        <f>IF(B53=0,0,IF($C$14=1,IF(G53&lt;$C$80,1,IF(G53&gt;$C$80,4,2)),IF(G53&lt;Summary!$B$80,1,IF(G53&lt;=Summary!$B$81,2,(IF(G53&lt;=Summary!$B$82,3,4))))))</f>
        <v>3</v>
      </c>
      <c r="D53" s="615"/>
      <c r="E53" s="616">
        <f>iIndiRank!R45</f>
        <v>38</v>
      </c>
      <c r="F53" s="617" t="str">
        <f ca="1">iIndiRank!S45</f>
        <v>Sao Paulo</v>
      </c>
      <c r="G53" s="618">
        <f>iIndiRank!T45</f>
        <v>66.3</v>
      </c>
      <c r="H53" s="619">
        <f>IF(ISNUMBER(iIndiRank!AA45),ROUND(iIndiRank!AA45,2),"")</f>
        <v>66.3</v>
      </c>
      <c r="I53" s="629" t="str">
        <f t="shared" si="0"/>
        <v>||||||||||||||||||||||</v>
      </c>
      <c r="J53" s="630"/>
      <c r="K53" s="635">
        <f ca="1">IF(iIndiRank!U45=0,"=",iIndiRank!U45)</f>
        <v>3.75</v>
      </c>
      <c r="L53" s="632" t="b">
        <f ca="1">IF(ISERROR(iIndiRank!V45),"",iIndiRank!V45)</f>
        <v>0</v>
      </c>
      <c r="M53" s="636">
        <f ca="1">IF(iIndiRank!W45=0,"=",iIndiRank!W45)</f>
        <v>-4</v>
      </c>
      <c r="N53" s="634" t="b">
        <f ca="1">IF(ISERROR(iIndiRank!X45),"",iIndiRank!X45)</f>
        <v>0</v>
      </c>
      <c r="O53" s="68"/>
      <c r="Q53" s="642"/>
      <c r="R53" s="642"/>
      <c r="S53" s="642"/>
      <c r="T53" s="642"/>
      <c r="U53" s="642"/>
      <c r="V53" s="642"/>
      <c r="W53" s="642"/>
    </row>
    <row r="54" customHeight="1" spans="1:23">
      <c r="A54"/>
      <c r="B54">
        <f>iIndiRank!O46</f>
        <v>1</v>
      </c>
      <c r="C54">
        <f>IF(B54=0,0,IF($C$14=1,IF(G54&lt;$C$80,1,IF(G54&gt;$C$80,4,2)),IF(G54&lt;Summary!$B$80,1,IF(G54&lt;=Summary!$B$81,2,(IF(G54&lt;=Summary!$B$82,3,4))))))</f>
        <v>3</v>
      </c>
      <c r="D54" s="615"/>
      <c r="E54" s="616">
        <f>iIndiRank!R46</f>
        <v>39</v>
      </c>
      <c r="F54" s="617" t="str">
        <f ca="1">iIndiRank!S46</f>
        <v>Mexico City</v>
      </c>
      <c r="G54" s="618">
        <f>iIndiRank!T46</f>
        <v>65.52</v>
      </c>
      <c r="H54" s="619">
        <f>IF(ISNUMBER(iIndiRank!AA46),ROUND(iIndiRank!AA46,2),"")</f>
        <v>65.52</v>
      </c>
      <c r="I54" s="629" t="str">
        <f t="shared" si="0"/>
        <v>|||||||||||||||||||||</v>
      </c>
      <c r="J54" s="630"/>
      <c r="K54" s="635">
        <f ca="1">IF(iIndiRank!U46=0,"=",iIndiRank!U46)</f>
        <v>3.28</v>
      </c>
      <c r="L54" s="632" t="b">
        <f ca="1">IF(ISERROR(iIndiRank!V46),"",iIndiRank!V46)</f>
        <v>0</v>
      </c>
      <c r="M54" s="636">
        <f ca="1">IF(iIndiRank!W46=0,"=",iIndiRank!W46)</f>
        <v>-3</v>
      </c>
      <c r="N54" s="634" t="b">
        <f ca="1">IF(ISERROR(iIndiRank!X46),"",iIndiRank!X46)</f>
        <v>0</v>
      </c>
      <c r="O54" s="68"/>
      <c r="Q54" s="642"/>
      <c r="R54" s="642"/>
      <c r="S54" s="642"/>
      <c r="T54" s="642"/>
      <c r="U54" s="642"/>
      <c r="V54" s="642"/>
      <c r="W54" s="642"/>
    </row>
    <row r="55" customHeight="1" spans="1:23">
      <c r="A55"/>
      <c r="B55">
        <f>iIndiRank!O47</f>
        <v>1</v>
      </c>
      <c r="C55">
        <f>IF(B55=0,0,IF($C$14=1,IF(G55&lt;$C$80,1,IF(G55&gt;$C$80,4,2)),IF(G55&lt;Summary!$B$80,1,IF(G55&lt;=Summary!$B$81,2,(IF(G55&lt;=Summary!$B$82,3,4))))))</f>
        <v>3</v>
      </c>
      <c r="D55" s="615"/>
      <c r="E55" s="616">
        <f>iIndiRank!R47</f>
        <v>40</v>
      </c>
      <c r="F55" s="617" t="str">
        <f ca="1">iIndiRank!S47</f>
        <v>Istanbul</v>
      </c>
      <c r="G55" s="618">
        <f>iIndiRank!T47</f>
        <v>65.23</v>
      </c>
      <c r="H55" s="619">
        <f>IF(ISNUMBER(iIndiRank!AA47),ROUND(iIndiRank!AA47,2),"")</f>
        <v>65.23</v>
      </c>
      <c r="I55" s="629" t="str">
        <f t="shared" si="0"/>
        <v>|||||||||||||||||||||</v>
      </c>
      <c r="J55" s="630"/>
      <c r="K55" s="635">
        <f ca="1">IF(iIndiRank!U47=0,"=",iIndiRank!U47)</f>
        <v>5.42</v>
      </c>
      <c r="L55" s="632" t="b">
        <f ca="1">IF(ISERROR(iIndiRank!V47),"",iIndiRank!V47)</f>
        <v>0</v>
      </c>
      <c r="M55" s="636">
        <f ca="1">IF(iIndiRank!W47=0,"=",iIndiRank!W47)</f>
        <v>-1</v>
      </c>
      <c r="N55" s="634" t="b">
        <f ca="1">IF(ISERROR(iIndiRank!X47),"",iIndiRank!X47)</f>
        <v>0</v>
      </c>
      <c r="O55" s="68"/>
      <c r="Q55" s="642"/>
      <c r="R55" s="642"/>
      <c r="S55" s="642"/>
      <c r="T55" s="642"/>
      <c r="U55" s="642"/>
      <c r="V55" s="642"/>
      <c r="W55" s="642"/>
    </row>
    <row r="56" customHeight="1" spans="1:23">
      <c r="A56"/>
      <c r="B56">
        <f>iIndiRank!O48</f>
        <v>1</v>
      </c>
      <c r="C56">
        <f>IF(B56=0,0,IF($C$14=1,IF(G56&lt;$C$80,1,IF(G56&gt;$C$80,4,2)),IF(G56&lt;Summary!$B$80,1,IF(G56&lt;=Summary!$B$81,2,(IF(G56&lt;=Summary!$B$82,3,4))))))</f>
        <v>3</v>
      </c>
      <c r="D56" s="615"/>
      <c r="E56" s="616">
        <f>iIndiRank!R48</f>
        <v>41</v>
      </c>
      <c r="F56" s="617" t="str">
        <f ca="1">iIndiRank!S48</f>
        <v>Moscow</v>
      </c>
      <c r="G56" s="618">
        <f>iIndiRank!T48</f>
        <v>63.99</v>
      </c>
      <c r="H56" s="619">
        <f>IF(ISNUMBER(iIndiRank!AA48),ROUND(iIndiRank!AA48,2),"")</f>
        <v>63.99</v>
      </c>
      <c r="I56" s="629" t="str">
        <f t="shared" si="0"/>
        <v>|||||||||||||||||||||</v>
      </c>
      <c r="J56" s="630"/>
      <c r="K56" s="635">
        <f ca="1">IF(iIndiRank!U48=0,"=",iIndiRank!U48)</f>
        <v>4.4</v>
      </c>
      <c r="L56" s="632" t="b">
        <f ca="1">IF(ISERROR(iIndiRank!V48),"",iIndiRank!V48)</f>
        <v>0</v>
      </c>
      <c r="M56" s="636">
        <f ca="1">IF(iIndiRank!W48=0,"=",iIndiRank!W48)</f>
        <v>-1</v>
      </c>
      <c r="N56" s="634" t="b">
        <f ca="1">IF(ISERROR(iIndiRank!X48),"",iIndiRank!X48)</f>
        <v>0</v>
      </c>
      <c r="O56" s="68"/>
      <c r="Q56" s="642"/>
      <c r="R56" s="642"/>
      <c r="S56" s="642"/>
      <c r="T56" s="642"/>
      <c r="U56" s="642"/>
      <c r="V56" s="642"/>
      <c r="W56" s="642"/>
    </row>
    <row r="57" customHeight="1" spans="1:23">
      <c r="A57"/>
      <c r="B57">
        <f>iIndiRank!O49</f>
        <v>1</v>
      </c>
      <c r="C57">
        <f>IF(B57=0,0,IF($C$14=1,IF(G57&lt;$C$80,1,IF(G57&gt;$C$80,4,2)),IF(G57&lt;Summary!$B$80,1,IF(G57&lt;=Summary!$B$81,2,(IF(G57&lt;=Summary!$B$82,3,4))))))</f>
        <v>3</v>
      </c>
      <c r="D57" s="615"/>
      <c r="E57" s="616">
        <f>iIndiRank!R49</f>
        <v>42</v>
      </c>
      <c r="F57" s="617" t="str">
        <f ca="1">iIndiRank!S49</f>
        <v>Jeddah *</v>
      </c>
      <c r="G57" s="618">
        <f>iIndiRank!T49</f>
        <v>62.8</v>
      </c>
      <c r="H57" s="619">
        <f>IF(ISNUMBER(iIndiRank!AA49),ROUND(iIndiRank!AA49,2),"")</f>
        <v>62.8</v>
      </c>
      <c r="I57" s="629" t="str">
        <f t="shared" si="0"/>
        <v>||||||||||||||||||||</v>
      </c>
      <c r="J57" s="630"/>
      <c r="K57" s="635" t="str">
        <f ca="1">IF(iIndiRank!U49=0,"=",iIndiRank!U49)</f>
        <v/>
      </c>
      <c r="L57" s="632" t="b">
        <f ca="1">IF(ISERROR(iIndiRank!V49),"",iIndiRank!V49)</f>
        <v>0</v>
      </c>
      <c r="M57" s="636" t="str">
        <f ca="1">IF(iIndiRank!W49=0,"=",iIndiRank!W49)</f>
        <v/>
      </c>
      <c r="N57" s="634" t="b">
        <f ca="1">IF(ISERROR(iIndiRank!X49),"",iIndiRank!X49)</f>
        <v>0</v>
      </c>
      <c r="O57" s="68"/>
      <c r="Q57" s="642"/>
      <c r="R57" s="642"/>
      <c r="S57" s="642"/>
      <c r="T57" s="642"/>
      <c r="U57" s="642"/>
      <c r="V57" s="642"/>
      <c r="W57" s="642"/>
    </row>
    <row r="58" customHeight="1" spans="1:23">
      <c r="A58"/>
      <c r="B58">
        <f>iIndiRank!O50</f>
        <v>1</v>
      </c>
      <c r="C58">
        <f>IF(B58=0,0,IF($C$14=1,IF(G58&lt;$C$80,1,IF(G58&gt;$C$80,4,2)),IF(G58&lt;Summary!$B$80,1,IF(G58&lt;=Summary!$B$81,2,(IF(G58&lt;=Summary!$B$82,3,4))))))</f>
        <v>3</v>
      </c>
      <c r="D58" s="615"/>
      <c r="E58" s="616">
        <f>iIndiRank!R50</f>
        <v>43</v>
      </c>
      <c r="F58" s="617" t="str">
        <f ca="1">iIndiRank!S50</f>
        <v>Delhi</v>
      </c>
      <c r="G58" s="618">
        <f>iIndiRank!T50</f>
        <v>62.34</v>
      </c>
      <c r="H58" s="619">
        <f>IF(ISNUMBER(iIndiRank!AA50),ROUND(iIndiRank!AA50,2),"")</f>
        <v>62.34</v>
      </c>
      <c r="I58" s="629" t="str">
        <f t="shared" si="0"/>
        <v>||||||||||||||||||||</v>
      </c>
      <c r="J58" s="630"/>
      <c r="K58" s="635">
        <f ca="1">IF(iIndiRank!U50=0,"=",iIndiRank!U50)</f>
        <v>0.91</v>
      </c>
      <c r="L58" s="632" t="b">
        <f ca="1">IF(ISERROR(iIndiRank!V50),"",iIndiRank!V50)</f>
        <v>0</v>
      </c>
      <c r="M58" s="636">
        <f ca="1">IF(iIndiRank!W50=0,"=",iIndiRank!W50)</f>
        <v>-6</v>
      </c>
      <c r="N58" s="634" t="b">
        <f ca="1">IF(ISERROR(iIndiRank!X50),"",iIndiRank!X50)</f>
        <v>0</v>
      </c>
      <c r="O58" s="68"/>
      <c r="Q58" s="642"/>
      <c r="R58" s="642"/>
      <c r="S58" s="642"/>
      <c r="T58" s="642"/>
      <c r="U58" s="642"/>
      <c r="V58" s="642"/>
      <c r="W58" s="642"/>
    </row>
    <row r="59" customHeight="1" spans="1:23">
      <c r="A59"/>
      <c r="B59">
        <f>iIndiRank!O51</f>
        <v>1</v>
      </c>
      <c r="C59">
        <f>IF(B59=0,0,IF($C$14=1,IF(G59&lt;$C$80,1,IF(G59&gt;$C$80,4,2)),IF(G59&lt;Summary!$B$80,1,IF(G59&lt;=Summary!$B$81,2,(IF(G59&lt;=Summary!$B$82,3,4))))))</f>
        <v>3</v>
      </c>
      <c r="D59" s="615"/>
      <c r="E59" s="616">
        <f>iIndiRank!R51</f>
        <v>44</v>
      </c>
      <c r="F59" s="617" t="str">
        <f ca="1">iIndiRank!S51</f>
        <v>Lima</v>
      </c>
      <c r="G59" s="618">
        <f>iIndiRank!T51</f>
        <v>61.9</v>
      </c>
      <c r="H59" s="619">
        <f>IF(ISNUMBER(iIndiRank!AA51),ROUND(iIndiRank!AA51,2),"")</f>
        <v>61.9</v>
      </c>
      <c r="I59" s="629" t="str">
        <f t="shared" si="0"/>
        <v>||||||||||||||||||||</v>
      </c>
      <c r="J59" s="630"/>
      <c r="K59" s="635">
        <f ca="1">IF(iIndiRank!U51=0,"=",iIndiRank!U51)</f>
        <v>-3.29</v>
      </c>
      <c r="L59" s="632" t="b">
        <f ca="1">IF(ISERROR(iIndiRank!V51),"",iIndiRank!V51)</f>
        <v>0</v>
      </c>
      <c r="M59" s="636">
        <f ca="1">IF(iIndiRank!W51=0,"=",iIndiRank!W51)</f>
        <v>-13</v>
      </c>
      <c r="N59" s="634" t="b">
        <f ca="1">IF(ISERROR(iIndiRank!X51),"",iIndiRank!X51)</f>
        <v>0</v>
      </c>
      <c r="O59" s="68"/>
      <c r="Q59" s="642"/>
      <c r="R59" s="642"/>
      <c r="S59" s="642"/>
      <c r="T59" s="642"/>
      <c r="U59" s="642"/>
      <c r="V59" s="642"/>
      <c r="W59" s="642"/>
    </row>
    <row r="60" customHeight="1" spans="1:23">
      <c r="A60"/>
      <c r="B60">
        <f>iIndiRank!O52</f>
        <v>1</v>
      </c>
      <c r="C60">
        <f>IF(B60=0,0,IF($C$14=1,IF(G60&lt;$C$80,1,IF(G60&gt;$C$80,4,2)),IF(G60&lt;Summary!$B$80,1,IF(G60&lt;=Summary!$B$81,2,(IF(G60&lt;=Summary!$B$82,3,4))))))</f>
        <v>3</v>
      </c>
      <c r="D60" s="615"/>
      <c r="E60" s="616">
        <f>iIndiRank!R52</f>
        <v>45</v>
      </c>
      <c r="F60" s="617" t="str">
        <f ca="1">iIndiRank!S52</f>
        <v>Mumbai</v>
      </c>
      <c r="G60" s="618">
        <f>iIndiRank!T52</f>
        <v>61.84</v>
      </c>
      <c r="H60" s="619">
        <f>IF(ISNUMBER(iIndiRank!AA52),ROUND(iIndiRank!AA52,2),"")</f>
        <v>61.84</v>
      </c>
      <c r="I60" s="629" t="str">
        <f t="shared" si="0"/>
        <v>||||||||||||||||||||</v>
      </c>
      <c r="J60" s="630"/>
      <c r="K60" s="635">
        <f ca="1">IF(iIndiRank!U52=0,"=",iIndiRank!U52)</f>
        <v>1.87</v>
      </c>
      <c r="L60" s="632" t="b">
        <f ca="1">IF(ISERROR(iIndiRank!V52),"",iIndiRank!V52)</f>
        <v>0</v>
      </c>
      <c r="M60" s="636">
        <f ca="1">IF(iIndiRank!W52=0,"=",iIndiRank!W52)</f>
        <v>-7</v>
      </c>
      <c r="N60" s="634" t="b">
        <f ca="1">IF(ISERROR(iIndiRank!X52),"",iIndiRank!X52)</f>
        <v>0</v>
      </c>
      <c r="O60" s="68"/>
      <c r="Q60" s="642"/>
      <c r="R60" s="642"/>
      <c r="S60" s="642"/>
      <c r="T60" s="642"/>
      <c r="U60" s="642"/>
      <c r="V60" s="642"/>
      <c r="W60" s="642"/>
    </row>
    <row r="61" customHeight="1" spans="1:23">
      <c r="A61"/>
      <c r="B61">
        <f>iIndiRank!O53</f>
        <v>1</v>
      </c>
      <c r="C61">
        <f>IF(B61=0,0,IF($C$14=1,IF(G61&lt;$C$80,1,IF(G61&gt;$C$80,4,2)),IF(G61&lt;Summary!$B$80,1,IF(G61&lt;=Summary!$B$81,2,(IF(G61&lt;=Summary!$B$82,3,4))))))</f>
        <v>3</v>
      </c>
      <c r="D61" s="615"/>
      <c r="E61" s="616">
        <f>iIndiRank!R53</f>
        <v>46</v>
      </c>
      <c r="F61" s="617" t="str">
        <f ca="1">iIndiRank!S53</f>
        <v>Bogota *</v>
      </c>
      <c r="G61" s="618">
        <f>iIndiRank!T53</f>
        <v>61.36</v>
      </c>
      <c r="H61" s="619">
        <f>IF(ISNUMBER(iIndiRank!AA53),ROUND(iIndiRank!AA53,2),"")</f>
        <v>61.36</v>
      </c>
      <c r="I61" s="629" t="str">
        <f t="shared" si="0"/>
        <v>||||||||||||||||||||</v>
      </c>
      <c r="J61" s="630"/>
      <c r="K61" s="635" t="str">
        <f ca="1">IF(iIndiRank!U53=0,"=",iIndiRank!U53)</f>
        <v/>
      </c>
      <c r="L61" s="632" t="b">
        <f ca="1">IF(ISERROR(iIndiRank!V53),"",iIndiRank!V53)</f>
        <v>0</v>
      </c>
      <c r="M61" s="636" t="str">
        <f ca="1">IF(iIndiRank!W53=0,"=",iIndiRank!W53)</f>
        <v/>
      </c>
      <c r="N61" s="634" t="b">
        <f ca="1">IF(ISERROR(iIndiRank!X53),"",iIndiRank!X53)</f>
        <v>0</v>
      </c>
      <c r="O61" s="68"/>
      <c r="Q61" s="642"/>
      <c r="R61" s="642"/>
      <c r="S61" s="642"/>
      <c r="T61" s="642"/>
      <c r="U61" s="642"/>
      <c r="V61" s="642"/>
      <c r="W61" s="642"/>
    </row>
    <row r="62" customHeight="1" spans="1:23">
      <c r="A62"/>
      <c r="B62">
        <f>iIndiRank!O54</f>
        <v>1</v>
      </c>
      <c r="C62">
        <f>IF(B62=0,0,IF($C$14=1,IF(G62&lt;$C$80,1,IF(G62&gt;$C$80,4,2)),IF(G62&lt;Summary!$B$80,1,IF(G62&lt;=Summary!$B$81,2,(IF(G62&lt;=Summary!$B$82,3,4))))))</f>
        <v>3</v>
      </c>
      <c r="D62" s="615"/>
      <c r="E62" s="616">
        <f>iIndiRank!R54</f>
        <v>47</v>
      </c>
      <c r="F62" s="617" t="str">
        <f ca="1">iIndiRank!S54</f>
        <v>Riyadh</v>
      </c>
      <c r="G62" s="618">
        <f>iIndiRank!T54</f>
        <v>61.23</v>
      </c>
      <c r="H62" s="619">
        <f>IF(ISNUMBER(iIndiRank!AA54),ROUND(iIndiRank!AA54,2),"")</f>
        <v>61.23</v>
      </c>
      <c r="I62" s="629" t="str">
        <f t="shared" si="0"/>
        <v>||||||||||||||||||||</v>
      </c>
      <c r="J62" s="630"/>
      <c r="K62" s="637">
        <f ca="1">IF(iIndiRank!U54=0,"=",iIndiRank!U54)</f>
        <v>5.39</v>
      </c>
      <c r="L62" s="632" t="b">
        <f ca="1">IF(ISERROR(iIndiRank!V54),"",iIndiRank!V54)</f>
        <v>0</v>
      </c>
      <c r="M62" s="636">
        <f ca="1">IF(iIndiRank!W54=0,"=",iIndiRank!W54)</f>
        <v>-4</v>
      </c>
      <c r="N62" s="634" t="b">
        <f ca="1">IF(ISERROR(iIndiRank!X54),"",iIndiRank!X54)</f>
        <v>0</v>
      </c>
      <c r="O62" s="68"/>
      <c r="Q62" s="642"/>
      <c r="R62" s="642"/>
      <c r="S62" s="642"/>
      <c r="T62" s="642"/>
      <c r="U62" s="642"/>
      <c r="V62" s="642"/>
      <c r="W62" s="642"/>
    </row>
    <row r="63" customHeight="1" spans="1:23">
      <c r="A63"/>
      <c r="B63">
        <f>iIndiRank!O55</f>
        <v>1</v>
      </c>
      <c r="C63">
        <f>IF(B63=0,0,IF($C$14=1,IF(G63&lt;$C$80,1,IF(G63&gt;$C$80,4,2)),IF(G63&lt;Summary!$B$80,1,IF(G63&lt;=Summary!$B$81,2,(IF(G63&lt;=Summary!$B$82,3,4))))))</f>
        <v>3</v>
      </c>
      <c r="D63" s="615"/>
      <c r="E63" s="616">
        <f>iIndiRank!R55</f>
        <v>48</v>
      </c>
      <c r="F63" s="617" t="str">
        <f ca="1">iIndiRank!S55</f>
        <v>Casablanca *</v>
      </c>
      <c r="G63" s="618">
        <f>iIndiRank!T55</f>
        <v>61.2</v>
      </c>
      <c r="H63" s="619">
        <f>IF(ISNUMBER(iIndiRank!AA55),ROUND(iIndiRank!AA55,2),"")</f>
        <v>61.2</v>
      </c>
      <c r="I63" s="629" t="str">
        <f t="shared" si="0"/>
        <v>||||||||||||||||||||</v>
      </c>
      <c r="J63" s="630"/>
      <c r="K63" s="637" t="str">
        <f ca="1">IF(iIndiRank!U55=0,"=",iIndiRank!U55)</f>
        <v/>
      </c>
      <c r="L63" s="632" t="b">
        <f ca="1">IF(ISERROR(iIndiRank!V55),"",iIndiRank!V55)</f>
        <v>0</v>
      </c>
      <c r="M63" s="636" t="str">
        <f ca="1">IF(iIndiRank!W55=0,"=",iIndiRank!W55)</f>
        <v/>
      </c>
      <c r="N63" s="634" t="b">
        <f ca="1">IF(ISERROR(iIndiRank!X55),"",iIndiRank!X55)</f>
        <v>0</v>
      </c>
      <c r="O63" s="68"/>
      <c r="Q63" s="642"/>
      <c r="R63" s="642"/>
      <c r="S63" s="642"/>
      <c r="T63" s="642"/>
      <c r="U63" s="642"/>
      <c r="V63" s="642"/>
      <c r="W63" s="642"/>
    </row>
    <row r="64" customHeight="1" spans="1:23">
      <c r="A64"/>
      <c r="B64">
        <f>iIndiRank!O56</f>
        <v>1</v>
      </c>
      <c r="C64">
        <f>IF(B64=0,0,IF($C$14=1,IF(G64&lt;$C$80,1,IF(G64&gt;$C$80,4,2)),IF(G64&lt;Summary!$B$80,1,IF(G64&lt;=Summary!$B$81,2,(IF(G64&lt;=Summary!$B$82,3,4))))))</f>
        <v>3</v>
      </c>
      <c r="D64" s="615"/>
      <c r="E64" s="616">
        <f>iIndiRank!R56</f>
        <v>49</v>
      </c>
      <c r="F64" s="617" t="str">
        <f ca="1">iIndiRank!S56</f>
        <v>Bangkok</v>
      </c>
      <c r="G64" s="618">
        <f>iIndiRank!T56</f>
        <v>60.05</v>
      </c>
      <c r="H64" s="619">
        <f>IF(ISNUMBER(iIndiRank!AA56),ROUND(iIndiRank!AA56,2),"")</f>
        <v>60.05</v>
      </c>
      <c r="I64" s="629" t="str">
        <f t="shared" si="0"/>
        <v>||||||||||||||||||||</v>
      </c>
      <c r="J64" s="630"/>
      <c r="K64" s="637">
        <f ca="1">IF(iIndiRank!U56=0,"=",iIndiRank!U56)</f>
        <v>2.57</v>
      </c>
      <c r="L64" s="632" t="b">
        <f ca="1">IF(ISERROR(iIndiRank!V56),"",iIndiRank!V56)</f>
        <v>0</v>
      </c>
      <c r="M64" s="636">
        <f ca="1">IF(iIndiRank!W56=0,"=",iIndiRank!W56)</f>
        <v>-7</v>
      </c>
      <c r="N64" s="634" t="b">
        <f ca="1">IF(ISERROR(iIndiRank!X56),"",iIndiRank!X56)</f>
        <v>0</v>
      </c>
      <c r="O64" s="68"/>
      <c r="Q64" s="642"/>
      <c r="R64" s="642"/>
      <c r="S64" s="642"/>
      <c r="T64" s="642"/>
      <c r="U64" s="642"/>
      <c r="V64" s="642"/>
      <c r="W64" s="642"/>
    </row>
    <row r="65" customHeight="1" spans="1:23">
      <c r="A65"/>
      <c r="B65">
        <f>iIndiRank!O57</f>
        <v>1</v>
      </c>
      <c r="C65">
        <f>IF(B65=0,0,IF($C$14=1,IF(G65&lt;$C$80,1,IF(G65&gt;$C$80,4,2)),IF(G65&lt;Summary!$B$80,1,IF(G65&lt;=Summary!$B$81,2,(IF(G65&lt;=Summary!$B$82,3,4))))))</f>
        <v>3</v>
      </c>
      <c r="D65" s="615"/>
      <c r="E65" s="616">
        <f>iIndiRank!R57</f>
        <v>50</v>
      </c>
      <c r="F65" s="617" t="str">
        <f ca="1">iIndiRank!S57</f>
        <v>Johannesburg</v>
      </c>
      <c r="G65" s="618">
        <f>iIndiRank!T57</f>
        <v>59.17</v>
      </c>
      <c r="H65" s="619">
        <f>IF(ISNUMBER(iIndiRank!AA57),ROUND(iIndiRank!AA57,2),"")</f>
        <v>59.17</v>
      </c>
      <c r="I65" s="629" t="str">
        <f t="shared" si="0"/>
        <v>|||||||||||||||||||</v>
      </c>
      <c r="J65" s="630"/>
      <c r="K65" s="637">
        <f ca="1">IF(iIndiRank!U57=0,"=",iIndiRank!U57)</f>
        <v>-0.15</v>
      </c>
      <c r="L65" s="632" t="b">
        <f ca="1">IF(ISERROR(iIndiRank!V57),"",iIndiRank!V57)</f>
        <v>0</v>
      </c>
      <c r="M65" s="636">
        <f ca="1">IF(iIndiRank!W57=0,"=",iIndiRank!W57)</f>
        <v>-9</v>
      </c>
      <c r="N65" s="634" t="b">
        <f ca="1">IF(ISERROR(iIndiRank!X57),"",iIndiRank!X57)</f>
        <v>0</v>
      </c>
      <c r="O65" s="68"/>
      <c r="Q65" s="642"/>
      <c r="R65" s="642"/>
      <c r="S65" s="642"/>
      <c r="T65" s="642"/>
      <c r="U65" s="642"/>
      <c r="V65" s="642"/>
      <c r="W65" s="642"/>
    </row>
    <row r="66" customHeight="1" spans="1:23">
      <c r="A66"/>
      <c r="B66">
        <f>iIndiRank!O58</f>
        <v>1</v>
      </c>
      <c r="C66">
        <f>IF(B66=0,0,IF($C$14=1,IF(G66&lt;$C$80,1,IF(G66&gt;$C$80,4,2)),IF(G66&lt;Summary!$B$80,1,IF(G66&lt;=Summary!$B$81,2,(IF(G66&lt;=Summary!$B$82,3,4))))))</f>
        <v>3</v>
      </c>
      <c r="D66" s="615"/>
      <c r="E66" s="616">
        <f>iIndiRank!R58</f>
        <v>51</v>
      </c>
      <c r="F66" s="617" t="str">
        <f ca="1">iIndiRank!S58</f>
        <v>Cairo *</v>
      </c>
      <c r="G66" s="618">
        <f>iIndiRank!T58</f>
        <v>58.33</v>
      </c>
      <c r="H66" s="619">
        <f>IF(ISNUMBER(iIndiRank!AA58),ROUND(iIndiRank!AA58,2),"")</f>
        <v>58.33</v>
      </c>
      <c r="I66" s="629" t="str">
        <f t="shared" si="0"/>
        <v>|||||||||||||||||||</v>
      </c>
      <c r="J66" s="630"/>
      <c r="K66" s="637" t="str">
        <f ca="1">IF(iIndiRank!U58=0,"=",iIndiRank!U58)</f>
        <v/>
      </c>
      <c r="L66" s="632" t="b">
        <f ca="1">IF(ISERROR(iIndiRank!V58),"",iIndiRank!V58)</f>
        <v>0</v>
      </c>
      <c r="M66" s="636" t="str">
        <f ca="1">IF(iIndiRank!W58=0,"=",iIndiRank!W58)</f>
        <v/>
      </c>
      <c r="N66" s="634" t="b">
        <f ca="1">IF(ISERROR(iIndiRank!X58),"",iIndiRank!X58)</f>
        <v>0</v>
      </c>
      <c r="O66" s="68"/>
      <c r="Q66" s="642"/>
      <c r="R66" s="642"/>
      <c r="S66" s="642"/>
      <c r="T66" s="642"/>
      <c r="U66" s="642"/>
      <c r="V66" s="642"/>
      <c r="W66" s="642"/>
    </row>
    <row r="67" customHeight="1" spans="1:23">
      <c r="A67"/>
      <c r="B67">
        <f>iIndiRank!O59</f>
        <v>1</v>
      </c>
      <c r="C67">
        <f>IF(B67=0,0,IF($C$14=1,IF(G67&lt;$C$80,1,IF(G67&gt;$C$80,4,2)),IF(G67&lt;Summary!$B$80,1,IF(G67&lt;=Summary!$B$81,2,(IF(G67&lt;=Summary!$B$82,3,4))))))</f>
        <v>3</v>
      </c>
      <c r="D67" s="615"/>
      <c r="E67" s="616">
        <f>iIndiRank!R59</f>
        <v>52</v>
      </c>
      <c r="F67" s="617" t="str">
        <f ca="1">iIndiRank!S59</f>
        <v>Tehran</v>
      </c>
      <c r="G67" s="618">
        <f>iIndiRank!T59</f>
        <v>56.49</v>
      </c>
      <c r="H67" s="619">
        <f>IF(ISNUMBER(iIndiRank!AA59),ROUND(iIndiRank!AA59,2),"")</f>
        <v>56.49</v>
      </c>
      <c r="I67" s="629" t="str">
        <f t="shared" si="0"/>
        <v>||||||||||||||||||</v>
      </c>
      <c r="J67" s="630"/>
      <c r="K67" s="637">
        <f ca="1">IF(iIndiRank!U59=0,"=",iIndiRank!U59)</f>
        <v>2.91</v>
      </c>
      <c r="L67" s="632" t="b">
        <f ca="1">IF(ISERROR(iIndiRank!V59),"",iIndiRank!V59)</f>
        <v>0</v>
      </c>
      <c r="M67" s="636">
        <f ca="1">IF(iIndiRank!W59=0,"=",iIndiRank!W59)</f>
        <v>-7</v>
      </c>
      <c r="N67" s="634" t="b">
        <f ca="1">IF(ISERROR(iIndiRank!X59),"",iIndiRank!X59)</f>
        <v>0</v>
      </c>
      <c r="O67" s="68"/>
      <c r="Q67" s="642"/>
      <c r="R67" s="642"/>
      <c r="S67" s="642"/>
      <c r="T67" s="642"/>
      <c r="U67" s="642"/>
      <c r="V67" s="642"/>
      <c r="W67" s="642"/>
    </row>
    <row r="68" customHeight="1" spans="1:23">
      <c r="A68"/>
      <c r="B68">
        <f>iIndiRank!O60</f>
        <v>1</v>
      </c>
      <c r="C68">
        <f>IF(B68=0,0,IF($C$14=1,IF(G68&lt;$C$80,1,IF(G68&gt;$C$80,4,2)),IF(G68&lt;Summary!$B$80,1,IF(G68&lt;=Summary!$B$81,2,(IF(G68&lt;=Summary!$B$82,3,4))))))</f>
        <v>3</v>
      </c>
      <c r="D68" s="615"/>
      <c r="E68" s="616">
        <f>iIndiRank!R60</f>
        <v>53</v>
      </c>
      <c r="F68" s="617" t="str">
        <f ca="1">iIndiRank!S60</f>
        <v>Quito *</v>
      </c>
      <c r="G68" s="618">
        <f>iIndiRank!T60</f>
        <v>56.39</v>
      </c>
      <c r="H68" s="619">
        <f>IF(ISNUMBER(iIndiRank!AA60),ROUND(iIndiRank!AA60,2),"")</f>
        <v>56.39</v>
      </c>
      <c r="I68" s="629" t="str">
        <f t="shared" si="0"/>
        <v>||||||||||||||||||</v>
      </c>
      <c r="J68" s="630"/>
      <c r="K68" s="637" t="str">
        <f ca="1">IF(iIndiRank!U60=0,"=",iIndiRank!U60)</f>
        <v/>
      </c>
      <c r="L68" s="632" t="b">
        <f ca="1">IF(ISERROR(iIndiRank!V60),"",iIndiRank!V60)</f>
        <v>0</v>
      </c>
      <c r="M68" s="636" t="str">
        <f ca="1">IF(iIndiRank!W60=0,"=",iIndiRank!W60)</f>
        <v/>
      </c>
      <c r="N68" s="634" t="b">
        <f ca="1">IF(ISERROR(iIndiRank!X60),"",iIndiRank!X60)</f>
        <v>0</v>
      </c>
      <c r="O68" s="68"/>
      <c r="Q68" s="642"/>
      <c r="R68" s="642"/>
      <c r="S68" s="642"/>
      <c r="T68" s="642"/>
      <c r="U68" s="642"/>
      <c r="V68" s="642"/>
      <c r="W68" s="642"/>
    </row>
    <row r="69" customHeight="1" spans="1:23">
      <c r="A69"/>
      <c r="B69">
        <f>iIndiRank!O61</f>
        <v>1</v>
      </c>
      <c r="C69">
        <f>IF(B69=0,0,IF($C$14=1,IF(G69&lt;$C$80,1,IF(G69&gt;$C$80,4,2)),IF(G69&lt;Summary!$B$80,1,IF(G69&lt;=Summary!$B$81,2,(IF(G69&lt;=Summary!$B$82,3,4))))))</f>
        <v>3</v>
      </c>
      <c r="D69" s="615"/>
      <c r="E69" s="616">
        <f>iIndiRank!R61</f>
        <v>54</v>
      </c>
      <c r="F69" s="617" t="str">
        <f ca="1">iIndiRank!S61</f>
        <v>Caracas *</v>
      </c>
      <c r="G69" s="618">
        <f>iIndiRank!T61</f>
        <v>55.22</v>
      </c>
      <c r="H69" s="619">
        <f>IF(ISNUMBER(iIndiRank!AA61),ROUND(iIndiRank!AA61,2),"")</f>
        <v>55.22</v>
      </c>
      <c r="I69" s="629" t="str">
        <f t="shared" si="0"/>
        <v>||||||||||||||||||</v>
      </c>
      <c r="J69" s="630"/>
      <c r="K69" s="637" t="str">
        <f ca="1">IF(iIndiRank!U61=0,"=",iIndiRank!U61)</f>
        <v/>
      </c>
      <c r="L69" s="632" t="b">
        <f ca="1">IF(ISERROR(iIndiRank!V61),"",iIndiRank!V61)</f>
        <v>0</v>
      </c>
      <c r="M69" s="636" t="str">
        <f ca="1">IF(iIndiRank!W61=0,"=",iIndiRank!W61)</f>
        <v/>
      </c>
      <c r="N69" s="634" t="b">
        <f ca="1">IF(ISERROR(iIndiRank!X61),"",iIndiRank!X61)</f>
        <v>0</v>
      </c>
      <c r="O69" s="68"/>
      <c r="Q69" s="642"/>
      <c r="R69" s="642"/>
      <c r="S69" s="642"/>
      <c r="T69" s="642"/>
      <c r="U69" s="642"/>
      <c r="V69" s="642"/>
      <c r="W69" s="642"/>
    </row>
    <row r="70" customHeight="1" spans="1:23">
      <c r="A70"/>
      <c r="B70">
        <f>iIndiRank!O62</f>
        <v>1</v>
      </c>
      <c r="C70">
        <f>IF(B70=0,0,IF($C$14=1,IF(G70&lt;$C$80,1,IF(G70&gt;$C$80,4,2)),IF(G70&lt;Summary!$B$80,1,IF(G70&lt;=Summary!$B$81,2,(IF(G70&lt;=Summary!$B$82,3,4))))))</f>
        <v>3</v>
      </c>
      <c r="D70" s="615"/>
      <c r="E70" s="616">
        <f>iIndiRank!R62</f>
        <v>55</v>
      </c>
      <c r="F70" s="617" t="str">
        <f ca="1">iIndiRank!S62</f>
        <v>Manila *</v>
      </c>
      <c r="G70" s="618">
        <f>iIndiRank!T62</f>
        <v>54.86</v>
      </c>
      <c r="H70" s="619">
        <f>IF(ISNUMBER(iIndiRank!AA62),ROUND(iIndiRank!AA62,2),"")</f>
        <v>54.86</v>
      </c>
      <c r="I70" s="629" t="str">
        <f t="shared" si="0"/>
        <v>||||||||||||||||||</v>
      </c>
      <c r="J70" s="630"/>
      <c r="K70" s="637" t="str">
        <f ca="1">IF(iIndiRank!U62=0,"=",iIndiRank!U62)</f>
        <v/>
      </c>
      <c r="L70" s="632" t="b">
        <f ca="1">IF(ISERROR(iIndiRank!V62),"",iIndiRank!V62)</f>
        <v>0</v>
      </c>
      <c r="M70" s="636" t="str">
        <f ca="1">IF(iIndiRank!W62=0,"=",iIndiRank!W62)</f>
        <v/>
      </c>
      <c r="N70" s="634" t="b">
        <f ca="1">IF(ISERROR(iIndiRank!X62),"",iIndiRank!X62)</f>
        <v>0</v>
      </c>
      <c r="O70" s="68"/>
      <c r="Q70" s="642"/>
      <c r="R70" s="642"/>
      <c r="S70" s="642"/>
      <c r="T70" s="642"/>
      <c r="U70" s="642"/>
      <c r="V70" s="642"/>
      <c r="W70" s="642"/>
    </row>
    <row r="71" customHeight="1" spans="1:23">
      <c r="A71"/>
      <c r="B71">
        <f>iIndiRank!O63</f>
        <v>1</v>
      </c>
      <c r="C71">
        <f>IF(B71=0,0,IF($C$14=1,IF(G71&lt;$C$80,1,IF(G71&gt;$C$80,4,2)),IF(G71&lt;Summary!$B$80,1,IF(G71&lt;=Summary!$B$81,2,(IF(G71&lt;=Summary!$B$82,3,4))))))</f>
        <v>3</v>
      </c>
      <c r="D71" s="615"/>
      <c r="E71" s="616">
        <f>iIndiRank!R63</f>
        <v>56</v>
      </c>
      <c r="F71" s="617" t="str">
        <f ca="1">iIndiRank!S63</f>
        <v>Ho Chi Minh City</v>
      </c>
      <c r="G71" s="618">
        <f>iIndiRank!T63</f>
        <v>54.33</v>
      </c>
      <c r="H71" s="619">
        <f>IF(ISNUMBER(iIndiRank!AA63),ROUND(iIndiRank!AA63,2),"")</f>
        <v>54.33</v>
      </c>
      <c r="I71" s="629" t="str">
        <f t="shared" si="0"/>
        <v>||||||||||||||||||</v>
      </c>
      <c r="J71" s="630"/>
      <c r="K71" s="637">
        <f ca="1">IF(iIndiRank!U63=0,"=",iIndiRank!U63)</f>
        <v>1.26</v>
      </c>
      <c r="L71" s="632" t="b">
        <f ca="1">IF(ISERROR(iIndiRank!V63),"",iIndiRank!V63)</f>
        <v>0</v>
      </c>
      <c r="M71" s="636">
        <f ca="1">IF(iIndiRank!W63=0,"=",iIndiRank!W63)</f>
        <v>-10</v>
      </c>
      <c r="N71" s="634" t="b">
        <f ca="1">IF(ISERROR(iIndiRank!X63),"",iIndiRank!X63)</f>
        <v>0</v>
      </c>
      <c r="O71" s="68"/>
      <c r="Q71" s="642"/>
      <c r="R71" s="642"/>
      <c r="S71" s="642"/>
      <c r="T71" s="642"/>
      <c r="U71" s="642"/>
      <c r="V71" s="642"/>
      <c r="W71" s="642"/>
    </row>
    <row r="72" customHeight="1" spans="1:23">
      <c r="A72"/>
      <c r="B72">
        <f>iIndiRank!O64</f>
        <v>1</v>
      </c>
      <c r="C72">
        <f>IF(B72=0,0,IF($C$14=1,IF(G72&lt;$C$80,1,IF(G72&gt;$C$80,4,2)),IF(G72&lt;Summary!$B$80,1,IF(G72&lt;=Summary!$B$81,2,(IF(G72&lt;=Summary!$B$82,3,4))))))</f>
        <v>3</v>
      </c>
      <c r="D72" s="615"/>
      <c r="E72" s="616">
        <f>iIndiRank!R64</f>
        <v>57</v>
      </c>
      <c r="F72" s="617" t="str">
        <f ca="1">iIndiRank!S64</f>
        <v>Jakarta</v>
      </c>
      <c r="G72" s="618">
        <f>iIndiRank!T64</f>
        <v>53.39</v>
      </c>
      <c r="H72" s="619">
        <f>IF(ISNUMBER(iIndiRank!AA64),ROUND(iIndiRank!AA64,2),"")</f>
        <v>53.39</v>
      </c>
      <c r="I72" s="629" t="str">
        <f t="shared" si="0"/>
        <v>|||||||||||||||||</v>
      </c>
      <c r="J72" s="630"/>
      <c r="K72" s="637">
        <f ca="1">IF(iIndiRank!U64=0,"=",iIndiRank!U64)</f>
        <v>-1.11</v>
      </c>
      <c r="L72" s="632" t="b">
        <f ca="1">IF(ISERROR(iIndiRank!V64),"",iIndiRank!V64)</f>
        <v>0</v>
      </c>
      <c r="M72" s="636">
        <f ca="1">IF(iIndiRank!W64=0,"=",iIndiRank!W64)</f>
        <v>-13</v>
      </c>
      <c r="N72" s="634" t="b">
        <f ca="1">IF(ISERROR(iIndiRank!X64),"",iIndiRank!X64)</f>
        <v>0</v>
      </c>
      <c r="O72" s="68"/>
      <c r="Q72" s="642"/>
      <c r="R72" s="642"/>
      <c r="S72" s="642"/>
      <c r="T72" s="642"/>
      <c r="U72" s="642"/>
      <c r="V72" s="642"/>
      <c r="W72" s="642"/>
    </row>
    <row r="73" customHeight="1" spans="1:23">
      <c r="A73"/>
      <c r="B73">
        <f>iIndiRank!O65</f>
        <v>1</v>
      </c>
      <c r="C73">
        <f>IF(B73=0,0,IF($C$14=1,IF(G73&lt;$C$80,1,IF(G73&gt;$C$80,4,2)),IF(G73&lt;Summary!$B$80,1,IF(G73&lt;=Summary!$B$81,2,(IF(G73&lt;=Summary!$B$82,3,4))))))</f>
        <v>2</v>
      </c>
      <c r="D73" s="615"/>
      <c r="E73" s="616">
        <f>iIndiRank!R65</f>
        <v>58</v>
      </c>
      <c r="F73" s="617" t="str">
        <f ca="1">iIndiRank!S65</f>
        <v>Dhaka *</v>
      </c>
      <c r="G73" s="618">
        <f>iIndiRank!T65</f>
        <v>47.37</v>
      </c>
      <c r="H73" s="619">
        <f>IF(ISNUMBER(iIndiRank!AA65),ROUND(iIndiRank!AA65,2),"")</f>
        <v>47.37</v>
      </c>
      <c r="I73" s="629" t="str">
        <f t="shared" si="0"/>
        <v>|||||||||||||||</v>
      </c>
      <c r="J73" s="630"/>
      <c r="K73" s="637" t="str">
        <f ca="1">IF(iIndiRank!U65=0,"=",iIndiRank!U65)</f>
        <v/>
      </c>
      <c r="L73" s="632" t="b">
        <f ca="1">IF(ISERROR(iIndiRank!V65),"",iIndiRank!V65)</f>
        <v>0</v>
      </c>
      <c r="M73" s="636" t="str">
        <f ca="1">IF(iIndiRank!W65=0,"=",iIndiRank!W65)</f>
        <v/>
      </c>
      <c r="N73" s="634" t="b">
        <f ca="1">IF(ISERROR(iIndiRank!X65),"",iIndiRank!X65)</f>
        <v>0</v>
      </c>
      <c r="O73" s="68"/>
      <c r="Q73" s="642"/>
      <c r="R73" s="642"/>
      <c r="S73" s="642"/>
      <c r="T73" s="642"/>
      <c r="U73" s="642"/>
      <c r="V73" s="642"/>
      <c r="W73" s="642"/>
    </row>
    <row r="74" customHeight="1" spans="1:23">
      <c r="A74"/>
      <c r="B74">
        <f>iIndiRank!O66</f>
        <v>1</v>
      </c>
      <c r="C74">
        <f>IF(B74=0,0,IF($C$14=1,IF(G74&lt;$C$80,1,IF(G74&gt;$C$80,4,2)),IF(G74&lt;Summary!$B$80,1,IF(G74&lt;=Summary!$B$81,2,(IF(G74&lt;=Summary!$B$82,3,4))))))</f>
        <v>2</v>
      </c>
      <c r="D74" s="615"/>
      <c r="E74" s="616">
        <f>iIndiRank!R66</f>
        <v>59</v>
      </c>
      <c r="F74" s="617" t="str">
        <f ca="1">iIndiRank!S66</f>
        <v>Yangon *</v>
      </c>
      <c r="G74" s="618">
        <f>iIndiRank!T66</f>
        <v>46.47</v>
      </c>
      <c r="H74" s="619">
        <f>IF(ISNUMBER(iIndiRank!AA66),ROUND(iIndiRank!AA66,2),"")</f>
        <v>46.47</v>
      </c>
      <c r="I74" s="629" t="str">
        <f t="shared" si="0"/>
        <v>|||||||||||||||</v>
      </c>
      <c r="J74" s="630"/>
      <c r="K74" s="637" t="str">
        <f ca="1">IF(iIndiRank!U66=0,"=",iIndiRank!U66)</f>
        <v/>
      </c>
      <c r="L74" s="632" t="b">
        <f ca="1">IF(ISERROR(iIndiRank!V66),"",iIndiRank!V66)</f>
        <v>0</v>
      </c>
      <c r="M74" s="636" t="str">
        <f ca="1">IF(iIndiRank!W66=0,"=",iIndiRank!W66)</f>
        <v/>
      </c>
      <c r="N74" s="634" t="b">
        <f ca="1">IF(ISERROR(iIndiRank!X66),"",iIndiRank!X66)</f>
        <v>0</v>
      </c>
      <c r="O74" s="68"/>
      <c r="Q74" s="642"/>
      <c r="R74" s="642"/>
      <c r="S74" s="642"/>
      <c r="T74" s="642"/>
      <c r="U74" s="642"/>
      <c r="V74" s="642"/>
      <c r="W74" s="642"/>
    </row>
    <row r="75" customHeight="1" spans="1:23">
      <c r="A75"/>
      <c r="B75">
        <f>iIndiRank!O67</f>
        <v>1</v>
      </c>
      <c r="C75">
        <f>IF(B75=0,0,IF($C$14=1,IF(G75&lt;$C$80,1,IF(G75&gt;$C$80,4,2)),IF(G75&lt;Summary!$B$80,1,IF(G75&lt;=Summary!$B$81,2,(IF(G75&lt;=Summary!$B$82,3,4))))))</f>
        <v>2</v>
      </c>
      <c r="D75" s="615"/>
      <c r="E75" s="616">
        <f>iIndiRank!R67</f>
        <v>60</v>
      </c>
      <c r="F75" s="617" t="str">
        <f ca="1">iIndiRank!S67</f>
        <v>Karachi *</v>
      </c>
      <c r="G75" s="618">
        <f>iIndiRank!T67</f>
        <v>38.77</v>
      </c>
      <c r="H75" s="619">
        <f>IF(ISNUMBER(iIndiRank!AA67),ROUND(iIndiRank!AA67,2),"")</f>
        <v>38.77</v>
      </c>
      <c r="I75" s="629" t="str">
        <f t="shared" si="0"/>
        <v>||||||||||||</v>
      </c>
      <c r="J75" s="630"/>
      <c r="K75" s="637" t="str">
        <f ca="1">IF(iIndiRank!U67=0,"=",iIndiRank!U67)</f>
        <v/>
      </c>
      <c r="L75" s="632" t="b">
        <f ca="1">IF(ISERROR(iIndiRank!V67),"",iIndiRank!V67)</f>
        <v>0</v>
      </c>
      <c r="M75" s="636" t="str">
        <f ca="1">IF(iIndiRank!W67=0,"=",iIndiRank!W67)</f>
        <v/>
      </c>
      <c r="N75" s="634" t="b">
        <f ca="1">IF(ISERROR(iIndiRank!X67),"",iIndiRank!X67)</f>
        <v>0</v>
      </c>
      <c r="O75" s="68"/>
      <c r="Q75" s="642"/>
      <c r="R75" s="642"/>
      <c r="S75" s="642"/>
      <c r="T75" s="642"/>
      <c r="U75" s="642"/>
      <c r="V75" s="642"/>
      <c r="W75" s="642"/>
    </row>
    <row r="76" customHeight="1" spans="1:23">
      <c r="A76"/>
      <c r="B76">
        <f>iIndiRank!O68</f>
        <v>0</v>
      </c>
      <c r="C76">
        <f>IF(B76=0,0,IF($C$14=1,IF(G76&lt;$C$80,1,IF(G76&gt;$C$80,4,2)),IF(G76&lt;Summary!$B$80,1,IF(G76&lt;=Summary!$B$81,2,(IF(G76&lt;=Summary!$B$82,3,4))))))</f>
        <v>0</v>
      </c>
      <c r="D76" s="615"/>
      <c r="E76" s="616" t="str">
        <f>iIndiRank!R68</f>
        <v/>
      </c>
      <c r="F76" s="617" t="str">
        <f ca="1">iIndiRank!S68</f>
        <v/>
      </c>
      <c r="G76" s="618" t="str">
        <f>iIndiRank!T68</f>
        <v/>
      </c>
      <c r="H76" s="619" t="str">
        <f>IF(ISNUMBER(iIndiRank!AA68),ROUND(iIndiRank!AA68,2),"")</f>
        <v/>
      </c>
      <c r="I76" s="629" t="str">
        <f t="shared" si="0"/>
        <v/>
      </c>
      <c r="J76" s="630"/>
      <c r="K76" s="637" t="str">
        <f ca="1">IF(iIndiRank!U68=0,"=",iIndiRank!U68)</f>
        <v/>
      </c>
      <c r="L76" s="632" t="b">
        <f ca="1">IF(ISERROR(iIndiRank!V68),"",iIndiRank!V68)</f>
        <v>0</v>
      </c>
      <c r="M76" s="636" t="str">
        <f ca="1">IF(iIndiRank!W68=0,"=",iIndiRank!W68)</f>
        <v/>
      </c>
      <c r="N76" s="634" t="b">
        <f ca="1">IF(ISERROR(iIndiRank!X68),"",iIndiRank!X68)</f>
        <v>0</v>
      </c>
      <c r="O76" s="68"/>
      <c r="Q76" s="642"/>
      <c r="R76" s="642"/>
      <c r="S76" s="642"/>
      <c r="T76" s="642"/>
      <c r="U76" s="642"/>
      <c r="V76" s="642"/>
      <c r="W76" s="642"/>
    </row>
    <row r="77" customHeight="1" spans="2:23">
      <c r="B77" s="645"/>
      <c r="C77" s="645"/>
      <c r="D77" s="646"/>
      <c r="E77" s="616"/>
      <c r="F77" s="617"/>
      <c r="G77" s="618"/>
      <c r="H77" s="647"/>
      <c r="I77" s="629"/>
      <c r="J77" s="630"/>
      <c r="K77" s="637"/>
      <c r="L77" s="649"/>
      <c r="M77" s="636"/>
      <c r="N77" s="650"/>
      <c r="O77" s="68"/>
      <c r="Q77" s="642"/>
      <c r="R77" s="642"/>
      <c r="S77" s="642"/>
      <c r="T77" s="642"/>
      <c r="U77" s="642"/>
      <c r="V77" s="642"/>
      <c r="W77" s="642"/>
    </row>
    <row r="80" spans="3:3">
      <c r="C80" s="648">
        <f>Summary!C80</f>
        <v>1</v>
      </c>
    </row>
    <row r="81" s="70" customFormat="1" ht="12.75" spans="11:14">
      <c r="K81" s="651"/>
      <c r="L81" s="651"/>
      <c r="M81" s="652"/>
      <c r="N81" s="651"/>
    </row>
  </sheetData>
  <sheetProtection password="A0BB" sheet="1" objects="1" scenarios="1"/>
  <mergeCells count="4">
    <mergeCell ref="E3:T3"/>
    <mergeCell ref="Q15:W32"/>
    <mergeCell ref="K13:N14"/>
    <mergeCell ref="D13:H14"/>
  </mergeCells>
  <conditionalFormatting sqref="D77">
    <cfRule type="expression" dxfId="3" priority="12">
      <formula>C77=4</formula>
    </cfRule>
    <cfRule type="expression" dxfId="4" priority="13">
      <formula>C77=3</formula>
    </cfRule>
    <cfRule type="expression" dxfId="5" priority="14">
      <formula>C77=2</formula>
    </cfRule>
    <cfRule type="expression" dxfId="6" priority="15">
      <formula>C77=1</formula>
    </cfRule>
  </conditionalFormatting>
  <conditionalFormatting sqref="E77:N77">
    <cfRule type="expression" dxfId="7" priority="16">
      <formula>$B77=3</formula>
    </cfRule>
    <cfRule type="expression" dxfId="8" priority="17">
      <formula>$B77=0</formula>
    </cfRule>
    <cfRule type="expression" dxfId="11" priority="18">
      <formula>AND($B77=1,uxb_works!$B$8&gt;1)</formula>
    </cfRule>
  </conditionalFormatting>
  <conditionalFormatting sqref="D16:D76">
    <cfRule type="expression" dxfId="3" priority="3">
      <formula>C16=4</formula>
    </cfRule>
    <cfRule type="expression" dxfId="4" priority="4">
      <formula>C16=3</formula>
    </cfRule>
    <cfRule type="expression" dxfId="5" priority="5">
      <formula>C16=2</formula>
    </cfRule>
    <cfRule type="expression" dxfId="6" priority="6">
      <formula>C16=1</formula>
    </cfRule>
  </conditionalFormatting>
  <conditionalFormatting sqref="E16:N76">
    <cfRule type="expression" dxfId="7" priority="7">
      <formula>$B16=3</formula>
    </cfRule>
    <cfRule type="expression" dxfId="8" priority="8">
      <formula>$B16=0</formula>
    </cfRule>
    <cfRule type="expression" dxfId="11" priority="9">
      <formula>AND($B16&lt;&gt;2,uxb_works!$B$8&gt;1)</formula>
    </cfRule>
  </conditionalFormatting>
  <conditionalFormatting sqref="N16:N76 L16:L76">
    <cfRule type="expression" dxfId="1" priority="1">
      <formula>K16&gt;0</formula>
    </cfRule>
    <cfRule type="expression" dxfId="2" priority="2">
      <formula>K16&lt;0</formula>
    </cfRule>
  </conditionalFormatting>
  <conditionalFormatting sqref="L77 N77">
    <cfRule type="expression" dxfId="1" priority="10">
      <formula>K77&gt;0</formula>
    </cfRule>
    <cfRule type="expression" dxfId="2" priority="11">
      <formula>K77&lt;0</formula>
    </cfRule>
  </conditionalFormatting>
  <pageMargins left="0.551181102362205" right="0.551181102362205" top="0.590551181102362" bottom="0.78740157480315" header="0.511811023622047" footer="0.511811023622047"/>
  <pageSetup paperSize="9" scale="24" orientation="landscape" horizontalDpi="1200" verticalDpi="1200"/>
  <headerFooter alignWithMargins="0">
    <oddHeader>&amp;RSafe Cities Index : 2017</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3294599" name="Drop Down 7" r:id="rId3">
              <controlPr print="0" defaultSize="0">
                <anchor>
                  <from>
                    <xdr:col>0</xdr:col>
                    <xdr:colOff>104140</xdr:colOff>
                    <xdr:row>2</xdr:row>
                    <xdr:rowOff>618490</xdr:rowOff>
                  </from>
                  <to>
                    <xdr:col>5</xdr:col>
                    <xdr:colOff>948690</xdr:colOff>
                    <xdr:row>2</xdr:row>
                    <xdr:rowOff>831850</xdr:rowOff>
                  </to>
                </anchor>
              </controlPr>
            </control>
          </mc:Choice>
        </mc:AlternateContent>
        <mc:AlternateContent xmlns:mc="http://schemas.openxmlformats.org/markup-compatibility/2006">
          <mc:Choice Requires="x14">
            <control shapeId="13294601" name="cnt_indicator" r:id="rId4">
              <controlPr print="0" defaultSize="0">
                <anchor>
                  <from>
                    <xdr:col>8</xdr:col>
                    <xdr:colOff>679450</xdr:colOff>
                    <xdr:row>2</xdr:row>
                    <xdr:rowOff>618490</xdr:rowOff>
                  </from>
                  <to>
                    <xdr:col>17</xdr:col>
                    <xdr:colOff>363855</xdr:colOff>
                    <xdr:row>2</xdr:row>
                    <xdr:rowOff>831850</xdr:rowOff>
                  </to>
                </anchor>
              </controlPr>
            </control>
          </mc:Choice>
        </mc:AlternateContent>
        <mc:AlternateContent xmlns:mc="http://schemas.openxmlformats.org/markup-compatibility/2006">
          <mc:Choice Requires="x14">
            <control shapeId="13294602" name="Button 10" r:id="rId5">
              <controlPr print="0" defaultSize="0">
                <anchor>
                  <from>
                    <xdr:col>21</xdr:col>
                    <xdr:colOff>101600</xdr:colOff>
                    <xdr:row>4</xdr:row>
                    <xdr:rowOff>133350</xdr:rowOff>
                  </from>
                  <to>
                    <xdr:col>22</xdr:col>
                    <xdr:colOff>177800</xdr:colOff>
                    <xdr:row>7</xdr:row>
                    <xdr:rowOff>154940</xdr:rowOff>
                  </to>
                </anchor>
              </controlPr>
            </control>
          </mc:Choice>
        </mc:AlternateContent>
        <mc:AlternateContent xmlns:mc="http://schemas.openxmlformats.org/markup-compatibility/2006">
          <mc:Choice Requires="x14">
            <control shapeId="13294603" name="Drop Down 11" r:id="rId6">
              <controlPr print="0" defaultSize="0">
                <anchor>
                  <from>
                    <xdr:col>18</xdr:col>
                    <xdr:colOff>407035</xdr:colOff>
                    <xdr:row>2</xdr:row>
                    <xdr:rowOff>618490</xdr:rowOff>
                  </from>
                  <to>
                    <xdr:col>18</xdr:col>
                    <xdr:colOff>1818640</xdr:colOff>
                    <xdr:row>2</xdr:row>
                    <xdr:rowOff>831850</xdr:rowOff>
                  </to>
                </anchor>
              </controlPr>
            </control>
          </mc:Choice>
        </mc:AlternateContent>
        <mc:AlternateContent xmlns:mc="http://schemas.openxmlformats.org/markup-compatibility/2006">
          <mc:Choice Requires="x14">
            <control shapeId="13294604" name="Drop Down 12" r:id="rId7">
              <controlPr print="0" defaultSize="0">
                <anchor>
                  <from>
                    <xdr:col>18</xdr:col>
                    <xdr:colOff>2283460</xdr:colOff>
                    <xdr:row>2</xdr:row>
                    <xdr:rowOff>618490</xdr:rowOff>
                  </from>
                  <to>
                    <xdr:col>20</xdr:col>
                    <xdr:colOff>654685</xdr:colOff>
                    <xdr:row>2</xdr:row>
                    <xdr:rowOff>831850</xdr:rowOff>
                  </to>
                </anchor>
              </controlPr>
            </control>
          </mc:Choice>
        </mc:AlternateContent>
        <mc:AlternateContent xmlns:mc="http://schemas.openxmlformats.org/markup-compatibility/2006">
          <mc:Choice Requires="x14">
            <control shapeId="13294606" name="Drop Down 14" r:id="rId8">
              <controlPr print="0" defaultSize="0">
                <anchor>
                  <from>
                    <xdr:col>18</xdr:col>
                    <xdr:colOff>407035</xdr:colOff>
                    <xdr:row>3</xdr:row>
                    <xdr:rowOff>275590</xdr:rowOff>
                  </from>
                  <to>
                    <xdr:col>18</xdr:col>
                    <xdr:colOff>2046605</xdr:colOff>
                    <xdr:row>3</xdr:row>
                    <xdr:rowOff>488950</xdr:rowOff>
                  </to>
                </anchor>
              </controlPr>
            </control>
          </mc:Choice>
        </mc:AlternateContent>
        <mc:AlternateContent xmlns:mc="http://schemas.openxmlformats.org/markup-compatibility/2006">
          <mc:Choice Requires="x14">
            <control shapeId="13294607" name="Drop Down 15" r:id="rId9">
              <controlPr print="0" defaultSize="0">
                <anchor>
                  <from>
                    <xdr:col>18</xdr:col>
                    <xdr:colOff>2283460</xdr:colOff>
                    <xdr:row>3</xdr:row>
                    <xdr:rowOff>275590</xdr:rowOff>
                  </from>
                  <to>
                    <xdr:col>20</xdr:col>
                    <xdr:colOff>645160</xdr:colOff>
                    <xdr:row>3</xdr:row>
                    <xdr:rowOff>488950</xdr:rowOff>
                  </to>
                </anchor>
              </controlPr>
            </control>
          </mc:Choice>
        </mc:AlternateContent>
        <mc:AlternateContent xmlns:mc="http://schemas.openxmlformats.org/markup-compatibility/2006">
          <mc:Choice Requires="x14">
            <control shapeId="13294600" name="Check Box 8" r:id="rId10">
              <controlPr print="0" defaultSize="0">
                <anchor moveWithCells="1">
                  <from>
                    <xdr:col>0</xdr:col>
                    <xdr:colOff>104775</xdr:colOff>
                    <xdr:row>2</xdr:row>
                    <xdr:rowOff>872490</xdr:rowOff>
                  </from>
                  <to>
                    <xdr:col>4</xdr:col>
                    <xdr:colOff>276860</xdr:colOff>
                    <xdr:row>3</xdr:row>
                    <xdr:rowOff>193675</xdr:rowOff>
                  </to>
                </anchor>
              </controlPr>
            </control>
          </mc:Choice>
        </mc:AlternateContent>
        <mc:AlternateContent xmlns:mc="http://schemas.openxmlformats.org/markup-compatibility/2006">
          <mc:Choice Requires="x14">
            <control shapeId="13294610" name="Drop Down 18" r:id="rId11">
              <controlPr print="0" defaultSize="0">
                <anchor>
                  <from>
                    <xdr:col>20</xdr:col>
                    <xdr:colOff>835025</xdr:colOff>
                    <xdr:row>3</xdr:row>
                    <xdr:rowOff>275590</xdr:rowOff>
                  </from>
                  <to>
                    <xdr:col>22</xdr:col>
                    <xdr:colOff>158750</xdr:colOff>
                    <xdr:row>3</xdr:row>
                    <xdr:rowOff>488950</xdr:rowOff>
                  </to>
                </anchor>
              </controlPr>
            </control>
          </mc:Choice>
        </mc:AlternateContent>
        <mc:AlternateContent xmlns:mc="http://schemas.openxmlformats.org/markup-compatibility/2006">
          <mc:Choice Requires="x14">
            <control shapeId="13294605" name="Drop Down 13" r:id="rId12">
              <controlPr print="0" defaultSize="0">
                <anchor>
                  <from>
                    <xdr:col>20</xdr:col>
                    <xdr:colOff>828675</xdr:colOff>
                    <xdr:row>2</xdr:row>
                    <xdr:rowOff>618490</xdr:rowOff>
                  </from>
                  <to>
                    <xdr:col>22</xdr:col>
                    <xdr:colOff>434340</xdr:colOff>
                    <xdr:row>2</xdr:row>
                    <xdr:rowOff>819150</xdr:rowOff>
                  </to>
                </anchor>
              </controlPr>
            </control>
          </mc:Choice>
        </mc:AlternateContent>
        <mc:AlternateContent xmlns:mc="http://schemas.openxmlformats.org/markup-compatibility/2006">
          <mc:Choice Requires="x14">
            <control shapeId="13294609" name="Drop Down 17" r:id="rId13">
              <controlPr print="0" defaultSize="0">
                <anchor>
                  <from>
                    <xdr:col>5</xdr:col>
                    <xdr:colOff>1057275</xdr:colOff>
                    <xdr:row>2</xdr:row>
                    <xdr:rowOff>618490</xdr:rowOff>
                  </from>
                  <to>
                    <xdr:col>8</xdr:col>
                    <xdr:colOff>561975</xdr:colOff>
                    <xdr:row>2</xdr:row>
                    <xdr:rowOff>828675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FFC000"/>
    <pageSetUpPr fitToPage="1"/>
  </sheetPr>
  <dimension ref="A1:CW168"/>
  <sheetViews>
    <sheetView showGridLines="0" showRowColHeaders="0" zoomScale="90" zoomScaleNormal="90" topLeftCell="A4" workbookViewId="0">
      <pane xSplit="8" ySplit="5" topLeftCell="I9" activePane="bottomRight" state="frozen"/>
      <selection/>
      <selection pane="topRight"/>
      <selection pane="bottomLeft"/>
      <selection pane="bottomRight" activeCell="A1" sqref="A1"/>
    </sheetView>
  </sheetViews>
  <sheetFormatPr defaultColWidth="9" defaultRowHeight="15"/>
  <cols>
    <col min="1" max="1" width="10.8571428571429" style="116" customWidth="1"/>
    <col min="2" max="4" width="10.8571428571429" style="117" customWidth="1"/>
    <col min="5" max="7" width="10.8571428571429" style="118" customWidth="1"/>
    <col min="8" max="8" width="78.4285714285714" style="119" customWidth="1"/>
    <col min="9" max="9" width="43.8571428571429" style="119" customWidth="1"/>
    <col min="10" max="70" width="14.7142857142857" style="120" customWidth="1"/>
    <col min="71" max="71" width="9.14285714285714" style="115"/>
    <col min="72" max="76" width="9" style="115" hidden="1" customWidth="1"/>
    <col min="77" max="78" width="9.14285714285714" style="115" hidden="1" customWidth="1"/>
    <col min="79" max="80" width="9.14285714285714" style="115"/>
    <col min="81" max="91" width="9" style="120" hidden="1" customWidth="1"/>
    <col min="92" max="94" width="9.14285714285714" style="120" hidden="1" customWidth="1"/>
    <col min="95" max="124" width="9" style="120" hidden="1" customWidth="1"/>
    <col min="125" max="16384" width="9.14285714285714" style="120"/>
  </cols>
  <sheetData>
    <row r="1" s="64" customFormat="1" ht="28.5" customHeight="1" spans="2:80">
      <c r="B1" s="121"/>
      <c r="D1" s="79"/>
      <c r="H1" s="79" t="str">
        <f>uxb_works!$B$90</f>
        <v>Safe Cities Index: 2017</v>
      </c>
      <c r="I1" s="134"/>
      <c r="CA1" s="77"/>
      <c r="CB1" s="77"/>
    </row>
    <row r="2" s="64" customFormat="1" ht="28.5" customHeight="1" spans="1:70">
      <c r="A2" s="122"/>
      <c r="B2" s="82"/>
      <c r="C2" s="82"/>
      <c r="D2" s="82"/>
      <c r="E2" s="82"/>
      <c r="F2" s="82"/>
      <c r="G2" s="82"/>
      <c r="H2" s="82"/>
      <c r="I2" s="135"/>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row>
    <row r="3" s="65" customFormat="1" ht="71.1" customHeight="1" spans="1:70">
      <c r="A3" s="85"/>
      <c r="B3" s="85"/>
      <c r="C3" s="85"/>
      <c r="D3" s="85"/>
      <c r="E3" s="85"/>
      <c r="F3" s="85"/>
      <c r="G3" s="85"/>
      <c r="H3" s="85"/>
      <c r="I3" s="136"/>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row>
    <row r="4" ht="23.25" customHeight="1" spans="8:80">
      <c r="H4" s="123"/>
      <c r="I4" s="137">
        <v>0</v>
      </c>
      <c r="J4" s="138">
        <f>I4+1</f>
        <v>1</v>
      </c>
      <c r="K4" s="138">
        <f t="shared" ref="K4:AI4" si="0">J4+1</f>
        <v>2</v>
      </c>
      <c r="L4" s="138">
        <f t="shared" si="0"/>
        <v>3</v>
      </c>
      <c r="M4" s="138">
        <f t="shared" si="0"/>
        <v>4</v>
      </c>
      <c r="N4" s="138">
        <f t="shared" si="0"/>
        <v>5</v>
      </c>
      <c r="O4" s="138">
        <f t="shared" si="0"/>
        <v>6</v>
      </c>
      <c r="P4" s="138">
        <f t="shared" si="0"/>
        <v>7</v>
      </c>
      <c r="Q4" s="138">
        <f t="shared" si="0"/>
        <v>8</v>
      </c>
      <c r="R4" s="138">
        <f t="shared" si="0"/>
        <v>9</v>
      </c>
      <c r="S4" s="138">
        <f t="shared" si="0"/>
        <v>10</v>
      </c>
      <c r="T4" s="138">
        <f t="shared" si="0"/>
        <v>11</v>
      </c>
      <c r="U4" s="138">
        <f t="shared" si="0"/>
        <v>12</v>
      </c>
      <c r="V4" s="138">
        <f t="shared" si="0"/>
        <v>13</v>
      </c>
      <c r="W4" s="138">
        <f t="shared" si="0"/>
        <v>14</v>
      </c>
      <c r="X4" s="138">
        <f t="shared" si="0"/>
        <v>15</v>
      </c>
      <c r="Y4" s="138">
        <f t="shared" si="0"/>
        <v>16</v>
      </c>
      <c r="Z4" s="138">
        <f t="shared" si="0"/>
        <v>17</v>
      </c>
      <c r="AA4" s="138">
        <f t="shared" si="0"/>
        <v>18</v>
      </c>
      <c r="AB4" s="138">
        <f t="shared" si="0"/>
        <v>19</v>
      </c>
      <c r="AC4" s="138">
        <f t="shared" si="0"/>
        <v>20</v>
      </c>
      <c r="AD4" s="138">
        <f t="shared" si="0"/>
        <v>21</v>
      </c>
      <c r="AE4" s="138">
        <f t="shared" si="0"/>
        <v>22</v>
      </c>
      <c r="AF4" s="138">
        <f t="shared" si="0"/>
        <v>23</v>
      </c>
      <c r="AG4" s="138">
        <f t="shared" si="0"/>
        <v>24</v>
      </c>
      <c r="AH4" s="138">
        <f t="shared" si="0"/>
        <v>25</v>
      </c>
      <c r="AI4" s="138">
        <f t="shared" si="0"/>
        <v>26</v>
      </c>
      <c r="AJ4" s="138">
        <f t="shared" ref="AJ4" si="1">AI4+1</f>
        <v>27</v>
      </c>
      <c r="AK4" s="138">
        <f t="shared" ref="AK4" si="2">AJ4+1</f>
        <v>28</v>
      </c>
      <c r="AL4" s="138">
        <f t="shared" ref="AL4" si="3">AK4+1</f>
        <v>29</v>
      </c>
      <c r="AM4" s="138">
        <f t="shared" ref="AM4" si="4">AL4+1</f>
        <v>30</v>
      </c>
      <c r="AN4" s="138">
        <f t="shared" ref="AN4" si="5">AM4+1</f>
        <v>31</v>
      </c>
      <c r="AO4" s="138">
        <f t="shared" ref="AO4" si="6">AN4+1</f>
        <v>32</v>
      </c>
      <c r="AP4" s="138">
        <f t="shared" ref="AP4" si="7">AO4+1</f>
        <v>33</v>
      </c>
      <c r="AQ4" s="138">
        <f t="shared" ref="AQ4" si="8">AP4+1</f>
        <v>34</v>
      </c>
      <c r="AR4" s="138">
        <f t="shared" ref="AR4" si="9">AQ4+1</f>
        <v>35</v>
      </c>
      <c r="AS4" s="138">
        <f t="shared" ref="AS4" si="10">AR4+1</f>
        <v>36</v>
      </c>
      <c r="AT4" s="138">
        <f t="shared" ref="AT4" si="11">AS4+1</f>
        <v>37</v>
      </c>
      <c r="AU4" s="138">
        <f t="shared" ref="AU4" si="12">AT4+1</f>
        <v>38</v>
      </c>
      <c r="AV4" s="138">
        <f t="shared" ref="AV4" si="13">AU4+1</f>
        <v>39</v>
      </c>
      <c r="AW4" s="138">
        <f t="shared" ref="AW4" si="14">AV4+1</f>
        <v>40</v>
      </c>
      <c r="AX4" s="138">
        <f t="shared" ref="AX4" si="15">AW4+1</f>
        <v>41</v>
      </c>
      <c r="AY4" s="138">
        <f t="shared" ref="AY4" si="16">AX4+1</f>
        <v>42</v>
      </c>
      <c r="AZ4" s="138">
        <f t="shared" ref="AZ4" si="17">AY4+1</f>
        <v>43</v>
      </c>
      <c r="BA4" s="138">
        <f t="shared" ref="BA4" si="18">AZ4+1</f>
        <v>44</v>
      </c>
      <c r="BB4" s="138">
        <f t="shared" ref="BB4" si="19">BA4+1</f>
        <v>45</v>
      </c>
      <c r="BC4" s="138">
        <f t="shared" ref="BC4" si="20">BB4+1</f>
        <v>46</v>
      </c>
      <c r="BD4" s="138">
        <f t="shared" ref="BD4" si="21">BC4+1</f>
        <v>47</v>
      </c>
      <c r="BE4" s="138">
        <f t="shared" ref="BE4" si="22">BD4+1</f>
        <v>48</v>
      </c>
      <c r="BF4" s="138">
        <f t="shared" ref="BF4" si="23">BE4+1</f>
        <v>49</v>
      </c>
      <c r="BG4" s="138">
        <f t="shared" ref="BG4" si="24">BF4+1</f>
        <v>50</v>
      </c>
      <c r="BH4" s="138">
        <f t="shared" ref="BH4" si="25">BG4+1</f>
        <v>51</v>
      </c>
      <c r="BI4" s="138">
        <f t="shared" ref="BI4" si="26">BH4+1</f>
        <v>52</v>
      </c>
      <c r="BJ4" s="138">
        <f t="shared" ref="BJ4" si="27">BI4+1</f>
        <v>53</v>
      </c>
      <c r="BK4" s="138">
        <f t="shared" ref="BK4" si="28">BJ4+1</f>
        <v>54</v>
      </c>
      <c r="BL4" s="138">
        <f t="shared" ref="BL4" si="29">BK4+1</f>
        <v>55</v>
      </c>
      <c r="BM4" s="138">
        <f t="shared" ref="BM4" si="30">BL4+1</f>
        <v>56</v>
      </c>
      <c r="BN4" s="138">
        <f t="shared" ref="BN4" si="31">BM4+1</f>
        <v>57</v>
      </c>
      <c r="BO4" s="138">
        <f t="shared" ref="BO4" si="32">BN4+1</f>
        <v>58</v>
      </c>
      <c r="BP4" s="138">
        <f t="shared" ref="BP4" si="33">BO4+1</f>
        <v>59</v>
      </c>
      <c r="BQ4" s="138">
        <f t="shared" ref="BQ4" si="34">BP4+1</f>
        <v>60</v>
      </c>
      <c r="BR4" s="138">
        <f t="shared" ref="BR4" si="35">BQ4+1</f>
        <v>61</v>
      </c>
      <c r="BS4" s="151"/>
      <c r="BT4" s="151"/>
      <c r="BU4" s="151"/>
      <c r="BV4" s="151"/>
      <c r="BW4" s="151"/>
      <c r="BX4" s="151"/>
      <c r="BY4" s="151"/>
      <c r="BZ4" s="151"/>
      <c r="CA4" s="151"/>
      <c r="CB4" s="151"/>
    </row>
    <row r="5" s="111" customFormat="1" ht="50.1" customHeight="1" spans="1:80">
      <c r="A5" s="124"/>
      <c r="B5" s="125" t="str">
        <f>tblIndicators!A1</f>
        <v>ID</v>
      </c>
      <c r="C5" s="125" t="str">
        <f>tblIndicators!B1</f>
        <v>IS_BG</v>
      </c>
      <c r="D5" s="125" t="s">
        <v>158</v>
      </c>
      <c r="E5" s="126" t="str">
        <f>tblIndicators!E1</f>
        <v>PARENT_CODE</v>
      </c>
      <c r="F5" s="126" t="s">
        <v>159</v>
      </c>
      <c r="G5" s="127" t="str">
        <f>tblIndicators!Z1</f>
        <v>NORM_ID (1=sumproduct, 2=min max set by data values, 2=min max set by user here)</v>
      </c>
      <c r="H5" s="128" t="s">
        <v>97</v>
      </c>
      <c r="I5" s="139" t="s">
        <v>12</v>
      </c>
      <c r="J5" s="140" t="str">
        <f>INDEX(Cities_list!$T$4:$T$64,J4)</f>
        <v>Abu Dhabi</v>
      </c>
      <c r="K5" s="140" t="str">
        <f>INDEX(Cities_list!$T$4:$T$64,K4)</f>
        <v>Amsterdam</v>
      </c>
      <c r="L5" s="140" t="str">
        <f>INDEX(Cities_list!$T$4:$T$64,L4)</f>
        <v>Athens</v>
      </c>
      <c r="M5" s="140" t="str">
        <f>INDEX(Cities_list!$T$4:$T$64,M4)</f>
        <v>Bangkok</v>
      </c>
      <c r="N5" s="140" t="str">
        <f>INDEX(Cities_list!$T$4:$T$64,N4)</f>
        <v>Barcelona</v>
      </c>
      <c r="O5" s="140" t="str">
        <f>INDEX(Cities_list!$T$4:$T$64,O4)</f>
        <v>Beijing</v>
      </c>
      <c r="P5" s="140" t="str">
        <f>INDEX(Cities_list!$T$4:$T$64,P4)</f>
        <v>Bogota</v>
      </c>
      <c r="Q5" s="140" t="str">
        <f>INDEX(Cities_list!$T$4:$T$64,Q4)</f>
        <v>Brussels</v>
      </c>
      <c r="R5" s="140" t="str">
        <f>INDEX(Cities_list!$T$4:$T$64,R4)</f>
        <v>Buenos Aires</v>
      </c>
      <c r="S5" s="140" t="str">
        <f>INDEX(Cities_list!$T$4:$T$64,S4)</f>
        <v>Cairo</v>
      </c>
      <c r="T5" s="140" t="str">
        <f>INDEX(Cities_list!$T$4:$T$64,T4)</f>
        <v>Caracas</v>
      </c>
      <c r="U5" s="140" t="str">
        <f>INDEX(Cities_list!$T$4:$T$64,U4)</f>
        <v>Casablanca</v>
      </c>
      <c r="V5" s="140" t="str">
        <f>INDEX(Cities_list!$T$4:$T$64,V4)</f>
        <v>Chicago</v>
      </c>
      <c r="W5" s="140" t="str">
        <f>INDEX(Cities_list!$T$4:$T$64,W4)</f>
        <v>Dallas</v>
      </c>
      <c r="X5" s="140" t="str">
        <f>INDEX(Cities_list!$T$4:$T$64,X4)</f>
        <v>Delhi</v>
      </c>
      <c r="Y5" s="140" t="str">
        <f>INDEX(Cities_list!$T$4:$T$64,Y4)</f>
        <v>Dhaka</v>
      </c>
      <c r="Z5" s="140" t="str">
        <f>INDEX(Cities_list!$T$4:$T$64,Z4)</f>
        <v>Doha</v>
      </c>
      <c r="AA5" s="140" t="str">
        <f>INDEX(Cities_list!$T$4:$T$64,AA4)</f>
        <v>Frankfurt</v>
      </c>
      <c r="AB5" s="140" t="str">
        <f>INDEX(Cities_list!$T$4:$T$64,AB4)</f>
        <v>Ho Chi Minh City</v>
      </c>
      <c r="AC5" s="140" t="str">
        <f>INDEX(Cities_list!$T$4:$T$64,AC4)</f>
        <v>Hong Kong</v>
      </c>
      <c r="AD5" s="140" t="str">
        <f>INDEX(Cities_list!$T$4:$T$64,AD4)</f>
        <v>Istanbul</v>
      </c>
      <c r="AE5" s="140" t="str">
        <f>INDEX(Cities_list!$T$4:$T$64,AE4)</f>
        <v>Jakarta</v>
      </c>
      <c r="AF5" s="140" t="str">
        <f>INDEX(Cities_list!$T$4:$T$64,AF4)</f>
        <v>Jeddah</v>
      </c>
      <c r="AG5" s="140" t="str">
        <f>INDEX(Cities_list!$T$4:$T$64,AG4)</f>
        <v>Johannesburg</v>
      </c>
      <c r="AH5" s="140" t="str">
        <f>INDEX(Cities_list!$T$4:$T$64,AH4)</f>
        <v>Karachi</v>
      </c>
      <c r="AI5" s="140" t="str">
        <f>INDEX(Cities_list!$T$4:$T$64,AI4)</f>
        <v>Kuala Lumpur</v>
      </c>
      <c r="AJ5" s="140" t="str">
        <f>INDEX(Cities_list!$T$4:$T$64,AJ4)</f>
        <v>Kuwait City</v>
      </c>
      <c r="AK5" s="140" t="str">
        <f>INDEX(Cities_list!$T$4:$T$64,AK4)</f>
        <v>Lima</v>
      </c>
      <c r="AL5" s="140" t="str">
        <f>INDEX(Cities_list!$T$4:$T$64,AL4)</f>
        <v>London</v>
      </c>
      <c r="AM5" s="140" t="str">
        <f>INDEX(Cities_list!$T$4:$T$64,AM4)</f>
        <v>Los Angeles</v>
      </c>
      <c r="AN5" s="140" t="str">
        <f>INDEX(Cities_list!$T$4:$T$64,AN4)</f>
        <v>Madrid</v>
      </c>
      <c r="AO5" s="140" t="str">
        <f>INDEX(Cities_list!$T$4:$T$64,AO4)</f>
        <v>Manila</v>
      </c>
      <c r="AP5" s="140" t="str">
        <f>INDEX(Cities_list!$T$4:$T$64,AP4)</f>
        <v>Melbourne</v>
      </c>
      <c r="AQ5" s="140" t="str">
        <f>INDEX(Cities_list!$T$4:$T$64,AQ4)</f>
        <v>Mexico City</v>
      </c>
      <c r="AR5" s="140" t="str">
        <f>INDEX(Cities_list!$T$4:$T$64,AR4)</f>
        <v>Milan</v>
      </c>
      <c r="AS5" s="140" t="str">
        <f>INDEX(Cities_list!$T$4:$T$64,AS4)</f>
        <v>Moscow</v>
      </c>
      <c r="AT5" s="140" t="str">
        <f>INDEX(Cities_list!$T$4:$T$64,AT4)</f>
        <v>Mumbai</v>
      </c>
      <c r="AU5" s="140" t="str">
        <f>INDEX(Cities_list!$T$4:$T$64,AU4)</f>
        <v>New York</v>
      </c>
      <c r="AV5" s="140" t="str">
        <f>INDEX(Cities_list!$T$4:$T$64,AV4)</f>
        <v>Osaka</v>
      </c>
      <c r="AW5" s="140" t="str">
        <f>INDEX(Cities_list!$T$4:$T$64,AW4)</f>
        <v>Paris</v>
      </c>
      <c r="AX5" s="140" t="str">
        <f>INDEX(Cities_list!$T$4:$T$64,AX4)</f>
        <v>Quito</v>
      </c>
      <c r="AY5" s="140" t="str">
        <f>INDEX(Cities_list!$T$4:$T$64,AY4)</f>
        <v>Rio de Janeiro</v>
      </c>
      <c r="AZ5" s="140" t="str">
        <f>INDEX(Cities_list!$T$4:$T$64,AZ4)</f>
        <v>Riyadh</v>
      </c>
      <c r="BA5" s="140" t="str">
        <f>INDEX(Cities_list!$T$4:$T$64,BA4)</f>
        <v>Rome</v>
      </c>
      <c r="BB5" s="140" t="str">
        <f>INDEX(Cities_list!$T$4:$T$64,BB4)</f>
        <v>San Francisco</v>
      </c>
      <c r="BC5" s="140" t="str">
        <f>INDEX(Cities_list!$T$4:$T$64,BC4)</f>
        <v>Santiago</v>
      </c>
      <c r="BD5" s="140" t="str">
        <f>INDEX(Cities_list!$T$4:$T$64,BD4)</f>
        <v>Sao Paulo</v>
      </c>
      <c r="BE5" s="140" t="str">
        <f>INDEX(Cities_list!$T$4:$T$64,BE4)</f>
        <v>Seoul</v>
      </c>
      <c r="BF5" s="140" t="str">
        <f>INDEX(Cities_list!$T$4:$T$64,BF4)</f>
        <v>Shanghai</v>
      </c>
      <c r="BG5" s="140" t="str">
        <f>INDEX(Cities_list!$T$4:$T$64,BG4)</f>
        <v>Singapore</v>
      </c>
      <c r="BH5" s="140" t="str">
        <f>INDEX(Cities_list!$T$4:$T$64,BH4)</f>
        <v>Stockholm</v>
      </c>
      <c r="BI5" s="140" t="str">
        <f>INDEX(Cities_list!$T$4:$T$64,BI4)</f>
        <v>Sydney</v>
      </c>
      <c r="BJ5" s="140" t="str">
        <f>INDEX(Cities_list!$T$4:$T$64,BJ4)</f>
        <v>Taipei</v>
      </c>
      <c r="BK5" s="140" t="str">
        <f>INDEX(Cities_list!$T$4:$T$64,BK4)</f>
        <v>Tehran</v>
      </c>
      <c r="BL5" s="140" t="str">
        <f>INDEX(Cities_list!$T$4:$T$64,BL4)</f>
        <v>Tokyo</v>
      </c>
      <c r="BM5" s="140" t="str">
        <f>INDEX(Cities_list!$T$4:$T$64,BM4)</f>
        <v>Toronto</v>
      </c>
      <c r="BN5" s="140" t="str">
        <f>INDEX(Cities_list!$T$4:$T$64,BN4)</f>
        <v>Washington DC</v>
      </c>
      <c r="BO5" s="140" t="str">
        <f>INDEX(Cities_list!$T$4:$T$64,BO4)</f>
        <v>Wellington</v>
      </c>
      <c r="BP5" s="140" t="str">
        <f>INDEX(Cities_list!$T$4:$T$64,BP4)</f>
        <v>Yangon</v>
      </c>
      <c r="BQ5" s="140" t="str">
        <f>INDEX(Cities_list!$T$4:$T$64,BQ4)</f>
        <v>Zurich</v>
      </c>
      <c r="BR5" s="140" t="str">
        <f>INDEX(Cities_list!$T$4:$T$64,BR4)</f>
        <v>Kyoto</v>
      </c>
      <c r="BS5" s="152"/>
      <c r="BT5" s="152"/>
      <c r="BU5" s="152"/>
      <c r="BV5" s="152"/>
      <c r="BW5" s="152"/>
      <c r="BX5" s="152"/>
      <c r="BY5" s="152"/>
      <c r="BZ5" s="152"/>
      <c r="CA5" s="152"/>
      <c r="CB5" s="152"/>
    </row>
    <row r="6" s="112" customFormat="1" ht="30" customHeight="1" spans="1:70">
      <c r="A6" s="129"/>
      <c r="B6" s="130">
        <f>tblIndicators!A2</f>
        <v>1</v>
      </c>
      <c r="C6" s="130">
        <f>tblIndicators!B2</f>
        <v>0</v>
      </c>
      <c r="D6" s="130">
        <f>tblIndicators!F2</f>
        <v>0</v>
      </c>
      <c r="E6" s="130" t="str">
        <f>tblIndicators!E2</f>
        <v>OVERALL SCORE</v>
      </c>
      <c r="F6" s="130" t="str">
        <f>tblIndicators!H2</f>
        <v>OVERALL SCORE</v>
      </c>
      <c r="G6" s="130">
        <f>tblIndicators!Z2</f>
        <v>1</v>
      </c>
      <c r="H6" s="131" t="str">
        <f>tblIndicators!AE2</f>
        <v>OVERALL SCORE</v>
      </c>
      <c r="I6" s="141" t="str">
        <f>IF(G6=1,"",tblIndicators!P2)</f>
        <v/>
      </c>
      <c r="J6" s="142"/>
      <c r="K6" s="143"/>
      <c r="L6" s="142"/>
      <c r="M6" s="143"/>
      <c r="N6" s="142"/>
      <c r="O6" s="143"/>
      <c r="P6" s="142"/>
      <c r="Q6" s="143"/>
      <c r="R6" s="142"/>
      <c r="S6" s="143"/>
      <c r="T6" s="142"/>
      <c r="U6" s="143"/>
      <c r="V6" s="142"/>
      <c r="W6" s="143"/>
      <c r="X6" s="142"/>
      <c r="Y6" s="143"/>
      <c r="Z6" s="142"/>
      <c r="AA6" s="143"/>
      <c r="AB6" s="142"/>
      <c r="AC6" s="143"/>
      <c r="AD6" s="142"/>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row>
    <row r="7" s="112" customFormat="1" ht="22.5" customHeight="1" spans="1:70">
      <c r="A7" s="132"/>
      <c r="B7" s="133">
        <f>tblIndicators!A3</f>
        <v>2</v>
      </c>
      <c r="C7" s="133">
        <f>tblIndicators!B3</f>
        <v>0</v>
      </c>
      <c r="D7" s="133">
        <f>tblIndicators!F3</f>
        <v>1</v>
      </c>
      <c r="E7" s="133" t="str">
        <f>tblIndicators!E3</f>
        <v>OVERALL</v>
      </c>
      <c r="F7" s="133" t="str">
        <f>tblIndicators!H3</f>
        <v>DIGITAL SECURITY</v>
      </c>
      <c r="G7" s="133">
        <f>tblIndicators!Z3</f>
        <v>1</v>
      </c>
      <c r="H7" s="102" t="str">
        <f>REPT(" ",D7)&amp;tblIndicators!AE3</f>
        <v> 1) DIGITAL SECURITY</v>
      </c>
      <c r="I7" s="144" t="str">
        <f>IF(G7=1,"",tblIndicators!P3)</f>
        <v/>
      </c>
      <c r="J7" s="145"/>
      <c r="K7" s="146"/>
      <c r="L7" s="145"/>
      <c r="M7" s="146"/>
      <c r="N7" s="145"/>
      <c r="O7" s="146"/>
      <c r="P7" s="145"/>
      <c r="Q7" s="146"/>
      <c r="R7" s="145"/>
      <c r="S7" s="146"/>
      <c r="T7" s="145"/>
      <c r="U7" s="146"/>
      <c r="V7" s="145"/>
      <c r="W7" s="146"/>
      <c r="X7" s="145"/>
      <c r="Y7" s="146"/>
      <c r="Z7" s="145"/>
      <c r="AA7" s="146"/>
      <c r="AB7" s="145"/>
      <c r="AC7" s="146"/>
      <c r="AD7" s="145"/>
      <c r="AE7" s="146"/>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row>
    <row r="8" s="112" customFormat="1" ht="22.5" customHeight="1" spans="1:70">
      <c r="A8" s="132"/>
      <c r="B8" s="133">
        <f>tblIndicators!A4</f>
        <v>3</v>
      </c>
      <c r="C8" s="133">
        <f>tblIndicators!B4</f>
        <v>0</v>
      </c>
      <c r="D8" s="133">
        <f>tblIndicators!F4</f>
        <v>2</v>
      </c>
      <c r="E8" s="133" t="str">
        <f>tblIndicators!E4</f>
        <v>DISE</v>
      </c>
      <c r="F8" s="133" t="str">
        <f>tblIndicators!H4</f>
        <v>Digital security (Inputs)</v>
      </c>
      <c r="G8" s="133">
        <f>tblIndicators!Z4</f>
        <v>1</v>
      </c>
      <c r="H8" s="105" t="str">
        <f>REPT(" ",D8)&amp;tblIndicators!AE4</f>
        <v>  1.1) Digital security (Inputs)</v>
      </c>
      <c r="I8" s="147" t="str">
        <f>IF(G8=1,"",tblIndicators!P4)</f>
        <v/>
      </c>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row>
    <row r="9" s="112" customFormat="1" ht="22.5" customHeight="1" spans="1:101">
      <c r="A9" s="132"/>
      <c r="B9" s="133">
        <f>tblIndicators!A5</f>
        <v>4</v>
      </c>
      <c r="C9" s="133">
        <f>tblIndicators!B5</f>
        <v>0</v>
      </c>
      <c r="D9" s="133">
        <f>tblIndicators!F5</f>
        <v>3</v>
      </c>
      <c r="E9" s="133" t="str">
        <f>tblIndicators!E5</f>
        <v>DISE1.1</v>
      </c>
      <c r="F9" s="133" t="str">
        <f>tblIndicators!H5</f>
        <v>Privacy policy</v>
      </c>
      <c r="G9" s="133">
        <f>tblIndicators!Z5</f>
        <v>3</v>
      </c>
      <c r="H9" s="105" t="str">
        <f>REPT(" ",D9)&amp;tblIndicators!AE5</f>
        <v>   1.1.1) Privacy policy</v>
      </c>
      <c r="I9" s="147" t="str">
        <f>IF(G9=1,"",tblIndicators!P5)</f>
        <v>Scale 1 - 5</v>
      </c>
      <c r="J9" s="148">
        <v>3</v>
      </c>
      <c r="K9" s="148">
        <v>5</v>
      </c>
      <c r="L9" s="148">
        <v>4</v>
      </c>
      <c r="M9" s="148">
        <v>2</v>
      </c>
      <c r="N9" s="148">
        <v>5</v>
      </c>
      <c r="O9" s="148">
        <v>4</v>
      </c>
      <c r="P9" s="148">
        <v>3</v>
      </c>
      <c r="Q9" s="148">
        <v>5</v>
      </c>
      <c r="R9" s="148">
        <v>4</v>
      </c>
      <c r="S9" s="148">
        <v>3</v>
      </c>
      <c r="T9" s="148">
        <v>2</v>
      </c>
      <c r="U9" s="148">
        <v>4</v>
      </c>
      <c r="V9" s="148">
        <v>5</v>
      </c>
      <c r="W9" s="148">
        <v>5</v>
      </c>
      <c r="X9" s="148">
        <v>2</v>
      </c>
      <c r="Y9" s="148">
        <v>1</v>
      </c>
      <c r="Z9" s="148">
        <v>3</v>
      </c>
      <c r="AA9" s="148">
        <v>5</v>
      </c>
      <c r="AB9" s="148">
        <v>2</v>
      </c>
      <c r="AC9" s="148">
        <v>5</v>
      </c>
      <c r="AD9" s="148">
        <v>2</v>
      </c>
      <c r="AE9" s="148">
        <v>2</v>
      </c>
      <c r="AF9" s="148">
        <v>3</v>
      </c>
      <c r="AG9" s="148">
        <v>3</v>
      </c>
      <c r="AH9" s="148">
        <v>2</v>
      </c>
      <c r="AI9" s="148">
        <v>3</v>
      </c>
      <c r="AJ9" s="148">
        <v>3</v>
      </c>
      <c r="AK9" s="148">
        <v>3</v>
      </c>
      <c r="AL9" s="148">
        <v>5</v>
      </c>
      <c r="AM9" s="148">
        <v>5</v>
      </c>
      <c r="AN9" s="148">
        <v>5</v>
      </c>
      <c r="AO9" s="148">
        <v>2</v>
      </c>
      <c r="AP9" s="148">
        <v>5</v>
      </c>
      <c r="AQ9" s="148">
        <v>3</v>
      </c>
      <c r="AR9" s="148">
        <v>5</v>
      </c>
      <c r="AS9" s="148">
        <v>3</v>
      </c>
      <c r="AT9" s="148">
        <v>2</v>
      </c>
      <c r="AU9" s="148">
        <v>5</v>
      </c>
      <c r="AV9" s="148">
        <v>4</v>
      </c>
      <c r="AW9" s="148">
        <v>5</v>
      </c>
      <c r="AX9" s="148">
        <v>1</v>
      </c>
      <c r="AY9" s="148">
        <v>2</v>
      </c>
      <c r="AZ9" s="148">
        <v>3</v>
      </c>
      <c r="BA9" s="148">
        <v>5</v>
      </c>
      <c r="BB9" s="148">
        <v>5</v>
      </c>
      <c r="BC9" s="148">
        <v>3</v>
      </c>
      <c r="BD9" s="148">
        <v>2</v>
      </c>
      <c r="BE9" s="148">
        <v>5</v>
      </c>
      <c r="BF9" s="148">
        <v>4</v>
      </c>
      <c r="BG9" s="148">
        <v>4</v>
      </c>
      <c r="BH9" s="148">
        <v>4</v>
      </c>
      <c r="BI9" s="148">
        <v>5</v>
      </c>
      <c r="BJ9" s="148">
        <v>4</v>
      </c>
      <c r="BK9" s="148">
        <v>1</v>
      </c>
      <c r="BL9" s="148">
        <v>4</v>
      </c>
      <c r="BM9" s="148">
        <v>5</v>
      </c>
      <c r="BN9" s="148">
        <v>5</v>
      </c>
      <c r="BO9" s="148">
        <v>4</v>
      </c>
      <c r="BP9" s="148">
        <v>1</v>
      </c>
      <c r="BQ9" s="148">
        <v>4</v>
      </c>
      <c r="BR9" s="148">
        <v>4</v>
      </c>
      <c r="CC9" s="112">
        <v>2</v>
      </c>
      <c r="CD9" s="112">
        <v>2</v>
      </c>
      <c r="CE9" s="112">
        <v>2</v>
      </c>
      <c r="CF9" s="112">
        <v>3</v>
      </c>
      <c r="CG9" s="112">
        <v>2</v>
      </c>
      <c r="CH9" s="112">
        <v>2</v>
      </c>
      <c r="CI9" s="112">
        <v>4</v>
      </c>
      <c r="CJ9" s="112">
        <v>2</v>
      </c>
      <c r="CK9" s="112">
        <v>2</v>
      </c>
      <c r="CL9" s="112">
        <v>2</v>
      </c>
      <c r="CM9" s="112">
        <v>4</v>
      </c>
      <c r="CN9" s="112">
        <v>1</v>
      </c>
      <c r="CO9" s="112">
        <v>2</v>
      </c>
      <c r="CP9" s="112">
        <v>1</v>
      </c>
      <c r="CQ9" s="112">
        <v>3</v>
      </c>
      <c r="CR9" s="112">
        <v>2</v>
      </c>
      <c r="CS9" s="112">
        <v>1</v>
      </c>
      <c r="CT9" s="112">
        <v>2</v>
      </c>
      <c r="CU9" s="112">
        <v>3</v>
      </c>
      <c r="CV9" s="112">
        <v>2</v>
      </c>
      <c r="CW9" s="112">
        <v>3</v>
      </c>
    </row>
    <row r="10" s="112" customFormat="1" ht="22.5" customHeight="1" spans="1:101">
      <c r="A10" s="132"/>
      <c r="B10" s="133">
        <f>tblIndicators!A6</f>
        <v>5</v>
      </c>
      <c r="C10" s="133">
        <f>tblIndicators!B6</f>
        <v>0</v>
      </c>
      <c r="D10" s="133">
        <f>tblIndicators!F6</f>
        <v>3</v>
      </c>
      <c r="E10" s="133" t="str">
        <f>tblIndicators!E6</f>
        <v>DISE1.1</v>
      </c>
      <c r="F10" s="133" t="str">
        <f>tblIndicators!H6</f>
        <v>Citizen awareness of digital threats</v>
      </c>
      <c r="G10" s="133">
        <f>tblIndicators!Z6</f>
        <v>3</v>
      </c>
      <c r="H10" s="105" t="str">
        <f>REPT(" ",D10)&amp;tblIndicators!AE6</f>
        <v>   1.1.2) Citizen awareness of digital threats</v>
      </c>
      <c r="I10" s="147" t="str">
        <f>IF(G10=1,"",tblIndicators!P6)</f>
        <v>Scale 0 - 3</v>
      </c>
      <c r="J10" s="148">
        <v>2</v>
      </c>
      <c r="K10" s="148">
        <v>3</v>
      </c>
      <c r="L10" s="148">
        <v>3</v>
      </c>
      <c r="M10" s="148">
        <v>2</v>
      </c>
      <c r="N10" s="148">
        <v>3</v>
      </c>
      <c r="O10" s="148">
        <v>2</v>
      </c>
      <c r="P10" s="148">
        <v>1</v>
      </c>
      <c r="Q10" s="148">
        <v>3</v>
      </c>
      <c r="R10" s="148">
        <v>1</v>
      </c>
      <c r="S10" s="148">
        <v>1</v>
      </c>
      <c r="T10" s="148">
        <v>1</v>
      </c>
      <c r="U10" s="148">
        <v>1</v>
      </c>
      <c r="V10" s="148">
        <v>3</v>
      </c>
      <c r="W10" s="148">
        <v>3</v>
      </c>
      <c r="X10" s="148">
        <v>2</v>
      </c>
      <c r="Y10" s="148">
        <v>1</v>
      </c>
      <c r="Z10" s="148">
        <v>2</v>
      </c>
      <c r="AA10" s="148">
        <v>3</v>
      </c>
      <c r="AB10" s="148">
        <v>1</v>
      </c>
      <c r="AC10" s="148">
        <v>3</v>
      </c>
      <c r="AD10" s="148">
        <v>3</v>
      </c>
      <c r="AE10" s="148">
        <v>2</v>
      </c>
      <c r="AF10" s="148">
        <v>2</v>
      </c>
      <c r="AG10" s="148">
        <v>2</v>
      </c>
      <c r="AH10" s="148">
        <v>3</v>
      </c>
      <c r="AI10" s="148">
        <v>2</v>
      </c>
      <c r="AJ10" s="148">
        <v>1</v>
      </c>
      <c r="AK10" s="148">
        <v>2</v>
      </c>
      <c r="AL10" s="148">
        <v>3</v>
      </c>
      <c r="AM10" s="148">
        <v>3</v>
      </c>
      <c r="AN10" s="148">
        <v>3</v>
      </c>
      <c r="AO10" s="148">
        <v>1</v>
      </c>
      <c r="AP10" s="148">
        <v>3</v>
      </c>
      <c r="AQ10" s="148">
        <v>2</v>
      </c>
      <c r="AR10" s="148">
        <v>2</v>
      </c>
      <c r="AS10" s="148">
        <v>1</v>
      </c>
      <c r="AT10" s="148">
        <v>2</v>
      </c>
      <c r="AU10" s="148">
        <v>3</v>
      </c>
      <c r="AV10" s="148">
        <v>2</v>
      </c>
      <c r="AW10" s="148">
        <v>2</v>
      </c>
      <c r="AX10" s="148">
        <v>2</v>
      </c>
      <c r="AY10" s="148">
        <v>2</v>
      </c>
      <c r="AZ10" s="148">
        <v>2</v>
      </c>
      <c r="BA10" s="148">
        <v>3</v>
      </c>
      <c r="BB10" s="148">
        <v>3</v>
      </c>
      <c r="BC10" s="148">
        <v>2</v>
      </c>
      <c r="BD10" s="148">
        <v>2</v>
      </c>
      <c r="BE10" s="148">
        <v>1</v>
      </c>
      <c r="BF10" s="148">
        <v>2</v>
      </c>
      <c r="BG10" s="148">
        <v>3</v>
      </c>
      <c r="BH10" s="148">
        <v>3</v>
      </c>
      <c r="BI10" s="148">
        <v>3</v>
      </c>
      <c r="BJ10" s="148">
        <v>2</v>
      </c>
      <c r="BK10" s="148">
        <v>1</v>
      </c>
      <c r="BL10" s="148">
        <v>2</v>
      </c>
      <c r="BM10" s="148">
        <v>3</v>
      </c>
      <c r="BN10" s="148">
        <v>3</v>
      </c>
      <c r="BO10" s="148">
        <v>2</v>
      </c>
      <c r="BP10" s="148">
        <v>1</v>
      </c>
      <c r="BQ10" s="148">
        <v>3</v>
      </c>
      <c r="BR10" s="148">
        <v>2</v>
      </c>
      <c r="CC10" s="112">
        <v>3</v>
      </c>
      <c r="CD10" s="112">
        <v>2</v>
      </c>
      <c r="CE10" s="112">
        <v>1</v>
      </c>
      <c r="CF10" s="112">
        <v>0</v>
      </c>
      <c r="CG10" s="112">
        <v>1</v>
      </c>
      <c r="CH10" s="112">
        <v>1</v>
      </c>
      <c r="CI10" s="112">
        <v>0</v>
      </c>
      <c r="CJ10" s="112">
        <v>2</v>
      </c>
      <c r="CK10" s="112">
        <v>2</v>
      </c>
      <c r="CL10" s="112">
        <v>1</v>
      </c>
      <c r="CM10" s="112">
        <v>2</v>
      </c>
      <c r="CN10" s="112">
        <v>1</v>
      </c>
      <c r="CO10" s="112">
        <v>2</v>
      </c>
      <c r="CP10" s="112">
        <v>2</v>
      </c>
      <c r="CQ10" s="112">
        <v>2</v>
      </c>
      <c r="CR10" s="112">
        <v>1</v>
      </c>
      <c r="CS10" s="112">
        <v>0</v>
      </c>
      <c r="CT10" s="112">
        <v>1</v>
      </c>
      <c r="CU10" s="112">
        <v>2</v>
      </c>
      <c r="CV10" s="112">
        <v>2</v>
      </c>
      <c r="CW10" s="112">
        <v>1</v>
      </c>
    </row>
    <row r="11" s="112" customFormat="1" ht="22.5" customHeight="1" spans="1:101">
      <c r="A11" s="132"/>
      <c r="B11" s="133">
        <f>tblIndicators!A7</f>
        <v>6</v>
      </c>
      <c r="C11" s="133">
        <f>tblIndicators!B7</f>
        <v>0</v>
      </c>
      <c r="D11" s="133">
        <f>tblIndicators!F7</f>
        <v>3</v>
      </c>
      <c r="E11" s="133" t="str">
        <f>tblIndicators!E7</f>
        <v>DISE1.1</v>
      </c>
      <c r="F11" s="133" t="str">
        <f>tblIndicators!H7</f>
        <v>Public-private partnerships</v>
      </c>
      <c r="G11" s="133">
        <f>tblIndicators!Z7</f>
        <v>3</v>
      </c>
      <c r="H11" s="105" t="str">
        <f>REPT(" ",D11)&amp;tblIndicators!AE7</f>
        <v>   1.1.3) Public-private partnerships</v>
      </c>
      <c r="I11" s="147" t="str">
        <f>IF(G11=1,"",tblIndicators!P7)</f>
        <v>Scale 0 - 2</v>
      </c>
      <c r="J11" s="148">
        <v>1</v>
      </c>
      <c r="K11" s="148">
        <v>1</v>
      </c>
      <c r="L11" s="148">
        <v>0</v>
      </c>
      <c r="M11" s="148">
        <v>0</v>
      </c>
      <c r="N11" s="148">
        <v>1</v>
      </c>
      <c r="O11" s="148">
        <v>0</v>
      </c>
      <c r="P11" s="148">
        <v>0</v>
      </c>
      <c r="Q11" s="148">
        <v>1</v>
      </c>
      <c r="R11" s="148">
        <v>1</v>
      </c>
      <c r="S11" s="148">
        <v>0</v>
      </c>
      <c r="T11" s="148">
        <v>1</v>
      </c>
      <c r="U11" s="148">
        <v>0</v>
      </c>
      <c r="V11" s="148">
        <v>2</v>
      </c>
      <c r="W11" s="148">
        <v>2</v>
      </c>
      <c r="X11" s="148">
        <v>1</v>
      </c>
      <c r="Y11" s="148">
        <v>1</v>
      </c>
      <c r="Z11" s="148">
        <v>1</v>
      </c>
      <c r="AA11" s="148">
        <v>1</v>
      </c>
      <c r="AB11" s="148">
        <v>0</v>
      </c>
      <c r="AC11" s="148">
        <v>2</v>
      </c>
      <c r="AD11" s="148">
        <v>1</v>
      </c>
      <c r="AE11" s="148">
        <v>0</v>
      </c>
      <c r="AF11" s="148">
        <v>0</v>
      </c>
      <c r="AG11" s="148">
        <v>1</v>
      </c>
      <c r="AH11" s="148">
        <v>0</v>
      </c>
      <c r="AI11" s="148">
        <v>1</v>
      </c>
      <c r="AJ11" s="148">
        <v>0</v>
      </c>
      <c r="AK11" s="148">
        <v>1</v>
      </c>
      <c r="AL11" s="148">
        <v>1</v>
      </c>
      <c r="AM11" s="148">
        <v>2</v>
      </c>
      <c r="AN11" s="148">
        <v>1</v>
      </c>
      <c r="AO11" s="148">
        <v>1</v>
      </c>
      <c r="AP11" s="148">
        <v>1</v>
      </c>
      <c r="AQ11" s="148">
        <v>1</v>
      </c>
      <c r="AR11" s="148">
        <v>2</v>
      </c>
      <c r="AS11" s="148">
        <v>0</v>
      </c>
      <c r="AT11" s="148">
        <v>1</v>
      </c>
      <c r="AU11" s="148">
        <v>2</v>
      </c>
      <c r="AV11" s="148">
        <v>1</v>
      </c>
      <c r="AW11" s="148">
        <v>1</v>
      </c>
      <c r="AX11" s="148">
        <v>1</v>
      </c>
      <c r="AY11" s="148">
        <v>0</v>
      </c>
      <c r="AZ11" s="148">
        <v>0</v>
      </c>
      <c r="BA11" s="148">
        <v>1</v>
      </c>
      <c r="BB11" s="148">
        <v>2</v>
      </c>
      <c r="BC11" s="148">
        <v>1</v>
      </c>
      <c r="BD11" s="148">
        <v>0</v>
      </c>
      <c r="BE11" s="148">
        <v>1</v>
      </c>
      <c r="BF11" s="148">
        <v>0</v>
      </c>
      <c r="BG11" s="148">
        <v>2</v>
      </c>
      <c r="BH11" s="148">
        <v>1</v>
      </c>
      <c r="BI11" s="148">
        <v>1</v>
      </c>
      <c r="BJ11" s="148">
        <v>2</v>
      </c>
      <c r="BK11" s="148">
        <v>0</v>
      </c>
      <c r="BL11" s="148">
        <v>2</v>
      </c>
      <c r="BM11" s="148">
        <v>1</v>
      </c>
      <c r="BN11" s="148">
        <v>1</v>
      </c>
      <c r="BO11" s="148">
        <v>1</v>
      </c>
      <c r="BP11" s="148">
        <v>0</v>
      </c>
      <c r="BQ11" s="148">
        <v>1</v>
      </c>
      <c r="BR11" s="148">
        <v>1</v>
      </c>
      <c r="CC11" s="112">
        <v>2</v>
      </c>
      <c r="CD11" s="112">
        <v>2</v>
      </c>
      <c r="CE11" s="112">
        <v>1</v>
      </c>
      <c r="CF11" s="112">
        <v>1</v>
      </c>
      <c r="CG11" s="112">
        <v>1</v>
      </c>
      <c r="CH11" s="112">
        <v>1</v>
      </c>
      <c r="CI11" s="112">
        <v>1</v>
      </c>
      <c r="CJ11" s="112">
        <v>1</v>
      </c>
      <c r="CK11" s="112">
        <v>1</v>
      </c>
      <c r="CL11" s="112">
        <v>1</v>
      </c>
      <c r="CM11" s="112">
        <v>1</v>
      </c>
      <c r="CN11" s="112">
        <v>1</v>
      </c>
      <c r="CO11" s="112">
        <v>2</v>
      </c>
      <c r="CP11" s="112">
        <v>1</v>
      </c>
      <c r="CQ11" s="112">
        <v>1</v>
      </c>
      <c r="CR11" s="112">
        <v>0</v>
      </c>
      <c r="CS11" s="112">
        <v>0</v>
      </c>
      <c r="CT11" s="112">
        <v>2</v>
      </c>
      <c r="CU11" s="112">
        <v>1</v>
      </c>
      <c r="CV11" s="112">
        <v>1</v>
      </c>
      <c r="CW11" s="112">
        <v>1</v>
      </c>
    </row>
    <row r="12" s="112" customFormat="1" ht="22.5" customHeight="1" spans="1:101">
      <c r="A12" s="132"/>
      <c r="B12" s="133">
        <f>tblIndicators!A8</f>
        <v>7</v>
      </c>
      <c r="C12" s="133">
        <f>tblIndicators!B8</f>
        <v>0</v>
      </c>
      <c r="D12" s="133">
        <f>tblIndicators!F8</f>
        <v>3</v>
      </c>
      <c r="E12" s="133" t="str">
        <f>tblIndicators!E8</f>
        <v>DISE1.1</v>
      </c>
      <c r="F12" s="133" t="str">
        <f>tblIndicators!H8</f>
        <v>Level of technology employed</v>
      </c>
      <c r="G12" s="133">
        <f>tblIndicators!Z8</f>
        <v>3</v>
      </c>
      <c r="H12" s="105" t="str">
        <f>REPT(" ",D12)&amp;tblIndicators!AE8</f>
        <v>   1.1.4) Level of technology employed</v>
      </c>
      <c r="I12" s="147" t="str">
        <f>IF(G12=1,"",tblIndicators!P8)</f>
        <v>Scale 0 - 100</v>
      </c>
      <c r="J12" s="148">
        <v>100</v>
      </c>
      <c r="K12" s="148">
        <v>100</v>
      </c>
      <c r="L12" s="148">
        <v>75</v>
      </c>
      <c r="M12" s="148">
        <v>0</v>
      </c>
      <c r="N12" s="148">
        <v>100</v>
      </c>
      <c r="O12" s="148">
        <v>75</v>
      </c>
      <c r="P12" s="148">
        <v>75</v>
      </c>
      <c r="Q12" s="148">
        <v>100</v>
      </c>
      <c r="R12" s="148">
        <v>75</v>
      </c>
      <c r="S12" s="148">
        <v>0</v>
      </c>
      <c r="T12" s="148">
        <v>75</v>
      </c>
      <c r="U12" s="148">
        <v>75</v>
      </c>
      <c r="V12" s="148">
        <v>100</v>
      </c>
      <c r="W12" s="148">
        <v>100</v>
      </c>
      <c r="X12" s="148">
        <v>75</v>
      </c>
      <c r="Y12" s="148">
        <v>0</v>
      </c>
      <c r="Z12" s="148">
        <v>75</v>
      </c>
      <c r="AA12" s="148">
        <v>100</v>
      </c>
      <c r="AB12" s="148">
        <v>0</v>
      </c>
      <c r="AC12" s="148">
        <v>100</v>
      </c>
      <c r="AD12" s="148">
        <v>75</v>
      </c>
      <c r="AE12" s="148">
        <v>0</v>
      </c>
      <c r="AF12" s="148">
        <v>75</v>
      </c>
      <c r="AG12" s="148">
        <v>75</v>
      </c>
      <c r="AH12" s="148">
        <v>0</v>
      </c>
      <c r="AI12" s="148">
        <v>75</v>
      </c>
      <c r="AJ12" s="148">
        <v>75</v>
      </c>
      <c r="AK12" s="148">
        <v>75</v>
      </c>
      <c r="AL12" s="148">
        <v>100</v>
      </c>
      <c r="AM12" s="148">
        <v>100</v>
      </c>
      <c r="AN12" s="148">
        <v>100</v>
      </c>
      <c r="AO12" s="148">
        <v>0</v>
      </c>
      <c r="AP12" s="148">
        <v>100</v>
      </c>
      <c r="AQ12" s="148">
        <v>75</v>
      </c>
      <c r="AR12" s="148">
        <v>100</v>
      </c>
      <c r="AS12" s="148">
        <v>75</v>
      </c>
      <c r="AT12" s="148">
        <v>75</v>
      </c>
      <c r="AU12" s="148">
        <v>100</v>
      </c>
      <c r="AV12" s="148">
        <v>100</v>
      </c>
      <c r="AW12" s="148">
        <v>100</v>
      </c>
      <c r="AX12" s="148">
        <v>75</v>
      </c>
      <c r="AY12" s="148">
        <v>75</v>
      </c>
      <c r="AZ12" s="148">
        <v>75</v>
      </c>
      <c r="BA12" s="148">
        <v>100</v>
      </c>
      <c r="BB12" s="148">
        <v>100</v>
      </c>
      <c r="BC12" s="148">
        <v>75</v>
      </c>
      <c r="BD12" s="148">
        <v>75</v>
      </c>
      <c r="BE12" s="148">
        <v>100</v>
      </c>
      <c r="BF12" s="148">
        <v>75</v>
      </c>
      <c r="BG12" s="148">
        <v>100</v>
      </c>
      <c r="BH12" s="148">
        <v>100</v>
      </c>
      <c r="BI12" s="148">
        <v>100</v>
      </c>
      <c r="BJ12" s="148">
        <v>100</v>
      </c>
      <c r="BK12" s="148">
        <v>0</v>
      </c>
      <c r="BL12" s="148">
        <v>100</v>
      </c>
      <c r="BM12" s="148">
        <v>100</v>
      </c>
      <c r="BN12" s="148">
        <v>100</v>
      </c>
      <c r="BO12" s="148">
        <v>100</v>
      </c>
      <c r="BP12" s="148">
        <v>0</v>
      </c>
      <c r="BQ12" s="148">
        <v>100</v>
      </c>
      <c r="BR12" s="148">
        <v>100</v>
      </c>
      <c r="CC12" s="112">
        <v>75</v>
      </c>
      <c r="CD12" s="112">
        <v>100</v>
      </c>
      <c r="CE12" s="112">
        <v>100</v>
      </c>
      <c r="CF12" s="112">
        <v>100</v>
      </c>
      <c r="CG12" s="112">
        <v>75</v>
      </c>
      <c r="CH12" s="112">
        <v>75</v>
      </c>
      <c r="CI12" s="112">
        <v>100</v>
      </c>
      <c r="CJ12" s="112">
        <v>100</v>
      </c>
      <c r="CK12" s="112">
        <v>75</v>
      </c>
      <c r="CL12" s="112">
        <v>75</v>
      </c>
      <c r="CM12" s="112">
        <v>100</v>
      </c>
      <c r="CN12" s="112">
        <v>75</v>
      </c>
      <c r="CO12" s="112">
        <v>100</v>
      </c>
      <c r="CP12" s="112">
        <v>100</v>
      </c>
      <c r="CQ12" s="112">
        <v>100</v>
      </c>
      <c r="CR12" s="112">
        <v>100</v>
      </c>
      <c r="CS12" s="112">
        <v>50</v>
      </c>
      <c r="CT12" s="112">
        <v>100</v>
      </c>
      <c r="CU12" s="112">
        <v>100</v>
      </c>
      <c r="CV12" s="112">
        <v>100</v>
      </c>
      <c r="CW12" s="112">
        <v>100</v>
      </c>
    </row>
    <row r="13" s="112" customFormat="1" ht="22.5" customHeight="1" spans="1:101">
      <c r="A13" s="132"/>
      <c r="B13" s="133">
        <f>tblIndicators!A9</f>
        <v>8</v>
      </c>
      <c r="C13" s="133">
        <f>tblIndicators!B9</f>
        <v>0</v>
      </c>
      <c r="D13" s="133">
        <f>tblIndicators!F9</f>
        <v>3</v>
      </c>
      <c r="E13" s="133" t="str">
        <f>tblIndicators!E9</f>
        <v>DISE1.1</v>
      </c>
      <c r="F13" s="133" t="str">
        <f>tblIndicators!H9</f>
        <v>Dedicated cyber security teams</v>
      </c>
      <c r="G13" s="133">
        <f>tblIndicators!Z9</f>
        <v>3</v>
      </c>
      <c r="H13" s="105" t="str">
        <f>REPT(" ",D13)&amp;tblIndicators!AE9</f>
        <v>   1.1.5) Dedicated cyber security teams</v>
      </c>
      <c r="I13" s="147" t="str">
        <f>IF(G13=1,"",tblIndicators!P9)</f>
        <v>Scale 0 - 2</v>
      </c>
      <c r="J13" s="148">
        <v>1</v>
      </c>
      <c r="K13" s="148">
        <v>1</v>
      </c>
      <c r="L13" s="148">
        <v>1</v>
      </c>
      <c r="M13" s="148">
        <v>1</v>
      </c>
      <c r="N13" s="148">
        <v>1</v>
      </c>
      <c r="O13" s="148">
        <v>2</v>
      </c>
      <c r="P13" s="148">
        <v>1</v>
      </c>
      <c r="Q13" s="148">
        <v>1</v>
      </c>
      <c r="R13" s="148">
        <v>2</v>
      </c>
      <c r="S13" s="148">
        <v>1</v>
      </c>
      <c r="T13" s="148">
        <v>1</v>
      </c>
      <c r="U13" s="148">
        <v>1</v>
      </c>
      <c r="V13" s="148">
        <v>2</v>
      </c>
      <c r="W13" s="148">
        <v>2</v>
      </c>
      <c r="X13" s="148">
        <v>2</v>
      </c>
      <c r="Y13" s="148">
        <v>1</v>
      </c>
      <c r="Z13" s="148">
        <v>1</v>
      </c>
      <c r="AA13" s="148">
        <v>1</v>
      </c>
      <c r="AB13" s="148">
        <v>1</v>
      </c>
      <c r="AC13" s="148">
        <v>2</v>
      </c>
      <c r="AD13" s="148">
        <v>1</v>
      </c>
      <c r="AE13" s="148">
        <v>1</v>
      </c>
      <c r="AF13" s="148">
        <v>2</v>
      </c>
      <c r="AG13" s="148">
        <v>1</v>
      </c>
      <c r="AH13" s="148">
        <v>1</v>
      </c>
      <c r="AI13" s="148">
        <v>1</v>
      </c>
      <c r="AJ13" s="148">
        <v>1</v>
      </c>
      <c r="AK13" s="148">
        <v>1</v>
      </c>
      <c r="AL13" s="148">
        <v>1</v>
      </c>
      <c r="AM13" s="148">
        <v>2</v>
      </c>
      <c r="AN13" s="148">
        <v>1</v>
      </c>
      <c r="AO13" s="148">
        <v>1</v>
      </c>
      <c r="AP13" s="148">
        <v>2</v>
      </c>
      <c r="AQ13" s="148">
        <v>1</v>
      </c>
      <c r="AR13" s="148">
        <v>1</v>
      </c>
      <c r="AS13" s="148">
        <v>1</v>
      </c>
      <c r="AT13" s="148">
        <v>2</v>
      </c>
      <c r="AU13" s="148">
        <v>2</v>
      </c>
      <c r="AV13" s="148">
        <v>2</v>
      </c>
      <c r="AW13" s="148">
        <v>1</v>
      </c>
      <c r="AX13" s="148">
        <v>1</v>
      </c>
      <c r="AY13" s="148">
        <v>1</v>
      </c>
      <c r="AZ13" s="148">
        <v>1</v>
      </c>
      <c r="BA13" s="148">
        <v>1</v>
      </c>
      <c r="BB13" s="148">
        <v>2</v>
      </c>
      <c r="BC13" s="148">
        <v>1</v>
      </c>
      <c r="BD13" s="148">
        <v>1</v>
      </c>
      <c r="BE13" s="148">
        <v>1</v>
      </c>
      <c r="BF13" s="148">
        <v>1</v>
      </c>
      <c r="BG13" s="148">
        <v>2</v>
      </c>
      <c r="BH13" s="148">
        <v>1</v>
      </c>
      <c r="BI13" s="148">
        <v>2</v>
      </c>
      <c r="BJ13" s="148">
        <v>2</v>
      </c>
      <c r="BK13" s="148">
        <v>1</v>
      </c>
      <c r="BL13" s="148">
        <v>2</v>
      </c>
      <c r="BM13" s="148">
        <v>2</v>
      </c>
      <c r="BN13" s="148">
        <v>2</v>
      </c>
      <c r="BO13" s="148">
        <v>1</v>
      </c>
      <c r="BP13" s="148">
        <v>1</v>
      </c>
      <c r="BQ13" s="148">
        <v>1</v>
      </c>
      <c r="BR13" s="148">
        <v>2</v>
      </c>
      <c r="CC13" s="112">
        <v>2</v>
      </c>
      <c r="CD13" s="112">
        <v>2</v>
      </c>
      <c r="CE13" s="112">
        <v>1</v>
      </c>
      <c r="CF13" s="112">
        <v>1</v>
      </c>
      <c r="CG13" s="112">
        <v>1</v>
      </c>
      <c r="CH13" s="112">
        <v>1</v>
      </c>
      <c r="CI13" s="112">
        <v>1</v>
      </c>
      <c r="CJ13" s="112">
        <v>2</v>
      </c>
      <c r="CK13" s="112">
        <v>1</v>
      </c>
      <c r="CL13" s="112">
        <v>1</v>
      </c>
      <c r="CM13" s="112">
        <v>1</v>
      </c>
      <c r="CN13" s="112">
        <v>1</v>
      </c>
      <c r="CO13" s="112">
        <v>2</v>
      </c>
      <c r="CP13" s="112">
        <v>1</v>
      </c>
      <c r="CQ13" s="112">
        <v>2</v>
      </c>
      <c r="CR13" s="112">
        <v>1</v>
      </c>
      <c r="CS13" s="112">
        <v>1</v>
      </c>
      <c r="CT13" s="112">
        <v>2</v>
      </c>
      <c r="CU13" s="112">
        <v>2</v>
      </c>
      <c r="CV13" s="112">
        <v>1</v>
      </c>
      <c r="CW13" s="112">
        <v>1</v>
      </c>
    </row>
    <row r="14" s="112" customFormat="1" ht="22.5" customHeight="1" spans="1:70">
      <c r="A14" s="132"/>
      <c r="B14" s="133">
        <f>tblIndicators!A10</f>
        <v>9</v>
      </c>
      <c r="C14" s="133">
        <f>tblIndicators!B10</f>
        <v>0</v>
      </c>
      <c r="D14" s="133">
        <f>tblIndicators!F10</f>
        <v>2</v>
      </c>
      <c r="E14" s="133" t="str">
        <f>tblIndicators!E10</f>
        <v>DISE</v>
      </c>
      <c r="F14" s="133" t="str">
        <f>tblIndicators!H10</f>
        <v>Digital security (Outputs)</v>
      </c>
      <c r="G14" s="133">
        <f>tblIndicators!Z10</f>
        <v>1</v>
      </c>
      <c r="H14" s="105" t="str">
        <f>REPT(" ",D14)&amp;tblIndicators!AE10</f>
        <v>  1.2) Digital security (Outputs)</v>
      </c>
      <c r="I14" s="147" t="str">
        <f>IF(G14=1,"",tblIndicators!P10)</f>
        <v/>
      </c>
      <c r="J14" s="148" t="s">
        <v>697</v>
      </c>
      <c r="K14" s="148" t="s">
        <v>697</v>
      </c>
      <c r="L14" s="148" t="s">
        <v>697</v>
      </c>
      <c r="M14" s="148" t="s">
        <v>697</v>
      </c>
      <c r="N14" s="148" t="s">
        <v>697</v>
      </c>
      <c r="O14" s="148" t="s">
        <v>697</v>
      </c>
      <c r="P14" s="148" t="s">
        <v>697</v>
      </c>
      <c r="Q14" s="148" t="s">
        <v>697</v>
      </c>
      <c r="R14" s="148" t="s">
        <v>697</v>
      </c>
      <c r="S14" s="148" t="s">
        <v>697</v>
      </c>
      <c r="T14" s="148" t="s">
        <v>697</v>
      </c>
      <c r="U14" s="148" t="s">
        <v>697</v>
      </c>
      <c r="V14" s="148" t="s">
        <v>697</v>
      </c>
      <c r="W14" s="148" t="s">
        <v>697</v>
      </c>
      <c r="X14" s="148" t="s">
        <v>697</v>
      </c>
      <c r="Y14" s="148" t="s">
        <v>697</v>
      </c>
      <c r="Z14" s="148" t="s">
        <v>697</v>
      </c>
      <c r="AA14" s="148" t="s">
        <v>697</v>
      </c>
      <c r="AB14" s="148" t="s">
        <v>697</v>
      </c>
      <c r="AC14" s="148" t="s">
        <v>697</v>
      </c>
      <c r="AD14" s="148" t="s">
        <v>697</v>
      </c>
      <c r="AE14" s="148" t="s">
        <v>697</v>
      </c>
      <c r="AF14" s="148" t="s">
        <v>697</v>
      </c>
      <c r="AG14" s="148" t="s">
        <v>697</v>
      </c>
      <c r="AH14" s="148" t="s">
        <v>697</v>
      </c>
      <c r="AI14" s="148" t="s">
        <v>697</v>
      </c>
      <c r="AJ14" s="148" t="s">
        <v>697</v>
      </c>
      <c r="AK14" s="148" t="s">
        <v>697</v>
      </c>
      <c r="AL14" s="148" t="s">
        <v>697</v>
      </c>
      <c r="AM14" s="148" t="s">
        <v>697</v>
      </c>
      <c r="AN14" s="148" t="s">
        <v>697</v>
      </c>
      <c r="AO14" s="148" t="s">
        <v>697</v>
      </c>
      <c r="AP14" s="148" t="s">
        <v>697</v>
      </c>
      <c r="AQ14" s="148" t="s">
        <v>697</v>
      </c>
      <c r="AR14" s="148" t="s">
        <v>697</v>
      </c>
      <c r="AS14" s="148" t="s">
        <v>697</v>
      </c>
      <c r="AT14" s="148" t="s">
        <v>697</v>
      </c>
      <c r="AU14" s="148" t="s">
        <v>697</v>
      </c>
      <c r="AV14" s="148" t="s">
        <v>697</v>
      </c>
      <c r="AW14" s="148" t="s">
        <v>697</v>
      </c>
      <c r="AX14" s="148" t="s">
        <v>697</v>
      </c>
      <c r="AY14" s="148" t="s">
        <v>697</v>
      </c>
      <c r="AZ14" s="148" t="s">
        <v>697</v>
      </c>
      <c r="BA14" s="148" t="s">
        <v>697</v>
      </c>
      <c r="BB14" s="148" t="s">
        <v>697</v>
      </c>
      <c r="BC14" s="148" t="s">
        <v>697</v>
      </c>
      <c r="BD14" s="148" t="s">
        <v>697</v>
      </c>
      <c r="BE14" s="148" t="s">
        <v>697</v>
      </c>
      <c r="BF14" s="148" t="s">
        <v>697</v>
      </c>
      <c r="BG14" s="148" t="s">
        <v>697</v>
      </c>
      <c r="BH14" s="148" t="s">
        <v>697</v>
      </c>
      <c r="BI14" s="148" t="s">
        <v>697</v>
      </c>
      <c r="BJ14" s="148" t="s">
        <v>697</v>
      </c>
      <c r="BK14" s="148" t="s">
        <v>697</v>
      </c>
      <c r="BL14" s="148" t="s">
        <v>697</v>
      </c>
      <c r="BM14" s="148" t="s">
        <v>697</v>
      </c>
      <c r="BN14" s="148" t="s">
        <v>697</v>
      </c>
      <c r="BO14" s="148" t="s">
        <v>697</v>
      </c>
      <c r="BP14" s="148" t="s">
        <v>697</v>
      </c>
      <c r="BQ14" s="148" t="s">
        <v>697</v>
      </c>
      <c r="BR14" s="148" t="s">
        <v>697</v>
      </c>
    </row>
    <row r="15" s="112" customFormat="1" ht="22.5" customHeight="1" spans="1:101">
      <c r="A15" s="132"/>
      <c r="B15" s="133">
        <f>tblIndicators!A11</f>
        <v>10</v>
      </c>
      <c r="C15" s="133">
        <f>tblIndicators!B11</f>
        <v>0</v>
      </c>
      <c r="D15" s="133">
        <f>tblIndicators!F11</f>
        <v>3</v>
      </c>
      <c r="E15" s="133" t="str">
        <f>tblIndicators!E11</f>
        <v>DISE1.2</v>
      </c>
      <c r="F15" s="133" t="str">
        <f>tblIndicators!H11</f>
        <v>Frequency of identity theft</v>
      </c>
      <c r="G15" s="133">
        <f>tblIndicators!Z11</f>
        <v>2</v>
      </c>
      <c r="H15" s="105" t="str">
        <f>REPT(" ",D15)&amp;tblIndicators!AE11</f>
        <v>   1.2.1) Frequency of identity theft</v>
      </c>
      <c r="I15" s="147" t="str">
        <f>IF(G15=1,"",tblIndicators!P11)</f>
        <v>%</v>
      </c>
      <c r="J15" s="148">
        <v>0</v>
      </c>
      <c r="K15" s="148">
        <v>0.0032592159157402</v>
      </c>
      <c r="L15" s="148">
        <v>0</v>
      </c>
      <c r="M15" s="148">
        <v>2.92825768667643e-5</v>
      </c>
      <c r="N15" s="148">
        <v>0.000564358584762318</v>
      </c>
      <c r="O15" s="148">
        <v>1.67900874635569e-5</v>
      </c>
      <c r="P15" s="148">
        <v>5.70613409415121e-5</v>
      </c>
      <c r="Q15" s="148">
        <v>0</v>
      </c>
      <c r="R15" s="148">
        <v>0.00040659588886379</v>
      </c>
      <c r="S15" s="148">
        <v>0</v>
      </c>
      <c r="T15" s="148">
        <v>0</v>
      </c>
      <c r="U15" s="148">
        <v>0</v>
      </c>
      <c r="V15" s="148">
        <v>0.184886774885145</v>
      </c>
      <c r="W15" s="148">
        <v>0.184886774885145</v>
      </c>
      <c r="X15" s="148">
        <v>0.026847617274758</v>
      </c>
      <c r="Y15" s="148">
        <v>0</v>
      </c>
      <c r="Z15" s="148">
        <v>0.199074850299401</v>
      </c>
      <c r="AA15" s="148">
        <v>0</v>
      </c>
      <c r="AB15" s="148">
        <v>0</v>
      </c>
      <c r="AC15" s="148">
        <v>0</v>
      </c>
      <c r="AD15" s="148">
        <v>0.124347177319075</v>
      </c>
      <c r="AE15" s="148">
        <v>0</v>
      </c>
      <c r="AF15" s="148">
        <v>0</v>
      </c>
      <c r="AG15" s="148">
        <v>0.000104636478441277</v>
      </c>
      <c r="AH15" s="148">
        <v>0.00343047788510422</v>
      </c>
      <c r="AI15" s="148">
        <v>0</v>
      </c>
      <c r="AJ15" s="148">
        <v>0</v>
      </c>
      <c r="AK15" s="148">
        <v>0</v>
      </c>
      <c r="AL15" s="148">
        <v>0.617153839108533</v>
      </c>
      <c r="AM15" s="148">
        <v>0.184886774885145</v>
      </c>
      <c r="AN15" s="148">
        <v>0.000564358584762318</v>
      </c>
      <c r="AO15" s="148">
        <v>0.748909393063584</v>
      </c>
      <c r="AP15" s="148">
        <v>0.129871387987013</v>
      </c>
      <c r="AQ15" s="148">
        <v>0.733276382488479</v>
      </c>
      <c r="AR15" s="148">
        <v>0.00364548494983278</v>
      </c>
      <c r="AS15" s="148">
        <v>0.0205122950819672</v>
      </c>
      <c r="AT15" s="148">
        <v>0.026847617274758</v>
      </c>
      <c r="AU15" s="148">
        <v>0.184886774885145</v>
      </c>
      <c r="AV15" s="148">
        <v>0.0671244841269841</v>
      </c>
      <c r="AW15" s="148">
        <v>0.153988296889436</v>
      </c>
      <c r="AX15" s="148">
        <v>0</v>
      </c>
      <c r="AY15" s="148">
        <v>0</v>
      </c>
      <c r="AZ15" s="148">
        <v>0</v>
      </c>
      <c r="BA15" s="148">
        <v>0.00364548494983278</v>
      </c>
      <c r="BB15" s="148">
        <v>0.184886774885145</v>
      </c>
      <c r="BC15" s="148">
        <v>0</v>
      </c>
      <c r="BD15" s="148">
        <v>0</v>
      </c>
      <c r="BE15" s="148">
        <v>0.000927475345167653</v>
      </c>
      <c r="BF15" s="148">
        <v>1.67900874635569e-5</v>
      </c>
      <c r="BG15" s="148">
        <v>0</v>
      </c>
      <c r="BH15" s="148">
        <v>0</v>
      </c>
      <c r="BI15" s="148">
        <v>0.129871387987013</v>
      </c>
      <c r="BJ15" s="148">
        <v>1.27442650807137</v>
      </c>
      <c r="BK15" s="148">
        <v>0</v>
      </c>
      <c r="BL15" s="148">
        <v>0.0671244841269841</v>
      </c>
      <c r="BM15" s="148">
        <v>0.0271650286650287</v>
      </c>
      <c r="BN15" s="148">
        <v>0.184886774885145</v>
      </c>
      <c r="BO15" s="148">
        <v>1.21313532733738e-5</v>
      </c>
      <c r="BP15" s="148">
        <v>0</v>
      </c>
      <c r="BQ15" s="148">
        <v>0</v>
      </c>
      <c r="BR15" s="148">
        <v>0.0671244841269841</v>
      </c>
      <c r="CC15" s="112">
        <v>12</v>
      </c>
      <c r="CD15" s="112">
        <v>4</v>
      </c>
      <c r="CE15" s="112">
        <v>1</v>
      </c>
      <c r="CF15" s="112">
        <v>1</v>
      </c>
      <c r="CG15" s="112">
        <v>7</v>
      </c>
      <c r="CH15" s="112">
        <v>5</v>
      </c>
      <c r="CI15" s="112">
        <v>0</v>
      </c>
      <c r="CJ15" s="112">
        <v>4</v>
      </c>
      <c r="CK15" s="112">
        <v>0.5</v>
      </c>
      <c r="CL15" s="112">
        <v>7</v>
      </c>
      <c r="CM15" s="112">
        <v>25</v>
      </c>
      <c r="CN15" s="112">
        <v>14</v>
      </c>
      <c r="CO15" s="112">
        <v>7</v>
      </c>
      <c r="CP15" s="112">
        <v>2.27</v>
      </c>
      <c r="CQ15" s="112">
        <v>5</v>
      </c>
      <c r="CR15" s="112">
        <v>0.5</v>
      </c>
      <c r="CS15" s="112">
        <v>0</v>
      </c>
      <c r="CT15" s="112">
        <v>1</v>
      </c>
      <c r="CU15" s="112">
        <v>4</v>
      </c>
      <c r="CV15" s="112">
        <v>4</v>
      </c>
      <c r="CW15" s="112">
        <v>1</v>
      </c>
    </row>
    <row r="16" s="112" customFormat="1" ht="22.5" customHeight="1" spans="1:101">
      <c r="A16" s="132"/>
      <c r="B16" s="133">
        <f>tblIndicators!A12</f>
        <v>11</v>
      </c>
      <c r="C16" s="133">
        <f>tblIndicators!B12</f>
        <v>0</v>
      </c>
      <c r="D16" s="133">
        <f>tblIndicators!F12</f>
        <v>3</v>
      </c>
      <c r="E16" s="133" t="str">
        <f>tblIndicators!E12</f>
        <v>DISE1.2</v>
      </c>
      <c r="F16" s="133" t="str">
        <f>tblIndicators!H12</f>
        <v>Percentage of computers infected</v>
      </c>
      <c r="G16" s="133">
        <f>tblIndicators!Z12</f>
        <v>3</v>
      </c>
      <c r="H16" s="105" t="str">
        <f>REPT(" ",D16)&amp;tblIndicators!AE12</f>
        <v>   1.2.2) Percentage of computers infected</v>
      </c>
      <c r="I16" s="147" t="str">
        <f>IF(G16=1,"",tblIndicators!P12)</f>
        <v>Scale 1-5 (1 best, 5 worst)</v>
      </c>
      <c r="J16" s="148">
        <v>4</v>
      </c>
      <c r="K16" s="148">
        <v>2</v>
      </c>
      <c r="L16" s="148">
        <v>4</v>
      </c>
      <c r="M16" s="148">
        <v>3</v>
      </c>
      <c r="N16" s="148">
        <v>4</v>
      </c>
      <c r="O16" s="148">
        <v>4</v>
      </c>
      <c r="P16" s="148">
        <v>3</v>
      </c>
      <c r="Q16" s="148">
        <v>3</v>
      </c>
      <c r="R16" s="148">
        <v>2</v>
      </c>
      <c r="S16" s="148">
        <v>3</v>
      </c>
      <c r="T16" s="148">
        <v>3</v>
      </c>
      <c r="U16" s="148">
        <v>3</v>
      </c>
      <c r="V16" s="148">
        <v>3</v>
      </c>
      <c r="W16" s="148">
        <v>3</v>
      </c>
      <c r="X16" s="148">
        <v>4</v>
      </c>
      <c r="Y16" s="148">
        <v>3</v>
      </c>
      <c r="Z16" s="148">
        <v>4</v>
      </c>
      <c r="AA16" s="148">
        <v>3</v>
      </c>
      <c r="AB16" s="148">
        <v>4</v>
      </c>
      <c r="AC16" s="148">
        <v>4</v>
      </c>
      <c r="AD16" s="148">
        <v>3</v>
      </c>
      <c r="AE16" s="148">
        <v>4</v>
      </c>
      <c r="AF16" s="148">
        <v>3</v>
      </c>
      <c r="AG16" s="148">
        <v>2</v>
      </c>
      <c r="AH16" s="148">
        <v>3</v>
      </c>
      <c r="AI16" s="148">
        <v>3</v>
      </c>
      <c r="AJ16" s="148">
        <v>3</v>
      </c>
      <c r="AK16" s="148">
        <v>3</v>
      </c>
      <c r="AL16" s="148">
        <v>3</v>
      </c>
      <c r="AM16" s="148">
        <v>3</v>
      </c>
      <c r="AN16" s="148">
        <v>4</v>
      </c>
      <c r="AO16" s="148">
        <v>3</v>
      </c>
      <c r="AP16" s="148">
        <v>3</v>
      </c>
      <c r="AQ16" s="148">
        <v>3</v>
      </c>
      <c r="AR16" s="148">
        <v>4</v>
      </c>
      <c r="AS16" s="148">
        <v>5</v>
      </c>
      <c r="AT16" s="148">
        <v>4</v>
      </c>
      <c r="AU16" s="148">
        <v>3</v>
      </c>
      <c r="AV16" s="148">
        <v>2</v>
      </c>
      <c r="AW16" s="148">
        <v>4</v>
      </c>
      <c r="AX16" s="148">
        <v>2</v>
      </c>
      <c r="AY16" s="148">
        <v>4</v>
      </c>
      <c r="AZ16" s="148">
        <v>3</v>
      </c>
      <c r="BA16" s="148">
        <v>4</v>
      </c>
      <c r="BB16" s="148">
        <v>3</v>
      </c>
      <c r="BC16" s="148">
        <v>4</v>
      </c>
      <c r="BD16" s="148">
        <v>4</v>
      </c>
      <c r="BE16" s="148">
        <v>2</v>
      </c>
      <c r="BF16" s="148">
        <v>4</v>
      </c>
      <c r="BG16" s="148">
        <v>3</v>
      </c>
      <c r="BH16" s="148">
        <v>2</v>
      </c>
      <c r="BI16" s="148">
        <v>3</v>
      </c>
      <c r="BJ16" s="148">
        <v>3</v>
      </c>
      <c r="BK16" s="148">
        <v>3</v>
      </c>
      <c r="BL16" s="148">
        <v>2</v>
      </c>
      <c r="BM16" s="148">
        <v>3</v>
      </c>
      <c r="BN16" s="148">
        <v>3</v>
      </c>
      <c r="BO16" s="148">
        <v>3</v>
      </c>
      <c r="BP16" s="148">
        <v>2</v>
      </c>
      <c r="BQ16" s="148">
        <v>3</v>
      </c>
      <c r="BR16" s="148">
        <v>2</v>
      </c>
      <c r="CC16" s="112">
        <v>3</v>
      </c>
      <c r="CD16" s="112">
        <v>3</v>
      </c>
      <c r="CE16" s="112">
        <v>1</v>
      </c>
      <c r="CF16" s="112">
        <v>4</v>
      </c>
      <c r="CG16" s="112">
        <v>3</v>
      </c>
      <c r="CH16" s="112">
        <v>4</v>
      </c>
      <c r="CI16" s="112">
        <v>3</v>
      </c>
      <c r="CJ16" s="112">
        <v>3</v>
      </c>
      <c r="CK16" s="112">
        <v>2</v>
      </c>
      <c r="CL16" s="112">
        <v>3</v>
      </c>
      <c r="CM16" s="112">
        <v>3</v>
      </c>
      <c r="CN16" s="112">
        <v>3</v>
      </c>
      <c r="CO16" s="112">
        <v>1</v>
      </c>
      <c r="CP16" s="112">
        <v>3</v>
      </c>
      <c r="CQ16" s="112">
        <v>3</v>
      </c>
      <c r="CR16" s="112">
        <v>2</v>
      </c>
      <c r="CS16" s="112">
        <v>3</v>
      </c>
      <c r="CT16" s="112">
        <v>1</v>
      </c>
      <c r="CU16" s="112">
        <v>3</v>
      </c>
      <c r="CV16" s="112">
        <v>3</v>
      </c>
      <c r="CW16" s="112">
        <v>3</v>
      </c>
    </row>
    <row r="17" s="112" customFormat="1" ht="22.5" customHeight="1" spans="1:101">
      <c r="A17" s="132"/>
      <c r="B17" s="133">
        <f>tblIndicators!A13</f>
        <v>12</v>
      </c>
      <c r="C17" s="133">
        <f>tblIndicators!B13</f>
        <v>0</v>
      </c>
      <c r="D17" s="133">
        <f>tblIndicators!F13</f>
        <v>3</v>
      </c>
      <c r="E17" s="133" t="str">
        <f>tblIndicators!E13</f>
        <v>DISE1.2</v>
      </c>
      <c r="F17" s="133" t="str">
        <f>tblIndicators!H13</f>
        <v>Percentage with Internet access</v>
      </c>
      <c r="G17" s="133">
        <f>tblIndicators!Z13</f>
        <v>2</v>
      </c>
      <c r="H17" s="105" t="str">
        <f>REPT(" ",D17)&amp;tblIndicators!AE13</f>
        <v>   1.2.3) Percentage with Internet access</v>
      </c>
      <c r="I17" s="147" t="str">
        <f>IF(G17=1,"",tblIndicators!P13)</f>
        <v>%</v>
      </c>
      <c r="J17" s="148">
        <v>0.912434057753709</v>
      </c>
      <c r="K17" s="148">
        <v>0.930965</v>
      </c>
      <c r="L17" s="148">
        <v>0.66835</v>
      </c>
      <c r="M17" s="148">
        <v>0.393161267365004</v>
      </c>
      <c r="N17" s="148">
        <v>0.786896</v>
      </c>
      <c r="O17" s="148">
        <v>0.752</v>
      </c>
      <c r="P17" s="148">
        <v>0.559049725142924</v>
      </c>
      <c r="Q17" s="148">
        <v>0.850529</v>
      </c>
      <c r="R17" s="148">
        <v>0.6940092102179</v>
      </c>
      <c r="S17" s="148">
        <v>0.378193834276939</v>
      </c>
      <c r="T17" s="148">
        <v>0.61869248094278</v>
      </c>
      <c r="U17" s="148">
        <v>0.5708</v>
      </c>
      <c r="V17" s="148">
        <v>0.813</v>
      </c>
      <c r="W17" s="148">
        <v>0.714</v>
      </c>
      <c r="X17" s="148">
        <v>0.26</v>
      </c>
      <c r="Y17" s="148">
        <v>0.144</v>
      </c>
      <c r="Z17" s="148">
        <v>0.928848264535481</v>
      </c>
      <c r="AA17" s="148">
        <v>0.875898</v>
      </c>
      <c r="AB17" s="148">
        <v>0.52720000000055</v>
      </c>
      <c r="AC17" s="148">
        <v>0.849483529634062</v>
      </c>
      <c r="AD17" s="148">
        <v>0.537449791423583</v>
      </c>
      <c r="AE17" s="148">
        <v>0.219760677113476</v>
      </c>
      <c r="AF17" s="148">
        <v>0.696162358014004</v>
      </c>
      <c r="AG17" s="148">
        <v>0.51919115722747</v>
      </c>
      <c r="AH17" s="148">
        <v>0.18</v>
      </c>
      <c r="AI17" s="148">
        <v>0.710640678111957</v>
      </c>
      <c r="AJ17" s="148">
        <v>0.820791147627883</v>
      </c>
      <c r="AK17" s="148">
        <v>0.409</v>
      </c>
      <c r="AL17" s="148">
        <v>0.920003</v>
      </c>
      <c r="AM17" s="148">
        <v>0.736</v>
      </c>
      <c r="AN17" s="148">
        <v>0.786896</v>
      </c>
      <c r="AO17" s="148">
        <v>0.407</v>
      </c>
      <c r="AP17" s="148">
        <v>0.853</v>
      </c>
      <c r="AQ17" s="148">
        <v>0.574310429923633</v>
      </c>
      <c r="AR17" s="148">
        <v>0.655716</v>
      </c>
      <c r="AS17" s="148">
        <v>0.700992412263947</v>
      </c>
      <c r="AT17" s="148">
        <v>0.26</v>
      </c>
      <c r="AU17" s="148">
        <v>0.728</v>
      </c>
      <c r="AV17" s="148">
        <v>0.836</v>
      </c>
      <c r="AW17" s="148">
        <v>0.846945</v>
      </c>
      <c r="AX17" s="148">
        <v>0.489404337892669</v>
      </c>
      <c r="AY17" s="148">
        <v>0.59079477910505</v>
      </c>
      <c r="AZ17" s="148">
        <v>0.696162358014004</v>
      </c>
      <c r="BA17" s="148">
        <v>0.655716</v>
      </c>
      <c r="BB17" s="148">
        <v>0.736</v>
      </c>
      <c r="BC17" s="148">
        <v>0.64289</v>
      </c>
      <c r="BD17" s="148">
        <v>0.59079477910505</v>
      </c>
      <c r="BE17" s="148">
        <v>0.896486308572401</v>
      </c>
      <c r="BF17" s="148">
        <v>0.707</v>
      </c>
      <c r="BG17" s="148">
        <v>0.82103</v>
      </c>
      <c r="BH17" s="148">
        <v>0.906102</v>
      </c>
      <c r="BI17" s="148">
        <v>0.836</v>
      </c>
      <c r="BJ17" s="148">
        <v>0.780368731434196</v>
      </c>
      <c r="BK17" s="148">
        <v>0.453349758846986</v>
      </c>
      <c r="BL17" s="148">
        <v>0.897</v>
      </c>
      <c r="BM17" s="148">
        <v>0.8847</v>
      </c>
      <c r="BN17" s="148">
        <v>0.772</v>
      </c>
      <c r="BO17" s="148">
        <v>0.8822288881795</v>
      </c>
      <c r="BP17" s="148">
        <v>0.218</v>
      </c>
      <c r="BQ17" s="148">
        <v>0.874790555978675</v>
      </c>
      <c r="BR17" s="148">
        <v>0.856</v>
      </c>
      <c r="CC17" s="112">
        <v>0.47</v>
      </c>
      <c r="CD17" s="112">
        <v>0.83</v>
      </c>
      <c r="CE17" s="112">
        <v>0.8603</v>
      </c>
      <c r="CF17" s="112">
        <v>0.82</v>
      </c>
      <c r="CG17" s="112">
        <v>0.47</v>
      </c>
      <c r="CH17" s="112">
        <v>0.541</v>
      </c>
      <c r="CI17" s="112">
        <v>0.58</v>
      </c>
      <c r="CJ17" s="112">
        <v>0.8</v>
      </c>
      <c r="CK17" s="112">
        <v>0.677</v>
      </c>
      <c r="CL17" s="112">
        <v>0.48</v>
      </c>
      <c r="CM17" s="112">
        <v>0.832</v>
      </c>
      <c r="CN17" s="112">
        <v>0.684</v>
      </c>
      <c r="CO17" s="112">
        <v>0.73</v>
      </c>
      <c r="CP17" s="112">
        <v>0.948</v>
      </c>
      <c r="CQ17" s="112">
        <v>0.763</v>
      </c>
      <c r="CR17" s="112">
        <v>0.7</v>
      </c>
      <c r="CS17" s="112">
        <v>0.26</v>
      </c>
      <c r="CT17" s="112">
        <v>0.87</v>
      </c>
      <c r="CU17" s="112">
        <v>0.81</v>
      </c>
      <c r="CV17" s="112">
        <v>0.86</v>
      </c>
      <c r="CW17" s="112">
        <v>0.88</v>
      </c>
    </row>
    <row r="18" s="112" customFormat="1" ht="22.5" customHeight="1" spans="1:70">
      <c r="A18" s="132"/>
      <c r="B18" s="133">
        <f>tblIndicators!A14</f>
        <v>13</v>
      </c>
      <c r="C18" s="133">
        <f>tblIndicators!B14</f>
        <v>0</v>
      </c>
      <c r="D18" s="133">
        <f>tblIndicators!F14</f>
        <v>1</v>
      </c>
      <c r="E18" s="133" t="str">
        <f>tblIndicators!E14</f>
        <v>OVERALL</v>
      </c>
      <c r="F18" s="133" t="str">
        <f>tblIndicators!H14</f>
        <v>HEALTH SECURITY</v>
      </c>
      <c r="G18" s="133">
        <f>tblIndicators!Z14</f>
        <v>1</v>
      </c>
      <c r="H18" s="105" t="str">
        <f>REPT(" ",D18)&amp;tblIndicators!AE14</f>
        <v> 2) HEALTH SECURITY</v>
      </c>
      <c r="I18" s="147" t="str">
        <f>IF(G18=1,"",tblIndicators!P14)</f>
        <v/>
      </c>
      <c r="J18" s="148" t="s">
        <v>697</v>
      </c>
      <c r="K18" s="148" t="s">
        <v>697</v>
      </c>
      <c r="L18" s="148" t="s">
        <v>697</v>
      </c>
      <c r="M18" s="148" t="s">
        <v>697</v>
      </c>
      <c r="N18" s="148" t="s">
        <v>697</v>
      </c>
      <c r="O18" s="148" t="s">
        <v>697</v>
      </c>
      <c r="P18" s="148" t="s">
        <v>697</v>
      </c>
      <c r="Q18" s="148" t="s">
        <v>697</v>
      </c>
      <c r="R18" s="148" t="s">
        <v>697</v>
      </c>
      <c r="S18" s="148" t="s">
        <v>697</v>
      </c>
      <c r="T18" s="148" t="s">
        <v>697</v>
      </c>
      <c r="U18" s="148" t="s">
        <v>697</v>
      </c>
      <c r="V18" s="148" t="s">
        <v>697</v>
      </c>
      <c r="W18" s="148" t="s">
        <v>697</v>
      </c>
      <c r="X18" s="148" t="s">
        <v>697</v>
      </c>
      <c r="Y18" s="148" t="s">
        <v>697</v>
      </c>
      <c r="Z18" s="148" t="s">
        <v>697</v>
      </c>
      <c r="AA18" s="148" t="s">
        <v>697</v>
      </c>
      <c r="AB18" s="148" t="s">
        <v>697</v>
      </c>
      <c r="AC18" s="148" t="s">
        <v>697</v>
      </c>
      <c r="AD18" s="148" t="s">
        <v>697</v>
      </c>
      <c r="AE18" s="148" t="s">
        <v>697</v>
      </c>
      <c r="AF18" s="148" t="s">
        <v>697</v>
      </c>
      <c r="AG18" s="148" t="s">
        <v>697</v>
      </c>
      <c r="AH18" s="148" t="s">
        <v>697</v>
      </c>
      <c r="AI18" s="148" t="s">
        <v>697</v>
      </c>
      <c r="AJ18" s="148" t="s">
        <v>697</v>
      </c>
      <c r="AK18" s="148" t="s">
        <v>697</v>
      </c>
      <c r="AL18" s="148" t="s">
        <v>697</v>
      </c>
      <c r="AM18" s="148" t="s">
        <v>697</v>
      </c>
      <c r="AN18" s="148" t="s">
        <v>697</v>
      </c>
      <c r="AO18" s="148" t="s">
        <v>697</v>
      </c>
      <c r="AP18" s="148" t="s">
        <v>697</v>
      </c>
      <c r="AQ18" s="148" t="s">
        <v>697</v>
      </c>
      <c r="AR18" s="148" t="s">
        <v>697</v>
      </c>
      <c r="AS18" s="148" t="s">
        <v>697</v>
      </c>
      <c r="AT18" s="148" t="s">
        <v>697</v>
      </c>
      <c r="AU18" s="148" t="s">
        <v>697</v>
      </c>
      <c r="AV18" s="148" t="s">
        <v>697</v>
      </c>
      <c r="AW18" s="148" t="s">
        <v>697</v>
      </c>
      <c r="AX18" s="148" t="s">
        <v>697</v>
      </c>
      <c r="AY18" s="148" t="s">
        <v>697</v>
      </c>
      <c r="AZ18" s="148" t="s">
        <v>697</v>
      </c>
      <c r="BA18" s="148" t="s">
        <v>697</v>
      </c>
      <c r="BB18" s="148" t="s">
        <v>697</v>
      </c>
      <c r="BC18" s="148" t="s">
        <v>697</v>
      </c>
      <c r="BD18" s="148" t="s">
        <v>697</v>
      </c>
      <c r="BE18" s="148" t="s">
        <v>697</v>
      </c>
      <c r="BF18" s="148" t="s">
        <v>697</v>
      </c>
      <c r="BG18" s="148" t="s">
        <v>697</v>
      </c>
      <c r="BH18" s="148" t="s">
        <v>697</v>
      </c>
      <c r="BI18" s="148" t="s">
        <v>697</v>
      </c>
      <c r="BJ18" s="148" t="s">
        <v>697</v>
      </c>
      <c r="BK18" s="148" t="s">
        <v>697</v>
      </c>
      <c r="BL18" s="148" t="s">
        <v>697</v>
      </c>
      <c r="BM18" s="148" t="s">
        <v>697</v>
      </c>
      <c r="BN18" s="148" t="s">
        <v>697</v>
      </c>
      <c r="BO18" s="148" t="s">
        <v>697</v>
      </c>
      <c r="BP18" s="148" t="s">
        <v>697</v>
      </c>
      <c r="BQ18" s="148" t="s">
        <v>697</v>
      </c>
      <c r="BR18" s="148" t="s">
        <v>697</v>
      </c>
    </row>
    <row r="19" s="112" customFormat="1" ht="22.5" customHeight="1" spans="1:70">
      <c r="A19" s="132"/>
      <c r="B19" s="133">
        <f>tblIndicators!A15</f>
        <v>14</v>
      </c>
      <c r="C19" s="133">
        <f>tblIndicators!B15</f>
        <v>0</v>
      </c>
      <c r="D19" s="133">
        <f>tblIndicators!F15</f>
        <v>2</v>
      </c>
      <c r="E19" s="133" t="str">
        <f>tblIndicators!E15</f>
        <v>HESE</v>
      </c>
      <c r="F19" s="133" t="str">
        <f>tblIndicators!H15</f>
        <v>Health security (Inputs)</v>
      </c>
      <c r="G19" s="133">
        <f>tblIndicators!Z15</f>
        <v>1</v>
      </c>
      <c r="H19" s="105" t="str">
        <f>REPT(" ",D19)&amp;tblIndicators!AE15</f>
        <v>  2.1) Health security (Inputs)</v>
      </c>
      <c r="I19" s="147" t="str">
        <f>IF(G19=1,"",tblIndicators!P15)</f>
        <v/>
      </c>
      <c r="J19" s="148" t="s">
        <v>697</v>
      </c>
      <c r="K19" s="148" t="s">
        <v>697</v>
      </c>
      <c r="L19" s="148" t="s">
        <v>697</v>
      </c>
      <c r="M19" s="148" t="s">
        <v>697</v>
      </c>
      <c r="N19" s="148" t="s">
        <v>697</v>
      </c>
      <c r="O19" s="148" t="s">
        <v>697</v>
      </c>
      <c r="P19" s="148" t="s">
        <v>697</v>
      </c>
      <c r="Q19" s="148" t="s">
        <v>697</v>
      </c>
      <c r="R19" s="148" t="s">
        <v>697</v>
      </c>
      <c r="S19" s="148" t="s">
        <v>697</v>
      </c>
      <c r="T19" s="148" t="s">
        <v>697</v>
      </c>
      <c r="U19" s="148" t="s">
        <v>697</v>
      </c>
      <c r="V19" s="148" t="s">
        <v>697</v>
      </c>
      <c r="W19" s="148" t="s">
        <v>697</v>
      </c>
      <c r="X19" s="148" t="s">
        <v>697</v>
      </c>
      <c r="Y19" s="148" t="s">
        <v>697</v>
      </c>
      <c r="Z19" s="148" t="s">
        <v>697</v>
      </c>
      <c r="AA19" s="148" t="s">
        <v>697</v>
      </c>
      <c r="AB19" s="148" t="s">
        <v>697</v>
      </c>
      <c r="AC19" s="148" t="s">
        <v>697</v>
      </c>
      <c r="AD19" s="148" t="s">
        <v>697</v>
      </c>
      <c r="AE19" s="148" t="s">
        <v>697</v>
      </c>
      <c r="AF19" s="148" t="s">
        <v>697</v>
      </c>
      <c r="AG19" s="148" t="s">
        <v>697</v>
      </c>
      <c r="AH19" s="148" t="s">
        <v>697</v>
      </c>
      <c r="AI19" s="148" t="s">
        <v>697</v>
      </c>
      <c r="AJ19" s="148" t="s">
        <v>697</v>
      </c>
      <c r="AK19" s="148" t="s">
        <v>697</v>
      </c>
      <c r="AL19" s="148" t="s">
        <v>697</v>
      </c>
      <c r="AM19" s="148" t="s">
        <v>697</v>
      </c>
      <c r="AN19" s="148" t="s">
        <v>697</v>
      </c>
      <c r="AO19" s="148" t="s">
        <v>697</v>
      </c>
      <c r="AP19" s="148" t="s">
        <v>697</v>
      </c>
      <c r="AQ19" s="148" t="s">
        <v>697</v>
      </c>
      <c r="AR19" s="148" t="s">
        <v>697</v>
      </c>
      <c r="AS19" s="148" t="s">
        <v>697</v>
      </c>
      <c r="AT19" s="148" t="s">
        <v>697</v>
      </c>
      <c r="AU19" s="148" t="s">
        <v>697</v>
      </c>
      <c r="AV19" s="148" t="s">
        <v>697</v>
      </c>
      <c r="AW19" s="148" t="s">
        <v>697</v>
      </c>
      <c r="AX19" s="148" t="s">
        <v>697</v>
      </c>
      <c r="AY19" s="148" t="s">
        <v>697</v>
      </c>
      <c r="AZ19" s="148" t="s">
        <v>697</v>
      </c>
      <c r="BA19" s="148" t="s">
        <v>697</v>
      </c>
      <c r="BB19" s="148" t="s">
        <v>697</v>
      </c>
      <c r="BC19" s="148" t="s">
        <v>697</v>
      </c>
      <c r="BD19" s="148" t="s">
        <v>697</v>
      </c>
      <c r="BE19" s="148" t="s">
        <v>697</v>
      </c>
      <c r="BF19" s="148" t="s">
        <v>697</v>
      </c>
      <c r="BG19" s="148" t="s">
        <v>697</v>
      </c>
      <c r="BH19" s="148" t="s">
        <v>697</v>
      </c>
      <c r="BI19" s="148" t="s">
        <v>697</v>
      </c>
      <c r="BJ19" s="148" t="s">
        <v>697</v>
      </c>
      <c r="BK19" s="148" t="s">
        <v>697</v>
      </c>
      <c r="BL19" s="148" t="s">
        <v>697</v>
      </c>
      <c r="BM19" s="148" t="s">
        <v>697</v>
      </c>
      <c r="BN19" s="148" t="s">
        <v>697</v>
      </c>
      <c r="BO19" s="148" t="s">
        <v>697</v>
      </c>
      <c r="BP19" s="148" t="s">
        <v>697</v>
      </c>
      <c r="BQ19" s="148" t="s">
        <v>697</v>
      </c>
      <c r="BR19" s="148" t="s">
        <v>697</v>
      </c>
    </row>
    <row r="20" s="112" customFormat="1" ht="22.5" customHeight="1" spans="1:101">
      <c r="A20" s="132"/>
      <c r="B20" s="133">
        <f>tblIndicators!A16</f>
        <v>15</v>
      </c>
      <c r="C20" s="133">
        <f>tblIndicators!B16</f>
        <v>0</v>
      </c>
      <c r="D20" s="133">
        <f>tblIndicators!F16</f>
        <v>3</v>
      </c>
      <c r="E20" s="133" t="str">
        <f>tblIndicators!E16</f>
        <v>HESE2.1</v>
      </c>
      <c r="F20" s="133" t="str">
        <f>tblIndicators!H16</f>
        <v>Environmental policies</v>
      </c>
      <c r="G20" s="133">
        <f>tblIndicators!Z16</f>
        <v>2</v>
      </c>
      <c r="H20" s="105" t="str">
        <f>REPT(" ",D20)&amp;tblIndicators!AE16</f>
        <v>   2.1.1) Environmental policies</v>
      </c>
      <c r="I20" s="147" t="str">
        <f>IF(G20=1,"",tblIndicators!P16)</f>
        <v>Score 0 - 100</v>
      </c>
      <c r="J20" s="148">
        <v>66.6666666666667</v>
      </c>
      <c r="K20" s="148">
        <v>94.4444444444444</v>
      </c>
      <c r="L20" s="148">
        <v>50</v>
      </c>
      <c r="M20" s="148">
        <v>74.0740740740741</v>
      </c>
      <c r="N20" s="148">
        <v>81.4814814814815</v>
      </c>
      <c r="O20" s="148">
        <v>79.6296296296296</v>
      </c>
      <c r="P20" s="148">
        <v>66.6666666666667</v>
      </c>
      <c r="Q20" s="148">
        <v>94.4444444444444</v>
      </c>
      <c r="R20" s="148">
        <v>88.8888888888889</v>
      </c>
      <c r="S20" s="148">
        <v>53.7037037037037</v>
      </c>
      <c r="T20" s="148">
        <v>35.1851851851852</v>
      </c>
      <c r="U20" s="148">
        <v>66.6666666666667</v>
      </c>
      <c r="V20" s="148">
        <v>88.8888888888889</v>
      </c>
      <c r="W20" s="148">
        <v>75.9259259259259</v>
      </c>
      <c r="X20" s="148">
        <v>88.8888888888889</v>
      </c>
      <c r="Y20" s="148">
        <v>20.3703703703704</v>
      </c>
      <c r="Z20" s="148">
        <v>38.8888888888889</v>
      </c>
      <c r="AA20" s="148">
        <v>88.8888888888889</v>
      </c>
      <c r="AB20" s="148">
        <v>66.6666666666667</v>
      </c>
      <c r="AC20" s="148">
        <v>94.4444444444444</v>
      </c>
      <c r="AD20" s="148">
        <v>74.0740740740741</v>
      </c>
      <c r="AE20" s="148">
        <v>51.8518518518518</v>
      </c>
      <c r="AF20" s="148">
        <v>42.5925925925926</v>
      </c>
      <c r="AG20" s="148">
        <v>85.1851851851852</v>
      </c>
      <c r="AH20" s="148">
        <v>27.7777777777778</v>
      </c>
      <c r="AI20" s="148">
        <v>66.6666666666667</v>
      </c>
      <c r="AJ20" s="148">
        <v>16.6666666666667</v>
      </c>
      <c r="AK20" s="148">
        <v>72.2222222222222</v>
      </c>
      <c r="AL20" s="148">
        <v>83.3333333333333</v>
      </c>
      <c r="AM20" s="148">
        <v>92.5925925925926</v>
      </c>
      <c r="AN20" s="148">
        <v>81.4814814814815</v>
      </c>
      <c r="AO20" s="148">
        <v>38.8888888888889</v>
      </c>
      <c r="AP20" s="148">
        <v>81.4814814814815</v>
      </c>
      <c r="AQ20" s="148">
        <v>85.1851851851852</v>
      </c>
      <c r="AR20" s="148">
        <v>83.3333333333333</v>
      </c>
      <c r="AS20" s="148">
        <v>68.5185185185185</v>
      </c>
      <c r="AT20" s="148">
        <v>42.5925925925926</v>
      </c>
      <c r="AU20" s="148">
        <v>92.5925925925926</v>
      </c>
      <c r="AV20" s="148">
        <v>88.8888888888889</v>
      </c>
      <c r="AW20" s="148">
        <v>94.4444444444444</v>
      </c>
      <c r="AX20" s="148">
        <v>35.1851851851852</v>
      </c>
      <c r="AY20" s="148">
        <v>64.8148148148148</v>
      </c>
      <c r="AZ20" s="148">
        <v>42.5925925925926</v>
      </c>
      <c r="BA20" s="148">
        <v>72.2222222222222</v>
      </c>
      <c r="BB20" s="148">
        <v>88.8888888888889</v>
      </c>
      <c r="BC20" s="148">
        <v>55.5555555555556</v>
      </c>
      <c r="BD20" s="148">
        <v>64.8148148148148</v>
      </c>
      <c r="BE20" s="148">
        <v>90.7407407407407</v>
      </c>
      <c r="BF20" s="148">
        <v>79.6296296296296</v>
      </c>
      <c r="BG20" s="148">
        <v>94.4444444444444</v>
      </c>
      <c r="BH20" s="148">
        <v>85.1851851851852</v>
      </c>
      <c r="BI20" s="148">
        <v>85.1851851851852</v>
      </c>
      <c r="BJ20" s="148">
        <v>94.4444444444444</v>
      </c>
      <c r="BK20" s="148">
        <v>66.6666666666667</v>
      </c>
      <c r="BL20" s="148">
        <v>85.1851851851852</v>
      </c>
      <c r="BM20" s="148">
        <v>92.5925925925926</v>
      </c>
      <c r="BN20" s="148">
        <v>96.2962962962963</v>
      </c>
      <c r="BO20" s="148">
        <v>85.1851851851852</v>
      </c>
      <c r="BP20" s="148">
        <v>46.2962962962963</v>
      </c>
      <c r="BQ20" s="148">
        <v>85.1851851851852</v>
      </c>
      <c r="BR20" s="148">
        <v>96.2962962962963</v>
      </c>
      <c r="CC20" s="112">
        <v>62</v>
      </c>
      <c r="CD20" s="112">
        <v>100</v>
      </c>
      <c r="CE20" s="112">
        <v>96.5</v>
      </c>
      <c r="CF20" s="112">
        <v>94.4</v>
      </c>
      <c r="CG20" s="112">
        <v>93.1</v>
      </c>
      <c r="CH20" s="112">
        <v>22</v>
      </c>
      <c r="CI20" s="112">
        <v>52.2</v>
      </c>
      <c r="CJ20" s="112">
        <v>93.3</v>
      </c>
      <c r="CK20" s="112">
        <v>69.4</v>
      </c>
      <c r="CL20" s="112">
        <v>66.7</v>
      </c>
      <c r="CM20" s="112">
        <v>93.1</v>
      </c>
      <c r="CN20" s="112">
        <v>85</v>
      </c>
      <c r="CO20" s="112">
        <v>97.5</v>
      </c>
      <c r="CP20" s="112">
        <v>100</v>
      </c>
      <c r="CQ20" s="112">
        <v>67</v>
      </c>
      <c r="CR20" s="112">
        <v>93.1</v>
      </c>
      <c r="CS20" s="112">
        <v>71</v>
      </c>
      <c r="CT20" s="112">
        <v>96.5</v>
      </c>
      <c r="CU20" s="112">
        <v>60</v>
      </c>
      <c r="CV20" s="112">
        <v>100</v>
      </c>
      <c r="CW20" s="112">
        <v>87.8</v>
      </c>
    </row>
    <row r="21" s="112" customFormat="1" ht="22.5" customHeight="1" spans="1:101">
      <c r="A21" s="132"/>
      <c r="B21" s="133">
        <f>tblIndicators!A17</f>
        <v>16</v>
      </c>
      <c r="C21" s="133">
        <f>tblIndicators!B17</f>
        <v>0</v>
      </c>
      <c r="D21" s="133">
        <f>tblIndicators!F17</f>
        <v>3</v>
      </c>
      <c r="E21" s="133" t="str">
        <f>tblIndicators!E17</f>
        <v>HESE2.1</v>
      </c>
      <c r="F21" s="133" t="str">
        <f>tblIndicators!H17</f>
        <v>Access to healthcare</v>
      </c>
      <c r="G21" s="133">
        <f>tblIndicators!Z17</f>
        <v>3</v>
      </c>
      <c r="H21" s="105" t="str">
        <f>REPT(" ",D21)&amp;tblIndicators!AE17</f>
        <v>   2.1.2) Access to healthcare</v>
      </c>
      <c r="I21" s="147" t="str">
        <f>IF(G21=1,"",tblIndicators!P17)</f>
        <v>Score 0 - 100</v>
      </c>
      <c r="J21" s="148">
        <v>73.3333333333333</v>
      </c>
      <c r="K21" s="148">
        <v>100</v>
      </c>
      <c r="L21" s="148">
        <v>73.3333333333333</v>
      </c>
      <c r="M21" s="148">
        <v>80</v>
      </c>
      <c r="N21" s="148">
        <v>93.3333333333333</v>
      </c>
      <c r="O21" s="148">
        <v>86.6666666666667</v>
      </c>
      <c r="P21" s="148">
        <v>73.3333333333333</v>
      </c>
      <c r="Q21" s="148">
        <v>100</v>
      </c>
      <c r="R21" s="148">
        <v>93.3333333333333</v>
      </c>
      <c r="S21" s="148">
        <v>60</v>
      </c>
      <c r="T21" s="148">
        <v>53.3333333333333</v>
      </c>
      <c r="U21" s="148">
        <v>60</v>
      </c>
      <c r="V21" s="148">
        <v>93.3333333333333</v>
      </c>
      <c r="W21" s="148">
        <v>86.6666666666667</v>
      </c>
      <c r="X21" s="148">
        <v>80</v>
      </c>
      <c r="Y21" s="148">
        <v>46.6666666666667</v>
      </c>
      <c r="Z21" s="148">
        <v>80</v>
      </c>
      <c r="AA21" s="148">
        <v>100</v>
      </c>
      <c r="AB21" s="148">
        <v>73.3333333333333</v>
      </c>
      <c r="AC21" s="148">
        <v>93.3333333333333</v>
      </c>
      <c r="AD21" s="148">
        <v>60</v>
      </c>
      <c r="AE21" s="148">
        <v>73.3333333333333</v>
      </c>
      <c r="AF21" s="148">
        <v>73.3333333333333</v>
      </c>
      <c r="AG21" s="148">
        <v>80</v>
      </c>
      <c r="AH21" s="148">
        <v>66.6666666666667</v>
      </c>
      <c r="AI21" s="148">
        <v>73.3333333333333</v>
      </c>
      <c r="AJ21" s="148">
        <v>80</v>
      </c>
      <c r="AK21" s="148">
        <v>86.6666666666667</v>
      </c>
      <c r="AL21" s="148">
        <v>86.6666666666667</v>
      </c>
      <c r="AM21" s="148">
        <v>93.3333333333333</v>
      </c>
      <c r="AN21" s="148">
        <v>93.3333333333333</v>
      </c>
      <c r="AO21" s="148">
        <v>73.3333333333333</v>
      </c>
      <c r="AP21" s="148">
        <v>100</v>
      </c>
      <c r="AQ21" s="148">
        <v>86.6666666666667</v>
      </c>
      <c r="AR21" s="148">
        <v>93.3333333333333</v>
      </c>
      <c r="AS21" s="148">
        <v>80</v>
      </c>
      <c r="AT21" s="148">
        <v>86.6666666666667</v>
      </c>
      <c r="AU21" s="148">
        <v>93.3333333333333</v>
      </c>
      <c r="AV21" s="148">
        <v>100</v>
      </c>
      <c r="AW21" s="148">
        <v>100</v>
      </c>
      <c r="AX21" s="148">
        <v>60</v>
      </c>
      <c r="AY21" s="148">
        <v>73.3333333333333</v>
      </c>
      <c r="AZ21" s="148">
        <v>80</v>
      </c>
      <c r="BA21" s="148">
        <v>93.3333333333333</v>
      </c>
      <c r="BB21" s="148">
        <v>93.3333333333333</v>
      </c>
      <c r="BC21" s="148">
        <v>80</v>
      </c>
      <c r="BD21" s="148">
        <v>80</v>
      </c>
      <c r="BE21" s="148">
        <v>93.3333333333333</v>
      </c>
      <c r="BF21" s="148">
        <v>86.6666666666667</v>
      </c>
      <c r="BG21" s="148">
        <v>93.3333333333333</v>
      </c>
      <c r="BH21" s="148">
        <v>86.6666666666667</v>
      </c>
      <c r="BI21" s="148">
        <v>100</v>
      </c>
      <c r="BJ21" s="148">
        <v>86.6666666666667</v>
      </c>
      <c r="BK21" s="148">
        <v>66.6666666666667</v>
      </c>
      <c r="BL21" s="148">
        <v>100</v>
      </c>
      <c r="BM21" s="148">
        <v>100</v>
      </c>
      <c r="BN21" s="148">
        <v>93.3333333333333</v>
      </c>
      <c r="BO21" s="148">
        <v>93.3333333333333</v>
      </c>
      <c r="BP21" s="148">
        <v>60</v>
      </c>
      <c r="BQ21" s="148">
        <v>100</v>
      </c>
      <c r="BR21" s="148">
        <v>100</v>
      </c>
      <c r="CC21" s="112">
        <v>83.3333333333333</v>
      </c>
      <c r="CD21" s="112">
        <v>91.6666666666667</v>
      </c>
      <c r="CE21" s="112">
        <v>100</v>
      </c>
      <c r="CF21" s="112">
        <v>100</v>
      </c>
      <c r="CG21" s="112">
        <v>66.6666666666667</v>
      </c>
      <c r="CH21" s="112">
        <v>75</v>
      </c>
      <c r="CI21" s="112">
        <v>91.6666666666667</v>
      </c>
      <c r="CJ21" s="112">
        <v>91.6666666666667</v>
      </c>
      <c r="CK21" s="112">
        <v>75</v>
      </c>
      <c r="CL21" s="112">
        <v>75</v>
      </c>
      <c r="CM21" s="112">
        <v>91.6666666666667</v>
      </c>
      <c r="CN21" s="112">
        <v>66.6666666666667</v>
      </c>
      <c r="CO21" s="112">
        <v>91.6666666666667</v>
      </c>
      <c r="CP21" s="112">
        <v>91.6666666666667</v>
      </c>
      <c r="CQ21" s="112">
        <v>100</v>
      </c>
      <c r="CR21" s="112">
        <v>83.3333333333333</v>
      </c>
      <c r="CS21" s="112">
        <v>58.3333333333333</v>
      </c>
      <c r="CT21" s="112">
        <v>100</v>
      </c>
      <c r="CU21" s="112">
        <v>100</v>
      </c>
      <c r="CV21" s="112">
        <v>91.6666666666667</v>
      </c>
      <c r="CW21" s="112">
        <v>100</v>
      </c>
    </row>
    <row r="22" s="112" customFormat="1" ht="22.5" customHeight="1" spans="1:101">
      <c r="A22" s="132"/>
      <c r="B22" s="133">
        <f>tblIndicators!A18</f>
        <v>17</v>
      </c>
      <c r="C22" s="133">
        <f>tblIndicators!B18</f>
        <v>0</v>
      </c>
      <c r="D22" s="133">
        <f>tblIndicators!F18</f>
        <v>3</v>
      </c>
      <c r="E22" s="133" t="str">
        <f>tblIndicators!E18</f>
        <v>HESE2.1</v>
      </c>
      <c r="F22" s="133" t="str">
        <f>tblIndicators!H18</f>
        <v>No. of beds per 1,000</v>
      </c>
      <c r="G22" s="133">
        <f>tblIndicators!Z18</f>
        <v>2</v>
      </c>
      <c r="H22" s="105" t="str">
        <f>REPT(" ",D22)&amp;tblIndicators!AE18</f>
        <v>   2.1.3) No. of beds per 1,000</v>
      </c>
      <c r="I22" s="147" t="str">
        <f>IF(G22=1,"",tblIndicators!P18)</f>
        <v>#/1000</v>
      </c>
      <c r="J22" s="148">
        <v>1.1</v>
      </c>
      <c r="K22" s="148">
        <v>4.7</v>
      </c>
      <c r="L22" s="148">
        <v>4.8</v>
      </c>
      <c r="M22" s="148">
        <v>2.1</v>
      </c>
      <c r="N22" s="148">
        <v>3.1</v>
      </c>
      <c r="O22" s="148">
        <v>5.89540412044374</v>
      </c>
      <c r="P22" s="148">
        <v>1.5</v>
      </c>
      <c r="Q22" s="148">
        <v>6.5</v>
      </c>
      <c r="R22" s="148">
        <v>4.7</v>
      </c>
      <c r="S22" s="148">
        <v>0.5</v>
      </c>
      <c r="T22" s="148">
        <v>0.9</v>
      </c>
      <c r="U22" s="148">
        <v>0.9</v>
      </c>
      <c r="V22" s="148">
        <v>2.5</v>
      </c>
      <c r="W22" s="148">
        <v>2.3</v>
      </c>
      <c r="X22" s="148">
        <v>2.71</v>
      </c>
      <c r="Y22" s="148">
        <v>0.6</v>
      </c>
      <c r="Z22" s="148">
        <v>1.2</v>
      </c>
      <c r="AA22" s="148">
        <v>8.2</v>
      </c>
      <c r="AB22" s="148">
        <v>2</v>
      </c>
      <c r="AC22" s="148">
        <v>5.2</v>
      </c>
      <c r="AD22" s="148">
        <v>2.5</v>
      </c>
      <c r="AE22" s="148">
        <v>0.9</v>
      </c>
      <c r="AF22" s="148">
        <v>1.45369357930906</v>
      </c>
      <c r="AG22" s="148">
        <v>2.5</v>
      </c>
      <c r="AH22" s="148">
        <v>0.6</v>
      </c>
      <c r="AI22" s="148">
        <v>1.9</v>
      </c>
      <c r="AJ22" s="148">
        <v>2.2</v>
      </c>
      <c r="AK22" s="148">
        <v>1.5</v>
      </c>
      <c r="AL22" s="148">
        <v>2.9</v>
      </c>
      <c r="AM22" s="148">
        <v>1.8</v>
      </c>
      <c r="AN22" s="148">
        <v>3.1</v>
      </c>
      <c r="AO22" s="148">
        <v>1</v>
      </c>
      <c r="AP22" s="148">
        <v>3.9</v>
      </c>
      <c r="AQ22" s="148">
        <v>1.5</v>
      </c>
      <c r="AR22" s="148">
        <v>3.4</v>
      </c>
      <c r="AS22" s="148">
        <v>10.8900003433</v>
      </c>
      <c r="AT22" s="148">
        <v>3.3</v>
      </c>
      <c r="AU22" s="148">
        <v>2.7</v>
      </c>
      <c r="AV22" s="148">
        <v>12.199</v>
      </c>
      <c r="AW22" s="148">
        <v>6.4</v>
      </c>
      <c r="AX22" s="148">
        <v>1.6</v>
      </c>
      <c r="AY22" s="148">
        <v>2.3</v>
      </c>
      <c r="AZ22" s="148">
        <v>1.63709819356471</v>
      </c>
      <c r="BA22" s="148">
        <v>3.4</v>
      </c>
      <c r="BB22" s="148">
        <v>1.8</v>
      </c>
      <c r="BC22" s="148">
        <v>2.1</v>
      </c>
      <c r="BD22" s="148">
        <v>2.3</v>
      </c>
      <c r="BE22" s="148">
        <v>10.3</v>
      </c>
      <c r="BF22" s="148">
        <v>5.48949485918641</v>
      </c>
      <c r="BG22" s="148">
        <v>2</v>
      </c>
      <c r="BH22" s="148">
        <v>2.7</v>
      </c>
      <c r="BI22" s="148">
        <v>3.9</v>
      </c>
      <c r="BJ22" s="148">
        <v>9.214</v>
      </c>
      <c r="BK22" s="148">
        <v>0.1</v>
      </c>
      <c r="BL22" s="148">
        <v>9.483</v>
      </c>
      <c r="BM22" s="148">
        <v>2.7</v>
      </c>
      <c r="BN22" s="148">
        <v>1.7</v>
      </c>
      <c r="BO22" s="148">
        <v>2.3</v>
      </c>
      <c r="BP22" s="148">
        <v>0.7</v>
      </c>
      <c r="BQ22" s="148">
        <v>5</v>
      </c>
      <c r="BR22" s="148">
        <v>13.773</v>
      </c>
      <c r="CC22" s="112">
        <v>1.92</v>
      </c>
      <c r="CD22" s="112">
        <v>3.1</v>
      </c>
      <c r="CE22" s="112">
        <v>10.3</v>
      </c>
      <c r="CF22" s="112">
        <v>7.11</v>
      </c>
      <c r="CG22" s="112">
        <v>1.9</v>
      </c>
      <c r="CH22" s="112">
        <v>2.21</v>
      </c>
      <c r="CI22" s="112">
        <v>4.3</v>
      </c>
      <c r="CJ22" s="112">
        <v>3</v>
      </c>
      <c r="CK22" s="112">
        <v>2.1</v>
      </c>
      <c r="CL22" s="112">
        <v>2.6</v>
      </c>
      <c r="CM22" s="112">
        <v>4.8</v>
      </c>
      <c r="CN22" s="112">
        <v>4.61</v>
      </c>
      <c r="CO22" s="112">
        <v>2</v>
      </c>
      <c r="CP22" s="112">
        <v>24</v>
      </c>
      <c r="CQ22" s="112">
        <v>2.99</v>
      </c>
      <c r="CR22" s="112">
        <v>8.2</v>
      </c>
      <c r="CS22" s="112">
        <v>0.1</v>
      </c>
      <c r="CT22" s="112">
        <v>8.38</v>
      </c>
      <c r="CU22" s="112">
        <v>2.5</v>
      </c>
      <c r="CV22" s="112">
        <v>5.9</v>
      </c>
      <c r="CW22" s="112">
        <v>4.4</v>
      </c>
    </row>
    <row r="23" s="112" customFormat="1" ht="22.5" customHeight="1" spans="1:101">
      <c r="A23" s="132"/>
      <c r="B23" s="133">
        <f>tblIndicators!A19</f>
        <v>18</v>
      </c>
      <c r="C23" s="133">
        <f>tblIndicators!B19</f>
        <v>0</v>
      </c>
      <c r="D23" s="133">
        <f>tblIndicators!F19</f>
        <v>3</v>
      </c>
      <c r="E23" s="133" t="str">
        <f>tblIndicators!E19</f>
        <v>HESE2.1</v>
      </c>
      <c r="F23" s="133" t="str">
        <f>tblIndicators!H19</f>
        <v>No. of doctors per 1,000</v>
      </c>
      <c r="G23" s="133">
        <f>tblIndicators!Z19</f>
        <v>2</v>
      </c>
      <c r="H23" s="105" t="str">
        <f>REPT(" ",D23)&amp;tblIndicators!AE19</f>
        <v>   2.1.4) No. of doctors per 1,000</v>
      </c>
      <c r="I23" s="147" t="str">
        <f>IF(G23=1,"",tblIndicators!P19)</f>
        <v>#/1000</v>
      </c>
      <c r="J23" s="148">
        <v>1.558</v>
      </c>
      <c r="K23" s="148">
        <v>3.352</v>
      </c>
      <c r="L23" s="148">
        <v>6.255</v>
      </c>
      <c r="M23" s="148">
        <v>0.394</v>
      </c>
      <c r="N23" s="148">
        <v>3.819</v>
      </c>
      <c r="O23" s="148">
        <v>3.9</v>
      </c>
      <c r="P23" s="148">
        <v>1.568</v>
      </c>
      <c r="Q23" s="148">
        <v>2.971</v>
      </c>
      <c r="R23" s="148">
        <v>3.762</v>
      </c>
      <c r="S23" s="148">
        <v>0.814</v>
      </c>
      <c r="T23" s="148">
        <v>1.925</v>
      </c>
      <c r="U23" s="148">
        <v>0.618</v>
      </c>
      <c r="V23" s="148">
        <v>2.715</v>
      </c>
      <c r="W23" s="148">
        <v>2.133</v>
      </c>
      <c r="X23" s="148">
        <v>0.725</v>
      </c>
      <c r="Y23" s="148">
        <v>0.389</v>
      </c>
      <c r="Z23" s="148">
        <v>1.964</v>
      </c>
      <c r="AA23" s="148">
        <v>4.125</v>
      </c>
      <c r="AB23" s="148">
        <v>1.18</v>
      </c>
      <c r="AC23" s="148">
        <v>1.9</v>
      </c>
      <c r="AD23" s="148">
        <v>1.749</v>
      </c>
      <c r="AE23" s="148">
        <v>0.201</v>
      </c>
      <c r="AF23" s="148">
        <v>2.20877688189056</v>
      </c>
      <c r="AG23" s="148">
        <v>0.767</v>
      </c>
      <c r="AH23" s="148">
        <v>0.806</v>
      </c>
      <c r="AI23" s="148">
        <v>1.281</v>
      </c>
      <c r="AJ23" s="148">
        <v>1.949</v>
      </c>
      <c r="AK23" s="148">
        <v>1.116</v>
      </c>
      <c r="AL23" s="148">
        <v>2.806</v>
      </c>
      <c r="AM23" s="148">
        <v>2.625</v>
      </c>
      <c r="AN23" s="148">
        <v>3.819</v>
      </c>
      <c r="AO23" s="148">
        <v>1.11</v>
      </c>
      <c r="AP23" s="148">
        <v>3.374</v>
      </c>
      <c r="AQ23" s="148">
        <v>2.071</v>
      </c>
      <c r="AR23" s="148">
        <v>3.945</v>
      </c>
      <c r="AS23" s="148">
        <v>3.306</v>
      </c>
      <c r="AT23" s="148">
        <v>0.725</v>
      </c>
      <c r="AU23" s="148">
        <v>3.538</v>
      </c>
      <c r="AV23" s="148">
        <v>2.746</v>
      </c>
      <c r="AW23" s="148">
        <v>3.227</v>
      </c>
      <c r="AX23" s="148">
        <v>1.665</v>
      </c>
      <c r="AY23" s="148">
        <v>1.852</v>
      </c>
      <c r="AZ23" s="148">
        <v>2.1249284451332</v>
      </c>
      <c r="BA23" s="148">
        <v>3.945</v>
      </c>
      <c r="BB23" s="148">
        <v>2.625</v>
      </c>
      <c r="BC23" s="148">
        <v>1.033</v>
      </c>
      <c r="BD23" s="148">
        <v>1.852</v>
      </c>
      <c r="BE23" s="148">
        <v>2.231</v>
      </c>
      <c r="BF23" s="148">
        <v>2.6</v>
      </c>
      <c r="BG23" s="148">
        <v>1.913</v>
      </c>
      <c r="BH23" s="148">
        <v>4.107</v>
      </c>
      <c r="BI23" s="148">
        <v>3.374</v>
      </c>
      <c r="BJ23" s="148">
        <v>1.36713479490806</v>
      </c>
      <c r="BK23" s="148">
        <v>1.491</v>
      </c>
      <c r="BL23" s="148">
        <v>3.234</v>
      </c>
      <c r="BM23" s="148">
        <v>2.477</v>
      </c>
      <c r="BN23" s="148">
        <v>8.493</v>
      </c>
      <c r="BO23" s="148">
        <v>2.852</v>
      </c>
      <c r="BP23" s="148">
        <v>0.568</v>
      </c>
      <c r="BQ23" s="148">
        <v>4.114</v>
      </c>
      <c r="BR23" s="148">
        <v>3.263</v>
      </c>
      <c r="CC23" s="112">
        <v>0.54</v>
      </c>
      <c r="CD23" s="112">
        <v>3.48</v>
      </c>
      <c r="CE23" s="112">
        <v>5</v>
      </c>
      <c r="CF23" s="112">
        <v>3.5</v>
      </c>
      <c r="CG23" s="112">
        <v>3.6</v>
      </c>
      <c r="CH23" s="112">
        <v>2.2</v>
      </c>
      <c r="CI23" s="112">
        <v>4.1</v>
      </c>
      <c r="CJ23" s="112">
        <v>2.39</v>
      </c>
      <c r="CK23" s="112">
        <v>1.01</v>
      </c>
      <c r="CL23" s="112">
        <v>4</v>
      </c>
      <c r="CM23" s="112">
        <v>3.49</v>
      </c>
      <c r="CN23" s="112">
        <v>2.34</v>
      </c>
      <c r="CO23" s="112">
        <v>1.6</v>
      </c>
      <c r="CP23" s="112">
        <v>4.54</v>
      </c>
      <c r="CQ23" s="112">
        <v>3.09</v>
      </c>
      <c r="CR23" s="112">
        <v>17.7</v>
      </c>
      <c r="CS23" s="112">
        <v>0.89</v>
      </c>
      <c r="CT23" s="112">
        <v>3.04</v>
      </c>
      <c r="CU23" s="112">
        <v>0.9</v>
      </c>
      <c r="CV23" s="112">
        <v>7.64</v>
      </c>
      <c r="CW23" s="112">
        <v>4.65</v>
      </c>
    </row>
    <row r="24" s="112" customFormat="1" ht="22.5" customHeight="1" spans="1:101">
      <c r="A24" s="132"/>
      <c r="B24" s="133">
        <f>tblIndicators!A20</f>
        <v>19</v>
      </c>
      <c r="C24" s="133">
        <f>tblIndicators!B20</f>
        <v>0</v>
      </c>
      <c r="D24" s="133">
        <f>tblIndicators!F20</f>
        <v>3</v>
      </c>
      <c r="E24" s="133" t="str">
        <f>tblIndicators!E20</f>
        <v>HESE2.1</v>
      </c>
      <c r="F24" s="133" t="str">
        <f>tblIndicators!H20</f>
        <v>Access to safe and quality food</v>
      </c>
      <c r="G24" s="133">
        <f>tblIndicators!Z20</f>
        <v>3</v>
      </c>
      <c r="H24" s="105" t="str">
        <f>REPT(" ",D24)&amp;tblIndicators!AE20</f>
        <v>   2.1.5) Access to safe and quality food</v>
      </c>
      <c r="I24" s="147" t="str">
        <f>IF(G24=1,"",tblIndicators!P20)</f>
        <v>Scale 0 - 100</v>
      </c>
      <c r="J24" s="148">
        <v>99.7</v>
      </c>
      <c r="K24" s="148">
        <v>100</v>
      </c>
      <c r="L24" s="148">
        <v>100</v>
      </c>
      <c r="M24" s="148">
        <v>98.2</v>
      </c>
      <c r="N24" s="148">
        <v>100</v>
      </c>
      <c r="O24" s="148">
        <v>96.2</v>
      </c>
      <c r="P24" s="148">
        <v>92.8</v>
      </c>
      <c r="Q24" s="148">
        <v>100</v>
      </c>
      <c r="R24" s="148">
        <v>99.2</v>
      </c>
      <c r="S24" s="148">
        <v>99.5</v>
      </c>
      <c r="T24" s="148">
        <v>94.2</v>
      </c>
      <c r="U24" s="148">
        <v>87.7</v>
      </c>
      <c r="V24" s="148">
        <v>99.3</v>
      </c>
      <c r="W24" s="148">
        <v>99.3</v>
      </c>
      <c r="X24" s="148">
        <v>82.5</v>
      </c>
      <c r="Y24" s="148">
        <v>76.5</v>
      </c>
      <c r="Z24" s="148">
        <v>87.5</v>
      </c>
      <c r="AA24" s="148">
        <v>100</v>
      </c>
      <c r="AB24" s="148">
        <v>85.5</v>
      </c>
      <c r="AC24" s="148">
        <v>96.2</v>
      </c>
      <c r="AD24" s="148">
        <v>100</v>
      </c>
      <c r="AE24" s="148">
        <v>76.9</v>
      </c>
      <c r="AF24" s="148">
        <v>97.5</v>
      </c>
      <c r="AG24" s="148">
        <v>94.3</v>
      </c>
      <c r="AH24" s="148">
        <v>48.1</v>
      </c>
      <c r="AI24" s="148">
        <v>98.5</v>
      </c>
      <c r="AJ24" s="148">
        <v>99.2</v>
      </c>
      <c r="AK24" s="148">
        <v>88.8</v>
      </c>
      <c r="AL24" s="148">
        <v>100</v>
      </c>
      <c r="AM24" s="148">
        <v>99.3</v>
      </c>
      <c r="AN24" s="148">
        <v>100</v>
      </c>
      <c r="AO24" s="148">
        <v>93.1</v>
      </c>
      <c r="AP24" s="148">
        <v>100</v>
      </c>
      <c r="AQ24" s="148">
        <v>96.7</v>
      </c>
      <c r="AR24" s="148">
        <v>100</v>
      </c>
      <c r="AS24" s="148">
        <v>97.4</v>
      </c>
      <c r="AT24" s="148">
        <v>82.5</v>
      </c>
      <c r="AU24" s="148">
        <v>99.3</v>
      </c>
      <c r="AV24" s="148">
        <v>100</v>
      </c>
      <c r="AW24" s="148">
        <v>100</v>
      </c>
      <c r="AX24" s="148">
        <v>89</v>
      </c>
      <c r="AY24" s="148">
        <v>98.4</v>
      </c>
      <c r="AZ24" s="148">
        <v>97.5</v>
      </c>
      <c r="BA24" s="148">
        <v>100</v>
      </c>
      <c r="BB24" s="148">
        <v>99.3</v>
      </c>
      <c r="BC24" s="148">
        <v>99.2</v>
      </c>
      <c r="BD24" s="148">
        <v>98.4</v>
      </c>
      <c r="BE24" s="148">
        <v>99.7</v>
      </c>
      <c r="BF24" s="148">
        <v>96.2</v>
      </c>
      <c r="BG24" s="148">
        <v>100</v>
      </c>
      <c r="BH24" s="148">
        <v>100</v>
      </c>
      <c r="BI24" s="148">
        <v>100</v>
      </c>
      <c r="BJ24" s="148">
        <v>96.2</v>
      </c>
      <c r="BK24" s="148">
        <v>84.9</v>
      </c>
      <c r="BL24" s="148">
        <v>100</v>
      </c>
      <c r="BM24" s="148">
        <v>99.8</v>
      </c>
      <c r="BN24" s="148">
        <v>99.3</v>
      </c>
      <c r="BO24" s="148">
        <v>100</v>
      </c>
      <c r="BP24" s="148">
        <v>71.2</v>
      </c>
      <c r="BQ24" s="148">
        <v>100</v>
      </c>
      <c r="BR24" s="148">
        <v>100</v>
      </c>
      <c r="CC24" s="112">
        <v>81.1</v>
      </c>
      <c r="CD24" s="112">
        <v>99.3</v>
      </c>
      <c r="CE24" s="112">
        <v>100</v>
      </c>
      <c r="CF24" s="112">
        <v>100</v>
      </c>
      <c r="CG24" s="112">
        <v>97.9</v>
      </c>
      <c r="CH24" s="112">
        <v>97.5</v>
      </c>
      <c r="CI24" s="112">
        <v>100</v>
      </c>
      <c r="CJ24" s="112">
        <v>99.3</v>
      </c>
      <c r="CK24" s="112">
        <v>98.9</v>
      </c>
      <c r="CL24" s="112">
        <v>97.9</v>
      </c>
      <c r="CM24" s="112">
        <v>98</v>
      </c>
      <c r="CN24" s="112">
        <v>94.4</v>
      </c>
      <c r="CO24" s="112">
        <v>100</v>
      </c>
      <c r="CP24" s="112">
        <v>100</v>
      </c>
      <c r="CQ24" s="112">
        <v>100</v>
      </c>
      <c r="CR24" s="112">
        <v>94.4</v>
      </c>
      <c r="CS24" s="112">
        <v>87.6</v>
      </c>
      <c r="CT24" s="112">
        <v>100</v>
      </c>
      <c r="CU24" s="112">
        <v>99.8</v>
      </c>
      <c r="CV24" s="112">
        <v>99.3</v>
      </c>
      <c r="CW24" s="112">
        <v>100</v>
      </c>
    </row>
    <row r="25" s="112" customFormat="1" ht="22.5" customHeight="1" spans="1:101">
      <c r="A25" s="132"/>
      <c r="B25" s="133">
        <f>tblIndicators!A21</f>
        <v>20</v>
      </c>
      <c r="C25" s="133">
        <f>tblIndicators!B21</f>
        <v>0</v>
      </c>
      <c r="D25" s="133">
        <f>tblIndicators!F21</f>
        <v>3</v>
      </c>
      <c r="E25" s="133" t="str">
        <f>tblIndicators!E21</f>
        <v>HESE2.1</v>
      </c>
      <c r="F25" s="133" t="str">
        <f>tblIndicators!H21</f>
        <v>Quality of health services</v>
      </c>
      <c r="G25" s="133">
        <f>tblIndicators!Z21</f>
        <v>3</v>
      </c>
      <c r="H25" s="105" t="str">
        <f>REPT(" ",D25)&amp;tblIndicators!AE21</f>
        <v>   2.1.6) Quality of health services</v>
      </c>
      <c r="I25" s="147" t="str">
        <f>IF(G25=1,"",tblIndicators!P21)</f>
        <v>Scale 1 - 5</v>
      </c>
      <c r="J25" s="148">
        <v>4</v>
      </c>
      <c r="K25" s="148">
        <v>5</v>
      </c>
      <c r="L25" s="148">
        <v>3.5</v>
      </c>
      <c r="M25" s="148">
        <v>3.5</v>
      </c>
      <c r="N25" s="148">
        <v>5</v>
      </c>
      <c r="O25" s="148">
        <v>3.5</v>
      </c>
      <c r="P25" s="148">
        <v>3.5</v>
      </c>
      <c r="Q25" s="148">
        <v>5</v>
      </c>
      <c r="R25" s="148">
        <v>4</v>
      </c>
      <c r="S25" s="148">
        <v>2.5</v>
      </c>
      <c r="T25" s="148">
        <v>2.5</v>
      </c>
      <c r="U25" s="148">
        <v>2.5</v>
      </c>
      <c r="V25" s="148">
        <v>4.5</v>
      </c>
      <c r="W25" s="148">
        <v>4.5</v>
      </c>
      <c r="X25" s="148">
        <v>3.5</v>
      </c>
      <c r="Y25" s="148">
        <v>2.5</v>
      </c>
      <c r="Z25" s="148">
        <v>4</v>
      </c>
      <c r="AA25" s="148">
        <v>5</v>
      </c>
      <c r="AB25" s="148">
        <v>2.5</v>
      </c>
      <c r="AC25" s="148">
        <v>4.5</v>
      </c>
      <c r="AD25" s="148">
        <v>3</v>
      </c>
      <c r="AE25" s="148">
        <v>2.5</v>
      </c>
      <c r="AF25" s="148">
        <v>3.5</v>
      </c>
      <c r="AG25" s="148">
        <v>3</v>
      </c>
      <c r="AH25" s="148">
        <v>3</v>
      </c>
      <c r="AI25" s="148">
        <v>3.5</v>
      </c>
      <c r="AJ25" s="148">
        <v>4.5</v>
      </c>
      <c r="AK25" s="148">
        <v>3.5</v>
      </c>
      <c r="AL25" s="148">
        <v>4.5</v>
      </c>
      <c r="AM25" s="148">
        <v>4.5</v>
      </c>
      <c r="AN25" s="148">
        <v>4.5</v>
      </c>
      <c r="AO25" s="148">
        <v>3.5</v>
      </c>
      <c r="AP25" s="148">
        <v>5</v>
      </c>
      <c r="AQ25" s="148">
        <v>3</v>
      </c>
      <c r="AR25" s="148">
        <v>4</v>
      </c>
      <c r="AS25" s="148">
        <v>4</v>
      </c>
      <c r="AT25" s="148">
        <v>2.5</v>
      </c>
      <c r="AU25" s="148">
        <v>4.5</v>
      </c>
      <c r="AV25" s="148">
        <v>5</v>
      </c>
      <c r="AW25" s="148">
        <v>5</v>
      </c>
      <c r="AX25" s="148">
        <v>2.5</v>
      </c>
      <c r="AY25" s="148">
        <v>3.5</v>
      </c>
      <c r="AZ25" s="148">
        <v>3.5</v>
      </c>
      <c r="BA25" s="148">
        <v>4</v>
      </c>
      <c r="BB25" s="148">
        <v>4.5</v>
      </c>
      <c r="BC25" s="148">
        <v>3.5</v>
      </c>
      <c r="BD25" s="148">
        <v>3.5</v>
      </c>
      <c r="BE25" s="148">
        <v>4.5</v>
      </c>
      <c r="BF25" s="148">
        <v>3.5</v>
      </c>
      <c r="BG25" s="148">
        <v>5</v>
      </c>
      <c r="BH25" s="148">
        <v>4.5</v>
      </c>
      <c r="BI25" s="148">
        <v>5</v>
      </c>
      <c r="BJ25" s="148">
        <v>4.5</v>
      </c>
      <c r="BK25" s="148">
        <v>3.5</v>
      </c>
      <c r="BL25" s="148">
        <v>5</v>
      </c>
      <c r="BM25" s="148">
        <v>5</v>
      </c>
      <c r="BN25" s="148">
        <v>4.5</v>
      </c>
      <c r="BO25" s="148">
        <v>4.5</v>
      </c>
      <c r="BP25" s="148">
        <v>2.5</v>
      </c>
      <c r="BQ25" s="148">
        <v>5</v>
      </c>
      <c r="BR25" s="148">
        <v>5</v>
      </c>
      <c r="CC25" s="112">
        <v>3.5</v>
      </c>
      <c r="CD25" s="112">
        <v>1.5</v>
      </c>
      <c r="CE25" s="112">
        <v>1</v>
      </c>
      <c r="CF25" s="112">
        <v>1</v>
      </c>
      <c r="CG25" s="112">
        <v>2.5</v>
      </c>
      <c r="CH25" s="112">
        <v>2.5</v>
      </c>
      <c r="CI25" s="112">
        <v>2</v>
      </c>
      <c r="CJ25" s="112">
        <v>1.5</v>
      </c>
      <c r="CK25" s="112">
        <v>2.5</v>
      </c>
      <c r="CL25" s="112">
        <v>2.5</v>
      </c>
      <c r="CM25" s="112">
        <v>1.5</v>
      </c>
      <c r="CN25" s="112">
        <v>2.5</v>
      </c>
      <c r="CO25" s="112">
        <v>1</v>
      </c>
      <c r="CP25" s="112">
        <v>1</v>
      </c>
      <c r="CQ25" s="112">
        <v>1</v>
      </c>
      <c r="CR25" s="112">
        <v>1.5</v>
      </c>
      <c r="CS25" s="112">
        <v>2.5</v>
      </c>
      <c r="CT25" s="112">
        <v>1</v>
      </c>
      <c r="CU25" s="112">
        <v>1</v>
      </c>
      <c r="CV25" s="112">
        <v>1.5</v>
      </c>
      <c r="CW25" s="112">
        <v>1</v>
      </c>
    </row>
    <row r="26" s="112" customFormat="1" ht="22.5" customHeight="1" spans="1:70">
      <c r="A26" s="132"/>
      <c r="B26" s="133">
        <f>tblIndicators!A22</f>
        <v>21</v>
      </c>
      <c r="C26" s="133">
        <f>tblIndicators!B22</f>
        <v>0</v>
      </c>
      <c r="D26" s="133">
        <f>tblIndicators!F22</f>
        <v>2</v>
      </c>
      <c r="E26" s="133" t="str">
        <f>tblIndicators!E22</f>
        <v>HESE</v>
      </c>
      <c r="F26" s="133" t="str">
        <f>tblIndicators!H22</f>
        <v>Health security (Outputs)</v>
      </c>
      <c r="G26" s="133">
        <f>tblIndicators!Z22</f>
        <v>1</v>
      </c>
      <c r="H26" s="105" t="str">
        <f>REPT(" ",D26)&amp;tblIndicators!AE22</f>
        <v>  2.2) Health security (Outputs)</v>
      </c>
      <c r="I26" s="147" t="str">
        <f>IF(G26=1,"",tblIndicators!P22)</f>
        <v/>
      </c>
      <c r="J26" s="148" t="s">
        <v>697</v>
      </c>
      <c r="K26" s="148" t="s">
        <v>697</v>
      </c>
      <c r="L26" s="148" t="s">
        <v>697</v>
      </c>
      <c r="M26" s="148" t="s">
        <v>697</v>
      </c>
      <c r="N26" s="148" t="s">
        <v>697</v>
      </c>
      <c r="O26" s="148" t="s">
        <v>697</v>
      </c>
      <c r="P26" s="148" t="s">
        <v>697</v>
      </c>
      <c r="Q26" s="148" t="s">
        <v>697</v>
      </c>
      <c r="R26" s="148" t="s">
        <v>697</v>
      </c>
      <c r="S26" s="148" t="s">
        <v>697</v>
      </c>
      <c r="T26" s="148" t="s">
        <v>697</v>
      </c>
      <c r="U26" s="148" t="s">
        <v>697</v>
      </c>
      <c r="V26" s="148" t="s">
        <v>697</v>
      </c>
      <c r="W26" s="148" t="s">
        <v>697</v>
      </c>
      <c r="X26" s="148" t="s">
        <v>697</v>
      </c>
      <c r="Y26" s="148" t="s">
        <v>697</v>
      </c>
      <c r="Z26" s="148" t="s">
        <v>697</v>
      </c>
      <c r="AA26" s="148" t="s">
        <v>697</v>
      </c>
      <c r="AB26" s="148" t="s">
        <v>697</v>
      </c>
      <c r="AC26" s="148" t="s">
        <v>697</v>
      </c>
      <c r="AD26" s="148" t="s">
        <v>697</v>
      </c>
      <c r="AE26" s="148" t="s">
        <v>697</v>
      </c>
      <c r="AF26" s="148" t="s">
        <v>697</v>
      </c>
      <c r="AG26" s="148" t="s">
        <v>697</v>
      </c>
      <c r="AH26" s="148" t="s">
        <v>697</v>
      </c>
      <c r="AI26" s="148" t="s">
        <v>697</v>
      </c>
      <c r="AJ26" s="148" t="s">
        <v>697</v>
      </c>
      <c r="AK26" s="148" t="s">
        <v>697</v>
      </c>
      <c r="AL26" s="148" t="s">
        <v>697</v>
      </c>
      <c r="AM26" s="148" t="s">
        <v>697</v>
      </c>
      <c r="AN26" s="148" t="s">
        <v>697</v>
      </c>
      <c r="AO26" s="148" t="s">
        <v>697</v>
      </c>
      <c r="AP26" s="148" t="s">
        <v>697</v>
      </c>
      <c r="AQ26" s="148" t="s">
        <v>697</v>
      </c>
      <c r="AR26" s="148" t="s">
        <v>697</v>
      </c>
      <c r="AS26" s="148" t="s">
        <v>697</v>
      </c>
      <c r="AT26" s="148" t="s">
        <v>697</v>
      </c>
      <c r="AU26" s="148" t="s">
        <v>697</v>
      </c>
      <c r="AV26" s="148" t="s">
        <v>697</v>
      </c>
      <c r="AW26" s="148" t="s">
        <v>697</v>
      </c>
      <c r="AX26" s="148" t="s">
        <v>697</v>
      </c>
      <c r="AY26" s="148" t="s">
        <v>697</v>
      </c>
      <c r="AZ26" s="148" t="s">
        <v>697</v>
      </c>
      <c r="BA26" s="148" t="s">
        <v>697</v>
      </c>
      <c r="BB26" s="148" t="s">
        <v>697</v>
      </c>
      <c r="BC26" s="148" t="s">
        <v>697</v>
      </c>
      <c r="BD26" s="148" t="s">
        <v>697</v>
      </c>
      <c r="BE26" s="148" t="s">
        <v>697</v>
      </c>
      <c r="BF26" s="148" t="s">
        <v>697</v>
      </c>
      <c r="BG26" s="148" t="s">
        <v>697</v>
      </c>
      <c r="BH26" s="148" t="s">
        <v>697</v>
      </c>
      <c r="BI26" s="148" t="s">
        <v>697</v>
      </c>
      <c r="BJ26" s="148" t="s">
        <v>697</v>
      </c>
      <c r="BK26" s="148" t="s">
        <v>697</v>
      </c>
      <c r="BL26" s="148" t="s">
        <v>697</v>
      </c>
      <c r="BM26" s="148" t="s">
        <v>697</v>
      </c>
      <c r="BN26" s="148" t="s">
        <v>697</v>
      </c>
      <c r="BO26" s="148" t="s">
        <v>697</v>
      </c>
      <c r="BP26" s="148" t="s">
        <v>697</v>
      </c>
      <c r="BQ26" s="148" t="s">
        <v>697</v>
      </c>
      <c r="BR26" s="148" t="s">
        <v>697</v>
      </c>
    </row>
    <row r="27" s="112" customFormat="1" ht="22.5" customHeight="1" spans="1:101">
      <c r="A27" s="132"/>
      <c r="B27" s="133">
        <f>tblIndicators!A23</f>
        <v>22</v>
      </c>
      <c r="C27" s="133">
        <f>tblIndicators!B23</f>
        <v>0</v>
      </c>
      <c r="D27" s="133">
        <f>tblIndicators!F23</f>
        <v>3</v>
      </c>
      <c r="E27" s="133" t="str">
        <f>tblIndicators!E23</f>
        <v>HESE2.2</v>
      </c>
      <c r="F27" s="133" t="str">
        <f>tblIndicators!H23</f>
        <v>Air quality (PM 2.5 levels)</v>
      </c>
      <c r="G27" s="133">
        <f>tblIndicators!Z23</f>
        <v>3</v>
      </c>
      <c r="H27" s="105" t="str">
        <f>REPT(" ",D27)&amp;tblIndicators!AE23</f>
        <v>   2.2.1) Air quality (PM 2.5 levels)</v>
      </c>
      <c r="I27" s="147" t="str">
        <f>IF(G27=1,"",tblIndicators!P23)</f>
        <v>PM 2.5 levels</v>
      </c>
      <c r="J27" s="148">
        <v>55.7811786420668</v>
      </c>
      <c r="K27" s="148">
        <v>15.5574063128571</v>
      </c>
      <c r="L27" s="148">
        <v>14.9984123566746</v>
      </c>
      <c r="M27" s="148">
        <v>23.5189248240994</v>
      </c>
      <c r="N27" s="148">
        <v>15.2506366116667</v>
      </c>
      <c r="O27" s="148">
        <v>85.2385355512068</v>
      </c>
      <c r="P27" s="148">
        <v>24</v>
      </c>
      <c r="Q27" s="148">
        <v>18.247265666</v>
      </c>
      <c r="R27" s="148">
        <v>14.1595930493704</v>
      </c>
      <c r="S27" s="148">
        <v>75.6426589161361</v>
      </c>
      <c r="T27" s="148">
        <v>25.4477422721461</v>
      </c>
      <c r="U27" s="148">
        <v>25.5663735442806</v>
      </c>
      <c r="V27" s="148">
        <v>11.66</v>
      </c>
      <c r="W27" s="148">
        <v>10</v>
      </c>
      <c r="X27" s="148">
        <v>122.105666</v>
      </c>
      <c r="Y27" s="148">
        <v>89.6960227272727</v>
      </c>
      <c r="Z27" s="148">
        <v>93.4333333333333</v>
      </c>
      <c r="AA27" s="148">
        <v>18.25526867</v>
      </c>
      <c r="AB27" s="148">
        <v>28.2516555</v>
      </c>
      <c r="AC27" s="148">
        <v>29.4666666666667</v>
      </c>
      <c r="AD27" s="148">
        <v>32.5427768089074</v>
      </c>
      <c r="AE27" s="148">
        <v>15.40820407</v>
      </c>
      <c r="AF27" s="148">
        <v>68.0361345558542</v>
      </c>
      <c r="AG27" s="148">
        <v>40.61695872</v>
      </c>
      <c r="AH27" s="148">
        <v>88.35</v>
      </c>
      <c r="AI27" s="148">
        <v>24.8708519369426</v>
      </c>
      <c r="AJ27" s="148">
        <v>67.43349003</v>
      </c>
      <c r="AK27" s="148">
        <v>47.5364814299626</v>
      </c>
      <c r="AL27" s="148">
        <v>9</v>
      </c>
      <c r="AM27" s="148">
        <v>10.7888888888889</v>
      </c>
      <c r="AN27" s="148">
        <v>9.94610258166667</v>
      </c>
      <c r="AO27" s="148">
        <v>17.2</v>
      </c>
      <c r="AP27" s="148">
        <v>7.7</v>
      </c>
      <c r="AQ27" s="148">
        <v>19.7765390013448</v>
      </c>
      <c r="AR27" s="148">
        <v>30.181780245</v>
      </c>
      <c r="AS27" s="148">
        <v>19.8175016636904</v>
      </c>
      <c r="AT27" s="148">
        <v>62.9375</v>
      </c>
      <c r="AU27" s="148">
        <v>8.81111111111111</v>
      </c>
      <c r="AV27" s="148">
        <v>16.84</v>
      </c>
      <c r="AW27" s="148">
        <v>17.5</v>
      </c>
      <c r="AX27" s="148">
        <v>18.446</v>
      </c>
      <c r="AY27" s="148">
        <v>15.8823529411765</v>
      </c>
      <c r="AZ27" s="148">
        <v>155.511164699095</v>
      </c>
      <c r="BA27" s="148">
        <v>17.017341975</v>
      </c>
      <c r="BB27" s="148">
        <v>8.5375</v>
      </c>
      <c r="BC27" s="148">
        <v>28.771</v>
      </c>
      <c r="BD27" s="148">
        <v>18.625</v>
      </c>
      <c r="BE27" s="148">
        <v>24.233407945337</v>
      </c>
      <c r="BF27" s="148">
        <v>51.6</v>
      </c>
      <c r="BG27" s="148">
        <v>18</v>
      </c>
      <c r="BH27" s="148">
        <v>5.5145110025</v>
      </c>
      <c r="BI27" s="148">
        <v>7.68</v>
      </c>
      <c r="BJ27" s="148">
        <v>18.7142857142857</v>
      </c>
      <c r="BK27" s="148">
        <v>31.66</v>
      </c>
      <c r="BL27" s="148">
        <v>14.9</v>
      </c>
      <c r="BM27" s="148">
        <v>8.4</v>
      </c>
      <c r="BN27" s="148">
        <v>8.8875</v>
      </c>
      <c r="BO27" s="148">
        <v>6.28740067246045</v>
      </c>
      <c r="BP27" s="148">
        <v>54.38812189</v>
      </c>
      <c r="BQ27" s="148">
        <v>14.3042878188</v>
      </c>
      <c r="BR27" s="148">
        <v>14.9666666666667</v>
      </c>
      <c r="CC27" s="112">
        <v>45</v>
      </c>
      <c r="CD27" s="112">
        <v>14</v>
      </c>
      <c r="CE27" s="112">
        <v>9</v>
      </c>
      <c r="CF27" s="112">
        <v>17</v>
      </c>
      <c r="CG27" s="112">
        <v>36</v>
      </c>
      <c r="CH27" s="112">
        <v>28</v>
      </c>
      <c r="CI27" s="112">
        <v>21</v>
      </c>
      <c r="CJ27" s="112">
        <v>10</v>
      </c>
      <c r="CK27" s="112">
        <v>26</v>
      </c>
      <c r="CL27" s="112">
        <v>19</v>
      </c>
      <c r="CM27" s="112">
        <v>22</v>
      </c>
      <c r="CN27" s="112">
        <v>36</v>
      </c>
      <c r="CO27" s="112">
        <v>17</v>
      </c>
      <c r="CP27" s="112">
        <v>7</v>
      </c>
      <c r="CQ27" s="112">
        <v>5</v>
      </c>
      <c r="CR27" s="112">
        <v>41</v>
      </c>
      <c r="CS27" s="112">
        <v>30</v>
      </c>
      <c r="CT27" s="112">
        <v>10</v>
      </c>
      <c r="CU27" s="112">
        <v>8</v>
      </c>
      <c r="CV27" s="112">
        <v>12</v>
      </c>
      <c r="CW27" s="112">
        <v>14</v>
      </c>
    </row>
    <row r="28" s="112" customFormat="1" ht="22.5" customHeight="1" spans="1:101">
      <c r="A28" s="132"/>
      <c r="B28" s="133">
        <f>tblIndicators!A24</f>
        <v>23</v>
      </c>
      <c r="C28" s="133">
        <f>tblIndicators!B24</f>
        <v>0</v>
      </c>
      <c r="D28" s="133">
        <f>tblIndicators!F24</f>
        <v>3</v>
      </c>
      <c r="E28" s="133" t="str">
        <f>tblIndicators!E24</f>
        <v>HESE2.2</v>
      </c>
      <c r="F28" s="133" t="str">
        <f>tblIndicators!H24</f>
        <v>Water quality</v>
      </c>
      <c r="G28" s="133">
        <f>tblIndicators!Z24</f>
        <v>3</v>
      </c>
      <c r="H28" s="105" t="str">
        <f>REPT(" ",D28)&amp;tblIndicators!AE24</f>
        <v>   2.2.2) Water quality</v>
      </c>
      <c r="I28" s="147" t="str">
        <f>IF(G28=1,"",tblIndicators!P24)</f>
        <v>Scale 0 - 100</v>
      </c>
      <c r="J28" s="148">
        <v>91.3447138534964</v>
      </c>
      <c r="K28" s="148">
        <v>94.4980184940555</v>
      </c>
      <c r="L28" s="148">
        <v>87.6489240209656</v>
      </c>
      <c r="M28" s="148">
        <v>79.3330165764691</v>
      </c>
      <c r="N28" s="148">
        <v>78.2850769165211</v>
      </c>
      <c r="O28" s="148">
        <v>85.9515234158606</v>
      </c>
      <c r="P28" s="148">
        <v>71.4101853666851</v>
      </c>
      <c r="Q28" s="148">
        <v>94.8823667277453</v>
      </c>
      <c r="R28" s="148">
        <v>80.5849763497678</v>
      </c>
      <c r="S28" s="148">
        <v>74.477965653897</v>
      </c>
      <c r="T28" s="148">
        <v>51.4702169003281</v>
      </c>
      <c r="U28" s="148">
        <v>68.918064516129</v>
      </c>
      <c r="V28" s="148">
        <v>74.68</v>
      </c>
      <c r="W28" s="148">
        <v>74.5977355435292</v>
      </c>
      <c r="X28" s="148">
        <v>74.6005667533132</v>
      </c>
      <c r="Y28" s="148">
        <v>75.6312234201219</v>
      </c>
      <c r="Z28" s="148">
        <v>86.3282694848085</v>
      </c>
      <c r="AA28" s="148">
        <v>96.9922018153151</v>
      </c>
      <c r="AB28" s="148">
        <v>75.8059359952273</v>
      </c>
      <c r="AC28" s="148">
        <v>83.1285166403886</v>
      </c>
      <c r="AD28" s="148">
        <v>72.8538884390847</v>
      </c>
      <c r="AE28" s="148">
        <v>58.8163847104445</v>
      </c>
      <c r="AF28" s="148">
        <v>83.0237823326373</v>
      </c>
      <c r="AG28" s="148">
        <v>85.1482771551541</v>
      </c>
      <c r="AH28" s="148">
        <v>64.843312737035</v>
      </c>
      <c r="AI28" s="148">
        <v>77.8593667703584</v>
      </c>
      <c r="AJ28" s="148">
        <v>79.0954190991605</v>
      </c>
      <c r="AK28" s="148">
        <v>61.2459445178336</v>
      </c>
      <c r="AL28" s="148">
        <v>90.3712234201219</v>
      </c>
      <c r="AM28" s="148">
        <v>75.1299509950143</v>
      </c>
      <c r="AN28" s="148">
        <v>87.2850769165211</v>
      </c>
      <c r="AO28" s="148">
        <v>83.0867703583756</v>
      </c>
      <c r="AP28" s="148">
        <v>92.3350662632633</v>
      </c>
      <c r="AQ28" s="148">
        <v>68.1903217283845</v>
      </c>
      <c r="AR28" s="148">
        <v>86.3978352580219</v>
      </c>
      <c r="AS28" s="148">
        <v>87.9379469041633</v>
      </c>
      <c r="AT28" s="148">
        <v>84.3588315506882</v>
      </c>
      <c r="AU28" s="148">
        <v>83.4326100481527</v>
      </c>
      <c r="AV28" s="148">
        <v>89.1403460178122</v>
      </c>
      <c r="AW28" s="148">
        <v>90.2805855030468</v>
      </c>
      <c r="AX28" s="148">
        <v>65.9302049686794</v>
      </c>
      <c r="AY28" s="148">
        <v>66.8841752247837</v>
      </c>
      <c r="AZ28" s="148">
        <v>83.208722887459</v>
      </c>
      <c r="BA28" s="148">
        <v>83.0591255806026</v>
      </c>
      <c r="BB28" s="148">
        <v>75.1299509950143</v>
      </c>
      <c r="BC28" s="148">
        <v>86.1620019601994</v>
      </c>
      <c r="BD28" s="148">
        <v>50.1841752247837</v>
      </c>
      <c r="BE28" s="148">
        <v>93.8108194485874</v>
      </c>
      <c r="BF28" s="148">
        <v>82.7680103975796</v>
      </c>
      <c r="BG28" s="148">
        <v>94.8656624195679</v>
      </c>
      <c r="BH28" s="148">
        <v>94.5553117143222</v>
      </c>
      <c r="BI28" s="148">
        <v>93.1768994758597</v>
      </c>
      <c r="BJ28" s="148">
        <v>87.916005454468</v>
      </c>
      <c r="BK28" s="148">
        <v>73.3695742958197</v>
      </c>
      <c r="BL28" s="148">
        <v>90.1403460178122</v>
      </c>
      <c r="BM28" s="148">
        <v>93.4071308646184</v>
      </c>
      <c r="BN28" s="148">
        <v>79.5964145395662</v>
      </c>
      <c r="BO28" s="148">
        <v>90.0277410832233</v>
      </c>
      <c r="BP28" s="148">
        <v>64.4896274768824</v>
      </c>
      <c r="BQ28" s="148">
        <v>92.0764477777304</v>
      </c>
      <c r="BR28" s="148">
        <v>87.1403460178122</v>
      </c>
      <c r="CC28" s="112">
        <v>64.5</v>
      </c>
      <c r="CD28" s="112">
        <v>88.8</v>
      </c>
      <c r="CE28" s="112">
        <v>71.3</v>
      </c>
      <c r="CF28" s="112">
        <v>85.5</v>
      </c>
      <c r="CG28" s="112">
        <v>54.6</v>
      </c>
      <c r="CH28" s="112">
        <v>48</v>
      </c>
      <c r="CI28" s="112">
        <v>68.8</v>
      </c>
      <c r="CJ28" s="112">
        <v>87.4</v>
      </c>
      <c r="CK28" s="112">
        <v>70.2</v>
      </c>
      <c r="CL28" s="112">
        <v>73.6</v>
      </c>
      <c r="CM28" s="112">
        <v>73.2</v>
      </c>
      <c r="CN28" s="112">
        <v>63</v>
      </c>
      <c r="CO28" s="112">
        <v>78.8</v>
      </c>
      <c r="CP28" s="112">
        <v>71.4</v>
      </c>
      <c r="CQ28" s="112">
        <v>82</v>
      </c>
      <c r="CR28" s="112">
        <v>62.9</v>
      </c>
      <c r="CS28" s="112">
        <v>46</v>
      </c>
      <c r="CT28" s="112">
        <v>79.5</v>
      </c>
      <c r="CU28" s="112">
        <v>83.5</v>
      </c>
      <c r="CV28" s="112">
        <v>67.3</v>
      </c>
      <c r="CW28" s="112">
        <v>88.8</v>
      </c>
    </row>
    <row r="29" s="112" customFormat="1" ht="22.5" customHeight="1" spans="1:101">
      <c r="A29" s="132"/>
      <c r="B29" s="133">
        <f>tblIndicators!A25</f>
        <v>24</v>
      </c>
      <c r="C29" s="133">
        <f>tblIndicators!B25</f>
        <v>0</v>
      </c>
      <c r="D29" s="133">
        <f>tblIndicators!F25</f>
        <v>3</v>
      </c>
      <c r="E29" s="133" t="str">
        <f>tblIndicators!E25</f>
        <v>HESE2.2</v>
      </c>
      <c r="F29" s="133" t="str">
        <f>tblIndicators!H25</f>
        <v>Life expectancy years</v>
      </c>
      <c r="G29" s="133">
        <f>tblIndicators!Z25</f>
        <v>2</v>
      </c>
      <c r="H29" s="105" t="str">
        <f>REPT(" ",D29)&amp;tblIndicators!AE25</f>
        <v>   2.2.3) Life expectancy years</v>
      </c>
      <c r="I29" s="147" t="str">
        <f>IF(G29=1,"",tblIndicators!P25)</f>
        <v>Years (the longer, the better)</v>
      </c>
      <c r="J29" s="148">
        <v>77.541243902439</v>
      </c>
      <c r="K29" s="148">
        <v>81.7073170731707</v>
      </c>
      <c r="L29" s="148">
        <v>81.5878048780488</v>
      </c>
      <c r="M29" s="148">
        <v>74.6011951219512</v>
      </c>
      <c r="N29" s="148">
        <v>83.3804878048781</v>
      </c>
      <c r="O29" s="148">
        <v>75.9863414634146</v>
      </c>
      <c r="P29" s="148">
        <v>74.1820243902439</v>
      </c>
      <c r="Q29" s="148">
        <v>81.2878048780488</v>
      </c>
      <c r="R29" s="148">
        <v>76.3342195121951</v>
      </c>
      <c r="S29" s="148">
        <v>71.3169512195122</v>
      </c>
      <c r="T29" s="148">
        <v>74.4096097560976</v>
      </c>
      <c r="U29" s="148">
        <v>74.2893170731707</v>
      </c>
      <c r="V29" s="148">
        <v>78.9614478220395</v>
      </c>
      <c r="W29" s="148">
        <v>78.4541429859455</v>
      </c>
      <c r="X29" s="148">
        <v>68.3485609756098</v>
      </c>
      <c r="Y29" s="148">
        <v>72.0011951219512</v>
      </c>
      <c r="Z29" s="148">
        <v>78.7625853658537</v>
      </c>
      <c r="AA29" s="148">
        <v>81.090243902439</v>
      </c>
      <c r="AB29" s="148">
        <v>75.7777317073171</v>
      </c>
      <c r="AC29" s="148">
        <v>84.2780487804878</v>
      </c>
      <c r="AD29" s="148">
        <v>75.4262195121951</v>
      </c>
      <c r="AE29" s="148">
        <v>69.0716829268293</v>
      </c>
      <c r="AF29" s="148">
        <v>74.4933414634146</v>
      </c>
      <c r="AG29" s="148">
        <v>57.4409024390244</v>
      </c>
      <c r="AH29" s="148">
        <v>66.3769756097561</v>
      </c>
      <c r="AI29" s="148">
        <v>74.8751707317073</v>
      </c>
      <c r="AJ29" s="148">
        <v>74.6979024390244</v>
      </c>
      <c r="AK29" s="148">
        <v>74.7807317073171</v>
      </c>
      <c r="AL29" s="148">
        <v>81.6048780487805</v>
      </c>
      <c r="AM29" s="148">
        <v>80.7740231455822</v>
      </c>
      <c r="AN29" s="148">
        <v>83.3804878048781</v>
      </c>
      <c r="AO29" s="148">
        <v>68.406756097561</v>
      </c>
      <c r="AP29" s="148">
        <v>82.4512195121951</v>
      </c>
      <c r="AQ29" s="148">
        <v>76.9206829268293</v>
      </c>
      <c r="AR29" s="148">
        <v>83.490243902439</v>
      </c>
      <c r="AS29" s="148">
        <v>70.9085365853659</v>
      </c>
      <c r="AT29" s="148">
        <v>68.3485609756098</v>
      </c>
      <c r="AU29" s="148">
        <v>80.4809072461301</v>
      </c>
      <c r="AV29" s="148">
        <v>83.8436585365854</v>
      </c>
      <c r="AW29" s="148">
        <v>82.6707317073171</v>
      </c>
      <c r="AX29" s="148">
        <v>76.1029268292683</v>
      </c>
      <c r="AY29" s="148">
        <v>74.6758780487805</v>
      </c>
      <c r="AZ29" s="148">
        <v>74.4933414634146</v>
      </c>
      <c r="BA29" s="148">
        <v>83.490243902439</v>
      </c>
      <c r="BB29" s="148">
        <v>80.7740231455822</v>
      </c>
      <c r="BC29" s="148">
        <v>81.7875609756098</v>
      </c>
      <c r="BD29" s="148">
        <v>74.6758780487805</v>
      </c>
      <c r="BE29" s="148">
        <v>82.1558536585366</v>
      </c>
      <c r="BF29" s="148">
        <v>75.9863414634146</v>
      </c>
      <c r="BG29" s="148">
        <v>82.5951219512195</v>
      </c>
      <c r="BH29" s="148">
        <v>82.5512195121951</v>
      </c>
      <c r="BI29" s="148">
        <v>82.4512195121951</v>
      </c>
      <c r="BJ29" s="148">
        <v>80.2</v>
      </c>
      <c r="BK29" s="148">
        <v>75.5913414634147</v>
      </c>
      <c r="BL29" s="148">
        <v>83.8436585365854</v>
      </c>
      <c r="BM29" s="148">
        <v>82.1376341463415</v>
      </c>
      <c r="BN29" s="148">
        <v>76.5328925495123</v>
      </c>
      <c r="BO29" s="148">
        <v>81.4568292682927</v>
      </c>
      <c r="BP29" s="148">
        <v>66.0420731707317</v>
      </c>
      <c r="BQ29" s="148">
        <v>83.1975609756098</v>
      </c>
      <c r="BR29" s="148">
        <v>83.8436585365854</v>
      </c>
      <c r="CC29" s="112">
        <v>71</v>
      </c>
      <c r="CD29" s="112">
        <v>80.9</v>
      </c>
      <c r="CE29" s="112">
        <v>83.2</v>
      </c>
      <c r="CF29" s="112">
        <v>81.46</v>
      </c>
      <c r="CG29" s="112">
        <v>72.75</v>
      </c>
      <c r="CH29" s="112">
        <v>75</v>
      </c>
      <c r="CI29" s="112">
        <v>82.4</v>
      </c>
      <c r="CJ29" s="112">
        <v>79.9</v>
      </c>
      <c r="CK29" s="112">
        <v>78.44</v>
      </c>
      <c r="CL29" s="112">
        <v>71</v>
      </c>
      <c r="CM29" s="112">
        <v>83.06</v>
      </c>
      <c r="CN29" s="112">
        <v>80.26</v>
      </c>
      <c r="CO29" s="112">
        <v>81.8</v>
      </c>
      <c r="CP29" s="112">
        <v>82.4</v>
      </c>
      <c r="CQ29" s="112">
        <v>81.4</v>
      </c>
      <c r="CR29" s="112">
        <v>82.66</v>
      </c>
      <c r="CS29" s="112">
        <v>76.5</v>
      </c>
      <c r="CT29" s="112">
        <v>82.46</v>
      </c>
      <c r="CU29" s="112">
        <v>80.6</v>
      </c>
      <c r="CV29" s="112">
        <v>75.61</v>
      </c>
      <c r="CW29" s="112">
        <v>83.52</v>
      </c>
    </row>
    <row r="30" s="112" customFormat="1" ht="22.5" customHeight="1" spans="1:101">
      <c r="A30" s="132"/>
      <c r="B30" s="133">
        <f>tblIndicators!A26</f>
        <v>25</v>
      </c>
      <c r="C30" s="133">
        <f>tblIndicators!B26</f>
        <v>0</v>
      </c>
      <c r="D30" s="133">
        <f>tblIndicators!F26</f>
        <v>3</v>
      </c>
      <c r="E30" s="133" t="str">
        <f>tblIndicators!E26</f>
        <v>HESE2.2</v>
      </c>
      <c r="F30" s="133" t="str">
        <f>tblIndicators!H26</f>
        <v>Infant mortality</v>
      </c>
      <c r="G30" s="133">
        <f>tblIndicators!Z26</f>
        <v>2</v>
      </c>
      <c r="H30" s="105" t="str">
        <f>REPT(" ",D30)&amp;tblIndicators!AE26</f>
        <v>   2.2.4) Infant mortality</v>
      </c>
      <c r="I30" s="147" t="str">
        <f>IF(G30=1,"",tblIndicators!P26)</f>
        <v>Deaths per 1,000 births</v>
      </c>
      <c r="J30" s="148">
        <v>5.9</v>
      </c>
      <c r="K30" s="148">
        <v>3.2</v>
      </c>
      <c r="L30" s="148">
        <v>3.6</v>
      </c>
      <c r="M30" s="148">
        <v>10.5</v>
      </c>
      <c r="N30" s="148">
        <v>3.5</v>
      </c>
      <c r="O30" s="148">
        <v>9.2</v>
      </c>
      <c r="P30" s="148">
        <v>13.6</v>
      </c>
      <c r="Q30" s="148">
        <v>3.3</v>
      </c>
      <c r="R30" s="148">
        <v>11.1</v>
      </c>
      <c r="S30" s="148">
        <v>20.3</v>
      </c>
      <c r="T30" s="148">
        <v>12.9</v>
      </c>
      <c r="U30" s="148">
        <v>23.7</v>
      </c>
      <c r="V30" s="148">
        <v>6.6</v>
      </c>
      <c r="W30" s="148">
        <v>5.8</v>
      </c>
      <c r="X30" s="148">
        <v>37.9</v>
      </c>
      <c r="Y30" s="148">
        <v>30.7</v>
      </c>
      <c r="Z30" s="148">
        <v>6.8</v>
      </c>
      <c r="AA30" s="148">
        <v>3.1</v>
      </c>
      <c r="AB30" s="148">
        <v>17.3</v>
      </c>
      <c r="AC30" s="148">
        <v>1.5</v>
      </c>
      <c r="AD30" s="148">
        <v>11.6</v>
      </c>
      <c r="AE30" s="148">
        <v>22.8</v>
      </c>
      <c r="AF30" s="148">
        <v>12.5</v>
      </c>
      <c r="AG30" s="148">
        <v>33.6</v>
      </c>
      <c r="AH30" s="148">
        <v>65.8</v>
      </c>
      <c r="AI30" s="148">
        <v>6</v>
      </c>
      <c r="AJ30" s="148">
        <v>7.3</v>
      </c>
      <c r="AK30" s="148">
        <v>13.1</v>
      </c>
      <c r="AL30" s="148">
        <v>3.5</v>
      </c>
      <c r="AM30" s="148">
        <v>4.3</v>
      </c>
      <c r="AN30" s="148">
        <v>3.5</v>
      </c>
      <c r="AO30" s="148">
        <v>22.2</v>
      </c>
      <c r="AP30" s="148">
        <v>3</v>
      </c>
      <c r="AQ30" s="148">
        <v>11.3</v>
      </c>
      <c r="AR30" s="148">
        <v>2.9</v>
      </c>
      <c r="AS30" s="148">
        <v>8.2</v>
      </c>
      <c r="AT30" s="148">
        <v>37.9</v>
      </c>
      <c r="AU30" s="148">
        <v>4.6</v>
      </c>
      <c r="AV30" s="148">
        <v>2</v>
      </c>
      <c r="AW30" s="148">
        <v>3.5</v>
      </c>
      <c r="AX30" s="148">
        <v>18.4</v>
      </c>
      <c r="AY30" s="148">
        <v>14.6</v>
      </c>
      <c r="AZ30" s="148">
        <v>12.5</v>
      </c>
      <c r="BA30" s="148">
        <v>2.9</v>
      </c>
      <c r="BB30" s="148">
        <v>4.3</v>
      </c>
      <c r="BC30" s="148">
        <v>7</v>
      </c>
      <c r="BD30" s="148">
        <v>14.6</v>
      </c>
      <c r="BE30" s="148">
        <v>2.9</v>
      </c>
      <c r="BF30" s="148">
        <v>9.2</v>
      </c>
      <c r="BG30" s="148">
        <v>2.1</v>
      </c>
      <c r="BH30" s="148">
        <v>2.4</v>
      </c>
      <c r="BI30" s="148">
        <v>3</v>
      </c>
      <c r="BJ30" s="148">
        <v>4.1</v>
      </c>
      <c r="BK30" s="148">
        <v>13.4</v>
      </c>
      <c r="BL30" s="148">
        <v>2</v>
      </c>
      <c r="BM30" s="148">
        <v>4.3</v>
      </c>
      <c r="BN30" s="148">
        <v>4.5</v>
      </c>
      <c r="BO30" s="148">
        <v>4.7</v>
      </c>
      <c r="BP30" s="148">
        <v>39.5</v>
      </c>
      <c r="BQ30" s="148">
        <v>3.4</v>
      </c>
      <c r="BR30" s="148">
        <v>2</v>
      </c>
      <c r="CC30" s="112">
        <v>34.6</v>
      </c>
      <c r="CD30" s="112">
        <v>4.7</v>
      </c>
      <c r="CE30" s="112">
        <v>2.1</v>
      </c>
      <c r="CF30" s="112">
        <v>3.37</v>
      </c>
      <c r="CG30" s="112">
        <v>19.88</v>
      </c>
      <c r="CH30" s="112">
        <v>15.61</v>
      </c>
      <c r="CI30" s="112">
        <v>6.5</v>
      </c>
      <c r="CJ30" s="112">
        <v>2.9</v>
      </c>
      <c r="CK30" s="112">
        <v>7.1</v>
      </c>
      <c r="CL30" s="112">
        <v>12.4</v>
      </c>
      <c r="CM30" s="112">
        <v>4.77</v>
      </c>
      <c r="CN30" s="112">
        <v>5.7</v>
      </c>
      <c r="CO30" s="112">
        <v>2.7</v>
      </c>
      <c r="CP30" s="112">
        <v>2</v>
      </c>
      <c r="CQ30" s="112">
        <v>3.2</v>
      </c>
      <c r="CR30" s="112">
        <v>3.77</v>
      </c>
      <c r="CS30" s="112">
        <v>39</v>
      </c>
      <c r="CT30" s="112">
        <v>2.2</v>
      </c>
      <c r="CU30" s="112">
        <v>6.4</v>
      </c>
      <c r="CV30" s="112">
        <v>5.1</v>
      </c>
      <c r="CW30" s="112">
        <v>4.6</v>
      </c>
    </row>
    <row r="31" s="112" customFormat="1" ht="22.5" customHeight="1" spans="1:101">
      <c r="A31" s="132"/>
      <c r="B31" s="133">
        <f>tblIndicators!A27</f>
        <v>26</v>
      </c>
      <c r="C31" s="133">
        <f>tblIndicators!B27</f>
        <v>0</v>
      </c>
      <c r="D31" s="133">
        <f>tblIndicators!F27</f>
        <v>3</v>
      </c>
      <c r="E31" s="133" t="str">
        <f>tblIndicators!E27</f>
        <v>HESE2.2</v>
      </c>
      <c r="F31" s="133" t="str">
        <f>tblIndicators!H27</f>
        <v>Cancer mortality rate</v>
      </c>
      <c r="G31" s="133">
        <f>tblIndicators!Z27</f>
        <v>2</v>
      </c>
      <c r="H31" s="105" t="str">
        <f>REPT(" ",D31)&amp;tblIndicators!AE27</f>
        <v>   2.2.5) Cancer mortality rate</v>
      </c>
      <c r="I31" s="147" t="str">
        <f>IF(G31=1,"",tblIndicators!P27)</f>
        <v>Cancer deaths per 100,000</v>
      </c>
      <c r="J31" s="148">
        <v>79.69</v>
      </c>
      <c r="K31" s="148">
        <v>157.6</v>
      </c>
      <c r="L31" s="148">
        <v>123.71</v>
      </c>
      <c r="M31" s="148">
        <v>104.57</v>
      </c>
      <c r="N31" s="148">
        <v>127.46</v>
      </c>
      <c r="O31" s="148">
        <v>134.5</v>
      </c>
      <c r="P31" s="148">
        <v>90.71</v>
      </c>
      <c r="Q31" s="148">
        <v>142.12</v>
      </c>
      <c r="R31" s="148">
        <v>134.18</v>
      </c>
      <c r="S31" s="148">
        <v>116.77</v>
      </c>
      <c r="T31" s="148">
        <v>91.39</v>
      </c>
      <c r="U31" s="148">
        <v>94.25</v>
      </c>
      <c r="V31" s="148">
        <v>171.7</v>
      </c>
      <c r="W31" s="148">
        <v>156.9</v>
      </c>
      <c r="X31" s="148">
        <v>70.23</v>
      </c>
      <c r="Y31" s="148">
        <v>83.07</v>
      </c>
      <c r="Z31" s="148">
        <v>76.22</v>
      </c>
      <c r="AA31" s="148">
        <v>131.38</v>
      </c>
      <c r="AB31" s="148">
        <v>110.13</v>
      </c>
      <c r="AC31" s="148">
        <v>103.1</v>
      </c>
      <c r="AD31" s="148">
        <v>131.92</v>
      </c>
      <c r="AE31" s="148">
        <v>106.37</v>
      </c>
      <c r="AF31" s="148">
        <v>60.2</v>
      </c>
      <c r="AG31" s="148">
        <v>106.16</v>
      </c>
      <c r="AH31" s="148">
        <v>84.74</v>
      </c>
      <c r="AI31" s="148">
        <v>95.67</v>
      </c>
      <c r="AJ31" s="148">
        <v>67.67</v>
      </c>
      <c r="AK31" s="148">
        <v>108.21</v>
      </c>
      <c r="AL31" s="148">
        <v>140.07</v>
      </c>
      <c r="AM31" s="148">
        <v>146.6</v>
      </c>
      <c r="AN31" s="148">
        <v>127.46</v>
      </c>
      <c r="AO31" s="148">
        <v>93.53</v>
      </c>
      <c r="AP31" s="148">
        <v>119.53</v>
      </c>
      <c r="AQ31" s="148">
        <v>71.75</v>
      </c>
      <c r="AR31" s="148">
        <v>124.73</v>
      </c>
      <c r="AS31" s="148">
        <v>155.28</v>
      </c>
      <c r="AT31" s="148">
        <v>70.23</v>
      </c>
      <c r="AU31" s="148">
        <v>155.5</v>
      </c>
      <c r="AV31" s="148">
        <v>113.68</v>
      </c>
      <c r="AW31" s="148">
        <v>146.8</v>
      </c>
      <c r="AX31" s="148">
        <v>108.35</v>
      </c>
      <c r="AY31" s="148">
        <v>118.94</v>
      </c>
      <c r="AZ31" s="148">
        <v>60.2</v>
      </c>
      <c r="BA31" s="148">
        <v>124.73</v>
      </c>
      <c r="BB31" s="148">
        <v>146.6</v>
      </c>
      <c r="BC31" s="148">
        <v>119.73</v>
      </c>
      <c r="BD31" s="148">
        <v>118.94</v>
      </c>
      <c r="BE31" s="148">
        <v>117.97</v>
      </c>
      <c r="BF31" s="148">
        <v>115.6</v>
      </c>
      <c r="BG31" s="148">
        <v>107.64</v>
      </c>
      <c r="BH31" s="148">
        <v>119.77</v>
      </c>
      <c r="BI31" s="148">
        <v>119.53</v>
      </c>
      <c r="BJ31" s="148">
        <v>126.8</v>
      </c>
      <c r="BK31" s="148">
        <v>92.75</v>
      </c>
      <c r="BL31" s="148">
        <v>113.68</v>
      </c>
      <c r="BM31" s="148">
        <v>129.21</v>
      </c>
      <c r="BN31" s="148">
        <v>177.7</v>
      </c>
      <c r="BO31" s="148">
        <v>120.28</v>
      </c>
      <c r="BP31" s="148">
        <v>117.63</v>
      </c>
      <c r="BQ31" s="148">
        <v>111.78</v>
      </c>
      <c r="BR31" s="148">
        <v>113.68</v>
      </c>
      <c r="CC31" s="112">
        <v>64.49</v>
      </c>
      <c r="CD31" s="112">
        <v>1.63</v>
      </c>
      <c r="CE31" s="112">
        <v>291</v>
      </c>
      <c r="CF31" s="112">
        <v>177</v>
      </c>
      <c r="CG31" s="112">
        <v>103.72</v>
      </c>
      <c r="CH31" s="112">
        <v>53.85</v>
      </c>
      <c r="CI31" s="112">
        <v>134.04</v>
      </c>
      <c r="CJ31" s="112">
        <v>166.04</v>
      </c>
      <c r="CK31" s="112">
        <v>1.77</v>
      </c>
      <c r="CL31" s="112">
        <v>103.72</v>
      </c>
      <c r="CM31" s="112">
        <v>119.6</v>
      </c>
      <c r="CN31" s="112">
        <v>133</v>
      </c>
      <c r="CO31" s="112">
        <v>90.5</v>
      </c>
      <c r="CP31" s="112">
        <v>179.5</v>
      </c>
      <c r="CQ31" s="112">
        <v>174</v>
      </c>
      <c r="CR31" s="112">
        <v>193.01</v>
      </c>
      <c r="CS31" s="112">
        <v>81.9</v>
      </c>
      <c r="CT31" s="112">
        <v>254.9</v>
      </c>
      <c r="CU31" s="112">
        <v>143.2</v>
      </c>
      <c r="CV31" s="112">
        <v>198.41</v>
      </c>
      <c r="CW31" s="112">
        <v>92.48</v>
      </c>
    </row>
    <row r="32" s="112" customFormat="1" ht="22.5" customHeight="1" spans="1:101">
      <c r="A32" s="132"/>
      <c r="B32" s="133">
        <f>tblIndicators!A28</f>
        <v>27</v>
      </c>
      <c r="C32" s="133">
        <f>tblIndicators!B28</f>
        <v>0</v>
      </c>
      <c r="D32" s="133">
        <f>tblIndicators!F28</f>
        <v>3</v>
      </c>
      <c r="E32" s="133" t="str">
        <f>tblIndicators!E28</f>
        <v>HESE2.2</v>
      </c>
      <c r="F32" s="133" t="str">
        <f>tblIndicators!H28</f>
        <v>Number of attacks using biological, chemical and/or radiological weapons</v>
      </c>
      <c r="G32" s="133">
        <f>tblIndicators!Z28</f>
        <v>2</v>
      </c>
      <c r="H32" s="105" t="str">
        <f>REPT(" ",D32)&amp;tblIndicators!AE28</f>
        <v>   2.2.6) Number of attacks using biological, chemical and/or radiological weapons</v>
      </c>
      <c r="I32" s="147" t="str">
        <f>IF(G32=1,"",tblIndicators!P28)</f>
        <v>#/year</v>
      </c>
      <c r="J32" s="148">
        <v>0</v>
      </c>
      <c r="K32" s="148">
        <v>0</v>
      </c>
      <c r="L32" s="148">
        <v>0</v>
      </c>
      <c r="M32" s="148">
        <v>0</v>
      </c>
      <c r="N32" s="148">
        <v>0</v>
      </c>
      <c r="O32" s="148">
        <v>0</v>
      </c>
      <c r="P32" s="148">
        <v>0</v>
      </c>
      <c r="Q32" s="148">
        <v>0</v>
      </c>
      <c r="R32" s="148">
        <v>0</v>
      </c>
      <c r="S32" s="148">
        <v>0</v>
      </c>
      <c r="T32" s="148">
        <v>0</v>
      </c>
      <c r="U32" s="148">
        <v>0</v>
      </c>
      <c r="V32" s="148">
        <v>0</v>
      </c>
      <c r="W32" s="148">
        <v>0</v>
      </c>
      <c r="X32" s="148">
        <v>0</v>
      </c>
      <c r="Y32" s="148">
        <v>0</v>
      </c>
      <c r="Z32" s="148">
        <v>0</v>
      </c>
      <c r="AA32" s="148">
        <v>0</v>
      </c>
      <c r="AB32" s="148">
        <v>0</v>
      </c>
      <c r="AC32" s="148">
        <v>0.3</v>
      </c>
      <c r="AD32" s="148">
        <v>0</v>
      </c>
      <c r="AE32" s="148">
        <v>0</v>
      </c>
      <c r="AF32" s="148">
        <v>0</v>
      </c>
      <c r="AG32" s="148">
        <v>0</v>
      </c>
      <c r="AH32" s="148">
        <v>0</v>
      </c>
      <c r="AI32" s="148">
        <v>0</v>
      </c>
      <c r="AJ32" s="148">
        <v>0</v>
      </c>
      <c r="AK32" s="148">
        <v>0</v>
      </c>
      <c r="AL32" s="148">
        <v>0</v>
      </c>
      <c r="AM32" s="148">
        <v>0.1</v>
      </c>
      <c r="AN32" s="148">
        <v>0</v>
      </c>
      <c r="AO32" s="148">
        <v>0</v>
      </c>
      <c r="AP32" s="148">
        <v>0</v>
      </c>
      <c r="AQ32" s="148">
        <v>0</v>
      </c>
      <c r="AR32" s="148">
        <v>0</v>
      </c>
      <c r="AS32" s="148">
        <v>0</v>
      </c>
      <c r="AT32" s="148">
        <v>0</v>
      </c>
      <c r="AU32" s="148">
        <v>0.3</v>
      </c>
      <c r="AV32" s="148">
        <v>0</v>
      </c>
      <c r="AW32" s="148">
        <v>0</v>
      </c>
      <c r="AX32" s="148">
        <v>0</v>
      </c>
      <c r="AY32" s="148">
        <v>0</v>
      </c>
      <c r="AZ32" s="148">
        <v>0</v>
      </c>
      <c r="BA32" s="148">
        <v>0</v>
      </c>
      <c r="BB32" s="148">
        <v>0</v>
      </c>
      <c r="BC32" s="148">
        <v>0</v>
      </c>
      <c r="BD32" s="148">
        <v>0</v>
      </c>
      <c r="BE32" s="148">
        <v>0</v>
      </c>
      <c r="BF32" s="148">
        <v>0</v>
      </c>
      <c r="BG32" s="148">
        <v>0</v>
      </c>
      <c r="BH32" s="148">
        <v>0</v>
      </c>
      <c r="BI32" s="148">
        <v>0</v>
      </c>
      <c r="BJ32" s="148">
        <v>0</v>
      </c>
      <c r="BK32" s="148">
        <v>0</v>
      </c>
      <c r="BL32" s="148">
        <v>0</v>
      </c>
      <c r="BM32" s="148">
        <v>0</v>
      </c>
      <c r="BN32" s="148">
        <v>0.2</v>
      </c>
      <c r="BO32" s="148">
        <v>0.4</v>
      </c>
      <c r="BP32" s="148">
        <v>0</v>
      </c>
      <c r="BQ32" s="148">
        <v>0</v>
      </c>
      <c r="BR32" s="148">
        <v>0</v>
      </c>
      <c r="CC32" s="112">
        <v>0</v>
      </c>
      <c r="CD32" s="112">
        <v>0.1</v>
      </c>
      <c r="CE32" s="112">
        <v>0</v>
      </c>
      <c r="CF32" s="112">
        <v>0</v>
      </c>
      <c r="CG32" s="112">
        <v>0</v>
      </c>
      <c r="CH32" s="112">
        <v>0</v>
      </c>
      <c r="CI32" s="112">
        <v>0</v>
      </c>
      <c r="CJ32" s="112">
        <v>0</v>
      </c>
      <c r="CK32" s="112">
        <v>0</v>
      </c>
      <c r="CL32" s="112">
        <v>0</v>
      </c>
      <c r="CM32" s="112">
        <v>0</v>
      </c>
      <c r="CN32" s="112">
        <v>0</v>
      </c>
      <c r="CO32" s="112">
        <v>0</v>
      </c>
      <c r="CP32" s="112">
        <v>0</v>
      </c>
      <c r="CQ32" s="112">
        <v>0</v>
      </c>
      <c r="CR32" s="112">
        <v>0</v>
      </c>
      <c r="CS32" s="112">
        <v>0</v>
      </c>
      <c r="CT32" s="112">
        <v>0</v>
      </c>
      <c r="CU32" s="112">
        <v>0</v>
      </c>
      <c r="CV32" s="112">
        <v>0.3</v>
      </c>
      <c r="CW32" s="112">
        <v>0</v>
      </c>
    </row>
    <row r="33" s="112" customFormat="1" ht="22.5" customHeight="1" spans="1:70">
      <c r="A33" s="132"/>
      <c r="B33" s="133">
        <f>tblIndicators!A29</f>
        <v>28</v>
      </c>
      <c r="C33" s="133">
        <f>tblIndicators!B29</f>
        <v>0</v>
      </c>
      <c r="D33" s="133">
        <f>tblIndicators!F29</f>
        <v>1</v>
      </c>
      <c r="E33" s="133" t="str">
        <f>tblIndicators!E29</f>
        <v>OVERALL</v>
      </c>
      <c r="F33" s="133" t="str">
        <f>tblIndicators!H29</f>
        <v>INFRASTRUCTURE SECURITY</v>
      </c>
      <c r="G33" s="133">
        <f>tblIndicators!Z29</f>
        <v>1</v>
      </c>
      <c r="H33" s="105" t="str">
        <f>REPT(" ",D33)&amp;tblIndicators!AE29</f>
        <v> 3) INFRASTRUCTURE SECURITY</v>
      </c>
      <c r="I33" s="147" t="str">
        <f>IF(G33=1,"",tblIndicators!P29)</f>
        <v/>
      </c>
      <c r="J33" s="148" t="s">
        <v>697</v>
      </c>
      <c r="K33" s="148" t="s">
        <v>697</v>
      </c>
      <c r="L33" s="148" t="s">
        <v>697</v>
      </c>
      <c r="M33" s="148" t="s">
        <v>697</v>
      </c>
      <c r="N33" s="148" t="s">
        <v>697</v>
      </c>
      <c r="O33" s="148" t="s">
        <v>697</v>
      </c>
      <c r="P33" s="148" t="s">
        <v>697</v>
      </c>
      <c r="Q33" s="148" t="s">
        <v>697</v>
      </c>
      <c r="R33" s="148" t="s">
        <v>697</v>
      </c>
      <c r="S33" s="148" t="s">
        <v>697</v>
      </c>
      <c r="T33" s="148" t="s">
        <v>697</v>
      </c>
      <c r="U33" s="148" t="s">
        <v>697</v>
      </c>
      <c r="V33" s="148" t="s">
        <v>697</v>
      </c>
      <c r="W33" s="148" t="s">
        <v>697</v>
      </c>
      <c r="X33" s="148" t="s">
        <v>697</v>
      </c>
      <c r="Y33" s="148" t="s">
        <v>697</v>
      </c>
      <c r="Z33" s="148" t="s">
        <v>697</v>
      </c>
      <c r="AA33" s="148" t="s">
        <v>697</v>
      </c>
      <c r="AB33" s="148" t="s">
        <v>697</v>
      </c>
      <c r="AC33" s="148" t="s">
        <v>697</v>
      </c>
      <c r="AD33" s="148" t="s">
        <v>697</v>
      </c>
      <c r="AE33" s="148" t="s">
        <v>697</v>
      </c>
      <c r="AF33" s="148" t="s">
        <v>697</v>
      </c>
      <c r="AG33" s="148" t="s">
        <v>697</v>
      </c>
      <c r="AH33" s="148" t="s">
        <v>697</v>
      </c>
      <c r="AI33" s="148" t="s">
        <v>697</v>
      </c>
      <c r="AJ33" s="148" t="s">
        <v>697</v>
      </c>
      <c r="AK33" s="148" t="s">
        <v>697</v>
      </c>
      <c r="AL33" s="148" t="s">
        <v>697</v>
      </c>
      <c r="AM33" s="148" t="s">
        <v>697</v>
      </c>
      <c r="AN33" s="148" t="s">
        <v>697</v>
      </c>
      <c r="AO33" s="148" t="s">
        <v>697</v>
      </c>
      <c r="AP33" s="148" t="s">
        <v>697</v>
      </c>
      <c r="AQ33" s="148" t="s">
        <v>697</v>
      </c>
      <c r="AR33" s="148" t="s">
        <v>697</v>
      </c>
      <c r="AS33" s="148" t="s">
        <v>697</v>
      </c>
      <c r="AT33" s="148" t="s">
        <v>697</v>
      </c>
      <c r="AU33" s="148" t="s">
        <v>697</v>
      </c>
      <c r="AV33" s="148" t="s">
        <v>697</v>
      </c>
      <c r="AW33" s="148" t="s">
        <v>697</v>
      </c>
      <c r="AX33" s="148" t="s">
        <v>697</v>
      </c>
      <c r="AY33" s="148" t="s">
        <v>697</v>
      </c>
      <c r="AZ33" s="148" t="s">
        <v>697</v>
      </c>
      <c r="BA33" s="148" t="s">
        <v>697</v>
      </c>
      <c r="BB33" s="148" t="s">
        <v>697</v>
      </c>
      <c r="BC33" s="148" t="s">
        <v>697</v>
      </c>
      <c r="BD33" s="148" t="s">
        <v>697</v>
      </c>
      <c r="BE33" s="148" t="s">
        <v>697</v>
      </c>
      <c r="BF33" s="148" t="s">
        <v>697</v>
      </c>
      <c r="BG33" s="148" t="s">
        <v>697</v>
      </c>
      <c r="BH33" s="148" t="s">
        <v>697</v>
      </c>
      <c r="BI33" s="148" t="s">
        <v>697</v>
      </c>
      <c r="BJ33" s="148" t="s">
        <v>697</v>
      </c>
      <c r="BK33" s="148" t="s">
        <v>697</v>
      </c>
      <c r="BL33" s="148" t="s">
        <v>697</v>
      </c>
      <c r="BM33" s="148" t="s">
        <v>697</v>
      </c>
      <c r="BN33" s="148" t="s">
        <v>697</v>
      </c>
      <c r="BO33" s="148" t="s">
        <v>697</v>
      </c>
      <c r="BP33" s="148" t="s">
        <v>697</v>
      </c>
      <c r="BQ33" s="148" t="s">
        <v>697</v>
      </c>
      <c r="BR33" s="148" t="s">
        <v>697</v>
      </c>
    </row>
    <row r="34" s="112" customFormat="1" ht="22.5" customHeight="1" spans="1:70">
      <c r="A34" s="132"/>
      <c r="B34" s="133">
        <f>tblIndicators!A30</f>
        <v>29</v>
      </c>
      <c r="C34" s="133">
        <f>tblIndicators!B30</f>
        <v>0</v>
      </c>
      <c r="D34" s="133">
        <f>tblIndicators!F30</f>
        <v>2</v>
      </c>
      <c r="E34" s="133" t="str">
        <f>tblIndicators!E30</f>
        <v>INSE</v>
      </c>
      <c r="F34" s="133" t="str">
        <f>tblIndicators!H30</f>
        <v>Infrastructure security (Inputs)</v>
      </c>
      <c r="G34" s="133">
        <f>tblIndicators!Z30</f>
        <v>1</v>
      </c>
      <c r="H34" s="105" t="str">
        <f>REPT(" ",D34)&amp;tblIndicators!AE30</f>
        <v>  3.1) Infrastructure security (Inputs)</v>
      </c>
      <c r="I34" s="147" t="str">
        <f>IF(G34=1,"",tblIndicators!P30)</f>
        <v/>
      </c>
      <c r="J34" s="148" t="s">
        <v>697</v>
      </c>
      <c r="K34" s="148" t="s">
        <v>697</v>
      </c>
      <c r="L34" s="148" t="s">
        <v>697</v>
      </c>
      <c r="M34" s="148" t="s">
        <v>697</v>
      </c>
      <c r="N34" s="148" t="s">
        <v>697</v>
      </c>
      <c r="O34" s="148" t="s">
        <v>697</v>
      </c>
      <c r="P34" s="148" t="s">
        <v>697</v>
      </c>
      <c r="Q34" s="148" t="s">
        <v>697</v>
      </c>
      <c r="R34" s="148" t="s">
        <v>697</v>
      </c>
      <c r="S34" s="148" t="s">
        <v>697</v>
      </c>
      <c r="T34" s="148" t="s">
        <v>697</v>
      </c>
      <c r="U34" s="148" t="s">
        <v>697</v>
      </c>
      <c r="V34" s="148" t="s">
        <v>697</v>
      </c>
      <c r="W34" s="148" t="s">
        <v>697</v>
      </c>
      <c r="X34" s="148" t="s">
        <v>697</v>
      </c>
      <c r="Y34" s="148" t="s">
        <v>697</v>
      </c>
      <c r="Z34" s="148" t="s">
        <v>697</v>
      </c>
      <c r="AA34" s="148" t="s">
        <v>697</v>
      </c>
      <c r="AB34" s="148" t="s">
        <v>697</v>
      </c>
      <c r="AC34" s="148" t="s">
        <v>697</v>
      </c>
      <c r="AD34" s="148" t="s">
        <v>697</v>
      </c>
      <c r="AE34" s="148" t="s">
        <v>697</v>
      </c>
      <c r="AF34" s="148" t="s">
        <v>697</v>
      </c>
      <c r="AG34" s="148" t="s">
        <v>697</v>
      </c>
      <c r="AH34" s="148" t="s">
        <v>697</v>
      </c>
      <c r="AI34" s="148" t="s">
        <v>697</v>
      </c>
      <c r="AJ34" s="148" t="s">
        <v>697</v>
      </c>
      <c r="AK34" s="148" t="s">
        <v>697</v>
      </c>
      <c r="AL34" s="148" t="s">
        <v>697</v>
      </c>
      <c r="AM34" s="148" t="s">
        <v>697</v>
      </c>
      <c r="AN34" s="148" t="s">
        <v>697</v>
      </c>
      <c r="AO34" s="148" t="s">
        <v>697</v>
      </c>
      <c r="AP34" s="148" t="s">
        <v>697</v>
      </c>
      <c r="AQ34" s="148" t="s">
        <v>697</v>
      </c>
      <c r="AR34" s="148" t="s">
        <v>697</v>
      </c>
      <c r="AS34" s="148" t="s">
        <v>697</v>
      </c>
      <c r="AT34" s="148" t="s">
        <v>697</v>
      </c>
      <c r="AU34" s="148" t="s">
        <v>697</v>
      </c>
      <c r="AV34" s="148" t="s">
        <v>697</v>
      </c>
      <c r="AW34" s="148" t="s">
        <v>697</v>
      </c>
      <c r="AX34" s="148" t="s">
        <v>697</v>
      </c>
      <c r="AY34" s="148" t="s">
        <v>697</v>
      </c>
      <c r="AZ34" s="148" t="s">
        <v>697</v>
      </c>
      <c r="BA34" s="148" t="s">
        <v>697</v>
      </c>
      <c r="BB34" s="148" t="s">
        <v>697</v>
      </c>
      <c r="BC34" s="148" t="s">
        <v>697</v>
      </c>
      <c r="BD34" s="148" t="s">
        <v>697</v>
      </c>
      <c r="BE34" s="148" t="s">
        <v>697</v>
      </c>
      <c r="BF34" s="148" t="s">
        <v>697</v>
      </c>
      <c r="BG34" s="148" t="s">
        <v>697</v>
      </c>
      <c r="BH34" s="148" t="s">
        <v>697</v>
      </c>
      <c r="BI34" s="148" t="s">
        <v>697</v>
      </c>
      <c r="BJ34" s="148" t="s">
        <v>697</v>
      </c>
      <c r="BK34" s="148" t="s">
        <v>697</v>
      </c>
      <c r="BL34" s="148" t="s">
        <v>697</v>
      </c>
      <c r="BM34" s="148" t="s">
        <v>697</v>
      </c>
      <c r="BN34" s="148" t="s">
        <v>697</v>
      </c>
      <c r="BO34" s="148" t="s">
        <v>697</v>
      </c>
      <c r="BP34" s="148" t="s">
        <v>697</v>
      </c>
      <c r="BQ34" s="148" t="s">
        <v>697</v>
      </c>
      <c r="BR34" s="148" t="s">
        <v>697</v>
      </c>
    </row>
    <row r="35" s="112" customFormat="1" ht="22.5" customHeight="1" spans="1:101">
      <c r="A35" s="132"/>
      <c r="B35" s="133">
        <f>tblIndicators!A31</f>
        <v>30</v>
      </c>
      <c r="C35" s="133">
        <f>tblIndicators!B31</f>
        <v>0</v>
      </c>
      <c r="D35" s="133">
        <f>tblIndicators!F31</f>
        <v>3</v>
      </c>
      <c r="E35" s="133" t="str">
        <f>tblIndicators!E31</f>
        <v>INSE3.1</v>
      </c>
      <c r="F35" s="133" t="str">
        <f>tblIndicators!H31</f>
        <v>Enforcement of transport safety</v>
      </c>
      <c r="G35" s="133">
        <f>tblIndicators!Z31</f>
        <v>3</v>
      </c>
      <c r="H35" s="105" t="str">
        <f>REPT(" ",D35)&amp;tblIndicators!AE31</f>
        <v>   3.1.1) Enforcement of transport safety</v>
      </c>
      <c r="I35" s="147" t="str">
        <f>IF(G35=1,"",tblIndicators!P31)</f>
        <v>Scale 0 - 10, 10 = best</v>
      </c>
      <c r="J35" s="148">
        <v>10</v>
      </c>
      <c r="K35" s="148">
        <v>7</v>
      </c>
      <c r="L35" s="148">
        <v>6</v>
      </c>
      <c r="M35" s="148">
        <v>5.25</v>
      </c>
      <c r="N35" s="148">
        <v>8.25</v>
      </c>
      <c r="O35" s="148">
        <v>7.75</v>
      </c>
      <c r="P35" s="148">
        <v>4</v>
      </c>
      <c r="Q35" s="148">
        <v>6.75</v>
      </c>
      <c r="R35" s="148">
        <v>6.25</v>
      </c>
      <c r="S35" s="148">
        <v>6</v>
      </c>
      <c r="T35" s="148">
        <v>4</v>
      </c>
      <c r="U35" s="148">
        <v>5.75</v>
      </c>
      <c r="V35" s="148">
        <v>7.75</v>
      </c>
      <c r="W35" s="148">
        <v>7.75</v>
      </c>
      <c r="X35" s="148">
        <v>3.75</v>
      </c>
      <c r="Y35" s="148">
        <v>3</v>
      </c>
      <c r="Z35" s="148">
        <v>7.75</v>
      </c>
      <c r="AA35" s="148">
        <v>7.5</v>
      </c>
      <c r="AB35" s="148">
        <v>6.5</v>
      </c>
      <c r="AC35" s="148">
        <v>7.75</v>
      </c>
      <c r="AD35" s="148">
        <v>3</v>
      </c>
      <c r="AE35" s="148">
        <v>6.5</v>
      </c>
      <c r="AF35" s="148">
        <v>6</v>
      </c>
      <c r="AG35" s="148">
        <v>3.5</v>
      </c>
      <c r="AH35" s="148">
        <v>3</v>
      </c>
      <c r="AI35" s="148">
        <v>5</v>
      </c>
      <c r="AJ35" s="148">
        <v>6.25</v>
      </c>
      <c r="AK35" s="148">
        <v>3.75</v>
      </c>
      <c r="AL35" s="148">
        <v>8.75</v>
      </c>
      <c r="AM35" s="148">
        <v>7.75</v>
      </c>
      <c r="AN35" s="148">
        <v>8.25</v>
      </c>
      <c r="AO35" s="148">
        <v>4.25</v>
      </c>
      <c r="AP35" s="148">
        <v>7.75</v>
      </c>
      <c r="AQ35" s="148">
        <v>4.25</v>
      </c>
      <c r="AR35" s="148">
        <v>7.25</v>
      </c>
      <c r="AS35" s="148">
        <v>6.75</v>
      </c>
      <c r="AT35" s="148">
        <v>3.75</v>
      </c>
      <c r="AU35" s="148">
        <v>7.75</v>
      </c>
      <c r="AV35" s="148">
        <v>8.25</v>
      </c>
      <c r="AW35" s="148">
        <v>8.75</v>
      </c>
      <c r="AX35" s="148">
        <v>5.5</v>
      </c>
      <c r="AY35" s="148">
        <v>7</v>
      </c>
      <c r="AZ35" s="148">
        <v>6</v>
      </c>
      <c r="BA35" s="148">
        <v>7.25</v>
      </c>
      <c r="BB35" s="148">
        <v>7.75</v>
      </c>
      <c r="BC35" s="148">
        <v>4.5</v>
      </c>
      <c r="BD35" s="148">
        <v>7</v>
      </c>
      <c r="BE35" s="148">
        <v>7.25</v>
      </c>
      <c r="BF35" s="148">
        <v>7.75</v>
      </c>
      <c r="BG35" s="148">
        <v>8.25</v>
      </c>
      <c r="BH35" s="148">
        <v>7.5</v>
      </c>
      <c r="BI35" s="148">
        <v>7.75</v>
      </c>
      <c r="BJ35" s="148">
        <v>7.75</v>
      </c>
      <c r="BK35" s="148">
        <v>6.75</v>
      </c>
      <c r="BL35" s="148">
        <v>8.25</v>
      </c>
      <c r="BM35" s="148">
        <v>7.75</v>
      </c>
      <c r="BN35" s="148">
        <v>7.75</v>
      </c>
      <c r="BO35" s="148">
        <v>8.75</v>
      </c>
      <c r="BP35" s="148">
        <v>5</v>
      </c>
      <c r="BQ35" s="148">
        <v>7.5</v>
      </c>
      <c r="BR35" s="148">
        <v>8.25</v>
      </c>
      <c r="CC35" s="112">
        <v>2.5</v>
      </c>
      <c r="CD35" s="112">
        <v>7.5</v>
      </c>
      <c r="CE35" s="112">
        <v>7.75</v>
      </c>
      <c r="CF35" s="112">
        <v>8.75</v>
      </c>
      <c r="CG35" s="112">
        <v>6.25</v>
      </c>
      <c r="CH35" s="112">
        <v>6.75</v>
      </c>
      <c r="CI35" s="112">
        <v>6.75</v>
      </c>
      <c r="CJ35" s="112">
        <v>7.5</v>
      </c>
      <c r="CK35" s="112">
        <v>5.5</v>
      </c>
      <c r="CL35" s="112">
        <v>6.25</v>
      </c>
      <c r="CM35" s="112">
        <v>7.25</v>
      </c>
      <c r="CN35" s="112">
        <v>4.25</v>
      </c>
      <c r="CO35" s="112">
        <v>8.25</v>
      </c>
      <c r="CP35" s="112">
        <v>6.26</v>
      </c>
      <c r="CQ35" s="112">
        <v>7.75</v>
      </c>
      <c r="CR35" s="112">
        <v>0</v>
      </c>
      <c r="CS35" s="112">
        <v>5.5</v>
      </c>
      <c r="CT35" s="112">
        <v>7.75</v>
      </c>
      <c r="CU35" s="112">
        <v>7.5</v>
      </c>
      <c r="CV35" s="112">
        <v>7.5</v>
      </c>
      <c r="CW35" s="112">
        <v>7</v>
      </c>
    </row>
    <row r="36" s="112" customFormat="1" ht="22.5" customHeight="1" spans="1:101">
      <c r="A36" s="132"/>
      <c r="B36" s="133">
        <f>tblIndicators!A32</f>
        <v>31</v>
      </c>
      <c r="C36" s="133">
        <f>tblIndicators!B32</f>
        <v>0</v>
      </c>
      <c r="D36" s="133">
        <f>tblIndicators!F32</f>
        <v>3</v>
      </c>
      <c r="E36" s="133" t="str">
        <f>tblIndicators!E32</f>
        <v>INSE3.1</v>
      </c>
      <c r="F36" s="133" t="str">
        <f>tblIndicators!H32</f>
        <v>Pedestrian friendliness</v>
      </c>
      <c r="G36" s="133">
        <f>tblIndicators!Z32</f>
        <v>3</v>
      </c>
      <c r="H36" s="105" t="str">
        <f>REPT(" ",D36)&amp;tblIndicators!AE32</f>
        <v>   3.1.2) Pedestrian friendliness</v>
      </c>
      <c r="I36" s="147" t="str">
        <f>IF(G36=1,"",tblIndicators!P32)</f>
        <v>Scale 0-5, 5 = best</v>
      </c>
      <c r="J36" s="148">
        <v>5</v>
      </c>
      <c r="K36" s="148">
        <v>5</v>
      </c>
      <c r="L36" s="148">
        <v>5</v>
      </c>
      <c r="M36" s="148">
        <v>2.5</v>
      </c>
      <c r="N36" s="148">
        <v>5</v>
      </c>
      <c r="O36" s="148">
        <v>2.5</v>
      </c>
      <c r="P36" s="148">
        <v>5</v>
      </c>
      <c r="Q36" s="148">
        <v>5</v>
      </c>
      <c r="R36" s="148">
        <v>5</v>
      </c>
      <c r="S36" s="148">
        <v>2.5</v>
      </c>
      <c r="T36" s="148">
        <v>0</v>
      </c>
      <c r="U36" s="148">
        <v>0</v>
      </c>
      <c r="V36" s="148">
        <v>5</v>
      </c>
      <c r="W36" s="148">
        <v>2.5</v>
      </c>
      <c r="X36" s="148">
        <v>0</v>
      </c>
      <c r="Y36" s="148">
        <v>0</v>
      </c>
      <c r="Z36" s="148">
        <v>2.5</v>
      </c>
      <c r="AA36" s="148">
        <v>5</v>
      </c>
      <c r="AB36" s="148">
        <v>2.5</v>
      </c>
      <c r="AC36" s="148">
        <v>5</v>
      </c>
      <c r="AD36" s="148">
        <v>5</v>
      </c>
      <c r="AE36" s="148">
        <v>0</v>
      </c>
      <c r="AF36" s="148">
        <v>0</v>
      </c>
      <c r="AG36" s="148">
        <v>2.5</v>
      </c>
      <c r="AH36" s="148">
        <v>2.5</v>
      </c>
      <c r="AI36" s="148">
        <v>2.5</v>
      </c>
      <c r="AJ36" s="148">
        <v>2.5</v>
      </c>
      <c r="AK36" s="148">
        <v>0</v>
      </c>
      <c r="AL36" s="148">
        <v>5</v>
      </c>
      <c r="AM36" s="148">
        <v>5</v>
      </c>
      <c r="AN36" s="148">
        <v>5</v>
      </c>
      <c r="AO36" s="148">
        <v>2.5</v>
      </c>
      <c r="AP36" s="148">
        <v>5</v>
      </c>
      <c r="AQ36" s="148">
        <v>5</v>
      </c>
      <c r="AR36" s="148">
        <v>5</v>
      </c>
      <c r="AS36" s="148">
        <v>5</v>
      </c>
      <c r="AT36" s="148">
        <v>0</v>
      </c>
      <c r="AU36" s="148">
        <v>5</v>
      </c>
      <c r="AV36" s="148">
        <v>5</v>
      </c>
      <c r="AW36" s="148">
        <v>5</v>
      </c>
      <c r="AX36" s="148">
        <v>0</v>
      </c>
      <c r="AY36" s="148">
        <v>5</v>
      </c>
      <c r="AZ36" s="148">
        <v>0</v>
      </c>
      <c r="BA36" s="148">
        <v>5</v>
      </c>
      <c r="BB36" s="148">
        <v>5</v>
      </c>
      <c r="BC36" s="148">
        <v>5</v>
      </c>
      <c r="BD36" s="148">
        <v>5</v>
      </c>
      <c r="BE36" s="148">
        <v>5</v>
      </c>
      <c r="BF36" s="148">
        <v>2.5</v>
      </c>
      <c r="BG36" s="148">
        <v>5</v>
      </c>
      <c r="BH36" s="148">
        <v>5</v>
      </c>
      <c r="BI36" s="148">
        <v>5</v>
      </c>
      <c r="BJ36" s="148">
        <v>5</v>
      </c>
      <c r="BK36" s="148">
        <v>5</v>
      </c>
      <c r="BL36" s="148">
        <v>5</v>
      </c>
      <c r="BM36" s="148">
        <v>5</v>
      </c>
      <c r="BN36" s="148">
        <v>5</v>
      </c>
      <c r="BO36" s="148">
        <v>5</v>
      </c>
      <c r="BP36" s="148">
        <v>0</v>
      </c>
      <c r="BQ36" s="148">
        <v>5</v>
      </c>
      <c r="BR36" s="148">
        <v>5</v>
      </c>
      <c r="CC36" s="112">
        <v>2.5</v>
      </c>
      <c r="CD36" s="112">
        <v>5</v>
      </c>
      <c r="CE36" s="112">
        <v>5</v>
      </c>
      <c r="CF36" s="112">
        <v>0</v>
      </c>
      <c r="CG36" s="112">
        <v>5</v>
      </c>
      <c r="CH36" s="112">
        <v>0</v>
      </c>
      <c r="CI36" s="112">
        <v>5</v>
      </c>
      <c r="CJ36" s="112">
        <v>5</v>
      </c>
      <c r="CK36" s="112">
        <v>0</v>
      </c>
      <c r="CL36" s="112">
        <v>5</v>
      </c>
      <c r="CM36" s="112">
        <v>5</v>
      </c>
      <c r="CN36" s="112">
        <v>5</v>
      </c>
      <c r="CO36" s="112">
        <v>5</v>
      </c>
      <c r="CP36" s="112">
        <v>5</v>
      </c>
      <c r="CQ36" s="112">
        <v>5</v>
      </c>
      <c r="CR36" s="112">
        <v>5</v>
      </c>
      <c r="CS36" s="112">
        <v>2.5</v>
      </c>
      <c r="CT36" s="112">
        <v>5</v>
      </c>
      <c r="CU36" s="112">
        <v>5</v>
      </c>
      <c r="CV36" s="112">
        <v>5</v>
      </c>
      <c r="CW36" s="112">
        <v>5</v>
      </c>
    </row>
    <row r="37" s="112" customFormat="1" ht="22.5" customHeight="1" spans="1:101">
      <c r="A37" s="132"/>
      <c r="B37" s="133">
        <f>tblIndicators!A33</f>
        <v>32</v>
      </c>
      <c r="C37" s="133">
        <f>tblIndicators!B33</f>
        <v>0</v>
      </c>
      <c r="D37" s="133">
        <f>tblIndicators!F33</f>
        <v>3</v>
      </c>
      <c r="E37" s="133" t="str">
        <f>tblIndicators!E33</f>
        <v>INSE3.1</v>
      </c>
      <c r="F37" s="133" t="str">
        <f>tblIndicators!H33</f>
        <v>Quality of road infrastructure</v>
      </c>
      <c r="G37" s="133">
        <f>tblIndicators!Z33</f>
        <v>3</v>
      </c>
      <c r="H37" s="105" t="str">
        <f>REPT(" ",D37)&amp;tblIndicators!AE33</f>
        <v>   3.1.3) Quality of road infrastructure</v>
      </c>
      <c r="I37" s="147" t="str">
        <f>IF(G37=1,"",tblIndicators!P33)</f>
        <v>Scale 1-5, 5 = best</v>
      </c>
      <c r="J37" s="148">
        <v>1</v>
      </c>
      <c r="K37" s="148">
        <v>1</v>
      </c>
      <c r="L37" s="148">
        <v>3</v>
      </c>
      <c r="M37" s="148">
        <v>4</v>
      </c>
      <c r="N37" s="148">
        <v>1</v>
      </c>
      <c r="O37" s="148">
        <v>2</v>
      </c>
      <c r="P37" s="148">
        <v>3</v>
      </c>
      <c r="Q37" s="148">
        <v>2</v>
      </c>
      <c r="R37" s="148">
        <v>2</v>
      </c>
      <c r="S37" s="148">
        <v>3</v>
      </c>
      <c r="T37" s="148">
        <v>3</v>
      </c>
      <c r="U37" s="148">
        <v>3</v>
      </c>
      <c r="V37" s="148">
        <v>2</v>
      </c>
      <c r="W37" s="148">
        <v>2</v>
      </c>
      <c r="X37" s="148">
        <v>3</v>
      </c>
      <c r="Y37" s="148">
        <v>5</v>
      </c>
      <c r="Z37" s="148">
        <v>2</v>
      </c>
      <c r="AA37" s="148">
        <v>1</v>
      </c>
      <c r="AB37" s="148">
        <v>4</v>
      </c>
      <c r="AC37" s="148">
        <v>1</v>
      </c>
      <c r="AD37" s="148">
        <v>3</v>
      </c>
      <c r="AE37" s="148">
        <v>3</v>
      </c>
      <c r="AF37" s="148">
        <v>2</v>
      </c>
      <c r="AG37" s="148">
        <v>3</v>
      </c>
      <c r="AH37" s="148">
        <v>4</v>
      </c>
      <c r="AI37" s="148">
        <v>2</v>
      </c>
      <c r="AJ37" s="148">
        <v>2</v>
      </c>
      <c r="AK37" s="148">
        <v>2</v>
      </c>
      <c r="AL37" s="148">
        <v>2</v>
      </c>
      <c r="AM37" s="148">
        <v>2</v>
      </c>
      <c r="AN37" s="148">
        <v>1</v>
      </c>
      <c r="AO37" s="148">
        <v>3</v>
      </c>
      <c r="AP37" s="148">
        <v>1</v>
      </c>
      <c r="AQ37" s="148">
        <v>3</v>
      </c>
      <c r="AR37" s="148">
        <v>2</v>
      </c>
      <c r="AS37" s="148">
        <v>2</v>
      </c>
      <c r="AT37" s="148">
        <v>5</v>
      </c>
      <c r="AU37" s="148">
        <v>2</v>
      </c>
      <c r="AV37" s="148">
        <v>1</v>
      </c>
      <c r="AW37" s="148">
        <v>2</v>
      </c>
      <c r="AX37" s="148">
        <v>3</v>
      </c>
      <c r="AY37" s="148">
        <v>3</v>
      </c>
      <c r="AZ37" s="148">
        <v>3</v>
      </c>
      <c r="BA37" s="148">
        <v>1</v>
      </c>
      <c r="BB37" s="148">
        <v>2</v>
      </c>
      <c r="BC37" s="148">
        <v>2</v>
      </c>
      <c r="BD37" s="148">
        <v>2</v>
      </c>
      <c r="BE37" s="148">
        <v>2</v>
      </c>
      <c r="BF37" s="148">
        <v>2</v>
      </c>
      <c r="BG37" s="148">
        <v>1</v>
      </c>
      <c r="BH37" s="148">
        <v>1</v>
      </c>
      <c r="BI37" s="148">
        <v>1</v>
      </c>
      <c r="BJ37" s="148">
        <v>2</v>
      </c>
      <c r="BK37" s="148">
        <v>3</v>
      </c>
      <c r="BL37" s="148">
        <v>1</v>
      </c>
      <c r="BM37" s="148">
        <v>2</v>
      </c>
      <c r="BN37" s="148">
        <v>2</v>
      </c>
      <c r="BO37" s="148">
        <v>1</v>
      </c>
      <c r="BP37" s="148">
        <v>4</v>
      </c>
      <c r="BQ37" s="148">
        <v>1</v>
      </c>
      <c r="BR37" s="148">
        <v>1</v>
      </c>
      <c r="CC37" s="112">
        <v>5</v>
      </c>
      <c r="CD37" s="112">
        <v>2</v>
      </c>
      <c r="CE37" s="112">
        <v>1</v>
      </c>
      <c r="CF37" s="112">
        <v>2</v>
      </c>
      <c r="CG37" s="112">
        <v>3</v>
      </c>
      <c r="CH37" s="112">
        <v>3</v>
      </c>
      <c r="CI37" s="112">
        <v>1</v>
      </c>
      <c r="CJ37" s="112">
        <v>2</v>
      </c>
      <c r="CK37" s="112">
        <v>2</v>
      </c>
      <c r="CL37" s="112">
        <v>2</v>
      </c>
      <c r="CM37" s="112">
        <v>2</v>
      </c>
      <c r="CN37" s="112">
        <v>2</v>
      </c>
      <c r="CO37" s="112">
        <v>1</v>
      </c>
      <c r="CP37" s="112">
        <v>4</v>
      </c>
      <c r="CQ37" s="112">
        <v>1</v>
      </c>
      <c r="CR37" s="112">
        <v>2</v>
      </c>
      <c r="CS37" s="112">
        <v>3</v>
      </c>
      <c r="CT37" s="112">
        <v>1</v>
      </c>
      <c r="CU37" s="112">
        <v>2</v>
      </c>
      <c r="CV37" s="112">
        <v>2</v>
      </c>
      <c r="CW37" s="112">
        <v>1</v>
      </c>
    </row>
    <row r="38" s="112" customFormat="1" ht="22.5" customHeight="1" spans="1:101">
      <c r="A38" s="132"/>
      <c r="B38" s="133">
        <f>tblIndicators!A34</f>
        <v>33</v>
      </c>
      <c r="C38" s="133">
        <f>tblIndicators!B34</f>
        <v>0</v>
      </c>
      <c r="D38" s="133">
        <f>tblIndicators!F34</f>
        <v>3</v>
      </c>
      <c r="E38" s="133" t="str">
        <f>tblIndicators!E34</f>
        <v>INSE3.1</v>
      </c>
      <c r="F38" s="133" t="str">
        <f>tblIndicators!H34</f>
        <v>Quality of electricity infrastructure</v>
      </c>
      <c r="G38" s="133">
        <f>tblIndicators!Z34</f>
        <v>3</v>
      </c>
      <c r="H38" s="105" t="str">
        <f>REPT(" ",D38)&amp;tblIndicators!AE34</f>
        <v>   3.1.4) Quality of electricity infrastructure</v>
      </c>
      <c r="I38" s="147" t="str">
        <f>IF(G38=1,"",tblIndicators!P34)</f>
        <v>Scale 1-5, 5 = best</v>
      </c>
      <c r="J38" s="148">
        <v>2</v>
      </c>
      <c r="K38" s="148">
        <v>1</v>
      </c>
      <c r="L38" s="148">
        <v>2</v>
      </c>
      <c r="M38" s="148">
        <v>1</v>
      </c>
      <c r="N38" s="148">
        <v>1</v>
      </c>
      <c r="O38" s="148">
        <v>1</v>
      </c>
      <c r="P38" s="148">
        <v>2</v>
      </c>
      <c r="Q38" s="148">
        <v>1</v>
      </c>
      <c r="R38" s="148">
        <v>1</v>
      </c>
      <c r="S38" s="148">
        <v>2</v>
      </c>
      <c r="T38" s="148">
        <v>3</v>
      </c>
      <c r="U38" s="148">
        <v>2</v>
      </c>
      <c r="V38" s="148">
        <v>1</v>
      </c>
      <c r="W38" s="148">
        <v>1</v>
      </c>
      <c r="X38" s="148">
        <v>3</v>
      </c>
      <c r="Y38" s="148">
        <v>3</v>
      </c>
      <c r="Z38" s="148">
        <v>2</v>
      </c>
      <c r="AA38" s="148">
        <v>1</v>
      </c>
      <c r="AB38" s="148">
        <v>3</v>
      </c>
      <c r="AC38" s="148">
        <v>1</v>
      </c>
      <c r="AD38" s="148">
        <v>2</v>
      </c>
      <c r="AE38" s="148">
        <v>3</v>
      </c>
      <c r="AF38" s="148">
        <v>1</v>
      </c>
      <c r="AG38" s="148">
        <v>3</v>
      </c>
      <c r="AH38" s="148">
        <v>4</v>
      </c>
      <c r="AI38" s="148">
        <v>1</v>
      </c>
      <c r="AJ38" s="148">
        <v>1</v>
      </c>
      <c r="AK38" s="148">
        <v>1</v>
      </c>
      <c r="AL38" s="148">
        <v>1</v>
      </c>
      <c r="AM38" s="148">
        <v>1</v>
      </c>
      <c r="AN38" s="148">
        <v>1</v>
      </c>
      <c r="AO38" s="148">
        <v>2</v>
      </c>
      <c r="AP38" s="148">
        <v>1</v>
      </c>
      <c r="AQ38" s="148">
        <v>3</v>
      </c>
      <c r="AR38" s="148">
        <v>1</v>
      </c>
      <c r="AS38" s="148">
        <v>1</v>
      </c>
      <c r="AT38" s="148">
        <v>2</v>
      </c>
      <c r="AU38" s="148">
        <v>1</v>
      </c>
      <c r="AV38" s="148">
        <v>1</v>
      </c>
      <c r="AW38" s="148">
        <v>1</v>
      </c>
      <c r="AX38" s="148">
        <v>2</v>
      </c>
      <c r="AY38" s="148">
        <v>1</v>
      </c>
      <c r="AZ38" s="148">
        <v>2</v>
      </c>
      <c r="BA38" s="148">
        <v>1</v>
      </c>
      <c r="BB38" s="148">
        <v>1</v>
      </c>
      <c r="BC38" s="148">
        <v>1</v>
      </c>
      <c r="BD38" s="148">
        <v>2</v>
      </c>
      <c r="BE38" s="148">
        <v>1</v>
      </c>
      <c r="BF38" s="148">
        <v>1</v>
      </c>
      <c r="BG38" s="148">
        <v>1</v>
      </c>
      <c r="BH38" s="148">
        <v>1</v>
      </c>
      <c r="BI38" s="148">
        <v>1</v>
      </c>
      <c r="BJ38" s="148">
        <v>2</v>
      </c>
      <c r="BK38" s="148">
        <v>3</v>
      </c>
      <c r="BL38" s="148">
        <v>1</v>
      </c>
      <c r="BM38" s="148">
        <v>1</v>
      </c>
      <c r="BN38" s="148">
        <v>1</v>
      </c>
      <c r="BO38" s="148">
        <v>1</v>
      </c>
      <c r="BP38" s="148">
        <v>3</v>
      </c>
      <c r="BQ38" s="148">
        <v>1</v>
      </c>
      <c r="BR38" s="148">
        <v>1</v>
      </c>
      <c r="CC38" s="112">
        <v>2</v>
      </c>
      <c r="CD38" s="112">
        <v>1</v>
      </c>
      <c r="CE38" s="112">
        <v>1</v>
      </c>
      <c r="CF38" s="112">
        <v>1</v>
      </c>
      <c r="CG38" s="112">
        <v>1</v>
      </c>
      <c r="CH38" s="112">
        <v>2</v>
      </c>
      <c r="CI38" s="112">
        <v>1</v>
      </c>
      <c r="CJ38" s="112">
        <v>1</v>
      </c>
      <c r="CK38" s="112">
        <v>1</v>
      </c>
      <c r="CL38" s="112">
        <v>2</v>
      </c>
      <c r="CM38" s="112">
        <v>1</v>
      </c>
      <c r="CN38" s="112">
        <v>1</v>
      </c>
      <c r="CO38" s="112">
        <v>1</v>
      </c>
      <c r="CP38" s="112">
        <v>2</v>
      </c>
      <c r="CQ38" s="112">
        <v>1</v>
      </c>
      <c r="CR38" s="112">
        <v>2</v>
      </c>
      <c r="CS38" s="112">
        <v>4</v>
      </c>
      <c r="CT38" s="112">
        <v>1</v>
      </c>
      <c r="CU38" s="112">
        <v>1</v>
      </c>
      <c r="CV38" s="112">
        <v>1</v>
      </c>
      <c r="CW38" s="112">
        <v>1</v>
      </c>
    </row>
    <row r="39" s="112" customFormat="1" ht="22.5" customHeight="1" spans="1:101">
      <c r="A39" s="132"/>
      <c r="B39" s="133">
        <f>tblIndicators!A35</f>
        <v>34</v>
      </c>
      <c r="C39" s="133">
        <f>tblIndicators!B35</f>
        <v>0</v>
      </c>
      <c r="D39" s="133">
        <f>tblIndicators!F35</f>
        <v>3</v>
      </c>
      <c r="E39" s="133" t="str">
        <f>tblIndicators!E35</f>
        <v>INSE3.1</v>
      </c>
      <c r="F39" s="133" t="str">
        <f>tblIndicators!H35</f>
        <v>Disaster management/business continuity plan</v>
      </c>
      <c r="G39" s="133">
        <f>tblIndicators!Z35</f>
        <v>3</v>
      </c>
      <c r="H39" s="105" t="str">
        <f>REPT(" ",D39)&amp;tblIndicators!AE35</f>
        <v>   3.1.5) Disaster management/business continuity plan</v>
      </c>
      <c r="I39" s="147" t="str">
        <f>IF(G39=1,"",tblIndicators!P35)</f>
        <v>Scale 1-5, 5 = best</v>
      </c>
      <c r="J39" s="148">
        <v>2</v>
      </c>
      <c r="K39" s="148">
        <v>1</v>
      </c>
      <c r="L39" s="148">
        <v>2</v>
      </c>
      <c r="M39" s="148">
        <v>2</v>
      </c>
      <c r="N39" s="148">
        <v>1</v>
      </c>
      <c r="O39" s="148">
        <v>3</v>
      </c>
      <c r="P39" s="148">
        <v>3</v>
      </c>
      <c r="Q39" s="148">
        <v>1</v>
      </c>
      <c r="R39" s="148">
        <v>1</v>
      </c>
      <c r="S39" s="148">
        <v>3</v>
      </c>
      <c r="T39" s="148">
        <v>3</v>
      </c>
      <c r="U39" s="148">
        <v>2</v>
      </c>
      <c r="V39" s="148">
        <v>1</v>
      </c>
      <c r="W39" s="148">
        <v>1</v>
      </c>
      <c r="X39" s="148">
        <v>3</v>
      </c>
      <c r="Y39" s="148">
        <v>4</v>
      </c>
      <c r="Z39" s="148">
        <v>1</v>
      </c>
      <c r="AA39" s="148">
        <v>1</v>
      </c>
      <c r="AB39" s="148">
        <v>4</v>
      </c>
      <c r="AC39" s="148">
        <v>1</v>
      </c>
      <c r="AD39" s="148">
        <v>2</v>
      </c>
      <c r="AE39" s="148">
        <v>3</v>
      </c>
      <c r="AF39" s="148">
        <v>5</v>
      </c>
      <c r="AG39" s="148">
        <v>2</v>
      </c>
      <c r="AH39" s="148">
        <v>5</v>
      </c>
      <c r="AI39" s="148">
        <v>2</v>
      </c>
      <c r="AJ39" s="148">
        <v>2</v>
      </c>
      <c r="AK39" s="148">
        <v>2</v>
      </c>
      <c r="AL39" s="148">
        <v>1</v>
      </c>
      <c r="AM39" s="148">
        <v>1</v>
      </c>
      <c r="AN39" s="148">
        <v>1</v>
      </c>
      <c r="AO39" s="148">
        <v>4</v>
      </c>
      <c r="AP39" s="148">
        <v>1</v>
      </c>
      <c r="AQ39" s="148">
        <v>2</v>
      </c>
      <c r="AR39" s="148">
        <v>1</v>
      </c>
      <c r="AS39" s="148">
        <v>2</v>
      </c>
      <c r="AT39" s="148">
        <v>3</v>
      </c>
      <c r="AU39" s="148">
        <v>1</v>
      </c>
      <c r="AV39" s="148">
        <v>1</v>
      </c>
      <c r="AW39" s="148">
        <v>1</v>
      </c>
      <c r="AX39" s="148">
        <v>4</v>
      </c>
      <c r="AY39" s="148">
        <v>2</v>
      </c>
      <c r="AZ39" s="148">
        <v>5</v>
      </c>
      <c r="BA39" s="148">
        <v>1</v>
      </c>
      <c r="BB39" s="148">
        <v>1</v>
      </c>
      <c r="BC39" s="148">
        <v>1</v>
      </c>
      <c r="BD39" s="148">
        <v>2</v>
      </c>
      <c r="BE39" s="148">
        <v>1</v>
      </c>
      <c r="BF39" s="148">
        <v>3</v>
      </c>
      <c r="BG39" s="148">
        <v>1</v>
      </c>
      <c r="BH39" s="148">
        <v>1</v>
      </c>
      <c r="BI39" s="148">
        <v>1</v>
      </c>
      <c r="BJ39" s="148">
        <v>2</v>
      </c>
      <c r="BK39" s="148">
        <v>2</v>
      </c>
      <c r="BL39" s="148">
        <v>1</v>
      </c>
      <c r="BM39" s="148">
        <v>1</v>
      </c>
      <c r="BN39" s="148">
        <v>1</v>
      </c>
      <c r="BO39" s="148">
        <v>1</v>
      </c>
      <c r="BP39" s="148">
        <v>4</v>
      </c>
      <c r="BQ39" s="148">
        <v>1</v>
      </c>
      <c r="BR39" s="148">
        <v>1</v>
      </c>
      <c r="CC39" s="112">
        <v>4</v>
      </c>
      <c r="CD39" s="112">
        <v>1</v>
      </c>
      <c r="CE39" s="112">
        <v>1</v>
      </c>
      <c r="CF39" s="112">
        <v>1</v>
      </c>
      <c r="CG39" s="112">
        <v>3</v>
      </c>
      <c r="CH39" s="112">
        <v>3</v>
      </c>
      <c r="CI39" s="112">
        <v>1</v>
      </c>
      <c r="CJ39" s="112">
        <v>1</v>
      </c>
      <c r="CK39" s="112">
        <v>1</v>
      </c>
      <c r="CL39" s="112">
        <v>2</v>
      </c>
      <c r="CM39" s="112">
        <v>2</v>
      </c>
      <c r="CN39" s="112">
        <v>3</v>
      </c>
      <c r="CO39" s="112">
        <v>1</v>
      </c>
      <c r="CP39" s="112">
        <v>1</v>
      </c>
      <c r="CQ39" s="112">
        <v>1</v>
      </c>
      <c r="CR39" s="112">
        <v>2</v>
      </c>
      <c r="CS39" s="112">
        <v>3</v>
      </c>
      <c r="CT39" s="112">
        <v>1</v>
      </c>
      <c r="CU39" s="112">
        <v>1</v>
      </c>
      <c r="CV39" s="112">
        <v>1</v>
      </c>
      <c r="CW39" s="112">
        <v>1</v>
      </c>
    </row>
    <row r="40" s="112" customFormat="1" ht="22.5" customHeight="1" spans="1:70">
      <c r="A40" s="132"/>
      <c r="B40" s="133">
        <f>tblIndicators!A36</f>
        <v>35</v>
      </c>
      <c r="C40" s="133">
        <f>tblIndicators!B36</f>
        <v>0</v>
      </c>
      <c r="D40" s="133">
        <f>tblIndicators!F36</f>
        <v>2</v>
      </c>
      <c r="E40" s="133" t="str">
        <f>tblIndicators!E36</f>
        <v>INSE</v>
      </c>
      <c r="F40" s="133" t="str">
        <f>tblIndicators!H36</f>
        <v>Infrastructure security (Outputs)</v>
      </c>
      <c r="G40" s="133">
        <f>tblIndicators!Z36</f>
        <v>1</v>
      </c>
      <c r="H40" s="105" t="str">
        <f>REPT(" ",D40)&amp;tblIndicators!AE36</f>
        <v>  3.2) Infrastructure security (Outputs)</v>
      </c>
      <c r="I40" s="147" t="str">
        <f>IF(G40=1,"",tblIndicators!P36)</f>
        <v/>
      </c>
      <c r="J40" s="148" t="s">
        <v>697</v>
      </c>
      <c r="K40" s="148" t="s">
        <v>697</v>
      </c>
      <c r="L40" s="148" t="s">
        <v>697</v>
      </c>
      <c r="M40" s="148" t="s">
        <v>697</v>
      </c>
      <c r="N40" s="148" t="s">
        <v>697</v>
      </c>
      <c r="O40" s="148" t="s">
        <v>697</v>
      </c>
      <c r="P40" s="148" t="s">
        <v>697</v>
      </c>
      <c r="Q40" s="148" t="s">
        <v>697</v>
      </c>
      <c r="R40" s="148" t="s">
        <v>697</v>
      </c>
      <c r="S40" s="148" t="s">
        <v>697</v>
      </c>
      <c r="T40" s="148" t="s">
        <v>697</v>
      </c>
      <c r="U40" s="148" t="s">
        <v>697</v>
      </c>
      <c r="V40" s="148" t="s">
        <v>697</v>
      </c>
      <c r="W40" s="148" t="s">
        <v>697</v>
      </c>
      <c r="X40" s="148" t="s">
        <v>697</v>
      </c>
      <c r="Y40" s="148" t="s">
        <v>697</v>
      </c>
      <c r="Z40" s="148" t="s">
        <v>697</v>
      </c>
      <c r="AA40" s="148" t="s">
        <v>697</v>
      </c>
      <c r="AB40" s="148" t="s">
        <v>697</v>
      </c>
      <c r="AC40" s="148" t="s">
        <v>697</v>
      </c>
      <c r="AD40" s="148" t="s">
        <v>697</v>
      </c>
      <c r="AE40" s="148" t="s">
        <v>697</v>
      </c>
      <c r="AF40" s="148" t="s">
        <v>697</v>
      </c>
      <c r="AG40" s="148" t="s">
        <v>697</v>
      </c>
      <c r="AH40" s="148" t="s">
        <v>697</v>
      </c>
      <c r="AI40" s="148" t="s">
        <v>697</v>
      </c>
      <c r="AJ40" s="148" t="s">
        <v>697</v>
      </c>
      <c r="AK40" s="148" t="s">
        <v>697</v>
      </c>
      <c r="AL40" s="148" t="s">
        <v>697</v>
      </c>
      <c r="AM40" s="148" t="s">
        <v>697</v>
      </c>
      <c r="AN40" s="148" t="s">
        <v>697</v>
      </c>
      <c r="AO40" s="148" t="s">
        <v>697</v>
      </c>
      <c r="AP40" s="148" t="s">
        <v>697</v>
      </c>
      <c r="AQ40" s="148" t="s">
        <v>697</v>
      </c>
      <c r="AR40" s="148" t="s">
        <v>697</v>
      </c>
      <c r="AS40" s="148" t="s">
        <v>697</v>
      </c>
      <c r="AT40" s="148" t="s">
        <v>697</v>
      </c>
      <c r="AU40" s="148" t="s">
        <v>697</v>
      </c>
      <c r="AV40" s="148" t="s">
        <v>697</v>
      </c>
      <c r="AW40" s="148" t="s">
        <v>697</v>
      </c>
      <c r="AX40" s="148" t="s">
        <v>697</v>
      </c>
      <c r="AY40" s="148" t="s">
        <v>697</v>
      </c>
      <c r="AZ40" s="148" t="s">
        <v>697</v>
      </c>
      <c r="BA40" s="148" t="s">
        <v>697</v>
      </c>
      <c r="BB40" s="148" t="s">
        <v>697</v>
      </c>
      <c r="BC40" s="148" t="s">
        <v>697</v>
      </c>
      <c r="BD40" s="148" t="s">
        <v>697</v>
      </c>
      <c r="BE40" s="148" t="s">
        <v>697</v>
      </c>
      <c r="BF40" s="148" t="s">
        <v>697</v>
      </c>
      <c r="BG40" s="148" t="s">
        <v>697</v>
      </c>
      <c r="BH40" s="148" t="s">
        <v>697</v>
      </c>
      <c r="BI40" s="148" t="s">
        <v>697</v>
      </c>
      <c r="BJ40" s="148" t="s">
        <v>697</v>
      </c>
      <c r="BK40" s="148" t="s">
        <v>697</v>
      </c>
      <c r="BL40" s="148" t="s">
        <v>697</v>
      </c>
      <c r="BM40" s="148" t="s">
        <v>697</v>
      </c>
      <c r="BN40" s="148" t="s">
        <v>697</v>
      </c>
      <c r="BO40" s="148" t="s">
        <v>697</v>
      </c>
      <c r="BP40" s="148" t="s">
        <v>697</v>
      </c>
      <c r="BQ40" s="148" t="s">
        <v>697</v>
      </c>
      <c r="BR40" s="148" t="s">
        <v>697</v>
      </c>
    </row>
    <row r="41" s="112" customFormat="1" ht="22.5" customHeight="1" spans="1:101">
      <c r="A41" s="132"/>
      <c r="B41" s="133">
        <f>tblIndicators!A37</f>
        <v>36</v>
      </c>
      <c r="C41" s="133">
        <f>tblIndicators!B37</f>
        <v>0</v>
      </c>
      <c r="D41" s="133">
        <f>tblIndicators!F37</f>
        <v>3</v>
      </c>
      <c r="E41" s="133" t="str">
        <f>tblIndicators!E37</f>
        <v>INSE3.2</v>
      </c>
      <c r="F41" s="133" t="str">
        <f>tblIndicators!H37</f>
        <v>Deaths from natural disaster</v>
      </c>
      <c r="G41" s="133">
        <f>tblIndicators!Z37</f>
        <v>2</v>
      </c>
      <c r="H41" s="105" t="str">
        <f>REPT(" ",D41)&amp;tblIndicators!AE37</f>
        <v>   3.2.1) Deaths from natural disaster</v>
      </c>
      <c r="I41" s="147" t="str">
        <f>IF(G41=1,"",tblIndicators!P37)</f>
        <v>#/million/year, average of the last five years</v>
      </c>
      <c r="J41" s="148">
        <v>0</v>
      </c>
      <c r="K41" s="148">
        <v>0.0596541248143823</v>
      </c>
      <c r="L41" s="148">
        <v>0.36321985406817</v>
      </c>
      <c r="M41" s="148">
        <v>0.626424850364945</v>
      </c>
      <c r="N41" s="148">
        <v>0.129406424176869</v>
      </c>
      <c r="O41" s="148">
        <v>0.807095573911158</v>
      </c>
      <c r="P41" s="148">
        <v>1.51287288126297</v>
      </c>
      <c r="Q41" s="148">
        <v>7.34597268097017</v>
      </c>
      <c r="R41" s="148">
        <v>0.595206186029177</v>
      </c>
      <c r="S41" s="148">
        <v>0.90928165764368</v>
      </c>
      <c r="T41" s="148">
        <v>0</v>
      </c>
      <c r="U41" s="148">
        <v>0.589605259278913</v>
      </c>
      <c r="V41" s="148">
        <v>0.821207581363325</v>
      </c>
      <c r="W41" s="148">
        <v>0.821207581363325</v>
      </c>
      <c r="X41" s="148">
        <v>2.06494857761394</v>
      </c>
      <c r="Y41" s="148">
        <v>1.04668714506171</v>
      </c>
      <c r="Z41" s="148">
        <v>0</v>
      </c>
      <c r="AA41" s="148">
        <v>0.0985687808118311</v>
      </c>
      <c r="AB41" s="148">
        <v>1.27678045315975</v>
      </c>
      <c r="AC41" s="148">
        <v>0</v>
      </c>
      <c r="AD41" s="148">
        <v>0.120403715488207</v>
      </c>
      <c r="AE41" s="148">
        <v>0.690898653363541</v>
      </c>
      <c r="AF41" s="148">
        <v>0.845846947081921</v>
      </c>
      <c r="AG41" s="148">
        <v>0.270036290799891</v>
      </c>
      <c r="AH41" s="148">
        <v>4.49581993920035</v>
      </c>
      <c r="AI41" s="148">
        <v>0.382118944443895</v>
      </c>
      <c r="AJ41" s="148">
        <v>0</v>
      </c>
      <c r="AK41" s="148">
        <v>6.43586506920762</v>
      </c>
      <c r="AL41" s="148">
        <v>3.08408933194446</v>
      </c>
      <c r="AM41" s="148">
        <v>0.821207581363325</v>
      </c>
      <c r="AN41" s="148">
        <v>0.129406424176869</v>
      </c>
      <c r="AO41" s="148">
        <v>22.1160303046084</v>
      </c>
      <c r="AP41" s="148">
        <v>1.50539794969637</v>
      </c>
      <c r="AQ41" s="148">
        <v>0.631313726418851</v>
      </c>
      <c r="AR41" s="148">
        <v>1.38490822147425</v>
      </c>
      <c r="AS41" s="148">
        <v>0.635351407697074</v>
      </c>
      <c r="AT41" s="148">
        <v>2.06494857761394</v>
      </c>
      <c r="AU41" s="148">
        <v>0.821207581363325</v>
      </c>
      <c r="AV41" s="148">
        <v>1.64109620209418</v>
      </c>
      <c r="AW41" s="148">
        <v>10.3774019667913</v>
      </c>
      <c r="AX41" s="148">
        <v>9.37920113059634</v>
      </c>
      <c r="AY41" s="148">
        <v>0.351351402947519</v>
      </c>
      <c r="AZ41" s="148">
        <v>0.845846947081921</v>
      </c>
      <c r="BA41" s="148">
        <v>1.38490822147425</v>
      </c>
      <c r="BB41" s="148">
        <v>0.821207581363325</v>
      </c>
      <c r="BC41" s="148">
        <v>2.70029701321473</v>
      </c>
      <c r="BD41" s="148">
        <v>0.351351402947519</v>
      </c>
      <c r="BE41" s="148">
        <v>0.573725528920904</v>
      </c>
      <c r="BF41" s="148">
        <v>0.807095573911158</v>
      </c>
      <c r="BG41" s="148">
        <v>0</v>
      </c>
      <c r="BH41" s="148">
        <v>0.725772169747742</v>
      </c>
      <c r="BI41" s="148">
        <v>1.50539794969637</v>
      </c>
      <c r="BJ41" s="148">
        <v>2.13493246435449</v>
      </c>
      <c r="BK41" s="148">
        <v>1.18311479230937</v>
      </c>
      <c r="BL41" s="148">
        <v>1.64109620209418</v>
      </c>
      <c r="BM41" s="148">
        <v>0.0794754619511226</v>
      </c>
      <c r="BN41" s="148">
        <v>0.821207581363325</v>
      </c>
      <c r="BO41" s="148">
        <v>0.330995577899918</v>
      </c>
      <c r="BP41" s="148">
        <v>1.51141394966636</v>
      </c>
      <c r="BQ41" s="148">
        <v>0.542847532152023</v>
      </c>
      <c r="BR41" s="148">
        <v>1.64109620209418</v>
      </c>
      <c r="CC41" s="112">
        <v>0</v>
      </c>
      <c r="CD41" s="112">
        <v>2.61904761904762</v>
      </c>
      <c r="CE41" s="112">
        <v>796.896551724138</v>
      </c>
      <c r="CF41" s="112">
        <v>15.45</v>
      </c>
      <c r="CG41" s="112">
        <v>34.6456692913386</v>
      </c>
      <c r="CH41" s="112">
        <v>0.642857142857143</v>
      </c>
      <c r="CI41" s="112">
        <v>19.2307692307692</v>
      </c>
      <c r="CJ41" s="112">
        <v>17.5</v>
      </c>
      <c r="CK41" s="112">
        <v>9.71428571428571</v>
      </c>
      <c r="CL41" s="112">
        <v>183.333333333333</v>
      </c>
      <c r="CM41" s="112">
        <v>2.84313725490196</v>
      </c>
      <c r="CN41" s="112">
        <v>0.165631469979296</v>
      </c>
      <c r="CO41" s="112">
        <v>6.85714285714286</v>
      </c>
      <c r="CP41" s="112">
        <v>1.4</v>
      </c>
      <c r="CQ41" s="112">
        <v>37.0588235294118</v>
      </c>
      <c r="CR41" s="112">
        <v>34.2307692307692</v>
      </c>
      <c r="CS41" s="112">
        <v>11.1666666666667</v>
      </c>
      <c r="CT41" s="112">
        <v>212.5</v>
      </c>
      <c r="CU41" s="112">
        <v>1.42857142857143</v>
      </c>
      <c r="CV41" s="112">
        <v>0.579710144927536</v>
      </c>
      <c r="CW41" s="112">
        <v>5</v>
      </c>
    </row>
    <row r="42" s="112" customFormat="1" ht="22.5" customHeight="1" spans="1:101">
      <c r="A42" s="132"/>
      <c r="B42" s="133">
        <f>tblIndicators!A38</f>
        <v>37</v>
      </c>
      <c r="C42" s="133">
        <f>tblIndicators!B38</f>
        <v>0</v>
      </c>
      <c r="D42" s="133">
        <f>tblIndicators!F38</f>
        <v>3</v>
      </c>
      <c r="E42" s="133" t="str">
        <f>tblIndicators!E38</f>
        <v>INSE3.2</v>
      </c>
      <c r="F42" s="133" t="str">
        <f>tblIndicators!H38</f>
        <v>Frequency of vehicular accidents</v>
      </c>
      <c r="G42" s="133">
        <f>tblIndicators!Z38</f>
        <v>2</v>
      </c>
      <c r="H42" s="105" t="str">
        <f>REPT(" ",D42)&amp;tblIndicators!AE38</f>
        <v>   3.2.2) Frequency of vehicular accidents</v>
      </c>
      <c r="I42" s="147" t="str">
        <f>IF(G42=1,"",tblIndicators!P38)</f>
        <v>#/million/year</v>
      </c>
      <c r="J42" s="148">
        <v>1574.67248908297</v>
      </c>
      <c r="K42" s="148">
        <v>1258.6186540732</v>
      </c>
      <c r="L42" s="148">
        <v>1041.57509157509</v>
      </c>
      <c r="M42" s="148">
        <v>3432.5</v>
      </c>
      <c r="N42" s="148">
        <v>3568.18181818182</v>
      </c>
      <c r="O42" s="148">
        <v>139.302694136292</v>
      </c>
      <c r="P42" s="148">
        <v>1304.831</v>
      </c>
      <c r="Q42" s="148">
        <v>3983.14556106354</v>
      </c>
      <c r="R42" s="148">
        <v>2936.06557377049</v>
      </c>
      <c r="S42" s="148">
        <v>159.370560594471</v>
      </c>
      <c r="T42" s="148">
        <v>1058.16360601002</v>
      </c>
      <c r="U42" s="148">
        <v>2350</v>
      </c>
      <c r="V42" s="148">
        <v>22299.21875</v>
      </c>
      <c r="W42" s="148">
        <v>27254.2250856093</v>
      </c>
      <c r="X42" s="148">
        <v>425.974710221286</v>
      </c>
      <c r="Y42" s="148">
        <v>14.8695652173913</v>
      </c>
      <c r="Z42" s="148">
        <v>2682.096069869</v>
      </c>
      <c r="AA42" s="148">
        <v>30726.7854962764</v>
      </c>
      <c r="AB42" s="148">
        <v>244.515783841627</v>
      </c>
      <c r="AC42" s="148">
        <v>2190.34013605442</v>
      </c>
      <c r="AD42" s="148">
        <v>16694.5341299097</v>
      </c>
      <c r="AE42" s="148">
        <v>202.889034799737</v>
      </c>
      <c r="AF42" s="148">
        <v>18422.9392946581</v>
      </c>
      <c r="AG42" s="148">
        <v>24070.0218818381</v>
      </c>
      <c r="AH42" s="148">
        <v>50.0274876305662</v>
      </c>
      <c r="AI42" s="148">
        <v>17382.2</v>
      </c>
      <c r="AJ42" s="148">
        <v>27932.4937027708</v>
      </c>
      <c r="AK42" s="148">
        <v>4891.26984126984</v>
      </c>
      <c r="AL42" s="148">
        <v>1954.4608223429</v>
      </c>
      <c r="AM42" s="148">
        <v>13919.8988411904</v>
      </c>
      <c r="AN42" s="148">
        <v>2409.6875</v>
      </c>
      <c r="AO42" s="148">
        <v>8489.5435385171</v>
      </c>
      <c r="AP42" s="148">
        <v>2398</v>
      </c>
      <c r="AQ42" s="148">
        <v>1401.93181818182</v>
      </c>
      <c r="AR42" s="148">
        <v>4389.0625</v>
      </c>
      <c r="AS42" s="148">
        <v>26813.3659331703</v>
      </c>
      <c r="AT42" s="148">
        <v>1274.74198804997</v>
      </c>
      <c r="AU42" s="148">
        <v>14920.3786746388</v>
      </c>
      <c r="AV42" s="148">
        <v>4241.91356561587</v>
      </c>
      <c r="AW42" s="148">
        <v>2760</v>
      </c>
      <c r="AX42" s="148">
        <v>2211.957868</v>
      </c>
      <c r="AY42" s="148">
        <v>1746.03174603175</v>
      </c>
      <c r="AZ42" s="148">
        <v>17933.0376235372</v>
      </c>
      <c r="BA42" s="148">
        <v>3817.97235023042</v>
      </c>
      <c r="BB42" s="148">
        <v>3659.77094615248</v>
      </c>
      <c r="BC42" s="148">
        <v>4457.75577557756</v>
      </c>
      <c r="BD42" s="148">
        <v>1329.57839807836</v>
      </c>
      <c r="BE42" s="148">
        <v>4676.83399988062</v>
      </c>
      <c r="BF42" s="148">
        <v>47.8319177469826</v>
      </c>
      <c r="BG42" s="148">
        <v>1500.35650623886</v>
      </c>
      <c r="BH42" s="148">
        <v>1742.33930453109</v>
      </c>
      <c r="BI42" s="148">
        <v>2404.6052631579</v>
      </c>
      <c r="BJ42" s="148">
        <v>2920.65063649222</v>
      </c>
      <c r="BK42" s="148">
        <v>6132.94392523364</v>
      </c>
      <c r="BL42" s="148">
        <v>4241.91356561587</v>
      </c>
      <c r="BM42" s="148">
        <v>4899.9555459693</v>
      </c>
      <c r="BN42" s="148">
        <v>36216.4179104478</v>
      </c>
      <c r="BO42" s="148">
        <v>6771.81456262101</v>
      </c>
      <c r="BP42" s="148">
        <v>3564.37925531273</v>
      </c>
      <c r="BQ42" s="148">
        <v>2152.42718446602</v>
      </c>
      <c r="BR42" s="148">
        <v>4241.91356561587</v>
      </c>
      <c r="CC42" s="112">
        <v>19</v>
      </c>
      <c r="CD42" s="112">
        <v>825</v>
      </c>
      <c r="CE42" s="112">
        <v>544</v>
      </c>
      <c r="CF42" s="112">
        <v>1061</v>
      </c>
      <c r="CG42" s="112">
        <v>344</v>
      </c>
      <c r="CH42" s="112">
        <v>2291</v>
      </c>
      <c r="CI42" s="112">
        <v>706</v>
      </c>
      <c r="CJ42" s="112">
        <v>457</v>
      </c>
      <c r="CK42" s="112">
        <v>365</v>
      </c>
      <c r="CL42" s="112">
        <v>236</v>
      </c>
      <c r="CM42" s="112">
        <v>400.28</v>
      </c>
      <c r="CN42" s="112">
        <v>9.52</v>
      </c>
      <c r="CO42" s="112">
        <v>118</v>
      </c>
      <c r="CP42" s="112">
        <v>155</v>
      </c>
      <c r="CQ42" s="112">
        <v>565</v>
      </c>
      <c r="CR42" s="112">
        <v>762.38</v>
      </c>
      <c r="CS42" s="112">
        <v>156</v>
      </c>
      <c r="CT42" s="112">
        <v>357</v>
      </c>
      <c r="CU42" s="112">
        <v>863</v>
      </c>
      <c r="CV42" s="112">
        <v>2914</v>
      </c>
      <c r="CW42" s="112">
        <v>888</v>
      </c>
    </row>
    <row r="43" s="112" customFormat="1" ht="22.5" customHeight="1" spans="1:101">
      <c r="A43" s="132"/>
      <c r="B43" s="133">
        <f>tblIndicators!A39</f>
        <v>38</v>
      </c>
      <c r="C43" s="133">
        <f>tblIndicators!B39</f>
        <v>0</v>
      </c>
      <c r="D43" s="133">
        <f>tblIndicators!F39</f>
        <v>3</v>
      </c>
      <c r="E43" s="133" t="str">
        <f>tblIndicators!E39</f>
        <v>INSE3.2</v>
      </c>
      <c r="F43" s="133" t="str">
        <f>tblIndicators!H39</f>
        <v>Frequency of pedestrian deaths</v>
      </c>
      <c r="G43" s="133">
        <f>tblIndicators!Z39</f>
        <v>2</v>
      </c>
      <c r="H43" s="105" t="str">
        <f>REPT(" ",D43)&amp;tblIndicators!AE39</f>
        <v>   3.2.3) Frequency of pedestrian deaths</v>
      </c>
      <c r="I43" s="147" t="str">
        <f>IF(G43=1,"",tblIndicators!P39)</f>
        <v>#/million/year</v>
      </c>
      <c r="J43" s="148">
        <v>29.4779867256637</v>
      </c>
      <c r="K43" s="148">
        <v>3.3523241954708</v>
      </c>
      <c r="L43" s="148">
        <v>15.6828082808281</v>
      </c>
      <c r="M43" s="148">
        <v>29.2298999463999</v>
      </c>
      <c r="N43" s="148">
        <v>8.37907652567</v>
      </c>
      <c r="O43" s="148">
        <v>50.5309533333333</v>
      </c>
      <c r="P43" s="148">
        <v>50.1742849900722</v>
      </c>
      <c r="Q43" s="148">
        <v>9.16281154742693</v>
      </c>
      <c r="R43" s="148">
        <v>13.340832157969</v>
      </c>
      <c r="S43" s="148">
        <v>34.8826846250428</v>
      </c>
      <c r="T43" s="148">
        <v>39.92773325279</v>
      </c>
      <c r="U43" s="148">
        <v>53.8050399067348</v>
      </c>
      <c r="V43" s="148">
        <v>11.7</v>
      </c>
      <c r="W43" s="148">
        <v>27.8</v>
      </c>
      <c r="X43" s="148">
        <v>36.0379346680717</v>
      </c>
      <c r="Y43" s="148">
        <v>44.2089696438808</v>
      </c>
      <c r="Z43" s="148">
        <v>46.4973208970034</v>
      </c>
      <c r="AA43" s="148">
        <v>7.31957358822291</v>
      </c>
      <c r="AB43" s="148">
        <v>4.94315373208107</v>
      </c>
      <c r="AC43" s="148">
        <v>11.45</v>
      </c>
      <c r="AD43" s="148">
        <v>22.9845063955395</v>
      </c>
      <c r="AE43" s="148">
        <v>33.0849741529749</v>
      </c>
      <c r="AF43" s="148">
        <v>28</v>
      </c>
      <c r="AG43" s="148">
        <v>84.8683283559231</v>
      </c>
      <c r="AH43" s="148">
        <v>24.4529962</v>
      </c>
      <c r="AI43" s="148">
        <v>15.9691148520228</v>
      </c>
      <c r="AJ43" s="148">
        <v>59.4332493702771</v>
      </c>
      <c r="AK43" s="148">
        <v>32.7356649853995</v>
      </c>
      <c r="AL43" s="148">
        <v>6.54173181562324</v>
      </c>
      <c r="AM43" s="148">
        <v>21.8</v>
      </c>
      <c r="AN43" s="148">
        <v>8.37907652567</v>
      </c>
      <c r="AO43" s="148">
        <v>20.2108186774894</v>
      </c>
      <c r="AP43" s="148">
        <v>5.5</v>
      </c>
      <c r="AQ43" s="148">
        <v>37.3863243522213</v>
      </c>
      <c r="AR43" s="148">
        <v>10</v>
      </c>
      <c r="AS43" s="148">
        <v>54.476386108573</v>
      </c>
      <c r="AT43" s="148">
        <v>10.3404702155303</v>
      </c>
      <c r="AU43" s="148">
        <v>16.2</v>
      </c>
      <c r="AV43" s="148">
        <v>17.0217112257353</v>
      </c>
      <c r="AW43" s="148">
        <v>7.26859219347159</v>
      </c>
      <c r="AX43" s="148">
        <v>61.1558533599639</v>
      </c>
      <c r="AY43" s="148">
        <v>46.4068569879845</v>
      </c>
      <c r="AZ43" s="148">
        <v>28</v>
      </c>
      <c r="BA43" s="148">
        <v>14.0552995391705</v>
      </c>
      <c r="BB43" s="148">
        <v>21.8</v>
      </c>
      <c r="BC43" s="148">
        <v>48.2266158397815</v>
      </c>
      <c r="BD43" s="148">
        <v>46.4068569879845</v>
      </c>
      <c r="BE43" s="148">
        <v>46.2848115232612</v>
      </c>
      <c r="BF43" s="148">
        <v>50.5309533333333</v>
      </c>
      <c r="BG43" s="148">
        <v>9.81497258853163</v>
      </c>
      <c r="BH43" s="148">
        <v>4.5686321268235</v>
      </c>
      <c r="BI43" s="148">
        <v>8.00524934383202</v>
      </c>
      <c r="BJ43" s="148">
        <v>10.6546854942234</v>
      </c>
      <c r="BK43" s="148">
        <v>73.9131859131859</v>
      </c>
      <c r="BL43" s="148">
        <v>17.0217112257353</v>
      </c>
      <c r="BM43" s="148">
        <v>9.5186990937249</v>
      </c>
      <c r="BN43" s="148">
        <v>22.3</v>
      </c>
      <c r="BO43" s="148">
        <v>7.21793689702476</v>
      </c>
      <c r="BP43" s="148">
        <v>54.3239324995651</v>
      </c>
      <c r="BQ43" s="148">
        <v>8.59959448196937</v>
      </c>
      <c r="BR43" s="148">
        <v>17.0217112257353</v>
      </c>
      <c r="CC43" s="112">
        <v>1.4</v>
      </c>
      <c r="CD43" s="112">
        <v>1.6</v>
      </c>
      <c r="CE43" s="112">
        <v>1.3</v>
      </c>
      <c r="CF43" s="112">
        <v>0.8</v>
      </c>
      <c r="CG43" s="112">
        <v>5.5</v>
      </c>
      <c r="CH43" s="112">
        <v>2.8</v>
      </c>
      <c r="CI43" s="112">
        <v>2.4</v>
      </c>
      <c r="CJ43" s="112">
        <v>2</v>
      </c>
      <c r="CK43" s="112">
        <v>11.7</v>
      </c>
      <c r="CL43" s="112">
        <v>5.6</v>
      </c>
      <c r="CM43" s="112">
        <v>1.6</v>
      </c>
      <c r="CN43" s="112">
        <v>1</v>
      </c>
      <c r="CO43" s="112">
        <v>0.8</v>
      </c>
      <c r="CP43" s="112">
        <v>0.5</v>
      </c>
      <c r="CQ43" s="112">
        <v>0.7</v>
      </c>
      <c r="CR43" s="112">
        <v>0.9</v>
      </c>
      <c r="CS43" s="112">
        <v>10.4</v>
      </c>
      <c r="CT43" s="112">
        <v>1.7</v>
      </c>
      <c r="CU43" s="112">
        <v>0.4</v>
      </c>
      <c r="CV43" s="112">
        <v>1.3</v>
      </c>
      <c r="CW43" s="112">
        <v>0.9</v>
      </c>
    </row>
    <row r="44" s="112" customFormat="1" ht="22.5" customHeight="1" spans="1:101">
      <c r="A44" s="132"/>
      <c r="B44" s="133">
        <f>tblIndicators!A40</f>
        <v>39</v>
      </c>
      <c r="C44" s="133">
        <f>tblIndicators!B40</f>
        <v>0</v>
      </c>
      <c r="D44" s="133">
        <f>tblIndicators!F40</f>
        <v>3</v>
      </c>
      <c r="E44" s="133" t="str">
        <f>tblIndicators!E40</f>
        <v>INSE3.2</v>
      </c>
      <c r="F44" s="133" t="str">
        <f>tblIndicators!H40</f>
        <v>Percentage living in slums</v>
      </c>
      <c r="G44" s="133">
        <f>tblIndicators!Z40</f>
        <v>2</v>
      </c>
      <c r="H44" s="105" t="str">
        <f>REPT(" ",D44)&amp;tblIndicators!AE40</f>
        <v>   3.2.4) Percentage living in slums</v>
      </c>
      <c r="I44" s="147" t="str">
        <f>IF(G44=1,"",tblIndicators!P40)</f>
        <v>%</v>
      </c>
      <c r="J44" s="148">
        <v>0</v>
      </c>
      <c r="K44" s="148">
        <v>0.032</v>
      </c>
      <c r="L44" s="148">
        <v>0.063</v>
      </c>
      <c r="M44" s="148">
        <v>0.25</v>
      </c>
      <c r="N44" s="148">
        <v>0</v>
      </c>
      <c r="O44" s="148">
        <v>0.252</v>
      </c>
      <c r="P44" s="148">
        <v>0.131</v>
      </c>
      <c r="Q44" s="148">
        <v>0.019</v>
      </c>
      <c r="R44" s="148">
        <v>0.167</v>
      </c>
      <c r="S44" s="148">
        <v>0.106</v>
      </c>
      <c r="T44" s="148">
        <v>0.32</v>
      </c>
      <c r="U44" s="148">
        <v>0.131</v>
      </c>
      <c r="V44" s="148">
        <v>0.0128267950306978</v>
      </c>
      <c r="W44" s="148">
        <v>0.00700064745872451</v>
      </c>
      <c r="X44" s="148">
        <v>0.24</v>
      </c>
      <c r="Y44" s="148">
        <v>0.551</v>
      </c>
      <c r="Z44" s="148">
        <v>0</v>
      </c>
      <c r="AA44" s="148">
        <v>0.018</v>
      </c>
      <c r="AB44" s="148">
        <v>0.272</v>
      </c>
      <c r="AC44" s="148">
        <v>0.00636488340192044</v>
      </c>
      <c r="AD44" s="148">
        <v>0.119</v>
      </c>
      <c r="AE44" s="148">
        <v>0.218</v>
      </c>
      <c r="AF44" s="148">
        <v>0.18</v>
      </c>
      <c r="AG44" s="148">
        <v>0.23</v>
      </c>
      <c r="AH44" s="148">
        <v>0.455</v>
      </c>
      <c r="AI44" s="148">
        <v>0.02</v>
      </c>
      <c r="AJ44" s="148">
        <v>0</v>
      </c>
      <c r="AK44" s="148">
        <v>0.342</v>
      </c>
      <c r="AL44" s="148">
        <v>0.0035</v>
      </c>
      <c r="AM44" s="148">
        <v>0.0163340639058715</v>
      </c>
      <c r="AN44" s="148">
        <v>0.00821917808219178</v>
      </c>
      <c r="AO44" s="148">
        <v>0.383</v>
      </c>
      <c r="AP44" s="148">
        <v>0.0062</v>
      </c>
      <c r="AQ44" s="148">
        <v>0.111</v>
      </c>
      <c r="AR44" s="148">
        <v>0.096</v>
      </c>
      <c r="AS44" s="148">
        <v>0.032</v>
      </c>
      <c r="AT44" s="148">
        <v>0.24</v>
      </c>
      <c r="AU44" s="148">
        <v>0.0320627924692567</v>
      </c>
      <c r="AV44" s="148">
        <v>0.00282167042889391</v>
      </c>
      <c r="AW44" s="148">
        <v>0.023</v>
      </c>
      <c r="AX44" s="148">
        <v>0.36</v>
      </c>
      <c r="AY44" s="148">
        <v>0.223</v>
      </c>
      <c r="AZ44" s="148">
        <v>0.18</v>
      </c>
      <c r="BA44" s="148">
        <v>0.096</v>
      </c>
      <c r="BB44" s="148">
        <v>0.0220522852569803</v>
      </c>
      <c r="BC44" s="148">
        <v>0.09</v>
      </c>
      <c r="BD44" s="148">
        <v>0.223</v>
      </c>
      <c r="BE44" s="148">
        <v>0.000131761268781302</v>
      </c>
      <c r="BF44" s="148">
        <v>0.252</v>
      </c>
      <c r="BG44" s="148">
        <v>0</v>
      </c>
      <c r="BH44" s="148">
        <v>0.02</v>
      </c>
      <c r="BI44" s="148">
        <v>0.0062</v>
      </c>
      <c r="BJ44" s="148">
        <v>0</v>
      </c>
      <c r="BK44" s="148">
        <v>0.519</v>
      </c>
      <c r="BL44" s="148">
        <v>0.000417594654788419</v>
      </c>
      <c r="BM44" s="148">
        <v>0.0195</v>
      </c>
      <c r="BN44" s="148">
        <v>0.00960776083205074</v>
      </c>
      <c r="BO44" s="148">
        <v>0.007</v>
      </c>
      <c r="BP44" s="148">
        <v>0.41</v>
      </c>
      <c r="BQ44" s="148">
        <v>0.017</v>
      </c>
      <c r="BR44" s="148">
        <v>0</v>
      </c>
      <c r="CC44" s="112">
        <v>29.4</v>
      </c>
      <c r="CD44" s="112">
        <v>20</v>
      </c>
      <c r="CE44" s="112">
        <v>15.7</v>
      </c>
      <c r="CF44" s="112">
        <v>19.1</v>
      </c>
      <c r="CG44" s="112">
        <v>26.9</v>
      </c>
      <c r="CH44" s="112">
        <v>18</v>
      </c>
      <c r="CI44" s="112">
        <v>28.4</v>
      </c>
      <c r="CJ44" s="112">
        <v>20</v>
      </c>
      <c r="CK44" s="112">
        <v>9</v>
      </c>
      <c r="CL44" s="112">
        <v>26.9</v>
      </c>
      <c r="CM44" s="112">
        <v>15</v>
      </c>
      <c r="CN44" s="112">
        <v>29.1</v>
      </c>
      <c r="CO44" s="112">
        <v>26</v>
      </c>
      <c r="CP44" s="112">
        <v>12.1</v>
      </c>
      <c r="CQ44" s="112">
        <v>12.6</v>
      </c>
      <c r="CR44" s="112">
        <v>2</v>
      </c>
      <c r="CS44" s="112">
        <v>15</v>
      </c>
      <c r="CT44" s="112">
        <v>15.7</v>
      </c>
      <c r="CU44" s="112">
        <v>13.2</v>
      </c>
      <c r="CV44" s="112">
        <v>20</v>
      </c>
      <c r="CW44" s="112">
        <v>4.2</v>
      </c>
    </row>
    <row r="45" s="112" customFormat="1" ht="22.5" customHeight="1" spans="1:101">
      <c r="A45" s="132"/>
      <c r="B45" s="133">
        <f>tblIndicators!A41</f>
        <v>40</v>
      </c>
      <c r="C45" s="133">
        <f>tblIndicators!B41</f>
        <v>0</v>
      </c>
      <c r="D45" s="133">
        <f>tblIndicators!F41</f>
        <v>3</v>
      </c>
      <c r="E45" s="133" t="str">
        <f>tblIndicators!E41</f>
        <v>INSE3.2</v>
      </c>
      <c r="F45" s="133" t="str">
        <f>tblIndicators!H41</f>
        <v>Number of attacks on facilities/infrastructure</v>
      </c>
      <c r="G45" s="133">
        <f>tblIndicators!Z41</f>
        <v>2</v>
      </c>
      <c r="H45" s="105" t="str">
        <f>REPT(" ",D45)&amp;tblIndicators!AE41</f>
        <v>   3.2.5) Number of attacks on facilities/infrastructure</v>
      </c>
      <c r="I45" s="147" t="str">
        <f>IF(G45=1,"",tblIndicators!P41)</f>
        <v>#/year</v>
      </c>
      <c r="J45" s="148">
        <v>0</v>
      </c>
      <c r="K45" s="148">
        <v>0</v>
      </c>
      <c r="L45" s="148">
        <v>0.4</v>
      </c>
      <c r="M45" s="148">
        <v>1.4</v>
      </c>
      <c r="N45" s="148">
        <v>0</v>
      </c>
      <c r="O45" s="148">
        <v>0</v>
      </c>
      <c r="P45" s="148">
        <v>1.2</v>
      </c>
      <c r="Q45" s="148">
        <v>0.1</v>
      </c>
      <c r="R45" s="148">
        <v>0.2</v>
      </c>
      <c r="S45" s="148">
        <v>2</v>
      </c>
      <c r="T45" s="148">
        <v>0</v>
      </c>
      <c r="U45" s="148">
        <v>0</v>
      </c>
      <c r="V45" s="148">
        <v>0</v>
      </c>
      <c r="W45" s="148">
        <v>0</v>
      </c>
      <c r="X45" s="148">
        <v>0.4</v>
      </c>
      <c r="Y45" s="148">
        <v>3.1</v>
      </c>
      <c r="Z45" s="148">
        <v>0</v>
      </c>
      <c r="AA45" s="148">
        <v>0</v>
      </c>
      <c r="AB45" s="148">
        <v>0</v>
      </c>
      <c r="AC45" s="148">
        <v>0</v>
      </c>
      <c r="AD45" s="148">
        <v>1.4</v>
      </c>
      <c r="AE45" s="148">
        <v>0.1</v>
      </c>
      <c r="AF45" s="148">
        <v>0</v>
      </c>
      <c r="AG45" s="148">
        <v>0</v>
      </c>
      <c r="AH45" s="148">
        <v>4.7</v>
      </c>
      <c r="AI45" s="148">
        <v>0</v>
      </c>
      <c r="AJ45" s="148">
        <v>0</v>
      </c>
      <c r="AK45" s="148">
        <v>0.1</v>
      </c>
      <c r="AL45" s="148">
        <v>0.2</v>
      </c>
      <c r="AM45" s="148">
        <v>0.1</v>
      </c>
      <c r="AN45" s="148">
        <v>0</v>
      </c>
      <c r="AO45" s="148">
        <v>0</v>
      </c>
      <c r="AP45" s="148">
        <v>0</v>
      </c>
      <c r="AQ45" s="148">
        <v>0.9</v>
      </c>
      <c r="AR45" s="148">
        <v>0</v>
      </c>
      <c r="AS45" s="148">
        <v>0.4</v>
      </c>
      <c r="AT45" s="148">
        <v>0.3</v>
      </c>
      <c r="AU45" s="148">
        <v>0.1</v>
      </c>
      <c r="AV45" s="148">
        <v>0</v>
      </c>
      <c r="AW45" s="148">
        <v>0</v>
      </c>
      <c r="AX45" s="148">
        <v>0</v>
      </c>
      <c r="AY45" s="148">
        <v>0</v>
      </c>
      <c r="AZ45" s="148">
        <v>0</v>
      </c>
      <c r="BA45" s="148">
        <v>0.1</v>
      </c>
      <c r="BB45" s="148">
        <v>0</v>
      </c>
      <c r="BC45" s="148">
        <v>0.5</v>
      </c>
      <c r="BD45" s="148">
        <v>0.1</v>
      </c>
      <c r="BE45" s="148">
        <v>0</v>
      </c>
      <c r="BF45" s="148">
        <v>0.1</v>
      </c>
      <c r="BG45" s="148">
        <v>0</v>
      </c>
      <c r="BH45" s="148">
        <v>0</v>
      </c>
      <c r="BI45" s="148">
        <v>0</v>
      </c>
      <c r="BJ45" s="148">
        <v>0</v>
      </c>
      <c r="BK45" s="148">
        <v>0</v>
      </c>
      <c r="BL45" s="148">
        <v>0.5</v>
      </c>
      <c r="BM45" s="148">
        <v>0</v>
      </c>
      <c r="BN45" s="148">
        <v>0</v>
      </c>
      <c r="BO45" s="148">
        <v>0</v>
      </c>
      <c r="BP45" s="148">
        <v>0.5</v>
      </c>
      <c r="BQ45" s="148">
        <v>0</v>
      </c>
      <c r="BR45" s="148">
        <v>0</v>
      </c>
      <c r="CC45" s="112">
        <v>0.4</v>
      </c>
      <c r="CD45" s="112">
        <v>0.1</v>
      </c>
      <c r="CE45" s="112">
        <v>0</v>
      </c>
      <c r="CF45" s="112">
        <v>0</v>
      </c>
      <c r="CG45" s="112">
        <v>0</v>
      </c>
      <c r="CH45" s="112">
        <v>0</v>
      </c>
      <c r="CI45" s="112">
        <v>0.1</v>
      </c>
      <c r="CJ45" s="112">
        <v>0</v>
      </c>
      <c r="CK45" s="112">
        <v>0.3</v>
      </c>
      <c r="CL45" s="112">
        <v>0.1</v>
      </c>
      <c r="CM45" s="112">
        <v>0</v>
      </c>
      <c r="CN45" s="112">
        <v>0.1</v>
      </c>
      <c r="CO45" s="112">
        <v>0</v>
      </c>
      <c r="CP45" s="112">
        <v>0</v>
      </c>
      <c r="CQ45" s="112">
        <v>0</v>
      </c>
      <c r="CR45" s="112">
        <v>0</v>
      </c>
      <c r="CS45" s="112">
        <v>0.1</v>
      </c>
      <c r="CT45" s="112">
        <v>0</v>
      </c>
      <c r="CU45" s="112">
        <v>0</v>
      </c>
      <c r="CV45" s="112">
        <v>0</v>
      </c>
      <c r="CW45" s="112">
        <v>0</v>
      </c>
    </row>
    <row r="46" s="112" customFormat="1" ht="22.5" customHeight="1" spans="1:70">
      <c r="A46" s="132"/>
      <c r="B46" s="133">
        <f>tblIndicators!A42</f>
        <v>41</v>
      </c>
      <c r="C46" s="133">
        <f>tblIndicators!B42</f>
        <v>0</v>
      </c>
      <c r="D46" s="133">
        <f>tblIndicators!F42</f>
        <v>1</v>
      </c>
      <c r="E46" s="133" t="str">
        <f>tblIndicators!E42</f>
        <v>OVERALL</v>
      </c>
      <c r="F46" s="133" t="str">
        <f>tblIndicators!H42</f>
        <v>PERSONAL SECURITY</v>
      </c>
      <c r="G46" s="133">
        <f>tblIndicators!Z42</f>
        <v>1</v>
      </c>
      <c r="H46" s="105" t="str">
        <f>REPT(" ",D46)&amp;tblIndicators!AE42</f>
        <v> 4) PERSONAL SECURITY</v>
      </c>
      <c r="I46" s="147" t="str">
        <f>IF(G46=1,"",tblIndicators!P42)</f>
        <v/>
      </c>
      <c r="J46" s="148" t="s">
        <v>697</v>
      </c>
      <c r="K46" s="148" t="s">
        <v>697</v>
      </c>
      <c r="L46" s="148" t="s">
        <v>697</v>
      </c>
      <c r="M46" s="148" t="s">
        <v>697</v>
      </c>
      <c r="N46" s="148" t="s">
        <v>697</v>
      </c>
      <c r="O46" s="148" t="s">
        <v>697</v>
      </c>
      <c r="P46" s="148" t="s">
        <v>697</v>
      </c>
      <c r="Q46" s="148" t="s">
        <v>697</v>
      </c>
      <c r="R46" s="148" t="s">
        <v>697</v>
      </c>
      <c r="S46" s="148" t="s">
        <v>697</v>
      </c>
      <c r="T46" s="148" t="s">
        <v>697</v>
      </c>
      <c r="U46" s="148" t="s">
        <v>697</v>
      </c>
      <c r="V46" s="148" t="s">
        <v>697</v>
      </c>
      <c r="W46" s="148" t="s">
        <v>697</v>
      </c>
      <c r="X46" s="148" t="s">
        <v>697</v>
      </c>
      <c r="Y46" s="148" t="s">
        <v>697</v>
      </c>
      <c r="Z46" s="148" t="s">
        <v>697</v>
      </c>
      <c r="AA46" s="148" t="s">
        <v>697</v>
      </c>
      <c r="AB46" s="148" t="s">
        <v>697</v>
      </c>
      <c r="AC46" s="148" t="s">
        <v>697</v>
      </c>
      <c r="AD46" s="148" t="s">
        <v>697</v>
      </c>
      <c r="AE46" s="148" t="s">
        <v>697</v>
      </c>
      <c r="AF46" s="148" t="s">
        <v>697</v>
      </c>
      <c r="AG46" s="148" t="s">
        <v>697</v>
      </c>
      <c r="AH46" s="148" t="s">
        <v>697</v>
      </c>
      <c r="AI46" s="148" t="s">
        <v>697</v>
      </c>
      <c r="AJ46" s="148" t="s">
        <v>697</v>
      </c>
      <c r="AK46" s="148" t="s">
        <v>697</v>
      </c>
      <c r="AL46" s="148" t="s">
        <v>697</v>
      </c>
      <c r="AM46" s="148" t="s">
        <v>697</v>
      </c>
      <c r="AN46" s="148" t="s">
        <v>697</v>
      </c>
      <c r="AO46" s="148" t="s">
        <v>697</v>
      </c>
      <c r="AP46" s="148" t="s">
        <v>697</v>
      </c>
      <c r="AQ46" s="148" t="s">
        <v>697</v>
      </c>
      <c r="AR46" s="148" t="s">
        <v>697</v>
      </c>
      <c r="AS46" s="148" t="s">
        <v>697</v>
      </c>
      <c r="AT46" s="148" t="s">
        <v>697</v>
      </c>
      <c r="AU46" s="148" t="s">
        <v>697</v>
      </c>
      <c r="AV46" s="148" t="s">
        <v>697</v>
      </c>
      <c r="AW46" s="148" t="s">
        <v>697</v>
      </c>
      <c r="AX46" s="148" t="s">
        <v>697</v>
      </c>
      <c r="AY46" s="148" t="s">
        <v>697</v>
      </c>
      <c r="AZ46" s="148" t="s">
        <v>697</v>
      </c>
      <c r="BA46" s="148" t="s">
        <v>697</v>
      </c>
      <c r="BB46" s="148" t="s">
        <v>697</v>
      </c>
      <c r="BC46" s="148" t="s">
        <v>697</v>
      </c>
      <c r="BD46" s="148" t="s">
        <v>697</v>
      </c>
      <c r="BE46" s="148" t="s">
        <v>697</v>
      </c>
      <c r="BF46" s="148" t="s">
        <v>697</v>
      </c>
      <c r="BG46" s="148" t="s">
        <v>697</v>
      </c>
      <c r="BH46" s="148" t="s">
        <v>697</v>
      </c>
      <c r="BI46" s="148" t="s">
        <v>697</v>
      </c>
      <c r="BJ46" s="148" t="s">
        <v>697</v>
      </c>
      <c r="BK46" s="148" t="s">
        <v>697</v>
      </c>
      <c r="BL46" s="148" t="s">
        <v>697</v>
      </c>
      <c r="BM46" s="148" t="s">
        <v>697</v>
      </c>
      <c r="BN46" s="148" t="s">
        <v>697</v>
      </c>
      <c r="BO46" s="148" t="s">
        <v>697</v>
      </c>
      <c r="BP46" s="148" t="s">
        <v>697</v>
      </c>
      <c r="BQ46" s="148" t="s">
        <v>697</v>
      </c>
      <c r="BR46" s="148" t="s">
        <v>697</v>
      </c>
    </row>
    <row r="47" s="112" customFormat="1" ht="22.5" customHeight="1" spans="1:70">
      <c r="A47" s="132"/>
      <c r="B47" s="133">
        <f>tblIndicators!A43</f>
        <v>42</v>
      </c>
      <c r="C47" s="133">
        <f>tblIndicators!B43</f>
        <v>0</v>
      </c>
      <c r="D47" s="133">
        <f>tblIndicators!F43</f>
        <v>2</v>
      </c>
      <c r="E47" s="133" t="str">
        <f>tblIndicators!E43</f>
        <v>PESE</v>
      </c>
      <c r="F47" s="133" t="str">
        <f>tblIndicators!H43</f>
        <v>Personal security (Inputs)</v>
      </c>
      <c r="G47" s="133">
        <f>tblIndicators!Z43</f>
        <v>1</v>
      </c>
      <c r="H47" s="105" t="str">
        <f>REPT(" ",D47)&amp;tblIndicators!AE43</f>
        <v>  4.1) Personal security (Inputs)</v>
      </c>
      <c r="I47" s="147" t="str">
        <f>IF(G47=1,"",tblIndicators!P43)</f>
        <v/>
      </c>
      <c r="J47" s="148" t="s">
        <v>697</v>
      </c>
      <c r="K47" s="148" t="s">
        <v>697</v>
      </c>
      <c r="L47" s="148" t="s">
        <v>697</v>
      </c>
      <c r="M47" s="148" t="s">
        <v>697</v>
      </c>
      <c r="N47" s="148" t="s">
        <v>697</v>
      </c>
      <c r="O47" s="148" t="s">
        <v>697</v>
      </c>
      <c r="P47" s="148" t="s">
        <v>697</v>
      </c>
      <c r="Q47" s="148" t="s">
        <v>697</v>
      </c>
      <c r="R47" s="148" t="s">
        <v>697</v>
      </c>
      <c r="S47" s="148" t="s">
        <v>697</v>
      </c>
      <c r="T47" s="148" t="s">
        <v>697</v>
      </c>
      <c r="U47" s="148" t="s">
        <v>697</v>
      </c>
      <c r="V47" s="148" t="s">
        <v>697</v>
      </c>
      <c r="W47" s="148" t="s">
        <v>697</v>
      </c>
      <c r="X47" s="148" t="s">
        <v>697</v>
      </c>
      <c r="Y47" s="148" t="s">
        <v>697</v>
      </c>
      <c r="Z47" s="148" t="s">
        <v>697</v>
      </c>
      <c r="AA47" s="148" t="s">
        <v>697</v>
      </c>
      <c r="AB47" s="148" t="s">
        <v>697</v>
      </c>
      <c r="AC47" s="148" t="s">
        <v>697</v>
      </c>
      <c r="AD47" s="148" t="s">
        <v>697</v>
      </c>
      <c r="AE47" s="148" t="s">
        <v>697</v>
      </c>
      <c r="AF47" s="148" t="s">
        <v>697</v>
      </c>
      <c r="AG47" s="148" t="s">
        <v>697</v>
      </c>
      <c r="AH47" s="148" t="s">
        <v>697</v>
      </c>
      <c r="AI47" s="148" t="s">
        <v>697</v>
      </c>
      <c r="AJ47" s="148" t="s">
        <v>697</v>
      </c>
      <c r="AK47" s="148" t="s">
        <v>697</v>
      </c>
      <c r="AL47" s="148" t="s">
        <v>697</v>
      </c>
      <c r="AM47" s="148" t="s">
        <v>697</v>
      </c>
      <c r="AN47" s="148" t="s">
        <v>697</v>
      </c>
      <c r="AO47" s="148" t="s">
        <v>697</v>
      </c>
      <c r="AP47" s="148" t="s">
        <v>697</v>
      </c>
      <c r="AQ47" s="148" t="s">
        <v>697</v>
      </c>
      <c r="AR47" s="148" t="s">
        <v>697</v>
      </c>
      <c r="AS47" s="148" t="s">
        <v>697</v>
      </c>
      <c r="AT47" s="148" t="s">
        <v>697</v>
      </c>
      <c r="AU47" s="148" t="s">
        <v>697</v>
      </c>
      <c r="AV47" s="148" t="s">
        <v>697</v>
      </c>
      <c r="AW47" s="148" t="s">
        <v>697</v>
      </c>
      <c r="AX47" s="148" t="s">
        <v>697</v>
      </c>
      <c r="AY47" s="148" t="s">
        <v>697</v>
      </c>
      <c r="AZ47" s="148" t="s">
        <v>697</v>
      </c>
      <c r="BA47" s="148" t="s">
        <v>697</v>
      </c>
      <c r="BB47" s="148" t="s">
        <v>697</v>
      </c>
      <c r="BC47" s="148" t="s">
        <v>697</v>
      </c>
      <c r="BD47" s="148" t="s">
        <v>697</v>
      </c>
      <c r="BE47" s="148" t="s">
        <v>697</v>
      </c>
      <c r="BF47" s="148" t="s">
        <v>697</v>
      </c>
      <c r="BG47" s="148" t="s">
        <v>697</v>
      </c>
      <c r="BH47" s="148" t="s">
        <v>697</v>
      </c>
      <c r="BI47" s="148" t="s">
        <v>697</v>
      </c>
      <c r="BJ47" s="148" t="s">
        <v>697</v>
      </c>
      <c r="BK47" s="148" t="s">
        <v>697</v>
      </c>
      <c r="BL47" s="148" t="s">
        <v>697</v>
      </c>
      <c r="BM47" s="148" t="s">
        <v>697</v>
      </c>
      <c r="BN47" s="148" t="s">
        <v>697</v>
      </c>
      <c r="BO47" s="148" t="s">
        <v>697</v>
      </c>
      <c r="BP47" s="148" t="s">
        <v>697</v>
      </c>
      <c r="BQ47" s="148" t="s">
        <v>697</v>
      </c>
      <c r="BR47" s="148" t="s">
        <v>697</v>
      </c>
    </row>
    <row r="48" s="112" customFormat="1" ht="22.5" customHeight="1" spans="1:101">
      <c r="A48" s="132"/>
      <c r="B48" s="133">
        <f>tblIndicators!A44</f>
        <v>43</v>
      </c>
      <c r="C48" s="133">
        <f>tblIndicators!B44</f>
        <v>0</v>
      </c>
      <c r="D48" s="133">
        <f>tblIndicators!F44</f>
        <v>3</v>
      </c>
      <c r="E48" s="133" t="str">
        <f>tblIndicators!E44</f>
        <v>PESE4.1</v>
      </c>
      <c r="F48" s="133" t="str">
        <f>tblIndicators!H44</f>
        <v>Level of police engagement</v>
      </c>
      <c r="G48" s="133">
        <f>tblIndicators!Z44</f>
        <v>3</v>
      </c>
      <c r="H48" s="105" t="str">
        <f>REPT(" ",D48)&amp;tblIndicators!AE44</f>
        <v>   4.1.1) Level of police engagement</v>
      </c>
      <c r="I48" s="147" t="str">
        <f>IF(G48=1,"",tblIndicators!P44)</f>
        <v>Scale 0 - 1, 1 = has police engagement plans</v>
      </c>
      <c r="J48" s="148">
        <v>1</v>
      </c>
      <c r="K48" s="148">
        <v>1</v>
      </c>
      <c r="L48" s="148">
        <v>0.5</v>
      </c>
      <c r="M48" s="148">
        <v>0.5</v>
      </c>
      <c r="N48" s="148">
        <v>1</v>
      </c>
      <c r="O48" s="148">
        <v>0.5</v>
      </c>
      <c r="P48" s="148">
        <v>0.5</v>
      </c>
      <c r="Q48" s="148">
        <v>0.5</v>
      </c>
      <c r="R48" s="148">
        <v>0.5</v>
      </c>
      <c r="S48" s="148">
        <v>0.5</v>
      </c>
      <c r="T48" s="148">
        <v>0.5</v>
      </c>
      <c r="U48" s="148">
        <v>1</v>
      </c>
      <c r="V48" s="148">
        <v>1</v>
      </c>
      <c r="W48" s="148">
        <v>1</v>
      </c>
      <c r="X48" s="148">
        <v>1</v>
      </c>
      <c r="Y48" s="148">
        <v>1</v>
      </c>
      <c r="Z48" s="148">
        <v>1</v>
      </c>
      <c r="AA48" s="148">
        <v>1</v>
      </c>
      <c r="AB48" s="148">
        <v>0</v>
      </c>
      <c r="AC48" s="148">
        <v>1</v>
      </c>
      <c r="AD48" s="148">
        <v>0.5</v>
      </c>
      <c r="AE48" s="148">
        <v>0.5</v>
      </c>
      <c r="AF48" s="148">
        <v>0.5</v>
      </c>
      <c r="AG48" s="148">
        <v>0.5</v>
      </c>
      <c r="AH48" s="148">
        <v>1</v>
      </c>
      <c r="AI48" s="148">
        <v>0.5</v>
      </c>
      <c r="AJ48" s="148">
        <v>0.5</v>
      </c>
      <c r="AK48" s="148">
        <v>0.5</v>
      </c>
      <c r="AL48" s="148">
        <v>1</v>
      </c>
      <c r="AM48" s="148">
        <v>1</v>
      </c>
      <c r="AN48" s="148">
        <v>1</v>
      </c>
      <c r="AO48" s="148">
        <v>0.5</v>
      </c>
      <c r="AP48" s="148">
        <v>1</v>
      </c>
      <c r="AQ48" s="148">
        <v>0.5</v>
      </c>
      <c r="AR48" s="148">
        <v>0.5</v>
      </c>
      <c r="AS48" s="148">
        <v>0</v>
      </c>
      <c r="AT48" s="148">
        <v>1</v>
      </c>
      <c r="AU48" s="148">
        <v>1</v>
      </c>
      <c r="AV48" s="148">
        <v>1</v>
      </c>
      <c r="AW48" s="148">
        <v>0.5</v>
      </c>
      <c r="AX48" s="148">
        <v>0.5</v>
      </c>
      <c r="AY48" s="148">
        <v>0.5</v>
      </c>
      <c r="AZ48" s="148">
        <v>0.5</v>
      </c>
      <c r="BA48" s="148">
        <v>0.5</v>
      </c>
      <c r="BB48" s="148">
        <v>1</v>
      </c>
      <c r="BC48" s="148">
        <v>0.5</v>
      </c>
      <c r="BD48" s="148">
        <v>0.5</v>
      </c>
      <c r="BE48" s="148">
        <v>1</v>
      </c>
      <c r="BF48" s="148">
        <v>0.5</v>
      </c>
      <c r="BG48" s="148">
        <v>1</v>
      </c>
      <c r="BH48" s="148">
        <v>0.5</v>
      </c>
      <c r="BI48" s="148">
        <v>1</v>
      </c>
      <c r="BJ48" s="148">
        <v>1</v>
      </c>
      <c r="BK48" s="148">
        <v>0.5</v>
      </c>
      <c r="BL48" s="148">
        <v>1</v>
      </c>
      <c r="BM48" s="148">
        <v>1</v>
      </c>
      <c r="BN48" s="148">
        <v>1</v>
      </c>
      <c r="BO48" s="148">
        <v>1</v>
      </c>
      <c r="BP48" s="148">
        <v>0.5</v>
      </c>
      <c r="BQ48" s="148">
        <v>0.5</v>
      </c>
      <c r="BR48" s="148">
        <v>1</v>
      </c>
      <c r="CC48" s="112">
        <v>1</v>
      </c>
      <c r="CD48" s="112">
        <v>1</v>
      </c>
      <c r="CE48" s="112">
        <v>1</v>
      </c>
      <c r="CF48" s="112">
        <v>1</v>
      </c>
      <c r="CG48" s="112">
        <v>1</v>
      </c>
      <c r="CH48" s="112">
        <v>1</v>
      </c>
      <c r="CI48" s="112">
        <v>1</v>
      </c>
      <c r="CJ48" s="112">
        <v>1</v>
      </c>
      <c r="CK48" s="112">
        <v>0.5</v>
      </c>
      <c r="CL48" s="112">
        <v>0.5</v>
      </c>
      <c r="CM48" s="112">
        <v>0.5</v>
      </c>
      <c r="CN48" s="112">
        <v>0.5</v>
      </c>
      <c r="CO48" s="112">
        <v>1</v>
      </c>
      <c r="CP48" s="112">
        <v>1</v>
      </c>
      <c r="CQ48" s="112">
        <v>1</v>
      </c>
      <c r="CR48" s="112">
        <v>1</v>
      </c>
      <c r="CS48" s="112">
        <v>0.5</v>
      </c>
      <c r="CT48" s="112">
        <v>1</v>
      </c>
      <c r="CU48" s="112">
        <v>1</v>
      </c>
      <c r="CV48" s="112">
        <v>1</v>
      </c>
      <c r="CW48" s="112">
        <v>1</v>
      </c>
    </row>
    <row r="49" s="112" customFormat="1" ht="22.5" customHeight="1" spans="1:101">
      <c r="A49" s="132"/>
      <c r="B49" s="133">
        <f>tblIndicators!A45</f>
        <v>44</v>
      </c>
      <c r="C49" s="133">
        <f>tblIndicators!B45</f>
        <v>0</v>
      </c>
      <c r="D49" s="133">
        <f>tblIndicators!F45</f>
        <v>3</v>
      </c>
      <c r="E49" s="133" t="str">
        <f>tblIndicators!E45</f>
        <v>PESE4.1</v>
      </c>
      <c r="F49" s="133" t="str">
        <f>tblIndicators!H45</f>
        <v>Community-based patrolling</v>
      </c>
      <c r="G49" s="133">
        <f>tblIndicators!Z45</f>
        <v>2</v>
      </c>
      <c r="H49" s="105" t="str">
        <f>REPT(" ",D49)&amp;tblIndicators!AE45</f>
        <v>   4.1.2) Community-based patrolling</v>
      </c>
      <c r="I49" s="147" t="str">
        <f>IF(G49=1,"",tblIndicators!P45)</f>
        <v>Scale 0 - 1, 1 = yes, 0 = none</v>
      </c>
      <c r="J49" s="148">
        <v>1</v>
      </c>
      <c r="K49" s="148">
        <v>1</v>
      </c>
      <c r="L49" s="148">
        <v>0</v>
      </c>
      <c r="M49" s="148">
        <v>1</v>
      </c>
      <c r="N49" s="148">
        <v>1</v>
      </c>
      <c r="O49" s="148">
        <v>1</v>
      </c>
      <c r="P49" s="148">
        <v>1</v>
      </c>
      <c r="Q49" s="148">
        <v>1</v>
      </c>
      <c r="R49" s="148">
        <v>0</v>
      </c>
      <c r="S49" s="148">
        <v>1</v>
      </c>
      <c r="T49" s="148">
        <v>1</v>
      </c>
      <c r="U49" s="148">
        <v>0</v>
      </c>
      <c r="V49" s="148">
        <v>1</v>
      </c>
      <c r="W49" s="148">
        <v>1</v>
      </c>
      <c r="X49" s="148">
        <v>1</v>
      </c>
      <c r="Y49" s="148">
        <v>1</v>
      </c>
      <c r="Z49" s="148">
        <v>1</v>
      </c>
      <c r="AA49" s="148">
        <v>1</v>
      </c>
      <c r="AB49" s="148">
        <v>0</v>
      </c>
      <c r="AC49" s="148">
        <v>1</v>
      </c>
      <c r="AD49" s="148">
        <v>1</v>
      </c>
      <c r="AE49" s="148">
        <v>1</v>
      </c>
      <c r="AF49" s="148">
        <v>1</v>
      </c>
      <c r="AG49" s="148">
        <v>1</v>
      </c>
      <c r="AH49" s="148">
        <v>1</v>
      </c>
      <c r="AI49" s="148">
        <v>1</v>
      </c>
      <c r="AJ49" s="148">
        <v>1</v>
      </c>
      <c r="AK49" s="148">
        <v>1</v>
      </c>
      <c r="AL49" s="148">
        <v>1</v>
      </c>
      <c r="AM49" s="148">
        <v>1</v>
      </c>
      <c r="AN49" s="148">
        <v>1</v>
      </c>
      <c r="AO49" s="148">
        <v>1</v>
      </c>
      <c r="AP49" s="148">
        <v>1</v>
      </c>
      <c r="AQ49" s="148">
        <v>1</v>
      </c>
      <c r="AR49" s="148">
        <v>1</v>
      </c>
      <c r="AS49" s="148">
        <v>1</v>
      </c>
      <c r="AT49" s="148">
        <v>1</v>
      </c>
      <c r="AU49" s="148">
        <v>1</v>
      </c>
      <c r="AV49" s="148">
        <v>1</v>
      </c>
      <c r="AW49" s="148">
        <v>1</v>
      </c>
      <c r="AX49" s="148">
        <v>0</v>
      </c>
      <c r="AY49" s="148">
        <v>1</v>
      </c>
      <c r="AZ49" s="148">
        <v>1</v>
      </c>
      <c r="BA49" s="148">
        <v>1</v>
      </c>
      <c r="BB49" s="148">
        <v>1</v>
      </c>
      <c r="BC49" s="148">
        <v>0</v>
      </c>
      <c r="BD49" s="148">
        <v>1</v>
      </c>
      <c r="BE49" s="148">
        <v>1</v>
      </c>
      <c r="BF49" s="148">
        <v>1</v>
      </c>
      <c r="BG49" s="148">
        <v>1</v>
      </c>
      <c r="BH49" s="148">
        <v>1</v>
      </c>
      <c r="BI49" s="148">
        <v>1</v>
      </c>
      <c r="BJ49" s="148">
        <v>1</v>
      </c>
      <c r="BK49" s="148">
        <v>0</v>
      </c>
      <c r="BL49" s="148">
        <v>1</v>
      </c>
      <c r="BM49" s="148">
        <v>1</v>
      </c>
      <c r="BN49" s="148">
        <v>1</v>
      </c>
      <c r="BO49" s="148">
        <v>1</v>
      </c>
      <c r="BP49" s="148">
        <v>1</v>
      </c>
      <c r="BQ49" s="148">
        <v>1</v>
      </c>
      <c r="BR49" s="148">
        <v>1</v>
      </c>
      <c r="CC49" s="112">
        <v>1</v>
      </c>
      <c r="CD49" s="112">
        <v>1</v>
      </c>
      <c r="CE49" s="112">
        <v>1</v>
      </c>
      <c r="CF49" s="112">
        <v>1</v>
      </c>
      <c r="CG49" s="112">
        <v>1</v>
      </c>
      <c r="CH49" s="112">
        <v>0</v>
      </c>
      <c r="CI49" s="112">
        <v>1</v>
      </c>
      <c r="CJ49" s="112">
        <v>1</v>
      </c>
      <c r="CK49" s="112">
        <v>1</v>
      </c>
      <c r="CL49" s="112">
        <v>1</v>
      </c>
      <c r="CM49" s="112">
        <v>1</v>
      </c>
      <c r="CN49" s="112">
        <v>1</v>
      </c>
      <c r="CO49" s="112">
        <v>1</v>
      </c>
      <c r="CP49" s="112">
        <v>1</v>
      </c>
      <c r="CQ49" s="112">
        <v>1</v>
      </c>
      <c r="CR49" s="112">
        <v>1</v>
      </c>
      <c r="CS49" s="112">
        <v>0</v>
      </c>
      <c r="CT49" s="112">
        <v>1</v>
      </c>
      <c r="CU49" s="112">
        <v>1</v>
      </c>
      <c r="CV49" s="112">
        <v>1</v>
      </c>
      <c r="CW49" s="112">
        <v>1</v>
      </c>
    </row>
    <row r="50" s="112" customFormat="1" ht="22.5" customHeight="1" spans="1:101">
      <c r="A50" s="132"/>
      <c r="B50" s="133">
        <f>tblIndicators!A46</f>
        <v>45</v>
      </c>
      <c r="C50" s="133">
        <f>tblIndicators!B46</f>
        <v>0</v>
      </c>
      <c r="D50" s="133">
        <f>tblIndicators!F46</f>
        <v>3</v>
      </c>
      <c r="E50" s="133" t="str">
        <f>tblIndicators!E46</f>
        <v>PESE4.1</v>
      </c>
      <c r="F50" s="133" t="str">
        <f>tblIndicators!H46</f>
        <v>Available street-level crime data</v>
      </c>
      <c r="G50" s="133">
        <f>tblIndicators!Z46</f>
        <v>2</v>
      </c>
      <c r="H50" s="105" t="str">
        <f>REPT(" ",D50)&amp;tblIndicators!AE46</f>
        <v>   4.1.3) Available street-level crime data</v>
      </c>
      <c r="I50" s="147" t="str">
        <f>IF(G50=1,"",tblIndicators!P46)</f>
        <v>Scale 0 - 1, 1 = yes, 0 = none</v>
      </c>
      <c r="J50" s="148">
        <v>1</v>
      </c>
      <c r="K50" s="148">
        <v>1</v>
      </c>
      <c r="L50" s="148">
        <v>1</v>
      </c>
      <c r="M50" s="148">
        <v>0</v>
      </c>
      <c r="N50" s="148">
        <v>1</v>
      </c>
      <c r="O50" s="148">
        <v>1</v>
      </c>
      <c r="P50" s="148">
        <v>0</v>
      </c>
      <c r="Q50" s="148">
        <v>1</v>
      </c>
      <c r="R50" s="148">
        <v>1</v>
      </c>
      <c r="S50" s="148">
        <v>1</v>
      </c>
      <c r="T50" s="148">
        <v>0</v>
      </c>
      <c r="U50" s="148">
        <v>1</v>
      </c>
      <c r="V50" s="148">
        <v>1</v>
      </c>
      <c r="W50" s="148">
        <v>1</v>
      </c>
      <c r="X50" s="148">
        <v>1</v>
      </c>
      <c r="Y50" s="148">
        <v>0</v>
      </c>
      <c r="Z50" s="148">
        <v>1</v>
      </c>
      <c r="AA50" s="148">
        <v>1</v>
      </c>
      <c r="AB50" s="148">
        <v>0</v>
      </c>
      <c r="AC50" s="148">
        <v>1</v>
      </c>
      <c r="AD50" s="148">
        <v>1</v>
      </c>
      <c r="AE50" s="148">
        <v>1</v>
      </c>
      <c r="AF50" s="148">
        <v>0</v>
      </c>
      <c r="AG50" s="148">
        <v>1</v>
      </c>
      <c r="AH50" s="148">
        <v>0</v>
      </c>
      <c r="AI50" s="148">
        <v>1</v>
      </c>
      <c r="AJ50" s="148">
        <v>1</v>
      </c>
      <c r="AK50" s="148">
        <v>1</v>
      </c>
      <c r="AL50" s="148">
        <v>1</v>
      </c>
      <c r="AM50" s="148">
        <v>1</v>
      </c>
      <c r="AN50" s="148">
        <v>1</v>
      </c>
      <c r="AO50" s="148">
        <v>1</v>
      </c>
      <c r="AP50" s="148">
        <v>1</v>
      </c>
      <c r="AQ50" s="148">
        <v>1</v>
      </c>
      <c r="AR50" s="148">
        <v>1</v>
      </c>
      <c r="AS50" s="148">
        <v>1</v>
      </c>
      <c r="AT50" s="148">
        <v>1</v>
      </c>
      <c r="AU50" s="148">
        <v>1</v>
      </c>
      <c r="AV50" s="148">
        <v>1</v>
      </c>
      <c r="AW50" s="148">
        <v>1</v>
      </c>
      <c r="AX50" s="148">
        <v>0</v>
      </c>
      <c r="AY50" s="148">
        <v>1</v>
      </c>
      <c r="AZ50" s="148">
        <v>0</v>
      </c>
      <c r="BA50" s="148">
        <v>1</v>
      </c>
      <c r="BB50" s="148">
        <v>1</v>
      </c>
      <c r="BC50" s="148">
        <v>1</v>
      </c>
      <c r="BD50" s="148">
        <v>1</v>
      </c>
      <c r="BE50" s="148">
        <v>1</v>
      </c>
      <c r="BF50" s="148">
        <v>1</v>
      </c>
      <c r="BG50" s="148">
        <v>1</v>
      </c>
      <c r="BH50" s="148">
        <v>1</v>
      </c>
      <c r="BI50" s="148">
        <v>1</v>
      </c>
      <c r="BJ50" s="148">
        <v>1</v>
      </c>
      <c r="BK50" s="148">
        <v>1</v>
      </c>
      <c r="BL50" s="148">
        <v>1</v>
      </c>
      <c r="BM50" s="148">
        <v>1</v>
      </c>
      <c r="BN50" s="148">
        <v>1</v>
      </c>
      <c r="BO50" s="148">
        <v>1</v>
      </c>
      <c r="BP50" s="148">
        <v>0</v>
      </c>
      <c r="BQ50" s="148">
        <v>1</v>
      </c>
      <c r="BR50" s="148">
        <v>1</v>
      </c>
      <c r="CC50" s="112">
        <v>1</v>
      </c>
      <c r="CD50" s="112">
        <v>1</v>
      </c>
      <c r="CE50" s="112">
        <v>1</v>
      </c>
      <c r="CF50" s="112">
        <v>1</v>
      </c>
      <c r="CG50" s="112">
        <v>1</v>
      </c>
      <c r="CH50" s="112">
        <v>0</v>
      </c>
      <c r="CI50" s="112">
        <v>1</v>
      </c>
      <c r="CJ50" s="112">
        <v>1</v>
      </c>
      <c r="CK50" s="112">
        <v>0</v>
      </c>
      <c r="CL50" s="112">
        <v>0</v>
      </c>
      <c r="CM50" s="112">
        <v>0</v>
      </c>
      <c r="CN50" s="112">
        <v>0</v>
      </c>
      <c r="CO50" s="112">
        <v>1</v>
      </c>
      <c r="CP50" s="112">
        <v>1</v>
      </c>
      <c r="CQ50" s="112">
        <v>1</v>
      </c>
      <c r="CR50" s="112">
        <v>1</v>
      </c>
      <c r="CS50" s="112">
        <v>0</v>
      </c>
      <c r="CT50" s="112">
        <v>1</v>
      </c>
      <c r="CU50" s="112">
        <v>1</v>
      </c>
      <c r="CV50" s="112">
        <v>1</v>
      </c>
      <c r="CW50" s="112">
        <v>1</v>
      </c>
    </row>
    <row r="51" s="112" customFormat="1" ht="22.5" customHeight="1" spans="1:101">
      <c r="A51" s="132"/>
      <c r="B51" s="133">
        <f>tblIndicators!A47</f>
        <v>46</v>
      </c>
      <c r="C51" s="133">
        <f>tblIndicators!B47</f>
        <v>0</v>
      </c>
      <c r="D51" s="133">
        <f>tblIndicators!F47</f>
        <v>3</v>
      </c>
      <c r="E51" s="133" t="str">
        <f>tblIndicators!E47</f>
        <v>PESE4.1</v>
      </c>
      <c r="F51" s="133" t="str">
        <f>tblIndicators!H47</f>
        <v>Use of data-driven techniques for crime</v>
      </c>
      <c r="G51" s="133">
        <f>tblIndicators!Z47</f>
        <v>2</v>
      </c>
      <c r="H51" s="105" t="str">
        <f>REPT(" ",D51)&amp;tblIndicators!AE47</f>
        <v>   4.1.4) Use of data-driven techniques for crime</v>
      </c>
      <c r="I51" s="147" t="str">
        <f>IF(G51=1,"",tblIndicators!P47)</f>
        <v>Scale 0 - 1, 1 = yes, 0 = none</v>
      </c>
      <c r="J51" s="148">
        <v>0</v>
      </c>
      <c r="K51" s="148">
        <v>1</v>
      </c>
      <c r="L51" s="148">
        <v>1</v>
      </c>
      <c r="M51" s="148">
        <v>1</v>
      </c>
      <c r="N51" s="148">
        <v>1</v>
      </c>
      <c r="O51" s="148">
        <v>1</v>
      </c>
      <c r="P51" s="148">
        <v>1</v>
      </c>
      <c r="Q51" s="148">
        <v>1</v>
      </c>
      <c r="R51" s="148">
        <v>1</v>
      </c>
      <c r="S51" s="148">
        <v>1</v>
      </c>
      <c r="T51" s="148">
        <v>0</v>
      </c>
      <c r="U51" s="148">
        <v>0</v>
      </c>
      <c r="V51" s="148">
        <v>1</v>
      </c>
      <c r="W51" s="148">
        <v>1</v>
      </c>
      <c r="X51" s="148">
        <v>1</v>
      </c>
      <c r="Y51" s="148">
        <v>1</v>
      </c>
      <c r="Z51" s="148">
        <v>1</v>
      </c>
      <c r="AA51" s="148">
        <v>1</v>
      </c>
      <c r="AB51" s="148">
        <v>0</v>
      </c>
      <c r="AC51" s="148">
        <v>1</v>
      </c>
      <c r="AD51" s="148">
        <v>1</v>
      </c>
      <c r="AE51" s="148">
        <v>0</v>
      </c>
      <c r="AF51" s="148">
        <v>1</v>
      </c>
      <c r="AG51" s="148">
        <v>0</v>
      </c>
      <c r="AH51" s="148">
        <v>0</v>
      </c>
      <c r="AI51" s="148">
        <v>1</v>
      </c>
      <c r="AJ51" s="148">
        <v>0</v>
      </c>
      <c r="AK51" s="148">
        <v>0</v>
      </c>
      <c r="AL51" s="148">
        <v>1</v>
      </c>
      <c r="AM51" s="148">
        <v>1</v>
      </c>
      <c r="AN51" s="148">
        <v>1</v>
      </c>
      <c r="AO51" s="148">
        <v>1</v>
      </c>
      <c r="AP51" s="148">
        <v>1</v>
      </c>
      <c r="AQ51" s="148">
        <v>1</v>
      </c>
      <c r="AR51" s="148">
        <v>1</v>
      </c>
      <c r="AS51" s="148">
        <v>0</v>
      </c>
      <c r="AT51" s="148">
        <v>1</v>
      </c>
      <c r="AU51" s="148">
        <v>1</v>
      </c>
      <c r="AV51" s="148">
        <v>1</v>
      </c>
      <c r="AW51" s="148">
        <v>1</v>
      </c>
      <c r="AX51" s="148">
        <v>1</v>
      </c>
      <c r="AY51" s="148">
        <v>1</v>
      </c>
      <c r="AZ51" s="148">
        <v>1</v>
      </c>
      <c r="BA51" s="148">
        <v>1</v>
      </c>
      <c r="BB51" s="148">
        <v>1</v>
      </c>
      <c r="BC51" s="148">
        <v>1</v>
      </c>
      <c r="BD51" s="148">
        <v>1</v>
      </c>
      <c r="BE51" s="148">
        <v>1</v>
      </c>
      <c r="BF51" s="148">
        <v>1</v>
      </c>
      <c r="BG51" s="148">
        <v>1</v>
      </c>
      <c r="BH51" s="148">
        <v>1</v>
      </c>
      <c r="BI51" s="148">
        <v>1</v>
      </c>
      <c r="BJ51" s="148">
        <v>1</v>
      </c>
      <c r="BK51" s="148">
        <v>0</v>
      </c>
      <c r="BL51" s="148">
        <v>1</v>
      </c>
      <c r="BM51" s="148">
        <v>1</v>
      </c>
      <c r="BN51" s="148">
        <v>1</v>
      </c>
      <c r="BO51" s="148">
        <v>1</v>
      </c>
      <c r="BP51" s="148">
        <v>0</v>
      </c>
      <c r="BQ51" s="148">
        <v>1</v>
      </c>
      <c r="BR51" s="148">
        <v>1</v>
      </c>
      <c r="CC51" s="112">
        <v>1</v>
      </c>
      <c r="CD51" s="112">
        <v>1</v>
      </c>
      <c r="CE51" s="112">
        <v>1</v>
      </c>
      <c r="CF51" s="112">
        <v>1</v>
      </c>
      <c r="CG51" s="112">
        <v>0</v>
      </c>
      <c r="CH51" s="112">
        <v>1</v>
      </c>
      <c r="CI51" s="112">
        <v>0</v>
      </c>
      <c r="CJ51" s="112">
        <v>1</v>
      </c>
      <c r="CK51" s="112">
        <v>1</v>
      </c>
      <c r="CL51" s="112">
        <v>0</v>
      </c>
      <c r="CM51" s="112">
        <v>1</v>
      </c>
      <c r="CN51" s="112">
        <v>1</v>
      </c>
      <c r="CO51" s="112">
        <v>1</v>
      </c>
      <c r="CP51" s="112">
        <v>1</v>
      </c>
      <c r="CQ51" s="112">
        <v>1</v>
      </c>
      <c r="CR51" s="112">
        <v>1</v>
      </c>
      <c r="CS51" s="112">
        <v>1</v>
      </c>
      <c r="CT51" s="112">
        <v>1</v>
      </c>
      <c r="CU51" s="112">
        <v>1</v>
      </c>
      <c r="CV51" s="112">
        <v>1</v>
      </c>
      <c r="CW51" s="112">
        <v>0</v>
      </c>
    </row>
    <row r="52" s="112" customFormat="1" ht="22.5" customHeight="1" spans="1:101">
      <c r="A52" s="132"/>
      <c r="B52" s="133">
        <f>tblIndicators!A48</f>
        <v>47</v>
      </c>
      <c r="C52" s="133">
        <f>tblIndicators!B48</f>
        <v>0</v>
      </c>
      <c r="D52" s="133">
        <f>tblIndicators!F48</f>
        <v>3</v>
      </c>
      <c r="E52" s="133" t="str">
        <f>tblIndicators!E48</f>
        <v>PESE4.1</v>
      </c>
      <c r="F52" s="133" t="str">
        <f>tblIndicators!H48</f>
        <v>Private security measures</v>
      </c>
      <c r="G52" s="133">
        <f>tblIndicators!Z48</f>
        <v>2</v>
      </c>
      <c r="H52" s="105" t="str">
        <f>REPT(" ",D52)&amp;tblIndicators!AE48</f>
        <v>   4.1.5) Private security measures</v>
      </c>
      <c r="I52" s="147" t="str">
        <f>IF(G52=1,"",tblIndicators!P48)</f>
        <v>Scale 0 - 1, 1 = yes, 0 = none</v>
      </c>
      <c r="J52" s="148">
        <v>1</v>
      </c>
      <c r="K52" s="148">
        <v>1</v>
      </c>
      <c r="L52" s="148">
        <v>1</v>
      </c>
      <c r="M52" s="148">
        <v>1</v>
      </c>
      <c r="N52" s="148">
        <v>1</v>
      </c>
      <c r="O52" s="148">
        <v>1</v>
      </c>
      <c r="P52" s="148">
        <v>1</v>
      </c>
      <c r="Q52" s="148">
        <v>1</v>
      </c>
      <c r="R52" s="148">
        <v>1</v>
      </c>
      <c r="S52" s="148">
        <v>1</v>
      </c>
      <c r="T52" s="148">
        <v>1</v>
      </c>
      <c r="U52" s="148">
        <v>1</v>
      </c>
      <c r="V52" s="148">
        <v>1</v>
      </c>
      <c r="W52" s="148">
        <v>1</v>
      </c>
      <c r="X52" s="148">
        <v>1</v>
      </c>
      <c r="Y52" s="148">
        <v>1</v>
      </c>
      <c r="Z52" s="148">
        <v>1</v>
      </c>
      <c r="AA52" s="148">
        <v>1</v>
      </c>
      <c r="AB52" s="148">
        <v>1</v>
      </c>
      <c r="AC52" s="148">
        <v>1</v>
      </c>
      <c r="AD52" s="148">
        <v>1</v>
      </c>
      <c r="AE52" s="148">
        <v>0</v>
      </c>
      <c r="AF52" s="148">
        <v>0</v>
      </c>
      <c r="AG52" s="148">
        <v>1</v>
      </c>
      <c r="AH52" s="148">
        <v>0</v>
      </c>
      <c r="AI52" s="148">
        <v>1</v>
      </c>
      <c r="AJ52" s="148">
        <v>1</v>
      </c>
      <c r="AK52" s="148">
        <v>1</v>
      </c>
      <c r="AL52" s="148">
        <v>1</v>
      </c>
      <c r="AM52" s="148">
        <v>1</v>
      </c>
      <c r="AN52" s="148">
        <v>1</v>
      </c>
      <c r="AO52" s="148">
        <v>1</v>
      </c>
      <c r="AP52" s="148">
        <v>1</v>
      </c>
      <c r="AQ52" s="148">
        <v>1</v>
      </c>
      <c r="AR52" s="148">
        <v>1</v>
      </c>
      <c r="AS52" s="148">
        <v>1</v>
      </c>
      <c r="AT52" s="148">
        <v>1</v>
      </c>
      <c r="AU52" s="148">
        <v>1</v>
      </c>
      <c r="AV52" s="148">
        <v>1</v>
      </c>
      <c r="AW52" s="148">
        <v>1</v>
      </c>
      <c r="AX52" s="148">
        <v>1</v>
      </c>
      <c r="AY52" s="148">
        <v>1</v>
      </c>
      <c r="AZ52" s="148">
        <v>0</v>
      </c>
      <c r="BA52" s="148">
        <v>1</v>
      </c>
      <c r="BB52" s="148">
        <v>1</v>
      </c>
      <c r="BC52" s="148">
        <v>1</v>
      </c>
      <c r="BD52" s="148">
        <v>1</v>
      </c>
      <c r="BE52" s="148">
        <v>1</v>
      </c>
      <c r="BF52" s="148">
        <v>1</v>
      </c>
      <c r="BG52" s="148">
        <v>1</v>
      </c>
      <c r="BH52" s="148">
        <v>1</v>
      </c>
      <c r="BI52" s="148">
        <v>1</v>
      </c>
      <c r="BJ52" s="148">
        <v>1</v>
      </c>
      <c r="BK52" s="148">
        <v>1</v>
      </c>
      <c r="BL52" s="148">
        <v>1</v>
      </c>
      <c r="BM52" s="148">
        <v>1</v>
      </c>
      <c r="BN52" s="148">
        <v>1</v>
      </c>
      <c r="BO52" s="148">
        <v>1</v>
      </c>
      <c r="BP52" s="148">
        <v>0</v>
      </c>
      <c r="BQ52" s="148">
        <v>1</v>
      </c>
      <c r="BR52" s="148">
        <v>1</v>
      </c>
      <c r="CC52" s="112">
        <v>0</v>
      </c>
      <c r="CD52" s="112">
        <v>1</v>
      </c>
      <c r="CE52" s="112">
        <v>1</v>
      </c>
      <c r="CF52" s="112">
        <v>0</v>
      </c>
      <c r="CG52" s="112">
        <v>1</v>
      </c>
      <c r="CH52" s="112">
        <v>0</v>
      </c>
      <c r="CI52" s="112">
        <v>0</v>
      </c>
      <c r="CJ52" s="112">
        <v>1</v>
      </c>
      <c r="CK52" s="112">
        <v>0</v>
      </c>
      <c r="CL52" s="112">
        <v>1</v>
      </c>
      <c r="CM52" s="112">
        <v>1</v>
      </c>
      <c r="CN52" s="112">
        <v>1</v>
      </c>
      <c r="CO52" s="112">
        <v>1</v>
      </c>
      <c r="CP52" s="112">
        <v>1</v>
      </c>
      <c r="CQ52" s="112">
        <v>1</v>
      </c>
      <c r="CR52" s="112">
        <v>1</v>
      </c>
      <c r="CS52" s="112">
        <v>1</v>
      </c>
      <c r="CT52" s="112">
        <v>1</v>
      </c>
      <c r="CU52" s="112">
        <v>1</v>
      </c>
      <c r="CV52" s="112">
        <v>1</v>
      </c>
      <c r="CW52" s="112">
        <v>1</v>
      </c>
    </row>
    <row r="53" s="112" customFormat="1" ht="22.5" customHeight="1" spans="1:101">
      <c r="A53" s="132"/>
      <c r="B53" s="133">
        <f>tblIndicators!A49</f>
        <v>48</v>
      </c>
      <c r="C53" s="133">
        <f>tblIndicators!B49</f>
        <v>0</v>
      </c>
      <c r="D53" s="133">
        <f>tblIndicators!F49</f>
        <v>3</v>
      </c>
      <c r="E53" s="133" t="str">
        <f>tblIndicators!E49</f>
        <v>PESE4.1</v>
      </c>
      <c r="F53" s="133" t="str">
        <f>tblIndicators!H49</f>
        <v>Gun regulation and enforcement</v>
      </c>
      <c r="G53" s="133">
        <f>tblIndicators!Z49</f>
        <v>2</v>
      </c>
      <c r="H53" s="105" t="str">
        <f>REPT(" ",D53)&amp;tblIndicators!AE49</f>
        <v>   4.1.6) Gun regulation and enforcement</v>
      </c>
      <c r="I53" s="147" t="str">
        <f>IF(G53=1,"",tblIndicators!P49)</f>
        <v>Scale 0 - 10, 10 = unrestricted</v>
      </c>
      <c r="J53" s="148">
        <v>3.8</v>
      </c>
      <c r="K53" s="148">
        <v>2.5</v>
      </c>
      <c r="L53" s="148">
        <v>4.8</v>
      </c>
      <c r="M53" s="148">
        <v>4.2</v>
      </c>
      <c r="N53" s="148">
        <v>2.6</v>
      </c>
      <c r="O53" s="148">
        <v>0.5</v>
      </c>
      <c r="P53" s="148">
        <v>4.2</v>
      </c>
      <c r="Q53" s="148">
        <v>3.1</v>
      </c>
      <c r="R53" s="148">
        <v>2.5</v>
      </c>
      <c r="S53" s="148">
        <v>4.2</v>
      </c>
      <c r="T53" s="148">
        <v>1.1</v>
      </c>
      <c r="U53" s="148">
        <v>3</v>
      </c>
      <c r="V53" s="148">
        <v>4.2</v>
      </c>
      <c r="W53" s="148">
        <v>6.8</v>
      </c>
      <c r="X53" s="148">
        <v>3.7</v>
      </c>
      <c r="Y53" s="148">
        <v>2</v>
      </c>
      <c r="Z53" s="148">
        <v>3</v>
      </c>
      <c r="AA53" s="148">
        <v>3.2</v>
      </c>
      <c r="AB53" s="148">
        <v>0.5</v>
      </c>
      <c r="AC53" s="148">
        <v>1.5</v>
      </c>
      <c r="AD53" s="148">
        <v>5.7</v>
      </c>
      <c r="AE53" s="148">
        <v>2.1</v>
      </c>
      <c r="AF53" s="148">
        <v>6.5</v>
      </c>
      <c r="AG53" s="148">
        <v>6</v>
      </c>
      <c r="AH53" s="148">
        <v>5.6</v>
      </c>
      <c r="AI53" s="148">
        <v>2</v>
      </c>
      <c r="AJ53" s="148">
        <v>0.75</v>
      </c>
      <c r="AK53" s="148">
        <v>6</v>
      </c>
      <c r="AL53" s="148">
        <v>1.5</v>
      </c>
      <c r="AM53" s="148">
        <v>3.85</v>
      </c>
      <c r="AN53" s="148">
        <v>2.6</v>
      </c>
      <c r="AO53" s="148">
        <v>4.8</v>
      </c>
      <c r="AP53" s="148">
        <v>2</v>
      </c>
      <c r="AQ53" s="148">
        <v>3.9</v>
      </c>
      <c r="AR53" s="148">
        <v>3.6</v>
      </c>
      <c r="AS53" s="148">
        <v>3.1</v>
      </c>
      <c r="AT53" s="148">
        <v>3.7</v>
      </c>
      <c r="AU53" s="148">
        <v>4.6</v>
      </c>
      <c r="AV53" s="148">
        <v>1.5</v>
      </c>
      <c r="AW53" s="148">
        <v>4</v>
      </c>
      <c r="AX53" s="148">
        <v>4.2</v>
      </c>
      <c r="AY53" s="148">
        <v>3.5</v>
      </c>
      <c r="AZ53" s="148">
        <v>6.5</v>
      </c>
      <c r="BA53" s="148">
        <v>3.6</v>
      </c>
      <c r="BB53" s="148">
        <v>3.85</v>
      </c>
      <c r="BC53" s="148">
        <v>4.7</v>
      </c>
      <c r="BD53" s="148">
        <v>3.5</v>
      </c>
      <c r="BE53" s="148">
        <v>2</v>
      </c>
      <c r="BF53" s="148">
        <v>0.5</v>
      </c>
      <c r="BG53" s="148">
        <v>1.5</v>
      </c>
      <c r="BH53" s="148">
        <v>3.2</v>
      </c>
      <c r="BI53" s="148">
        <v>2</v>
      </c>
      <c r="BJ53" s="148">
        <v>1</v>
      </c>
      <c r="BK53" s="148">
        <v>3.6</v>
      </c>
      <c r="BL53" s="148">
        <v>1.5</v>
      </c>
      <c r="BM53" s="148">
        <v>3</v>
      </c>
      <c r="BN53" s="148">
        <v>2</v>
      </c>
      <c r="BO53" s="148">
        <v>2</v>
      </c>
      <c r="BP53" s="148">
        <v>2.5</v>
      </c>
      <c r="BQ53" s="148">
        <v>5.95</v>
      </c>
      <c r="BR53" s="148">
        <v>1.5</v>
      </c>
      <c r="CC53" s="112">
        <v>3.7</v>
      </c>
      <c r="CD53" s="112">
        <v>4.6</v>
      </c>
      <c r="CE53" s="112">
        <v>1.5</v>
      </c>
      <c r="CF53" s="112">
        <v>4</v>
      </c>
      <c r="CG53" s="112">
        <v>3.5</v>
      </c>
      <c r="CH53" s="112">
        <v>6.5</v>
      </c>
      <c r="CI53" s="112">
        <v>3.6</v>
      </c>
      <c r="CJ53" s="112">
        <v>3.9</v>
      </c>
      <c r="CK53" s="112">
        <v>4.7</v>
      </c>
      <c r="CL53" s="112">
        <v>3.5</v>
      </c>
      <c r="CM53" s="112">
        <v>2</v>
      </c>
      <c r="CN53" s="112">
        <v>0.5</v>
      </c>
      <c r="CO53" s="112">
        <v>1.5</v>
      </c>
      <c r="CP53" s="112">
        <v>3.2</v>
      </c>
      <c r="CQ53" s="112">
        <v>2</v>
      </c>
      <c r="CR53" s="112">
        <v>1</v>
      </c>
      <c r="CS53" s="112">
        <v>3.6</v>
      </c>
      <c r="CT53" s="112">
        <v>1.5</v>
      </c>
      <c r="CU53" s="112">
        <v>3</v>
      </c>
      <c r="CV53" s="112">
        <v>2</v>
      </c>
      <c r="CW53" s="112">
        <v>6</v>
      </c>
    </row>
    <row r="54" s="112" customFormat="1" ht="22.5" customHeight="1" spans="1:101">
      <c r="A54" s="132"/>
      <c r="B54" s="133">
        <f>tblIndicators!A50</f>
        <v>49</v>
      </c>
      <c r="C54" s="133">
        <f>tblIndicators!B50</f>
        <v>0</v>
      </c>
      <c r="D54" s="133">
        <f>tblIndicators!F50</f>
        <v>3</v>
      </c>
      <c r="E54" s="133" t="str">
        <f>tblIndicators!E50</f>
        <v>PESE4.1</v>
      </c>
      <c r="F54" s="133" t="str">
        <f>tblIndicators!H50</f>
        <v>Political stability risk</v>
      </c>
      <c r="G54" s="133">
        <f>tblIndicators!Z50</f>
        <v>3</v>
      </c>
      <c r="H54" s="105" t="str">
        <f>REPT(" ",D54)&amp;tblIndicators!AE50</f>
        <v>   4.1.7) Political stability risk</v>
      </c>
      <c r="I54" s="147" t="str">
        <f>IF(G54=1,"",tblIndicators!P50)</f>
        <v>Scale 0 - 100, 0 = no risk</v>
      </c>
      <c r="J54" s="148">
        <v>45</v>
      </c>
      <c r="K54" s="148">
        <v>20</v>
      </c>
      <c r="L54" s="148">
        <v>30</v>
      </c>
      <c r="M54" s="148">
        <v>60</v>
      </c>
      <c r="N54" s="148">
        <v>30</v>
      </c>
      <c r="O54" s="148">
        <v>55</v>
      </c>
      <c r="P54" s="148">
        <v>35</v>
      </c>
      <c r="Q54" s="148">
        <v>25</v>
      </c>
      <c r="R54" s="148">
        <v>40</v>
      </c>
      <c r="S54" s="148">
        <v>50</v>
      </c>
      <c r="T54" s="148">
        <v>75</v>
      </c>
      <c r="U54" s="148">
        <v>60</v>
      </c>
      <c r="V54" s="148">
        <v>20</v>
      </c>
      <c r="W54" s="148">
        <v>20</v>
      </c>
      <c r="X54" s="148">
        <v>25</v>
      </c>
      <c r="Y54" s="148">
        <v>55</v>
      </c>
      <c r="Z54" s="148">
        <v>40</v>
      </c>
      <c r="AA54" s="148">
        <v>15</v>
      </c>
      <c r="AB54" s="148">
        <v>55</v>
      </c>
      <c r="AC54" s="148">
        <v>40</v>
      </c>
      <c r="AD54" s="148">
        <v>65</v>
      </c>
      <c r="AE54" s="148">
        <v>40</v>
      </c>
      <c r="AF54" s="148">
        <v>55</v>
      </c>
      <c r="AG54" s="148">
        <v>35</v>
      </c>
      <c r="AH54" s="148">
        <v>60</v>
      </c>
      <c r="AI54" s="148">
        <v>35</v>
      </c>
      <c r="AJ54" s="148">
        <v>60</v>
      </c>
      <c r="AK54" s="148">
        <v>35</v>
      </c>
      <c r="AL54" s="148">
        <v>25</v>
      </c>
      <c r="AM54" s="148">
        <v>20</v>
      </c>
      <c r="AN54" s="148">
        <v>30</v>
      </c>
      <c r="AO54" s="148">
        <v>50</v>
      </c>
      <c r="AP54" s="148">
        <v>10</v>
      </c>
      <c r="AQ54" s="148">
        <v>50</v>
      </c>
      <c r="AR54" s="148">
        <v>40</v>
      </c>
      <c r="AS54" s="148">
        <v>60</v>
      </c>
      <c r="AT54" s="148">
        <v>25</v>
      </c>
      <c r="AU54" s="148">
        <v>20</v>
      </c>
      <c r="AV54" s="148">
        <v>15</v>
      </c>
      <c r="AW54" s="148">
        <v>35</v>
      </c>
      <c r="AX54" s="148">
        <v>50</v>
      </c>
      <c r="AY54" s="148">
        <v>40</v>
      </c>
      <c r="AZ54" s="148">
        <v>55</v>
      </c>
      <c r="BA54" s="148">
        <v>40</v>
      </c>
      <c r="BB54" s="148">
        <v>20</v>
      </c>
      <c r="BC54" s="148">
        <v>20</v>
      </c>
      <c r="BD54" s="148">
        <v>40</v>
      </c>
      <c r="BE54" s="148">
        <v>45</v>
      </c>
      <c r="BF54" s="148">
        <v>55</v>
      </c>
      <c r="BG54" s="148">
        <v>20</v>
      </c>
      <c r="BH54" s="148">
        <v>15</v>
      </c>
      <c r="BI54" s="148">
        <v>10</v>
      </c>
      <c r="BJ54" s="148">
        <v>35</v>
      </c>
      <c r="BK54" s="148">
        <v>70</v>
      </c>
      <c r="BL54" s="148">
        <v>15</v>
      </c>
      <c r="BM54" s="148">
        <v>5</v>
      </c>
      <c r="BN54" s="148">
        <v>20</v>
      </c>
      <c r="BO54" s="148">
        <v>15</v>
      </c>
      <c r="BP54" s="148">
        <v>50</v>
      </c>
      <c r="BQ54" s="148">
        <v>15</v>
      </c>
      <c r="BR54" s="148">
        <v>15</v>
      </c>
      <c r="CC54" s="112">
        <v>20</v>
      </c>
      <c r="CD54" s="112">
        <v>10</v>
      </c>
      <c r="CE54" s="112">
        <v>10</v>
      </c>
      <c r="CF54" s="112">
        <v>30</v>
      </c>
      <c r="CG54" s="112">
        <v>35</v>
      </c>
      <c r="CH54" s="112">
        <v>55</v>
      </c>
      <c r="CI54" s="112">
        <v>35</v>
      </c>
      <c r="CJ54" s="112">
        <v>10</v>
      </c>
      <c r="CK54" s="112">
        <v>20</v>
      </c>
      <c r="CL54" s="112">
        <v>35</v>
      </c>
      <c r="CM54" s="112">
        <v>40</v>
      </c>
      <c r="CN54" s="112">
        <v>55</v>
      </c>
      <c r="CO54" s="112">
        <v>20</v>
      </c>
      <c r="CP54" s="112">
        <v>65</v>
      </c>
      <c r="CQ54" s="112">
        <v>10</v>
      </c>
      <c r="CR54" s="112">
        <v>30</v>
      </c>
      <c r="CS54" s="112">
        <v>75</v>
      </c>
      <c r="CT54" s="112">
        <v>10</v>
      </c>
      <c r="CU54" s="112">
        <v>5</v>
      </c>
      <c r="CV54" s="112">
        <v>10</v>
      </c>
      <c r="CW54" s="112">
        <v>10</v>
      </c>
    </row>
    <row r="55" s="112" customFormat="1" ht="22.5" customHeight="1" spans="1:70">
      <c r="A55" s="132"/>
      <c r="B55" s="133">
        <f>tblIndicators!A51</f>
        <v>50</v>
      </c>
      <c r="C55" s="133">
        <f>tblIndicators!B51</f>
        <v>0</v>
      </c>
      <c r="D55" s="133">
        <f>tblIndicators!F51</f>
        <v>2</v>
      </c>
      <c r="E55" s="133" t="str">
        <f>tblIndicators!E51</f>
        <v>PESE</v>
      </c>
      <c r="F55" s="133" t="str">
        <f>tblIndicators!H51</f>
        <v>Personal security (Outputs)</v>
      </c>
      <c r="G55" s="133">
        <f>tblIndicators!Z51</f>
        <v>1</v>
      </c>
      <c r="H55" s="105" t="str">
        <f>REPT(" ",D55)&amp;tblIndicators!AE51</f>
        <v>  4.2) Personal security (Outputs)</v>
      </c>
      <c r="I55" s="147" t="str">
        <f>IF(G55=1,"",tblIndicators!P51)</f>
        <v/>
      </c>
      <c r="J55" s="148" t="s">
        <v>697</v>
      </c>
      <c r="K55" s="148" t="s">
        <v>697</v>
      </c>
      <c r="L55" s="148" t="s">
        <v>697</v>
      </c>
      <c r="M55" s="148" t="s">
        <v>697</v>
      </c>
      <c r="N55" s="148" t="s">
        <v>697</v>
      </c>
      <c r="O55" s="148" t="s">
        <v>697</v>
      </c>
      <c r="P55" s="148" t="s">
        <v>697</v>
      </c>
      <c r="Q55" s="148" t="s">
        <v>697</v>
      </c>
      <c r="R55" s="148" t="s">
        <v>697</v>
      </c>
      <c r="S55" s="148" t="s">
        <v>697</v>
      </c>
      <c r="T55" s="148" t="s">
        <v>697</v>
      </c>
      <c r="U55" s="148" t="s">
        <v>697</v>
      </c>
      <c r="V55" s="148" t="s">
        <v>697</v>
      </c>
      <c r="W55" s="148" t="s">
        <v>697</v>
      </c>
      <c r="X55" s="148" t="s">
        <v>697</v>
      </c>
      <c r="Y55" s="148" t="s">
        <v>697</v>
      </c>
      <c r="Z55" s="148" t="s">
        <v>697</v>
      </c>
      <c r="AA55" s="148" t="s">
        <v>697</v>
      </c>
      <c r="AB55" s="148" t="s">
        <v>697</v>
      </c>
      <c r="AC55" s="148" t="s">
        <v>697</v>
      </c>
      <c r="AD55" s="148" t="s">
        <v>697</v>
      </c>
      <c r="AE55" s="148" t="s">
        <v>697</v>
      </c>
      <c r="AF55" s="148" t="s">
        <v>697</v>
      </c>
      <c r="AG55" s="148" t="s">
        <v>697</v>
      </c>
      <c r="AH55" s="148" t="s">
        <v>697</v>
      </c>
      <c r="AI55" s="148" t="s">
        <v>697</v>
      </c>
      <c r="AJ55" s="148" t="s">
        <v>697</v>
      </c>
      <c r="AK55" s="148" t="s">
        <v>697</v>
      </c>
      <c r="AL55" s="148" t="s">
        <v>697</v>
      </c>
      <c r="AM55" s="148" t="s">
        <v>697</v>
      </c>
      <c r="AN55" s="148" t="s">
        <v>697</v>
      </c>
      <c r="AO55" s="148" t="s">
        <v>697</v>
      </c>
      <c r="AP55" s="148" t="s">
        <v>697</v>
      </c>
      <c r="AQ55" s="148" t="s">
        <v>697</v>
      </c>
      <c r="AR55" s="148" t="s">
        <v>697</v>
      </c>
      <c r="AS55" s="148" t="s">
        <v>697</v>
      </c>
      <c r="AT55" s="148" t="s">
        <v>697</v>
      </c>
      <c r="AU55" s="148" t="s">
        <v>697</v>
      </c>
      <c r="AV55" s="148" t="s">
        <v>697</v>
      </c>
      <c r="AW55" s="148" t="s">
        <v>697</v>
      </c>
      <c r="AX55" s="148" t="s">
        <v>697</v>
      </c>
      <c r="AY55" s="148" t="s">
        <v>697</v>
      </c>
      <c r="AZ55" s="148" t="s">
        <v>697</v>
      </c>
      <c r="BA55" s="148" t="s">
        <v>697</v>
      </c>
      <c r="BB55" s="148" t="s">
        <v>697</v>
      </c>
      <c r="BC55" s="148" t="s">
        <v>697</v>
      </c>
      <c r="BD55" s="148" t="s">
        <v>697</v>
      </c>
      <c r="BE55" s="148" t="s">
        <v>697</v>
      </c>
      <c r="BF55" s="148" t="s">
        <v>697</v>
      </c>
      <c r="BG55" s="148" t="s">
        <v>697</v>
      </c>
      <c r="BH55" s="148" t="s">
        <v>697</v>
      </c>
      <c r="BI55" s="148" t="s">
        <v>697</v>
      </c>
      <c r="BJ55" s="148" t="s">
        <v>697</v>
      </c>
      <c r="BK55" s="148" t="s">
        <v>697</v>
      </c>
      <c r="BL55" s="148" t="s">
        <v>697</v>
      </c>
      <c r="BM55" s="148" t="s">
        <v>697</v>
      </c>
      <c r="BN55" s="148" t="s">
        <v>697</v>
      </c>
      <c r="BO55" s="148" t="s">
        <v>697</v>
      </c>
      <c r="BP55" s="148" t="s">
        <v>697</v>
      </c>
      <c r="BQ55" s="148" t="s">
        <v>697</v>
      </c>
      <c r="BR55" s="148" t="s">
        <v>697</v>
      </c>
    </row>
    <row r="56" s="112" customFormat="1" ht="22.5" customHeight="1" spans="1:101">
      <c r="A56" s="132"/>
      <c r="B56" s="133">
        <f>tblIndicators!A52</f>
        <v>51</v>
      </c>
      <c r="C56" s="133">
        <f>tblIndicators!B52</f>
        <v>0</v>
      </c>
      <c r="D56" s="133">
        <f>tblIndicators!F52</f>
        <v>3</v>
      </c>
      <c r="E56" s="133" t="str">
        <f>tblIndicators!E52</f>
        <v>PESE4.2</v>
      </c>
      <c r="F56" s="133" t="str">
        <f>tblIndicators!H52</f>
        <v>Prevalence of petty crime</v>
      </c>
      <c r="G56" s="133">
        <f>tblIndicators!Z52</f>
        <v>3</v>
      </c>
      <c r="H56" s="105" t="str">
        <f>REPT(" ",D56)&amp;tblIndicators!AE52</f>
        <v>   4.2.1) Prevalence of petty crime</v>
      </c>
      <c r="I56" s="147" t="str">
        <f>IF(G56=1,"",tblIndicators!P52)</f>
        <v>Scale 1 - 5</v>
      </c>
      <c r="J56" s="148">
        <v>2</v>
      </c>
      <c r="K56" s="148">
        <v>3</v>
      </c>
      <c r="L56" s="148">
        <v>2</v>
      </c>
      <c r="M56" s="148">
        <v>3</v>
      </c>
      <c r="N56" s="148">
        <v>2</v>
      </c>
      <c r="O56" s="148">
        <v>3</v>
      </c>
      <c r="P56" s="148">
        <v>5</v>
      </c>
      <c r="Q56" s="148">
        <v>2</v>
      </c>
      <c r="R56" s="148">
        <v>3</v>
      </c>
      <c r="S56" s="148">
        <v>3</v>
      </c>
      <c r="T56" s="148">
        <v>5</v>
      </c>
      <c r="U56" s="148">
        <v>2</v>
      </c>
      <c r="V56" s="148">
        <v>2</v>
      </c>
      <c r="W56" s="148">
        <v>2</v>
      </c>
      <c r="X56" s="148">
        <v>3</v>
      </c>
      <c r="Y56" s="148">
        <v>3</v>
      </c>
      <c r="Z56" s="148">
        <v>2</v>
      </c>
      <c r="AA56" s="148">
        <v>2</v>
      </c>
      <c r="AB56" s="148">
        <v>4</v>
      </c>
      <c r="AC56" s="148">
        <v>2</v>
      </c>
      <c r="AD56" s="148">
        <v>3</v>
      </c>
      <c r="AE56" s="148">
        <v>4</v>
      </c>
      <c r="AF56" s="148">
        <v>2</v>
      </c>
      <c r="AG56" s="148">
        <v>5</v>
      </c>
      <c r="AH56" s="148">
        <v>4</v>
      </c>
      <c r="AI56" s="148">
        <v>3</v>
      </c>
      <c r="AJ56" s="148">
        <v>2</v>
      </c>
      <c r="AK56" s="148">
        <v>3</v>
      </c>
      <c r="AL56" s="148">
        <v>3</v>
      </c>
      <c r="AM56" s="148">
        <v>2</v>
      </c>
      <c r="AN56" s="148">
        <v>2</v>
      </c>
      <c r="AO56" s="148">
        <v>3</v>
      </c>
      <c r="AP56" s="148">
        <v>2</v>
      </c>
      <c r="AQ56" s="148">
        <v>5</v>
      </c>
      <c r="AR56" s="148">
        <v>2</v>
      </c>
      <c r="AS56" s="148">
        <v>3</v>
      </c>
      <c r="AT56" s="148">
        <v>4</v>
      </c>
      <c r="AU56" s="148">
        <v>3</v>
      </c>
      <c r="AV56" s="148">
        <v>2</v>
      </c>
      <c r="AW56" s="148">
        <v>2</v>
      </c>
      <c r="AX56" s="148">
        <v>5</v>
      </c>
      <c r="AY56" s="148">
        <v>4</v>
      </c>
      <c r="AZ56" s="148">
        <v>2</v>
      </c>
      <c r="BA56" s="148">
        <v>3</v>
      </c>
      <c r="BB56" s="148">
        <v>2</v>
      </c>
      <c r="BC56" s="148">
        <v>3</v>
      </c>
      <c r="BD56" s="148">
        <v>4</v>
      </c>
      <c r="BE56" s="148">
        <v>2</v>
      </c>
      <c r="BF56" s="148">
        <v>3</v>
      </c>
      <c r="BG56" s="148">
        <v>1</v>
      </c>
      <c r="BH56" s="148">
        <v>2</v>
      </c>
      <c r="BI56" s="148">
        <v>2</v>
      </c>
      <c r="BJ56" s="148">
        <v>2</v>
      </c>
      <c r="BK56" s="148">
        <v>3</v>
      </c>
      <c r="BL56" s="148">
        <v>2</v>
      </c>
      <c r="BM56" s="148">
        <v>1</v>
      </c>
      <c r="BN56" s="148">
        <v>2</v>
      </c>
      <c r="BO56" s="148">
        <v>2</v>
      </c>
      <c r="BP56" s="148">
        <v>3</v>
      </c>
      <c r="BQ56" s="148">
        <v>2</v>
      </c>
      <c r="BR56" s="148">
        <v>2</v>
      </c>
      <c r="CC56" s="112">
        <v>4</v>
      </c>
      <c r="CD56" s="112">
        <v>3</v>
      </c>
      <c r="CE56" s="112">
        <v>2</v>
      </c>
      <c r="CF56" s="112">
        <v>2</v>
      </c>
      <c r="CG56" s="112">
        <v>4</v>
      </c>
      <c r="CH56" s="112">
        <v>2</v>
      </c>
      <c r="CI56" s="112">
        <v>3</v>
      </c>
      <c r="CJ56" s="112">
        <v>2</v>
      </c>
      <c r="CK56" s="112">
        <v>3</v>
      </c>
      <c r="CL56" s="112">
        <v>4</v>
      </c>
      <c r="CM56" s="112">
        <v>2</v>
      </c>
      <c r="CN56" s="112">
        <v>3</v>
      </c>
      <c r="CO56" s="112">
        <v>1</v>
      </c>
      <c r="CP56" s="112">
        <v>1</v>
      </c>
      <c r="CQ56" s="112">
        <v>2</v>
      </c>
      <c r="CR56" s="112">
        <v>2</v>
      </c>
      <c r="CS56" s="112">
        <v>3</v>
      </c>
      <c r="CT56" s="112">
        <v>2</v>
      </c>
      <c r="CU56" s="112">
        <v>1</v>
      </c>
      <c r="CV56" s="112">
        <v>2</v>
      </c>
      <c r="CW56" s="112">
        <v>2</v>
      </c>
    </row>
    <row r="57" s="112" customFormat="1" ht="22.5" customHeight="1" spans="1:101">
      <c r="A57" s="132"/>
      <c r="B57" s="133">
        <f>tblIndicators!A53</f>
        <v>52</v>
      </c>
      <c r="C57" s="133">
        <f>tblIndicators!B53</f>
        <v>0</v>
      </c>
      <c r="D57" s="133">
        <f>tblIndicators!F53</f>
        <v>3</v>
      </c>
      <c r="E57" s="133" t="str">
        <f>tblIndicators!E53</f>
        <v>PESE4.2</v>
      </c>
      <c r="F57" s="133" t="str">
        <f>tblIndicators!H53</f>
        <v>Prevalence of violent crime</v>
      </c>
      <c r="G57" s="133">
        <f>tblIndicators!Z53</f>
        <v>3</v>
      </c>
      <c r="H57" s="105" t="str">
        <f>REPT(" ",D57)&amp;tblIndicators!AE53</f>
        <v>   4.2.2) Prevalence of violent crime</v>
      </c>
      <c r="I57" s="147" t="str">
        <f>IF(G57=1,"",tblIndicators!P53)</f>
        <v>Scale 1 - 5</v>
      </c>
      <c r="J57" s="148">
        <v>1</v>
      </c>
      <c r="K57" s="148">
        <v>2</v>
      </c>
      <c r="L57" s="148">
        <v>1</v>
      </c>
      <c r="M57" s="148">
        <v>2</v>
      </c>
      <c r="N57" s="148">
        <v>2</v>
      </c>
      <c r="O57" s="148">
        <v>2</v>
      </c>
      <c r="P57" s="148">
        <v>4</v>
      </c>
      <c r="Q57" s="148">
        <v>2</v>
      </c>
      <c r="R57" s="148">
        <v>3</v>
      </c>
      <c r="S57" s="148">
        <v>2</v>
      </c>
      <c r="T57" s="148">
        <v>5</v>
      </c>
      <c r="U57" s="148">
        <v>2</v>
      </c>
      <c r="V57" s="148">
        <v>2</v>
      </c>
      <c r="W57" s="148">
        <v>3</v>
      </c>
      <c r="X57" s="148">
        <v>3</v>
      </c>
      <c r="Y57" s="148">
        <v>3</v>
      </c>
      <c r="Z57" s="148">
        <v>1</v>
      </c>
      <c r="AA57" s="148">
        <v>2</v>
      </c>
      <c r="AB57" s="148">
        <v>3</v>
      </c>
      <c r="AC57" s="148">
        <v>1</v>
      </c>
      <c r="AD57" s="148">
        <v>3</v>
      </c>
      <c r="AE57" s="148">
        <v>2</v>
      </c>
      <c r="AF57" s="148">
        <v>1</v>
      </c>
      <c r="AG57" s="148">
        <v>4</v>
      </c>
      <c r="AH57" s="148">
        <v>4</v>
      </c>
      <c r="AI57" s="148">
        <v>2</v>
      </c>
      <c r="AJ57" s="148">
        <v>1</v>
      </c>
      <c r="AK57" s="148">
        <v>3</v>
      </c>
      <c r="AL57" s="148">
        <v>2</v>
      </c>
      <c r="AM57" s="148">
        <v>2</v>
      </c>
      <c r="AN57" s="148">
        <v>2</v>
      </c>
      <c r="AO57" s="148">
        <v>2</v>
      </c>
      <c r="AP57" s="148">
        <v>1</v>
      </c>
      <c r="AQ57" s="148">
        <v>5</v>
      </c>
      <c r="AR57" s="148">
        <v>2</v>
      </c>
      <c r="AS57" s="148">
        <v>2</v>
      </c>
      <c r="AT57" s="148">
        <v>2</v>
      </c>
      <c r="AU57" s="148">
        <v>2</v>
      </c>
      <c r="AV57" s="148">
        <v>1</v>
      </c>
      <c r="AW57" s="148">
        <v>2</v>
      </c>
      <c r="AX57" s="148">
        <v>4</v>
      </c>
      <c r="AY57" s="148">
        <v>4</v>
      </c>
      <c r="AZ57" s="148">
        <v>1</v>
      </c>
      <c r="BA57" s="148">
        <v>2</v>
      </c>
      <c r="BB57" s="148">
        <v>2</v>
      </c>
      <c r="BC57" s="148">
        <v>3</v>
      </c>
      <c r="BD57" s="148">
        <v>4</v>
      </c>
      <c r="BE57" s="148">
        <v>1</v>
      </c>
      <c r="BF57" s="148">
        <v>2</v>
      </c>
      <c r="BG57" s="148">
        <v>1</v>
      </c>
      <c r="BH57" s="148">
        <v>1</v>
      </c>
      <c r="BI57" s="148">
        <v>2</v>
      </c>
      <c r="BJ57" s="148">
        <v>2</v>
      </c>
      <c r="BK57" s="148">
        <v>2</v>
      </c>
      <c r="BL57" s="148">
        <v>1</v>
      </c>
      <c r="BM57" s="148">
        <v>1</v>
      </c>
      <c r="BN57" s="148">
        <v>2</v>
      </c>
      <c r="BO57" s="148">
        <v>1</v>
      </c>
      <c r="BP57" s="148">
        <v>2</v>
      </c>
      <c r="BQ57" s="148">
        <v>1</v>
      </c>
      <c r="BR57" s="148">
        <v>1</v>
      </c>
      <c r="CC57" s="112">
        <v>2</v>
      </c>
      <c r="CD57" s="112">
        <v>2</v>
      </c>
      <c r="CE57" s="112">
        <v>1</v>
      </c>
      <c r="CF57" s="112">
        <v>2</v>
      </c>
      <c r="CG57" s="112">
        <v>4</v>
      </c>
      <c r="CH57" s="112">
        <v>1</v>
      </c>
      <c r="CI57" s="112">
        <v>2</v>
      </c>
      <c r="CJ57" s="112">
        <v>2</v>
      </c>
      <c r="CK57" s="112">
        <v>3</v>
      </c>
      <c r="CL57" s="112">
        <v>4</v>
      </c>
      <c r="CM57" s="112">
        <v>1</v>
      </c>
      <c r="CN57" s="112">
        <v>2</v>
      </c>
      <c r="CO57" s="112">
        <v>1</v>
      </c>
      <c r="CP57" s="112">
        <v>1</v>
      </c>
      <c r="CQ57" s="112">
        <v>2</v>
      </c>
      <c r="CR57" s="112">
        <v>2</v>
      </c>
      <c r="CS57" s="112">
        <v>2</v>
      </c>
      <c r="CT57" s="112">
        <v>1</v>
      </c>
      <c r="CU57" s="112">
        <v>1</v>
      </c>
      <c r="CV57" s="112">
        <v>2</v>
      </c>
      <c r="CW57" s="112">
        <v>1</v>
      </c>
    </row>
    <row r="58" s="112" customFormat="1" ht="22.5" customHeight="1" spans="1:101">
      <c r="A58" s="132"/>
      <c r="B58" s="133">
        <f>tblIndicators!A54</f>
        <v>53</v>
      </c>
      <c r="C58" s="133">
        <f>tblIndicators!B54</f>
        <v>0</v>
      </c>
      <c r="D58" s="133">
        <f>tblIndicators!F54</f>
        <v>3</v>
      </c>
      <c r="E58" s="133" t="str">
        <f>tblIndicators!E54</f>
        <v>PESE4.2</v>
      </c>
      <c r="F58" s="133" t="str">
        <f>tblIndicators!H54</f>
        <v>Organised crime</v>
      </c>
      <c r="G58" s="133">
        <f>tblIndicators!Z54</f>
        <v>3</v>
      </c>
      <c r="H58" s="105" t="str">
        <f>REPT(" ",D58)&amp;tblIndicators!AE54</f>
        <v>   4.2.3) Organised crime</v>
      </c>
      <c r="I58" s="147" t="str">
        <f>IF(G58=1,"",tblIndicators!P54)</f>
        <v>Scale 0 - 4</v>
      </c>
      <c r="J58" s="148">
        <v>1</v>
      </c>
      <c r="K58" s="148">
        <v>0</v>
      </c>
      <c r="L58" s="148">
        <v>2</v>
      </c>
      <c r="M58" s="148">
        <v>2</v>
      </c>
      <c r="N58" s="148">
        <v>1</v>
      </c>
      <c r="O58" s="148">
        <v>2</v>
      </c>
      <c r="P58" s="148">
        <v>3</v>
      </c>
      <c r="Q58" s="148">
        <v>1</v>
      </c>
      <c r="R58" s="148">
        <v>2</v>
      </c>
      <c r="S58" s="148">
        <v>2</v>
      </c>
      <c r="T58" s="148">
        <v>4</v>
      </c>
      <c r="U58" s="148">
        <v>3</v>
      </c>
      <c r="V58" s="148">
        <v>1</v>
      </c>
      <c r="W58" s="148">
        <v>1</v>
      </c>
      <c r="X58" s="148">
        <v>2</v>
      </c>
      <c r="Y58" s="148">
        <v>1</v>
      </c>
      <c r="Z58" s="148">
        <v>0</v>
      </c>
      <c r="AA58" s="148">
        <v>1</v>
      </c>
      <c r="AB58" s="148">
        <v>2</v>
      </c>
      <c r="AC58" s="148">
        <v>1</v>
      </c>
      <c r="AD58" s="148">
        <v>2</v>
      </c>
      <c r="AE58" s="148">
        <v>2</v>
      </c>
      <c r="AF58" s="148">
        <v>1</v>
      </c>
      <c r="AG58" s="148">
        <v>3</v>
      </c>
      <c r="AH58" s="148">
        <v>3</v>
      </c>
      <c r="AI58" s="148">
        <v>1</v>
      </c>
      <c r="AJ58" s="148">
        <v>1</v>
      </c>
      <c r="AK58" s="148">
        <v>3</v>
      </c>
      <c r="AL58" s="148">
        <v>1</v>
      </c>
      <c r="AM58" s="148">
        <v>1</v>
      </c>
      <c r="AN58" s="148">
        <v>1</v>
      </c>
      <c r="AO58" s="148">
        <v>3</v>
      </c>
      <c r="AP58" s="148">
        <v>1</v>
      </c>
      <c r="AQ58" s="148">
        <v>4</v>
      </c>
      <c r="AR58" s="148">
        <v>3</v>
      </c>
      <c r="AS58" s="148">
        <v>3</v>
      </c>
      <c r="AT58" s="148">
        <v>2</v>
      </c>
      <c r="AU58" s="148">
        <v>1</v>
      </c>
      <c r="AV58" s="148">
        <v>2</v>
      </c>
      <c r="AW58" s="148">
        <v>1</v>
      </c>
      <c r="AX58" s="148">
        <v>2</v>
      </c>
      <c r="AY58" s="148">
        <v>2</v>
      </c>
      <c r="AZ58" s="148">
        <v>1</v>
      </c>
      <c r="BA58" s="148">
        <v>3</v>
      </c>
      <c r="BB58" s="148">
        <v>1</v>
      </c>
      <c r="BC58" s="148">
        <v>1</v>
      </c>
      <c r="BD58" s="148">
        <v>2</v>
      </c>
      <c r="BE58" s="148">
        <v>1</v>
      </c>
      <c r="BF58" s="148">
        <v>2</v>
      </c>
      <c r="BG58" s="148">
        <v>0</v>
      </c>
      <c r="BH58" s="148">
        <v>0</v>
      </c>
      <c r="BI58" s="148">
        <v>1</v>
      </c>
      <c r="BJ58" s="148">
        <v>1</v>
      </c>
      <c r="BK58" s="148">
        <v>1</v>
      </c>
      <c r="BL58" s="148">
        <v>2</v>
      </c>
      <c r="BM58" s="148">
        <v>1</v>
      </c>
      <c r="BN58" s="148">
        <v>1</v>
      </c>
      <c r="BO58" s="148">
        <v>0</v>
      </c>
      <c r="BP58" s="148">
        <v>3</v>
      </c>
      <c r="BQ58" s="148">
        <v>1</v>
      </c>
      <c r="BR58" s="148">
        <v>2</v>
      </c>
      <c r="CC58" s="112">
        <v>2</v>
      </c>
      <c r="CD58" s="112">
        <v>1</v>
      </c>
      <c r="CE58" s="112">
        <v>2</v>
      </c>
      <c r="CF58" s="112">
        <v>1</v>
      </c>
      <c r="CG58" s="112">
        <v>2</v>
      </c>
      <c r="CH58" s="112">
        <v>1</v>
      </c>
      <c r="CI58" s="112">
        <v>3</v>
      </c>
      <c r="CJ58" s="112">
        <v>1</v>
      </c>
      <c r="CK58" s="112">
        <v>1</v>
      </c>
      <c r="CL58" s="112">
        <v>2</v>
      </c>
      <c r="CM58" s="112">
        <v>1</v>
      </c>
      <c r="CN58" s="112">
        <v>2</v>
      </c>
      <c r="CO58" s="112">
        <v>0</v>
      </c>
      <c r="CP58" s="112">
        <v>0</v>
      </c>
      <c r="CQ58" s="112">
        <v>1</v>
      </c>
      <c r="CR58" s="112">
        <v>1</v>
      </c>
      <c r="CS58" s="112">
        <v>1</v>
      </c>
      <c r="CT58" s="112">
        <v>2</v>
      </c>
      <c r="CU58" s="112">
        <v>1</v>
      </c>
      <c r="CV58" s="112">
        <v>1</v>
      </c>
      <c r="CW58" s="112">
        <v>1</v>
      </c>
    </row>
    <row r="59" s="112" customFormat="1" ht="22.5" customHeight="1" spans="1:101">
      <c r="A59" s="132"/>
      <c r="B59" s="133">
        <f>tblIndicators!A55</f>
        <v>54</v>
      </c>
      <c r="C59" s="133">
        <f>tblIndicators!B55</f>
        <v>0</v>
      </c>
      <c r="D59" s="133">
        <f>tblIndicators!F55</f>
        <v>3</v>
      </c>
      <c r="E59" s="133" t="str">
        <f>tblIndicators!E55</f>
        <v>PESE4.2</v>
      </c>
      <c r="F59" s="133" t="str">
        <f>tblIndicators!H55</f>
        <v>Level of corruption</v>
      </c>
      <c r="G59" s="133">
        <f>tblIndicators!Z55</f>
        <v>3</v>
      </c>
      <c r="H59" s="105" t="str">
        <f>REPT(" ",D59)&amp;tblIndicators!AE55</f>
        <v>   4.2.4) Level of corruption</v>
      </c>
      <c r="I59" s="147" t="str">
        <f>IF(G59=1,"",tblIndicators!P55)</f>
        <v>Scale 0 - 100</v>
      </c>
      <c r="J59" s="148">
        <v>66</v>
      </c>
      <c r="K59" s="148">
        <v>83</v>
      </c>
      <c r="L59" s="148">
        <v>44</v>
      </c>
      <c r="M59" s="148">
        <v>35</v>
      </c>
      <c r="N59" s="148">
        <v>58</v>
      </c>
      <c r="O59" s="148">
        <v>40</v>
      </c>
      <c r="P59" s="148">
        <v>37</v>
      </c>
      <c r="Q59" s="148">
        <v>77</v>
      </c>
      <c r="R59" s="148">
        <v>36</v>
      </c>
      <c r="S59" s="148">
        <v>34</v>
      </c>
      <c r="T59" s="148">
        <v>17</v>
      </c>
      <c r="U59" s="148">
        <v>37</v>
      </c>
      <c r="V59" s="148">
        <v>74</v>
      </c>
      <c r="W59" s="148">
        <v>74</v>
      </c>
      <c r="X59" s="148">
        <v>40</v>
      </c>
      <c r="Y59" s="148">
        <v>26</v>
      </c>
      <c r="Z59" s="148">
        <v>61</v>
      </c>
      <c r="AA59" s="148">
        <v>81</v>
      </c>
      <c r="AB59" s="148">
        <v>33</v>
      </c>
      <c r="AC59" s="148">
        <v>77</v>
      </c>
      <c r="AD59" s="148">
        <v>41</v>
      </c>
      <c r="AE59" s="148">
        <v>37</v>
      </c>
      <c r="AF59" s="148">
        <v>46</v>
      </c>
      <c r="AG59" s="148">
        <v>45</v>
      </c>
      <c r="AH59" s="148">
        <v>32</v>
      </c>
      <c r="AI59" s="148">
        <v>49</v>
      </c>
      <c r="AJ59" s="148">
        <v>41</v>
      </c>
      <c r="AK59" s="148">
        <v>35</v>
      </c>
      <c r="AL59" s="148">
        <v>81</v>
      </c>
      <c r="AM59" s="148">
        <v>74</v>
      </c>
      <c r="AN59" s="148">
        <v>58</v>
      </c>
      <c r="AO59" s="148">
        <v>35</v>
      </c>
      <c r="AP59" s="148">
        <v>79</v>
      </c>
      <c r="AQ59" s="148">
        <v>30</v>
      </c>
      <c r="AR59" s="148">
        <v>47</v>
      </c>
      <c r="AS59" s="148">
        <v>29</v>
      </c>
      <c r="AT59" s="148">
        <v>40</v>
      </c>
      <c r="AU59" s="148">
        <v>74</v>
      </c>
      <c r="AV59" s="148">
        <v>72</v>
      </c>
      <c r="AW59" s="148">
        <v>69</v>
      </c>
      <c r="AX59" s="148">
        <v>31</v>
      </c>
      <c r="AY59" s="148">
        <v>40</v>
      </c>
      <c r="AZ59" s="148">
        <v>46</v>
      </c>
      <c r="BA59" s="148">
        <v>47</v>
      </c>
      <c r="BB59" s="148">
        <v>74</v>
      </c>
      <c r="BC59" s="148">
        <v>66</v>
      </c>
      <c r="BD59" s="148">
        <v>40</v>
      </c>
      <c r="BE59" s="148">
        <v>53</v>
      </c>
      <c r="BF59" s="148">
        <v>40</v>
      </c>
      <c r="BG59" s="148">
        <v>84</v>
      </c>
      <c r="BH59" s="148">
        <v>88</v>
      </c>
      <c r="BI59" s="148">
        <v>79</v>
      </c>
      <c r="BJ59" s="148">
        <v>61</v>
      </c>
      <c r="BK59" s="148">
        <v>29</v>
      </c>
      <c r="BL59" s="148">
        <v>72</v>
      </c>
      <c r="BM59" s="148">
        <v>82</v>
      </c>
      <c r="BN59" s="148">
        <v>74</v>
      </c>
      <c r="BO59" s="148">
        <v>90</v>
      </c>
      <c r="BP59" s="148">
        <v>28</v>
      </c>
      <c r="BQ59" s="148">
        <v>86</v>
      </c>
      <c r="BR59" s="148">
        <v>72</v>
      </c>
      <c r="CC59" s="112">
        <v>38</v>
      </c>
      <c r="CD59" s="112">
        <v>74</v>
      </c>
      <c r="CE59" s="112">
        <v>76</v>
      </c>
      <c r="CF59" s="112">
        <v>69</v>
      </c>
      <c r="CG59" s="112">
        <v>43</v>
      </c>
      <c r="CH59" s="112">
        <v>49</v>
      </c>
      <c r="CI59" s="112">
        <v>43</v>
      </c>
      <c r="CJ59" s="112">
        <v>74</v>
      </c>
      <c r="CK59" s="112">
        <v>73</v>
      </c>
      <c r="CL59" s="112">
        <v>43</v>
      </c>
      <c r="CM59" s="112">
        <v>55</v>
      </c>
      <c r="CN59" s="112">
        <v>36</v>
      </c>
      <c r="CO59" s="112">
        <v>84</v>
      </c>
      <c r="CP59" s="112">
        <v>87</v>
      </c>
      <c r="CQ59" s="112">
        <v>80</v>
      </c>
      <c r="CR59" s="112">
        <v>61</v>
      </c>
      <c r="CS59" s="112">
        <v>27</v>
      </c>
      <c r="CT59" s="112">
        <v>76</v>
      </c>
      <c r="CU59" s="112">
        <v>81</v>
      </c>
      <c r="CV59" s="112">
        <v>74</v>
      </c>
      <c r="CW59" s="112">
        <v>86</v>
      </c>
    </row>
    <row r="60" s="112" customFormat="1" ht="22.5" customHeight="1" spans="1:101">
      <c r="A60" s="132"/>
      <c r="B60" s="133">
        <f>tblIndicators!A56</f>
        <v>55</v>
      </c>
      <c r="C60" s="133">
        <f>tblIndicators!B56</f>
        <v>0</v>
      </c>
      <c r="D60" s="133">
        <f>tblIndicators!F56</f>
        <v>3</v>
      </c>
      <c r="E60" s="133" t="str">
        <f>tblIndicators!E56</f>
        <v>PESE4.2</v>
      </c>
      <c r="F60" s="133" t="str">
        <f>tblIndicators!H56</f>
        <v>Rate of drug use </v>
      </c>
      <c r="G60" s="133">
        <f>tblIndicators!Z56</f>
        <v>2</v>
      </c>
      <c r="H60" s="105" t="str">
        <f>REPT(" ",D60)&amp;tblIndicators!AE56</f>
        <v>   4.2.5) Rate of drug use </v>
      </c>
      <c r="I60" s="147" t="str">
        <f>IF(G60=1,"",tblIndicators!P56)</f>
        <v>%</v>
      </c>
      <c r="J60" s="149">
        <v>0.0537</v>
      </c>
      <c r="K60" s="149">
        <v>0.1403</v>
      </c>
      <c r="L60" s="149">
        <v>0.0312</v>
      </c>
      <c r="M60" s="149">
        <v>0.0315</v>
      </c>
      <c r="N60" s="149">
        <v>0.1381</v>
      </c>
      <c r="O60" s="149">
        <v>0.0019</v>
      </c>
      <c r="P60" s="149">
        <v>0.0482</v>
      </c>
      <c r="Q60" s="149">
        <v>0.067</v>
      </c>
      <c r="R60" s="149">
        <v>0.059</v>
      </c>
      <c r="S60" s="149">
        <v>0.0718</v>
      </c>
      <c r="T60" s="149">
        <v>0.0533</v>
      </c>
      <c r="U60" s="149">
        <v>0.0455</v>
      </c>
      <c r="V60" s="149">
        <v>0.1055280294</v>
      </c>
      <c r="W60" s="149">
        <v>0.0685692045</v>
      </c>
      <c r="X60" s="149">
        <v>0.0543412722339463</v>
      </c>
      <c r="Y60" s="149">
        <v>0.041</v>
      </c>
      <c r="Z60" s="149">
        <v>0.03</v>
      </c>
      <c r="AA60" s="149">
        <v>0.1279</v>
      </c>
      <c r="AB60" s="149">
        <v>0.0097</v>
      </c>
      <c r="AC60" s="149">
        <v>0.0146</v>
      </c>
      <c r="AD60" s="149">
        <v>0.0593</v>
      </c>
      <c r="AE60" s="149">
        <v>0.0183</v>
      </c>
      <c r="AF60" s="149">
        <v>0.0076</v>
      </c>
      <c r="AG60" s="149">
        <v>0.07</v>
      </c>
      <c r="AH60" s="149">
        <v>0.1013</v>
      </c>
      <c r="AI60" s="149">
        <v>0.0353</v>
      </c>
      <c r="AJ60" s="149">
        <v>0.0358</v>
      </c>
      <c r="AK60" s="149">
        <v>0.0352</v>
      </c>
      <c r="AL60" s="149">
        <v>0.117266666666667</v>
      </c>
      <c r="AM60" s="149">
        <v>0.1092318965</v>
      </c>
      <c r="AN60" s="149">
        <v>0.1381</v>
      </c>
      <c r="AO60" s="149">
        <v>0.0317</v>
      </c>
      <c r="AP60" s="149">
        <v>0.3931</v>
      </c>
      <c r="AQ60" s="149">
        <v>0.0278</v>
      </c>
      <c r="AR60" s="149">
        <v>0.255</v>
      </c>
      <c r="AS60" s="149">
        <v>0.0848</v>
      </c>
      <c r="AT60" s="149">
        <v>0.0543412722339463</v>
      </c>
      <c r="AU60" s="149">
        <v>0.1040689507</v>
      </c>
      <c r="AV60" s="149">
        <v>0.007</v>
      </c>
      <c r="AW60" s="149">
        <v>0.1392</v>
      </c>
      <c r="AX60" s="149">
        <v>0.0257</v>
      </c>
      <c r="AY60" s="149">
        <v>0.0809272698793923</v>
      </c>
      <c r="AZ60" s="149">
        <v>0.0076</v>
      </c>
      <c r="BA60" s="149">
        <v>0.255</v>
      </c>
      <c r="BB60" s="149">
        <v>0.1946447478</v>
      </c>
      <c r="BC60" s="149">
        <v>0.162</v>
      </c>
      <c r="BD60" s="149">
        <v>0.0809272698793923</v>
      </c>
      <c r="BE60" s="149">
        <v>0.006</v>
      </c>
      <c r="BF60" s="149">
        <v>0.0019</v>
      </c>
      <c r="BG60" s="149">
        <v>0.0065</v>
      </c>
      <c r="BH60" s="149">
        <v>0.0739</v>
      </c>
      <c r="BI60" s="149">
        <v>0.3931</v>
      </c>
      <c r="BJ60" s="149">
        <v>0.0172</v>
      </c>
      <c r="BK60" s="149">
        <v>0.0241</v>
      </c>
      <c r="BL60" s="149">
        <v>0.007</v>
      </c>
      <c r="BM60" s="149">
        <v>0.1686</v>
      </c>
      <c r="BN60" s="149">
        <v>0.1480557798</v>
      </c>
      <c r="BO60" s="149">
        <v>0.189</v>
      </c>
      <c r="BP60" s="149">
        <v>0.0209</v>
      </c>
      <c r="BQ60" s="149">
        <v>0.0779</v>
      </c>
      <c r="BR60" s="149">
        <v>0.007</v>
      </c>
      <c r="CC60" s="112">
        <v>0.4</v>
      </c>
      <c r="CD60" s="112">
        <v>2.4</v>
      </c>
      <c r="CE60" s="112">
        <v>0.03</v>
      </c>
      <c r="CF60" s="112">
        <v>0.6</v>
      </c>
      <c r="CG60" s="112">
        <v>0.7</v>
      </c>
      <c r="CH60" s="112">
        <v>0.06</v>
      </c>
      <c r="CI60" s="112">
        <v>2.2</v>
      </c>
      <c r="CJ60" s="112">
        <v>2.4</v>
      </c>
      <c r="CK60" s="112">
        <v>2.4</v>
      </c>
      <c r="CL60" s="112">
        <v>0.7</v>
      </c>
      <c r="CM60" s="112">
        <v>0.1</v>
      </c>
      <c r="CN60" s="112">
        <v>0.25</v>
      </c>
      <c r="CO60" s="112">
        <v>0.01</v>
      </c>
      <c r="CP60" s="112">
        <v>0.5</v>
      </c>
      <c r="CQ60" s="112">
        <v>1.9</v>
      </c>
      <c r="CR60" s="112">
        <v>0.1</v>
      </c>
      <c r="CS60" s="112">
        <v>0.1</v>
      </c>
      <c r="CT60" s="112">
        <v>0.03</v>
      </c>
      <c r="CU60" s="112">
        <v>1.4</v>
      </c>
      <c r="CV60" s="112">
        <v>2.4</v>
      </c>
      <c r="CW60" s="112">
        <v>0.2</v>
      </c>
    </row>
    <row r="61" s="112" customFormat="1" ht="22.5" customHeight="1" spans="1:101">
      <c r="A61" s="132"/>
      <c r="B61" s="133">
        <f>tblIndicators!A57</f>
        <v>56</v>
      </c>
      <c r="C61" s="133">
        <f>tblIndicators!B57</f>
        <v>0</v>
      </c>
      <c r="D61" s="133">
        <f>tblIndicators!F57</f>
        <v>3</v>
      </c>
      <c r="E61" s="133" t="str">
        <f>tblIndicators!E57</f>
        <v>PESE4.2</v>
      </c>
      <c r="F61" s="133" t="str">
        <f>tblIndicators!H57</f>
        <v>Frequency of terrorist attacks </v>
      </c>
      <c r="G61" s="133">
        <f>tblIndicators!Z57</f>
        <v>2</v>
      </c>
      <c r="H61" s="105" t="str">
        <f>REPT(" ",D61)&amp;tblIndicators!AE57</f>
        <v>   4.2.6) Frequency of terrorist attacks </v>
      </c>
      <c r="I61" s="147" t="str">
        <f>IF(G61=1,"",tblIndicators!P57)</f>
        <v>#/year</v>
      </c>
      <c r="J61" s="148">
        <v>0.2</v>
      </c>
      <c r="K61" s="148">
        <v>0.1</v>
      </c>
      <c r="L61" s="148">
        <v>28.5</v>
      </c>
      <c r="M61" s="148">
        <v>14.7</v>
      </c>
      <c r="N61" s="148">
        <v>0</v>
      </c>
      <c r="O61" s="148">
        <v>0.3</v>
      </c>
      <c r="P61" s="148">
        <v>6.4</v>
      </c>
      <c r="Q61" s="148">
        <v>0.8</v>
      </c>
      <c r="R61" s="148">
        <v>0.8</v>
      </c>
      <c r="S61" s="148">
        <v>12.4</v>
      </c>
      <c r="T61" s="148">
        <v>0.9</v>
      </c>
      <c r="U61" s="148">
        <v>0.6</v>
      </c>
      <c r="V61" s="148">
        <v>0</v>
      </c>
      <c r="W61" s="148">
        <v>0.2</v>
      </c>
      <c r="X61" s="148">
        <v>2.3</v>
      </c>
      <c r="Y61" s="148">
        <v>33.6</v>
      </c>
      <c r="Z61" s="148">
        <v>0.1</v>
      </c>
      <c r="AA61" s="148">
        <v>0.2</v>
      </c>
      <c r="AB61" s="148">
        <v>0</v>
      </c>
      <c r="AC61" s="148">
        <v>0.4</v>
      </c>
      <c r="AD61" s="148">
        <v>12.2</v>
      </c>
      <c r="AE61" s="148">
        <v>2</v>
      </c>
      <c r="AF61" s="148">
        <v>0.5</v>
      </c>
      <c r="AG61" s="148">
        <v>0.3</v>
      </c>
      <c r="AH61" s="148">
        <v>140.1</v>
      </c>
      <c r="AI61" s="148">
        <v>0.4</v>
      </c>
      <c r="AJ61" s="148">
        <v>0.1</v>
      </c>
      <c r="AK61" s="148">
        <v>0.3</v>
      </c>
      <c r="AL61" s="148">
        <v>1.9</v>
      </c>
      <c r="AM61" s="148">
        <v>0.6</v>
      </c>
      <c r="AN61" s="148">
        <v>0.5</v>
      </c>
      <c r="AO61" s="148">
        <v>3.1</v>
      </c>
      <c r="AP61" s="148">
        <v>0.2</v>
      </c>
      <c r="AQ61" s="148">
        <v>1.5</v>
      </c>
      <c r="AR61" s="148">
        <v>0.8</v>
      </c>
      <c r="AS61" s="148">
        <v>3</v>
      </c>
      <c r="AT61" s="148">
        <v>1.1</v>
      </c>
      <c r="AU61" s="148">
        <v>2</v>
      </c>
      <c r="AV61" s="148">
        <v>0</v>
      </c>
      <c r="AW61" s="148">
        <v>2.3</v>
      </c>
      <c r="AX61" s="148">
        <v>0.1</v>
      </c>
      <c r="AY61" s="148">
        <v>0</v>
      </c>
      <c r="AZ61" s="148">
        <v>1.8</v>
      </c>
      <c r="BA61" s="148">
        <v>1.2</v>
      </c>
      <c r="BB61" s="148">
        <v>0.1</v>
      </c>
      <c r="BC61" s="148">
        <v>4.2</v>
      </c>
      <c r="BD61" s="148">
        <v>0.2</v>
      </c>
      <c r="BE61" s="148">
        <v>0.1</v>
      </c>
      <c r="BF61" s="148">
        <v>0.1</v>
      </c>
      <c r="BG61" s="148">
        <v>0</v>
      </c>
      <c r="BH61" s="148">
        <v>0.5</v>
      </c>
      <c r="BI61" s="148">
        <v>0.4</v>
      </c>
      <c r="BJ61" s="148">
        <v>0.2</v>
      </c>
      <c r="BK61" s="148">
        <v>1</v>
      </c>
      <c r="BL61" s="148">
        <v>0.7</v>
      </c>
      <c r="BM61" s="148">
        <v>0.2</v>
      </c>
      <c r="BN61" s="148">
        <v>0.6</v>
      </c>
      <c r="BO61" s="148">
        <v>0.5</v>
      </c>
      <c r="BP61" s="148">
        <v>2.1</v>
      </c>
      <c r="BQ61" s="148">
        <v>0.2</v>
      </c>
      <c r="BR61" s="148">
        <v>0</v>
      </c>
      <c r="CC61" s="112">
        <v>0.4</v>
      </c>
      <c r="CD61" s="112">
        <v>2.4</v>
      </c>
      <c r="CE61" s="112">
        <v>0.03</v>
      </c>
      <c r="CF61" s="112">
        <v>0.6</v>
      </c>
      <c r="CG61" s="112">
        <v>0.7</v>
      </c>
      <c r="CH61" s="112">
        <v>0.06</v>
      </c>
      <c r="CI61" s="112">
        <v>2.2</v>
      </c>
      <c r="CJ61" s="112">
        <v>2.4</v>
      </c>
      <c r="CK61" s="112">
        <v>2.4</v>
      </c>
      <c r="CL61" s="112">
        <v>0.7</v>
      </c>
      <c r="CM61" s="112">
        <v>0.1</v>
      </c>
      <c r="CN61" s="112">
        <v>0.25</v>
      </c>
      <c r="CO61" s="112">
        <v>0.01</v>
      </c>
      <c r="CP61" s="112">
        <v>0.5</v>
      </c>
      <c r="CQ61" s="112">
        <v>1.9</v>
      </c>
      <c r="CR61" s="112">
        <v>0.1</v>
      </c>
      <c r="CS61" s="112">
        <v>0.1</v>
      </c>
      <c r="CT61" s="112">
        <v>0.03</v>
      </c>
      <c r="CU61" s="112">
        <v>1.4</v>
      </c>
      <c r="CV61" s="112">
        <v>2.4</v>
      </c>
      <c r="CW61" s="112">
        <v>0.2</v>
      </c>
    </row>
    <row r="62" s="112" customFormat="1" ht="22.5" customHeight="1" spans="1:101">
      <c r="A62" s="132"/>
      <c r="B62" s="133">
        <f>tblIndicators!A58</f>
        <v>57</v>
      </c>
      <c r="C62" s="133">
        <f>tblIndicators!B58</f>
        <v>0</v>
      </c>
      <c r="D62" s="133">
        <f>tblIndicators!F58</f>
        <v>3</v>
      </c>
      <c r="E62" s="133" t="str">
        <f>tblIndicators!E58</f>
        <v>PESE4.2</v>
      </c>
      <c r="F62" s="133" t="str">
        <f>tblIndicators!H58</f>
        <v>Severity of terrorist attacks</v>
      </c>
      <c r="G62" s="133">
        <f>tblIndicators!Z58</f>
        <v>2</v>
      </c>
      <c r="H62" s="105" t="str">
        <f>REPT(" ",D62)&amp;tblIndicators!AE58</f>
        <v>   4.2.7) Severity of terrorist attacks</v>
      </c>
      <c r="I62" s="147" t="str">
        <f>IF(G62=1,"",tblIndicators!P58)</f>
        <v>#/year</v>
      </c>
      <c r="J62" s="148">
        <v>0.1</v>
      </c>
      <c r="K62" s="148">
        <v>0</v>
      </c>
      <c r="L62" s="148">
        <v>3.6</v>
      </c>
      <c r="M62" s="148">
        <v>57.6</v>
      </c>
      <c r="N62" s="148">
        <v>0</v>
      </c>
      <c r="O62" s="148">
        <v>6.8</v>
      </c>
      <c r="P62" s="148">
        <v>17</v>
      </c>
      <c r="Q62" s="148">
        <v>16.5</v>
      </c>
      <c r="R62" s="148">
        <v>0.2</v>
      </c>
      <c r="S62" s="148">
        <v>46.9</v>
      </c>
      <c r="T62" s="148">
        <v>1.1</v>
      </c>
      <c r="U62" s="148">
        <v>3.3</v>
      </c>
      <c r="V62" s="148">
        <v>0</v>
      </c>
      <c r="W62" s="148">
        <v>1.6</v>
      </c>
      <c r="X62" s="148">
        <v>18.5</v>
      </c>
      <c r="Y62" s="148">
        <v>54.1</v>
      </c>
      <c r="Z62" s="148">
        <v>0.1</v>
      </c>
      <c r="AA62" s="148">
        <v>0.4</v>
      </c>
      <c r="AB62" s="148">
        <v>0</v>
      </c>
      <c r="AC62" s="148">
        <v>10.1</v>
      </c>
      <c r="AD62" s="148">
        <v>97.8</v>
      </c>
      <c r="AE62" s="148">
        <v>10.4</v>
      </c>
      <c r="AF62" s="148">
        <v>1.4</v>
      </c>
      <c r="AG62" s="148">
        <v>0.5</v>
      </c>
      <c r="AH62" s="148">
        <v>503.4</v>
      </c>
      <c r="AI62" s="148">
        <v>0</v>
      </c>
      <c r="AJ62" s="148">
        <v>25.5</v>
      </c>
      <c r="AK62" s="148">
        <v>0.6</v>
      </c>
      <c r="AL62" s="148">
        <v>1.8</v>
      </c>
      <c r="AM62" s="148">
        <v>0.5</v>
      </c>
      <c r="AN62" s="148">
        <v>0.1</v>
      </c>
      <c r="AO62" s="148">
        <v>4.6</v>
      </c>
      <c r="AP62" s="148">
        <v>0.3</v>
      </c>
      <c r="AQ62" s="148">
        <v>14.4</v>
      </c>
      <c r="AR62" s="148">
        <v>0.6</v>
      </c>
      <c r="AS62" s="148">
        <v>9.7</v>
      </c>
      <c r="AT62" s="148">
        <v>58.7</v>
      </c>
      <c r="AU62" s="148">
        <v>4.1</v>
      </c>
      <c r="AV62" s="148">
        <v>0</v>
      </c>
      <c r="AW62" s="148">
        <v>31.9</v>
      </c>
      <c r="AX62" s="148">
        <v>0</v>
      </c>
      <c r="AY62" s="148">
        <v>0</v>
      </c>
      <c r="AZ62" s="148">
        <v>3.2</v>
      </c>
      <c r="BA62" s="148">
        <v>0.6</v>
      </c>
      <c r="BB62" s="148">
        <v>0</v>
      </c>
      <c r="BC62" s="148">
        <v>2</v>
      </c>
      <c r="BD62" s="148">
        <v>0</v>
      </c>
      <c r="BE62" s="148">
        <v>0.1</v>
      </c>
      <c r="BF62" s="148">
        <v>1.5</v>
      </c>
      <c r="BG62" s="148">
        <v>0</v>
      </c>
      <c r="BH62" s="148">
        <v>0.3</v>
      </c>
      <c r="BI62" s="148">
        <v>0.7</v>
      </c>
      <c r="BJ62" s="148">
        <v>0.1</v>
      </c>
      <c r="BK62" s="148">
        <v>10.3</v>
      </c>
      <c r="BL62" s="148">
        <v>0</v>
      </c>
      <c r="BM62" s="148">
        <v>0.3</v>
      </c>
      <c r="BN62" s="148">
        <v>0.2</v>
      </c>
      <c r="BO62" s="148">
        <v>0</v>
      </c>
      <c r="BP62" s="148">
        <v>9</v>
      </c>
      <c r="BQ62" s="148">
        <v>0</v>
      </c>
      <c r="BR62" s="148">
        <v>0</v>
      </c>
      <c r="CC62" s="112">
        <v>0.4</v>
      </c>
      <c r="CD62" s="112">
        <v>2.4</v>
      </c>
      <c r="CE62" s="112">
        <v>0.03</v>
      </c>
      <c r="CF62" s="112">
        <v>0.6</v>
      </c>
      <c r="CG62" s="112">
        <v>0.7</v>
      </c>
      <c r="CH62" s="112">
        <v>0.06</v>
      </c>
      <c r="CI62" s="112">
        <v>2.2</v>
      </c>
      <c r="CJ62" s="112">
        <v>2.4</v>
      </c>
      <c r="CK62" s="112">
        <v>2.4</v>
      </c>
      <c r="CL62" s="112">
        <v>0.7</v>
      </c>
      <c r="CM62" s="112">
        <v>0.1</v>
      </c>
      <c r="CN62" s="112">
        <v>0.25</v>
      </c>
      <c r="CO62" s="112">
        <v>0.01</v>
      </c>
      <c r="CP62" s="112">
        <v>0.5</v>
      </c>
      <c r="CQ62" s="112">
        <v>1.9</v>
      </c>
      <c r="CR62" s="112">
        <v>0.1</v>
      </c>
      <c r="CS62" s="112">
        <v>0.1</v>
      </c>
      <c r="CT62" s="112">
        <v>0.03</v>
      </c>
      <c r="CU62" s="112">
        <v>1.4</v>
      </c>
      <c r="CV62" s="112">
        <v>2.4</v>
      </c>
      <c r="CW62" s="112">
        <v>0.2</v>
      </c>
    </row>
    <row r="63" s="112" customFormat="1" ht="22.5" customHeight="1" spans="1:101">
      <c r="A63" s="132"/>
      <c r="B63" s="133">
        <f>tblIndicators!A59</f>
        <v>58</v>
      </c>
      <c r="C63" s="133">
        <f>tblIndicators!B59</f>
        <v>0</v>
      </c>
      <c r="D63" s="133">
        <f>tblIndicators!F59</f>
        <v>3</v>
      </c>
      <c r="E63" s="133" t="str">
        <f>tblIndicators!E59</f>
        <v>PESE4.2</v>
      </c>
      <c r="F63" s="133" t="str">
        <f>tblIndicators!H59</f>
        <v>Gender safety</v>
      </c>
      <c r="G63" s="133">
        <f>tblIndicators!Z59</f>
        <v>2</v>
      </c>
      <c r="H63" s="105" t="str">
        <f>REPT(" ",D63)&amp;tblIndicators!AE59</f>
        <v>   4.2.8) Gender safety</v>
      </c>
      <c r="I63" s="147" t="str">
        <f>IF(G63=1,"",tblIndicators!P59)</f>
        <v>per 100,000</v>
      </c>
      <c r="J63" s="148">
        <v>0.61903734337157</v>
      </c>
      <c r="K63" s="148">
        <v>0.546234275885613</v>
      </c>
      <c r="L63" s="148">
        <v>0.949835387818532</v>
      </c>
      <c r="M63" s="148">
        <v>1.39835096180014</v>
      </c>
      <c r="N63" s="148">
        <v>0.552495801045469</v>
      </c>
      <c r="O63" s="148">
        <v>0.577181741041384</v>
      </c>
      <c r="P63" s="148">
        <v>9.72467675252015</v>
      </c>
      <c r="Q63" s="148">
        <v>0.969594065687528</v>
      </c>
      <c r="R63" s="148">
        <v>1.44647453348816</v>
      </c>
      <c r="S63" s="148">
        <v>2.23117820595197</v>
      </c>
      <c r="T63" s="148">
        <v>7.95989632103164</v>
      </c>
      <c r="U63" s="148">
        <v>0.599860213734278</v>
      </c>
      <c r="V63" s="148">
        <v>3.48</v>
      </c>
      <c r="W63" s="148">
        <v>2.06320657759507</v>
      </c>
      <c r="X63" s="148">
        <v>1.85476446380673</v>
      </c>
      <c r="Y63" s="148">
        <v>2.04964258303099</v>
      </c>
      <c r="Z63" s="148">
        <v>3.63337257532429</v>
      </c>
      <c r="AA63" s="148">
        <v>0.66769008811865</v>
      </c>
      <c r="AB63" s="148">
        <v>0.736954491869967</v>
      </c>
      <c r="AC63" s="148">
        <v>0.33588428386953</v>
      </c>
      <c r="AD63" s="148">
        <v>0.652003573779639</v>
      </c>
      <c r="AE63" s="148">
        <v>1.58138265197062</v>
      </c>
      <c r="AF63" s="148">
        <v>2.22215298162428</v>
      </c>
      <c r="AG63" s="148">
        <v>9.56792560514913</v>
      </c>
      <c r="AH63" s="148">
        <v>4.72350349203809</v>
      </c>
      <c r="AI63" s="148">
        <v>1.64226195527818</v>
      </c>
      <c r="AJ63" s="148">
        <v>0.917547639188293</v>
      </c>
      <c r="AK63" s="148">
        <v>5.48990343275276</v>
      </c>
      <c r="AL63" s="148">
        <v>0.834038387711318</v>
      </c>
      <c r="AM63" s="148">
        <v>1.6</v>
      </c>
      <c r="AN63" s="148">
        <v>0.552495801045469</v>
      </c>
      <c r="AO63" s="148">
        <v>2.53040551897673</v>
      </c>
      <c r="AP63" s="148">
        <v>0.751186244315211</v>
      </c>
      <c r="AQ63" s="148">
        <v>3.89789745384441</v>
      </c>
      <c r="AR63" s="148">
        <v>0.423730229758834</v>
      </c>
      <c r="AS63" s="148">
        <v>4.98526759133952</v>
      </c>
      <c r="AT63" s="148">
        <v>1.85476446380673</v>
      </c>
      <c r="AU63" s="148">
        <v>1.07563025210084</v>
      </c>
      <c r="AV63" s="148">
        <v>0.25108056875056</v>
      </c>
      <c r="AW63" s="148">
        <v>0.609235761158406</v>
      </c>
      <c r="AX63" s="148">
        <v>2.62642839127909</v>
      </c>
      <c r="AY63" s="148">
        <v>5.42378417902854</v>
      </c>
      <c r="AZ63" s="148">
        <v>2.22215298162428</v>
      </c>
      <c r="BA63" s="148">
        <v>0.423730229758834</v>
      </c>
      <c r="BB63" s="148">
        <v>1.6</v>
      </c>
      <c r="BC63" s="148">
        <v>1.09958267313261</v>
      </c>
      <c r="BD63" s="148">
        <v>5.42378417902854</v>
      </c>
      <c r="BE63" s="148">
        <v>1.38230732855692</v>
      </c>
      <c r="BF63" s="148">
        <v>0.577181741041384</v>
      </c>
      <c r="BG63" s="148">
        <v>0.352262226171751</v>
      </c>
      <c r="BH63" s="148">
        <v>0.543837426878508</v>
      </c>
      <c r="BI63" s="148">
        <v>0.751186244315211</v>
      </c>
      <c r="BJ63" s="148">
        <v>0.925297113752122</v>
      </c>
      <c r="BK63" s="148">
        <v>1.38378604587132</v>
      </c>
      <c r="BL63" s="148">
        <v>0.25108056875056</v>
      </c>
      <c r="BM63" s="148">
        <v>0.841276695412977</v>
      </c>
      <c r="BN63" s="148">
        <v>3.670485807149</v>
      </c>
      <c r="BO63" s="148">
        <v>0.798223274583847</v>
      </c>
      <c r="BP63" s="148">
        <v>1.63588898515312</v>
      </c>
      <c r="BQ63" s="148">
        <v>0.657642806326721</v>
      </c>
      <c r="BR63" s="148">
        <v>0.25108056875056</v>
      </c>
      <c r="CC63" s="112">
        <v>0.4</v>
      </c>
      <c r="CD63" s="112">
        <v>2.4</v>
      </c>
      <c r="CE63" s="112">
        <v>0.03</v>
      </c>
      <c r="CF63" s="112">
        <v>0.6</v>
      </c>
      <c r="CG63" s="112">
        <v>0.7</v>
      </c>
      <c r="CH63" s="112">
        <v>0.06</v>
      </c>
      <c r="CI63" s="112">
        <v>2.2</v>
      </c>
      <c r="CJ63" s="112">
        <v>2.4</v>
      </c>
      <c r="CK63" s="112">
        <v>2.4</v>
      </c>
      <c r="CL63" s="112">
        <v>0.7</v>
      </c>
      <c r="CM63" s="112">
        <v>0.1</v>
      </c>
      <c r="CN63" s="112">
        <v>0.25</v>
      </c>
      <c r="CO63" s="112">
        <v>0.01</v>
      </c>
      <c r="CP63" s="112">
        <v>0.5</v>
      </c>
      <c r="CQ63" s="112">
        <v>1.9</v>
      </c>
      <c r="CR63" s="112">
        <v>0.1</v>
      </c>
      <c r="CS63" s="112">
        <v>0.1</v>
      </c>
      <c r="CT63" s="112">
        <v>0.03</v>
      </c>
      <c r="CU63" s="112">
        <v>1.4</v>
      </c>
      <c r="CV63" s="112">
        <v>2.4</v>
      </c>
      <c r="CW63" s="112">
        <v>0.2</v>
      </c>
    </row>
    <row r="64" s="112" customFormat="1" ht="22.5" customHeight="1" spans="1:101">
      <c r="A64" s="132"/>
      <c r="B64" s="133">
        <f>tblIndicators!A60</f>
        <v>59</v>
      </c>
      <c r="C64" s="133">
        <f>tblIndicators!B60</f>
        <v>0</v>
      </c>
      <c r="D64" s="133">
        <f>tblIndicators!F60</f>
        <v>3</v>
      </c>
      <c r="E64" s="133" t="str">
        <f>tblIndicators!E60</f>
        <v>PESE4.2</v>
      </c>
      <c r="F64" s="133" t="str">
        <f>tblIndicators!H60</f>
        <v>Perceptions of safety</v>
      </c>
      <c r="G64" s="133">
        <f>tblIndicators!Z60</f>
        <v>3</v>
      </c>
      <c r="H64" s="105" t="str">
        <f>REPT(" ",D64)&amp;tblIndicators!AE60</f>
        <v>   4.2.9) Perceptions of safety</v>
      </c>
      <c r="I64" s="147" t="str">
        <f>IF(G64=1,"",tblIndicators!P60)</f>
        <v>Scale 0 – 100, 100 = perceived as most safe</v>
      </c>
      <c r="J64" s="148">
        <v>84.49</v>
      </c>
      <c r="K64" s="148">
        <v>67.4</v>
      </c>
      <c r="L64" s="148">
        <v>49.28</v>
      </c>
      <c r="M64" s="148">
        <v>51.44</v>
      </c>
      <c r="N64" s="148">
        <v>60.35</v>
      </c>
      <c r="O64" s="148">
        <v>58.35</v>
      </c>
      <c r="P64" s="148">
        <v>36.36</v>
      </c>
      <c r="Q64" s="148">
        <v>45.48</v>
      </c>
      <c r="R64" s="148">
        <v>38.89</v>
      </c>
      <c r="S64" s="148">
        <v>44.09</v>
      </c>
      <c r="T64" s="148">
        <v>13.39</v>
      </c>
      <c r="U64" s="148">
        <v>45.72</v>
      </c>
      <c r="V64" s="148">
        <v>34.61</v>
      </c>
      <c r="W64" s="148">
        <v>56.5</v>
      </c>
      <c r="X64" s="148">
        <v>39.21</v>
      </c>
      <c r="Y64" s="148">
        <v>30.89</v>
      </c>
      <c r="Z64" s="148">
        <v>83.43</v>
      </c>
      <c r="AA64" s="148">
        <v>60.89</v>
      </c>
      <c r="AB64" s="148">
        <v>41.89</v>
      </c>
      <c r="AC64" s="148">
        <v>79.32</v>
      </c>
      <c r="AD64" s="148">
        <v>49.8</v>
      </c>
      <c r="AE64" s="148">
        <v>47.22</v>
      </c>
      <c r="AF64" s="148">
        <v>79.19</v>
      </c>
      <c r="AG64" s="148">
        <v>21.51</v>
      </c>
      <c r="AH64" s="148">
        <v>35.82</v>
      </c>
      <c r="AI64" s="148">
        <v>30.41</v>
      </c>
      <c r="AJ64" s="148">
        <v>67.31</v>
      </c>
      <c r="AK64" s="148">
        <v>31.73</v>
      </c>
      <c r="AL64" s="148">
        <v>53.83</v>
      </c>
      <c r="AM64" s="148">
        <v>45.33</v>
      </c>
      <c r="AN64" s="148">
        <v>68.54</v>
      </c>
      <c r="AO64" s="148">
        <v>39.08</v>
      </c>
      <c r="AP64" s="148">
        <v>58.98</v>
      </c>
      <c r="AQ64" s="148">
        <v>33.9</v>
      </c>
      <c r="AR64" s="148">
        <v>52.81</v>
      </c>
      <c r="AS64" s="148">
        <v>54.68</v>
      </c>
      <c r="AT64" s="148">
        <v>52.19</v>
      </c>
      <c r="AU64" s="148">
        <v>52.38</v>
      </c>
      <c r="AV64" s="148">
        <v>80.36</v>
      </c>
      <c r="AW64" s="148">
        <v>47.25</v>
      </c>
      <c r="AX64" s="148">
        <v>45.04</v>
      </c>
      <c r="AY64" s="148">
        <v>22.13</v>
      </c>
      <c r="AZ64" s="148">
        <v>79.19</v>
      </c>
      <c r="BA64" s="148">
        <v>44.53</v>
      </c>
      <c r="BB64" s="148">
        <v>49.7</v>
      </c>
      <c r="BC64" s="148">
        <v>47.45</v>
      </c>
      <c r="BD64" s="148">
        <v>27.81</v>
      </c>
      <c r="BE64" s="148">
        <v>76.2</v>
      </c>
      <c r="BF64" s="148">
        <v>65.41</v>
      </c>
      <c r="BG64" s="148">
        <v>83.42</v>
      </c>
      <c r="BH64" s="148">
        <v>54.22</v>
      </c>
      <c r="BI64" s="148">
        <v>59.76</v>
      </c>
      <c r="BJ64" s="148">
        <v>84.24</v>
      </c>
      <c r="BK64" s="148">
        <v>44.56</v>
      </c>
      <c r="BL64" s="148">
        <v>80.36</v>
      </c>
      <c r="BM64" s="148">
        <v>65.06</v>
      </c>
      <c r="BN64" s="148">
        <v>35.81</v>
      </c>
      <c r="BO64" s="148">
        <v>70.15</v>
      </c>
      <c r="BP64" s="148">
        <v>43.22</v>
      </c>
      <c r="BQ64" s="148">
        <v>81.86</v>
      </c>
      <c r="BR64" s="148">
        <v>80.36</v>
      </c>
      <c r="CC64" s="112">
        <v>0.4</v>
      </c>
      <c r="CD64" s="112">
        <v>2.4</v>
      </c>
      <c r="CE64" s="112">
        <v>0.03</v>
      </c>
      <c r="CF64" s="112">
        <v>0.6</v>
      </c>
      <c r="CG64" s="112">
        <v>0.7</v>
      </c>
      <c r="CH64" s="112">
        <v>0.06</v>
      </c>
      <c r="CI64" s="112">
        <v>2.2</v>
      </c>
      <c r="CJ64" s="112">
        <v>2.4</v>
      </c>
      <c r="CK64" s="112">
        <v>2.4</v>
      </c>
      <c r="CL64" s="112">
        <v>0.7</v>
      </c>
      <c r="CM64" s="112">
        <v>0.1</v>
      </c>
      <c r="CN64" s="112">
        <v>0.25</v>
      </c>
      <c r="CO64" s="112">
        <v>0.01</v>
      </c>
      <c r="CP64" s="112">
        <v>0.5</v>
      </c>
      <c r="CQ64" s="112">
        <v>1.9</v>
      </c>
      <c r="CR64" s="112">
        <v>0.1</v>
      </c>
      <c r="CS64" s="112">
        <v>0.1</v>
      </c>
      <c r="CT64" s="112">
        <v>0.03</v>
      </c>
      <c r="CU64" s="112">
        <v>1.4</v>
      </c>
      <c r="CV64" s="112">
        <v>2.4</v>
      </c>
      <c r="CW64" s="112">
        <v>0.2</v>
      </c>
    </row>
    <row r="65" s="112" customFormat="1" ht="22.5" customHeight="1" spans="1:101">
      <c r="A65" s="132"/>
      <c r="B65" s="133">
        <f>tblIndicators!A61</f>
        <v>60</v>
      </c>
      <c r="C65" s="133">
        <f>tblIndicators!B61</f>
        <v>0</v>
      </c>
      <c r="D65" s="133">
        <f>tblIndicators!F61</f>
        <v>3</v>
      </c>
      <c r="E65" s="133" t="str">
        <f>tblIndicators!E61</f>
        <v>PESE4.2</v>
      </c>
      <c r="F65" s="133" t="str">
        <f>tblIndicators!H61</f>
        <v>Threat of terrorism</v>
      </c>
      <c r="G65" s="133">
        <f>tblIndicators!Z61</f>
        <v>3</v>
      </c>
      <c r="H65" s="105" t="str">
        <f>REPT(" ",D65)&amp;tblIndicators!AE61</f>
        <v>   4.2.10) Threat of terrorism</v>
      </c>
      <c r="I65" s="147" t="str">
        <f>IF(G65=1,"",tblIndicators!P61)</f>
        <v>Rating 0-4. </v>
      </c>
      <c r="J65" s="148">
        <v>3</v>
      </c>
      <c r="K65" s="148">
        <v>3</v>
      </c>
      <c r="L65" s="148">
        <v>3</v>
      </c>
      <c r="M65" s="148">
        <v>1</v>
      </c>
      <c r="N65" s="148">
        <v>3</v>
      </c>
      <c r="O65" s="148">
        <v>4</v>
      </c>
      <c r="P65" s="148">
        <v>2</v>
      </c>
      <c r="Q65" s="148">
        <v>2</v>
      </c>
      <c r="R65" s="148">
        <v>3</v>
      </c>
      <c r="S65" s="148">
        <v>2</v>
      </c>
      <c r="T65" s="148">
        <v>3</v>
      </c>
      <c r="U65" s="148">
        <v>2</v>
      </c>
      <c r="V65" s="148">
        <v>3</v>
      </c>
      <c r="W65" s="148">
        <v>3</v>
      </c>
      <c r="X65" s="148">
        <v>2</v>
      </c>
      <c r="Y65" s="148">
        <v>1</v>
      </c>
      <c r="Z65" s="148">
        <v>3</v>
      </c>
      <c r="AA65" s="148">
        <v>3</v>
      </c>
      <c r="AB65" s="148">
        <v>3</v>
      </c>
      <c r="AC65" s="148">
        <v>4</v>
      </c>
      <c r="AD65" s="148">
        <v>1</v>
      </c>
      <c r="AE65" s="148">
        <v>1</v>
      </c>
      <c r="AF65" s="148">
        <v>1</v>
      </c>
      <c r="AG65" s="148">
        <v>3</v>
      </c>
      <c r="AH65" s="148">
        <v>0</v>
      </c>
      <c r="AI65" s="148">
        <v>3</v>
      </c>
      <c r="AJ65" s="148">
        <v>3</v>
      </c>
      <c r="AK65" s="148">
        <v>3</v>
      </c>
      <c r="AL65" s="148">
        <v>2</v>
      </c>
      <c r="AM65" s="148">
        <v>3</v>
      </c>
      <c r="AN65" s="148">
        <v>3</v>
      </c>
      <c r="AO65" s="148">
        <v>2</v>
      </c>
      <c r="AP65" s="148">
        <v>4</v>
      </c>
      <c r="AQ65" s="148">
        <v>2</v>
      </c>
      <c r="AR65" s="148">
        <v>4</v>
      </c>
      <c r="AS65" s="148">
        <v>2</v>
      </c>
      <c r="AT65" s="148">
        <v>2</v>
      </c>
      <c r="AU65" s="148">
        <v>2</v>
      </c>
      <c r="AV65" s="148">
        <v>3</v>
      </c>
      <c r="AW65" s="148">
        <v>1</v>
      </c>
      <c r="AX65" s="148">
        <v>3</v>
      </c>
      <c r="AY65" s="148">
        <v>3</v>
      </c>
      <c r="AZ65" s="148">
        <v>2</v>
      </c>
      <c r="BA65" s="148">
        <v>3</v>
      </c>
      <c r="BB65" s="148">
        <v>3</v>
      </c>
      <c r="BC65" s="148">
        <v>4</v>
      </c>
      <c r="BD65" s="148">
        <v>3</v>
      </c>
      <c r="BE65" s="148">
        <v>3</v>
      </c>
      <c r="BF65" s="148">
        <v>4</v>
      </c>
      <c r="BG65" s="148">
        <v>3</v>
      </c>
      <c r="BH65" s="148">
        <v>4</v>
      </c>
      <c r="BI65" s="148">
        <v>3</v>
      </c>
      <c r="BJ65" s="148">
        <v>4</v>
      </c>
      <c r="BK65" s="148">
        <v>2</v>
      </c>
      <c r="BL65" s="148">
        <v>3</v>
      </c>
      <c r="BM65" s="148">
        <v>4</v>
      </c>
      <c r="BN65" s="148">
        <v>3</v>
      </c>
      <c r="BO65" s="148">
        <v>4</v>
      </c>
      <c r="BP65" s="148">
        <v>3</v>
      </c>
      <c r="BQ65" s="148">
        <v>3</v>
      </c>
      <c r="BR65" s="148">
        <v>3</v>
      </c>
      <c r="CC65" s="112">
        <v>0.4</v>
      </c>
      <c r="CD65" s="112">
        <v>2.4</v>
      </c>
      <c r="CE65" s="112">
        <v>0.03</v>
      </c>
      <c r="CF65" s="112">
        <v>0.6</v>
      </c>
      <c r="CG65" s="112">
        <v>0.7</v>
      </c>
      <c r="CH65" s="112">
        <v>0.06</v>
      </c>
      <c r="CI65" s="112">
        <v>2.2</v>
      </c>
      <c r="CJ65" s="112">
        <v>2.4</v>
      </c>
      <c r="CK65" s="112">
        <v>2.4</v>
      </c>
      <c r="CL65" s="112">
        <v>0.7</v>
      </c>
      <c r="CM65" s="112">
        <v>0.1</v>
      </c>
      <c r="CN65" s="112">
        <v>0.25</v>
      </c>
      <c r="CO65" s="112">
        <v>0.01</v>
      </c>
      <c r="CP65" s="112">
        <v>0.5</v>
      </c>
      <c r="CQ65" s="112">
        <v>1.9</v>
      </c>
      <c r="CR65" s="112">
        <v>0.1</v>
      </c>
      <c r="CS65" s="112">
        <v>0.1</v>
      </c>
      <c r="CT65" s="112">
        <v>0.03</v>
      </c>
      <c r="CU65" s="112">
        <v>1.4</v>
      </c>
      <c r="CV65" s="112">
        <v>2.4</v>
      </c>
      <c r="CW65" s="112">
        <v>0.2</v>
      </c>
    </row>
    <row r="66" s="112" customFormat="1" ht="22.5" customHeight="1" spans="1:101">
      <c r="A66" s="132"/>
      <c r="B66" s="133">
        <f>tblIndicators!A62</f>
        <v>61</v>
      </c>
      <c r="C66" s="133">
        <f>tblIndicators!B62</f>
        <v>0</v>
      </c>
      <c r="D66" s="133">
        <f>tblIndicators!F62</f>
        <v>3</v>
      </c>
      <c r="E66" s="133" t="str">
        <f>tblIndicators!E62</f>
        <v>PESE4.2</v>
      </c>
      <c r="F66" s="133" t="str">
        <f>tblIndicators!H62</f>
        <v>Threat of military conflict</v>
      </c>
      <c r="G66" s="133">
        <f>tblIndicators!Z62</f>
        <v>3</v>
      </c>
      <c r="H66" s="105" t="str">
        <f>REPT(" ",D66)&amp;tblIndicators!AE62</f>
        <v>   4.2.11) Threat of military conflict</v>
      </c>
      <c r="I66" s="147" t="str">
        <f>IF(G66=1,"",tblIndicators!P62)</f>
        <v>Rating 0-4. </v>
      </c>
      <c r="J66" s="148">
        <v>4</v>
      </c>
      <c r="K66" s="148">
        <v>4</v>
      </c>
      <c r="L66" s="148">
        <v>3</v>
      </c>
      <c r="M66" s="148">
        <v>2</v>
      </c>
      <c r="N66" s="148">
        <v>4</v>
      </c>
      <c r="O66" s="148">
        <v>3</v>
      </c>
      <c r="P66" s="148">
        <v>2</v>
      </c>
      <c r="Q66" s="148">
        <v>4</v>
      </c>
      <c r="R66" s="148">
        <v>4</v>
      </c>
      <c r="S66" s="148">
        <v>3</v>
      </c>
      <c r="T66" s="148">
        <v>3</v>
      </c>
      <c r="U66" s="148">
        <v>3</v>
      </c>
      <c r="V66" s="148">
        <v>4</v>
      </c>
      <c r="W66" s="148">
        <v>4</v>
      </c>
      <c r="X66" s="148">
        <v>3</v>
      </c>
      <c r="Y66" s="148">
        <v>3</v>
      </c>
      <c r="Z66" s="148">
        <v>3</v>
      </c>
      <c r="AA66" s="148">
        <v>4</v>
      </c>
      <c r="AB66" s="148">
        <v>3</v>
      </c>
      <c r="AC66" s="148">
        <v>4</v>
      </c>
      <c r="AD66" s="148">
        <v>2</v>
      </c>
      <c r="AE66" s="148">
        <v>4</v>
      </c>
      <c r="AF66" s="148">
        <v>3</v>
      </c>
      <c r="AG66" s="148">
        <v>4</v>
      </c>
      <c r="AH66" s="148">
        <v>1</v>
      </c>
      <c r="AI66" s="148">
        <v>4</v>
      </c>
      <c r="AJ66" s="148">
        <v>3</v>
      </c>
      <c r="AK66" s="148">
        <v>3</v>
      </c>
      <c r="AL66" s="148">
        <v>4</v>
      </c>
      <c r="AM66" s="148">
        <v>4</v>
      </c>
      <c r="AN66" s="148">
        <v>4</v>
      </c>
      <c r="AO66" s="148">
        <v>3</v>
      </c>
      <c r="AP66" s="148">
        <v>4</v>
      </c>
      <c r="AQ66" s="148">
        <v>4</v>
      </c>
      <c r="AR66" s="148">
        <v>4</v>
      </c>
      <c r="AS66" s="148">
        <v>2</v>
      </c>
      <c r="AT66" s="148">
        <v>3</v>
      </c>
      <c r="AU66" s="148">
        <v>4</v>
      </c>
      <c r="AV66" s="148">
        <v>4</v>
      </c>
      <c r="AW66" s="148">
        <v>4</v>
      </c>
      <c r="AX66" s="148">
        <v>4</v>
      </c>
      <c r="AY66" s="148">
        <v>4</v>
      </c>
      <c r="AZ66" s="148">
        <v>3</v>
      </c>
      <c r="BA66" s="148">
        <v>4</v>
      </c>
      <c r="BB66" s="148">
        <v>4</v>
      </c>
      <c r="BC66" s="148">
        <v>4</v>
      </c>
      <c r="BD66" s="148">
        <v>4</v>
      </c>
      <c r="BE66" s="148">
        <v>2</v>
      </c>
      <c r="BF66" s="148">
        <v>3</v>
      </c>
      <c r="BG66" s="148">
        <v>4</v>
      </c>
      <c r="BH66" s="148">
        <v>4</v>
      </c>
      <c r="BI66" s="148">
        <v>4</v>
      </c>
      <c r="BJ66" s="148">
        <v>4</v>
      </c>
      <c r="BK66" s="148">
        <v>3</v>
      </c>
      <c r="BL66" s="148">
        <v>4</v>
      </c>
      <c r="BM66" s="148">
        <v>4</v>
      </c>
      <c r="BN66" s="148">
        <v>4</v>
      </c>
      <c r="BO66" s="148">
        <v>4</v>
      </c>
      <c r="BP66" s="148">
        <v>3</v>
      </c>
      <c r="BQ66" s="148">
        <v>4</v>
      </c>
      <c r="BR66" s="148">
        <v>4</v>
      </c>
      <c r="CC66" s="112">
        <v>0.4</v>
      </c>
      <c r="CD66" s="112">
        <v>2.4</v>
      </c>
      <c r="CE66" s="112">
        <v>0.03</v>
      </c>
      <c r="CF66" s="112">
        <v>0.6</v>
      </c>
      <c r="CG66" s="112">
        <v>0.7</v>
      </c>
      <c r="CH66" s="112">
        <v>0.06</v>
      </c>
      <c r="CI66" s="112">
        <v>2.2</v>
      </c>
      <c r="CJ66" s="112">
        <v>2.4</v>
      </c>
      <c r="CK66" s="112">
        <v>2.4</v>
      </c>
      <c r="CL66" s="112">
        <v>0.7</v>
      </c>
      <c r="CM66" s="112">
        <v>0.1</v>
      </c>
      <c r="CN66" s="112">
        <v>0.25</v>
      </c>
      <c r="CO66" s="112">
        <v>0.01</v>
      </c>
      <c r="CP66" s="112">
        <v>0.5</v>
      </c>
      <c r="CQ66" s="112">
        <v>1.9</v>
      </c>
      <c r="CR66" s="112">
        <v>0.1</v>
      </c>
      <c r="CS66" s="112">
        <v>0.1</v>
      </c>
      <c r="CT66" s="112">
        <v>0.03</v>
      </c>
      <c r="CU66" s="112">
        <v>1.4</v>
      </c>
      <c r="CV66" s="112">
        <v>2.4</v>
      </c>
      <c r="CW66" s="112">
        <v>0.2</v>
      </c>
    </row>
    <row r="67" s="112" customFormat="1" ht="22.5" customHeight="1" spans="1:101">
      <c r="A67" s="132"/>
      <c r="B67" s="133">
        <f>tblIndicators!A63</f>
        <v>62</v>
      </c>
      <c r="C67" s="133">
        <f>tblIndicators!B63</f>
        <v>0</v>
      </c>
      <c r="D67" s="133">
        <f>tblIndicators!F63</f>
        <v>3</v>
      </c>
      <c r="E67" s="133" t="str">
        <f>tblIndicators!E63</f>
        <v>PESE4.2</v>
      </c>
      <c r="F67" s="133" t="str">
        <f>tblIndicators!H63</f>
        <v>Threat of civil unrest</v>
      </c>
      <c r="G67" s="133">
        <f>tblIndicators!Z63</f>
        <v>3</v>
      </c>
      <c r="H67" s="105" t="str">
        <f>REPT(" ",D67)&amp;tblIndicators!AE63</f>
        <v>   4.2.12) Threat of civil unrest</v>
      </c>
      <c r="I67" s="147" t="str">
        <f>IF(G67=1,"",tblIndicators!P63)</f>
        <v>Rating 0-4.</v>
      </c>
      <c r="J67" s="148">
        <v>3</v>
      </c>
      <c r="K67" s="148">
        <v>3</v>
      </c>
      <c r="L67" s="148">
        <v>2</v>
      </c>
      <c r="M67" s="148">
        <v>1</v>
      </c>
      <c r="N67" s="148">
        <v>3</v>
      </c>
      <c r="O67" s="148">
        <v>3</v>
      </c>
      <c r="P67" s="148">
        <v>2</v>
      </c>
      <c r="Q67" s="148">
        <v>4</v>
      </c>
      <c r="R67" s="148">
        <v>2</v>
      </c>
      <c r="S67" s="148">
        <v>1</v>
      </c>
      <c r="T67" s="148">
        <v>1</v>
      </c>
      <c r="U67" s="148">
        <v>2</v>
      </c>
      <c r="V67" s="148">
        <v>3</v>
      </c>
      <c r="W67" s="148">
        <v>3</v>
      </c>
      <c r="X67" s="148">
        <v>2</v>
      </c>
      <c r="Y67" s="148">
        <v>2</v>
      </c>
      <c r="Z67" s="148">
        <v>3</v>
      </c>
      <c r="AA67" s="148">
        <v>3</v>
      </c>
      <c r="AB67" s="148">
        <v>2</v>
      </c>
      <c r="AC67" s="148">
        <v>2</v>
      </c>
      <c r="AD67" s="148">
        <v>2</v>
      </c>
      <c r="AE67" s="148">
        <v>1</v>
      </c>
      <c r="AF67" s="148">
        <v>3</v>
      </c>
      <c r="AG67" s="148">
        <v>3</v>
      </c>
      <c r="AH67" s="148">
        <v>1</v>
      </c>
      <c r="AI67" s="148">
        <v>4</v>
      </c>
      <c r="AJ67" s="148">
        <v>3</v>
      </c>
      <c r="AK67" s="148">
        <v>2</v>
      </c>
      <c r="AL67" s="148">
        <v>3</v>
      </c>
      <c r="AM67" s="148">
        <v>2</v>
      </c>
      <c r="AN67" s="148">
        <v>3</v>
      </c>
      <c r="AO67" s="148">
        <v>2</v>
      </c>
      <c r="AP67" s="148">
        <v>4</v>
      </c>
      <c r="AQ67" s="148">
        <v>2</v>
      </c>
      <c r="AR67" s="148">
        <v>3</v>
      </c>
      <c r="AS67" s="148">
        <v>2</v>
      </c>
      <c r="AT67" s="148">
        <v>3</v>
      </c>
      <c r="AU67" s="148">
        <v>2</v>
      </c>
      <c r="AV67" s="148">
        <v>4</v>
      </c>
      <c r="AW67" s="148">
        <v>3</v>
      </c>
      <c r="AX67" s="148">
        <v>2</v>
      </c>
      <c r="AY67" s="148">
        <v>2</v>
      </c>
      <c r="AZ67" s="148">
        <v>3</v>
      </c>
      <c r="BA67" s="148">
        <v>3</v>
      </c>
      <c r="BB67" s="148">
        <v>3</v>
      </c>
      <c r="BC67" s="148">
        <v>3</v>
      </c>
      <c r="BD67" s="148">
        <v>2</v>
      </c>
      <c r="BE67" s="148">
        <v>3</v>
      </c>
      <c r="BF67" s="148">
        <v>2</v>
      </c>
      <c r="BG67" s="148">
        <v>4</v>
      </c>
      <c r="BH67" s="148">
        <v>4</v>
      </c>
      <c r="BI67" s="148">
        <v>4</v>
      </c>
      <c r="BJ67" s="148">
        <v>3</v>
      </c>
      <c r="BK67" s="148">
        <v>3</v>
      </c>
      <c r="BL67" s="148">
        <v>4</v>
      </c>
      <c r="BM67" s="148">
        <v>4</v>
      </c>
      <c r="BN67" s="148">
        <v>3</v>
      </c>
      <c r="BO67" s="148">
        <v>4</v>
      </c>
      <c r="BP67" s="148">
        <v>2</v>
      </c>
      <c r="BQ67" s="148">
        <v>4</v>
      </c>
      <c r="BR67" s="148">
        <v>4</v>
      </c>
      <c r="CC67" s="112">
        <v>0.4</v>
      </c>
      <c r="CD67" s="112">
        <v>2.4</v>
      </c>
      <c r="CE67" s="112">
        <v>0.03</v>
      </c>
      <c r="CF67" s="112">
        <v>0.6</v>
      </c>
      <c r="CG67" s="112">
        <v>0.7</v>
      </c>
      <c r="CH67" s="112">
        <v>0.06</v>
      </c>
      <c r="CI67" s="112">
        <v>2.2</v>
      </c>
      <c r="CJ67" s="112">
        <v>2.4</v>
      </c>
      <c r="CK67" s="112">
        <v>2.4</v>
      </c>
      <c r="CL67" s="112">
        <v>0.7</v>
      </c>
      <c r="CM67" s="112">
        <v>0.1</v>
      </c>
      <c r="CN67" s="112">
        <v>0.25</v>
      </c>
      <c r="CO67" s="112">
        <v>0.01</v>
      </c>
      <c r="CP67" s="112">
        <v>0.5</v>
      </c>
      <c r="CQ67" s="112">
        <v>1.9</v>
      </c>
      <c r="CR67" s="112">
        <v>0.1</v>
      </c>
      <c r="CS67" s="112">
        <v>0.1</v>
      </c>
      <c r="CT67" s="112">
        <v>0.03</v>
      </c>
      <c r="CU67" s="112">
        <v>1.4</v>
      </c>
      <c r="CV67" s="112">
        <v>2.4</v>
      </c>
      <c r="CW67" s="112">
        <v>0.2</v>
      </c>
    </row>
    <row r="68" s="112" customFormat="1" spans="9:9">
      <c r="I68" s="153"/>
    </row>
    <row r="69" s="113" customFormat="1" spans="9:9">
      <c r="I69" s="154"/>
    </row>
    <row r="70" s="113" customFormat="1" spans="9:9">
      <c r="I70" s="154"/>
    </row>
    <row r="71" s="113" customFormat="1" spans="9:9">
      <c r="I71" s="154"/>
    </row>
    <row r="72" s="113" customFormat="1" spans="9:9">
      <c r="I72" s="154"/>
    </row>
    <row r="73" s="113" customFormat="1" spans="9:9">
      <c r="I73" s="154"/>
    </row>
    <row r="74" s="113" customFormat="1" spans="9:9">
      <c r="I74" s="154"/>
    </row>
    <row r="75" s="113" customFormat="1" spans="9:9">
      <c r="I75" s="154"/>
    </row>
    <row r="76" s="113" customFormat="1" spans="9:9">
      <c r="I76" s="154"/>
    </row>
    <row r="77" s="113" customFormat="1" spans="9:9">
      <c r="I77" s="154"/>
    </row>
    <row r="78" s="113" customFormat="1" spans="9:9">
      <c r="I78" s="154"/>
    </row>
    <row r="79" s="113" customFormat="1" spans="9:9">
      <c r="I79" s="154"/>
    </row>
    <row r="80" s="113" customFormat="1" spans="9:9">
      <c r="I80" s="154"/>
    </row>
    <row r="81" s="113" customFormat="1" spans="9:9">
      <c r="I81" s="154"/>
    </row>
    <row r="82" s="113" customFormat="1" spans="9:9">
      <c r="I82" s="154"/>
    </row>
    <row r="83" s="113" customFormat="1" spans="9:9">
      <c r="I83" s="154"/>
    </row>
    <row r="84" s="113" customFormat="1" spans="9:9">
      <c r="I84" s="154"/>
    </row>
    <row r="85" s="113" customFormat="1" spans="9:9">
      <c r="I85" s="154"/>
    </row>
    <row r="86" s="113" customFormat="1" spans="9:9">
      <c r="I86" s="154"/>
    </row>
    <row r="87" s="113" customFormat="1" spans="9:9">
      <c r="I87" s="154"/>
    </row>
    <row r="88" s="113" customFormat="1" spans="9:9">
      <c r="I88" s="154"/>
    </row>
    <row r="89" s="113" customFormat="1" spans="9:9">
      <c r="I89" s="154"/>
    </row>
    <row r="90" s="113" customFormat="1" spans="9:9">
      <c r="I90" s="154"/>
    </row>
    <row r="91" s="113" customFormat="1" spans="9:9">
      <c r="I91" s="154"/>
    </row>
    <row r="92" s="113" customFormat="1" spans="9:9">
      <c r="I92" s="154"/>
    </row>
    <row r="93" s="113" customFormat="1" spans="9:9">
      <c r="I93" s="154"/>
    </row>
    <row r="94" s="113" customFormat="1" spans="9:9">
      <c r="I94" s="154"/>
    </row>
    <row r="95" s="113" customFormat="1" spans="9:9">
      <c r="I95" s="154"/>
    </row>
    <row r="96" s="113" customFormat="1" spans="9:9">
      <c r="I96" s="154"/>
    </row>
    <row r="97" s="113" customFormat="1" spans="9:9">
      <c r="I97" s="154"/>
    </row>
    <row r="98" s="113" customFormat="1" spans="9:9">
      <c r="I98" s="154"/>
    </row>
    <row r="99" s="113" customFormat="1" spans="9:9">
      <c r="I99" s="154"/>
    </row>
    <row r="100" s="113" customFormat="1" spans="9:9">
      <c r="I100" s="154"/>
    </row>
    <row r="101" s="113" customFormat="1" spans="9:9">
      <c r="I101" s="154"/>
    </row>
    <row r="102" s="113" customFormat="1" spans="9:9">
      <c r="I102" s="154"/>
    </row>
    <row r="103" s="113" customFormat="1" spans="9:9">
      <c r="I103" s="154"/>
    </row>
    <row r="104" s="113" customFormat="1" spans="9:9">
      <c r="I104" s="154"/>
    </row>
    <row r="105" s="113" customFormat="1" spans="9:9">
      <c r="I105" s="154"/>
    </row>
    <row r="106" s="113" customFormat="1" spans="9:9">
      <c r="I106" s="154"/>
    </row>
    <row r="107" s="113" customFormat="1" spans="9:9">
      <c r="I107" s="154"/>
    </row>
    <row r="108" s="113" customFormat="1" spans="9:9">
      <c r="I108" s="154"/>
    </row>
    <row r="109" s="113" customFormat="1" spans="9:9">
      <c r="I109" s="154"/>
    </row>
    <row r="110" s="113" customFormat="1" spans="9:9">
      <c r="I110" s="154"/>
    </row>
    <row r="111" s="113" customFormat="1" spans="9:9">
      <c r="I111" s="154"/>
    </row>
    <row r="112" s="113" customFormat="1" spans="9:9">
      <c r="I112" s="154"/>
    </row>
    <row r="113" s="113" customFormat="1" spans="9:9">
      <c r="I113" s="154"/>
    </row>
    <row r="114" s="113" customFormat="1" spans="9:9">
      <c r="I114" s="154"/>
    </row>
    <row r="115" s="113" customFormat="1" spans="9:9">
      <c r="I115" s="154"/>
    </row>
    <row r="116" s="113" customFormat="1" spans="9:9">
      <c r="I116" s="154"/>
    </row>
    <row r="117" s="113" customFormat="1" spans="9:9">
      <c r="I117" s="154"/>
    </row>
    <row r="118" s="113" customFormat="1" spans="9:9">
      <c r="I118" s="154"/>
    </row>
    <row r="119" s="113" customFormat="1" spans="9:9">
      <c r="I119" s="154"/>
    </row>
    <row r="120" s="113" customFormat="1" spans="9:9">
      <c r="I120" s="154"/>
    </row>
    <row r="121" s="113" customFormat="1" spans="9:9">
      <c r="I121" s="154"/>
    </row>
    <row r="122" s="113" customFormat="1" spans="9:9">
      <c r="I122" s="154"/>
    </row>
    <row r="123" s="113" customFormat="1" spans="9:9">
      <c r="I123" s="154"/>
    </row>
    <row r="124" s="113" customFormat="1" spans="9:9">
      <c r="I124" s="154"/>
    </row>
    <row r="125" s="113" customFormat="1" spans="9:9">
      <c r="I125" s="154"/>
    </row>
    <row r="126" s="113" customFormat="1" spans="9:9">
      <c r="I126" s="154"/>
    </row>
    <row r="127" s="113" customFormat="1" spans="9:9">
      <c r="I127" s="154"/>
    </row>
    <row r="128" s="113" customFormat="1" spans="9:9">
      <c r="I128" s="154"/>
    </row>
    <row r="129" s="113" customFormat="1" spans="9:9">
      <c r="I129" s="154"/>
    </row>
    <row r="130" s="113" customFormat="1" spans="9:9">
      <c r="I130" s="154"/>
    </row>
    <row r="131" s="113" customFormat="1" spans="9:9">
      <c r="I131" s="154"/>
    </row>
    <row r="132" s="113" customFormat="1" spans="9:9">
      <c r="I132" s="154"/>
    </row>
    <row r="133" s="113" customFormat="1" spans="9:9">
      <c r="I133" s="154"/>
    </row>
    <row r="134" s="113" customFormat="1" spans="9:9">
      <c r="I134" s="154"/>
    </row>
    <row r="135" s="113" customFormat="1" spans="9:9">
      <c r="I135" s="154"/>
    </row>
    <row r="136" s="113" customFormat="1" spans="9:9">
      <c r="I136" s="154"/>
    </row>
    <row r="137" s="113" customFormat="1" spans="9:9">
      <c r="I137" s="154"/>
    </row>
    <row r="138" s="113" customFormat="1" spans="9:9">
      <c r="I138" s="154"/>
    </row>
    <row r="139" s="113" customFormat="1" spans="9:9">
      <c r="I139" s="154"/>
    </row>
    <row r="140" s="113" customFormat="1" spans="9:9">
      <c r="I140" s="154"/>
    </row>
    <row r="141" s="113" customFormat="1" spans="9:9">
      <c r="I141" s="154"/>
    </row>
    <row r="142" s="113" customFormat="1" spans="9:9">
      <c r="I142" s="154"/>
    </row>
    <row r="143" s="113" customFormat="1" spans="9:9">
      <c r="I143" s="154"/>
    </row>
    <row r="144" s="113" customFormat="1" spans="9:9">
      <c r="I144" s="154"/>
    </row>
    <row r="145" s="113" customFormat="1" spans="9:9">
      <c r="I145" s="154"/>
    </row>
    <row r="146" s="113" customFormat="1" spans="9:9">
      <c r="I146" s="154"/>
    </row>
    <row r="147" s="113" customFormat="1" spans="9:9">
      <c r="I147" s="154"/>
    </row>
    <row r="148" s="113" customFormat="1" spans="9:9">
      <c r="I148" s="154"/>
    </row>
    <row r="149" s="114" customFormat="1" spans="9:9">
      <c r="I149" s="155"/>
    </row>
    <row r="150" s="114" customFormat="1" spans="9:9">
      <c r="I150" s="155"/>
    </row>
    <row r="151" s="114" customFormat="1" spans="9:9">
      <c r="I151" s="155"/>
    </row>
    <row r="152" s="114" customFormat="1" spans="9:9">
      <c r="I152" s="155"/>
    </row>
    <row r="153" s="114" customFormat="1" spans="9:9">
      <c r="I153" s="155"/>
    </row>
    <row r="154" s="114" customFormat="1" spans="9:9">
      <c r="I154" s="155"/>
    </row>
    <row r="155" s="114" customFormat="1" spans="9:9">
      <c r="I155" s="155"/>
    </row>
    <row r="156" s="114" customFormat="1" spans="9:9">
      <c r="I156" s="155"/>
    </row>
    <row r="157" s="114" customFormat="1" spans="9:9">
      <c r="I157" s="155"/>
    </row>
    <row r="158" s="114" customFormat="1" spans="9:9">
      <c r="I158" s="155"/>
    </row>
    <row r="159" s="114" customFormat="1" spans="9:9">
      <c r="I159" s="155"/>
    </row>
    <row r="160" s="114" customFormat="1" spans="9:9">
      <c r="I160" s="155"/>
    </row>
    <row r="161" s="114" customFormat="1" spans="9:9">
      <c r="I161" s="155"/>
    </row>
    <row r="162" s="114" customFormat="1" spans="9:9">
      <c r="I162" s="155"/>
    </row>
    <row r="163" s="114" customFormat="1" spans="9:9">
      <c r="I163" s="155"/>
    </row>
    <row r="164" s="114" customFormat="1" spans="9:9">
      <c r="I164" s="155"/>
    </row>
    <row r="165" s="115" customFormat="1" spans="9:9">
      <c r="I165" s="156"/>
    </row>
    <row r="166" s="115" customFormat="1" spans="9:9">
      <c r="I166" s="156"/>
    </row>
    <row r="167" s="115" customFormat="1" spans="9:9">
      <c r="I167" s="156"/>
    </row>
    <row r="168" s="115" customFormat="1" spans="9:9">
      <c r="I168" s="156"/>
    </row>
  </sheetData>
  <pageMargins left="0.551181102362205" right="0.551181102362205" top="0.590551181102362" bottom="0.78740157480315" header="0.511811023622047" footer="0.511811023622047"/>
  <pageSetup paperSize="9" scale="12" orientation="landscape" horizontalDpi="1200" verticalDpi="1200"/>
  <headerFooter alignWithMargins="0">
    <oddHeader>&amp;RSafe Cities Index : 2017</oddHeader>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FFC000"/>
    <pageSetUpPr fitToPage="1"/>
  </sheetPr>
  <dimension ref="A1:DZ86"/>
  <sheetViews>
    <sheetView showGridLines="0" showRowColHeaders="0" zoomScale="90" zoomScaleNormal="90" topLeftCell="B1" workbookViewId="0">
      <selection activeCell="N8" sqref="N8"/>
    </sheetView>
  </sheetViews>
  <sheetFormatPr defaultColWidth="9" defaultRowHeight="15"/>
  <cols>
    <col min="1" max="1" width="1.71428571428571" style="70" customWidth="1"/>
    <col min="2" max="2" width="5" style="71" customWidth="1"/>
    <col min="3" max="3" width="5.85714285714286" style="71" customWidth="1"/>
    <col min="4" max="5" width="5" style="72" customWidth="1"/>
    <col min="6" max="8" width="5" style="73" customWidth="1"/>
    <col min="9" max="13" width="5" style="72" customWidth="1"/>
    <col min="14" max="14" width="42.5714285714286" style="74" customWidth="1"/>
    <col min="15" max="15" width="12.7142857142857" style="75" customWidth="1"/>
    <col min="16" max="76" width="14.7142857142857" style="76" customWidth="1"/>
    <col min="77" max="127" width="11.8571428571429" customWidth="1"/>
    <col min="128" max="130" width="9.14285714285714"/>
    <col min="131" max="16384" width="9.14285714285714" style="70"/>
  </cols>
  <sheetData>
    <row r="1" s="64" customFormat="1" ht="28.5" customHeight="1" spans="1:80">
      <c r="A1" s="77"/>
      <c r="B1" s="78"/>
      <c r="D1" s="79"/>
      <c r="E1" s="79"/>
      <c r="N1" s="79" t="str">
        <f>uxb_works!$B$90</f>
        <v>Safe Cities Index: 2017</v>
      </c>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CA1" s="77"/>
      <c r="CB1" s="77"/>
    </row>
    <row r="2" s="64" customFormat="1" ht="28.5" customHeight="1" spans="1:76">
      <c r="A2" s="80"/>
      <c r="B2" s="81"/>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row>
    <row r="3" s="65" customFormat="1" ht="71.1" customHeight="1" spans="1:76">
      <c r="A3" s="83"/>
      <c r="B3" s="84"/>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row>
    <row r="4" ht="30" customHeight="1" spans="16:76">
      <c r="P4" s="76">
        <f>Data_2017!J4</f>
        <v>1</v>
      </c>
      <c r="Q4" s="76">
        <f>Data_2017!K4</f>
        <v>2</v>
      </c>
      <c r="R4" s="76">
        <f>Data_2017!L4</f>
        <v>3</v>
      </c>
      <c r="S4" s="76">
        <f>Data_2017!M4</f>
        <v>4</v>
      </c>
      <c r="T4" s="76">
        <f>Data_2017!N4</f>
        <v>5</v>
      </c>
      <c r="U4" s="76">
        <f>Data_2017!O4</f>
        <v>6</v>
      </c>
      <c r="V4" s="76">
        <f>Data_2017!P4</f>
        <v>7</v>
      </c>
      <c r="W4" s="76">
        <f>Data_2017!Q4</f>
        <v>8</v>
      </c>
      <c r="X4" s="76">
        <f>Data_2017!R4</f>
        <v>9</v>
      </c>
      <c r="Y4" s="76">
        <f>Data_2017!S4</f>
        <v>10</v>
      </c>
      <c r="Z4" s="76">
        <f>Data_2017!T4</f>
        <v>11</v>
      </c>
      <c r="AA4" s="76">
        <f>Data_2017!U4</f>
        <v>12</v>
      </c>
      <c r="AB4" s="76">
        <f>Data_2017!V4</f>
        <v>13</v>
      </c>
      <c r="AC4" s="76">
        <f>Data_2017!W4</f>
        <v>14</v>
      </c>
      <c r="AD4" s="76">
        <f>Data_2017!X4</f>
        <v>15</v>
      </c>
      <c r="AE4" s="76">
        <f>Data_2017!Y4</f>
        <v>16</v>
      </c>
      <c r="AF4" s="76">
        <f>Data_2017!Z4</f>
        <v>17</v>
      </c>
      <c r="AG4" s="76">
        <f>Data_2017!AA4</f>
        <v>18</v>
      </c>
      <c r="AH4" s="76">
        <f>Data_2017!AB4</f>
        <v>19</v>
      </c>
      <c r="AI4" s="76">
        <f>Data_2017!AC4</f>
        <v>20</v>
      </c>
      <c r="AJ4" s="76">
        <f>Data_2017!AD4</f>
        <v>21</v>
      </c>
      <c r="AK4" s="76">
        <f>Data_2017!AE4</f>
        <v>22</v>
      </c>
      <c r="AL4" s="76">
        <f>Data_2017!AF4</f>
        <v>23</v>
      </c>
      <c r="AM4" s="76">
        <f>Data_2017!AG4</f>
        <v>24</v>
      </c>
      <c r="AN4" s="76">
        <f>Data_2017!AH4</f>
        <v>25</v>
      </c>
      <c r="AO4" s="76">
        <f>Data_2017!AI4</f>
        <v>26</v>
      </c>
      <c r="AP4" s="76">
        <f>Data_2017!AJ4</f>
        <v>27</v>
      </c>
      <c r="AQ4" s="76">
        <f>Data_2017!AK4</f>
        <v>28</v>
      </c>
      <c r="AR4" s="76">
        <f>Data_2017!AL4</f>
        <v>29</v>
      </c>
      <c r="AS4" s="76">
        <f>Data_2017!AM4</f>
        <v>30</v>
      </c>
      <c r="AT4" s="76">
        <f>Data_2017!AN4</f>
        <v>31</v>
      </c>
      <c r="AU4" s="76">
        <f>Data_2017!AO4</f>
        <v>32</v>
      </c>
      <c r="AV4" s="76">
        <f>Data_2017!AP4</f>
        <v>33</v>
      </c>
      <c r="AW4" s="76">
        <f>Data_2017!AQ4</f>
        <v>34</v>
      </c>
      <c r="AX4" s="76">
        <f>Data_2017!AR4</f>
        <v>35</v>
      </c>
      <c r="AY4" s="76">
        <f>Data_2017!AS4</f>
        <v>36</v>
      </c>
      <c r="AZ4" s="76">
        <f>Data_2017!AT4</f>
        <v>37</v>
      </c>
      <c r="BA4" s="76">
        <f>Data_2017!AU4</f>
        <v>38</v>
      </c>
      <c r="BB4" s="76">
        <f>Data_2017!AV4</f>
        <v>39</v>
      </c>
      <c r="BC4" s="76">
        <f>Data_2017!AW4</f>
        <v>40</v>
      </c>
      <c r="BD4" s="76">
        <f>Data_2017!AX4</f>
        <v>41</v>
      </c>
      <c r="BE4" s="76">
        <f>Data_2017!AY4</f>
        <v>42</v>
      </c>
      <c r="BF4" s="76">
        <f>Data_2017!AZ4</f>
        <v>43</v>
      </c>
      <c r="BG4" s="76">
        <f>Data_2017!BA4</f>
        <v>44</v>
      </c>
      <c r="BH4" s="76">
        <f>Data_2017!BB4</f>
        <v>45</v>
      </c>
      <c r="BI4" s="76">
        <f>Data_2017!BC4</f>
        <v>46</v>
      </c>
      <c r="BJ4" s="76">
        <f>Data_2017!BD4</f>
        <v>47</v>
      </c>
      <c r="BK4" s="76">
        <f>Data_2017!BE4</f>
        <v>48</v>
      </c>
      <c r="BL4" s="76">
        <f>Data_2017!BF4</f>
        <v>49</v>
      </c>
      <c r="BM4" s="76">
        <f>Data_2017!BG4</f>
        <v>50</v>
      </c>
      <c r="BN4" s="76">
        <f>Data_2017!BH4</f>
        <v>51</v>
      </c>
      <c r="BO4" s="76">
        <f>Data_2017!BI4</f>
        <v>52</v>
      </c>
      <c r="BP4" s="76">
        <f>Data_2017!BJ4</f>
        <v>53</v>
      </c>
      <c r="BQ4" s="76">
        <f>Data_2017!BK4</f>
        <v>54</v>
      </c>
      <c r="BR4" s="76">
        <f>Data_2017!BL4</f>
        <v>55</v>
      </c>
      <c r="BS4" s="76">
        <f>Data_2017!BM4</f>
        <v>56</v>
      </c>
      <c r="BT4" s="76">
        <f>Data_2017!BN4</f>
        <v>57</v>
      </c>
      <c r="BU4" s="76">
        <f>Data_2017!BO4</f>
        <v>58</v>
      </c>
      <c r="BV4" s="76">
        <f>Data_2017!BP4</f>
        <v>59</v>
      </c>
      <c r="BW4" s="76">
        <f>Data_2017!BQ4</f>
        <v>60</v>
      </c>
      <c r="BX4" s="76">
        <f>Data_2017!BR4</f>
        <v>61</v>
      </c>
    </row>
    <row r="5" s="66" customFormat="1" ht="50.1" customHeight="1" spans="1:130">
      <c r="A5" s="86"/>
      <c r="B5" s="87" t="str">
        <f>tblIndicators!A1</f>
        <v>ID</v>
      </c>
      <c r="C5" s="87" t="str">
        <f>tblIndicators!B1</f>
        <v>IS_BG</v>
      </c>
      <c r="D5" s="86" t="str">
        <f>tblIndicators!D1</f>
        <v>INDI_CODE</v>
      </c>
      <c r="E5" s="86" t="str">
        <f>tblIndicators!E1</f>
        <v>PARENT_CODE</v>
      </c>
      <c r="F5" s="87" t="str">
        <f>tblIndicators!F1</f>
        <v>DEPTH</v>
      </c>
      <c r="G5" s="87" t="str">
        <f>tblIndicators!Y1</f>
        <v>HIGH_IS</v>
      </c>
      <c r="H5" s="87" t="str">
        <f>tblIndicators!Z1</f>
        <v>NORM_ID (1=sumproduct, 2=min max set by data values, 2=min max set by user here)</v>
      </c>
      <c r="I5" s="86" t="str">
        <f>tblIndicators!AA1</f>
        <v>If NORM = 3 Set Min</v>
      </c>
      <c r="J5" s="86" t="str">
        <f>tblIndicators!AB1</f>
        <v>If NORM = 3 Set Max</v>
      </c>
      <c r="K5" s="86" t="s">
        <v>881</v>
      </c>
      <c r="L5" s="86" t="s">
        <v>882</v>
      </c>
      <c r="M5" s="86" t="s">
        <v>883</v>
      </c>
      <c r="N5" s="94" t="s">
        <v>884</v>
      </c>
      <c r="O5" s="95" t="s">
        <v>21</v>
      </c>
      <c r="P5" s="86" t="str">
        <f>Data_2017!J5</f>
        <v>Abu Dhabi</v>
      </c>
      <c r="Q5" s="86" t="str">
        <f>Data_2017!K5</f>
        <v>Amsterdam</v>
      </c>
      <c r="R5" s="86" t="str">
        <f>Data_2017!L5</f>
        <v>Athens</v>
      </c>
      <c r="S5" s="86" t="str">
        <f>Data_2017!M5</f>
        <v>Bangkok</v>
      </c>
      <c r="T5" s="86" t="str">
        <f>Data_2017!N5</f>
        <v>Barcelona</v>
      </c>
      <c r="U5" s="86" t="str">
        <f>Data_2017!O5</f>
        <v>Beijing</v>
      </c>
      <c r="V5" s="86" t="str">
        <f>Data_2017!P5</f>
        <v>Bogota</v>
      </c>
      <c r="W5" s="86" t="str">
        <f>Data_2017!Q5</f>
        <v>Brussels</v>
      </c>
      <c r="X5" s="86" t="str">
        <f>Data_2017!R5</f>
        <v>Buenos Aires</v>
      </c>
      <c r="Y5" s="86" t="str">
        <f>Data_2017!S5</f>
        <v>Cairo</v>
      </c>
      <c r="Z5" s="86" t="str">
        <f>Data_2017!T5</f>
        <v>Caracas</v>
      </c>
      <c r="AA5" s="86" t="str">
        <f>Data_2017!U5</f>
        <v>Casablanca</v>
      </c>
      <c r="AB5" s="86" t="str">
        <f>Data_2017!V5</f>
        <v>Chicago</v>
      </c>
      <c r="AC5" s="86" t="str">
        <f>Data_2017!W5</f>
        <v>Dallas</v>
      </c>
      <c r="AD5" s="86" t="str">
        <f>Data_2017!X5</f>
        <v>Delhi</v>
      </c>
      <c r="AE5" s="86" t="str">
        <f>Data_2017!Y5</f>
        <v>Dhaka</v>
      </c>
      <c r="AF5" s="86" t="str">
        <f>Data_2017!Z5</f>
        <v>Doha</v>
      </c>
      <c r="AG5" s="86" t="str">
        <f>Data_2017!AA5</f>
        <v>Frankfurt</v>
      </c>
      <c r="AH5" s="86" t="str">
        <f>Data_2017!AB5</f>
        <v>Ho Chi Minh City</v>
      </c>
      <c r="AI5" s="86" t="str">
        <f>Data_2017!AC5</f>
        <v>Hong Kong</v>
      </c>
      <c r="AJ5" s="86" t="str">
        <f>Data_2017!AD5</f>
        <v>Istanbul</v>
      </c>
      <c r="AK5" s="86" t="str">
        <f>Data_2017!AE5</f>
        <v>Jakarta</v>
      </c>
      <c r="AL5" s="86" t="str">
        <f>Data_2017!AF5</f>
        <v>Jeddah</v>
      </c>
      <c r="AM5" s="86" t="str">
        <f>Data_2017!AG5</f>
        <v>Johannesburg</v>
      </c>
      <c r="AN5" s="86" t="str">
        <f>Data_2017!AH5</f>
        <v>Karachi</v>
      </c>
      <c r="AO5" s="86" t="str">
        <f>Data_2017!AI5</f>
        <v>Kuala Lumpur</v>
      </c>
      <c r="AP5" s="86" t="str">
        <f>Data_2017!AJ5</f>
        <v>Kuwait City</v>
      </c>
      <c r="AQ5" s="86" t="str">
        <f>Data_2017!AK5</f>
        <v>Lima</v>
      </c>
      <c r="AR5" s="86" t="str">
        <f>Data_2017!AL5</f>
        <v>London</v>
      </c>
      <c r="AS5" s="86" t="str">
        <f>Data_2017!AM5</f>
        <v>Los Angeles</v>
      </c>
      <c r="AT5" s="86" t="str">
        <f>Data_2017!AN5</f>
        <v>Madrid</v>
      </c>
      <c r="AU5" s="86" t="str">
        <f>Data_2017!AO5</f>
        <v>Manila</v>
      </c>
      <c r="AV5" s="86" t="str">
        <f>Data_2017!AP5</f>
        <v>Melbourne</v>
      </c>
      <c r="AW5" s="86" t="str">
        <f>Data_2017!AQ5</f>
        <v>Mexico City</v>
      </c>
      <c r="AX5" s="86" t="str">
        <f>Data_2017!AR5</f>
        <v>Milan</v>
      </c>
      <c r="AY5" s="86" t="str">
        <f>Data_2017!AS5</f>
        <v>Moscow</v>
      </c>
      <c r="AZ5" s="86" t="str">
        <f>Data_2017!AT5</f>
        <v>Mumbai</v>
      </c>
      <c r="BA5" s="86" t="str">
        <f>Data_2017!AU5</f>
        <v>New York</v>
      </c>
      <c r="BB5" s="86" t="str">
        <f>Data_2017!AV5</f>
        <v>Osaka</v>
      </c>
      <c r="BC5" s="86" t="str">
        <f>Data_2017!AW5</f>
        <v>Paris</v>
      </c>
      <c r="BD5" s="86" t="str">
        <f>Data_2017!AX5</f>
        <v>Quito</v>
      </c>
      <c r="BE5" s="86" t="str">
        <f>Data_2017!AY5</f>
        <v>Rio de Janeiro</v>
      </c>
      <c r="BF5" s="86" t="str">
        <f>Data_2017!AZ5</f>
        <v>Riyadh</v>
      </c>
      <c r="BG5" s="86" t="str">
        <f>Data_2017!BA5</f>
        <v>Rome</v>
      </c>
      <c r="BH5" s="86" t="str">
        <f>Data_2017!BB5</f>
        <v>San Francisco</v>
      </c>
      <c r="BI5" s="86" t="str">
        <f>Data_2017!BC5</f>
        <v>Santiago</v>
      </c>
      <c r="BJ5" s="86" t="str">
        <f>Data_2017!BD5</f>
        <v>Sao Paulo</v>
      </c>
      <c r="BK5" s="86" t="str">
        <f>Data_2017!BE5</f>
        <v>Seoul</v>
      </c>
      <c r="BL5" s="86" t="str">
        <f>Data_2017!BF5</f>
        <v>Shanghai</v>
      </c>
      <c r="BM5" s="86" t="str">
        <f>Data_2017!BG5</f>
        <v>Singapore</v>
      </c>
      <c r="BN5" s="86" t="str">
        <f>Data_2017!BH5</f>
        <v>Stockholm</v>
      </c>
      <c r="BO5" s="86" t="str">
        <f>Data_2017!BI5</f>
        <v>Sydney</v>
      </c>
      <c r="BP5" s="86" t="str">
        <f>Data_2017!BJ5</f>
        <v>Taipei</v>
      </c>
      <c r="BQ5" s="86" t="str">
        <f>Data_2017!BK5</f>
        <v>Tehran</v>
      </c>
      <c r="BR5" s="86" t="str">
        <f>Data_2017!BL5</f>
        <v>Tokyo</v>
      </c>
      <c r="BS5" s="86" t="str">
        <f>Data_2017!BM5</f>
        <v>Toronto</v>
      </c>
      <c r="BT5" s="86" t="str">
        <f>Data_2017!BN5</f>
        <v>Washington DC</v>
      </c>
      <c r="BU5" s="86" t="str">
        <f>Data_2017!BO5</f>
        <v>Wellington</v>
      </c>
      <c r="BV5" s="86" t="str">
        <f>Data_2017!BP5</f>
        <v>Yangon</v>
      </c>
      <c r="BW5" s="86" t="str">
        <f>Data_2017!BQ5</f>
        <v>Zurich</v>
      </c>
      <c r="BX5" s="86" t="str">
        <f>Data_2017!BR5</f>
        <v>Kyoto</v>
      </c>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row>
    <row r="6" s="67" customFormat="1" ht="30" customHeight="1" spans="1:76">
      <c r="A6" s="88"/>
      <c r="B6" s="89">
        <f>tblIndicators!A2</f>
        <v>1</v>
      </c>
      <c r="C6" s="89">
        <f>tblIndicators!B2</f>
        <v>0</v>
      </c>
      <c r="D6" s="89" t="str">
        <f>tblIndicators!D2</f>
        <v>OVERALL</v>
      </c>
      <c r="E6" s="89" t="str">
        <f>tblIndicators!E2</f>
        <v>OVERALL SCORE</v>
      </c>
      <c r="F6" s="89">
        <f>tblIndicators!F2</f>
        <v>0</v>
      </c>
      <c r="G6" s="89">
        <f>tblIndicators!Y2</f>
        <v>0</v>
      </c>
      <c r="H6" s="89">
        <f>tblIndicators!Z2</f>
        <v>1</v>
      </c>
      <c r="I6" s="96">
        <f>tblIndicators!AA2</f>
        <v>0</v>
      </c>
      <c r="J6" s="89">
        <f>tblIndicators!AB2</f>
        <v>0</v>
      </c>
      <c r="K6" s="89" t="str">
        <f>IF(uxb_works!$B$66=1,CHOOSE(H6,"-",MIN(Data_2017!J6:BR6),I6),CHOOSE(H6,"-",MIN(Data_2017!J6:BQ6),I6))</f>
        <v>-</v>
      </c>
      <c r="L6" s="97" t="str">
        <f>IF(uxb_works!$B$66=1,CHOOSE(H6,"-",MAX(Data_2017!J6:BR6),J6),CHOOSE(H6,"-",MAX(Data_2017!J6:BQ6),J6))</f>
        <v>-</v>
      </c>
      <c r="M6" s="89" t="str">
        <f>CHOOSE(H6,"-",L6-K6,L6-K6)</f>
        <v>-</v>
      </c>
      <c r="N6" s="98" t="str">
        <f>tblIndicators!AE2</f>
        <v>OVERALL SCORE</v>
      </c>
      <c r="O6" s="99" t="str">
        <f>tblIndicators!AD2</f>
        <v/>
      </c>
      <c r="P6" s="100">
        <f>IF($H6=0,0,CHOOSE($H6,SUMPRODUCT($O7:$O$67*P7:P$67*($E7:$E$67=$D6)),IF(ISNUMBER(Data_2017!J6),100*ABS($G6-(Data_2017!J6-$K6)/$M6),0),IF(ISNUMBER(Data_2017!J6),100*ABS($G6-(Data_2017!J6-$K6)/$M6),0)))</f>
        <v>76.9075622869516</v>
      </c>
      <c r="Q6" s="100">
        <f>IF($H6=0,0,CHOOSE($H6,SUMPRODUCT($O7:$O$67*Q7:Q$67*($E7:$E$67=$D6)),IF(ISNUMBER(Data_2017!K6),100*ABS($G6-(Data_2017!K6-$K6)/$M6),0),IF(ISNUMBER(Data_2017!K6),100*ABS($G6-(Data_2017!K6-$K6)/$M6),0)))</f>
        <v>87.26365184148</v>
      </c>
      <c r="R6" s="100">
        <f>IF($H6=0,0,CHOOSE($H6,SUMPRODUCT($O7:$O$67*R7:R$67*($E7:$E$67=$D6)),IF(ISNUMBER(Data_2017!L6),100*ABS($G6-(Data_2017!L6-$K6)/$M6),0),IF(ISNUMBER(Data_2017!L6),100*ABS($G6-(Data_2017!L6-$K6)/$M6),0)))</f>
        <v>71.8968367863189</v>
      </c>
      <c r="S6" s="100">
        <f>IF($H6=0,0,CHOOSE($H6,SUMPRODUCT($O7:$O$67*S7:S$67*($E7:$E$67=$D6)),IF(ISNUMBER(Data_2017!M6),100*ABS($G6-(Data_2017!M6-$K6)/$M6),0),IF(ISNUMBER(Data_2017!M6),100*ABS($G6-(Data_2017!M6-$K6)/$M6),0)))</f>
        <v>60.0526481789</v>
      </c>
      <c r="T6" s="100">
        <f>IF($H6=0,0,CHOOSE($H6,SUMPRODUCT($O7:$O$67*T7:T$67*($E7:$E$67=$D6)),IF(ISNUMBER(Data_2017!N6),100*ABS($G6-(Data_2017!N6-$K6)/$M6),0),IF(ISNUMBER(Data_2017!N6),100*ABS($G6-(Data_2017!N6-$K6)/$M6),0)))</f>
        <v>83.7146072727325</v>
      </c>
      <c r="U6" s="100">
        <f>IF($H6=0,0,CHOOSE($H6,SUMPRODUCT($O7:$O$67*U7:U$67*($E7:$E$67=$D6)),IF(ISNUMBER(Data_2017!O6),100*ABS($G6-(Data_2017!O6-$K6)/$M6),0),IF(ISNUMBER(Data_2017!O6),100*ABS($G6-(Data_2017!O6-$K6)/$M6),0)))</f>
        <v>72.0648727049485</v>
      </c>
      <c r="V6" s="100">
        <f>IF($H6=0,0,CHOOSE($H6,SUMPRODUCT($O7:$O$67*V7:V$67*($E7:$E$67=$D6)),IF(ISNUMBER(Data_2017!P6),100*ABS($G6-(Data_2017!P6-$K6)/$M6),0),IF(ISNUMBER(Data_2017!P6),100*ABS($G6-(Data_2017!P6-$K6)/$M6),0)))</f>
        <v>61.3595461626815</v>
      </c>
      <c r="W6" s="100">
        <f>IF($H6=0,0,CHOOSE($H6,SUMPRODUCT($O7:$O$67*W7:W$67*($E7:$E$67=$D6)),IF(ISNUMBER(Data_2017!Q6),100*ABS($G6-(Data_2017!Q6-$K6)/$M6),0),IF(ISNUMBER(Data_2017!Q6),100*ABS($G6-(Data_2017!Q6-$K6)/$M6),0)))</f>
        <v>83.0061449550164</v>
      </c>
      <c r="X6" s="100">
        <f>IF($H6=0,0,CHOOSE($H6,SUMPRODUCT($O7:$O$67*X7:X$67*($E7:$E$67=$D6)),IF(ISNUMBER(Data_2017!R6),100*ABS($G6-(Data_2017!R6-$K6)/$M6),0),IF(ISNUMBER(Data_2017!R6),100*ABS($G6-(Data_2017!R6-$K6)/$M6),0)))</f>
        <v>76.3482567325707</v>
      </c>
      <c r="Y6" s="100">
        <f>IF($H6=0,0,CHOOSE($H6,SUMPRODUCT($O7:$O$67*Y7:Y$67*($E7:$E$67=$D6)),IF(ISNUMBER(Data_2017!S6),100*ABS($G6-(Data_2017!S6-$K6)/$M6),0),IF(ISNUMBER(Data_2017!S6),100*ABS($G6-(Data_2017!S6-$K6)/$M6),0)))</f>
        <v>58.3318815508511</v>
      </c>
      <c r="Z6" s="100">
        <f>IF($H6=0,0,CHOOSE($H6,SUMPRODUCT($O7:$O$67*Z7:Z$67*($E7:$E$67=$D6)),IF(ISNUMBER(Data_2017!T6),100*ABS($G6-(Data_2017!T6-$K6)/$M6),0),IF(ISNUMBER(Data_2017!T6),100*ABS($G6-(Data_2017!T6-$K6)/$M6),0)))</f>
        <v>55.2206246013062</v>
      </c>
      <c r="AA6" s="100">
        <f>IF($H6=0,0,CHOOSE($H6,SUMPRODUCT($O7:$O$67*AA7:AA$67*($E7:$E$67=$D6)),IF(ISNUMBER(Data_2017!U6),100*ABS($G6-(Data_2017!U6-$K6)/$M6),0),IF(ISNUMBER(Data_2017!U6),100*ABS($G6-(Data_2017!U6-$K6)/$M6),0)))</f>
        <v>61.1983208612297</v>
      </c>
      <c r="AB6" s="100">
        <f>IF($H6=0,0,CHOOSE($H6,SUMPRODUCT($O7:$O$67*AB7:AB$67*($E7:$E$67=$D6)),IF(ISNUMBER(Data_2017!V6),100*ABS($G6-(Data_2017!V6-$K6)/$M6),0),IF(ISNUMBER(Data_2017!V6),100*ABS($G6-(Data_2017!V6-$K6)/$M6),0)))</f>
        <v>82.2084414540222</v>
      </c>
      <c r="AC6" s="100">
        <f>IF($H6=0,0,CHOOSE($H6,SUMPRODUCT($O7:$O$67*AC7:AC$67*($E7:$E$67=$D6)),IF(ISNUMBER(Data_2017!W6),100*ABS($G6-(Data_2017!W6-$K6)/$M6),0),IF(ISNUMBER(Data_2017!W6),100*ABS($G6-(Data_2017!W6-$K6)/$M6),0)))</f>
        <v>78.72792026883</v>
      </c>
      <c r="AD6" s="100">
        <f>IF($H6=0,0,CHOOSE($H6,SUMPRODUCT($O7:$O$67*AD7:AD$67*($E7:$E$67=$D6)),IF(ISNUMBER(Data_2017!X6),100*ABS($G6-(Data_2017!X6-$K6)/$M6),0),IF(ISNUMBER(Data_2017!X6),100*ABS($G6-(Data_2017!X6-$K6)/$M6),0)))</f>
        <v>62.3376987406359</v>
      </c>
      <c r="AE6" s="100">
        <f>IF($H6=0,0,CHOOSE($H6,SUMPRODUCT($O7:$O$67*AE7:AE$67*($E7:$E$67=$D6)),IF(ISNUMBER(Data_2017!Y6),100*ABS($G6-(Data_2017!Y6-$K6)/$M6),0),IF(ISNUMBER(Data_2017!Y6),100*ABS($G6-(Data_2017!Y6-$K6)/$M6),0)))</f>
        <v>47.3725540843484</v>
      </c>
      <c r="AF6" s="100">
        <f>IF($H6=0,0,CHOOSE($H6,SUMPRODUCT($O7:$O$67*AF7:AF$67*($E7:$E$67=$D6)),IF(ISNUMBER(Data_2017!Z6),100*ABS($G6-(Data_2017!Z6-$K6)/$M6),0),IF(ISNUMBER(Data_2017!Z6),100*ABS($G6-(Data_2017!Z6-$K6)/$M6),0)))</f>
        <v>73.5941578880355</v>
      </c>
      <c r="AG6" s="100">
        <f>IF($H6=0,0,CHOOSE($H6,SUMPRODUCT($O7:$O$67*AG7:AG$67*($E7:$E$67=$D6)),IF(ISNUMBER(Data_2017!AA6),100*ABS($G6-(Data_2017!AA6-$K6)/$M6),0),IF(ISNUMBER(Data_2017!AA6),100*ABS($G6-(Data_2017!AA6-$K6)/$M6),0)))</f>
        <v>84.856365317326</v>
      </c>
      <c r="AH6" s="100">
        <f>IF($H6=0,0,CHOOSE($H6,SUMPRODUCT($O7:$O$67*AH7:AH$67*($E7:$E$67=$D6)),IF(ISNUMBER(Data_2017!AB6),100*ABS($G6-(Data_2017!AB6-$K6)/$M6),0),IF(ISNUMBER(Data_2017!AB6),100*ABS($G6-(Data_2017!AB6-$K6)/$M6),0)))</f>
        <v>54.3323116699598</v>
      </c>
      <c r="AI6" s="100">
        <f>IF($H6=0,0,CHOOSE($H6,SUMPRODUCT($O7:$O$67*AI7:AI$67*($E7:$E$67=$D6)),IF(ISNUMBER(Data_2017!AC6),100*ABS($G6-(Data_2017!AC6-$K6)/$M6),0),IF(ISNUMBER(Data_2017!AC6),100*ABS($G6-(Data_2017!AC6-$K6)/$M6),0)))</f>
        <v>86.2151497119042</v>
      </c>
      <c r="AJ6" s="100">
        <f>IF($H6=0,0,CHOOSE($H6,SUMPRODUCT($O7:$O$67*AJ7:AJ$67*($E7:$E$67=$D6)),IF(ISNUMBER(Data_2017!AD6),100*ABS($G6-(Data_2017!AD6-$K6)/$M6),0),IF(ISNUMBER(Data_2017!AD6),100*ABS($G6-(Data_2017!AD6-$K6)/$M6),0)))</f>
        <v>65.2335954830484</v>
      </c>
      <c r="AK6" s="100">
        <f>IF($H6=0,0,CHOOSE($H6,SUMPRODUCT($O7:$O$67*AK7:AK$67*($E7:$E$67=$D6)),IF(ISNUMBER(Data_2017!AE6),100*ABS($G6-(Data_2017!AE6-$K6)/$M6),0),IF(ISNUMBER(Data_2017!AE6),100*ABS($G6-(Data_2017!AE6-$K6)/$M6),0)))</f>
        <v>53.392628751357</v>
      </c>
      <c r="AL6" s="100">
        <f>IF($H6=0,0,CHOOSE($H6,SUMPRODUCT($O7:$O$67*AL7:AL$67*($E7:$E$67=$D6)),IF(ISNUMBER(Data_2017!AF6),100*ABS($G6-(Data_2017!AF6-$K6)/$M6),0),IF(ISNUMBER(Data_2017!AF6),100*ABS($G6-(Data_2017!AF6-$K6)/$M6),0)))</f>
        <v>62.8027593796319</v>
      </c>
      <c r="AM6" s="100">
        <f>IF($H6=0,0,CHOOSE($H6,SUMPRODUCT($O7:$O$67*AM7:AM$67*($E7:$E$67=$D6)),IF(ISNUMBER(Data_2017!AG6),100*ABS($G6-(Data_2017!AG6-$K6)/$M6),0),IF(ISNUMBER(Data_2017!AG6),100*ABS($G6-(Data_2017!AG6-$K6)/$M6),0)))</f>
        <v>59.1742659320692</v>
      </c>
      <c r="AN6" s="100">
        <f>IF($H6=0,0,CHOOSE($H6,SUMPRODUCT($O7:$O$67*AN7:AN$67*($E7:$E$67=$D6)),IF(ISNUMBER(Data_2017!AH6),100*ABS($G6-(Data_2017!AH6-$K6)/$M6),0),IF(ISNUMBER(Data_2017!AH6),100*ABS($G6-(Data_2017!AH6-$K6)/$M6),0)))</f>
        <v>38.7737795060127</v>
      </c>
      <c r="AO6" s="100">
        <f>IF($H6=0,0,CHOOSE($H6,SUMPRODUCT($O7:$O$67*AO7:AO$67*($E7:$E$67=$D6)),IF(ISNUMBER(Data_2017!AI6),100*ABS($G6-(Data_2017!AI6-$K6)/$M6),0),IF(ISNUMBER(Data_2017!AI6),100*ABS($G6-(Data_2017!AI6-$K6)/$M6),0)))</f>
        <v>73.1127713624099</v>
      </c>
      <c r="AP6" s="100">
        <f>IF($H6=0,0,CHOOSE($H6,SUMPRODUCT($O7:$O$67*AP7:AP$67*($E7:$E$67=$D6)),IF(ISNUMBER(Data_2017!AJ6),100*ABS($G6-(Data_2017!AJ6-$K6)/$M6),0),IF(ISNUMBER(Data_2017!AJ6),100*ABS($G6-(Data_2017!AJ6-$K6)/$M6),0)))</f>
        <v>67.6137892324585</v>
      </c>
      <c r="AQ6" s="100">
        <f>IF($H6=0,0,CHOOSE($H6,SUMPRODUCT($O7:$O$67*AQ7:AQ$67*($E7:$E$67=$D6)),IF(ISNUMBER(Data_2017!AK6),100*ABS($G6-(Data_2017!AK6-$K6)/$M6),0),IF(ISNUMBER(Data_2017!AK6),100*ABS($G6-(Data_2017!AK6-$K6)/$M6),0)))</f>
        <v>61.8984041015981</v>
      </c>
      <c r="AR6" s="100">
        <f>IF($H6=0,0,CHOOSE($H6,SUMPRODUCT($O7:$O$67*AR7:AR$67*($E7:$E$67=$D6)),IF(ISNUMBER(Data_2017!AL6),100*ABS($G6-(Data_2017!AL6-$K6)/$M6),0),IF(ISNUMBER(Data_2017!AL6),100*ABS($G6-(Data_2017!AL6-$K6)/$M6),0)))</f>
        <v>82.0960116014609</v>
      </c>
      <c r="AS6" s="100">
        <f>IF($H6=0,0,CHOOSE($H6,SUMPRODUCT($O7:$O$67*AS7:AS$67*($E7:$E$67=$D6)),IF(ISNUMBER(Data_2017!AM6),100*ABS($G6-(Data_2017!AM6-$K6)/$M6),0),IF(ISNUMBER(Data_2017!AM6),100*ABS($G6-(Data_2017!AM6-$K6)/$M6),0)))</f>
        <v>82.2630741993645</v>
      </c>
      <c r="AT6" s="100">
        <f>IF($H6=0,0,CHOOSE($H6,SUMPRODUCT($O7:$O$67*AT7:AT$67*($E7:$E$67=$D6)),IF(ISNUMBER(Data_2017!AN6),100*ABS($G6-(Data_2017!AN6-$K6)/$M6),0),IF(ISNUMBER(Data_2017!AN6),100*ABS($G6-(Data_2017!AN6-$K6)/$M6),0)))</f>
        <v>83.8763007180121</v>
      </c>
      <c r="AU6" s="100">
        <f>IF($H6=0,0,CHOOSE($H6,SUMPRODUCT($O7:$O$67*AU7:AU$67*($E7:$E$67=$D6)),IF(ISNUMBER(Data_2017!AO6),100*ABS($G6-(Data_2017!AO6-$K6)/$M6),0),IF(ISNUMBER(Data_2017!AO6),100*ABS($G6-(Data_2017!AO6-$K6)/$M6),0)))</f>
        <v>54.8612405257348</v>
      </c>
      <c r="AV6" s="100">
        <f>IF($H6=0,0,CHOOSE($H6,SUMPRODUCT($O7:$O$67*AV7:AV$67*($E7:$E$67=$D6)),IF(ISNUMBER(Data_2017!AP6),100*ABS($G6-(Data_2017!AP6-$K6)/$M6),0),IF(ISNUMBER(Data_2017!AP6),100*ABS($G6-(Data_2017!AP6-$K6)/$M6),0)))</f>
        <v>87.3034408940153</v>
      </c>
      <c r="AW6" s="100">
        <f>IF($H6=0,0,CHOOSE($H6,SUMPRODUCT($O7:$O$67*AW7:AW$67*($E7:$E$67=$D6)),IF(ISNUMBER(Data_2017!AQ6),100*ABS($G6-(Data_2017!AQ6-$K6)/$M6),0),IF(ISNUMBER(Data_2017!AQ6),100*ABS($G6-(Data_2017!AQ6-$K6)/$M6),0)))</f>
        <v>65.5192607721301</v>
      </c>
      <c r="AX6" s="100">
        <f>IF($H6=0,0,CHOOSE($H6,SUMPRODUCT($O7:$O$67*AX7:AX$67*($E7:$E$67=$D6)),IF(ISNUMBER(Data_2017!AR6),100*ABS($G6-(Data_2017!AR6-$K6)/$M6),0),IF(ISNUMBER(Data_2017!AR6),100*ABS($G6-(Data_2017!AR6-$K6)/$M6),0)))</f>
        <v>79.3002825401348</v>
      </c>
      <c r="AY6" s="100">
        <f>IF($H6=0,0,CHOOSE($H6,SUMPRODUCT($O7:$O$67*AY7:AY$67*($E7:$E$67=$D6)),IF(ISNUMBER(Data_2017!AS6),100*ABS($G6-(Data_2017!AS6-$K6)/$M6),0),IF(ISNUMBER(Data_2017!AS6),100*ABS($G6-(Data_2017!AS6-$K6)/$M6),0)))</f>
        <v>63.9940668909029</v>
      </c>
      <c r="AZ6" s="100">
        <f>IF($H6=0,0,CHOOSE($H6,SUMPRODUCT($O7:$O$67*AZ7:AZ$67*($E7:$E$67=$D6)),IF(ISNUMBER(Data_2017!AT6),100*ABS($G6-(Data_2017!AT6-$K6)/$M6),0),IF(ISNUMBER(Data_2017!AT6),100*ABS($G6-(Data_2017!AT6-$K6)/$M6),0)))</f>
        <v>61.8400556388434</v>
      </c>
      <c r="BA6" s="100">
        <f>IF($H6=0,0,CHOOSE($H6,SUMPRODUCT($O7:$O$67*BA7:BA$67*($E7:$E$67=$D6)),IF(ISNUMBER(Data_2017!AU6),100*ABS($G6-(Data_2017!AU6-$K6)/$M6),0),IF(ISNUMBER(Data_2017!AU6),100*ABS($G6-(Data_2017!AU6-$K6)/$M6),0)))</f>
        <v>81.0121651371737</v>
      </c>
      <c r="BB6" s="100">
        <f>IF($H6=0,0,CHOOSE($H6,SUMPRODUCT($O7:$O$67*BB7:BB$67*($E7:$E$67=$D6)),IF(ISNUMBER(Data_2017!AV6),100*ABS($G6-(Data_2017!AV6-$K6)/$M6),0),IF(ISNUMBER(Data_2017!AV6),100*ABS($G6-(Data_2017!AV6-$K6)/$M6),0)))</f>
        <v>88.8650564291072</v>
      </c>
      <c r="BC6" s="100">
        <f>IF($H6=0,0,CHOOSE($H6,SUMPRODUCT($O7:$O$67*BC7:BC$67*($E7:$E$67=$D6)),IF(ISNUMBER(Data_2017!AW6),100*ABS($G6-(Data_2017!AW6-$K6)/$M6),0),IF(ISNUMBER(Data_2017!AW6),100*ABS($G6-(Data_2017!AW6-$K6)/$M6),0)))</f>
        <v>79.7132878977853</v>
      </c>
      <c r="BD6" s="100">
        <f>IF($H6=0,0,CHOOSE($H6,SUMPRODUCT($O7:$O$67*BD7:BD$67*($E7:$E$67=$D6)),IF(ISNUMBER(Data_2017!AX6),100*ABS($G6-(Data_2017!AX6-$K6)/$M6),0),IF(ISNUMBER(Data_2017!AX6),100*ABS($G6-(Data_2017!AX6-$K6)/$M6),0)))</f>
        <v>56.3875885986625</v>
      </c>
      <c r="BE6" s="100">
        <f>IF($H6=0,0,CHOOSE($H6,SUMPRODUCT($O7:$O$67*BE7:BE$67*($E7:$E$67=$D6)),IF(ISNUMBER(Data_2017!AY6),100*ABS($G6-(Data_2017!AY6-$K6)/$M6),0),IF(ISNUMBER(Data_2017!AY6),100*ABS($G6-(Data_2017!AY6-$K6)/$M6),0)))</f>
        <v>66.5377458964152</v>
      </c>
      <c r="BF6" s="100">
        <f>IF($H6=0,0,CHOOSE($H6,SUMPRODUCT($O7:$O$67*BF7:BF$67*($E7:$E$67=$D6)),IF(ISNUMBER(Data_2017!AZ6),100*ABS($G6-(Data_2017!AZ6-$K6)/$M6),0),IF(ISNUMBER(Data_2017!AZ6),100*ABS($G6-(Data_2017!AZ6-$K6)/$M6),0)))</f>
        <v>61.2274416918829</v>
      </c>
      <c r="BG6" s="100">
        <f>IF($H6=0,0,CHOOSE($H6,SUMPRODUCT($O7:$O$67*BG7:BG$67*($E7:$E$67=$D6)),IF(ISNUMBER(Data_2017!BA6),100*ABS($G6-(Data_2017!BA6-$K6)/$M6),0),IF(ISNUMBER(Data_2017!BA6),100*ABS($G6-(Data_2017!BA6-$K6)/$M6),0)))</f>
        <v>78.6744389612512</v>
      </c>
      <c r="BH6" s="100">
        <f>IF($H6=0,0,CHOOSE($H6,SUMPRODUCT($O7:$O$67*BH7:BH$67*($E7:$E$67=$D6)),IF(ISNUMBER(Data_2017!BB6),100*ABS($G6-(Data_2017!BB6-$K6)/$M6),0),IF(ISNUMBER(Data_2017!BB6),100*ABS($G6-(Data_2017!BB6-$K6)/$M6),0)))</f>
        <v>83.5529579436713</v>
      </c>
      <c r="BI6" s="100">
        <f>IF($H6=0,0,CHOOSE($H6,SUMPRODUCT($O7:$O$67*BI7:BI$67*($E7:$E$67=$D6)),IF(ISNUMBER(Data_2017!BC6),100*ABS($G6-(Data_2017!BC6-$K6)/$M6),0),IF(ISNUMBER(Data_2017!BC6),100*ABS($G6-(Data_2017!BC6-$K6)/$M6),0)))</f>
        <v>70.0251545363467</v>
      </c>
      <c r="BJ6" s="100">
        <f>IF($H6=0,0,CHOOSE($H6,SUMPRODUCT($O7:$O$67*BJ7:BJ$67*($E7:$E$67=$D6)),IF(ISNUMBER(Data_2017!BD6),100*ABS($G6-(Data_2017!BD6-$K6)/$M6),0),IF(ISNUMBER(Data_2017!BD6),100*ABS($G6-(Data_2017!BD6-$K6)/$M6),0)))</f>
        <v>66.3048271427125</v>
      </c>
      <c r="BK6" s="100">
        <f>IF($H6=0,0,CHOOSE($H6,SUMPRODUCT($O7:$O$67*BK7:BK$67*($E7:$E$67=$D6)),IF(ISNUMBER(Data_2017!BE6),100*ABS($G6-(Data_2017!BE6-$K6)/$M6),0),IF(ISNUMBER(Data_2017!BE6),100*ABS($G6-(Data_2017!BE6-$K6)/$M6),0)))</f>
        <v>83.6051084788302</v>
      </c>
      <c r="BL6" s="100">
        <f>IF($H6=0,0,CHOOSE($H6,SUMPRODUCT($O7:$O$67*BL7:BL$67*($E7:$E$67=$D6)),IF(ISNUMBER(Data_2017!BF6),100*ABS($G6-(Data_2017!BF6-$K6)/$M6),0),IF(ISNUMBER(Data_2017!BF6),100*ABS($G6-(Data_2017!BF6-$K6)/$M6),0)))</f>
        <v>70.9283922590062</v>
      </c>
      <c r="BM6" s="100">
        <f>IF($H6=0,0,CHOOSE($H6,SUMPRODUCT($O7:$O$67*BM7:BM$67*($E7:$E$67=$D6)),IF(ISNUMBER(Data_2017!BG6),100*ABS($G6-(Data_2017!BG6-$K6)/$M6),0),IF(ISNUMBER(Data_2017!BG6),100*ABS($G6-(Data_2017!BG6-$K6)/$M6),0)))</f>
        <v>89.6376695961923</v>
      </c>
      <c r="BN6" s="100">
        <f>IF($H6=0,0,CHOOSE($H6,SUMPRODUCT($O7:$O$67*BN7:BN$67*($E7:$E$67=$D6)),IF(ISNUMBER(Data_2017!BH6),100*ABS($G6-(Data_2017!BH6-$K6)/$M6),0),IF(ISNUMBER(Data_2017!BH6),100*ABS($G6-(Data_2017!BH6-$K6)/$M6),0)))</f>
        <v>86.7165220056286</v>
      </c>
      <c r="BO6" s="100">
        <f>IF($H6=0,0,CHOOSE($H6,SUMPRODUCT($O7:$O$67*BO7:BO$67*($E7:$E$67=$D6)),IF(ISNUMBER(Data_2017!BI6),100*ABS($G6-(Data_2017!BI6-$K6)/$M6),0),IF(ISNUMBER(Data_2017!BI6),100*ABS($G6-(Data_2017!BI6-$K6)/$M6),0)))</f>
        <v>86.7359744709291</v>
      </c>
      <c r="BP6" s="100">
        <f>IF($H6=0,0,CHOOSE($H6,SUMPRODUCT($O7:$O$67*BP7:BP$67*($E7:$E$67=$D6)),IF(ISNUMBER(Data_2017!BJ6),100*ABS($G6-(Data_2017!BJ6-$K6)/$M6),0),IF(ISNUMBER(Data_2017!BJ6),100*ABS($G6-(Data_2017!BJ6-$K6)/$M6),0)))</f>
        <v>80.7020484094921</v>
      </c>
      <c r="BQ6" s="100">
        <f>IF($H6=0,0,CHOOSE($H6,SUMPRODUCT($O7:$O$67*BQ7:BQ$67*($E7:$E$67=$D6)),IF(ISNUMBER(Data_2017!BK6),100*ABS($G6-(Data_2017!BK6-$K6)/$M6),0),IF(ISNUMBER(Data_2017!BK6),100*ABS($G6-(Data_2017!BK6-$K6)/$M6),0)))</f>
        <v>56.4934110813736</v>
      </c>
      <c r="BR6" s="100">
        <f>IF($H6=0,0,CHOOSE($H6,SUMPRODUCT($O7:$O$67*BR7:BR$67*($E7:$E$67=$D6)),IF(ISNUMBER(Data_2017!BL6),100*ABS($G6-(Data_2017!BL6-$K6)/$M6),0),IF(ISNUMBER(Data_2017!BL6),100*ABS($G6-(Data_2017!BL6-$K6)/$M6),0)))</f>
        <v>89.7970622963426</v>
      </c>
      <c r="BS6" s="100">
        <f>IF($H6=0,0,CHOOSE($H6,SUMPRODUCT($O7:$O$67*BS7:BS$67*($E7:$E$67=$D6)),IF(ISNUMBER(Data_2017!BM6),100*ABS($G6-(Data_2017!BM6-$K6)/$M6),0),IF(ISNUMBER(Data_2017!BM6),100*ABS($G6-(Data_2017!BM6-$K6)/$M6),0)))</f>
        <v>87.3597968868532</v>
      </c>
      <c r="BT6" s="100">
        <f>IF($H6=0,0,CHOOSE($H6,SUMPRODUCT($O7:$O$67*BT7:BT$67*($E7:$E$67=$D6)),IF(ISNUMBER(Data_2017!BN6),100*ABS($G6-(Data_2017!BN6-$K6)/$M6),0),IF(ISNUMBER(Data_2017!BN6),100*ABS($G6-(Data_2017!BN6-$K6)/$M6),0)))</f>
        <v>80.366206891911</v>
      </c>
      <c r="BU6" s="100">
        <f>IF($H6=0,0,CHOOSE($H6,SUMPRODUCT($O7:$O$67*BU7:BU$67*($E7:$E$67=$D6)),IF(ISNUMBER(Data_2017!BO6),100*ABS($G6-(Data_2017!BO6-$K6)/$M6),0),IF(ISNUMBER(Data_2017!BO6),100*ABS($G6-(Data_2017!BO6-$K6)/$M6),0)))</f>
        <v>83.1809690089348</v>
      </c>
      <c r="BV6" s="100">
        <f>IF($H6=0,0,CHOOSE($H6,SUMPRODUCT($O7:$O$67*BV7:BV$67*($E7:$E$67=$D6)),IF(ISNUMBER(Data_2017!BP6),100*ABS($G6-(Data_2017!BP6-$K6)/$M6),0),IF(ISNUMBER(Data_2017!BP6),100*ABS($G6-(Data_2017!BP6-$K6)/$M6),0)))</f>
        <v>46.4662143998747</v>
      </c>
      <c r="BW6" s="100">
        <f>IF($H6=0,0,CHOOSE($H6,SUMPRODUCT($O7:$O$67*BW7:BW$67*($E7:$E$67=$D6)),IF(ISNUMBER(Data_2017!BQ6),100*ABS($G6-(Data_2017!BQ6-$K6)/$M6),0),IF(ISNUMBER(Data_2017!BQ6),100*ABS($G6-(Data_2017!BQ6-$K6)/$M6),0)))</f>
        <v>85.1985461163896</v>
      </c>
      <c r="BX6" s="100">
        <f>IF($H6=0,0,CHOOSE($H6,SUMPRODUCT($O7:$O$67*BX7:BX$67*($E7:$E$67=$D6)),IF(ISNUMBER(Data_2017!BR6),100*ABS($G6-(Data_2017!BR6-$K6)/$M6),0),IF(ISNUMBER(Data_2017!BR6),100*ABS($G6-(Data_2017!BR6-$K6)/$M6),0)))</f>
        <v>89.5758327166669</v>
      </c>
    </row>
    <row r="7" s="68" customFormat="1" ht="24.95" customHeight="1" spans="1:130">
      <c r="A7" s="90"/>
      <c r="B7" s="91">
        <f>tblIndicators!A3</f>
        <v>2</v>
      </c>
      <c r="C7" s="91">
        <f>tblIndicators!B3</f>
        <v>0</v>
      </c>
      <c r="D7" s="91" t="str">
        <f>tblIndicators!D3</f>
        <v>DISE</v>
      </c>
      <c r="E7" s="91" t="str">
        <f>tblIndicators!E3</f>
        <v>OVERALL</v>
      </c>
      <c r="F7" s="91">
        <f>tblIndicators!F3</f>
        <v>1</v>
      </c>
      <c r="G7" s="91">
        <f>tblIndicators!Y3</f>
        <v>0</v>
      </c>
      <c r="H7" s="91">
        <f>tblIndicators!Z3</f>
        <v>1</v>
      </c>
      <c r="I7" s="101">
        <f>tblIndicators!AA3</f>
        <v>0</v>
      </c>
      <c r="J7" s="91">
        <f>tblIndicators!AB3</f>
        <v>0</v>
      </c>
      <c r="K7" s="89" t="str">
        <f>IF(uxb_works!$B$66=1,CHOOSE(H7,"-",MIN(Data_2017!J7:BR7),I7),CHOOSE(H7,"-",MIN(Data_2017!J7:BQ7),I7))</f>
        <v>-</v>
      </c>
      <c r="L7" s="97" t="str">
        <f>IF(uxb_works!$B$66=1,CHOOSE(H7,"-",MAX(Data_2017!J7:BR7),J7),CHOOSE(H7,"-",MAX(Data_2017!J7:BQ7),J7))</f>
        <v>-</v>
      </c>
      <c r="M7" s="91" t="str">
        <f t="shared" ref="M7:M9" si="0">CHOOSE(H7,"-",L7-K7,L7-K7)</f>
        <v>-</v>
      </c>
      <c r="N7" s="102" t="str">
        <f>REPT(" ",F7)&amp;tblIndicators!AE3</f>
        <v> 1) DIGITAL SECURITY</v>
      </c>
      <c r="O7" s="103">
        <f>tblIndicators!AD3</f>
        <v>0.25</v>
      </c>
      <c r="P7" s="100">
        <f>IF($H7=0,0,CHOOSE($H7,SUMPRODUCT($O8:$O$67*P8:P$67*($E8:$E$67=$D7)),IF(ISNUMBER(Data_2017!J7),100*ABS($G7-(Data_2017!J7-$K7)/$M7),0),IF(ISNUMBER(Data_2017!J7),100*ABS($G7-(Data_2017!J7-$K7)/$M7),0)))</f>
        <v>68.7742107919604</v>
      </c>
      <c r="Q7" s="100">
        <f>IF($H7=0,0,CHOOSE($H7,SUMPRODUCT($O8:$O$67*Q8:Q$67*($E8:$E$67=$D7)),IF(ISNUMBER(Data_2017!K7),100*ABS($G7-(Data_2017!K7-$K7)/$M7),0),IF(ISNUMBER(Data_2017!K7),100*ABS($G7-(Data_2017!K7-$K7)/$M7),0)))</f>
        <v>85.7907100318575</v>
      </c>
      <c r="R7" s="100">
        <f>IF($H7=0,0,CHOOSE($H7,SUMPRODUCT($O8:$O$67*R8:R$67*($E8:$E$67=$D7)),IF(ISNUMBER(Data_2017!L7),100*ABS($G7-(Data_2017!L7-$K7)/$M7),0),IF(ISNUMBER(Data_2017!L7),100*ABS($G7-(Data_2017!L7-$K7)/$M7),0)))</f>
        <v>61.9382321111273</v>
      </c>
      <c r="S7" s="100">
        <f>IF($H7=0,0,CHOOSE($H7,SUMPRODUCT($O8:$O$67*S8:S$67*($E8:$E$67=$D7)),IF(ISNUMBER(Data_2017!M7),100*ABS($G7-(Data_2017!M7-$K7)/$M7),0),IF(ISNUMBER(Data_2017!M7),100*ABS($G7-(Data_2017!M7-$K7)/$M7),0)))</f>
        <v>44.4431229517073</v>
      </c>
      <c r="T7" s="100">
        <f>IF($H7=0,0,CHOOSE($H7,SUMPRODUCT($O8:$O$67*T8:T$67*($E8:$E$67=$D7)),IF(ISNUMBER(Data_2017!N7),100*ABS($G7-(Data_2017!N7-$K7)/$M7),0),IF(ISNUMBER(Data_2017!N7),100*ABS($G7-(Data_2017!N7-$K7)/$M7),0)))</f>
        <v>74.4414672324979</v>
      </c>
      <c r="U7" s="100">
        <f>IF($H7=0,0,CHOOSE($H7,SUMPRODUCT($O8:$O$67*U8:U$67*($E8:$E$67=$D7)),IF(ISNUMBER(Data_2017!O7),100*ABS($G7-(Data_2017!O7-$K7)/$M7),0),IF(ISNUMBER(Data_2017!O7),100*ABS($G7-(Data_2017!O7-$K7)/$M7),0)))</f>
        <v>65.3762531165856</v>
      </c>
      <c r="V7" s="100">
        <f>IF($H7=0,0,CHOOSE($H7,SUMPRODUCT($O8:$O$67*V8:V$67*($E8:$E$67=$D7)),IF(ISNUMBER(Data_2017!P7),100*ABS($G7-(Data_2017!P7-$K7)/$M7),0),IF(ISNUMBER(Data_2017!P7),100*ABS($G7-(Data_2017!P7-$K7)/$M7),0)))</f>
        <v>54.6226799469689</v>
      </c>
      <c r="W7" s="100">
        <f>IF($H7=0,0,CHOOSE($H7,SUMPRODUCT($O8:$O$67*W8:W$67*($E8:$E$67=$D7)),IF(ISNUMBER(Data_2017!Q7),100*ABS($G7-(Data_2017!Q7-$K7)/$M7),0),IF(ISNUMBER(Data_2017!Q7),100*ABS($G7-(Data_2017!Q7-$K7)/$M7),0)))</f>
        <v>79.9631601574826</v>
      </c>
      <c r="X7" s="100">
        <f>IF($H7=0,0,CHOOSE($H7,SUMPRODUCT($O8:$O$67*X8:X$67*($E8:$E$67=$D7)),IF(ISNUMBER(Data_2017!R7),100*ABS($G7-(Data_2017!R7-$K7)/$M7),0),IF(ISNUMBER(Data_2017!R7),100*ABS($G7-(Data_2017!R7-$K7)/$M7),0)))</f>
        <v>74.1430026566381</v>
      </c>
      <c r="Y7" s="100">
        <f>IF($H7=0,0,CHOOSE($H7,SUMPRODUCT($O8:$O$67*Y8:Y$67*($E8:$E$67=$D7)),IF(ISNUMBER(Data_2017!S7),100*ABS($G7-(Data_2017!S7-$K7)/$M7),0),IF(ISNUMBER(Data_2017!S7),100*ABS($G7-(Data_2017!S7-$K7)/$M7),0)))</f>
        <v>43.2931861492557</v>
      </c>
      <c r="Z7" s="100">
        <f>IF($H7=0,0,CHOOSE($H7,SUMPRODUCT($O8:$O$67*Z8:Z$67*($E8:$E$67=$D7)),IF(ISNUMBER(Data_2017!T7),100*ABS($G7-(Data_2017!T7-$K7)/$M7),0),IF(ISNUMBER(Data_2017!T7),100*ABS($G7-(Data_2017!T7-$K7)/$M7),0)))</f>
        <v>58.3865648608426</v>
      </c>
      <c r="AA7" s="100">
        <f>IF($H7=0,0,CHOOSE($H7,SUMPRODUCT($O8:$O$67*AA8:AA$67*($E8:$E$67=$D7)),IF(ISNUMBER(Data_2017!U7),100*ABS($G7-(Data_2017!U7-$K7)/$M7),0),IF(ISNUMBER(Data_2017!U7),100*ABS($G7-(Data_2017!U7-$K7)/$M7),0)))</f>
        <v>57.3722783097088</v>
      </c>
      <c r="AB7" s="100">
        <f>IF($H7=0,0,CHOOSE($H7,SUMPRODUCT($O8:$O$67*AB8:AB$67*($E8:$E$67=$D7)),IF(ISNUMBER(Data_2017!V7),100*ABS($G7-(Data_2017!V7-$K7)/$M7),0),IF(ISNUMBER(Data_2017!V7),100*ABS($G7-(Data_2017!V7-$K7)/$M7),0)))</f>
        <v>86.7504474887893</v>
      </c>
      <c r="AC7" s="100">
        <f>IF($H7=0,0,CHOOSE($H7,SUMPRODUCT($O8:$O$67*AC8:AC$67*($E8:$E$67=$D7)),IF(ISNUMBER(Data_2017!W7),100*ABS($G7-(Data_2017!W7-$K7)/$M7),0),IF(ISNUMBER(Data_2017!W7),100*ABS($G7-(Data_2017!W7-$K7)/$M7),0)))</f>
        <v>84.6537849942692</v>
      </c>
      <c r="AD7" s="100">
        <f>IF($H7=0,0,CHOOSE($H7,SUMPRODUCT($O8:$O$67*AD8:AD$67*($E8:$E$67=$D7)),IF(ISNUMBER(Data_2017!X7),100*ABS($G7-(Data_2017!X7-$K7)/$M7),0),IF(ISNUMBER(Data_2017!X7),100*ABS($G7-(Data_2017!X7-$K7)/$M7),0)))</f>
        <v>54.6055882755424</v>
      </c>
      <c r="AE7" s="100">
        <f>IF($H7=0,0,CHOOSE($H7,SUMPRODUCT($O8:$O$67*AE8:AE$67*($E8:$E$67=$D7)),IF(ISNUMBER(Data_2017!Y7),100*ABS($G7-(Data_2017!Y7-$K7)/$M7),0),IF(ISNUMBER(Data_2017!Y7),100*ABS($G7-(Data_2017!Y7-$K7)/$M7),0)))</f>
        <v>38.3333333333333</v>
      </c>
      <c r="AF7" s="100">
        <f>IF($H7=0,0,CHOOSE($H7,SUMPRODUCT($O8:$O$67*AF8:AF$67*($E8:$E$67=$D7)),IF(ISNUMBER(Data_2017!Z7),100*ABS($G7-(Data_2017!Z7-$K7)/$M7),0),IF(ISNUMBER(Data_2017!Z7),100*ABS($G7-(Data_2017!Z7-$K7)/$M7),0)))</f>
        <v>64.0183809238191</v>
      </c>
      <c r="AG7" s="100">
        <f>IF($H7=0,0,CHOOSE($H7,SUMPRODUCT($O8:$O$67*AG8:AG$67*($E8:$E$67=$D7)),IF(ISNUMBER(Data_2017!AA7),100*ABS($G7-(Data_2017!AA7-$K7)/$M7),0),IF(ISNUMBER(Data_2017!AA7),100*ABS($G7-(Data_2017!AA7-$K7)/$M7),0)))</f>
        <v>80.5004352163057</v>
      </c>
      <c r="AH7" s="100">
        <f>IF($H7=0,0,CHOOSE($H7,SUMPRODUCT($O8:$O$67*AH8:AH$67*($E8:$E$67=$D7)),IF(ISNUMBER(Data_2017!AB7),100*ABS($G7-(Data_2017!AB7-$K7)/$M7),0),IF(ISNUMBER(Data_2017!AB7),100*ABS($G7-(Data_2017!AB7-$K7)/$M7),0)))</f>
        <v>39.7822330091035</v>
      </c>
      <c r="AI7" s="100">
        <f>IF($H7=0,0,CHOOSE($H7,SUMPRODUCT($O8:$O$67*AI8:AI$67*($E8:$E$67=$D7)),IF(ISNUMBER(Data_2017!AC7),100*ABS($G7-(Data_2017!AC7-$K7)/$M7),0),IF(ISNUMBER(Data_2017!AC7),100*ABS($G7-(Data_2017!AC7-$K7)/$M7),0)))</f>
        <v>85.7743520917716</v>
      </c>
      <c r="AJ7" s="100">
        <f>IF($H7=0,0,CHOOSE($H7,SUMPRODUCT($O8:$O$67*AJ8:AJ$67*($E8:$E$67=$D7)),IF(ISNUMBER(Data_2017!AD7),100*ABS($G7-(Data_2017!AD7-$K7)/$M7),0),IF(ISNUMBER(Data_2017!AD7),100*ABS($G7-(Data_2017!AD7-$K7)/$M7),0)))</f>
        <v>61.7064558654502</v>
      </c>
      <c r="AK7" s="100">
        <f>IF($H7=0,0,CHOOSE($H7,SUMPRODUCT($O8:$O$67*AK8:AK$67*($E8:$E$67=$D7)),IF(ISNUMBER(Data_2017!AE7),100*ABS($G7-(Data_2017!AE7-$K7)/$M7),0),IF(ISNUMBER(Data_2017!AE7),100*ABS($G7-(Data_2017!AE7-$K7)/$M7),0)))</f>
        <v>36.6044906087199</v>
      </c>
      <c r="AL7" s="100">
        <f>IF($H7=0,0,CHOOSE($H7,SUMPRODUCT($O8:$O$67*AL8:AL$67*($E8:$E$67=$D7)),IF(ISNUMBER(Data_2017!AF7),100*ABS($G7-(Data_2017!AF7-$K7)/$M7),0),IF(ISNUMBER(Data_2017!AF7),100*ABS($G7-(Data_2017!AF7-$K7)/$M7),0)))</f>
        <v>65.8605869387246</v>
      </c>
      <c r="AM7" s="100">
        <f>IF($H7=0,0,CHOOSE($H7,SUMPRODUCT($O8:$O$67*AM8:AM$67*($E8:$E$67=$D7)),IF(ISNUMBER(Data_2017!AG7),100*ABS($G7-(Data_2017!AG7-$K7)/$M7),0),IF(ISNUMBER(Data_2017!AG7),100*ABS($G7-(Data_2017!AG7-$K7)/$M7),0)))</f>
        <v>66.2779167150079</v>
      </c>
      <c r="AN7" s="100">
        <f>IF($H7=0,0,CHOOSE($H7,SUMPRODUCT($O8:$O$67*AN8:AN$67*($E8:$E$67=$D7)),IF(ISNUMBER(Data_2017!AH7),100*ABS($G7-(Data_2017!AH7-$K7)/$M7),0),IF(ISNUMBER(Data_2017!AH7),100*ABS($G7-(Data_2017!AH7-$K7)/$M7),0)))</f>
        <v>43.2175596978271</v>
      </c>
      <c r="AO7" s="100">
        <f>IF($H7=0,0,CHOOSE($H7,SUMPRODUCT($O8:$O$67*AO8:AO$67*($E8:$E$67=$D7)),IF(ISNUMBER(Data_2017!AI7),100*ABS($G7-(Data_2017!AI7-$K7)/$M7),0),IF(ISNUMBER(Data_2017!AI7),100*ABS($G7-(Data_2017!AI7-$K7)/$M7),0)))</f>
        <v>66.1672147239068</v>
      </c>
      <c r="AP7" s="100">
        <f>IF($H7=0,0,CHOOSE($H7,SUMPRODUCT($O8:$O$67*AP8:AP$67*($E8:$E$67=$D7)),IF(ISNUMBER(Data_2017!AJ7),100*ABS($G7-(Data_2017!AJ7-$K7)/$M7),0),IF(ISNUMBER(Data_2017!AJ7),100*ABS($G7-(Data_2017!AJ7-$K7)/$M7),0)))</f>
        <v>60.1666930894403</v>
      </c>
      <c r="AQ7" s="100">
        <f>IF($H7=0,0,CHOOSE($H7,SUMPRODUCT($O8:$O$67*AQ8:AQ$67*($E8:$E$67=$D7)),IF(ISNUMBER(Data_2017!AK7),100*ABS($G7-(Data_2017!AK7-$K7)/$M7),0),IF(ISNUMBER(Data_2017!AK7),100*ABS($G7-(Data_2017!AK7-$K7)/$M7),0)))</f>
        <v>59.7789450610891</v>
      </c>
      <c r="AR7" s="100">
        <f>IF($H7=0,0,CHOOSE($H7,SUMPRODUCT($O8:$O$67*AR8:AR$67*($E8:$E$67=$D7)),IF(ISNUMBER(Data_2017!AL7),100*ABS($G7-(Data_2017!AL7-$K7)/$M7),0),IF(ISNUMBER(Data_2017!AL7),100*ABS($G7-(Data_2017!AL7-$K7)/$M7),0)))</f>
        <v>73.3635081842551</v>
      </c>
      <c r="AS7" s="100">
        <f>IF($H7=0,0,CHOOSE($H7,SUMPRODUCT($O8:$O$67*AS8:AS$67*($E8:$E$67=$D7)),IF(ISNUMBER(Data_2017!AM7),100*ABS($G7-(Data_2017!AM7-$K7)/$M7),0),IF(ISNUMBER(Data_2017!AM7),100*ABS($G7-(Data_2017!AM7-$K7)/$M7),0)))</f>
        <v>85.1197099930515</v>
      </c>
      <c r="AT7" s="100">
        <f>IF($H7=0,0,CHOOSE($H7,SUMPRODUCT($O8:$O$67*AT8:AT$67*($E8:$E$67=$D7)),IF(ISNUMBER(Data_2017!AN7),100*ABS($G7-(Data_2017!AN7-$K7)/$M7),0),IF(ISNUMBER(Data_2017!AN7),100*ABS($G7-(Data_2017!AN7-$K7)/$M7),0)))</f>
        <v>74.4414672324979</v>
      </c>
      <c r="AU7" s="100">
        <f>IF($H7=0,0,CHOOSE($H7,SUMPRODUCT($O8:$O$67*AU8:AU$67*($E8:$E$67=$D7)),IF(ISNUMBER(Data_2017!AO7),100*ABS($G7-(Data_2017!AO7-$K7)/$M7),0),IF(ISNUMBER(Data_2017!AO7),100*ABS($G7-(Data_2017!AO7-$K7)/$M7),0)))</f>
        <v>36.6091842915087</v>
      </c>
      <c r="AV7" s="100">
        <f>IF($H7=0,0,CHOOSE($H7,SUMPRODUCT($O8:$O$67*AV8:AV$67*($E8:$E$67=$D7)),IF(ISNUMBER(Data_2017!AP7),100*ABS($G7-(Data_2017!AP7-$K7)/$M7),0),IF(ISNUMBER(Data_2017!AP7),100*ABS($G7-(Data_2017!AP7-$K7)/$M7),0)))</f>
        <v>83.3170628544238</v>
      </c>
      <c r="AW7" s="100">
        <f>IF($H7=0,0,CHOOSE($H7,SUMPRODUCT($O8:$O$67*AW8:AW$67*($E8:$E$67=$D7)),IF(ISNUMBER(Data_2017!AQ7),100*ABS($G7-(Data_2017!AQ7-$K7)/$M7),0),IF(ISNUMBER(Data_2017!AQ7),100*ABS($G7-(Data_2017!AQ7-$K7)/$M7),0)))</f>
        <v>53.6903313839784</v>
      </c>
      <c r="AX7" s="100">
        <f>IF($H7=0,0,CHOOSE($H7,SUMPRODUCT($O8:$O$67*AX8:AX$67*($E8:$E$67=$D7)),IF(ISNUMBER(Data_2017!AR7),100*ABS($G7-(Data_2017!AR7-$K7)/$M7),0),IF(ISNUMBER(Data_2017!AR7),100*ABS($G7-(Data_2017!AR7-$K7)/$M7),0)))</f>
        <v>73.2896559159726</v>
      </c>
      <c r="AY7" s="100">
        <f>IF($H7=0,0,CHOOSE($H7,SUMPRODUCT($O8:$O$67*AY8:AY$67*($E8:$E$67=$D7)),IF(ISNUMBER(Data_2017!AS7),100*ABS($G7-(Data_2017!AS7-$K7)/$M7),0),IF(ISNUMBER(Data_2017!AS7),100*ABS($G7-(Data_2017!AS7-$K7)/$M7),0)))</f>
        <v>49.027957899833</v>
      </c>
      <c r="AZ7" s="100">
        <f>IF($H7=0,0,CHOOSE($H7,SUMPRODUCT($O8:$O$67*AZ8:AZ$67*($E8:$E$67=$D7)),IF(ISNUMBER(Data_2017!AT7),100*ABS($G7-(Data_2017!AT7-$K7)/$M7),0),IF(ISNUMBER(Data_2017!AT7),100*ABS($G7-(Data_2017!AT7-$K7)/$M7),0)))</f>
        <v>54.6055882755424</v>
      </c>
      <c r="BA7" s="100">
        <f>IF($H7=0,0,CHOOSE($H7,SUMPRODUCT($O8:$O$67*BA8:BA$67*($E8:$E$67=$D7)),IF(ISNUMBER(Data_2017!AU7),100*ABS($G7-(Data_2017!AU7-$K7)/$M7),0),IF(ISNUMBER(Data_2017!AU7),100*ABS($G7-(Data_2017!AU7-$K7)/$M7),0)))</f>
        <v>84.950282720767</v>
      </c>
      <c r="BB7" s="100">
        <f>IF($H7=0,0,CHOOSE($H7,SUMPRODUCT($O8:$O$67*BB8:BB$67*($E8:$E$67=$D7)),IF(ISNUMBER(Data_2017!AV7),100*ABS($G7-(Data_2017!AV7-$K7)/$M7),0),IF(ISNUMBER(Data_2017!AV7),100*ABS($G7-(Data_2017!AV7-$K7)/$M7),0)))</f>
        <v>82.1109532990777</v>
      </c>
      <c r="BC7" s="100">
        <f>IF($H7=0,0,CHOOSE($H7,SUMPRODUCT($O8:$O$67*BC8:BC$67*($E8:$E$67=$D7)),IF(ISNUMBER(Data_2017!AW7),100*ABS($G7-(Data_2017!AW7-$K7)/$M7),0),IF(ISNUMBER(Data_2017!AW7),100*ABS($G7-(Data_2017!AW7-$K7)/$M7),0)))</f>
        <v>70.3734320124007</v>
      </c>
      <c r="BD7" s="100">
        <f>IF($H7=0,0,CHOOSE($H7,SUMPRODUCT($O8:$O$67*BD8:BD$67*($E8:$E$67=$D7)),IF(ISNUMBER(Data_2017!AX7),100*ABS($G7-(Data_2017!AX7-$K7)/$M7),0),IF(ISNUMBER(Data_2017!AX7),100*ABS($G7-(Data_2017!AX7-$K7)/$M7),0)))</f>
        <v>60.6484476838798</v>
      </c>
      <c r="BE7" s="100">
        <f>IF($H7=0,0,CHOOSE($H7,SUMPRODUCT($O8:$O$67*BE8:BE$67*($E8:$E$67=$D7)),IF(ISNUMBER(Data_2017!AY7),100*ABS($G7-(Data_2017!AY7-$K7)/$M7),0),IF(ISNUMBER(Data_2017!AY7),100*ABS($G7-(Data_2017!AY7-$K7)/$M7),0)))</f>
        <v>51.9624025868378</v>
      </c>
      <c r="BF7" s="100">
        <f>IF($H7=0,0,CHOOSE($H7,SUMPRODUCT($O8:$O$67*BF8:BF$67*($E8:$E$67=$D7)),IF(ISNUMBER(Data_2017!AZ7),100*ABS($G7-(Data_2017!AZ7-$K7)/$M7),0),IF(ISNUMBER(Data_2017!AZ7),100*ABS($G7-(Data_2017!AZ7-$K7)/$M7),0)))</f>
        <v>60.8605869387246</v>
      </c>
      <c r="BG7" s="100">
        <f>IF($H7=0,0,CHOOSE($H7,SUMPRODUCT($O8:$O$67*BG8:BG$67*($E8:$E$67=$D7)),IF(ISNUMBER(Data_2017!BA7),100*ABS($G7-(Data_2017!BA7-$K7)/$M7),0),IF(ISNUMBER(Data_2017!BA7),100*ABS($G7-(Data_2017!BA7-$K7)/$M7),0)))</f>
        <v>71.622989249306</v>
      </c>
      <c r="BH7" s="100">
        <f>IF($H7=0,0,CHOOSE($H7,SUMPRODUCT($O8:$O$67*BH8:BH$67*($E8:$E$67=$D7)),IF(ISNUMBER(Data_2017!BB7),100*ABS($G7-(Data_2017!BB7-$K7)/$M7),0),IF(ISNUMBER(Data_2017!BB7),100*ABS($G7-(Data_2017!BB7-$K7)/$M7),0)))</f>
        <v>85.1197099930515</v>
      </c>
      <c r="BI7" s="100">
        <f>IF($H7=0,0,CHOOSE($H7,SUMPRODUCT($O8:$O$67*BI8:BI$67*($E8:$E$67=$D7)),IF(ISNUMBER(Data_2017!BC7),100*ABS($G7-(Data_2017!BC7-$K7)/$M7),0),IF(ISNUMBER(Data_2017!BC7),100*ABS($G7-(Data_2017!BC7-$K7)/$M7),0)))</f>
        <v>60.5656964837487</v>
      </c>
      <c r="BJ7" s="100">
        <f>IF($H7=0,0,CHOOSE($H7,SUMPRODUCT($O8:$O$67*BJ8:BJ$67*($E8:$E$67=$D7)),IF(ISNUMBER(Data_2017!BD7),100*ABS($G7-(Data_2017!BD7-$K7)/$M7),0),IF(ISNUMBER(Data_2017!BD7),100*ABS($G7-(Data_2017!BD7-$K7)/$M7),0)))</f>
        <v>51.9624025868378</v>
      </c>
      <c r="BK7" s="100">
        <f>IF($H7=0,0,CHOOSE($H7,SUMPRODUCT($O8:$O$67*BK8:BK$67*($E8:$E$67=$D7)),IF(ISNUMBER(Data_2017!BE7),100*ABS($G7-(Data_2017!BE7-$K7)/$M7),0),IF(ISNUMBER(Data_2017!BE7),100*ABS($G7-(Data_2017!BE7-$K7)/$M7),0)))</f>
        <v>78.4243335201438</v>
      </c>
      <c r="BL7" s="100">
        <f>IF($H7=0,0,CHOOSE($H7,SUMPRODUCT($O8:$O$67*BL8:BL$67*($E8:$E$67=$D7)),IF(ISNUMBER(Data_2017!BF7),100*ABS($G7-(Data_2017!BF7-$K7)/$M7),0),IF(ISNUMBER(Data_2017!BF7),100*ABS($G7-(Data_2017!BF7-$K7)/$M7),0)))</f>
        <v>59.4232247099855</v>
      </c>
      <c r="BM7" s="100">
        <f>IF($H7=0,0,CHOOSE($H7,SUMPRODUCT($O8:$O$67*BM8:BM$67*($E8:$E$67=$D7)),IF(ISNUMBER(Data_2017!BG7),100*ABS($G7-(Data_2017!BG7-$K7)/$M7),0),IF(ISNUMBER(Data_2017!BG7),100*ABS($G7-(Data_2017!BG7-$K7)/$M7),0)))</f>
        <v>86.8384182693428</v>
      </c>
      <c r="BN7" s="100">
        <f>IF($H7=0,0,CHOOSE($H7,SUMPRODUCT($O8:$O$67*BN8:BN$67*($E8:$E$67=$D7)),IF(ISNUMBER(Data_2017!BH7),100*ABS($G7-(Data_2017!BH7-$K7)/$M7),0),IF(ISNUMBER(Data_2017!BH7),100*ABS($G7-(Data_2017!BH7-$K7)/$M7),0)))</f>
        <v>82.8067745494823</v>
      </c>
      <c r="BO7" s="100">
        <f>IF($H7=0,0,CHOOSE($H7,SUMPRODUCT($O8:$O$67*BO8:BO$67*($E8:$E$67=$D7)),IF(ISNUMBER(Data_2017!BI7),100*ABS($G7-(Data_2017!BI7-$K7)/$M7),0),IF(ISNUMBER(Data_2017!BI7),100*ABS($G7-(Data_2017!BI7-$K7)/$M7),0)))</f>
        <v>82.9570299008193</v>
      </c>
      <c r="BP7" s="100">
        <f>IF($H7=0,0,CHOOSE($H7,SUMPRODUCT($O8:$O$67*BP8:BP$67*($E8:$E$67=$D7)),IF(ISNUMBER(Data_2017!BJ7),100*ABS($G7-(Data_2017!BJ7-$K7)/$M7),0),IF(ISNUMBER(Data_2017!BJ7),100*ABS($G7-(Data_2017!BJ7-$K7)/$M7),0)))</f>
        <v>65.9772772917516</v>
      </c>
      <c r="BQ7" s="100">
        <f>IF($H7=0,0,CHOOSE($H7,SUMPRODUCT($O8:$O$67*BQ8:BQ$67*($E8:$E$67=$D7)),IF(ISNUMBER(Data_2017!BK7),100*ABS($G7-(Data_2017!BK7-$K7)/$M7),0),IF(ISNUMBER(Data_2017!BK7),100*ABS($G7-(Data_2017!BK7-$K7)/$M7),0)))</f>
        <v>39.8848690612455</v>
      </c>
      <c r="BR7" s="100">
        <f>IF($H7=0,0,CHOOSE($H7,SUMPRODUCT($O8:$O$67*BR8:BR$67*($E8:$E$67=$D7)),IF(ISNUMBER(Data_2017!BL7),100*ABS($G7-(Data_2017!BL7-$K7)/$M7),0),IF(ISNUMBER(Data_2017!BL7),100*ABS($G7-(Data_2017!BL7-$K7)/$M7),0)))</f>
        <v>88.4028362502467</v>
      </c>
      <c r="BS7" s="100">
        <f>IF($H7=0,0,CHOOSE($H7,SUMPRODUCT($O8:$O$67*BS8:BS$67*($E8:$E$67=$D7)),IF(ISNUMBER(Data_2017!BM7),100*ABS($G7-(Data_2017!BM7-$K7)/$M7),0),IF(ISNUMBER(Data_2017!BM7),100*ABS($G7-(Data_2017!BM7-$K7)/$M7),0)))</f>
        <v>85.3315893644284</v>
      </c>
      <c r="BT7" s="100">
        <f>IF($H7=0,0,CHOOSE($H7,SUMPRODUCT($O8:$O$67*BT8:BT$67*($E8:$E$67=$D7)),IF(ISNUMBER(Data_2017!BN7),100*ABS($G7-(Data_2017!BN7-$K7)/$M7),0),IF(ISNUMBER(Data_2017!BN7),100*ABS($G7-(Data_2017!BN7-$K7)/$M7),0)))</f>
        <v>80.8821327183315</v>
      </c>
      <c r="BU7" s="100">
        <f>IF($H7=0,0,CHOOSE($H7,SUMPRODUCT($O8:$O$67*BU8:BU$67*($E8:$E$67=$D7)),IF(ISNUMBER(Data_2017!BO7),100*ABS($G7-(Data_2017!BO7-$K7)/$M7),0),IF(ISNUMBER(Data_2017!BO7),100*ABS($G7-(Data_2017!BO7-$K7)/$M7),0)))</f>
        <v>74.8010213712539</v>
      </c>
      <c r="BV7" s="100">
        <f>IF($H7=0,0,CHOOSE($H7,SUMPRODUCT($O8:$O$67*BV8:BV$67*($E8:$E$67=$D7)),IF(ISNUMBER(Data_2017!BP7),100*ABS($G7-(Data_2017!BP7-$K7)/$M7),0),IF(ISNUMBER(Data_2017!BP7),100*ABS($G7-(Data_2017!BP7-$K7)/$M7),0)))</f>
        <v>39.0672022686312</v>
      </c>
      <c r="BW7" s="100">
        <f>IF($H7=0,0,CHOOSE($H7,SUMPRODUCT($O8:$O$67*BW8:BW$67*($E8:$E$67=$D7)),IF(ISNUMBER(Data_2017!BQ7),100*ABS($G7-(Data_2017!BQ7-$K7)/$M7),0),IF(ISNUMBER(Data_2017!BQ7),100*ABS($G7-(Data_2017!BQ7-$K7)/$M7),0)))</f>
        <v>77.9769813138381</v>
      </c>
      <c r="BX7" s="100">
        <f>IF($H7=0,0,CHOOSE($H7,SUMPRODUCT($O8:$O$67*BX8:BX$67*($E8:$E$67=$D7)),IF(ISNUMBER(Data_2017!BR7),100*ABS($G7-(Data_2017!BR7-$K7)/$M7),0),IF(ISNUMBER(Data_2017!BR7),100*ABS($G7-(Data_2017!BR7-$K7)/$M7),0)))</f>
        <v>82.5345214797888</v>
      </c>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69" customFormat="1" ht="24.95" customHeight="1" spans="1:130">
      <c r="A8" s="92"/>
      <c r="B8" s="92">
        <f>tblIndicators!A4</f>
        <v>3</v>
      </c>
      <c r="C8" s="92">
        <f>tblIndicators!B4</f>
        <v>0</v>
      </c>
      <c r="D8" s="92" t="str">
        <f>tblIndicators!D4</f>
        <v>DISE1.1</v>
      </c>
      <c r="E8" s="92" t="str">
        <f>tblIndicators!E4</f>
        <v>DISE</v>
      </c>
      <c r="F8" s="92">
        <f>tblIndicators!F4</f>
        <v>2</v>
      </c>
      <c r="G8" s="92">
        <f>tblIndicators!Y4</f>
        <v>0</v>
      </c>
      <c r="H8" s="92">
        <f>tblIndicators!Z4</f>
        <v>1</v>
      </c>
      <c r="I8" s="104">
        <f>tblIndicators!AA4</f>
        <v>0</v>
      </c>
      <c r="J8" s="92">
        <f>tblIndicators!AB4</f>
        <v>0</v>
      </c>
      <c r="K8" s="89" t="str">
        <f>IF(uxb_works!$B$66=1,CHOOSE(H8,"-",MIN(Data_2017!J8:BR8),I8),CHOOSE(H8,"-",MIN(Data_2017!J8:BQ8),I8))</f>
        <v>-</v>
      </c>
      <c r="L8" s="97" t="str">
        <f>IF(uxb_works!$B$66=1,CHOOSE(H8,"-",MAX(Data_2017!J8:BR8),J8),CHOOSE(H8,"-",MAX(Data_2017!J8:BQ8),J8))</f>
        <v>-</v>
      </c>
      <c r="M8" s="92" t="str">
        <f t="shared" si="0"/>
        <v>-</v>
      </c>
      <c r="N8" s="105" t="str">
        <f>REPT(" ",F8)&amp;tblIndicators!AE4</f>
        <v>  1.1) Digital security (Inputs)</v>
      </c>
      <c r="O8" s="106">
        <f>tblIndicators!AD4</f>
        <v>0.5</v>
      </c>
      <c r="P8" s="100">
        <f>IF($H8=0,0,CHOOSE($H8,SUMPRODUCT($O9:$O$67*P9:P$67*($E9:$E$67=$D8)),IF(ISNUMBER(Data_2017!J8),100*ABS($G8-(Data_2017!J8-$K8)/$M8),0),IF(ISNUMBER(Data_2017!J8),100*ABS($G8-(Data_2017!J8-$K8)/$M8),0)))</f>
        <v>63.3333333333333</v>
      </c>
      <c r="Q8" s="100">
        <f>IF($H8=0,0,CHOOSE($H8,SUMPRODUCT($O9:$O$67*Q9:Q$67*($E9:$E$67=$D8)),IF(ISNUMBER(Data_2017!K8),100*ABS($G8-(Data_2017!K8-$K8)/$M8),0),IF(ISNUMBER(Data_2017!K8),100*ABS($G8-(Data_2017!K8-$K8)/$M8),0)))</f>
        <v>80</v>
      </c>
      <c r="R8" s="100">
        <f>IF($H8=0,0,CHOOSE($H8,SUMPRODUCT($O9:$O$67*R9:R$67*($E9:$E$67=$D8)),IF(ISNUMBER(Data_2017!L8),100*ABS($G8-(Data_2017!L8-$K8)/$M8),0),IF(ISNUMBER(Data_2017!L8),100*ABS($G8-(Data_2017!L8-$K8)/$M8),0)))</f>
        <v>60</v>
      </c>
      <c r="S8" s="100">
        <f>IF($H8=0,0,CHOOSE($H8,SUMPRODUCT($O9:$O$67*S9:S$67*($E9:$E$67=$D8)),IF(ISNUMBER(Data_2017!M8),100*ABS($G8-(Data_2017!M8-$K8)/$M8),0),IF(ISNUMBER(Data_2017!M8),100*ABS($G8-(Data_2017!M8-$K8)/$M8),0)))</f>
        <v>28.3333333333333</v>
      </c>
      <c r="T8" s="100">
        <f>IF($H8=0,0,CHOOSE($H8,SUMPRODUCT($O9:$O$67*T9:T$67*($E9:$E$67=$D8)),IF(ISNUMBER(Data_2017!N8),100*ABS($G8-(Data_2017!N8-$K8)/$M8),0),IF(ISNUMBER(Data_2017!N8),100*ABS($G8-(Data_2017!N8-$K8)/$M8),0)))</f>
        <v>80</v>
      </c>
      <c r="U8" s="100">
        <f>IF($H8=0,0,CHOOSE($H8,SUMPRODUCT($O9:$O$67*U9:U$67*($E9:$E$67=$D8)),IF(ISNUMBER(Data_2017!O8),100*ABS($G8-(Data_2017!O8-$K8)/$M8),0),IF(ISNUMBER(Data_2017!O8),100*ABS($G8-(Data_2017!O8-$K8)/$M8),0)))</f>
        <v>63.3333333333333</v>
      </c>
      <c r="V8" s="100">
        <f>IF($H8=0,0,CHOOSE($H8,SUMPRODUCT($O9:$O$67*V9:V$67*($E9:$E$67=$D8)),IF(ISNUMBER(Data_2017!P8),100*ABS($G8-(Data_2017!P8-$K8)/$M8),0),IF(ISNUMBER(Data_2017!P8),100*ABS($G8-(Data_2017!P8-$K8)/$M8),0)))</f>
        <v>41.6666666666667</v>
      </c>
      <c r="W8" s="100">
        <f>IF($H8=0,0,CHOOSE($H8,SUMPRODUCT($O9:$O$67*W9:W$67*($E9:$E$67=$D8)),IF(ISNUMBER(Data_2017!Q8),100*ABS($G8-(Data_2017!Q8-$K8)/$M8),0),IF(ISNUMBER(Data_2017!Q8),100*ABS($G8-(Data_2017!Q8-$K8)/$M8),0)))</f>
        <v>80</v>
      </c>
      <c r="X8" s="100">
        <f>IF($H8=0,0,CHOOSE($H8,SUMPRODUCT($O9:$O$67*X9:X$67*($E9:$E$67=$D8)),IF(ISNUMBER(Data_2017!R8),100*ABS($G8-(Data_2017!R8-$K8)/$M8),0),IF(ISNUMBER(Data_2017!R8),100*ABS($G8-(Data_2017!R8-$K8)/$M8),0)))</f>
        <v>66.6666666666667</v>
      </c>
      <c r="Y8" s="100">
        <f>IF($H8=0,0,CHOOSE($H8,SUMPRODUCT($O9:$O$67*Y9:Y$67*($E9:$E$67=$D8)),IF(ISNUMBER(Data_2017!S8),100*ABS($G8-(Data_2017!S8-$K8)/$M8),0),IF(ISNUMBER(Data_2017!S8),100*ABS($G8-(Data_2017!S8-$K8)/$M8),0)))</f>
        <v>26.6666666666667</v>
      </c>
      <c r="Z8" s="100">
        <f>IF($H8=0,0,CHOOSE($H8,SUMPRODUCT($O9:$O$67*Z9:Z$67*($E9:$E$67=$D8)),IF(ISNUMBER(Data_2017!T8),100*ABS($G8-(Data_2017!T8-$K8)/$M8),0),IF(ISNUMBER(Data_2017!T8),100*ABS($G8-(Data_2017!T8-$K8)/$M8),0)))</f>
        <v>46.6666666666667</v>
      </c>
      <c r="AA8" s="100">
        <f>IF($H8=0,0,CHOOSE($H8,SUMPRODUCT($O9:$O$67*AA9:AA$67*($E9:$E$67=$D8)),IF(ISNUMBER(Data_2017!U8),100*ABS($G8-(Data_2017!U8-$K8)/$M8),0),IF(ISNUMBER(Data_2017!U8),100*ABS($G8-(Data_2017!U8-$K8)/$M8),0)))</f>
        <v>46.6666666666667</v>
      </c>
      <c r="AB8" s="100">
        <f>IF($H8=0,0,CHOOSE($H8,SUMPRODUCT($O9:$O$67*AB9:AB$67*($E9:$E$67=$D8)),IF(ISNUMBER(Data_2017!V8),100*ABS($G8-(Data_2017!V8-$K8)/$M8),0),IF(ISNUMBER(Data_2017!V8),100*ABS($G8-(Data_2017!V8-$K8)/$M8),0)))</f>
        <v>100</v>
      </c>
      <c r="AC8" s="100">
        <f>IF($H8=0,0,CHOOSE($H8,SUMPRODUCT($O9:$O$67*AC9:AC$67*($E9:$E$67=$D8)),IF(ISNUMBER(Data_2017!W8),100*ABS($G8-(Data_2017!W8-$K8)/$M8),0),IF(ISNUMBER(Data_2017!W8),100*ABS($G8-(Data_2017!W8-$K8)/$M8),0)))</f>
        <v>100</v>
      </c>
      <c r="AD8" s="100">
        <f>IF($H8=0,0,CHOOSE($H8,SUMPRODUCT($O9:$O$67*AD9:AD$67*($E9:$E$67=$D8)),IF(ISNUMBER(Data_2017!X8),100*ABS($G8-(Data_2017!X8-$K8)/$M8),0),IF(ISNUMBER(Data_2017!X8),100*ABS($G8-(Data_2017!X8-$K8)/$M8),0)))</f>
        <v>63.3333333333333</v>
      </c>
      <c r="AE8" s="100">
        <f>IF($H8=0,0,CHOOSE($H8,SUMPRODUCT($O9:$O$67*AE9:AE$67*($E9:$E$67=$D8)),IF(ISNUMBER(Data_2017!Y8),100*ABS($G8-(Data_2017!Y8-$K8)/$M8),0),IF(ISNUMBER(Data_2017!Y8),100*ABS($G8-(Data_2017!Y8-$K8)/$M8),0)))</f>
        <v>26.6666666666667</v>
      </c>
      <c r="AF8" s="100">
        <f>IF($H8=0,0,CHOOSE($H8,SUMPRODUCT($O9:$O$67*AF9:AF$67*($E9:$E$67=$D8)),IF(ISNUMBER(Data_2017!Z8),100*ABS($G8-(Data_2017!Z8-$K8)/$M8),0),IF(ISNUMBER(Data_2017!Z8),100*ABS($G8-(Data_2017!Z8-$K8)/$M8),0)))</f>
        <v>58.3333333333333</v>
      </c>
      <c r="AG8" s="100">
        <f>IF($H8=0,0,CHOOSE($H8,SUMPRODUCT($O9:$O$67*AG9:AG$67*($E9:$E$67=$D8)),IF(ISNUMBER(Data_2017!AA8),100*ABS($G8-(Data_2017!AA8-$K8)/$M8),0),IF(ISNUMBER(Data_2017!AA8),100*ABS($G8-(Data_2017!AA8-$K8)/$M8),0)))</f>
        <v>80</v>
      </c>
      <c r="AH8" s="100">
        <f>IF($H8=0,0,CHOOSE($H8,SUMPRODUCT($O9:$O$67*AH9:AH$67*($E9:$E$67=$D8)),IF(ISNUMBER(Data_2017!AB8),100*ABS($G8-(Data_2017!AB8-$K8)/$M8),0),IF(ISNUMBER(Data_2017!AB8),100*ABS($G8-(Data_2017!AB8-$K8)/$M8),0)))</f>
        <v>21.6666666666667</v>
      </c>
      <c r="AI8" s="100">
        <f>IF($H8=0,0,CHOOSE($H8,SUMPRODUCT($O9:$O$67*AI9:AI$67*($E9:$E$67=$D8)),IF(ISNUMBER(Data_2017!AC8),100*ABS($G8-(Data_2017!AC8-$K8)/$M8),0),IF(ISNUMBER(Data_2017!AC8),100*ABS($G8-(Data_2017!AC8-$K8)/$M8),0)))</f>
        <v>100</v>
      </c>
      <c r="AJ8" s="100">
        <f>IF($H8=0,0,CHOOSE($H8,SUMPRODUCT($O9:$O$67*AJ9:AJ$67*($E9:$E$67=$D8)),IF(ISNUMBER(Data_2017!AD8),100*ABS($G8-(Data_2017!AD8-$K8)/$M8),0),IF(ISNUMBER(Data_2017!AD8),100*ABS($G8-(Data_2017!AD8-$K8)/$M8),0)))</f>
        <v>60</v>
      </c>
      <c r="AK8" s="100">
        <f>IF($H8=0,0,CHOOSE($H8,SUMPRODUCT($O9:$O$67*AK9:AK$67*($E9:$E$67=$D8)),IF(ISNUMBER(Data_2017!AE8),100*ABS($G8-(Data_2017!AE8-$K8)/$M8),0),IF(ISNUMBER(Data_2017!AE8),100*ABS($G8-(Data_2017!AE8-$K8)/$M8),0)))</f>
        <v>28.3333333333333</v>
      </c>
      <c r="AL8" s="100">
        <f>IF($H8=0,0,CHOOSE($H8,SUMPRODUCT($O9:$O$67*AL9:AL$67*($E9:$E$67=$D8)),IF(ISNUMBER(Data_2017!AF8),100*ABS($G8-(Data_2017!AF8-$K8)/$M8),0),IF(ISNUMBER(Data_2017!AF8),100*ABS($G8-(Data_2017!AF8-$K8)/$M8),0)))</f>
        <v>58.3333333333333</v>
      </c>
      <c r="AM8" s="100">
        <f>IF($H8=0,0,CHOOSE($H8,SUMPRODUCT($O9:$O$67*AM9:AM$67*($E9:$E$67=$D8)),IF(ISNUMBER(Data_2017!AG8),100*ABS($G8-(Data_2017!AG8-$K8)/$M8),0),IF(ISNUMBER(Data_2017!AG8),100*ABS($G8-(Data_2017!AG8-$K8)/$M8),0)))</f>
        <v>58.3333333333333</v>
      </c>
      <c r="AN8" s="100">
        <f>IF($H8=0,0,CHOOSE($H8,SUMPRODUCT($O9:$O$67*AN9:AN$67*($E9:$E$67=$D8)),IF(ISNUMBER(Data_2017!AH8),100*ABS($G8-(Data_2017!AH8-$K8)/$M8),0),IF(ISNUMBER(Data_2017!AH8),100*ABS($G8-(Data_2017!AH8-$K8)/$M8),0)))</f>
        <v>35</v>
      </c>
      <c r="AO8" s="100">
        <f>IF($H8=0,0,CHOOSE($H8,SUMPRODUCT($O9:$O$67*AO9:AO$67*($E9:$E$67=$D8)),IF(ISNUMBER(Data_2017!AI8),100*ABS($G8-(Data_2017!AI8-$K8)/$M8),0),IF(ISNUMBER(Data_2017!AI8),100*ABS($G8-(Data_2017!AI8-$K8)/$M8),0)))</f>
        <v>58.3333333333333</v>
      </c>
      <c r="AP8" s="100">
        <f>IF($H8=0,0,CHOOSE($H8,SUMPRODUCT($O9:$O$67*AP9:AP$67*($E9:$E$67=$D8)),IF(ISNUMBER(Data_2017!AJ8),100*ABS($G8-(Data_2017!AJ8-$K8)/$M8),0),IF(ISNUMBER(Data_2017!AJ8),100*ABS($G8-(Data_2017!AJ8-$K8)/$M8),0)))</f>
        <v>41.6666666666667</v>
      </c>
      <c r="AQ8" s="100">
        <f>IF($H8=0,0,CHOOSE($H8,SUMPRODUCT($O9:$O$67*AQ9:AQ$67*($E9:$E$67=$D8)),IF(ISNUMBER(Data_2017!AK8),100*ABS($G8-(Data_2017!AK8-$K8)/$M8),0),IF(ISNUMBER(Data_2017!AK8),100*ABS($G8-(Data_2017!AK8-$K8)/$M8),0)))</f>
        <v>58.3333333333333</v>
      </c>
      <c r="AR8" s="100">
        <f>IF($H8=0,0,CHOOSE($H8,SUMPRODUCT($O9:$O$67*AR9:AR$67*($E9:$E$67=$D8)),IF(ISNUMBER(Data_2017!AL8),100*ABS($G8-(Data_2017!AL8-$K8)/$M8),0),IF(ISNUMBER(Data_2017!AL8),100*ABS($G8-(Data_2017!AL8-$K8)/$M8),0)))</f>
        <v>80</v>
      </c>
      <c r="AS8" s="100">
        <f>IF($H8=0,0,CHOOSE($H8,SUMPRODUCT($O9:$O$67*AS9:AS$67*($E9:$E$67=$D8)),IF(ISNUMBER(Data_2017!AM8),100*ABS($G8-(Data_2017!AM8-$K8)/$M8),0),IF(ISNUMBER(Data_2017!AM8),100*ABS($G8-(Data_2017!AM8-$K8)/$M8),0)))</f>
        <v>100</v>
      </c>
      <c r="AT8" s="100">
        <f>IF($H8=0,0,CHOOSE($H8,SUMPRODUCT($O9:$O$67*AT9:AT$67*($E9:$E$67=$D8)),IF(ISNUMBER(Data_2017!AN8),100*ABS($G8-(Data_2017!AN8-$K8)/$M8),0),IF(ISNUMBER(Data_2017!AN8),100*ABS($G8-(Data_2017!AN8-$K8)/$M8),0)))</f>
        <v>80</v>
      </c>
      <c r="AU8" s="100">
        <f>IF($H8=0,0,CHOOSE($H8,SUMPRODUCT($O9:$O$67*AU9:AU$67*($E9:$E$67=$D8)),IF(ISNUMBER(Data_2017!AO8),100*ABS($G8-(Data_2017!AO8-$K8)/$M8),0),IF(ISNUMBER(Data_2017!AO8),100*ABS($G8-(Data_2017!AO8-$K8)/$M8),0)))</f>
        <v>31.6666666666667</v>
      </c>
      <c r="AV8" s="100">
        <f>IF($H8=0,0,CHOOSE($H8,SUMPRODUCT($O9:$O$67*AV9:AV$67*($E9:$E$67=$D8)),IF(ISNUMBER(Data_2017!AP8),100*ABS($G8-(Data_2017!AP8-$K8)/$M8),0),IF(ISNUMBER(Data_2017!AP8),100*ABS($G8-(Data_2017!AP8-$K8)/$M8),0)))</f>
        <v>90</v>
      </c>
      <c r="AW8" s="100">
        <f>IF($H8=0,0,CHOOSE($H8,SUMPRODUCT($O9:$O$67*AW9:AW$67*($E9:$E$67=$D8)),IF(ISNUMBER(Data_2017!AQ8),100*ABS($G8-(Data_2017!AQ8-$K8)/$M8),0),IF(ISNUMBER(Data_2017!AQ8),100*ABS($G8-(Data_2017!AQ8-$K8)/$M8),0)))</f>
        <v>58.3333333333333</v>
      </c>
      <c r="AX8" s="100">
        <f>IF($H8=0,0,CHOOSE($H8,SUMPRODUCT($O9:$O$67*AX9:AX$67*($E9:$E$67=$D8)),IF(ISNUMBER(Data_2017!AR8),100*ABS($G8-(Data_2017!AR8-$K8)/$M8),0),IF(ISNUMBER(Data_2017!AR8),100*ABS($G8-(Data_2017!AR8-$K8)/$M8),0)))</f>
        <v>83.3333333333333</v>
      </c>
      <c r="AY8" s="100">
        <f>IF($H8=0,0,CHOOSE($H8,SUMPRODUCT($O9:$O$67*AY9:AY$67*($E9:$E$67=$D8)),IF(ISNUMBER(Data_2017!AS8),100*ABS($G8-(Data_2017!AS8-$K8)/$M8),0),IF(ISNUMBER(Data_2017!AS8),100*ABS($G8-(Data_2017!AS8-$K8)/$M8),0)))</f>
        <v>41.6666666666667</v>
      </c>
      <c r="AZ8" s="100">
        <f>IF($H8=0,0,CHOOSE($H8,SUMPRODUCT($O9:$O$67*AZ9:AZ$67*($E9:$E$67=$D8)),IF(ISNUMBER(Data_2017!AT8),100*ABS($G8-(Data_2017!AT8-$K8)/$M8),0),IF(ISNUMBER(Data_2017!AT8),100*ABS($G8-(Data_2017!AT8-$K8)/$M8),0)))</f>
        <v>63.3333333333333</v>
      </c>
      <c r="BA8" s="100">
        <f>IF($H8=0,0,CHOOSE($H8,SUMPRODUCT($O9:$O$67*BA9:BA$67*($E9:$E$67=$D8)),IF(ISNUMBER(Data_2017!AU8),100*ABS($G8-(Data_2017!AU8-$K8)/$M8),0),IF(ISNUMBER(Data_2017!AU8),100*ABS($G8-(Data_2017!AU8-$K8)/$M8),0)))</f>
        <v>100</v>
      </c>
      <c r="BB8" s="100">
        <f>IF($H8=0,0,CHOOSE($H8,SUMPRODUCT($O9:$O$67*BB9:BB$67*($E9:$E$67=$D8)),IF(ISNUMBER(Data_2017!AV8),100*ABS($G8-(Data_2017!AV8-$K8)/$M8),0),IF(ISNUMBER(Data_2017!AV8),100*ABS($G8-(Data_2017!AV8-$K8)/$M8),0)))</f>
        <v>78.3333333333333</v>
      </c>
      <c r="BC8" s="100">
        <f>IF($H8=0,0,CHOOSE($H8,SUMPRODUCT($O9:$O$67*BC9:BC$67*($E9:$E$67=$D8)),IF(ISNUMBER(Data_2017!AW8),100*ABS($G8-(Data_2017!AW8-$K8)/$M8),0),IF(ISNUMBER(Data_2017!AW8),100*ABS($G8-(Data_2017!AW8-$K8)/$M8),0)))</f>
        <v>73.3333333333333</v>
      </c>
      <c r="BD8" s="100">
        <f>IF($H8=0,0,CHOOSE($H8,SUMPRODUCT($O9:$O$67*BD9:BD$67*($E9:$E$67=$D8)),IF(ISNUMBER(Data_2017!AX8),100*ABS($G8-(Data_2017!AX8-$K8)/$M8),0),IF(ISNUMBER(Data_2017!AX8),100*ABS($G8-(Data_2017!AX8-$K8)/$M8),0)))</f>
        <v>48.3333333333333</v>
      </c>
      <c r="BE8" s="100">
        <f>IF($H8=0,0,CHOOSE($H8,SUMPRODUCT($O9:$O$67*BE9:BE$67*($E9:$E$67=$D8)),IF(ISNUMBER(Data_2017!AY8),100*ABS($G8-(Data_2017!AY8-$K8)/$M8),0),IF(ISNUMBER(Data_2017!AY8),100*ABS($G8-(Data_2017!AY8-$K8)/$M8),0)))</f>
        <v>43.3333333333333</v>
      </c>
      <c r="BF8" s="100">
        <f>IF($H8=0,0,CHOOSE($H8,SUMPRODUCT($O9:$O$67*BF9:BF$67*($E9:$E$67=$D8)),IF(ISNUMBER(Data_2017!AZ8),100*ABS($G8-(Data_2017!AZ8-$K8)/$M8),0),IF(ISNUMBER(Data_2017!AZ8),100*ABS($G8-(Data_2017!AZ8-$K8)/$M8),0)))</f>
        <v>48.3333333333333</v>
      </c>
      <c r="BG8" s="100">
        <f>IF($H8=0,0,CHOOSE($H8,SUMPRODUCT($O9:$O$67*BG9:BG$67*($E9:$E$67=$D8)),IF(ISNUMBER(Data_2017!BA8),100*ABS($G8-(Data_2017!BA8-$K8)/$M8),0),IF(ISNUMBER(Data_2017!BA8),100*ABS($G8-(Data_2017!BA8-$K8)/$M8),0)))</f>
        <v>80</v>
      </c>
      <c r="BH8" s="100">
        <f>IF($H8=0,0,CHOOSE($H8,SUMPRODUCT($O9:$O$67*BH9:BH$67*($E9:$E$67=$D8)),IF(ISNUMBER(Data_2017!BB8),100*ABS($G8-(Data_2017!BB8-$K8)/$M8),0),IF(ISNUMBER(Data_2017!BB8),100*ABS($G8-(Data_2017!BB8-$K8)/$M8),0)))</f>
        <v>100</v>
      </c>
      <c r="BI8" s="100">
        <f>IF($H8=0,0,CHOOSE($H8,SUMPRODUCT($O9:$O$67*BI9:BI$67*($E9:$E$67=$D8)),IF(ISNUMBER(Data_2017!BC8),100*ABS($G8-(Data_2017!BC8-$K8)/$M8),0),IF(ISNUMBER(Data_2017!BC8),100*ABS($G8-(Data_2017!BC8-$K8)/$M8),0)))</f>
        <v>58.3333333333333</v>
      </c>
      <c r="BJ8" s="100">
        <f>IF($H8=0,0,CHOOSE($H8,SUMPRODUCT($O9:$O$67*BJ9:BJ$67*($E9:$E$67=$D8)),IF(ISNUMBER(Data_2017!BD8),100*ABS($G8-(Data_2017!BD8-$K8)/$M8),0),IF(ISNUMBER(Data_2017!BD8),100*ABS($G8-(Data_2017!BD8-$K8)/$M8),0)))</f>
        <v>43.3333333333333</v>
      </c>
      <c r="BK8" s="100">
        <f>IF($H8=0,0,CHOOSE($H8,SUMPRODUCT($O9:$O$67*BK9:BK$67*($E9:$E$67=$D8)),IF(ISNUMBER(Data_2017!BE8),100*ABS($G8-(Data_2017!BE8-$K8)/$M8),0),IF(ISNUMBER(Data_2017!BE8),100*ABS($G8-(Data_2017!BE8-$K8)/$M8),0)))</f>
        <v>66.6666666666667</v>
      </c>
      <c r="BL8" s="100">
        <f>IF($H8=0,0,CHOOSE($H8,SUMPRODUCT($O9:$O$67*BL9:BL$67*($E9:$E$67=$D8)),IF(ISNUMBER(Data_2017!BF8),100*ABS($G8-(Data_2017!BF8-$K8)/$M8),0),IF(ISNUMBER(Data_2017!BF8),100*ABS($G8-(Data_2017!BF8-$K8)/$M8),0)))</f>
        <v>53.3333333333333</v>
      </c>
      <c r="BM8" s="100">
        <f>IF($H8=0,0,CHOOSE($H8,SUMPRODUCT($O9:$O$67*BM9:BM$67*($E9:$E$67=$D8)),IF(ISNUMBER(Data_2017!BG8),100*ABS($G8-(Data_2017!BG8-$K8)/$M8),0),IF(ISNUMBER(Data_2017!BG8),100*ABS($G8-(Data_2017!BG8-$K8)/$M8),0)))</f>
        <v>95</v>
      </c>
      <c r="BN8" s="100">
        <f>IF($H8=0,0,CHOOSE($H8,SUMPRODUCT($O9:$O$67*BN9:BN$67*($E9:$E$67=$D8)),IF(ISNUMBER(Data_2017!BH8),100*ABS($G8-(Data_2017!BH8-$K8)/$M8),0),IF(ISNUMBER(Data_2017!BH8),100*ABS($G8-(Data_2017!BH8-$K8)/$M8),0)))</f>
        <v>75</v>
      </c>
      <c r="BO8" s="100">
        <f>IF($H8=0,0,CHOOSE($H8,SUMPRODUCT($O9:$O$67*BO9:BO$67*($E9:$E$67=$D8)),IF(ISNUMBER(Data_2017!BI8),100*ABS($G8-(Data_2017!BI8-$K8)/$M8),0),IF(ISNUMBER(Data_2017!BI8),100*ABS($G8-(Data_2017!BI8-$K8)/$M8),0)))</f>
        <v>90</v>
      </c>
      <c r="BP8" s="100">
        <f>IF($H8=0,0,CHOOSE($H8,SUMPRODUCT($O9:$O$67*BP9:BP$67*($E9:$E$67=$D8)),IF(ISNUMBER(Data_2017!BJ8),100*ABS($G8-(Data_2017!BJ8-$K8)/$M8),0),IF(ISNUMBER(Data_2017!BJ8),100*ABS($G8-(Data_2017!BJ8-$K8)/$M8),0)))</f>
        <v>88.3333333333333</v>
      </c>
      <c r="BQ8" s="100">
        <f>IF($H8=0,0,CHOOSE($H8,SUMPRODUCT($O9:$O$67*BQ9:BQ$67*($E9:$E$67=$D8)),IF(ISNUMBER(Data_2017!BK8),100*ABS($G8-(Data_2017!BK8-$K8)/$M8),0),IF(ISNUMBER(Data_2017!BK8),100*ABS($G8-(Data_2017!BK8-$K8)/$M8),0)))</f>
        <v>16.6666666666667</v>
      </c>
      <c r="BR8" s="100">
        <f>IF($H8=0,0,CHOOSE($H8,SUMPRODUCT($O9:$O$67*BR9:BR$67*($E9:$E$67=$D8)),IF(ISNUMBER(Data_2017!BL8),100*ABS($G8-(Data_2017!BL8-$K8)/$M8),0),IF(ISNUMBER(Data_2017!BL8),100*ABS($G8-(Data_2017!BL8-$K8)/$M8),0)))</f>
        <v>88.3333333333333</v>
      </c>
      <c r="BS8" s="100">
        <f>IF($H8=0,0,CHOOSE($H8,SUMPRODUCT($O9:$O$67*BS9:BS$67*($E9:$E$67=$D8)),IF(ISNUMBER(Data_2017!BM8),100*ABS($G8-(Data_2017!BM8-$K8)/$M8),0),IF(ISNUMBER(Data_2017!BM8),100*ABS($G8-(Data_2017!BM8-$K8)/$M8),0)))</f>
        <v>90</v>
      </c>
      <c r="BT8" s="100">
        <f>IF($H8=0,0,CHOOSE($H8,SUMPRODUCT($O9:$O$67*BT9:BT$67*($E9:$E$67=$D8)),IF(ISNUMBER(Data_2017!BN8),100*ABS($G8-(Data_2017!BN8-$K8)/$M8),0),IF(ISNUMBER(Data_2017!BN8),100*ABS($G8-(Data_2017!BN8-$K8)/$M8),0)))</f>
        <v>90</v>
      </c>
      <c r="BU8" s="100">
        <f>IF($H8=0,0,CHOOSE($H8,SUMPRODUCT($O9:$O$67*BU9:BU$67*($E9:$E$67=$D8)),IF(ISNUMBER(Data_2017!BO8),100*ABS($G8-(Data_2017!BO8-$K8)/$M8),0),IF(ISNUMBER(Data_2017!BO8),100*ABS($G8-(Data_2017!BO8-$K8)/$M8),0)))</f>
        <v>68.3333333333333</v>
      </c>
      <c r="BV8" s="100">
        <f>IF($H8=0,0,CHOOSE($H8,SUMPRODUCT($O9:$O$67*BV9:BV$67*($E9:$E$67=$D8)),IF(ISNUMBER(Data_2017!BP8),100*ABS($G8-(Data_2017!BP8-$K8)/$M8),0),IF(ISNUMBER(Data_2017!BP8),100*ABS($G8-(Data_2017!BP8-$K8)/$M8),0)))</f>
        <v>16.6666666666667</v>
      </c>
      <c r="BW8" s="100">
        <f>IF($H8=0,0,CHOOSE($H8,SUMPRODUCT($O9:$O$67*BW9:BW$67*($E9:$E$67=$D8)),IF(ISNUMBER(Data_2017!BQ8),100*ABS($G8-(Data_2017!BQ8-$K8)/$M8),0),IF(ISNUMBER(Data_2017!BQ8),100*ABS($G8-(Data_2017!BQ8-$K8)/$M8),0)))</f>
        <v>75</v>
      </c>
      <c r="BX8" s="100">
        <f>IF($H8=0,0,CHOOSE($H8,SUMPRODUCT($O9:$O$67*BX9:BX$67*($E9:$E$67=$D8)),IF(ISNUMBER(Data_2017!BR8),100*ABS($G8-(Data_2017!BR8-$K8)/$M8),0),IF(ISNUMBER(Data_2017!BR8),100*ABS($G8-(Data_2017!BR8-$K8)/$M8),0)))</f>
        <v>78.3333333333333</v>
      </c>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69" customFormat="1" ht="24.95" customHeight="1" spans="1:130">
      <c r="A9" s="92"/>
      <c r="B9" s="92">
        <f>tblIndicators!A5</f>
        <v>4</v>
      </c>
      <c r="C9" s="92">
        <f>tblIndicators!B5</f>
        <v>0</v>
      </c>
      <c r="D9" s="92" t="str">
        <f>tblIndicators!D5</f>
        <v>DISE1.1.1</v>
      </c>
      <c r="E9" s="92" t="str">
        <f>tblIndicators!E5</f>
        <v>DISE1.1</v>
      </c>
      <c r="F9" s="92">
        <f>tblIndicators!F5</f>
        <v>3</v>
      </c>
      <c r="G9" s="92">
        <f>tblIndicators!Y5</f>
        <v>0</v>
      </c>
      <c r="H9" s="92">
        <f>tblIndicators!Z5</f>
        <v>3</v>
      </c>
      <c r="I9" s="104">
        <f>tblIndicators!AA5</f>
        <v>1</v>
      </c>
      <c r="J9" s="92">
        <f>tblIndicators!AB5</f>
        <v>5</v>
      </c>
      <c r="K9" s="89">
        <f>IF(uxb_works!$B$66=1,CHOOSE(H9,"-",MIN(Data_2017!J9:BR9),I9),CHOOSE(H9,"-",MIN(Data_2017!J9:BQ9),I9))</f>
        <v>1</v>
      </c>
      <c r="L9" s="97">
        <f>IF(uxb_works!$B$66=1,CHOOSE(H9,"-",MAX(Data_2017!J9:BR9),J9),CHOOSE(H9,"-",MAX(Data_2017!J9:BQ9),J9))</f>
        <v>5</v>
      </c>
      <c r="M9" s="92">
        <f t="shared" si="0"/>
        <v>4</v>
      </c>
      <c r="N9" s="105" t="str">
        <f>REPT(" ",F9)&amp;tblIndicators!AE5</f>
        <v>   1.1.1) Privacy policy</v>
      </c>
      <c r="O9" s="106">
        <f>tblIndicators!AD5</f>
        <v>0.2</v>
      </c>
      <c r="P9" s="100">
        <f>IF($H9=0,0,CHOOSE($H9,SUMPRODUCT($O10:$O$67*P10:P$67*($E10:$E$67=$D9)),IF(ISNUMBER(Data_2017!J9),100*ABS($G9-(Data_2017!J9-$K9)/$M9),0),IF(ISNUMBER(Data_2017!J9),100*ABS($G9-(Data_2017!J9-$K9)/$M9),0)))</f>
        <v>50</v>
      </c>
      <c r="Q9" s="100">
        <f>IF($H9=0,0,CHOOSE($H9,SUMPRODUCT($O10:$O$67*Q10:Q$67*($E10:$E$67=$D9)),IF(ISNUMBER(Data_2017!K9),100*ABS($G9-(Data_2017!K9-$K9)/$M9),0),IF(ISNUMBER(Data_2017!K9),100*ABS($G9-(Data_2017!K9-$K9)/$M9),0)))</f>
        <v>100</v>
      </c>
      <c r="R9" s="100">
        <f>IF($H9=0,0,CHOOSE($H9,SUMPRODUCT($O10:$O$67*R10:R$67*($E10:$E$67=$D9)),IF(ISNUMBER(Data_2017!L9),100*ABS($G9-(Data_2017!L9-$K9)/$M9),0),IF(ISNUMBER(Data_2017!L9),100*ABS($G9-(Data_2017!L9-$K9)/$M9),0)))</f>
        <v>75</v>
      </c>
      <c r="S9" s="100">
        <f>IF($H9=0,0,CHOOSE($H9,SUMPRODUCT($O10:$O$67*S10:S$67*($E10:$E$67=$D9)),IF(ISNUMBER(Data_2017!M9),100*ABS($G9-(Data_2017!M9-$K9)/$M9),0),IF(ISNUMBER(Data_2017!M9),100*ABS($G9-(Data_2017!M9-$K9)/$M9),0)))</f>
        <v>25</v>
      </c>
      <c r="T9" s="100">
        <f>IF($H9=0,0,CHOOSE($H9,SUMPRODUCT($O10:$O$67*T10:T$67*($E10:$E$67=$D9)),IF(ISNUMBER(Data_2017!N9),100*ABS($G9-(Data_2017!N9-$K9)/$M9),0),IF(ISNUMBER(Data_2017!N9),100*ABS($G9-(Data_2017!N9-$K9)/$M9),0)))</f>
        <v>100</v>
      </c>
      <c r="U9" s="100">
        <f>IF($H9=0,0,CHOOSE($H9,SUMPRODUCT($O10:$O$67*U10:U$67*($E10:$E$67=$D9)),IF(ISNUMBER(Data_2017!O9),100*ABS($G9-(Data_2017!O9-$K9)/$M9),0),IF(ISNUMBER(Data_2017!O9),100*ABS($G9-(Data_2017!O9-$K9)/$M9),0)))</f>
        <v>75</v>
      </c>
      <c r="V9" s="100">
        <f>IF($H9=0,0,CHOOSE($H9,SUMPRODUCT($O10:$O$67*V10:V$67*($E10:$E$67=$D9)),IF(ISNUMBER(Data_2017!P9),100*ABS($G9-(Data_2017!P9-$K9)/$M9),0),IF(ISNUMBER(Data_2017!P9),100*ABS($G9-(Data_2017!P9-$K9)/$M9),0)))</f>
        <v>50</v>
      </c>
      <c r="W9" s="100">
        <f>IF($H9=0,0,CHOOSE($H9,SUMPRODUCT($O10:$O$67*W10:W$67*($E10:$E$67=$D9)),IF(ISNUMBER(Data_2017!Q9),100*ABS($G9-(Data_2017!Q9-$K9)/$M9),0),IF(ISNUMBER(Data_2017!Q9),100*ABS($G9-(Data_2017!Q9-$K9)/$M9),0)))</f>
        <v>100</v>
      </c>
      <c r="X9" s="100">
        <f>IF($H9=0,0,CHOOSE($H9,SUMPRODUCT($O10:$O$67*X10:X$67*($E10:$E$67=$D9)),IF(ISNUMBER(Data_2017!R9),100*ABS($G9-(Data_2017!R9-$K9)/$M9),0),IF(ISNUMBER(Data_2017!R9),100*ABS($G9-(Data_2017!R9-$K9)/$M9),0)))</f>
        <v>75</v>
      </c>
      <c r="Y9" s="100">
        <f>IF($H9=0,0,CHOOSE($H9,SUMPRODUCT($O10:$O$67*Y10:Y$67*($E10:$E$67=$D9)),IF(ISNUMBER(Data_2017!S9),100*ABS($G9-(Data_2017!S9-$K9)/$M9),0),IF(ISNUMBER(Data_2017!S9),100*ABS($G9-(Data_2017!S9-$K9)/$M9),0)))</f>
        <v>50</v>
      </c>
      <c r="Z9" s="100">
        <f>IF($H9=0,0,CHOOSE($H9,SUMPRODUCT($O10:$O$67*Z10:Z$67*($E10:$E$67=$D9)),IF(ISNUMBER(Data_2017!T9),100*ABS($G9-(Data_2017!T9-$K9)/$M9),0),IF(ISNUMBER(Data_2017!T9),100*ABS($G9-(Data_2017!T9-$K9)/$M9),0)))</f>
        <v>25</v>
      </c>
      <c r="AA9" s="100">
        <f>IF($H9=0,0,CHOOSE($H9,SUMPRODUCT($O10:$O$67*AA10:AA$67*($E10:$E$67=$D9)),IF(ISNUMBER(Data_2017!U9),100*ABS($G9-(Data_2017!U9-$K9)/$M9),0),IF(ISNUMBER(Data_2017!U9),100*ABS($G9-(Data_2017!U9-$K9)/$M9),0)))</f>
        <v>75</v>
      </c>
      <c r="AB9" s="100">
        <f>IF($H9=0,0,CHOOSE($H9,SUMPRODUCT($O10:$O$67*AB10:AB$67*($E10:$E$67=$D9)),IF(ISNUMBER(Data_2017!V9),100*ABS($G9-(Data_2017!V9-$K9)/$M9),0),IF(ISNUMBER(Data_2017!V9),100*ABS($G9-(Data_2017!V9-$K9)/$M9),0)))</f>
        <v>100</v>
      </c>
      <c r="AC9" s="100">
        <f>IF($H9=0,0,CHOOSE($H9,SUMPRODUCT($O10:$O$67*AC10:AC$67*($E10:$E$67=$D9)),IF(ISNUMBER(Data_2017!W9),100*ABS($G9-(Data_2017!W9-$K9)/$M9),0),IF(ISNUMBER(Data_2017!W9),100*ABS($G9-(Data_2017!W9-$K9)/$M9),0)))</f>
        <v>100</v>
      </c>
      <c r="AD9" s="100">
        <f>IF($H9=0,0,CHOOSE($H9,SUMPRODUCT($O10:$O$67*AD10:AD$67*($E10:$E$67=$D9)),IF(ISNUMBER(Data_2017!X9),100*ABS($G9-(Data_2017!X9-$K9)/$M9),0),IF(ISNUMBER(Data_2017!X9),100*ABS($G9-(Data_2017!X9-$K9)/$M9),0)))</f>
        <v>25</v>
      </c>
      <c r="AE9" s="100">
        <f>IF($H9=0,0,CHOOSE($H9,SUMPRODUCT($O10:$O$67*AE10:AE$67*($E10:$E$67=$D9)),IF(ISNUMBER(Data_2017!Y9),100*ABS($G9-(Data_2017!Y9-$K9)/$M9),0),IF(ISNUMBER(Data_2017!Y9),100*ABS($G9-(Data_2017!Y9-$K9)/$M9),0)))</f>
        <v>0</v>
      </c>
      <c r="AF9" s="100">
        <f>IF($H9=0,0,CHOOSE($H9,SUMPRODUCT($O10:$O$67*AF10:AF$67*($E10:$E$67=$D9)),IF(ISNUMBER(Data_2017!Z9),100*ABS($G9-(Data_2017!Z9-$K9)/$M9),0),IF(ISNUMBER(Data_2017!Z9),100*ABS($G9-(Data_2017!Z9-$K9)/$M9),0)))</f>
        <v>50</v>
      </c>
      <c r="AG9" s="100">
        <f>IF($H9=0,0,CHOOSE($H9,SUMPRODUCT($O10:$O$67*AG10:AG$67*($E10:$E$67=$D9)),IF(ISNUMBER(Data_2017!AA9),100*ABS($G9-(Data_2017!AA9-$K9)/$M9),0),IF(ISNUMBER(Data_2017!AA9),100*ABS($G9-(Data_2017!AA9-$K9)/$M9),0)))</f>
        <v>100</v>
      </c>
      <c r="AH9" s="100">
        <f>IF($H9=0,0,CHOOSE($H9,SUMPRODUCT($O10:$O$67*AH10:AH$67*($E10:$E$67=$D9)),IF(ISNUMBER(Data_2017!AB9),100*ABS($G9-(Data_2017!AB9-$K9)/$M9),0),IF(ISNUMBER(Data_2017!AB9),100*ABS($G9-(Data_2017!AB9-$K9)/$M9),0)))</f>
        <v>25</v>
      </c>
      <c r="AI9" s="100">
        <f>IF($H9=0,0,CHOOSE($H9,SUMPRODUCT($O10:$O$67*AI10:AI$67*($E10:$E$67=$D9)),IF(ISNUMBER(Data_2017!AC9),100*ABS($G9-(Data_2017!AC9-$K9)/$M9),0),IF(ISNUMBER(Data_2017!AC9),100*ABS($G9-(Data_2017!AC9-$K9)/$M9),0)))</f>
        <v>100</v>
      </c>
      <c r="AJ9" s="100">
        <f>IF($H9=0,0,CHOOSE($H9,SUMPRODUCT($O10:$O$67*AJ10:AJ$67*($E10:$E$67=$D9)),IF(ISNUMBER(Data_2017!AD9),100*ABS($G9-(Data_2017!AD9-$K9)/$M9),0),IF(ISNUMBER(Data_2017!AD9),100*ABS($G9-(Data_2017!AD9-$K9)/$M9),0)))</f>
        <v>25</v>
      </c>
      <c r="AK9" s="100">
        <f>IF($H9=0,0,CHOOSE($H9,SUMPRODUCT($O10:$O$67*AK10:AK$67*($E10:$E$67=$D9)),IF(ISNUMBER(Data_2017!AE9),100*ABS($G9-(Data_2017!AE9-$K9)/$M9),0),IF(ISNUMBER(Data_2017!AE9),100*ABS($G9-(Data_2017!AE9-$K9)/$M9),0)))</f>
        <v>25</v>
      </c>
      <c r="AL9" s="100">
        <f>IF($H9=0,0,CHOOSE($H9,SUMPRODUCT($O10:$O$67*AL10:AL$67*($E10:$E$67=$D9)),IF(ISNUMBER(Data_2017!AF9),100*ABS($G9-(Data_2017!AF9-$K9)/$M9),0),IF(ISNUMBER(Data_2017!AF9),100*ABS($G9-(Data_2017!AF9-$K9)/$M9),0)))</f>
        <v>50</v>
      </c>
      <c r="AM9" s="100">
        <f>IF($H9=0,0,CHOOSE($H9,SUMPRODUCT($O10:$O$67*AM10:AM$67*($E10:$E$67=$D9)),IF(ISNUMBER(Data_2017!AG9),100*ABS($G9-(Data_2017!AG9-$K9)/$M9),0),IF(ISNUMBER(Data_2017!AG9),100*ABS($G9-(Data_2017!AG9-$K9)/$M9),0)))</f>
        <v>50</v>
      </c>
      <c r="AN9" s="100">
        <f>IF($H9=0,0,CHOOSE($H9,SUMPRODUCT($O10:$O$67*AN10:AN$67*($E10:$E$67=$D9)),IF(ISNUMBER(Data_2017!AH9),100*ABS($G9-(Data_2017!AH9-$K9)/$M9),0),IF(ISNUMBER(Data_2017!AH9),100*ABS($G9-(Data_2017!AH9-$K9)/$M9),0)))</f>
        <v>25</v>
      </c>
      <c r="AO9" s="100">
        <f>IF($H9=0,0,CHOOSE($H9,SUMPRODUCT($O10:$O$67*AO10:AO$67*($E10:$E$67=$D9)),IF(ISNUMBER(Data_2017!AI9),100*ABS($G9-(Data_2017!AI9-$K9)/$M9),0),IF(ISNUMBER(Data_2017!AI9),100*ABS($G9-(Data_2017!AI9-$K9)/$M9),0)))</f>
        <v>50</v>
      </c>
      <c r="AP9" s="100">
        <f>IF($H9=0,0,CHOOSE($H9,SUMPRODUCT($O10:$O$67*AP10:AP$67*($E10:$E$67=$D9)),IF(ISNUMBER(Data_2017!AJ9),100*ABS($G9-(Data_2017!AJ9-$K9)/$M9),0),IF(ISNUMBER(Data_2017!AJ9),100*ABS($G9-(Data_2017!AJ9-$K9)/$M9),0)))</f>
        <v>50</v>
      </c>
      <c r="AQ9" s="100">
        <f>IF($H9=0,0,CHOOSE($H9,SUMPRODUCT($O10:$O$67*AQ10:AQ$67*($E10:$E$67=$D9)),IF(ISNUMBER(Data_2017!AK9),100*ABS($G9-(Data_2017!AK9-$K9)/$M9),0),IF(ISNUMBER(Data_2017!AK9),100*ABS($G9-(Data_2017!AK9-$K9)/$M9),0)))</f>
        <v>50</v>
      </c>
      <c r="AR9" s="100">
        <f>IF($H9=0,0,CHOOSE($H9,SUMPRODUCT($O10:$O$67*AR10:AR$67*($E10:$E$67=$D9)),IF(ISNUMBER(Data_2017!AL9),100*ABS($G9-(Data_2017!AL9-$K9)/$M9),0),IF(ISNUMBER(Data_2017!AL9),100*ABS($G9-(Data_2017!AL9-$K9)/$M9),0)))</f>
        <v>100</v>
      </c>
      <c r="AS9" s="100">
        <f>IF($H9=0,0,CHOOSE($H9,SUMPRODUCT($O10:$O$67*AS10:AS$67*($E10:$E$67=$D9)),IF(ISNUMBER(Data_2017!AM9),100*ABS($G9-(Data_2017!AM9-$K9)/$M9),0),IF(ISNUMBER(Data_2017!AM9),100*ABS($G9-(Data_2017!AM9-$K9)/$M9),0)))</f>
        <v>100</v>
      </c>
      <c r="AT9" s="100">
        <f>IF($H9=0,0,CHOOSE($H9,SUMPRODUCT($O10:$O$67*AT10:AT$67*($E10:$E$67=$D9)),IF(ISNUMBER(Data_2017!AN9),100*ABS($G9-(Data_2017!AN9-$K9)/$M9),0),IF(ISNUMBER(Data_2017!AN9),100*ABS($G9-(Data_2017!AN9-$K9)/$M9),0)))</f>
        <v>100</v>
      </c>
      <c r="AU9" s="100">
        <f>IF($H9=0,0,CHOOSE($H9,SUMPRODUCT($O10:$O$67*AU10:AU$67*($E10:$E$67=$D9)),IF(ISNUMBER(Data_2017!AO9),100*ABS($G9-(Data_2017!AO9-$K9)/$M9),0),IF(ISNUMBER(Data_2017!AO9),100*ABS($G9-(Data_2017!AO9-$K9)/$M9),0)))</f>
        <v>25</v>
      </c>
      <c r="AV9" s="100">
        <f>IF($H9=0,0,CHOOSE($H9,SUMPRODUCT($O10:$O$67*AV10:AV$67*($E10:$E$67=$D9)),IF(ISNUMBER(Data_2017!AP9),100*ABS($G9-(Data_2017!AP9-$K9)/$M9),0),IF(ISNUMBER(Data_2017!AP9),100*ABS($G9-(Data_2017!AP9-$K9)/$M9),0)))</f>
        <v>100</v>
      </c>
      <c r="AW9" s="100">
        <f>IF($H9=0,0,CHOOSE($H9,SUMPRODUCT($O10:$O$67*AW10:AW$67*($E10:$E$67=$D9)),IF(ISNUMBER(Data_2017!AQ9),100*ABS($G9-(Data_2017!AQ9-$K9)/$M9),0),IF(ISNUMBER(Data_2017!AQ9),100*ABS($G9-(Data_2017!AQ9-$K9)/$M9),0)))</f>
        <v>50</v>
      </c>
      <c r="AX9" s="100">
        <f>IF($H9=0,0,CHOOSE($H9,SUMPRODUCT($O10:$O$67*AX10:AX$67*($E10:$E$67=$D9)),IF(ISNUMBER(Data_2017!AR9),100*ABS($G9-(Data_2017!AR9-$K9)/$M9),0),IF(ISNUMBER(Data_2017!AR9),100*ABS($G9-(Data_2017!AR9-$K9)/$M9),0)))</f>
        <v>100</v>
      </c>
      <c r="AY9" s="100">
        <f>IF($H9=0,0,CHOOSE($H9,SUMPRODUCT($O10:$O$67*AY10:AY$67*($E10:$E$67=$D9)),IF(ISNUMBER(Data_2017!AS9),100*ABS($G9-(Data_2017!AS9-$K9)/$M9),0),IF(ISNUMBER(Data_2017!AS9),100*ABS($G9-(Data_2017!AS9-$K9)/$M9),0)))</f>
        <v>50</v>
      </c>
      <c r="AZ9" s="100">
        <f>IF($H9=0,0,CHOOSE($H9,SUMPRODUCT($O10:$O$67*AZ10:AZ$67*($E10:$E$67=$D9)),IF(ISNUMBER(Data_2017!AT9),100*ABS($G9-(Data_2017!AT9-$K9)/$M9),0),IF(ISNUMBER(Data_2017!AT9),100*ABS($G9-(Data_2017!AT9-$K9)/$M9),0)))</f>
        <v>25</v>
      </c>
      <c r="BA9" s="100">
        <f>IF($H9=0,0,CHOOSE($H9,SUMPRODUCT($O10:$O$67*BA10:BA$67*($E10:$E$67=$D9)),IF(ISNUMBER(Data_2017!AU9),100*ABS($G9-(Data_2017!AU9-$K9)/$M9),0),IF(ISNUMBER(Data_2017!AU9),100*ABS($G9-(Data_2017!AU9-$K9)/$M9),0)))</f>
        <v>100</v>
      </c>
      <c r="BB9" s="100">
        <f>IF($H9=0,0,CHOOSE($H9,SUMPRODUCT($O10:$O$67*BB10:BB$67*($E10:$E$67=$D9)),IF(ISNUMBER(Data_2017!AV9),100*ABS($G9-(Data_2017!AV9-$K9)/$M9),0),IF(ISNUMBER(Data_2017!AV9),100*ABS($G9-(Data_2017!AV9-$K9)/$M9),0)))</f>
        <v>75</v>
      </c>
      <c r="BC9" s="100">
        <f>IF($H9=0,0,CHOOSE($H9,SUMPRODUCT($O10:$O$67*BC10:BC$67*($E10:$E$67=$D9)),IF(ISNUMBER(Data_2017!AW9),100*ABS($G9-(Data_2017!AW9-$K9)/$M9),0),IF(ISNUMBER(Data_2017!AW9),100*ABS($G9-(Data_2017!AW9-$K9)/$M9),0)))</f>
        <v>100</v>
      </c>
      <c r="BD9" s="100">
        <f>IF($H9=0,0,CHOOSE($H9,SUMPRODUCT($O10:$O$67*BD10:BD$67*($E10:$E$67=$D9)),IF(ISNUMBER(Data_2017!AX9),100*ABS($G9-(Data_2017!AX9-$K9)/$M9),0),IF(ISNUMBER(Data_2017!AX9),100*ABS($G9-(Data_2017!AX9-$K9)/$M9),0)))</f>
        <v>0</v>
      </c>
      <c r="BE9" s="100">
        <f>IF($H9=0,0,CHOOSE($H9,SUMPRODUCT($O10:$O$67*BE10:BE$67*($E10:$E$67=$D9)),IF(ISNUMBER(Data_2017!AY9),100*ABS($G9-(Data_2017!AY9-$K9)/$M9),0),IF(ISNUMBER(Data_2017!AY9),100*ABS($G9-(Data_2017!AY9-$K9)/$M9),0)))</f>
        <v>25</v>
      </c>
      <c r="BF9" s="100">
        <f>IF($H9=0,0,CHOOSE($H9,SUMPRODUCT($O10:$O$67*BF10:BF$67*($E10:$E$67=$D9)),IF(ISNUMBER(Data_2017!AZ9),100*ABS($G9-(Data_2017!AZ9-$K9)/$M9),0),IF(ISNUMBER(Data_2017!AZ9),100*ABS($G9-(Data_2017!AZ9-$K9)/$M9),0)))</f>
        <v>50</v>
      </c>
      <c r="BG9" s="100">
        <f>IF($H9=0,0,CHOOSE($H9,SUMPRODUCT($O10:$O$67*BG10:BG$67*($E10:$E$67=$D9)),IF(ISNUMBER(Data_2017!BA9),100*ABS($G9-(Data_2017!BA9-$K9)/$M9),0),IF(ISNUMBER(Data_2017!BA9),100*ABS($G9-(Data_2017!BA9-$K9)/$M9),0)))</f>
        <v>100</v>
      </c>
      <c r="BH9" s="100">
        <f>IF($H9=0,0,CHOOSE($H9,SUMPRODUCT($O10:$O$67*BH10:BH$67*($E10:$E$67=$D9)),IF(ISNUMBER(Data_2017!BB9),100*ABS($G9-(Data_2017!BB9-$K9)/$M9),0),IF(ISNUMBER(Data_2017!BB9),100*ABS($G9-(Data_2017!BB9-$K9)/$M9),0)))</f>
        <v>100</v>
      </c>
      <c r="BI9" s="100">
        <f>IF($H9=0,0,CHOOSE($H9,SUMPRODUCT($O10:$O$67*BI10:BI$67*($E10:$E$67=$D9)),IF(ISNUMBER(Data_2017!BC9),100*ABS($G9-(Data_2017!BC9-$K9)/$M9),0),IF(ISNUMBER(Data_2017!BC9),100*ABS($G9-(Data_2017!BC9-$K9)/$M9),0)))</f>
        <v>50</v>
      </c>
      <c r="BJ9" s="100">
        <f>IF($H9=0,0,CHOOSE($H9,SUMPRODUCT($O10:$O$67*BJ10:BJ$67*($E10:$E$67=$D9)),IF(ISNUMBER(Data_2017!BD9),100*ABS($G9-(Data_2017!BD9-$K9)/$M9),0),IF(ISNUMBER(Data_2017!BD9),100*ABS($G9-(Data_2017!BD9-$K9)/$M9),0)))</f>
        <v>25</v>
      </c>
      <c r="BK9" s="100">
        <f>IF($H9=0,0,CHOOSE($H9,SUMPRODUCT($O10:$O$67*BK10:BK$67*($E10:$E$67=$D9)),IF(ISNUMBER(Data_2017!BE9),100*ABS($G9-(Data_2017!BE9-$K9)/$M9),0),IF(ISNUMBER(Data_2017!BE9),100*ABS($G9-(Data_2017!BE9-$K9)/$M9),0)))</f>
        <v>100</v>
      </c>
      <c r="BL9" s="100">
        <f>IF($H9=0,0,CHOOSE($H9,SUMPRODUCT($O10:$O$67*BL10:BL$67*($E10:$E$67=$D9)),IF(ISNUMBER(Data_2017!BF9),100*ABS($G9-(Data_2017!BF9-$K9)/$M9),0),IF(ISNUMBER(Data_2017!BF9),100*ABS($G9-(Data_2017!BF9-$K9)/$M9),0)))</f>
        <v>75</v>
      </c>
      <c r="BM9" s="100">
        <f>IF($H9=0,0,CHOOSE($H9,SUMPRODUCT($O10:$O$67*BM10:BM$67*($E10:$E$67=$D9)),IF(ISNUMBER(Data_2017!BG9),100*ABS($G9-(Data_2017!BG9-$K9)/$M9),0),IF(ISNUMBER(Data_2017!BG9),100*ABS($G9-(Data_2017!BG9-$K9)/$M9),0)))</f>
        <v>75</v>
      </c>
      <c r="BN9" s="100">
        <f>IF($H9=0,0,CHOOSE($H9,SUMPRODUCT($O10:$O$67*BN10:BN$67*($E10:$E$67=$D9)),IF(ISNUMBER(Data_2017!BH9),100*ABS($G9-(Data_2017!BH9-$K9)/$M9),0),IF(ISNUMBER(Data_2017!BH9),100*ABS($G9-(Data_2017!BH9-$K9)/$M9),0)))</f>
        <v>75</v>
      </c>
      <c r="BO9" s="100">
        <f>IF($H9=0,0,CHOOSE($H9,SUMPRODUCT($O10:$O$67*BO10:BO$67*($E10:$E$67=$D9)),IF(ISNUMBER(Data_2017!BI9),100*ABS($G9-(Data_2017!BI9-$K9)/$M9),0),IF(ISNUMBER(Data_2017!BI9),100*ABS($G9-(Data_2017!BI9-$K9)/$M9),0)))</f>
        <v>100</v>
      </c>
      <c r="BP9" s="100">
        <f>IF($H9=0,0,CHOOSE($H9,SUMPRODUCT($O10:$O$67*BP10:BP$67*($E10:$E$67=$D9)),IF(ISNUMBER(Data_2017!BJ9),100*ABS($G9-(Data_2017!BJ9-$K9)/$M9),0),IF(ISNUMBER(Data_2017!BJ9),100*ABS($G9-(Data_2017!BJ9-$K9)/$M9),0)))</f>
        <v>75</v>
      </c>
      <c r="BQ9" s="100">
        <f>IF($H9=0,0,CHOOSE($H9,SUMPRODUCT($O10:$O$67*BQ10:BQ$67*($E10:$E$67=$D9)),IF(ISNUMBER(Data_2017!BK9),100*ABS($G9-(Data_2017!BK9-$K9)/$M9),0),IF(ISNUMBER(Data_2017!BK9),100*ABS($G9-(Data_2017!BK9-$K9)/$M9),0)))</f>
        <v>0</v>
      </c>
      <c r="BR9" s="100">
        <f>IF($H9=0,0,CHOOSE($H9,SUMPRODUCT($O10:$O$67*BR10:BR$67*($E10:$E$67=$D9)),IF(ISNUMBER(Data_2017!BL9),100*ABS($G9-(Data_2017!BL9-$K9)/$M9),0),IF(ISNUMBER(Data_2017!BL9),100*ABS($G9-(Data_2017!BL9-$K9)/$M9),0)))</f>
        <v>75</v>
      </c>
      <c r="BS9" s="100">
        <f>IF($H9=0,0,CHOOSE($H9,SUMPRODUCT($O10:$O$67*BS10:BS$67*($E10:$E$67=$D9)),IF(ISNUMBER(Data_2017!BM9),100*ABS($G9-(Data_2017!BM9-$K9)/$M9),0),IF(ISNUMBER(Data_2017!BM9),100*ABS($G9-(Data_2017!BM9-$K9)/$M9),0)))</f>
        <v>100</v>
      </c>
      <c r="BT9" s="100">
        <f>IF($H9=0,0,CHOOSE($H9,SUMPRODUCT($O10:$O$67*BT10:BT$67*($E10:$E$67=$D9)),IF(ISNUMBER(Data_2017!BN9),100*ABS($G9-(Data_2017!BN9-$K9)/$M9),0),IF(ISNUMBER(Data_2017!BN9),100*ABS($G9-(Data_2017!BN9-$K9)/$M9),0)))</f>
        <v>100</v>
      </c>
      <c r="BU9" s="100">
        <f>IF($H9=0,0,CHOOSE($H9,SUMPRODUCT($O10:$O$67*BU10:BU$67*($E10:$E$67=$D9)),IF(ISNUMBER(Data_2017!BO9),100*ABS($G9-(Data_2017!BO9-$K9)/$M9),0),IF(ISNUMBER(Data_2017!BO9),100*ABS($G9-(Data_2017!BO9-$K9)/$M9),0)))</f>
        <v>75</v>
      </c>
      <c r="BV9" s="100">
        <f>IF($H9=0,0,CHOOSE($H9,SUMPRODUCT($O10:$O$67*BV10:BV$67*($E10:$E$67=$D9)),IF(ISNUMBER(Data_2017!BP9),100*ABS($G9-(Data_2017!BP9-$K9)/$M9),0),IF(ISNUMBER(Data_2017!BP9),100*ABS($G9-(Data_2017!BP9-$K9)/$M9),0)))</f>
        <v>0</v>
      </c>
      <c r="BW9" s="100">
        <f>IF($H9=0,0,CHOOSE($H9,SUMPRODUCT($O10:$O$67*BW10:BW$67*($E10:$E$67=$D9)),IF(ISNUMBER(Data_2017!BQ9),100*ABS($G9-(Data_2017!BQ9-$K9)/$M9),0),IF(ISNUMBER(Data_2017!BQ9),100*ABS($G9-(Data_2017!BQ9-$K9)/$M9),0)))</f>
        <v>75</v>
      </c>
      <c r="BX9" s="100">
        <f>IF($H9=0,0,CHOOSE($H9,SUMPRODUCT($O10:$O$67*BX10:BX$67*($E10:$E$67=$D9)),IF(ISNUMBER(Data_2017!BR9),100*ABS($G9-(Data_2017!BR9-$K9)/$M9),0),IF(ISNUMBER(Data_2017!BR9),100*ABS($G9-(Data_2017!BR9-$K9)/$M9),0)))</f>
        <v>75</v>
      </c>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69" customFormat="1" ht="24.95" customHeight="1" spans="1:130">
      <c r="A10" s="92"/>
      <c r="B10" s="92">
        <f>tblIndicators!A6</f>
        <v>5</v>
      </c>
      <c r="C10" s="92">
        <f>tblIndicators!B6</f>
        <v>0</v>
      </c>
      <c r="D10" s="92" t="str">
        <f>tblIndicators!D6</f>
        <v>DISE1.1.2</v>
      </c>
      <c r="E10" s="92" t="str">
        <f>tblIndicators!E6</f>
        <v>DISE1.1</v>
      </c>
      <c r="F10" s="92">
        <f>tblIndicators!F6</f>
        <v>3</v>
      </c>
      <c r="G10" s="92">
        <f>tblIndicators!Y6</f>
        <v>0</v>
      </c>
      <c r="H10" s="92">
        <f>tblIndicators!Z6</f>
        <v>3</v>
      </c>
      <c r="I10" s="104">
        <f>tblIndicators!AA6</f>
        <v>0</v>
      </c>
      <c r="J10" s="92">
        <f>tblIndicators!AB6</f>
        <v>3</v>
      </c>
      <c r="K10" s="89">
        <f>IF(uxb_works!$B$66=1,CHOOSE(H10,"-",MIN(Data_2017!J10:BR10),I10),CHOOSE(H10,"-",MIN(Data_2017!J10:BQ10),I10))</f>
        <v>0</v>
      </c>
      <c r="L10" s="97">
        <f>IF(uxb_works!$B$66=1,CHOOSE(H10,"-",MAX(Data_2017!J10:BR10),J10),CHOOSE(H10,"-",MAX(Data_2017!J10:BQ10),J10))</f>
        <v>3</v>
      </c>
      <c r="M10" s="92">
        <f t="shared" ref="M10:M67" si="1">CHOOSE(H10,"-",L10-K10,L10-K10)</f>
        <v>3</v>
      </c>
      <c r="N10" s="105" t="str">
        <f>REPT(" ",F10)&amp;tblIndicators!AE6</f>
        <v>   1.1.2) Citizen awareness of digital threats</v>
      </c>
      <c r="O10" s="106">
        <f>tblIndicators!AD6</f>
        <v>0.2</v>
      </c>
      <c r="P10" s="100">
        <f>IF($H10=0,0,CHOOSE($H10,SUMPRODUCT($O11:$O$67*P11:P$67*($E11:$E$67=$D10)),IF(ISNUMBER(Data_2017!J10),100*ABS($G10-(Data_2017!J10-$K10)/$M10),0),IF(ISNUMBER(Data_2017!J10),100*ABS($G10-(Data_2017!J10-$K10)/$M10),0)))</f>
        <v>66.6666666666667</v>
      </c>
      <c r="Q10" s="100">
        <f>IF($H10=0,0,CHOOSE($H10,SUMPRODUCT($O11:$O$67*Q11:Q$67*($E11:$E$67=$D10)),IF(ISNUMBER(Data_2017!K10),100*ABS($G10-(Data_2017!K10-$K10)/$M10),0),IF(ISNUMBER(Data_2017!K10),100*ABS($G10-(Data_2017!K10-$K10)/$M10),0)))</f>
        <v>100</v>
      </c>
      <c r="R10" s="100">
        <f>IF($H10=0,0,CHOOSE($H10,SUMPRODUCT($O11:$O$67*R11:R$67*($E11:$E$67=$D10)),IF(ISNUMBER(Data_2017!L10),100*ABS($G10-(Data_2017!L10-$K10)/$M10),0),IF(ISNUMBER(Data_2017!L10),100*ABS($G10-(Data_2017!L10-$K10)/$M10),0)))</f>
        <v>100</v>
      </c>
      <c r="S10" s="100">
        <f>IF($H10=0,0,CHOOSE($H10,SUMPRODUCT($O11:$O$67*S11:S$67*($E11:$E$67=$D10)),IF(ISNUMBER(Data_2017!M10),100*ABS($G10-(Data_2017!M10-$K10)/$M10),0),IF(ISNUMBER(Data_2017!M10),100*ABS($G10-(Data_2017!M10-$K10)/$M10),0)))</f>
        <v>66.6666666666667</v>
      </c>
      <c r="T10" s="100">
        <f>IF($H10=0,0,CHOOSE($H10,SUMPRODUCT($O11:$O$67*T11:T$67*($E11:$E$67=$D10)),IF(ISNUMBER(Data_2017!N10),100*ABS($G10-(Data_2017!N10-$K10)/$M10),0),IF(ISNUMBER(Data_2017!N10),100*ABS($G10-(Data_2017!N10-$K10)/$M10),0)))</f>
        <v>100</v>
      </c>
      <c r="U10" s="100">
        <f>IF($H10=0,0,CHOOSE($H10,SUMPRODUCT($O11:$O$67*U11:U$67*($E11:$E$67=$D10)),IF(ISNUMBER(Data_2017!O10),100*ABS($G10-(Data_2017!O10-$K10)/$M10),0),IF(ISNUMBER(Data_2017!O10),100*ABS($G10-(Data_2017!O10-$K10)/$M10),0)))</f>
        <v>66.6666666666667</v>
      </c>
      <c r="V10" s="100">
        <f>IF($H10=0,0,CHOOSE($H10,SUMPRODUCT($O11:$O$67*V11:V$67*($E11:$E$67=$D10)),IF(ISNUMBER(Data_2017!P10),100*ABS($G10-(Data_2017!P10-$K10)/$M10),0),IF(ISNUMBER(Data_2017!P10),100*ABS($G10-(Data_2017!P10-$K10)/$M10),0)))</f>
        <v>33.3333333333333</v>
      </c>
      <c r="W10" s="100">
        <f>IF($H10=0,0,CHOOSE($H10,SUMPRODUCT($O11:$O$67*W11:W$67*($E11:$E$67=$D10)),IF(ISNUMBER(Data_2017!Q10),100*ABS($G10-(Data_2017!Q10-$K10)/$M10),0),IF(ISNUMBER(Data_2017!Q10),100*ABS($G10-(Data_2017!Q10-$K10)/$M10),0)))</f>
        <v>100</v>
      </c>
      <c r="X10" s="100">
        <f>IF($H10=0,0,CHOOSE($H10,SUMPRODUCT($O11:$O$67*X11:X$67*($E11:$E$67=$D10)),IF(ISNUMBER(Data_2017!R10),100*ABS($G10-(Data_2017!R10-$K10)/$M10),0),IF(ISNUMBER(Data_2017!R10),100*ABS($G10-(Data_2017!R10-$K10)/$M10),0)))</f>
        <v>33.3333333333333</v>
      </c>
      <c r="Y10" s="100">
        <f>IF($H10=0,0,CHOOSE($H10,SUMPRODUCT($O11:$O$67*Y11:Y$67*($E11:$E$67=$D10)),IF(ISNUMBER(Data_2017!S10),100*ABS($G10-(Data_2017!S10-$K10)/$M10),0),IF(ISNUMBER(Data_2017!S10),100*ABS($G10-(Data_2017!S10-$K10)/$M10),0)))</f>
        <v>33.3333333333333</v>
      </c>
      <c r="Z10" s="100">
        <f>IF($H10=0,0,CHOOSE($H10,SUMPRODUCT($O11:$O$67*Z11:Z$67*($E11:$E$67=$D10)),IF(ISNUMBER(Data_2017!T10),100*ABS($G10-(Data_2017!T10-$K10)/$M10),0),IF(ISNUMBER(Data_2017!T10),100*ABS($G10-(Data_2017!T10-$K10)/$M10),0)))</f>
        <v>33.3333333333333</v>
      </c>
      <c r="AA10" s="100">
        <f>IF($H10=0,0,CHOOSE($H10,SUMPRODUCT($O11:$O$67*AA11:AA$67*($E11:$E$67=$D10)),IF(ISNUMBER(Data_2017!U10),100*ABS($G10-(Data_2017!U10-$K10)/$M10),0),IF(ISNUMBER(Data_2017!U10),100*ABS($G10-(Data_2017!U10-$K10)/$M10),0)))</f>
        <v>33.3333333333333</v>
      </c>
      <c r="AB10" s="100">
        <f>IF($H10=0,0,CHOOSE($H10,SUMPRODUCT($O11:$O$67*AB11:AB$67*($E11:$E$67=$D10)),IF(ISNUMBER(Data_2017!V10),100*ABS($G10-(Data_2017!V10-$K10)/$M10),0),IF(ISNUMBER(Data_2017!V10),100*ABS($G10-(Data_2017!V10-$K10)/$M10),0)))</f>
        <v>100</v>
      </c>
      <c r="AC10" s="100">
        <f>IF($H10=0,0,CHOOSE($H10,SUMPRODUCT($O11:$O$67*AC11:AC$67*($E11:$E$67=$D10)),IF(ISNUMBER(Data_2017!W10),100*ABS($G10-(Data_2017!W10-$K10)/$M10),0),IF(ISNUMBER(Data_2017!W10),100*ABS($G10-(Data_2017!W10-$K10)/$M10),0)))</f>
        <v>100</v>
      </c>
      <c r="AD10" s="100">
        <f>IF($H10=0,0,CHOOSE($H10,SUMPRODUCT($O11:$O$67*AD11:AD$67*($E11:$E$67=$D10)),IF(ISNUMBER(Data_2017!X10),100*ABS($G10-(Data_2017!X10-$K10)/$M10),0),IF(ISNUMBER(Data_2017!X10),100*ABS($G10-(Data_2017!X10-$K10)/$M10),0)))</f>
        <v>66.6666666666667</v>
      </c>
      <c r="AE10" s="100">
        <f>IF($H10=0,0,CHOOSE($H10,SUMPRODUCT($O11:$O$67*AE11:AE$67*($E11:$E$67=$D10)),IF(ISNUMBER(Data_2017!Y10),100*ABS($G10-(Data_2017!Y10-$K10)/$M10),0),IF(ISNUMBER(Data_2017!Y10),100*ABS($G10-(Data_2017!Y10-$K10)/$M10),0)))</f>
        <v>33.3333333333333</v>
      </c>
      <c r="AF10" s="100">
        <f>IF($H10=0,0,CHOOSE($H10,SUMPRODUCT($O11:$O$67*AF11:AF$67*($E11:$E$67=$D10)),IF(ISNUMBER(Data_2017!Z10),100*ABS($G10-(Data_2017!Z10-$K10)/$M10),0),IF(ISNUMBER(Data_2017!Z10),100*ABS($G10-(Data_2017!Z10-$K10)/$M10),0)))</f>
        <v>66.6666666666667</v>
      </c>
      <c r="AG10" s="100">
        <f>IF($H10=0,0,CHOOSE($H10,SUMPRODUCT($O11:$O$67*AG11:AG$67*($E11:$E$67=$D10)),IF(ISNUMBER(Data_2017!AA10),100*ABS($G10-(Data_2017!AA10-$K10)/$M10),0),IF(ISNUMBER(Data_2017!AA10),100*ABS($G10-(Data_2017!AA10-$K10)/$M10),0)))</f>
        <v>100</v>
      </c>
      <c r="AH10" s="100">
        <f>IF($H10=0,0,CHOOSE($H10,SUMPRODUCT($O11:$O$67*AH11:AH$67*($E11:$E$67=$D10)),IF(ISNUMBER(Data_2017!AB10),100*ABS($G10-(Data_2017!AB10-$K10)/$M10),0),IF(ISNUMBER(Data_2017!AB10),100*ABS($G10-(Data_2017!AB10-$K10)/$M10),0)))</f>
        <v>33.3333333333333</v>
      </c>
      <c r="AI10" s="100">
        <f>IF($H10=0,0,CHOOSE($H10,SUMPRODUCT($O11:$O$67*AI11:AI$67*($E11:$E$67=$D10)),IF(ISNUMBER(Data_2017!AC10),100*ABS($G10-(Data_2017!AC10-$K10)/$M10),0),IF(ISNUMBER(Data_2017!AC10),100*ABS($G10-(Data_2017!AC10-$K10)/$M10),0)))</f>
        <v>100</v>
      </c>
      <c r="AJ10" s="100">
        <f>IF($H10=0,0,CHOOSE($H10,SUMPRODUCT($O11:$O$67*AJ11:AJ$67*($E11:$E$67=$D10)),IF(ISNUMBER(Data_2017!AD10),100*ABS($G10-(Data_2017!AD10-$K10)/$M10),0),IF(ISNUMBER(Data_2017!AD10),100*ABS($G10-(Data_2017!AD10-$K10)/$M10),0)))</f>
        <v>100</v>
      </c>
      <c r="AK10" s="100">
        <f>IF($H10=0,0,CHOOSE($H10,SUMPRODUCT($O11:$O$67*AK11:AK$67*($E11:$E$67=$D10)),IF(ISNUMBER(Data_2017!AE10),100*ABS($G10-(Data_2017!AE10-$K10)/$M10),0),IF(ISNUMBER(Data_2017!AE10),100*ABS($G10-(Data_2017!AE10-$K10)/$M10),0)))</f>
        <v>66.6666666666667</v>
      </c>
      <c r="AL10" s="100">
        <f>IF($H10=0,0,CHOOSE($H10,SUMPRODUCT($O11:$O$67*AL11:AL$67*($E11:$E$67=$D10)),IF(ISNUMBER(Data_2017!AF10),100*ABS($G10-(Data_2017!AF10-$K10)/$M10),0),IF(ISNUMBER(Data_2017!AF10),100*ABS($G10-(Data_2017!AF10-$K10)/$M10),0)))</f>
        <v>66.6666666666667</v>
      </c>
      <c r="AM10" s="100">
        <f>IF($H10=0,0,CHOOSE($H10,SUMPRODUCT($O11:$O$67*AM11:AM$67*($E11:$E$67=$D10)),IF(ISNUMBER(Data_2017!AG10),100*ABS($G10-(Data_2017!AG10-$K10)/$M10),0),IF(ISNUMBER(Data_2017!AG10),100*ABS($G10-(Data_2017!AG10-$K10)/$M10),0)))</f>
        <v>66.6666666666667</v>
      </c>
      <c r="AN10" s="100">
        <f>IF($H10=0,0,CHOOSE($H10,SUMPRODUCT($O11:$O$67*AN11:AN$67*($E11:$E$67=$D10)),IF(ISNUMBER(Data_2017!AH10),100*ABS($G10-(Data_2017!AH10-$K10)/$M10),0),IF(ISNUMBER(Data_2017!AH10),100*ABS($G10-(Data_2017!AH10-$K10)/$M10),0)))</f>
        <v>100</v>
      </c>
      <c r="AO10" s="100">
        <f>IF($H10=0,0,CHOOSE($H10,SUMPRODUCT($O11:$O$67*AO11:AO$67*($E11:$E$67=$D10)),IF(ISNUMBER(Data_2017!AI10),100*ABS($G10-(Data_2017!AI10-$K10)/$M10),0),IF(ISNUMBER(Data_2017!AI10),100*ABS($G10-(Data_2017!AI10-$K10)/$M10),0)))</f>
        <v>66.6666666666667</v>
      </c>
      <c r="AP10" s="100">
        <f>IF($H10=0,0,CHOOSE($H10,SUMPRODUCT($O11:$O$67*AP11:AP$67*($E11:$E$67=$D10)),IF(ISNUMBER(Data_2017!AJ10),100*ABS($G10-(Data_2017!AJ10-$K10)/$M10),0),IF(ISNUMBER(Data_2017!AJ10),100*ABS($G10-(Data_2017!AJ10-$K10)/$M10),0)))</f>
        <v>33.3333333333333</v>
      </c>
      <c r="AQ10" s="100">
        <f>IF($H10=0,0,CHOOSE($H10,SUMPRODUCT($O11:$O$67*AQ11:AQ$67*($E11:$E$67=$D10)),IF(ISNUMBER(Data_2017!AK10),100*ABS($G10-(Data_2017!AK10-$K10)/$M10),0),IF(ISNUMBER(Data_2017!AK10),100*ABS($G10-(Data_2017!AK10-$K10)/$M10),0)))</f>
        <v>66.6666666666667</v>
      </c>
      <c r="AR10" s="100">
        <f>IF($H10=0,0,CHOOSE($H10,SUMPRODUCT($O11:$O$67*AR11:AR$67*($E11:$E$67=$D10)),IF(ISNUMBER(Data_2017!AL10),100*ABS($G10-(Data_2017!AL10-$K10)/$M10),0),IF(ISNUMBER(Data_2017!AL10),100*ABS($G10-(Data_2017!AL10-$K10)/$M10),0)))</f>
        <v>100</v>
      </c>
      <c r="AS10" s="100">
        <f>IF($H10=0,0,CHOOSE($H10,SUMPRODUCT($O11:$O$67*AS11:AS$67*($E11:$E$67=$D10)),IF(ISNUMBER(Data_2017!AM10),100*ABS($G10-(Data_2017!AM10-$K10)/$M10),0),IF(ISNUMBER(Data_2017!AM10),100*ABS($G10-(Data_2017!AM10-$K10)/$M10),0)))</f>
        <v>100</v>
      </c>
      <c r="AT10" s="100">
        <f>IF($H10=0,0,CHOOSE($H10,SUMPRODUCT($O11:$O$67*AT11:AT$67*($E11:$E$67=$D10)),IF(ISNUMBER(Data_2017!AN10),100*ABS($G10-(Data_2017!AN10-$K10)/$M10),0),IF(ISNUMBER(Data_2017!AN10),100*ABS($G10-(Data_2017!AN10-$K10)/$M10),0)))</f>
        <v>100</v>
      </c>
      <c r="AU10" s="100">
        <f>IF($H10=0,0,CHOOSE($H10,SUMPRODUCT($O11:$O$67*AU11:AU$67*($E11:$E$67=$D10)),IF(ISNUMBER(Data_2017!AO10),100*ABS($G10-(Data_2017!AO10-$K10)/$M10),0),IF(ISNUMBER(Data_2017!AO10),100*ABS($G10-(Data_2017!AO10-$K10)/$M10),0)))</f>
        <v>33.3333333333333</v>
      </c>
      <c r="AV10" s="100">
        <f>IF($H10=0,0,CHOOSE($H10,SUMPRODUCT($O11:$O$67*AV11:AV$67*($E11:$E$67=$D10)),IF(ISNUMBER(Data_2017!AP10),100*ABS($G10-(Data_2017!AP10-$K10)/$M10),0),IF(ISNUMBER(Data_2017!AP10),100*ABS($G10-(Data_2017!AP10-$K10)/$M10),0)))</f>
        <v>100</v>
      </c>
      <c r="AW10" s="100">
        <f>IF($H10=0,0,CHOOSE($H10,SUMPRODUCT($O11:$O$67*AW11:AW$67*($E11:$E$67=$D10)),IF(ISNUMBER(Data_2017!AQ10),100*ABS($G10-(Data_2017!AQ10-$K10)/$M10),0),IF(ISNUMBER(Data_2017!AQ10),100*ABS($G10-(Data_2017!AQ10-$K10)/$M10),0)))</f>
        <v>66.6666666666667</v>
      </c>
      <c r="AX10" s="100">
        <f>IF($H10=0,0,CHOOSE($H10,SUMPRODUCT($O11:$O$67*AX11:AX$67*($E11:$E$67=$D10)),IF(ISNUMBER(Data_2017!AR10),100*ABS($G10-(Data_2017!AR10-$K10)/$M10),0),IF(ISNUMBER(Data_2017!AR10),100*ABS($G10-(Data_2017!AR10-$K10)/$M10),0)))</f>
        <v>66.6666666666667</v>
      </c>
      <c r="AY10" s="100">
        <f>IF($H10=0,0,CHOOSE($H10,SUMPRODUCT($O11:$O$67*AY11:AY$67*($E11:$E$67=$D10)),IF(ISNUMBER(Data_2017!AS10),100*ABS($G10-(Data_2017!AS10-$K10)/$M10),0),IF(ISNUMBER(Data_2017!AS10),100*ABS($G10-(Data_2017!AS10-$K10)/$M10),0)))</f>
        <v>33.3333333333333</v>
      </c>
      <c r="AZ10" s="100">
        <f>IF($H10=0,0,CHOOSE($H10,SUMPRODUCT($O11:$O$67*AZ11:AZ$67*($E11:$E$67=$D10)),IF(ISNUMBER(Data_2017!AT10),100*ABS($G10-(Data_2017!AT10-$K10)/$M10),0),IF(ISNUMBER(Data_2017!AT10),100*ABS($G10-(Data_2017!AT10-$K10)/$M10),0)))</f>
        <v>66.6666666666667</v>
      </c>
      <c r="BA10" s="100">
        <f>IF($H10=0,0,CHOOSE($H10,SUMPRODUCT($O11:$O$67*BA11:BA$67*($E11:$E$67=$D10)),IF(ISNUMBER(Data_2017!AU10),100*ABS($G10-(Data_2017!AU10-$K10)/$M10),0),IF(ISNUMBER(Data_2017!AU10),100*ABS($G10-(Data_2017!AU10-$K10)/$M10),0)))</f>
        <v>100</v>
      </c>
      <c r="BB10" s="100">
        <f>IF($H10=0,0,CHOOSE($H10,SUMPRODUCT($O11:$O$67*BB11:BB$67*($E11:$E$67=$D10)),IF(ISNUMBER(Data_2017!AV10),100*ABS($G10-(Data_2017!AV10-$K10)/$M10),0),IF(ISNUMBER(Data_2017!AV10),100*ABS($G10-(Data_2017!AV10-$K10)/$M10),0)))</f>
        <v>66.6666666666667</v>
      </c>
      <c r="BC10" s="100">
        <f>IF($H10=0,0,CHOOSE($H10,SUMPRODUCT($O11:$O$67*BC11:BC$67*($E11:$E$67=$D10)),IF(ISNUMBER(Data_2017!AW10),100*ABS($G10-(Data_2017!AW10-$K10)/$M10),0),IF(ISNUMBER(Data_2017!AW10),100*ABS($G10-(Data_2017!AW10-$K10)/$M10),0)))</f>
        <v>66.6666666666667</v>
      </c>
      <c r="BD10" s="100">
        <f>IF($H10=0,0,CHOOSE($H10,SUMPRODUCT($O11:$O$67*BD11:BD$67*($E11:$E$67=$D10)),IF(ISNUMBER(Data_2017!AX10),100*ABS($G10-(Data_2017!AX10-$K10)/$M10),0),IF(ISNUMBER(Data_2017!AX10),100*ABS($G10-(Data_2017!AX10-$K10)/$M10),0)))</f>
        <v>66.6666666666667</v>
      </c>
      <c r="BE10" s="100">
        <f>IF($H10=0,0,CHOOSE($H10,SUMPRODUCT($O11:$O$67*BE11:BE$67*($E11:$E$67=$D10)),IF(ISNUMBER(Data_2017!AY10),100*ABS($G10-(Data_2017!AY10-$K10)/$M10),0),IF(ISNUMBER(Data_2017!AY10),100*ABS($G10-(Data_2017!AY10-$K10)/$M10),0)))</f>
        <v>66.6666666666667</v>
      </c>
      <c r="BF10" s="100">
        <f>IF($H10=0,0,CHOOSE($H10,SUMPRODUCT($O11:$O$67*BF11:BF$67*($E11:$E$67=$D10)),IF(ISNUMBER(Data_2017!AZ10),100*ABS($G10-(Data_2017!AZ10-$K10)/$M10),0),IF(ISNUMBER(Data_2017!AZ10),100*ABS($G10-(Data_2017!AZ10-$K10)/$M10),0)))</f>
        <v>66.6666666666667</v>
      </c>
      <c r="BG10" s="100">
        <f>IF($H10=0,0,CHOOSE($H10,SUMPRODUCT($O11:$O$67*BG11:BG$67*($E11:$E$67=$D10)),IF(ISNUMBER(Data_2017!BA10),100*ABS($G10-(Data_2017!BA10-$K10)/$M10),0),IF(ISNUMBER(Data_2017!BA10),100*ABS($G10-(Data_2017!BA10-$K10)/$M10),0)))</f>
        <v>100</v>
      </c>
      <c r="BH10" s="100">
        <f>IF($H10=0,0,CHOOSE($H10,SUMPRODUCT($O11:$O$67*BH11:BH$67*($E11:$E$67=$D10)),IF(ISNUMBER(Data_2017!BB10),100*ABS($G10-(Data_2017!BB10-$K10)/$M10),0),IF(ISNUMBER(Data_2017!BB10),100*ABS($G10-(Data_2017!BB10-$K10)/$M10),0)))</f>
        <v>100</v>
      </c>
      <c r="BI10" s="100">
        <f>IF($H10=0,0,CHOOSE($H10,SUMPRODUCT($O11:$O$67*BI11:BI$67*($E11:$E$67=$D10)),IF(ISNUMBER(Data_2017!BC10),100*ABS($G10-(Data_2017!BC10-$K10)/$M10),0),IF(ISNUMBER(Data_2017!BC10),100*ABS($G10-(Data_2017!BC10-$K10)/$M10),0)))</f>
        <v>66.6666666666667</v>
      </c>
      <c r="BJ10" s="100">
        <f>IF($H10=0,0,CHOOSE($H10,SUMPRODUCT($O11:$O$67*BJ11:BJ$67*($E11:$E$67=$D10)),IF(ISNUMBER(Data_2017!BD10),100*ABS($G10-(Data_2017!BD10-$K10)/$M10),0),IF(ISNUMBER(Data_2017!BD10),100*ABS($G10-(Data_2017!BD10-$K10)/$M10),0)))</f>
        <v>66.6666666666667</v>
      </c>
      <c r="BK10" s="100">
        <f>IF($H10=0,0,CHOOSE($H10,SUMPRODUCT($O11:$O$67*BK11:BK$67*($E11:$E$67=$D10)),IF(ISNUMBER(Data_2017!BE10),100*ABS($G10-(Data_2017!BE10-$K10)/$M10),0),IF(ISNUMBER(Data_2017!BE10),100*ABS($G10-(Data_2017!BE10-$K10)/$M10),0)))</f>
        <v>33.3333333333333</v>
      </c>
      <c r="BL10" s="100">
        <f>IF($H10=0,0,CHOOSE($H10,SUMPRODUCT($O11:$O$67*BL11:BL$67*($E11:$E$67=$D10)),IF(ISNUMBER(Data_2017!BF10),100*ABS($G10-(Data_2017!BF10-$K10)/$M10),0),IF(ISNUMBER(Data_2017!BF10),100*ABS($G10-(Data_2017!BF10-$K10)/$M10),0)))</f>
        <v>66.6666666666667</v>
      </c>
      <c r="BM10" s="100">
        <f>IF($H10=0,0,CHOOSE($H10,SUMPRODUCT($O11:$O$67*BM11:BM$67*($E11:$E$67=$D10)),IF(ISNUMBER(Data_2017!BG10),100*ABS($G10-(Data_2017!BG10-$K10)/$M10),0),IF(ISNUMBER(Data_2017!BG10),100*ABS($G10-(Data_2017!BG10-$K10)/$M10),0)))</f>
        <v>100</v>
      </c>
      <c r="BN10" s="100">
        <f>IF($H10=0,0,CHOOSE($H10,SUMPRODUCT($O11:$O$67*BN11:BN$67*($E11:$E$67=$D10)),IF(ISNUMBER(Data_2017!BH10),100*ABS($G10-(Data_2017!BH10-$K10)/$M10),0),IF(ISNUMBER(Data_2017!BH10),100*ABS($G10-(Data_2017!BH10-$K10)/$M10),0)))</f>
        <v>100</v>
      </c>
      <c r="BO10" s="100">
        <f>IF($H10=0,0,CHOOSE($H10,SUMPRODUCT($O11:$O$67*BO11:BO$67*($E11:$E$67=$D10)),IF(ISNUMBER(Data_2017!BI10),100*ABS($G10-(Data_2017!BI10-$K10)/$M10),0),IF(ISNUMBER(Data_2017!BI10),100*ABS($G10-(Data_2017!BI10-$K10)/$M10),0)))</f>
        <v>100</v>
      </c>
      <c r="BP10" s="100">
        <f>IF($H10=0,0,CHOOSE($H10,SUMPRODUCT($O11:$O$67*BP11:BP$67*($E11:$E$67=$D10)),IF(ISNUMBER(Data_2017!BJ10),100*ABS($G10-(Data_2017!BJ10-$K10)/$M10),0),IF(ISNUMBER(Data_2017!BJ10),100*ABS($G10-(Data_2017!BJ10-$K10)/$M10),0)))</f>
        <v>66.6666666666667</v>
      </c>
      <c r="BQ10" s="100">
        <f>IF($H10=0,0,CHOOSE($H10,SUMPRODUCT($O11:$O$67*BQ11:BQ$67*($E11:$E$67=$D10)),IF(ISNUMBER(Data_2017!BK10),100*ABS($G10-(Data_2017!BK10-$K10)/$M10),0),IF(ISNUMBER(Data_2017!BK10),100*ABS($G10-(Data_2017!BK10-$K10)/$M10),0)))</f>
        <v>33.3333333333333</v>
      </c>
      <c r="BR10" s="100">
        <f>IF($H10=0,0,CHOOSE($H10,SUMPRODUCT($O11:$O$67*BR11:BR$67*($E11:$E$67=$D10)),IF(ISNUMBER(Data_2017!BL10),100*ABS($G10-(Data_2017!BL10-$K10)/$M10),0),IF(ISNUMBER(Data_2017!BL10),100*ABS($G10-(Data_2017!BL10-$K10)/$M10),0)))</f>
        <v>66.6666666666667</v>
      </c>
      <c r="BS10" s="100">
        <f>IF($H10=0,0,CHOOSE($H10,SUMPRODUCT($O11:$O$67*BS11:BS$67*($E11:$E$67=$D10)),IF(ISNUMBER(Data_2017!BM10),100*ABS($G10-(Data_2017!BM10-$K10)/$M10),0),IF(ISNUMBER(Data_2017!BM10),100*ABS($G10-(Data_2017!BM10-$K10)/$M10),0)))</f>
        <v>100</v>
      </c>
      <c r="BT10" s="100">
        <f>IF($H10=0,0,CHOOSE($H10,SUMPRODUCT($O11:$O$67*BT11:BT$67*($E11:$E$67=$D10)),IF(ISNUMBER(Data_2017!BN10),100*ABS($G10-(Data_2017!BN10-$K10)/$M10),0),IF(ISNUMBER(Data_2017!BN10),100*ABS($G10-(Data_2017!BN10-$K10)/$M10),0)))</f>
        <v>100</v>
      </c>
      <c r="BU10" s="100">
        <f>IF($H10=0,0,CHOOSE($H10,SUMPRODUCT($O11:$O$67*BU11:BU$67*($E11:$E$67=$D10)),IF(ISNUMBER(Data_2017!BO10),100*ABS($G10-(Data_2017!BO10-$K10)/$M10),0),IF(ISNUMBER(Data_2017!BO10),100*ABS($G10-(Data_2017!BO10-$K10)/$M10),0)))</f>
        <v>66.6666666666667</v>
      </c>
      <c r="BV10" s="100">
        <f>IF($H10=0,0,CHOOSE($H10,SUMPRODUCT($O11:$O$67*BV11:BV$67*($E11:$E$67=$D10)),IF(ISNUMBER(Data_2017!BP10),100*ABS($G10-(Data_2017!BP10-$K10)/$M10),0),IF(ISNUMBER(Data_2017!BP10),100*ABS($G10-(Data_2017!BP10-$K10)/$M10),0)))</f>
        <v>33.3333333333333</v>
      </c>
      <c r="BW10" s="100">
        <f>IF($H10=0,0,CHOOSE($H10,SUMPRODUCT($O11:$O$67*BW11:BW$67*($E11:$E$67=$D10)),IF(ISNUMBER(Data_2017!BQ10),100*ABS($G10-(Data_2017!BQ10-$K10)/$M10),0),IF(ISNUMBER(Data_2017!BQ10),100*ABS($G10-(Data_2017!BQ10-$K10)/$M10),0)))</f>
        <v>100</v>
      </c>
      <c r="BX10" s="100">
        <f>IF($H10=0,0,CHOOSE($H10,SUMPRODUCT($O11:$O$67*BX11:BX$67*($E11:$E$67=$D10)),IF(ISNUMBER(Data_2017!BR10),100*ABS($G10-(Data_2017!BR10-$K10)/$M10),0),IF(ISNUMBER(Data_2017!BR10),100*ABS($G10-(Data_2017!BR10-$K10)/$M10),0)))</f>
        <v>66.6666666666667</v>
      </c>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row>
    <row r="11" s="69" customFormat="1" ht="24.95" customHeight="1" spans="1:130">
      <c r="A11" s="92"/>
      <c r="B11" s="92">
        <f>tblIndicators!A7</f>
        <v>6</v>
      </c>
      <c r="C11" s="92">
        <f>tblIndicators!B7</f>
        <v>0</v>
      </c>
      <c r="D11" s="92" t="str">
        <f>tblIndicators!D7</f>
        <v>DISE1.1.3</v>
      </c>
      <c r="E11" s="92" t="str">
        <f>tblIndicators!E7</f>
        <v>DISE1.1</v>
      </c>
      <c r="F11" s="92">
        <f>tblIndicators!F7</f>
        <v>3</v>
      </c>
      <c r="G11" s="92">
        <f>tblIndicators!Y7</f>
        <v>0</v>
      </c>
      <c r="H11" s="92">
        <f>tblIndicators!Z7</f>
        <v>3</v>
      </c>
      <c r="I11" s="104">
        <f>tblIndicators!AA7</f>
        <v>0</v>
      </c>
      <c r="J11" s="92">
        <f>tblIndicators!AB7</f>
        <v>2</v>
      </c>
      <c r="K11" s="89">
        <f>IF(uxb_works!$B$66=1,CHOOSE(H11,"-",MIN(Data_2017!J11:BR11),I11),CHOOSE(H11,"-",MIN(Data_2017!J11:BQ11),I11))</f>
        <v>0</v>
      </c>
      <c r="L11" s="97">
        <f>IF(uxb_works!$B$66=1,CHOOSE(H11,"-",MAX(Data_2017!J11:BR11),J11),CHOOSE(H11,"-",MAX(Data_2017!J11:BQ11),J11))</f>
        <v>2</v>
      </c>
      <c r="M11" s="92">
        <f t="shared" si="1"/>
        <v>2</v>
      </c>
      <c r="N11" s="105" t="str">
        <f>REPT(" ",F11)&amp;tblIndicators!AE7</f>
        <v>   1.1.3) Public-private partnerships</v>
      </c>
      <c r="O11" s="106">
        <f>tblIndicators!AD7</f>
        <v>0.2</v>
      </c>
      <c r="P11" s="100">
        <f>IF($H11=0,0,CHOOSE($H11,SUMPRODUCT($O12:$O$67*P12:P$67*($E12:$E$67=$D11)),IF(ISNUMBER(Data_2017!J11),100*ABS($G11-(Data_2017!J11-$K11)/$M11),0),IF(ISNUMBER(Data_2017!J11),100*ABS($G11-(Data_2017!J11-$K11)/$M11),0)))</f>
        <v>50</v>
      </c>
      <c r="Q11" s="100">
        <f>IF($H11=0,0,CHOOSE($H11,SUMPRODUCT($O12:$O$67*Q12:Q$67*($E12:$E$67=$D11)),IF(ISNUMBER(Data_2017!K11),100*ABS($G11-(Data_2017!K11-$K11)/$M11),0),IF(ISNUMBER(Data_2017!K11),100*ABS($G11-(Data_2017!K11-$K11)/$M11),0)))</f>
        <v>50</v>
      </c>
      <c r="R11" s="100">
        <f>IF($H11=0,0,CHOOSE($H11,SUMPRODUCT($O12:$O$67*R12:R$67*($E12:$E$67=$D11)),IF(ISNUMBER(Data_2017!L11),100*ABS($G11-(Data_2017!L11-$K11)/$M11),0),IF(ISNUMBER(Data_2017!L11),100*ABS($G11-(Data_2017!L11-$K11)/$M11),0)))</f>
        <v>0</v>
      </c>
      <c r="S11" s="100">
        <f>IF($H11=0,0,CHOOSE($H11,SUMPRODUCT($O12:$O$67*S12:S$67*($E12:$E$67=$D11)),IF(ISNUMBER(Data_2017!M11),100*ABS($G11-(Data_2017!M11-$K11)/$M11),0),IF(ISNUMBER(Data_2017!M11),100*ABS($G11-(Data_2017!M11-$K11)/$M11),0)))</f>
        <v>0</v>
      </c>
      <c r="T11" s="100">
        <f>IF($H11=0,0,CHOOSE($H11,SUMPRODUCT($O12:$O$67*T12:T$67*($E12:$E$67=$D11)),IF(ISNUMBER(Data_2017!N11),100*ABS($G11-(Data_2017!N11-$K11)/$M11),0),IF(ISNUMBER(Data_2017!N11),100*ABS($G11-(Data_2017!N11-$K11)/$M11),0)))</f>
        <v>50</v>
      </c>
      <c r="U11" s="100">
        <f>IF($H11=0,0,CHOOSE($H11,SUMPRODUCT($O12:$O$67*U12:U$67*($E12:$E$67=$D11)),IF(ISNUMBER(Data_2017!O11),100*ABS($G11-(Data_2017!O11-$K11)/$M11),0),IF(ISNUMBER(Data_2017!O11),100*ABS($G11-(Data_2017!O11-$K11)/$M11),0)))</f>
        <v>0</v>
      </c>
      <c r="V11" s="100">
        <f>IF($H11=0,0,CHOOSE($H11,SUMPRODUCT($O12:$O$67*V12:V$67*($E12:$E$67=$D11)),IF(ISNUMBER(Data_2017!P11),100*ABS($G11-(Data_2017!P11-$K11)/$M11),0),IF(ISNUMBER(Data_2017!P11),100*ABS($G11-(Data_2017!P11-$K11)/$M11),0)))</f>
        <v>0</v>
      </c>
      <c r="W11" s="100">
        <f>IF($H11=0,0,CHOOSE($H11,SUMPRODUCT($O12:$O$67*W12:W$67*($E12:$E$67=$D11)),IF(ISNUMBER(Data_2017!Q11),100*ABS($G11-(Data_2017!Q11-$K11)/$M11),0),IF(ISNUMBER(Data_2017!Q11),100*ABS($G11-(Data_2017!Q11-$K11)/$M11),0)))</f>
        <v>50</v>
      </c>
      <c r="X11" s="100">
        <f>IF($H11=0,0,CHOOSE($H11,SUMPRODUCT($O12:$O$67*X12:X$67*($E12:$E$67=$D11)),IF(ISNUMBER(Data_2017!R11),100*ABS($G11-(Data_2017!R11-$K11)/$M11),0),IF(ISNUMBER(Data_2017!R11),100*ABS($G11-(Data_2017!R11-$K11)/$M11),0)))</f>
        <v>50</v>
      </c>
      <c r="Y11" s="100">
        <f>IF($H11=0,0,CHOOSE($H11,SUMPRODUCT($O12:$O$67*Y12:Y$67*($E12:$E$67=$D11)),IF(ISNUMBER(Data_2017!S11),100*ABS($G11-(Data_2017!S11-$K11)/$M11),0),IF(ISNUMBER(Data_2017!S11),100*ABS($G11-(Data_2017!S11-$K11)/$M11),0)))</f>
        <v>0</v>
      </c>
      <c r="Z11" s="100">
        <f>IF($H11=0,0,CHOOSE($H11,SUMPRODUCT($O12:$O$67*Z12:Z$67*($E12:$E$67=$D11)),IF(ISNUMBER(Data_2017!T11),100*ABS($G11-(Data_2017!T11-$K11)/$M11),0),IF(ISNUMBER(Data_2017!T11),100*ABS($G11-(Data_2017!T11-$K11)/$M11),0)))</f>
        <v>50</v>
      </c>
      <c r="AA11" s="100">
        <f>IF($H11=0,0,CHOOSE($H11,SUMPRODUCT($O12:$O$67*AA12:AA$67*($E12:$E$67=$D11)),IF(ISNUMBER(Data_2017!U11),100*ABS($G11-(Data_2017!U11-$K11)/$M11),0),IF(ISNUMBER(Data_2017!U11),100*ABS($G11-(Data_2017!U11-$K11)/$M11),0)))</f>
        <v>0</v>
      </c>
      <c r="AB11" s="100">
        <f>IF($H11=0,0,CHOOSE($H11,SUMPRODUCT($O12:$O$67*AB12:AB$67*($E12:$E$67=$D11)),IF(ISNUMBER(Data_2017!V11),100*ABS($G11-(Data_2017!V11-$K11)/$M11),0),IF(ISNUMBER(Data_2017!V11),100*ABS($G11-(Data_2017!V11-$K11)/$M11),0)))</f>
        <v>100</v>
      </c>
      <c r="AC11" s="100">
        <f>IF($H11=0,0,CHOOSE($H11,SUMPRODUCT($O12:$O$67*AC12:AC$67*($E12:$E$67=$D11)),IF(ISNUMBER(Data_2017!W11),100*ABS($G11-(Data_2017!W11-$K11)/$M11),0),IF(ISNUMBER(Data_2017!W11),100*ABS($G11-(Data_2017!W11-$K11)/$M11),0)))</f>
        <v>100</v>
      </c>
      <c r="AD11" s="100">
        <f>IF($H11=0,0,CHOOSE($H11,SUMPRODUCT($O12:$O$67*AD12:AD$67*($E12:$E$67=$D11)),IF(ISNUMBER(Data_2017!X11),100*ABS($G11-(Data_2017!X11-$K11)/$M11),0),IF(ISNUMBER(Data_2017!X11),100*ABS($G11-(Data_2017!X11-$K11)/$M11),0)))</f>
        <v>50</v>
      </c>
      <c r="AE11" s="100">
        <f>IF($H11=0,0,CHOOSE($H11,SUMPRODUCT($O12:$O$67*AE12:AE$67*($E12:$E$67=$D11)),IF(ISNUMBER(Data_2017!Y11),100*ABS($G11-(Data_2017!Y11-$K11)/$M11),0),IF(ISNUMBER(Data_2017!Y11),100*ABS($G11-(Data_2017!Y11-$K11)/$M11),0)))</f>
        <v>50</v>
      </c>
      <c r="AF11" s="100">
        <f>IF($H11=0,0,CHOOSE($H11,SUMPRODUCT($O12:$O$67*AF12:AF$67*($E12:$E$67=$D11)),IF(ISNUMBER(Data_2017!Z11),100*ABS($G11-(Data_2017!Z11-$K11)/$M11),0),IF(ISNUMBER(Data_2017!Z11),100*ABS($G11-(Data_2017!Z11-$K11)/$M11),0)))</f>
        <v>50</v>
      </c>
      <c r="AG11" s="100">
        <f>IF($H11=0,0,CHOOSE($H11,SUMPRODUCT($O12:$O$67*AG12:AG$67*($E12:$E$67=$D11)),IF(ISNUMBER(Data_2017!AA11),100*ABS($G11-(Data_2017!AA11-$K11)/$M11),0),IF(ISNUMBER(Data_2017!AA11),100*ABS($G11-(Data_2017!AA11-$K11)/$M11),0)))</f>
        <v>50</v>
      </c>
      <c r="AH11" s="100">
        <f>IF($H11=0,0,CHOOSE($H11,SUMPRODUCT($O12:$O$67*AH12:AH$67*($E12:$E$67=$D11)),IF(ISNUMBER(Data_2017!AB11),100*ABS($G11-(Data_2017!AB11-$K11)/$M11),0),IF(ISNUMBER(Data_2017!AB11),100*ABS($G11-(Data_2017!AB11-$K11)/$M11),0)))</f>
        <v>0</v>
      </c>
      <c r="AI11" s="100">
        <f>IF($H11=0,0,CHOOSE($H11,SUMPRODUCT($O12:$O$67*AI12:AI$67*($E12:$E$67=$D11)),IF(ISNUMBER(Data_2017!AC11),100*ABS($G11-(Data_2017!AC11-$K11)/$M11),0),IF(ISNUMBER(Data_2017!AC11),100*ABS($G11-(Data_2017!AC11-$K11)/$M11),0)))</f>
        <v>100</v>
      </c>
      <c r="AJ11" s="100">
        <f>IF($H11=0,0,CHOOSE($H11,SUMPRODUCT($O12:$O$67*AJ12:AJ$67*($E12:$E$67=$D11)),IF(ISNUMBER(Data_2017!AD11),100*ABS($G11-(Data_2017!AD11-$K11)/$M11),0),IF(ISNUMBER(Data_2017!AD11),100*ABS($G11-(Data_2017!AD11-$K11)/$M11),0)))</f>
        <v>50</v>
      </c>
      <c r="AK11" s="100">
        <f>IF($H11=0,0,CHOOSE($H11,SUMPRODUCT($O12:$O$67*AK12:AK$67*($E12:$E$67=$D11)),IF(ISNUMBER(Data_2017!AE11),100*ABS($G11-(Data_2017!AE11-$K11)/$M11),0),IF(ISNUMBER(Data_2017!AE11),100*ABS($G11-(Data_2017!AE11-$K11)/$M11),0)))</f>
        <v>0</v>
      </c>
      <c r="AL11" s="100">
        <f>IF($H11=0,0,CHOOSE($H11,SUMPRODUCT($O12:$O$67*AL12:AL$67*($E12:$E$67=$D11)),IF(ISNUMBER(Data_2017!AF11),100*ABS($G11-(Data_2017!AF11-$K11)/$M11),0),IF(ISNUMBER(Data_2017!AF11),100*ABS($G11-(Data_2017!AF11-$K11)/$M11),0)))</f>
        <v>0</v>
      </c>
      <c r="AM11" s="100">
        <f>IF($H11=0,0,CHOOSE($H11,SUMPRODUCT($O12:$O$67*AM12:AM$67*($E12:$E$67=$D11)),IF(ISNUMBER(Data_2017!AG11),100*ABS($G11-(Data_2017!AG11-$K11)/$M11),0),IF(ISNUMBER(Data_2017!AG11),100*ABS($G11-(Data_2017!AG11-$K11)/$M11),0)))</f>
        <v>50</v>
      </c>
      <c r="AN11" s="100">
        <f>IF($H11=0,0,CHOOSE($H11,SUMPRODUCT($O12:$O$67*AN12:AN$67*($E12:$E$67=$D11)),IF(ISNUMBER(Data_2017!AH11),100*ABS($G11-(Data_2017!AH11-$K11)/$M11),0),IF(ISNUMBER(Data_2017!AH11),100*ABS($G11-(Data_2017!AH11-$K11)/$M11),0)))</f>
        <v>0</v>
      </c>
      <c r="AO11" s="100">
        <f>IF($H11=0,0,CHOOSE($H11,SUMPRODUCT($O12:$O$67*AO12:AO$67*($E12:$E$67=$D11)),IF(ISNUMBER(Data_2017!AI11),100*ABS($G11-(Data_2017!AI11-$K11)/$M11),0),IF(ISNUMBER(Data_2017!AI11),100*ABS($G11-(Data_2017!AI11-$K11)/$M11),0)))</f>
        <v>50</v>
      </c>
      <c r="AP11" s="100">
        <f>IF($H11=0,0,CHOOSE($H11,SUMPRODUCT($O12:$O$67*AP12:AP$67*($E12:$E$67=$D11)),IF(ISNUMBER(Data_2017!AJ11),100*ABS($G11-(Data_2017!AJ11-$K11)/$M11),0),IF(ISNUMBER(Data_2017!AJ11),100*ABS($G11-(Data_2017!AJ11-$K11)/$M11),0)))</f>
        <v>0</v>
      </c>
      <c r="AQ11" s="100">
        <f>IF($H11=0,0,CHOOSE($H11,SUMPRODUCT($O12:$O$67*AQ12:AQ$67*($E12:$E$67=$D11)),IF(ISNUMBER(Data_2017!AK11),100*ABS($G11-(Data_2017!AK11-$K11)/$M11),0),IF(ISNUMBER(Data_2017!AK11),100*ABS($G11-(Data_2017!AK11-$K11)/$M11),0)))</f>
        <v>50</v>
      </c>
      <c r="AR11" s="100">
        <f>IF($H11=0,0,CHOOSE($H11,SUMPRODUCT($O12:$O$67*AR12:AR$67*($E12:$E$67=$D11)),IF(ISNUMBER(Data_2017!AL11),100*ABS($G11-(Data_2017!AL11-$K11)/$M11),0),IF(ISNUMBER(Data_2017!AL11),100*ABS($G11-(Data_2017!AL11-$K11)/$M11),0)))</f>
        <v>50</v>
      </c>
      <c r="AS11" s="100">
        <f>IF($H11=0,0,CHOOSE($H11,SUMPRODUCT($O12:$O$67*AS12:AS$67*($E12:$E$67=$D11)),IF(ISNUMBER(Data_2017!AM11),100*ABS($G11-(Data_2017!AM11-$K11)/$M11),0),IF(ISNUMBER(Data_2017!AM11),100*ABS($G11-(Data_2017!AM11-$K11)/$M11),0)))</f>
        <v>100</v>
      </c>
      <c r="AT11" s="100">
        <f>IF($H11=0,0,CHOOSE($H11,SUMPRODUCT($O12:$O$67*AT12:AT$67*($E12:$E$67=$D11)),IF(ISNUMBER(Data_2017!AN11),100*ABS($G11-(Data_2017!AN11-$K11)/$M11),0),IF(ISNUMBER(Data_2017!AN11),100*ABS($G11-(Data_2017!AN11-$K11)/$M11),0)))</f>
        <v>50</v>
      </c>
      <c r="AU11" s="100">
        <f>IF($H11=0,0,CHOOSE($H11,SUMPRODUCT($O12:$O$67*AU12:AU$67*($E12:$E$67=$D11)),IF(ISNUMBER(Data_2017!AO11),100*ABS($G11-(Data_2017!AO11-$K11)/$M11),0),IF(ISNUMBER(Data_2017!AO11),100*ABS($G11-(Data_2017!AO11-$K11)/$M11),0)))</f>
        <v>50</v>
      </c>
      <c r="AV11" s="100">
        <f>IF($H11=0,0,CHOOSE($H11,SUMPRODUCT($O12:$O$67*AV12:AV$67*($E12:$E$67=$D11)),IF(ISNUMBER(Data_2017!AP11),100*ABS($G11-(Data_2017!AP11-$K11)/$M11),0),IF(ISNUMBER(Data_2017!AP11),100*ABS($G11-(Data_2017!AP11-$K11)/$M11),0)))</f>
        <v>50</v>
      </c>
      <c r="AW11" s="100">
        <f>IF($H11=0,0,CHOOSE($H11,SUMPRODUCT($O12:$O$67*AW12:AW$67*($E12:$E$67=$D11)),IF(ISNUMBER(Data_2017!AQ11),100*ABS($G11-(Data_2017!AQ11-$K11)/$M11),0),IF(ISNUMBER(Data_2017!AQ11),100*ABS($G11-(Data_2017!AQ11-$K11)/$M11),0)))</f>
        <v>50</v>
      </c>
      <c r="AX11" s="100">
        <f>IF($H11=0,0,CHOOSE($H11,SUMPRODUCT($O12:$O$67*AX12:AX$67*($E12:$E$67=$D11)),IF(ISNUMBER(Data_2017!AR11),100*ABS($G11-(Data_2017!AR11-$K11)/$M11),0),IF(ISNUMBER(Data_2017!AR11),100*ABS($G11-(Data_2017!AR11-$K11)/$M11),0)))</f>
        <v>100</v>
      </c>
      <c r="AY11" s="100">
        <f>IF($H11=0,0,CHOOSE($H11,SUMPRODUCT($O12:$O$67*AY12:AY$67*($E12:$E$67=$D11)),IF(ISNUMBER(Data_2017!AS11),100*ABS($G11-(Data_2017!AS11-$K11)/$M11),0),IF(ISNUMBER(Data_2017!AS11),100*ABS($G11-(Data_2017!AS11-$K11)/$M11),0)))</f>
        <v>0</v>
      </c>
      <c r="AZ11" s="100">
        <f>IF($H11=0,0,CHOOSE($H11,SUMPRODUCT($O12:$O$67*AZ12:AZ$67*($E12:$E$67=$D11)),IF(ISNUMBER(Data_2017!AT11),100*ABS($G11-(Data_2017!AT11-$K11)/$M11),0),IF(ISNUMBER(Data_2017!AT11),100*ABS($G11-(Data_2017!AT11-$K11)/$M11),0)))</f>
        <v>50</v>
      </c>
      <c r="BA11" s="100">
        <f>IF($H11=0,0,CHOOSE($H11,SUMPRODUCT($O12:$O$67*BA12:BA$67*($E12:$E$67=$D11)),IF(ISNUMBER(Data_2017!AU11),100*ABS($G11-(Data_2017!AU11-$K11)/$M11),0),IF(ISNUMBER(Data_2017!AU11),100*ABS($G11-(Data_2017!AU11-$K11)/$M11),0)))</f>
        <v>100</v>
      </c>
      <c r="BB11" s="100">
        <f>IF($H11=0,0,CHOOSE($H11,SUMPRODUCT($O12:$O$67*BB12:BB$67*($E12:$E$67=$D11)),IF(ISNUMBER(Data_2017!AV11),100*ABS($G11-(Data_2017!AV11-$K11)/$M11),0),IF(ISNUMBER(Data_2017!AV11),100*ABS($G11-(Data_2017!AV11-$K11)/$M11),0)))</f>
        <v>50</v>
      </c>
      <c r="BC11" s="100">
        <f>IF($H11=0,0,CHOOSE($H11,SUMPRODUCT($O12:$O$67*BC12:BC$67*($E12:$E$67=$D11)),IF(ISNUMBER(Data_2017!AW11),100*ABS($G11-(Data_2017!AW11-$K11)/$M11),0),IF(ISNUMBER(Data_2017!AW11),100*ABS($G11-(Data_2017!AW11-$K11)/$M11),0)))</f>
        <v>50</v>
      </c>
      <c r="BD11" s="100">
        <f>IF($H11=0,0,CHOOSE($H11,SUMPRODUCT($O12:$O$67*BD12:BD$67*($E12:$E$67=$D11)),IF(ISNUMBER(Data_2017!AX11),100*ABS($G11-(Data_2017!AX11-$K11)/$M11),0),IF(ISNUMBER(Data_2017!AX11),100*ABS($G11-(Data_2017!AX11-$K11)/$M11),0)))</f>
        <v>50</v>
      </c>
      <c r="BE11" s="100">
        <f>IF($H11=0,0,CHOOSE($H11,SUMPRODUCT($O12:$O$67*BE12:BE$67*($E12:$E$67=$D11)),IF(ISNUMBER(Data_2017!AY11),100*ABS($G11-(Data_2017!AY11-$K11)/$M11),0),IF(ISNUMBER(Data_2017!AY11),100*ABS($G11-(Data_2017!AY11-$K11)/$M11),0)))</f>
        <v>0</v>
      </c>
      <c r="BF11" s="100">
        <f>IF($H11=0,0,CHOOSE($H11,SUMPRODUCT($O12:$O$67*BF12:BF$67*($E12:$E$67=$D11)),IF(ISNUMBER(Data_2017!AZ11),100*ABS($G11-(Data_2017!AZ11-$K11)/$M11),0),IF(ISNUMBER(Data_2017!AZ11),100*ABS($G11-(Data_2017!AZ11-$K11)/$M11),0)))</f>
        <v>0</v>
      </c>
      <c r="BG11" s="100">
        <f>IF($H11=0,0,CHOOSE($H11,SUMPRODUCT($O12:$O$67*BG12:BG$67*($E12:$E$67=$D11)),IF(ISNUMBER(Data_2017!BA11),100*ABS($G11-(Data_2017!BA11-$K11)/$M11),0),IF(ISNUMBER(Data_2017!BA11),100*ABS($G11-(Data_2017!BA11-$K11)/$M11),0)))</f>
        <v>50</v>
      </c>
      <c r="BH11" s="100">
        <f>IF($H11=0,0,CHOOSE($H11,SUMPRODUCT($O12:$O$67*BH12:BH$67*($E12:$E$67=$D11)),IF(ISNUMBER(Data_2017!BB11),100*ABS($G11-(Data_2017!BB11-$K11)/$M11),0),IF(ISNUMBER(Data_2017!BB11),100*ABS($G11-(Data_2017!BB11-$K11)/$M11),0)))</f>
        <v>100</v>
      </c>
      <c r="BI11" s="100">
        <f>IF($H11=0,0,CHOOSE($H11,SUMPRODUCT($O12:$O$67*BI12:BI$67*($E12:$E$67=$D11)),IF(ISNUMBER(Data_2017!BC11),100*ABS($G11-(Data_2017!BC11-$K11)/$M11),0),IF(ISNUMBER(Data_2017!BC11),100*ABS($G11-(Data_2017!BC11-$K11)/$M11),0)))</f>
        <v>50</v>
      </c>
      <c r="BJ11" s="100">
        <f>IF($H11=0,0,CHOOSE($H11,SUMPRODUCT($O12:$O$67*BJ12:BJ$67*($E12:$E$67=$D11)),IF(ISNUMBER(Data_2017!BD11),100*ABS($G11-(Data_2017!BD11-$K11)/$M11),0),IF(ISNUMBER(Data_2017!BD11),100*ABS($G11-(Data_2017!BD11-$K11)/$M11),0)))</f>
        <v>0</v>
      </c>
      <c r="BK11" s="100">
        <f>IF($H11=0,0,CHOOSE($H11,SUMPRODUCT($O12:$O$67*BK12:BK$67*($E12:$E$67=$D11)),IF(ISNUMBER(Data_2017!BE11),100*ABS($G11-(Data_2017!BE11-$K11)/$M11),0),IF(ISNUMBER(Data_2017!BE11),100*ABS($G11-(Data_2017!BE11-$K11)/$M11),0)))</f>
        <v>50</v>
      </c>
      <c r="BL11" s="100">
        <f>IF($H11=0,0,CHOOSE($H11,SUMPRODUCT($O12:$O$67*BL12:BL$67*($E12:$E$67=$D11)),IF(ISNUMBER(Data_2017!BF11),100*ABS($G11-(Data_2017!BF11-$K11)/$M11),0),IF(ISNUMBER(Data_2017!BF11),100*ABS($G11-(Data_2017!BF11-$K11)/$M11),0)))</f>
        <v>0</v>
      </c>
      <c r="BM11" s="100">
        <f>IF($H11=0,0,CHOOSE($H11,SUMPRODUCT($O12:$O$67*BM12:BM$67*($E12:$E$67=$D11)),IF(ISNUMBER(Data_2017!BG11),100*ABS($G11-(Data_2017!BG11-$K11)/$M11),0),IF(ISNUMBER(Data_2017!BG11),100*ABS($G11-(Data_2017!BG11-$K11)/$M11),0)))</f>
        <v>100</v>
      </c>
      <c r="BN11" s="100">
        <f>IF($H11=0,0,CHOOSE($H11,SUMPRODUCT($O12:$O$67*BN12:BN$67*($E12:$E$67=$D11)),IF(ISNUMBER(Data_2017!BH11),100*ABS($G11-(Data_2017!BH11-$K11)/$M11),0),IF(ISNUMBER(Data_2017!BH11),100*ABS($G11-(Data_2017!BH11-$K11)/$M11),0)))</f>
        <v>50</v>
      </c>
      <c r="BO11" s="100">
        <f>IF($H11=0,0,CHOOSE($H11,SUMPRODUCT($O12:$O$67*BO12:BO$67*($E12:$E$67=$D11)),IF(ISNUMBER(Data_2017!BI11),100*ABS($G11-(Data_2017!BI11-$K11)/$M11),0),IF(ISNUMBER(Data_2017!BI11),100*ABS($G11-(Data_2017!BI11-$K11)/$M11),0)))</f>
        <v>50</v>
      </c>
      <c r="BP11" s="100">
        <f>IF($H11=0,0,CHOOSE($H11,SUMPRODUCT($O12:$O$67*BP12:BP$67*($E12:$E$67=$D11)),IF(ISNUMBER(Data_2017!BJ11),100*ABS($G11-(Data_2017!BJ11-$K11)/$M11),0),IF(ISNUMBER(Data_2017!BJ11),100*ABS($G11-(Data_2017!BJ11-$K11)/$M11),0)))</f>
        <v>100</v>
      </c>
      <c r="BQ11" s="100">
        <f>IF($H11=0,0,CHOOSE($H11,SUMPRODUCT($O12:$O$67*BQ12:BQ$67*($E12:$E$67=$D11)),IF(ISNUMBER(Data_2017!BK11),100*ABS($G11-(Data_2017!BK11-$K11)/$M11),0),IF(ISNUMBER(Data_2017!BK11),100*ABS($G11-(Data_2017!BK11-$K11)/$M11),0)))</f>
        <v>0</v>
      </c>
      <c r="BR11" s="100">
        <f>IF($H11=0,0,CHOOSE($H11,SUMPRODUCT($O12:$O$67*BR12:BR$67*($E12:$E$67=$D11)),IF(ISNUMBER(Data_2017!BL11),100*ABS($G11-(Data_2017!BL11-$K11)/$M11),0),IF(ISNUMBER(Data_2017!BL11),100*ABS($G11-(Data_2017!BL11-$K11)/$M11),0)))</f>
        <v>100</v>
      </c>
      <c r="BS11" s="100">
        <f>IF($H11=0,0,CHOOSE($H11,SUMPRODUCT($O12:$O$67*BS12:BS$67*($E12:$E$67=$D11)),IF(ISNUMBER(Data_2017!BM11),100*ABS($G11-(Data_2017!BM11-$K11)/$M11),0),IF(ISNUMBER(Data_2017!BM11),100*ABS($G11-(Data_2017!BM11-$K11)/$M11),0)))</f>
        <v>50</v>
      </c>
      <c r="BT11" s="100">
        <f>IF($H11=0,0,CHOOSE($H11,SUMPRODUCT($O12:$O$67*BT12:BT$67*($E12:$E$67=$D11)),IF(ISNUMBER(Data_2017!BN11),100*ABS($G11-(Data_2017!BN11-$K11)/$M11),0),IF(ISNUMBER(Data_2017!BN11),100*ABS($G11-(Data_2017!BN11-$K11)/$M11),0)))</f>
        <v>50</v>
      </c>
      <c r="BU11" s="100">
        <f>IF($H11=0,0,CHOOSE($H11,SUMPRODUCT($O12:$O$67*BU12:BU$67*($E12:$E$67=$D11)),IF(ISNUMBER(Data_2017!BO11),100*ABS($G11-(Data_2017!BO11-$K11)/$M11),0),IF(ISNUMBER(Data_2017!BO11),100*ABS($G11-(Data_2017!BO11-$K11)/$M11),0)))</f>
        <v>50</v>
      </c>
      <c r="BV11" s="100">
        <f>IF($H11=0,0,CHOOSE($H11,SUMPRODUCT($O12:$O$67*BV12:BV$67*($E12:$E$67=$D11)),IF(ISNUMBER(Data_2017!BP11),100*ABS($G11-(Data_2017!BP11-$K11)/$M11),0),IF(ISNUMBER(Data_2017!BP11),100*ABS($G11-(Data_2017!BP11-$K11)/$M11),0)))</f>
        <v>0</v>
      </c>
      <c r="BW11" s="100">
        <f>IF($H11=0,0,CHOOSE($H11,SUMPRODUCT($O12:$O$67*BW12:BW$67*($E12:$E$67=$D11)),IF(ISNUMBER(Data_2017!BQ11),100*ABS($G11-(Data_2017!BQ11-$K11)/$M11),0),IF(ISNUMBER(Data_2017!BQ11),100*ABS($G11-(Data_2017!BQ11-$K11)/$M11),0)))</f>
        <v>50</v>
      </c>
      <c r="BX11" s="100">
        <f>IF($H11=0,0,CHOOSE($H11,SUMPRODUCT($O12:$O$67*BX12:BX$67*($E12:$E$67=$D11)),IF(ISNUMBER(Data_2017!BR11),100*ABS($G11-(Data_2017!BR11-$K11)/$M11),0),IF(ISNUMBER(Data_2017!BR11),100*ABS($G11-(Data_2017!BR11-$K11)/$M11),0)))</f>
        <v>50</v>
      </c>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row>
    <row r="12" s="69" customFormat="1" ht="24.95" customHeight="1" spans="1:130">
      <c r="A12" s="92"/>
      <c r="B12" s="92">
        <f>tblIndicators!A8</f>
        <v>7</v>
      </c>
      <c r="C12" s="92">
        <f>tblIndicators!B8</f>
        <v>0</v>
      </c>
      <c r="D12" s="92" t="str">
        <f>tblIndicators!D8</f>
        <v>DISE1.1.4</v>
      </c>
      <c r="E12" s="92" t="str">
        <f>tblIndicators!E8</f>
        <v>DISE1.1</v>
      </c>
      <c r="F12" s="92">
        <f>tblIndicators!F8</f>
        <v>3</v>
      </c>
      <c r="G12" s="92">
        <f>tblIndicators!Y8</f>
        <v>0</v>
      </c>
      <c r="H12" s="92">
        <f>tblIndicators!Z8</f>
        <v>3</v>
      </c>
      <c r="I12" s="104">
        <f>tblIndicators!AA8</f>
        <v>0</v>
      </c>
      <c r="J12" s="92">
        <f>tblIndicators!AB8</f>
        <v>100</v>
      </c>
      <c r="K12" s="89">
        <f>IF(uxb_works!$B$66=1,CHOOSE(H12,"-",MIN(Data_2017!J12:BR12),I12),CHOOSE(H12,"-",MIN(Data_2017!J12:BQ12),I12))</f>
        <v>0</v>
      </c>
      <c r="L12" s="97">
        <f>IF(uxb_works!$B$66=1,CHOOSE(H12,"-",MAX(Data_2017!J12:BR12),J12),CHOOSE(H12,"-",MAX(Data_2017!J12:BQ12),J12))</f>
        <v>100</v>
      </c>
      <c r="M12" s="92">
        <f t="shared" si="1"/>
        <v>100</v>
      </c>
      <c r="N12" s="105" t="str">
        <f>REPT(" ",F12)&amp;tblIndicators!AE8</f>
        <v>   1.1.4) Level of technology employed</v>
      </c>
      <c r="O12" s="106">
        <f>tblIndicators!AD8</f>
        <v>0.2</v>
      </c>
      <c r="P12" s="100">
        <f>IF($H12=0,0,CHOOSE($H12,SUMPRODUCT($O13:$O$67*P13:P$67*($E13:$E$67=$D12)),IF(ISNUMBER(Data_2017!J12),100*ABS($G12-(Data_2017!J12-$K12)/$M12),0),IF(ISNUMBER(Data_2017!J12),100*ABS($G12-(Data_2017!J12-$K12)/$M12),0)))</f>
        <v>100</v>
      </c>
      <c r="Q12" s="100">
        <f>IF($H12=0,0,CHOOSE($H12,SUMPRODUCT($O13:$O$67*Q13:Q$67*($E13:$E$67=$D12)),IF(ISNUMBER(Data_2017!K12),100*ABS($G12-(Data_2017!K12-$K12)/$M12),0),IF(ISNUMBER(Data_2017!K12),100*ABS($G12-(Data_2017!K12-$K12)/$M12),0)))</f>
        <v>100</v>
      </c>
      <c r="R12" s="100">
        <f>IF($H12=0,0,CHOOSE($H12,SUMPRODUCT($O13:$O$67*R13:R$67*($E13:$E$67=$D12)),IF(ISNUMBER(Data_2017!L12),100*ABS($G12-(Data_2017!L12-$K12)/$M12),0),IF(ISNUMBER(Data_2017!L12),100*ABS($G12-(Data_2017!L12-$K12)/$M12),0)))</f>
        <v>75</v>
      </c>
      <c r="S12" s="100">
        <f>IF($H12=0,0,CHOOSE($H12,SUMPRODUCT($O13:$O$67*S13:S$67*($E13:$E$67=$D12)),IF(ISNUMBER(Data_2017!M12),100*ABS($G12-(Data_2017!M12-$K12)/$M12),0),IF(ISNUMBER(Data_2017!M12),100*ABS($G12-(Data_2017!M12-$K12)/$M12),0)))</f>
        <v>0</v>
      </c>
      <c r="T12" s="100">
        <f>IF($H12=0,0,CHOOSE($H12,SUMPRODUCT($O13:$O$67*T13:T$67*($E13:$E$67=$D12)),IF(ISNUMBER(Data_2017!N12),100*ABS($G12-(Data_2017!N12-$K12)/$M12),0),IF(ISNUMBER(Data_2017!N12),100*ABS($G12-(Data_2017!N12-$K12)/$M12),0)))</f>
        <v>100</v>
      </c>
      <c r="U12" s="100">
        <f>IF($H12=0,0,CHOOSE($H12,SUMPRODUCT($O13:$O$67*U13:U$67*($E13:$E$67=$D12)),IF(ISNUMBER(Data_2017!O12),100*ABS($G12-(Data_2017!O12-$K12)/$M12),0),IF(ISNUMBER(Data_2017!O12),100*ABS($G12-(Data_2017!O12-$K12)/$M12),0)))</f>
        <v>75</v>
      </c>
      <c r="V12" s="100">
        <f>IF($H12=0,0,CHOOSE($H12,SUMPRODUCT($O13:$O$67*V13:V$67*($E13:$E$67=$D12)),IF(ISNUMBER(Data_2017!P12),100*ABS($G12-(Data_2017!P12-$K12)/$M12),0),IF(ISNUMBER(Data_2017!P12),100*ABS($G12-(Data_2017!P12-$K12)/$M12),0)))</f>
        <v>75</v>
      </c>
      <c r="W12" s="100">
        <f>IF($H12=0,0,CHOOSE($H12,SUMPRODUCT($O13:$O$67*W13:W$67*($E13:$E$67=$D12)),IF(ISNUMBER(Data_2017!Q12),100*ABS($G12-(Data_2017!Q12-$K12)/$M12),0),IF(ISNUMBER(Data_2017!Q12),100*ABS($G12-(Data_2017!Q12-$K12)/$M12),0)))</f>
        <v>100</v>
      </c>
      <c r="X12" s="100">
        <f>IF($H12=0,0,CHOOSE($H12,SUMPRODUCT($O13:$O$67*X13:X$67*($E13:$E$67=$D12)),IF(ISNUMBER(Data_2017!R12),100*ABS($G12-(Data_2017!R12-$K12)/$M12),0),IF(ISNUMBER(Data_2017!R12),100*ABS($G12-(Data_2017!R12-$K12)/$M12),0)))</f>
        <v>75</v>
      </c>
      <c r="Y12" s="100">
        <f>IF($H12=0,0,CHOOSE($H12,SUMPRODUCT($O13:$O$67*Y13:Y$67*($E13:$E$67=$D12)),IF(ISNUMBER(Data_2017!S12),100*ABS($G12-(Data_2017!S12-$K12)/$M12),0),IF(ISNUMBER(Data_2017!S12),100*ABS($G12-(Data_2017!S12-$K12)/$M12),0)))</f>
        <v>0</v>
      </c>
      <c r="Z12" s="100">
        <f>IF($H12=0,0,CHOOSE($H12,SUMPRODUCT($O13:$O$67*Z13:Z$67*($E13:$E$67=$D12)),IF(ISNUMBER(Data_2017!T12),100*ABS($G12-(Data_2017!T12-$K12)/$M12),0),IF(ISNUMBER(Data_2017!T12),100*ABS($G12-(Data_2017!T12-$K12)/$M12),0)))</f>
        <v>75</v>
      </c>
      <c r="AA12" s="100">
        <f>IF($H12=0,0,CHOOSE($H12,SUMPRODUCT($O13:$O$67*AA13:AA$67*($E13:$E$67=$D12)),IF(ISNUMBER(Data_2017!U12),100*ABS($G12-(Data_2017!U12-$K12)/$M12),0),IF(ISNUMBER(Data_2017!U12),100*ABS($G12-(Data_2017!U12-$K12)/$M12),0)))</f>
        <v>75</v>
      </c>
      <c r="AB12" s="100">
        <f>IF($H12=0,0,CHOOSE($H12,SUMPRODUCT($O13:$O$67*AB13:AB$67*($E13:$E$67=$D12)),IF(ISNUMBER(Data_2017!V12),100*ABS($G12-(Data_2017!V12-$K12)/$M12),0),IF(ISNUMBER(Data_2017!V12),100*ABS($G12-(Data_2017!V12-$K12)/$M12),0)))</f>
        <v>100</v>
      </c>
      <c r="AC12" s="100">
        <f>IF($H12=0,0,CHOOSE($H12,SUMPRODUCT($O13:$O$67*AC13:AC$67*($E13:$E$67=$D12)),IF(ISNUMBER(Data_2017!W12),100*ABS($G12-(Data_2017!W12-$K12)/$M12),0),IF(ISNUMBER(Data_2017!W12),100*ABS($G12-(Data_2017!W12-$K12)/$M12),0)))</f>
        <v>100</v>
      </c>
      <c r="AD12" s="100">
        <f>IF($H12=0,0,CHOOSE($H12,SUMPRODUCT($O13:$O$67*AD13:AD$67*($E13:$E$67=$D12)),IF(ISNUMBER(Data_2017!X12),100*ABS($G12-(Data_2017!X12-$K12)/$M12),0),IF(ISNUMBER(Data_2017!X12),100*ABS($G12-(Data_2017!X12-$K12)/$M12),0)))</f>
        <v>75</v>
      </c>
      <c r="AE12" s="100">
        <f>IF($H12=0,0,CHOOSE($H12,SUMPRODUCT($O13:$O$67*AE13:AE$67*($E13:$E$67=$D12)),IF(ISNUMBER(Data_2017!Y12),100*ABS($G12-(Data_2017!Y12-$K12)/$M12),0),IF(ISNUMBER(Data_2017!Y12),100*ABS($G12-(Data_2017!Y12-$K12)/$M12),0)))</f>
        <v>0</v>
      </c>
      <c r="AF12" s="100">
        <f>IF($H12=0,0,CHOOSE($H12,SUMPRODUCT($O13:$O$67*AF13:AF$67*($E13:$E$67=$D12)),IF(ISNUMBER(Data_2017!Z12),100*ABS($G12-(Data_2017!Z12-$K12)/$M12),0),IF(ISNUMBER(Data_2017!Z12),100*ABS($G12-(Data_2017!Z12-$K12)/$M12),0)))</f>
        <v>75</v>
      </c>
      <c r="AG12" s="100">
        <f>IF($H12=0,0,CHOOSE($H12,SUMPRODUCT($O13:$O$67*AG13:AG$67*($E13:$E$67=$D12)),IF(ISNUMBER(Data_2017!AA12),100*ABS($G12-(Data_2017!AA12-$K12)/$M12),0),IF(ISNUMBER(Data_2017!AA12),100*ABS($G12-(Data_2017!AA12-$K12)/$M12),0)))</f>
        <v>100</v>
      </c>
      <c r="AH12" s="100">
        <f>IF($H12=0,0,CHOOSE($H12,SUMPRODUCT($O13:$O$67*AH13:AH$67*($E13:$E$67=$D12)),IF(ISNUMBER(Data_2017!AB12),100*ABS($G12-(Data_2017!AB12-$K12)/$M12),0),IF(ISNUMBER(Data_2017!AB12),100*ABS($G12-(Data_2017!AB12-$K12)/$M12),0)))</f>
        <v>0</v>
      </c>
      <c r="AI12" s="100">
        <f>IF($H12=0,0,CHOOSE($H12,SUMPRODUCT($O13:$O$67*AI13:AI$67*($E13:$E$67=$D12)),IF(ISNUMBER(Data_2017!AC12),100*ABS($G12-(Data_2017!AC12-$K12)/$M12),0),IF(ISNUMBER(Data_2017!AC12),100*ABS($G12-(Data_2017!AC12-$K12)/$M12),0)))</f>
        <v>100</v>
      </c>
      <c r="AJ12" s="100">
        <f>IF($H12=0,0,CHOOSE($H12,SUMPRODUCT($O13:$O$67*AJ13:AJ$67*($E13:$E$67=$D12)),IF(ISNUMBER(Data_2017!AD12),100*ABS($G12-(Data_2017!AD12-$K12)/$M12),0),IF(ISNUMBER(Data_2017!AD12),100*ABS($G12-(Data_2017!AD12-$K12)/$M12),0)))</f>
        <v>75</v>
      </c>
      <c r="AK12" s="100">
        <f>IF($H12=0,0,CHOOSE($H12,SUMPRODUCT($O13:$O$67*AK13:AK$67*($E13:$E$67=$D12)),IF(ISNUMBER(Data_2017!AE12),100*ABS($G12-(Data_2017!AE12-$K12)/$M12),0),IF(ISNUMBER(Data_2017!AE12),100*ABS($G12-(Data_2017!AE12-$K12)/$M12),0)))</f>
        <v>0</v>
      </c>
      <c r="AL12" s="100">
        <f>IF($H12=0,0,CHOOSE($H12,SUMPRODUCT($O13:$O$67*AL13:AL$67*($E13:$E$67=$D12)),IF(ISNUMBER(Data_2017!AF12),100*ABS($G12-(Data_2017!AF12-$K12)/$M12),0),IF(ISNUMBER(Data_2017!AF12),100*ABS($G12-(Data_2017!AF12-$K12)/$M12),0)))</f>
        <v>75</v>
      </c>
      <c r="AM12" s="100">
        <f>IF($H12=0,0,CHOOSE($H12,SUMPRODUCT($O13:$O$67*AM13:AM$67*($E13:$E$67=$D12)),IF(ISNUMBER(Data_2017!AG12),100*ABS($G12-(Data_2017!AG12-$K12)/$M12),0),IF(ISNUMBER(Data_2017!AG12),100*ABS($G12-(Data_2017!AG12-$K12)/$M12),0)))</f>
        <v>75</v>
      </c>
      <c r="AN12" s="100">
        <f>IF($H12=0,0,CHOOSE($H12,SUMPRODUCT($O13:$O$67*AN13:AN$67*($E13:$E$67=$D12)),IF(ISNUMBER(Data_2017!AH12),100*ABS($G12-(Data_2017!AH12-$K12)/$M12),0),IF(ISNUMBER(Data_2017!AH12),100*ABS($G12-(Data_2017!AH12-$K12)/$M12),0)))</f>
        <v>0</v>
      </c>
      <c r="AO12" s="100">
        <f>IF($H12=0,0,CHOOSE($H12,SUMPRODUCT($O13:$O$67*AO13:AO$67*($E13:$E$67=$D12)),IF(ISNUMBER(Data_2017!AI12),100*ABS($G12-(Data_2017!AI12-$K12)/$M12),0),IF(ISNUMBER(Data_2017!AI12),100*ABS($G12-(Data_2017!AI12-$K12)/$M12),0)))</f>
        <v>75</v>
      </c>
      <c r="AP12" s="100">
        <f>IF($H12=0,0,CHOOSE($H12,SUMPRODUCT($O13:$O$67*AP13:AP$67*($E13:$E$67=$D12)),IF(ISNUMBER(Data_2017!AJ12),100*ABS($G12-(Data_2017!AJ12-$K12)/$M12),0),IF(ISNUMBER(Data_2017!AJ12),100*ABS($G12-(Data_2017!AJ12-$K12)/$M12),0)))</f>
        <v>75</v>
      </c>
      <c r="AQ12" s="100">
        <f>IF($H12=0,0,CHOOSE($H12,SUMPRODUCT($O13:$O$67*AQ13:AQ$67*($E13:$E$67=$D12)),IF(ISNUMBER(Data_2017!AK12),100*ABS($G12-(Data_2017!AK12-$K12)/$M12),0),IF(ISNUMBER(Data_2017!AK12),100*ABS($G12-(Data_2017!AK12-$K12)/$M12),0)))</f>
        <v>75</v>
      </c>
      <c r="AR12" s="100">
        <f>IF($H12=0,0,CHOOSE($H12,SUMPRODUCT($O13:$O$67*AR13:AR$67*($E13:$E$67=$D12)),IF(ISNUMBER(Data_2017!AL12),100*ABS($G12-(Data_2017!AL12-$K12)/$M12),0),IF(ISNUMBER(Data_2017!AL12),100*ABS($G12-(Data_2017!AL12-$K12)/$M12),0)))</f>
        <v>100</v>
      </c>
      <c r="AS12" s="100">
        <f>IF($H12=0,0,CHOOSE($H12,SUMPRODUCT($O13:$O$67*AS13:AS$67*($E13:$E$67=$D12)),IF(ISNUMBER(Data_2017!AM12),100*ABS($G12-(Data_2017!AM12-$K12)/$M12),0),IF(ISNUMBER(Data_2017!AM12),100*ABS($G12-(Data_2017!AM12-$K12)/$M12),0)))</f>
        <v>100</v>
      </c>
      <c r="AT12" s="100">
        <f>IF($H12=0,0,CHOOSE($H12,SUMPRODUCT($O13:$O$67*AT13:AT$67*($E13:$E$67=$D12)),IF(ISNUMBER(Data_2017!AN12),100*ABS($G12-(Data_2017!AN12-$K12)/$M12),0),IF(ISNUMBER(Data_2017!AN12),100*ABS($G12-(Data_2017!AN12-$K12)/$M12),0)))</f>
        <v>100</v>
      </c>
      <c r="AU12" s="100">
        <f>IF($H12=0,0,CHOOSE($H12,SUMPRODUCT($O13:$O$67*AU13:AU$67*($E13:$E$67=$D12)),IF(ISNUMBER(Data_2017!AO12),100*ABS($G12-(Data_2017!AO12-$K12)/$M12),0),IF(ISNUMBER(Data_2017!AO12),100*ABS($G12-(Data_2017!AO12-$K12)/$M12),0)))</f>
        <v>0</v>
      </c>
      <c r="AV12" s="100">
        <f>IF($H12=0,0,CHOOSE($H12,SUMPRODUCT($O13:$O$67*AV13:AV$67*($E13:$E$67=$D12)),IF(ISNUMBER(Data_2017!AP12),100*ABS($G12-(Data_2017!AP12-$K12)/$M12),0),IF(ISNUMBER(Data_2017!AP12),100*ABS($G12-(Data_2017!AP12-$K12)/$M12),0)))</f>
        <v>100</v>
      </c>
      <c r="AW12" s="100">
        <f>IF($H12=0,0,CHOOSE($H12,SUMPRODUCT($O13:$O$67*AW13:AW$67*($E13:$E$67=$D12)),IF(ISNUMBER(Data_2017!AQ12),100*ABS($G12-(Data_2017!AQ12-$K12)/$M12),0),IF(ISNUMBER(Data_2017!AQ12),100*ABS($G12-(Data_2017!AQ12-$K12)/$M12),0)))</f>
        <v>75</v>
      </c>
      <c r="AX12" s="100">
        <f>IF($H12=0,0,CHOOSE($H12,SUMPRODUCT($O13:$O$67*AX13:AX$67*($E13:$E$67=$D12)),IF(ISNUMBER(Data_2017!AR12),100*ABS($G12-(Data_2017!AR12-$K12)/$M12),0),IF(ISNUMBER(Data_2017!AR12),100*ABS($G12-(Data_2017!AR12-$K12)/$M12),0)))</f>
        <v>100</v>
      </c>
      <c r="AY12" s="100">
        <f>IF($H12=0,0,CHOOSE($H12,SUMPRODUCT($O13:$O$67*AY13:AY$67*($E13:$E$67=$D12)),IF(ISNUMBER(Data_2017!AS12),100*ABS($G12-(Data_2017!AS12-$K12)/$M12),0),IF(ISNUMBER(Data_2017!AS12),100*ABS($G12-(Data_2017!AS12-$K12)/$M12),0)))</f>
        <v>75</v>
      </c>
      <c r="AZ12" s="100">
        <f>IF($H12=0,0,CHOOSE($H12,SUMPRODUCT($O13:$O$67*AZ13:AZ$67*($E13:$E$67=$D12)),IF(ISNUMBER(Data_2017!AT12),100*ABS($G12-(Data_2017!AT12-$K12)/$M12),0),IF(ISNUMBER(Data_2017!AT12),100*ABS($G12-(Data_2017!AT12-$K12)/$M12),0)))</f>
        <v>75</v>
      </c>
      <c r="BA12" s="100">
        <f>IF($H12=0,0,CHOOSE($H12,SUMPRODUCT($O13:$O$67*BA13:BA$67*($E13:$E$67=$D12)),IF(ISNUMBER(Data_2017!AU12),100*ABS($G12-(Data_2017!AU12-$K12)/$M12),0),IF(ISNUMBER(Data_2017!AU12),100*ABS($G12-(Data_2017!AU12-$K12)/$M12),0)))</f>
        <v>100</v>
      </c>
      <c r="BB12" s="100">
        <f>IF($H12=0,0,CHOOSE($H12,SUMPRODUCT($O13:$O$67*BB13:BB$67*($E13:$E$67=$D12)),IF(ISNUMBER(Data_2017!AV12),100*ABS($G12-(Data_2017!AV12-$K12)/$M12),0),IF(ISNUMBER(Data_2017!AV12),100*ABS($G12-(Data_2017!AV12-$K12)/$M12),0)))</f>
        <v>100</v>
      </c>
      <c r="BC12" s="100">
        <f>IF($H12=0,0,CHOOSE($H12,SUMPRODUCT($O13:$O$67*BC13:BC$67*($E13:$E$67=$D12)),IF(ISNUMBER(Data_2017!AW12),100*ABS($G12-(Data_2017!AW12-$K12)/$M12),0),IF(ISNUMBER(Data_2017!AW12),100*ABS($G12-(Data_2017!AW12-$K12)/$M12),0)))</f>
        <v>100</v>
      </c>
      <c r="BD12" s="100">
        <f>IF($H12=0,0,CHOOSE($H12,SUMPRODUCT($O13:$O$67*BD13:BD$67*($E13:$E$67=$D12)),IF(ISNUMBER(Data_2017!AX12),100*ABS($G12-(Data_2017!AX12-$K12)/$M12),0),IF(ISNUMBER(Data_2017!AX12),100*ABS($G12-(Data_2017!AX12-$K12)/$M12),0)))</f>
        <v>75</v>
      </c>
      <c r="BE12" s="100">
        <f>IF($H12=0,0,CHOOSE($H12,SUMPRODUCT($O13:$O$67*BE13:BE$67*($E13:$E$67=$D12)),IF(ISNUMBER(Data_2017!AY12),100*ABS($G12-(Data_2017!AY12-$K12)/$M12),0),IF(ISNUMBER(Data_2017!AY12),100*ABS($G12-(Data_2017!AY12-$K12)/$M12),0)))</f>
        <v>75</v>
      </c>
      <c r="BF12" s="100">
        <f>IF($H12=0,0,CHOOSE($H12,SUMPRODUCT($O13:$O$67*BF13:BF$67*($E13:$E$67=$D12)),IF(ISNUMBER(Data_2017!AZ12),100*ABS($G12-(Data_2017!AZ12-$K12)/$M12),0),IF(ISNUMBER(Data_2017!AZ12),100*ABS($G12-(Data_2017!AZ12-$K12)/$M12),0)))</f>
        <v>75</v>
      </c>
      <c r="BG12" s="100">
        <f>IF($H12=0,0,CHOOSE($H12,SUMPRODUCT($O13:$O$67*BG13:BG$67*($E13:$E$67=$D12)),IF(ISNUMBER(Data_2017!BA12),100*ABS($G12-(Data_2017!BA12-$K12)/$M12),0),IF(ISNUMBER(Data_2017!BA12),100*ABS($G12-(Data_2017!BA12-$K12)/$M12),0)))</f>
        <v>100</v>
      </c>
      <c r="BH12" s="100">
        <f>IF($H12=0,0,CHOOSE($H12,SUMPRODUCT($O13:$O$67*BH13:BH$67*($E13:$E$67=$D12)),IF(ISNUMBER(Data_2017!BB12),100*ABS($G12-(Data_2017!BB12-$K12)/$M12),0),IF(ISNUMBER(Data_2017!BB12),100*ABS($G12-(Data_2017!BB12-$K12)/$M12),0)))</f>
        <v>100</v>
      </c>
      <c r="BI12" s="100">
        <f>IF($H12=0,0,CHOOSE($H12,SUMPRODUCT($O13:$O$67*BI13:BI$67*($E13:$E$67=$D12)),IF(ISNUMBER(Data_2017!BC12),100*ABS($G12-(Data_2017!BC12-$K12)/$M12),0),IF(ISNUMBER(Data_2017!BC12),100*ABS($G12-(Data_2017!BC12-$K12)/$M12),0)))</f>
        <v>75</v>
      </c>
      <c r="BJ12" s="100">
        <f>IF($H12=0,0,CHOOSE($H12,SUMPRODUCT($O13:$O$67*BJ13:BJ$67*($E13:$E$67=$D12)),IF(ISNUMBER(Data_2017!BD12),100*ABS($G12-(Data_2017!BD12-$K12)/$M12),0),IF(ISNUMBER(Data_2017!BD12),100*ABS($G12-(Data_2017!BD12-$K12)/$M12),0)))</f>
        <v>75</v>
      </c>
      <c r="BK12" s="100">
        <f>IF($H12=0,0,CHOOSE($H12,SUMPRODUCT($O13:$O$67*BK13:BK$67*($E13:$E$67=$D12)),IF(ISNUMBER(Data_2017!BE12),100*ABS($G12-(Data_2017!BE12-$K12)/$M12),0),IF(ISNUMBER(Data_2017!BE12),100*ABS($G12-(Data_2017!BE12-$K12)/$M12),0)))</f>
        <v>100</v>
      </c>
      <c r="BL12" s="100">
        <f>IF($H12=0,0,CHOOSE($H12,SUMPRODUCT($O13:$O$67*BL13:BL$67*($E13:$E$67=$D12)),IF(ISNUMBER(Data_2017!BF12),100*ABS($G12-(Data_2017!BF12-$K12)/$M12),0),IF(ISNUMBER(Data_2017!BF12),100*ABS($G12-(Data_2017!BF12-$K12)/$M12),0)))</f>
        <v>75</v>
      </c>
      <c r="BM12" s="100">
        <f>IF($H12=0,0,CHOOSE($H12,SUMPRODUCT($O13:$O$67*BM13:BM$67*($E13:$E$67=$D12)),IF(ISNUMBER(Data_2017!BG12),100*ABS($G12-(Data_2017!BG12-$K12)/$M12),0),IF(ISNUMBER(Data_2017!BG12),100*ABS($G12-(Data_2017!BG12-$K12)/$M12),0)))</f>
        <v>100</v>
      </c>
      <c r="BN12" s="100">
        <f>IF($H12=0,0,CHOOSE($H12,SUMPRODUCT($O13:$O$67*BN13:BN$67*($E13:$E$67=$D12)),IF(ISNUMBER(Data_2017!BH12),100*ABS($G12-(Data_2017!BH12-$K12)/$M12),0),IF(ISNUMBER(Data_2017!BH12),100*ABS($G12-(Data_2017!BH12-$K12)/$M12),0)))</f>
        <v>100</v>
      </c>
      <c r="BO12" s="100">
        <f>IF($H12=0,0,CHOOSE($H12,SUMPRODUCT($O13:$O$67*BO13:BO$67*($E13:$E$67=$D12)),IF(ISNUMBER(Data_2017!BI12),100*ABS($G12-(Data_2017!BI12-$K12)/$M12),0),IF(ISNUMBER(Data_2017!BI12),100*ABS($G12-(Data_2017!BI12-$K12)/$M12),0)))</f>
        <v>100</v>
      </c>
      <c r="BP12" s="100">
        <f>IF($H12=0,0,CHOOSE($H12,SUMPRODUCT($O13:$O$67*BP13:BP$67*($E13:$E$67=$D12)),IF(ISNUMBER(Data_2017!BJ12),100*ABS($G12-(Data_2017!BJ12-$K12)/$M12),0),IF(ISNUMBER(Data_2017!BJ12),100*ABS($G12-(Data_2017!BJ12-$K12)/$M12),0)))</f>
        <v>100</v>
      </c>
      <c r="BQ12" s="100">
        <f>IF($H12=0,0,CHOOSE($H12,SUMPRODUCT($O13:$O$67*BQ13:BQ$67*($E13:$E$67=$D12)),IF(ISNUMBER(Data_2017!BK12),100*ABS($G12-(Data_2017!BK12-$K12)/$M12),0),IF(ISNUMBER(Data_2017!BK12),100*ABS($G12-(Data_2017!BK12-$K12)/$M12),0)))</f>
        <v>0</v>
      </c>
      <c r="BR12" s="100">
        <f>IF($H12=0,0,CHOOSE($H12,SUMPRODUCT($O13:$O$67*BR13:BR$67*($E13:$E$67=$D12)),IF(ISNUMBER(Data_2017!BL12),100*ABS($G12-(Data_2017!BL12-$K12)/$M12),0),IF(ISNUMBER(Data_2017!BL12),100*ABS($G12-(Data_2017!BL12-$K12)/$M12),0)))</f>
        <v>100</v>
      </c>
      <c r="BS12" s="100">
        <f>IF($H12=0,0,CHOOSE($H12,SUMPRODUCT($O13:$O$67*BS13:BS$67*($E13:$E$67=$D12)),IF(ISNUMBER(Data_2017!BM12),100*ABS($G12-(Data_2017!BM12-$K12)/$M12),0),IF(ISNUMBER(Data_2017!BM12),100*ABS($G12-(Data_2017!BM12-$K12)/$M12),0)))</f>
        <v>100</v>
      </c>
      <c r="BT12" s="100">
        <f>IF($H12=0,0,CHOOSE($H12,SUMPRODUCT($O13:$O$67*BT13:BT$67*($E13:$E$67=$D12)),IF(ISNUMBER(Data_2017!BN12),100*ABS($G12-(Data_2017!BN12-$K12)/$M12),0),IF(ISNUMBER(Data_2017!BN12),100*ABS($G12-(Data_2017!BN12-$K12)/$M12),0)))</f>
        <v>100</v>
      </c>
      <c r="BU12" s="100">
        <f>IF($H12=0,0,CHOOSE($H12,SUMPRODUCT($O13:$O$67*BU13:BU$67*($E13:$E$67=$D12)),IF(ISNUMBER(Data_2017!BO12),100*ABS($G12-(Data_2017!BO12-$K12)/$M12),0),IF(ISNUMBER(Data_2017!BO12),100*ABS($G12-(Data_2017!BO12-$K12)/$M12),0)))</f>
        <v>100</v>
      </c>
      <c r="BV12" s="100">
        <f>IF($H12=0,0,CHOOSE($H12,SUMPRODUCT($O13:$O$67*BV13:BV$67*($E13:$E$67=$D12)),IF(ISNUMBER(Data_2017!BP12),100*ABS($G12-(Data_2017!BP12-$K12)/$M12),0),IF(ISNUMBER(Data_2017!BP12),100*ABS($G12-(Data_2017!BP12-$K12)/$M12),0)))</f>
        <v>0</v>
      </c>
      <c r="BW12" s="100">
        <f>IF($H12=0,0,CHOOSE($H12,SUMPRODUCT($O13:$O$67*BW13:BW$67*($E13:$E$67=$D12)),IF(ISNUMBER(Data_2017!BQ12),100*ABS($G12-(Data_2017!BQ12-$K12)/$M12),0),IF(ISNUMBER(Data_2017!BQ12),100*ABS($G12-(Data_2017!BQ12-$K12)/$M12),0)))</f>
        <v>100</v>
      </c>
      <c r="BX12" s="100">
        <f>IF($H12=0,0,CHOOSE($H12,SUMPRODUCT($O13:$O$67*BX13:BX$67*($E13:$E$67=$D12)),IF(ISNUMBER(Data_2017!BR12),100*ABS($G12-(Data_2017!BR12-$K12)/$M12),0),IF(ISNUMBER(Data_2017!BR12),100*ABS($G12-(Data_2017!BR12-$K12)/$M12),0)))</f>
        <v>100</v>
      </c>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row>
    <row r="13" s="69" customFormat="1" ht="24.95" customHeight="1" spans="1:130">
      <c r="A13" s="92"/>
      <c r="B13" s="92">
        <f>tblIndicators!A9</f>
        <v>8</v>
      </c>
      <c r="C13" s="92">
        <f>tblIndicators!B9</f>
        <v>0</v>
      </c>
      <c r="D13" s="92" t="str">
        <f>tblIndicators!D9</f>
        <v>DISE1.1.5</v>
      </c>
      <c r="E13" s="92" t="str">
        <f>tblIndicators!E9</f>
        <v>DISE1.1</v>
      </c>
      <c r="F13" s="92">
        <f>tblIndicators!F9</f>
        <v>3</v>
      </c>
      <c r="G13" s="92">
        <f>tblIndicators!Y9</f>
        <v>0</v>
      </c>
      <c r="H13" s="92">
        <f>tblIndicators!Z9</f>
        <v>3</v>
      </c>
      <c r="I13" s="104">
        <f>tblIndicators!AA9</f>
        <v>0</v>
      </c>
      <c r="J13" s="92">
        <f>tblIndicators!AB9</f>
        <v>2</v>
      </c>
      <c r="K13" s="89">
        <f>IF(uxb_works!$B$66=1,CHOOSE(H13,"-",MIN(Data_2017!J13:BR13),I13),CHOOSE(H13,"-",MIN(Data_2017!J13:BQ13),I13))</f>
        <v>0</v>
      </c>
      <c r="L13" s="97">
        <f>IF(uxb_works!$B$66=1,CHOOSE(H13,"-",MAX(Data_2017!J13:BR13),J13),CHOOSE(H13,"-",MAX(Data_2017!J13:BQ13),J13))</f>
        <v>2</v>
      </c>
      <c r="M13" s="92">
        <f t="shared" si="1"/>
        <v>2</v>
      </c>
      <c r="N13" s="105" t="str">
        <f>REPT(" ",F13)&amp;tblIndicators!AE9</f>
        <v>   1.1.5) Dedicated cyber security teams</v>
      </c>
      <c r="O13" s="106">
        <f>tblIndicators!AD9</f>
        <v>0.2</v>
      </c>
      <c r="P13" s="100">
        <f>IF($H13=0,0,CHOOSE($H13,SUMPRODUCT($O14:$O$67*P14:P$67*($E14:$E$67=$D13)),IF(ISNUMBER(Data_2017!J13),100*ABS($G13-(Data_2017!J13-$K13)/$M13),0),IF(ISNUMBER(Data_2017!J13),100*ABS($G13-(Data_2017!J13-$K13)/$M13),0)))</f>
        <v>50</v>
      </c>
      <c r="Q13" s="100">
        <f>IF($H13=0,0,CHOOSE($H13,SUMPRODUCT($O14:$O$67*Q14:Q$67*($E14:$E$67=$D13)),IF(ISNUMBER(Data_2017!K13),100*ABS($G13-(Data_2017!K13-$K13)/$M13),0),IF(ISNUMBER(Data_2017!K13),100*ABS($G13-(Data_2017!K13-$K13)/$M13),0)))</f>
        <v>50</v>
      </c>
      <c r="R13" s="100">
        <f>IF($H13=0,0,CHOOSE($H13,SUMPRODUCT($O14:$O$67*R14:R$67*($E14:$E$67=$D13)),IF(ISNUMBER(Data_2017!L13),100*ABS($G13-(Data_2017!L13-$K13)/$M13),0),IF(ISNUMBER(Data_2017!L13),100*ABS($G13-(Data_2017!L13-$K13)/$M13),0)))</f>
        <v>50</v>
      </c>
      <c r="S13" s="100">
        <f>IF($H13=0,0,CHOOSE($H13,SUMPRODUCT($O14:$O$67*S14:S$67*($E14:$E$67=$D13)),IF(ISNUMBER(Data_2017!M13),100*ABS($G13-(Data_2017!M13-$K13)/$M13),0),IF(ISNUMBER(Data_2017!M13),100*ABS($G13-(Data_2017!M13-$K13)/$M13),0)))</f>
        <v>50</v>
      </c>
      <c r="T13" s="100">
        <f>IF($H13=0,0,CHOOSE($H13,SUMPRODUCT($O14:$O$67*T14:T$67*($E14:$E$67=$D13)),IF(ISNUMBER(Data_2017!N13),100*ABS($G13-(Data_2017!N13-$K13)/$M13),0),IF(ISNUMBER(Data_2017!N13),100*ABS($G13-(Data_2017!N13-$K13)/$M13),0)))</f>
        <v>50</v>
      </c>
      <c r="U13" s="100">
        <f>IF($H13=0,0,CHOOSE($H13,SUMPRODUCT($O14:$O$67*U14:U$67*($E14:$E$67=$D13)),IF(ISNUMBER(Data_2017!O13),100*ABS($G13-(Data_2017!O13-$K13)/$M13),0),IF(ISNUMBER(Data_2017!O13),100*ABS($G13-(Data_2017!O13-$K13)/$M13),0)))</f>
        <v>100</v>
      </c>
      <c r="V13" s="100">
        <f>IF($H13=0,0,CHOOSE($H13,SUMPRODUCT($O14:$O$67*V14:V$67*($E14:$E$67=$D13)),IF(ISNUMBER(Data_2017!P13),100*ABS($G13-(Data_2017!P13-$K13)/$M13),0),IF(ISNUMBER(Data_2017!P13),100*ABS($G13-(Data_2017!P13-$K13)/$M13),0)))</f>
        <v>50</v>
      </c>
      <c r="W13" s="100">
        <f>IF($H13=0,0,CHOOSE($H13,SUMPRODUCT($O14:$O$67*W14:W$67*($E14:$E$67=$D13)),IF(ISNUMBER(Data_2017!Q13),100*ABS($G13-(Data_2017!Q13-$K13)/$M13),0),IF(ISNUMBER(Data_2017!Q13),100*ABS($G13-(Data_2017!Q13-$K13)/$M13),0)))</f>
        <v>50</v>
      </c>
      <c r="X13" s="100">
        <f>IF($H13=0,0,CHOOSE($H13,SUMPRODUCT($O14:$O$67*X14:X$67*($E14:$E$67=$D13)),IF(ISNUMBER(Data_2017!R13),100*ABS($G13-(Data_2017!R13-$K13)/$M13),0),IF(ISNUMBER(Data_2017!R13),100*ABS($G13-(Data_2017!R13-$K13)/$M13),0)))</f>
        <v>100</v>
      </c>
      <c r="Y13" s="100">
        <f>IF($H13=0,0,CHOOSE($H13,SUMPRODUCT($O14:$O$67*Y14:Y$67*($E14:$E$67=$D13)),IF(ISNUMBER(Data_2017!S13),100*ABS($G13-(Data_2017!S13-$K13)/$M13),0),IF(ISNUMBER(Data_2017!S13),100*ABS($G13-(Data_2017!S13-$K13)/$M13),0)))</f>
        <v>50</v>
      </c>
      <c r="Z13" s="100">
        <f>IF($H13=0,0,CHOOSE($H13,SUMPRODUCT($O14:$O$67*Z14:Z$67*($E14:$E$67=$D13)),IF(ISNUMBER(Data_2017!T13),100*ABS($G13-(Data_2017!T13-$K13)/$M13),0),IF(ISNUMBER(Data_2017!T13),100*ABS($G13-(Data_2017!T13-$K13)/$M13),0)))</f>
        <v>50</v>
      </c>
      <c r="AA13" s="100">
        <f>IF($H13=0,0,CHOOSE($H13,SUMPRODUCT($O14:$O$67*AA14:AA$67*($E14:$E$67=$D13)),IF(ISNUMBER(Data_2017!U13),100*ABS($G13-(Data_2017!U13-$K13)/$M13),0),IF(ISNUMBER(Data_2017!U13),100*ABS($G13-(Data_2017!U13-$K13)/$M13),0)))</f>
        <v>50</v>
      </c>
      <c r="AB13" s="100">
        <f>IF($H13=0,0,CHOOSE($H13,SUMPRODUCT($O14:$O$67*AB14:AB$67*($E14:$E$67=$D13)),IF(ISNUMBER(Data_2017!V13),100*ABS($G13-(Data_2017!V13-$K13)/$M13),0),IF(ISNUMBER(Data_2017!V13),100*ABS($G13-(Data_2017!V13-$K13)/$M13),0)))</f>
        <v>100</v>
      </c>
      <c r="AC13" s="100">
        <f>IF($H13=0,0,CHOOSE($H13,SUMPRODUCT($O14:$O$67*AC14:AC$67*($E14:$E$67=$D13)),IF(ISNUMBER(Data_2017!W13),100*ABS($G13-(Data_2017!W13-$K13)/$M13),0),IF(ISNUMBER(Data_2017!W13),100*ABS($G13-(Data_2017!W13-$K13)/$M13),0)))</f>
        <v>100</v>
      </c>
      <c r="AD13" s="100">
        <f>IF($H13=0,0,CHOOSE($H13,SUMPRODUCT($O14:$O$67*AD14:AD$67*($E14:$E$67=$D13)),IF(ISNUMBER(Data_2017!X13),100*ABS($G13-(Data_2017!X13-$K13)/$M13),0),IF(ISNUMBER(Data_2017!X13),100*ABS($G13-(Data_2017!X13-$K13)/$M13),0)))</f>
        <v>100</v>
      </c>
      <c r="AE13" s="100">
        <f>IF($H13=0,0,CHOOSE($H13,SUMPRODUCT($O14:$O$67*AE14:AE$67*($E14:$E$67=$D13)),IF(ISNUMBER(Data_2017!Y13),100*ABS($G13-(Data_2017!Y13-$K13)/$M13),0),IF(ISNUMBER(Data_2017!Y13),100*ABS($G13-(Data_2017!Y13-$K13)/$M13),0)))</f>
        <v>50</v>
      </c>
      <c r="AF13" s="100">
        <f>IF($H13=0,0,CHOOSE($H13,SUMPRODUCT($O14:$O$67*AF14:AF$67*($E14:$E$67=$D13)),IF(ISNUMBER(Data_2017!Z13),100*ABS($G13-(Data_2017!Z13-$K13)/$M13),0),IF(ISNUMBER(Data_2017!Z13),100*ABS($G13-(Data_2017!Z13-$K13)/$M13),0)))</f>
        <v>50</v>
      </c>
      <c r="AG13" s="100">
        <f>IF($H13=0,0,CHOOSE($H13,SUMPRODUCT($O14:$O$67*AG14:AG$67*($E14:$E$67=$D13)),IF(ISNUMBER(Data_2017!AA13),100*ABS($G13-(Data_2017!AA13-$K13)/$M13),0),IF(ISNUMBER(Data_2017!AA13),100*ABS($G13-(Data_2017!AA13-$K13)/$M13),0)))</f>
        <v>50</v>
      </c>
      <c r="AH13" s="100">
        <f>IF($H13=0,0,CHOOSE($H13,SUMPRODUCT($O14:$O$67*AH14:AH$67*($E14:$E$67=$D13)),IF(ISNUMBER(Data_2017!AB13),100*ABS($G13-(Data_2017!AB13-$K13)/$M13),0),IF(ISNUMBER(Data_2017!AB13),100*ABS($G13-(Data_2017!AB13-$K13)/$M13),0)))</f>
        <v>50</v>
      </c>
      <c r="AI13" s="100">
        <f>IF($H13=0,0,CHOOSE($H13,SUMPRODUCT($O14:$O$67*AI14:AI$67*($E14:$E$67=$D13)),IF(ISNUMBER(Data_2017!AC13),100*ABS($G13-(Data_2017!AC13-$K13)/$M13),0),IF(ISNUMBER(Data_2017!AC13),100*ABS($G13-(Data_2017!AC13-$K13)/$M13),0)))</f>
        <v>100</v>
      </c>
      <c r="AJ13" s="100">
        <f>IF($H13=0,0,CHOOSE($H13,SUMPRODUCT($O14:$O$67*AJ14:AJ$67*($E14:$E$67=$D13)),IF(ISNUMBER(Data_2017!AD13),100*ABS($G13-(Data_2017!AD13-$K13)/$M13),0),IF(ISNUMBER(Data_2017!AD13),100*ABS($G13-(Data_2017!AD13-$K13)/$M13),0)))</f>
        <v>50</v>
      </c>
      <c r="AK13" s="100">
        <f>IF($H13=0,0,CHOOSE($H13,SUMPRODUCT($O14:$O$67*AK14:AK$67*($E14:$E$67=$D13)),IF(ISNUMBER(Data_2017!AE13),100*ABS($G13-(Data_2017!AE13-$K13)/$M13),0),IF(ISNUMBER(Data_2017!AE13),100*ABS($G13-(Data_2017!AE13-$K13)/$M13),0)))</f>
        <v>50</v>
      </c>
      <c r="AL13" s="100">
        <f>IF($H13=0,0,CHOOSE($H13,SUMPRODUCT($O14:$O$67*AL14:AL$67*($E14:$E$67=$D13)),IF(ISNUMBER(Data_2017!AF13),100*ABS($G13-(Data_2017!AF13-$K13)/$M13),0),IF(ISNUMBER(Data_2017!AF13),100*ABS($G13-(Data_2017!AF13-$K13)/$M13),0)))</f>
        <v>100</v>
      </c>
      <c r="AM13" s="100">
        <f>IF($H13=0,0,CHOOSE($H13,SUMPRODUCT($O14:$O$67*AM14:AM$67*($E14:$E$67=$D13)),IF(ISNUMBER(Data_2017!AG13),100*ABS($G13-(Data_2017!AG13-$K13)/$M13),0),IF(ISNUMBER(Data_2017!AG13),100*ABS($G13-(Data_2017!AG13-$K13)/$M13),0)))</f>
        <v>50</v>
      </c>
      <c r="AN13" s="100">
        <f>IF($H13=0,0,CHOOSE($H13,SUMPRODUCT($O14:$O$67*AN14:AN$67*($E14:$E$67=$D13)),IF(ISNUMBER(Data_2017!AH13),100*ABS($G13-(Data_2017!AH13-$K13)/$M13),0),IF(ISNUMBER(Data_2017!AH13),100*ABS($G13-(Data_2017!AH13-$K13)/$M13),0)))</f>
        <v>50</v>
      </c>
      <c r="AO13" s="100">
        <f>IF($H13=0,0,CHOOSE($H13,SUMPRODUCT($O14:$O$67*AO14:AO$67*($E14:$E$67=$D13)),IF(ISNUMBER(Data_2017!AI13),100*ABS($G13-(Data_2017!AI13-$K13)/$M13),0),IF(ISNUMBER(Data_2017!AI13),100*ABS($G13-(Data_2017!AI13-$K13)/$M13),0)))</f>
        <v>50</v>
      </c>
      <c r="AP13" s="100">
        <f>IF($H13=0,0,CHOOSE($H13,SUMPRODUCT($O14:$O$67*AP14:AP$67*($E14:$E$67=$D13)),IF(ISNUMBER(Data_2017!AJ13),100*ABS($G13-(Data_2017!AJ13-$K13)/$M13),0),IF(ISNUMBER(Data_2017!AJ13),100*ABS($G13-(Data_2017!AJ13-$K13)/$M13),0)))</f>
        <v>50</v>
      </c>
      <c r="AQ13" s="100">
        <f>IF($H13=0,0,CHOOSE($H13,SUMPRODUCT($O14:$O$67*AQ14:AQ$67*($E14:$E$67=$D13)),IF(ISNUMBER(Data_2017!AK13),100*ABS($G13-(Data_2017!AK13-$K13)/$M13),0),IF(ISNUMBER(Data_2017!AK13),100*ABS($G13-(Data_2017!AK13-$K13)/$M13),0)))</f>
        <v>50</v>
      </c>
      <c r="AR13" s="100">
        <f>IF($H13=0,0,CHOOSE($H13,SUMPRODUCT($O14:$O$67*AR14:AR$67*($E14:$E$67=$D13)),IF(ISNUMBER(Data_2017!AL13),100*ABS($G13-(Data_2017!AL13-$K13)/$M13),0),IF(ISNUMBER(Data_2017!AL13),100*ABS($G13-(Data_2017!AL13-$K13)/$M13),0)))</f>
        <v>50</v>
      </c>
      <c r="AS13" s="100">
        <f>IF($H13=0,0,CHOOSE($H13,SUMPRODUCT($O14:$O$67*AS14:AS$67*($E14:$E$67=$D13)),IF(ISNUMBER(Data_2017!AM13),100*ABS($G13-(Data_2017!AM13-$K13)/$M13),0),IF(ISNUMBER(Data_2017!AM13),100*ABS($G13-(Data_2017!AM13-$K13)/$M13),0)))</f>
        <v>100</v>
      </c>
      <c r="AT13" s="100">
        <f>IF($H13=0,0,CHOOSE($H13,SUMPRODUCT($O14:$O$67*AT14:AT$67*($E14:$E$67=$D13)),IF(ISNUMBER(Data_2017!AN13),100*ABS($G13-(Data_2017!AN13-$K13)/$M13),0),IF(ISNUMBER(Data_2017!AN13),100*ABS($G13-(Data_2017!AN13-$K13)/$M13),0)))</f>
        <v>50</v>
      </c>
      <c r="AU13" s="100">
        <f>IF($H13=0,0,CHOOSE($H13,SUMPRODUCT($O14:$O$67*AU14:AU$67*($E14:$E$67=$D13)),IF(ISNUMBER(Data_2017!AO13),100*ABS($G13-(Data_2017!AO13-$K13)/$M13),0),IF(ISNUMBER(Data_2017!AO13),100*ABS($G13-(Data_2017!AO13-$K13)/$M13),0)))</f>
        <v>50</v>
      </c>
      <c r="AV13" s="100">
        <f>IF($H13=0,0,CHOOSE($H13,SUMPRODUCT($O14:$O$67*AV14:AV$67*($E14:$E$67=$D13)),IF(ISNUMBER(Data_2017!AP13),100*ABS($G13-(Data_2017!AP13-$K13)/$M13),0),IF(ISNUMBER(Data_2017!AP13),100*ABS($G13-(Data_2017!AP13-$K13)/$M13),0)))</f>
        <v>100</v>
      </c>
      <c r="AW13" s="100">
        <f>IF($H13=0,0,CHOOSE($H13,SUMPRODUCT($O14:$O$67*AW14:AW$67*($E14:$E$67=$D13)),IF(ISNUMBER(Data_2017!AQ13),100*ABS($G13-(Data_2017!AQ13-$K13)/$M13),0),IF(ISNUMBER(Data_2017!AQ13),100*ABS($G13-(Data_2017!AQ13-$K13)/$M13),0)))</f>
        <v>50</v>
      </c>
      <c r="AX13" s="100">
        <f>IF($H13=0,0,CHOOSE($H13,SUMPRODUCT($O14:$O$67*AX14:AX$67*($E14:$E$67=$D13)),IF(ISNUMBER(Data_2017!AR13),100*ABS($G13-(Data_2017!AR13-$K13)/$M13),0),IF(ISNUMBER(Data_2017!AR13),100*ABS($G13-(Data_2017!AR13-$K13)/$M13),0)))</f>
        <v>50</v>
      </c>
      <c r="AY13" s="100">
        <f>IF($H13=0,0,CHOOSE($H13,SUMPRODUCT($O14:$O$67*AY14:AY$67*($E14:$E$67=$D13)),IF(ISNUMBER(Data_2017!AS13),100*ABS($G13-(Data_2017!AS13-$K13)/$M13),0),IF(ISNUMBER(Data_2017!AS13),100*ABS($G13-(Data_2017!AS13-$K13)/$M13),0)))</f>
        <v>50</v>
      </c>
      <c r="AZ13" s="100">
        <f>IF($H13=0,0,CHOOSE($H13,SUMPRODUCT($O14:$O$67*AZ14:AZ$67*($E14:$E$67=$D13)),IF(ISNUMBER(Data_2017!AT13),100*ABS($G13-(Data_2017!AT13-$K13)/$M13),0),IF(ISNUMBER(Data_2017!AT13),100*ABS($G13-(Data_2017!AT13-$K13)/$M13),0)))</f>
        <v>100</v>
      </c>
      <c r="BA13" s="100">
        <f>IF($H13=0,0,CHOOSE($H13,SUMPRODUCT($O14:$O$67*BA14:BA$67*($E14:$E$67=$D13)),IF(ISNUMBER(Data_2017!AU13),100*ABS($G13-(Data_2017!AU13-$K13)/$M13),0),IF(ISNUMBER(Data_2017!AU13),100*ABS($G13-(Data_2017!AU13-$K13)/$M13),0)))</f>
        <v>100</v>
      </c>
      <c r="BB13" s="100">
        <f>IF($H13=0,0,CHOOSE($H13,SUMPRODUCT($O14:$O$67*BB14:BB$67*($E14:$E$67=$D13)),IF(ISNUMBER(Data_2017!AV13),100*ABS($G13-(Data_2017!AV13-$K13)/$M13),0),IF(ISNUMBER(Data_2017!AV13),100*ABS($G13-(Data_2017!AV13-$K13)/$M13),0)))</f>
        <v>100</v>
      </c>
      <c r="BC13" s="100">
        <f>IF($H13=0,0,CHOOSE($H13,SUMPRODUCT($O14:$O$67*BC14:BC$67*($E14:$E$67=$D13)),IF(ISNUMBER(Data_2017!AW13),100*ABS($G13-(Data_2017!AW13-$K13)/$M13),0),IF(ISNUMBER(Data_2017!AW13),100*ABS($G13-(Data_2017!AW13-$K13)/$M13),0)))</f>
        <v>50</v>
      </c>
      <c r="BD13" s="100">
        <f>IF($H13=0,0,CHOOSE($H13,SUMPRODUCT($O14:$O$67*BD14:BD$67*($E14:$E$67=$D13)),IF(ISNUMBER(Data_2017!AX13),100*ABS($G13-(Data_2017!AX13-$K13)/$M13),0),IF(ISNUMBER(Data_2017!AX13),100*ABS($G13-(Data_2017!AX13-$K13)/$M13),0)))</f>
        <v>50</v>
      </c>
      <c r="BE13" s="100">
        <f>IF($H13=0,0,CHOOSE($H13,SUMPRODUCT($O14:$O$67*BE14:BE$67*($E14:$E$67=$D13)),IF(ISNUMBER(Data_2017!AY13),100*ABS($G13-(Data_2017!AY13-$K13)/$M13),0),IF(ISNUMBER(Data_2017!AY13),100*ABS($G13-(Data_2017!AY13-$K13)/$M13),0)))</f>
        <v>50</v>
      </c>
      <c r="BF13" s="100">
        <f>IF($H13=0,0,CHOOSE($H13,SUMPRODUCT($O14:$O$67*BF14:BF$67*($E14:$E$67=$D13)),IF(ISNUMBER(Data_2017!AZ13),100*ABS($G13-(Data_2017!AZ13-$K13)/$M13),0),IF(ISNUMBER(Data_2017!AZ13),100*ABS($G13-(Data_2017!AZ13-$K13)/$M13),0)))</f>
        <v>50</v>
      </c>
      <c r="BG13" s="100">
        <f>IF($H13=0,0,CHOOSE($H13,SUMPRODUCT($O14:$O$67*BG14:BG$67*($E14:$E$67=$D13)),IF(ISNUMBER(Data_2017!BA13),100*ABS($G13-(Data_2017!BA13-$K13)/$M13),0),IF(ISNUMBER(Data_2017!BA13),100*ABS($G13-(Data_2017!BA13-$K13)/$M13),0)))</f>
        <v>50</v>
      </c>
      <c r="BH13" s="100">
        <f>IF($H13=0,0,CHOOSE($H13,SUMPRODUCT($O14:$O$67*BH14:BH$67*($E14:$E$67=$D13)),IF(ISNUMBER(Data_2017!BB13),100*ABS($G13-(Data_2017!BB13-$K13)/$M13),0),IF(ISNUMBER(Data_2017!BB13),100*ABS($G13-(Data_2017!BB13-$K13)/$M13),0)))</f>
        <v>100</v>
      </c>
      <c r="BI13" s="100">
        <f>IF($H13=0,0,CHOOSE($H13,SUMPRODUCT($O14:$O$67*BI14:BI$67*($E14:$E$67=$D13)),IF(ISNUMBER(Data_2017!BC13),100*ABS($G13-(Data_2017!BC13-$K13)/$M13),0),IF(ISNUMBER(Data_2017!BC13),100*ABS($G13-(Data_2017!BC13-$K13)/$M13),0)))</f>
        <v>50</v>
      </c>
      <c r="BJ13" s="100">
        <f>IF($H13=0,0,CHOOSE($H13,SUMPRODUCT($O14:$O$67*BJ14:BJ$67*($E14:$E$67=$D13)),IF(ISNUMBER(Data_2017!BD13),100*ABS($G13-(Data_2017!BD13-$K13)/$M13),0),IF(ISNUMBER(Data_2017!BD13),100*ABS($G13-(Data_2017!BD13-$K13)/$M13),0)))</f>
        <v>50</v>
      </c>
      <c r="BK13" s="100">
        <f>IF($H13=0,0,CHOOSE($H13,SUMPRODUCT($O14:$O$67*BK14:BK$67*($E14:$E$67=$D13)),IF(ISNUMBER(Data_2017!BE13),100*ABS($G13-(Data_2017!BE13-$K13)/$M13),0),IF(ISNUMBER(Data_2017!BE13),100*ABS($G13-(Data_2017!BE13-$K13)/$M13),0)))</f>
        <v>50</v>
      </c>
      <c r="BL13" s="100">
        <f>IF($H13=0,0,CHOOSE($H13,SUMPRODUCT($O14:$O$67*BL14:BL$67*($E14:$E$67=$D13)),IF(ISNUMBER(Data_2017!BF13),100*ABS($G13-(Data_2017!BF13-$K13)/$M13),0),IF(ISNUMBER(Data_2017!BF13),100*ABS($G13-(Data_2017!BF13-$K13)/$M13),0)))</f>
        <v>50</v>
      </c>
      <c r="BM13" s="100">
        <f>IF($H13=0,0,CHOOSE($H13,SUMPRODUCT($O14:$O$67*BM14:BM$67*($E14:$E$67=$D13)),IF(ISNUMBER(Data_2017!BG13),100*ABS($G13-(Data_2017!BG13-$K13)/$M13),0),IF(ISNUMBER(Data_2017!BG13),100*ABS($G13-(Data_2017!BG13-$K13)/$M13),0)))</f>
        <v>100</v>
      </c>
      <c r="BN13" s="100">
        <f>IF($H13=0,0,CHOOSE($H13,SUMPRODUCT($O14:$O$67*BN14:BN$67*($E14:$E$67=$D13)),IF(ISNUMBER(Data_2017!BH13),100*ABS($G13-(Data_2017!BH13-$K13)/$M13),0),IF(ISNUMBER(Data_2017!BH13),100*ABS($G13-(Data_2017!BH13-$K13)/$M13),0)))</f>
        <v>50</v>
      </c>
      <c r="BO13" s="100">
        <f>IF($H13=0,0,CHOOSE($H13,SUMPRODUCT($O14:$O$67*BO14:BO$67*($E14:$E$67=$D13)),IF(ISNUMBER(Data_2017!BI13),100*ABS($G13-(Data_2017!BI13-$K13)/$M13),0),IF(ISNUMBER(Data_2017!BI13),100*ABS($G13-(Data_2017!BI13-$K13)/$M13),0)))</f>
        <v>100</v>
      </c>
      <c r="BP13" s="100">
        <f>IF($H13=0,0,CHOOSE($H13,SUMPRODUCT($O14:$O$67*BP14:BP$67*($E14:$E$67=$D13)),IF(ISNUMBER(Data_2017!BJ13),100*ABS($G13-(Data_2017!BJ13-$K13)/$M13),0),IF(ISNUMBER(Data_2017!BJ13),100*ABS($G13-(Data_2017!BJ13-$K13)/$M13),0)))</f>
        <v>100</v>
      </c>
      <c r="BQ13" s="100">
        <f>IF($H13=0,0,CHOOSE($H13,SUMPRODUCT($O14:$O$67*BQ14:BQ$67*($E14:$E$67=$D13)),IF(ISNUMBER(Data_2017!BK13),100*ABS($G13-(Data_2017!BK13-$K13)/$M13),0),IF(ISNUMBER(Data_2017!BK13),100*ABS($G13-(Data_2017!BK13-$K13)/$M13),0)))</f>
        <v>50</v>
      </c>
      <c r="BR13" s="100">
        <f>IF($H13=0,0,CHOOSE($H13,SUMPRODUCT($O14:$O$67*BR14:BR$67*($E14:$E$67=$D13)),IF(ISNUMBER(Data_2017!BL13),100*ABS($G13-(Data_2017!BL13-$K13)/$M13),0),IF(ISNUMBER(Data_2017!BL13),100*ABS($G13-(Data_2017!BL13-$K13)/$M13),0)))</f>
        <v>100</v>
      </c>
      <c r="BS13" s="100">
        <f>IF($H13=0,0,CHOOSE($H13,SUMPRODUCT($O14:$O$67*BS14:BS$67*($E14:$E$67=$D13)),IF(ISNUMBER(Data_2017!BM13),100*ABS($G13-(Data_2017!BM13-$K13)/$M13),0),IF(ISNUMBER(Data_2017!BM13),100*ABS($G13-(Data_2017!BM13-$K13)/$M13),0)))</f>
        <v>100</v>
      </c>
      <c r="BT13" s="100">
        <f>IF($H13=0,0,CHOOSE($H13,SUMPRODUCT($O14:$O$67*BT14:BT$67*($E14:$E$67=$D13)),IF(ISNUMBER(Data_2017!BN13),100*ABS($G13-(Data_2017!BN13-$K13)/$M13),0),IF(ISNUMBER(Data_2017!BN13),100*ABS($G13-(Data_2017!BN13-$K13)/$M13),0)))</f>
        <v>100</v>
      </c>
      <c r="BU13" s="100">
        <f>IF($H13=0,0,CHOOSE($H13,SUMPRODUCT($O14:$O$67*BU14:BU$67*($E14:$E$67=$D13)),IF(ISNUMBER(Data_2017!BO13),100*ABS($G13-(Data_2017!BO13-$K13)/$M13),0),IF(ISNUMBER(Data_2017!BO13),100*ABS($G13-(Data_2017!BO13-$K13)/$M13),0)))</f>
        <v>50</v>
      </c>
      <c r="BV13" s="100">
        <f>IF($H13=0,0,CHOOSE($H13,SUMPRODUCT($O14:$O$67*BV14:BV$67*($E14:$E$67=$D13)),IF(ISNUMBER(Data_2017!BP13),100*ABS($G13-(Data_2017!BP13-$K13)/$M13),0),IF(ISNUMBER(Data_2017!BP13),100*ABS($G13-(Data_2017!BP13-$K13)/$M13),0)))</f>
        <v>50</v>
      </c>
      <c r="BW13" s="100">
        <f>IF($H13=0,0,CHOOSE($H13,SUMPRODUCT($O14:$O$67*BW14:BW$67*($E14:$E$67=$D13)),IF(ISNUMBER(Data_2017!BQ13),100*ABS($G13-(Data_2017!BQ13-$K13)/$M13),0),IF(ISNUMBER(Data_2017!BQ13),100*ABS($G13-(Data_2017!BQ13-$K13)/$M13),0)))</f>
        <v>50</v>
      </c>
      <c r="BX13" s="100">
        <f>IF($H13=0,0,CHOOSE($H13,SUMPRODUCT($O14:$O$67*BX14:BX$67*($E14:$E$67=$D13)),IF(ISNUMBER(Data_2017!BR13),100*ABS($G13-(Data_2017!BR13-$K13)/$M13),0),IF(ISNUMBER(Data_2017!BR13),100*ABS($G13-(Data_2017!BR13-$K13)/$M13),0)))</f>
        <v>100</v>
      </c>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row>
    <row r="14" s="69" customFormat="1" ht="24.95" customHeight="1" spans="1:130">
      <c r="A14" s="92"/>
      <c r="B14" s="92">
        <f>tblIndicators!A10</f>
        <v>9</v>
      </c>
      <c r="C14" s="92">
        <f>tblIndicators!B10</f>
        <v>0</v>
      </c>
      <c r="D14" s="92" t="str">
        <f>tblIndicators!D10</f>
        <v>DISE1.2</v>
      </c>
      <c r="E14" s="92" t="str">
        <f>tblIndicators!E10</f>
        <v>DISE</v>
      </c>
      <c r="F14" s="92">
        <f>tblIndicators!F10</f>
        <v>2</v>
      </c>
      <c r="G14" s="92" t="str">
        <f>tblIndicators!Y10</f>
        <v/>
      </c>
      <c r="H14" s="92">
        <f>tblIndicators!Z10</f>
        <v>1</v>
      </c>
      <c r="I14" s="104">
        <f>tblIndicators!AA10</f>
        <v>0</v>
      </c>
      <c r="J14" s="92">
        <f>tblIndicators!AB10</f>
        <v>0</v>
      </c>
      <c r="K14" s="89" t="str">
        <f>IF(uxb_works!$B$66=1,CHOOSE(H14,"-",MIN(Data_2017!J14:BR14),I14),CHOOSE(H14,"-",MIN(Data_2017!J14:BQ14),I14))</f>
        <v>-</v>
      </c>
      <c r="L14" s="97" t="str">
        <f>IF(uxb_works!$B$66=1,CHOOSE(H14,"-",MAX(Data_2017!J14:BR14),J14),CHOOSE(H14,"-",MAX(Data_2017!J14:BQ14),J14))</f>
        <v>-</v>
      </c>
      <c r="M14" s="92" t="str">
        <f t="shared" si="1"/>
        <v>-</v>
      </c>
      <c r="N14" s="105" t="str">
        <f>REPT(" ",F14)&amp;tblIndicators!AE10</f>
        <v>  1.2) Digital security (Outputs)</v>
      </c>
      <c r="O14" s="106">
        <f>tblIndicators!AD10</f>
        <v>0.5</v>
      </c>
      <c r="P14" s="100">
        <f>IF($H14=0,0,CHOOSE($H14,SUMPRODUCT($O15:$O$67*P15:P$67*($E15:$E$67=$D14)),IF(ISNUMBER(Data_2017!J14),100*ABS($G14-(Data_2017!J14-$K14)/$M14),0),IF(ISNUMBER(Data_2017!J14),100*ABS($G14-(Data_2017!J14-$K14)/$M14),0)))</f>
        <v>74.2150882505875</v>
      </c>
      <c r="Q14" s="100">
        <f>IF($H14=0,0,CHOOSE($H14,SUMPRODUCT($O15:$O$67*Q15:Q$67*($E15:$E$67=$D14)),IF(ISNUMBER(Data_2017!K14),100*ABS($G14-(Data_2017!K14-$K14)/$M14),0),IF(ISNUMBER(Data_2017!K14),100*ABS($G14-(Data_2017!K14-$K14)/$M14),0)))</f>
        <v>91.581420063715</v>
      </c>
      <c r="R14" s="100">
        <f>IF($H14=0,0,CHOOSE($H14,SUMPRODUCT($O15:$O$67*R15:R$67*($E15:$E$67=$D14)),IF(ISNUMBER(Data_2017!L14),100*ABS($G14-(Data_2017!L14-$K14)/$M14),0),IF(ISNUMBER(Data_2017!L14),100*ABS($G14-(Data_2017!L14-$K14)/$M14),0)))</f>
        <v>63.8764642222547</v>
      </c>
      <c r="S14" s="100">
        <f>IF($H14=0,0,CHOOSE($H14,SUMPRODUCT($O15:$O$67*S15:S$67*($E15:$E$67=$D14)),IF(ISNUMBER(Data_2017!M14),100*ABS($G14-(Data_2017!M14-$K14)/$M14),0),IF(ISNUMBER(Data_2017!M14),100*ABS($G14-(Data_2017!M14-$K14)/$M14),0)))</f>
        <v>60.5529125700813</v>
      </c>
      <c r="T14" s="100">
        <f>IF($H14=0,0,CHOOSE($H14,SUMPRODUCT($O15:$O$67*T15:T$67*($E15:$E$67=$D14)),IF(ISNUMBER(Data_2017!N14),100*ABS($G14-(Data_2017!N14-$K14)/$M14),0),IF(ISNUMBER(Data_2017!N14),100*ABS($G14-(Data_2017!N14-$K14)/$M14),0)))</f>
        <v>68.8829344649958</v>
      </c>
      <c r="U14" s="100">
        <f>IF($H14=0,0,CHOOSE($H14,SUMPRODUCT($O15:$O$67*U15:U$67*($E15:$E$67=$D14)),IF(ISNUMBER(Data_2017!O14),100*ABS($G14-(Data_2017!O14-$K14)/$M14),0),IF(ISNUMBER(Data_2017!O14),100*ABS($G14-(Data_2017!O14-$K14)/$M14),0)))</f>
        <v>67.4191728998378</v>
      </c>
      <c r="V14" s="100">
        <f>IF($H14=0,0,CHOOSE($H14,SUMPRODUCT($O15:$O$67*V15:V$67*($E15:$E$67=$D14)),IF(ISNUMBER(Data_2017!P14),100*ABS($G14-(Data_2017!P14-$K14)/$M14),0),IF(ISNUMBER(Data_2017!P14),100*ABS($G14-(Data_2017!P14-$K14)/$M14),0)))</f>
        <v>67.5786932272712</v>
      </c>
      <c r="W14" s="100">
        <f>IF($H14=0,0,CHOOSE($H14,SUMPRODUCT($O15:$O$67*W15:W$67*($E15:$E$67=$D14)),IF(ISNUMBER(Data_2017!Q14),100*ABS($G14-(Data_2017!Q14-$K14)/$M14),0),IF(ISNUMBER(Data_2017!Q14),100*ABS($G14-(Data_2017!Q14-$K14)/$M14),0)))</f>
        <v>79.9263203149653</v>
      </c>
      <c r="X14" s="100">
        <f>IF($H14=0,0,CHOOSE($H14,SUMPRODUCT($O15:$O$67*X15:X$67*($E15:$E$67=$D14)),IF(ISNUMBER(Data_2017!R14),100*ABS($G14-(Data_2017!R14-$K14)/$M14),0),IF(ISNUMBER(Data_2017!R14),100*ABS($G14-(Data_2017!R14-$K14)/$M14),0)))</f>
        <v>81.6193386466095</v>
      </c>
      <c r="Y14" s="100">
        <f>IF($H14=0,0,CHOOSE($H14,SUMPRODUCT($O15:$O$67*Y15:Y$67*($E15:$E$67=$D14)),IF(ISNUMBER(Data_2017!S14),100*ABS($G14-(Data_2017!S14-$K14)/$M14),0),IF(ISNUMBER(Data_2017!S14),100*ABS($G14-(Data_2017!S14-$K14)/$M14),0)))</f>
        <v>59.9197056318446</v>
      </c>
      <c r="Z14" s="100">
        <f>IF($H14=0,0,CHOOSE($H14,SUMPRODUCT($O15:$O$67*Z15:Z$67*($E15:$E$67=$D14)),IF(ISNUMBER(Data_2017!T14),100*ABS($G14-(Data_2017!T14-$K14)/$M14),0),IF(ISNUMBER(Data_2017!T14),100*ABS($G14-(Data_2017!T14-$K14)/$M14),0)))</f>
        <v>70.1064630550185</v>
      </c>
      <c r="AA14" s="100">
        <f>IF($H14=0,0,CHOOSE($H14,SUMPRODUCT($O15:$O$67*AA15:AA$67*($E15:$E$67=$D14)),IF(ISNUMBER(Data_2017!U14),100*ABS($G14-(Data_2017!U14-$K14)/$M14),0),IF(ISNUMBER(Data_2017!U14),100*ABS($G14-(Data_2017!U14-$K14)/$M14),0)))</f>
        <v>68.077889952751</v>
      </c>
      <c r="AB14" s="100">
        <f>IF($H14=0,0,CHOOSE($H14,SUMPRODUCT($O15:$O$67*AB15:AB$67*($E15:$E$67=$D14)),IF(ISNUMBER(Data_2017!V14),100*ABS($G14-(Data_2017!V14-$K14)/$M14),0),IF(ISNUMBER(Data_2017!V14),100*ABS($G14-(Data_2017!V14-$K14)/$M14),0)))</f>
        <v>73.5008949775786</v>
      </c>
      <c r="AC14" s="100">
        <f>IF($H14=0,0,CHOOSE($H14,SUMPRODUCT($O15:$O$67*AC15:AC$67*($E15:$E$67=$D14)),IF(ISNUMBER(Data_2017!W14),100*ABS($G14-(Data_2017!W14-$K14)/$M14),0),IF(ISNUMBER(Data_2017!W14),100*ABS($G14-(Data_2017!W14-$K14)/$M14),0)))</f>
        <v>69.3075699885384</v>
      </c>
      <c r="AD14" s="100">
        <f>IF($H14=0,0,CHOOSE($H14,SUMPRODUCT($O15:$O$67*AD15:AD$67*($E15:$E$67=$D14)),IF(ISNUMBER(Data_2017!X14),100*ABS($G14-(Data_2017!X14-$K14)/$M14),0),IF(ISNUMBER(Data_2017!X14),100*ABS($G14-(Data_2017!X14-$K14)/$M14),0)))</f>
        <v>45.8778432177515</v>
      </c>
      <c r="AE14" s="100">
        <f>IF($H14=0,0,CHOOSE($H14,SUMPRODUCT($O15:$O$67*AE15:AE$67*($E15:$E$67=$D14)),IF(ISNUMBER(Data_2017!Y14),100*ABS($G14-(Data_2017!Y14-$K14)/$M14),0),IF(ISNUMBER(Data_2017!Y14),100*ABS($G14-(Data_2017!Y14-$K14)/$M14),0)))</f>
        <v>50</v>
      </c>
      <c r="AF14" s="100">
        <f>IF($H14=0,0,CHOOSE($H14,SUMPRODUCT($O15:$O$67*AF15:AF$67*($E15:$E$67=$D14)),IF(ISNUMBER(Data_2017!Z14),100*ABS($G14-(Data_2017!Z14-$K14)/$M14),0),IF(ISNUMBER(Data_2017!Z14),100*ABS($G14-(Data_2017!Z14-$K14)/$M14),0)))</f>
        <v>69.7034285143048</v>
      </c>
      <c r="AG14" s="100">
        <f>IF($H14=0,0,CHOOSE($H14,SUMPRODUCT($O15:$O$67*AG15:AG$67*($E15:$E$67=$D14)),IF(ISNUMBER(Data_2017!AA14),100*ABS($G14-(Data_2017!AA14-$K14)/$M14),0),IF(ISNUMBER(Data_2017!AA14),100*ABS($G14-(Data_2017!AA14-$K14)/$M14),0)))</f>
        <v>81.0008704326114</v>
      </c>
      <c r="AH14" s="100">
        <f>IF($H14=0,0,CHOOSE($H14,SUMPRODUCT($O15:$O$67*AH15:AH$67*($E15:$E$67=$D14)),IF(ISNUMBER(Data_2017!AB14),100*ABS($G14-(Data_2017!AB14-$K14)/$M14),0),IF(ISNUMBER(Data_2017!AB14),100*ABS($G14-(Data_2017!AB14-$K14)/$M14),0)))</f>
        <v>57.8977993515404</v>
      </c>
      <c r="AI14" s="100">
        <f>IF($H14=0,0,CHOOSE($H14,SUMPRODUCT($O15:$O$67*AI15:AI$67*($E15:$E$67=$D14)),IF(ISNUMBER(Data_2017!AC14),100*ABS($G14-(Data_2017!AC14-$K14)/$M14),0),IF(ISNUMBER(Data_2017!AC14),100*ABS($G14-(Data_2017!AC14-$K14)/$M14),0)))</f>
        <v>71.5487041835432</v>
      </c>
      <c r="AJ14" s="100">
        <f>IF($H14=0,0,CHOOSE($H14,SUMPRODUCT($O15:$O$67*AJ15:AJ$67*($E15:$E$67=$D14)),IF(ISNUMBER(Data_2017!AD14),100*ABS($G14-(Data_2017!AD14-$K14)/$M14),0),IF(ISNUMBER(Data_2017!AD14),100*ABS($G14-(Data_2017!AD14-$K14)/$M14),0)))</f>
        <v>63.4129117309004</v>
      </c>
      <c r="AK14" s="100">
        <f>IF($H14=0,0,CHOOSE($H14,SUMPRODUCT($O15:$O$67*AK15:AK$67*($E15:$E$67=$D14)),IF(ISNUMBER(Data_2017!AE14),100*ABS($G14-(Data_2017!AE14-$K14)/$M14),0),IF(ISNUMBER(Data_2017!AE14),100*ABS($G14-(Data_2017!AE14-$K14)/$M14),0)))</f>
        <v>44.8756478841065</v>
      </c>
      <c r="AL14" s="100">
        <f>IF($H14=0,0,CHOOSE($H14,SUMPRODUCT($O15:$O$67*AL15:AL$67*($E15:$E$67=$D14)),IF(ISNUMBER(Data_2017!AF14),100*ABS($G14-(Data_2017!AF14-$K14)/$M14),0),IF(ISNUMBER(Data_2017!AF14),100*ABS($G14-(Data_2017!AF14-$K14)/$M14),0)))</f>
        <v>73.3878405441158</v>
      </c>
      <c r="AM14" s="100">
        <f>IF($H14=0,0,CHOOSE($H14,SUMPRODUCT($O15:$O$67*AM15:AM$67*($E15:$E$67=$D14)),IF(ISNUMBER(Data_2017!AG14),100*ABS($G14-(Data_2017!AG14-$K14)/$M14),0),IF(ISNUMBER(Data_2017!AG14),100*ABS($G14-(Data_2017!AG14-$K14)/$M14),0)))</f>
        <v>74.2225000966826</v>
      </c>
      <c r="AN14" s="100">
        <f>IF($H14=0,0,CHOOSE($H14,SUMPRODUCT($O15:$O$67*AN15:AN$67*($E15:$E$67=$D14)),IF(ISNUMBER(Data_2017!AH14),100*ABS($G14-(Data_2017!AH14-$K14)/$M14),0),IF(ISNUMBER(Data_2017!AH14),100*ABS($G14-(Data_2017!AH14-$K14)/$M14),0)))</f>
        <v>51.4351193956541</v>
      </c>
      <c r="AO14" s="100">
        <f>IF($H14=0,0,CHOOSE($H14,SUMPRODUCT($O15:$O$67*AO15:AO$67*($E15:$E$67=$D14)),IF(ISNUMBER(Data_2017!AI14),100*ABS($G14-(Data_2017!AI14-$K14)/$M14),0),IF(ISNUMBER(Data_2017!AI14),100*ABS($G14-(Data_2017!AI14-$K14)/$M14),0)))</f>
        <v>74.0010961144802</v>
      </c>
      <c r="AP14" s="100">
        <f>IF($H14=0,0,CHOOSE($H14,SUMPRODUCT($O15:$O$67*AP15:AP$67*($E15:$E$67=$D14)),IF(ISNUMBER(Data_2017!AJ14),100*ABS($G14-(Data_2017!AJ14-$K14)/$M14),0),IF(ISNUMBER(Data_2017!AJ14),100*ABS($G14-(Data_2017!AJ14-$K14)/$M14),0)))</f>
        <v>78.6667195122139</v>
      </c>
      <c r="AQ14" s="100">
        <f>IF($H14=0,0,CHOOSE($H14,SUMPRODUCT($O15:$O$67*AQ15:AQ$67*($E15:$E$67=$D14)),IF(ISNUMBER(Data_2017!AK14),100*ABS($G14-(Data_2017!AK14-$K14)/$M14),0),IF(ISNUMBER(Data_2017!AK14),100*ABS($G14-(Data_2017!AK14-$K14)/$M14),0)))</f>
        <v>61.2245567888449</v>
      </c>
      <c r="AR14" s="100">
        <f>IF($H14=0,0,CHOOSE($H14,SUMPRODUCT($O15:$O$67*AR15:AR$67*($E15:$E$67=$D14)),IF(ISNUMBER(Data_2017!AL14),100*ABS($G14-(Data_2017!AL14-$K14)/$M14),0),IF(ISNUMBER(Data_2017!AL14),100*ABS($G14-(Data_2017!AL14-$K14)/$M14),0)))</f>
        <v>66.7270163685102</v>
      </c>
      <c r="AS14" s="100">
        <f>IF($H14=0,0,CHOOSE($H14,SUMPRODUCT($O15:$O$67*AS15:AS$67*($E15:$E$67=$D14)),IF(ISNUMBER(Data_2017!AM14),100*ABS($G14-(Data_2017!AM14-$K14)/$M14),0),IF(ISNUMBER(Data_2017!AM14),100*ABS($G14-(Data_2017!AM14-$K14)/$M14),0)))</f>
        <v>70.2394199861029</v>
      </c>
      <c r="AT14" s="100">
        <f>IF($H14=0,0,CHOOSE($H14,SUMPRODUCT($O15:$O$67*AT15:AT$67*($E15:$E$67=$D14)),IF(ISNUMBER(Data_2017!AN14),100*ABS($G14-(Data_2017!AN14-$K14)/$M14),0),IF(ISNUMBER(Data_2017!AN14),100*ABS($G14-(Data_2017!AN14-$K14)/$M14),0)))</f>
        <v>68.8829344649958</v>
      </c>
      <c r="AU14" s="100">
        <f>IF($H14=0,0,CHOOSE($H14,SUMPRODUCT($O15:$O$67*AU15:AU$67*($E15:$E$67=$D14)),IF(ISNUMBER(Data_2017!AO14),100*ABS($G14-(Data_2017!AO14-$K14)/$M14),0),IF(ISNUMBER(Data_2017!AO14),100*ABS($G14-(Data_2017!AO14-$K14)/$M14),0)))</f>
        <v>41.5517019163507</v>
      </c>
      <c r="AV14" s="100">
        <f>IF($H14=0,0,CHOOSE($H14,SUMPRODUCT($O15:$O$67*AV15:AV$67*($E15:$E$67=$D14)),IF(ISNUMBER(Data_2017!AP14),100*ABS($G14-(Data_2017!AP14-$K14)/$M14),0),IF(ISNUMBER(Data_2017!AP14),100*ABS($G14-(Data_2017!AP14-$K14)/$M14),0)))</f>
        <v>76.6341257088476</v>
      </c>
      <c r="AW14" s="100">
        <f>IF($H14=0,0,CHOOSE($H14,SUMPRODUCT($O15:$O$67*AW15:AW$67*($E15:$E$67=$D14)),IF(ISNUMBER(Data_2017!AQ14),100*ABS($G14-(Data_2017!AQ14-$K14)/$M14),0),IF(ISNUMBER(Data_2017!AQ14),100*ABS($G14-(Data_2017!AQ14-$K14)/$M14),0)))</f>
        <v>49.0473294346234</v>
      </c>
      <c r="AX14" s="100">
        <f>IF($H14=0,0,CHOOSE($H14,SUMPRODUCT($O15:$O$67*AX15:AX$67*($E15:$E$67=$D14)),IF(ISNUMBER(Data_2017!AR14),100*ABS($G14-(Data_2017!AR14-$K14)/$M14),0),IF(ISNUMBER(Data_2017!AR14),100*ABS($G14-(Data_2017!AR14-$K14)/$M14),0)))</f>
        <v>63.245978498612</v>
      </c>
      <c r="AY14" s="100">
        <f>IF($H14=0,0,CHOOSE($H14,SUMPRODUCT($O15:$O$67*AY15:AY$67*($E15:$E$67=$D14)),IF(ISNUMBER(Data_2017!AS14),100*ABS($G14-(Data_2017!AS14-$K14)/$M14),0),IF(ISNUMBER(Data_2017!AS14),100*ABS($G14-(Data_2017!AS14-$K14)/$M14),0)))</f>
        <v>56.3892491329993</v>
      </c>
      <c r="AZ14" s="100">
        <f>IF($H14=0,0,CHOOSE($H14,SUMPRODUCT($O15:$O$67*AZ15:AZ$67*($E15:$E$67=$D14)),IF(ISNUMBER(Data_2017!AT14),100*ABS($G14-(Data_2017!AT14-$K14)/$M14),0),IF(ISNUMBER(Data_2017!AT14),100*ABS($G14-(Data_2017!AT14-$K14)/$M14),0)))</f>
        <v>45.8778432177515</v>
      </c>
      <c r="BA14" s="100">
        <f>IF($H14=0,0,CHOOSE($H14,SUMPRODUCT($O15:$O$67*BA15:BA$67*($E15:$E$67=$D14)),IF(ISNUMBER(Data_2017!AU14),100*ABS($G14-(Data_2017!AU14-$K14)/$M14),0),IF(ISNUMBER(Data_2017!AU14),100*ABS($G14-(Data_2017!AU14-$K14)/$M14),0)))</f>
        <v>69.900565441534</v>
      </c>
      <c r="BB14" s="100">
        <f>IF($H14=0,0,CHOOSE($H14,SUMPRODUCT($O15:$O$67*BB15:BB$67*($E15:$E$67=$D14)),IF(ISNUMBER(Data_2017!AV14),100*ABS($G14-(Data_2017!AV14-$K14)/$M14),0),IF(ISNUMBER(Data_2017!AV14),100*ABS($G14-(Data_2017!AV14-$K14)/$M14),0)))</f>
        <v>85.8885732648221</v>
      </c>
      <c r="BC14" s="100">
        <f>IF($H14=0,0,CHOOSE($H14,SUMPRODUCT($O15:$O$67*BC15:BC$67*($E15:$E$67=$D14)),IF(ISNUMBER(Data_2017!AW14),100*ABS($G14-(Data_2017!AW14-$K14)/$M14),0),IF(ISNUMBER(Data_2017!AW14),100*ABS($G14-(Data_2017!AW14-$K14)/$M14),0)))</f>
        <v>67.4135306914681</v>
      </c>
      <c r="BD14" s="100">
        <f>IF($H14=0,0,CHOOSE($H14,SUMPRODUCT($O15:$O$67*BD15:BD$67*($E15:$E$67=$D14)),IF(ISNUMBER(Data_2017!AX14),100*ABS($G14-(Data_2017!AX14-$K14)/$M14),0),IF(ISNUMBER(Data_2017!AX14),100*ABS($G14-(Data_2017!AX14-$K14)/$M14),0)))</f>
        <v>72.9635620344263</v>
      </c>
      <c r="BE14" s="100">
        <f>IF($H14=0,0,CHOOSE($H14,SUMPRODUCT($O15:$O$67*BE15:BE$67*($E15:$E$67=$D14)),IF(ISNUMBER(Data_2017!AY14),100*ABS($G14-(Data_2017!AY14-$K14)/$M14),0),IF(ISNUMBER(Data_2017!AY14),100*ABS($G14-(Data_2017!AY14-$K14)/$M14),0)))</f>
        <v>60.5914718403423</v>
      </c>
      <c r="BF14" s="100">
        <f>IF($H14=0,0,CHOOSE($H14,SUMPRODUCT($O15:$O$67*BF15:BF$67*($E15:$E$67=$D14)),IF(ISNUMBER(Data_2017!AZ14),100*ABS($G14-(Data_2017!AZ14-$K14)/$M14),0),IF(ISNUMBER(Data_2017!AZ14),100*ABS($G14-(Data_2017!AZ14-$K14)/$M14),0)))</f>
        <v>73.3878405441158</v>
      </c>
      <c r="BG14" s="100">
        <f>IF($H14=0,0,CHOOSE($H14,SUMPRODUCT($O15:$O$67*BG15:BG$67*($E15:$E$67=$D14)),IF(ISNUMBER(Data_2017!BA14),100*ABS($G14-(Data_2017!BA14-$K14)/$M14),0),IF(ISNUMBER(Data_2017!BA14),100*ABS($G14-(Data_2017!BA14-$K14)/$M14),0)))</f>
        <v>63.245978498612</v>
      </c>
      <c r="BH14" s="100">
        <f>IF($H14=0,0,CHOOSE($H14,SUMPRODUCT($O15:$O$67*BH15:BH$67*($E15:$E$67=$D14)),IF(ISNUMBER(Data_2017!BB14),100*ABS($G14-(Data_2017!BB14-$K14)/$M14),0),IF(ISNUMBER(Data_2017!BB14),100*ABS($G14-(Data_2017!BB14-$K14)/$M14),0)))</f>
        <v>70.2394199861029</v>
      </c>
      <c r="BI14" s="100">
        <f>IF($H14=0,0,CHOOSE($H14,SUMPRODUCT($O15:$O$67*BI15:BI$67*($E15:$E$67=$D14)),IF(ISNUMBER(Data_2017!BC14),100*ABS($G14-(Data_2017!BC14-$K14)/$M14),0),IF(ISNUMBER(Data_2017!BC14),100*ABS($G14-(Data_2017!BC14-$K14)/$M14),0)))</f>
        <v>62.7980596341641</v>
      </c>
      <c r="BJ14" s="100">
        <f>IF($H14=0,0,CHOOSE($H14,SUMPRODUCT($O15:$O$67*BJ15:BJ$67*($E15:$E$67=$D14)),IF(ISNUMBER(Data_2017!BD14),100*ABS($G14-(Data_2017!BD14-$K14)/$M14),0),IF(ISNUMBER(Data_2017!BD14),100*ABS($G14-(Data_2017!BD14-$K14)/$M14),0)))</f>
        <v>60.5914718403423</v>
      </c>
      <c r="BK14" s="100">
        <f>IF($H14=0,0,CHOOSE($H14,SUMPRODUCT($O15:$O$67*BK15:BK$67*($E15:$E$67=$D14)),IF(ISNUMBER(Data_2017!BE14),100*ABS($G14-(Data_2017!BE14-$K14)/$M14),0),IF(ISNUMBER(Data_2017!BE14),100*ABS($G14-(Data_2017!BE14-$K14)/$M14),0)))</f>
        <v>90.1820003736209</v>
      </c>
      <c r="BL14" s="100">
        <f>IF($H14=0,0,CHOOSE($H14,SUMPRODUCT($O15:$O$67*BL15:BL$67*($E15:$E$67=$D14)),IF(ISNUMBER(Data_2017!BF14),100*ABS($G14-(Data_2017!BF14-$K14)/$M14),0),IF(ISNUMBER(Data_2017!BF14),100*ABS($G14-(Data_2017!BF14-$K14)/$M14),0)))</f>
        <v>65.5131160866378</v>
      </c>
      <c r="BM14" s="100">
        <f>IF($H14=0,0,CHOOSE($H14,SUMPRODUCT($O15:$O$67*BM15:BM$67*($E15:$E$67=$D14)),IF(ISNUMBER(Data_2017!BG14),100*ABS($G14-(Data_2017!BG14-$K14)/$M14),0),IF(ISNUMBER(Data_2017!BG14),100*ABS($G14-(Data_2017!BG14-$K14)/$M14),0)))</f>
        <v>78.6768365386855</v>
      </c>
      <c r="BN14" s="100">
        <f>IF($H14=0,0,CHOOSE($H14,SUMPRODUCT($O15:$O$67*BN15:BN$67*($E15:$E$67=$D14)),IF(ISNUMBER(Data_2017!BH14),100*ABS($G14-(Data_2017!BH14-$K14)/$M14),0),IF(ISNUMBER(Data_2017!BH14),100*ABS($G14-(Data_2017!BH14-$K14)/$M14),0)))</f>
        <v>90.6135490989646</v>
      </c>
      <c r="BO14" s="100">
        <f>IF($H14=0,0,CHOOSE($H14,SUMPRODUCT($O15:$O$67*BO15:BO$67*($E15:$E$67=$D14)),IF(ISNUMBER(Data_2017!BI14),100*ABS($G14-(Data_2017!BI14-$K14)/$M14),0),IF(ISNUMBER(Data_2017!BI14),100*ABS($G14-(Data_2017!BI14-$K14)/$M14),0)))</f>
        <v>75.9140598016387</v>
      </c>
      <c r="BP14" s="100">
        <f>IF($H14=0,0,CHOOSE($H14,SUMPRODUCT($O15:$O$67*BP15:BP$67*($E15:$E$67=$D14)),IF(ISNUMBER(Data_2017!BJ14),100*ABS($G14-(Data_2017!BJ14-$K14)/$M14),0),IF(ISNUMBER(Data_2017!BJ14),100*ABS($G14-(Data_2017!BJ14-$K14)/$M14),0)))</f>
        <v>43.6212212501698</v>
      </c>
      <c r="BQ14" s="100">
        <f>IF($H14=0,0,CHOOSE($H14,SUMPRODUCT($O15:$O$67*BQ15:BQ$67*($E15:$E$67=$D14)),IF(ISNUMBER(Data_2017!BK14),100*ABS($G14-(Data_2017!BK14-$K14)/$M14),0),IF(ISNUMBER(Data_2017!BK14),100*ABS($G14-(Data_2017!BK14-$K14)/$M14),0)))</f>
        <v>63.1030714558244</v>
      </c>
      <c r="BR14" s="100">
        <f>IF($H14=0,0,CHOOSE($H14,SUMPRODUCT($O15:$O$67*BR15:BR$67*($E15:$E$67=$D14)),IF(ISNUMBER(Data_2017!BL14),100*ABS($G14-(Data_2017!BL14-$K14)/$M14),0),IF(ISNUMBER(Data_2017!BL14),100*ABS($G14-(Data_2017!BL14-$K14)/$M14),0)))</f>
        <v>88.47233916716</v>
      </c>
      <c r="BS14" s="100">
        <f>IF($H14=0,0,CHOOSE($H14,SUMPRODUCT($O15:$O$67*BS15:BS$67*($E15:$E$67=$D14)),IF(ISNUMBER(Data_2017!BM14),100*ABS($G14-(Data_2017!BM14-$K14)/$M14),0),IF(ISNUMBER(Data_2017!BM14),100*ABS($G14-(Data_2017!BM14-$K14)/$M14),0)))</f>
        <v>80.6631787288569</v>
      </c>
      <c r="BT14" s="100">
        <f>IF($H14=0,0,CHOOSE($H14,SUMPRODUCT($O15:$O$67*BT15:BT$67*($E15:$E$67=$D14)),IF(ISNUMBER(Data_2017!BN14),100*ABS($G14-(Data_2017!BN14-$K14)/$M14),0),IF(ISNUMBER(Data_2017!BN14),100*ABS($G14-(Data_2017!BN14-$K14)/$M14),0)))</f>
        <v>71.764265436663</v>
      </c>
      <c r="BU14" s="100">
        <f>IF($H14=0,0,CHOOSE($H14,SUMPRODUCT($O15:$O$67*BU15:BU$67*($E15:$E$67=$D14)),IF(ISNUMBER(Data_2017!BO14),100*ABS($G14-(Data_2017!BO14-$K14)/$M14),0),IF(ISNUMBER(Data_2017!BO14),100*ABS($G14-(Data_2017!BO14-$K14)/$M14),0)))</f>
        <v>81.2687094091745</v>
      </c>
      <c r="BV14" s="100">
        <f>IF($H14=0,0,CHOOSE($H14,SUMPRODUCT($O15:$O$67*BV15:BV$67*($E15:$E$67=$D14)),IF(ISNUMBER(Data_2017!BP14),100*ABS($G14-(Data_2017!BP14-$K14)/$M14),0),IF(ISNUMBER(Data_2017!BP14),100*ABS($G14-(Data_2017!BP14-$K14)/$M14),0)))</f>
        <v>61.4677378705957</v>
      </c>
      <c r="BW14" s="100">
        <f>IF($H14=0,0,CHOOSE($H14,SUMPRODUCT($O15:$O$67*BW15:BW$67*($E15:$E$67=$D14)),IF(ISNUMBER(Data_2017!BQ14),100*ABS($G14-(Data_2017!BQ14-$K14)/$M14),0),IF(ISNUMBER(Data_2017!BQ14),100*ABS($G14-(Data_2017!BQ14-$K14)/$M14),0)))</f>
        <v>80.9539626276761</v>
      </c>
      <c r="BX14" s="100">
        <f>IF($H14=0,0,CHOOSE($H14,SUMPRODUCT($O15:$O$67*BX15:BX$67*($E15:$E$67=$D14)),IF(ISNUMBER(Data_2017!BR14),100*ABS($G14-(Data_2017!BR14-$K14)/$M14),0),IF(ISNUMBER(Data_2017!BR14),100*ABS($G14-(Data_2017!BR14-$K14)/$M14),0)))</f>
        <v>86.7357096262443</v>
      </c>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row>
    <row r="15" s="69" customFormat="1" ht="24.95" customHeight="1" spans="1:130">
      <c r="A15" s="92"/>
      <c r="B15" s="92">
        <f>tblIndicators!A11</f>
        <v>10</v>
      </c>
      <c r="C15" s="92">
        <f>tblIndicators!B11</f>
        <v>0</v>
      </c>
      <c r="D15" s="92" t="str">
        <f>tblIndicators!D11</f>
        <v>DISE1.2.1</v>
      </c>
      <c r="E15" s="92" t="str">
        <f>tblIndicators!E11</f>
        <v>DISE1.2</v>
      </c>
      <c r="F15" s="92">
        <f>tblIndicators!F11</f>
        <v>3</v>
      </c>
      <c r="G15" s="92">
        <f>tblIndicators!Y11</f>
        <v>1</v>
      </c>
      <c r="H15" s="92">
        <f>tblIndicators!Z11</f>
        <v>2</v>
      </c>
      <c r="I15" s="104">
        <f>tblIndicators!AA11</f>
        <v>0</v>
      </c>
      <c r="J15" s="92">
        <f>tblIndicators!AB11</f>
        <v>0</v>
      </c>
      <c r="K15" s="89">
        <f>IF(uxb_works!$B$66=1,CHOOSE(H15,"-",MIN(Data_2017!J15:BR15),I15),CHOOSE(H15,"-",MIN(Data_2017!J15:BQ15),I15))</f>
        <v>0</v>
      </c>
      <c r="L15" s="97">
        <f>IF(uxb_works!$B$66=1,CHOOSE(H15,"-",MAX(Data_2017!J15:BR15),J15),CHOOSE(H15,"-",MAX(Data_2017!J15:BQ15),J15))</f>
        <v>1.27442650807137</v>
      </c>
      <c r="M15" s="92">
        <f t="shared" si="1"/>
        <v>1.27442650807137</v>
      </c>
      <c r="N15" s="105" t="str">
        <f>REPT(" ",F15)&amp;tblIndicators!AE11</f>
        <v>   1.2.1) Frequency of identity theft</v>
      </c>
      <c r="O15" s="106">
        <f>tblIndicators!AD11</f>
        <v>0.333333333333333</v>
      </c>
      <c r="P15" s="100">
        <f>IF($H15=0,0,CHOOSE($H15,SUMPRODUCT($O16:$O$67*P16:P$67*($E16:$E$67=$D15)),IF(ISNUMBER(Data_2017!J15),100*ABS($G15-(Data_2017!J15-$K15)/$M15),0),IF(ISNUMBER(Data_2017!J15),100*ABS($G15-(Data_2017!J15-$K15)/$M15),0)))</f>
        <v>100</v>
      </c>
      <c r="Q15" s="100">
        <f>IF($H15=0,0,CHOOSE($H15,SUMPRODUCT($O16:$O$67*Q16:Q$67*($E16:$E$67=$D15)),IF(ISNUMBER(Data_2017!K15),100*ABS($G15-(Data_2017!K15-$K15)/$M15),0),IF(ISNUMBER(Data_2017!K15),100*ABS($G15-(Data_2017!K15-$K15)/$M15),0)))</f>
        <v>99.7442601911449</v>
      </c>
      <c r="R15" s="100">
        <f>IF($H15=0,0,CHOOSE($H15,SUMPRODUCT($O16:$O$67*R16:R$67*($E16:$E$67=$D15)),IF(ISNUMBER(Data_2017!L15),100*ABS($G15-(Data_2017!L15-$K15)/$M15),0),IF(ISNUMBER(Data_2017!L15),100*ABS($G15-(Data_2017!L15-$K15)/$M15),0)))</f>
        <v>100</v>
      </c>
      <c r="S15" s="100">
        <f>IF($H15=0,0,CHOOSE($H15,SUMPRODUCT($O16:$O$67*S16:S$67*($E16:$E$67=$D15)),IF(ISNUMBER(Data_2017!M15),100*ABS($G15-(Data_2017!M15-$K15)/$M15),0),IF(ISNUMBER(Data_2017!M15),100*ABS($G15-(Data_2017!M15-$K15)/$M15),0)))</f>
        <v>99.9977022938019</v>
      </c>
      <c r="T15" s="100">
        <f>IF($H15=0,0,CHOOSE($H15,SUMPRODUCT($O16:$O$67*T16:T$67*($E16:$E$67=$D15)),IF(ISNUMBER(Data_2017!N15),100*ABS($G15-(Data_2017!N15-$K15)/$M15),0),IF(ISNUMBER(Data_2017!N15),100*ABS($G15-(Data_2017!N15-$K15)/$M15),0)))</f>
        <v>99.955716663049</v>
      </c>
      <c r="U15" s="100">
        <f>IF($H15=0,0,CHOOSE($H15,SUMPRODUCT($O16:$O$67*U16:U$67*($E16:$E$67=$D15)),IF(ISNUMBER(Data_2017!O15),100*ABS($G15-(Data_2017!O15-$K15)/$M15),0),IF(ISNUMBER(Data_2017!O15),100*ABS($G15-(Data_2017!O15-$K15)/$M15),0)))</f>
        <v>99.9986825378037</v>
      </c>
      <c r="V15" s="100">
        <f>IF($H15=0,0,CHOOSE($H15,SUMPRODUCT($O16:$O$67*V16:V$67*($E16:$E$67=$D15)),IF(ISNUMBER(Data_2017!P15),100*ABS($G15-(Data_2017!P15-$K15)/$M15),0),IF(ISNUMBER(Data_2017!P15),100*ABS($G15-(Data_2017!P15-$K15)/$M15),0)))</f>
        <v>99.9955225867808</v>
      </c>
      <c r="W15" s="100">
        <f>IF($H15=0,0,CHOOSE($H15,SUMPRODUCT($O16:$O$67*W16:W$67*($E16:$E$67=$D15)),IF(ISNUMBER(Data_2017!Q15),100*ABS($G15-(Data_2017!Q15-$K15)/$M15),0),IF(ISNUMBER(Data_2017!Q15),100*ABS($G15-(Data_2017!Q15-$K15)/$M15),0)))</f>
        <v>100</v>
      </c>
      <c r="X15" s="100">
        <f>IF($H15=0,0,CHOOSE($H15,SUMPRODUCT($O16:$O$67*X16:X$67*($E16:$E$67=$D15)),IF(ISNUMBER(Data_2017!R15),100*ABS($G15-(Data_2017!R15-$K15)/$M15),0),IF(ISNUMBER(Data_2017!R15),100*ABS($G15-(Data_2017!R15-$K15)/$M15),0)))</f>
        <v>99.9680957759205</v>
      </c>
      <c r="Y15" s="100">
        <f>IF($H15=0,0,CHOOSE($H15,SUMPRODUCT($O16:$O$67*Y16:Y$67*($E16:$E$67=$D15)),IF(ISNUMBER(Data_2017!S15),100*ABS($G15-(Data_2017!S15-$K15)/$M15),0),IF(ISNUMBER(Data_2017!S15),100*ABS($G15-(Data_2017!S15-$K15)/$M15),0)))</f>
        <v>100</v>
      </c>
      <c r="Z15" s="100">
        <f>IF($H15=0,0,CHOOSE($H15,SUMPRODUCT($O16:$O$67*Z16:Z$67*($E16:$E$67=$D15)),IF(ISNUMBER(Data_2017!T15),100*ABS($G15-(Data_2017!T15-$K15)/$M15),0),IF(ISNUMBER(Data_2017!T15),100*ABS($G15-(Data_2017!T15-$K15)/$M15),0)))</f>
        <v>100</v>
      </c>
      <c r="AA15" s="100">
        <f>IF($H15=0,0,CHOOSE($H15,SUMPRODUCT($O16:$O$67*AA16:AA$67*($E16:$E$67=$D15)),IF(ISNUMBER(Data_2017!U15),100*ABS($G15-(Data_2017!U15-$K15)/$M15),0),IF(ISNUMBER(Data_2017!U15),100*ABS($G15-(Data_2017!U15-$K15)/$M15),0)))</f>
        <v>100</v>
      </c>
      <c r="AB15" s="100">
        <f>IF($H15=0,0,CHOOSE($H15,SUMPRODUCT($O16:$O$67*AB16:AB$67*($E16:$E$67=$D15)),IF(ISNUMBER(Data_2017!V15),100*ABS($G15-(Data_2017!V15-$K15)/$M15),0),IF(ISNUMBER(Data_2017!V15),100*ABS($G15-(Data_2017!V15-$K15)/$M15),0)))</f>
        <v>85.4925510640123</v>
      </c>
      <c r="AC15" s="100">
        <f>IF($H15=0,0,CHOOSE($H15,SUMPRODUCT($O16:$O$67*AC16:AC$67*($E16:$E$67=$D15)),IF(ISNUMBER(Data_2017!W15),100*ABS($G15-(Data_2017!W15-$K15)/$M15),0),IF(ISNUMBER(Data_2017!W15),100*ABS($G15-(Data_2017!W15-$K15)/$M15),0)))</f>
        <v>85.4925510640123</v>
      </c>
      <c r="AD15" s="100">
        <f>IF($H15=0,0,CHOOSE($H15,SUMPRODUCT($O16:$O$67*AD16:AD$67*($E16:$E$67=$D15)),IF(ISNUMBER(Data_2017!X15),100*ABS($G15-(Data_2017!X15-$K15)/$M15),0),IF(ISNUMBER(Data_2017!X15),100*ABS($G15-(Data_2017!X15-$K15)/$M15),0)))</f>
        <v>97.8933569645073</v>
      </c>
      <c r="AE15" s="100">
        <f>IF($H15=0,0,CHOOSE($H15,SUMPRODUCT($O16:$O$67*AE16:AE$67*($E16:$E$67=$D15)),IF(ISNUMBER(Data_2017!Y15),100*ABS($G15-(Data_2017!Y15-$K15)/$M15),0),IF(ISNUMBER(Data_2017!Y15),100*ABS($G15-(Data_2017!Y15-$K15)/$M15),0)))</f>
        <v>100</v>
      </c>
      <c r="AF15" s="100">
        <f>IF($H15=0,0,CHOOSE($H15,SUMPRODUCT($O16:$O$67*AF16:AF$67*($E16:$E$67=$D15)),IF(ISNUMBER(Data_2017!Z15),100*ABS($G15-(Data_2017!Z15-$K15)/$M15),0),IF(ISNUMBER(Data_2017!Z15),100*ABS($G15-(Data_2017!Z15-$K15)/$M15),0)))</f>
        <v>84.3792600798403</v>
      </c>
      <c r="AG15" s="100">
        <f>IF($H15=0,0,CHOOSE($H15,SUMPRODUCT($O16:$O$67*AG16:AG$67*($E16:$E$67=$D15)),IF(ISNUMBER(Data_2017!AA15),100*ABS($G15-(Data_2017!AA15-$K15)/$M15),0),IF(ISNUMBER(Data_2017!AA15),100*ABS($G15-(Data_2017!AA15-$K15)/$M15),0)))</f>
        <v>100</v>
      </c>
      <c r="AH15" s="100">
        <f>IF($H15=0,0,CHOOSE($H15,SUMPRODUCT($O16:$O$67*AH16:AH$67*($E16:$E$67=$D15)),IF(ISNUMBER(Data_2017!AB15),100*ABS($G15-(Data_2017!AB15-$K15)/$M15),0),IF(ISNUMBER(Data_2017!AB15),100*ABS($G15-(Data_2017!AB15-$K15)/$M15),0)))</f>
        <v>100</v>
      </c>
      <c r="AI15" s="100">
        <f>IF($H15=0,0,CHOOSE($H15,SUMPRODUCT($O16:$O$67*AI16:AI$67*($E16:$E$67=$D15)),IF(ISNUMBER(Data_2017!AC15),100*ABS($G15-(Data_2017!AC15-$K15)/$M15),0),IF(ISNUMBER(Data_2017!AC15),100*ABS($G15-(Data_2017!AC15-$K15)/$M15),0)))</f>
        <v>100</v>
      </c>
      <c r="AJ15" s="100">
        <f>IF($H15=0,0,CHOOSE($H15,SUMPRODUCT($O16:$O$67*AJ16:AJ$67*($E16:$E$67=$D15)),IF(ISNUMBER(Data_2017!AD15),100*ABS($G15-(Data_2017!AD15-$K15)/$M15),0),IF(ISNUMBER(Data_2017!AD15),100*ABS($G15-(Data_2017!AD15-$K15)/$M15),0)))</f>
        <v>90.2428914863633</v>
      </c>
      <c r="AK15" s="100">
        <f>IF($H15=0,0,CHOOSE($H15,SUMPRODUCT($O16:$O$67*AK16:AK$67*($E16:$E$67=$D15)),IF(ISNUMBER(Data_2017!AE15),100*ABS($G15-(Data_2017!AE15-$K15)/$M15),0),IF(ISNUMBER(Data_2017!AE15),100*ABS($G15-(Data_2017!AE15-$K15)/$M15),0)))</f>
        <v>100</v>
      </c>
      <c r="AL15" s="100">
        <f>IF($H15=0,0,CHOOSE($H15,SUMPRODUCT($O16:$O$67*AL16:AL$67*($E16:$E$67=$D15)),IF(ISNUMBER(Data_2017!AF15),100*ABS($G15-(Data_2017!AF15-$K15)/$M15),0),IF(ISNUMBER(Data_2017!AF15),100*ABS($G15-(Data_2017!AF15-$K15)/$M15),0)))</f>
        <v>100</v>
      </c>
      <c r="AM15" s="100">
        <f>IF($H15=0,0,CHOOSE($H15,SUMPRODUCT($O16:$O$67*AM16:AM$67*($E16:$E$67=$D15)),IF(ISNUMBER(Data_2017!AG15),100*ABS($G15-(Data_2017!AG15-$K15)/$M15),0),IF(ISNUMBER(Data_2017!AG15),100*ABS($G15-(Data_2017!AG15-$K15)/$M15),0)))</f>
        <v>99.991789524325</v>
      </c>
      <c r="AN15" s="100">
        <f>IF($H15=0,0,CHOOSE($H15,SUMPRODUCT($O16:$O$67*AN16:AN$67*($E16:$E$67=$D15)),IF(ISNUMBER(Data_2017!AH15),100*ABS($G15-(Data_2017!AH15-$K15)/$M15),0),IF(ISNUMBER(Data_2017!AH15),100*ABS($G15-(Data_2017!AH15-$K15)/$M15),0)))</f>
        <v>99.7308218352822</v>
      </c>
      <c r="AO15" s="100">
        <f>IF($H15=0,0,CHOOSE($H15,SUMPRODUCT($O16:$O$67*AO16:AO$67*($E16:$E$67=$D15)),IF(ISNUMBER(Data_2017!AI15),100*ABS($G15-(Data_2017!AI15-$K15)/$M15),0),IF(ISNUMBER(Data_2017!AI15),100*ABS($G15-(Data_2017!AI15-$K15)/$M15),0)))</f>
        <v>100</v>
      </c>
      <c r="AP15" s="100">
        <f>IF($H15=0,0,CHOOSE($H15,SUMPRODUCT($O16:$O$67*AP16:AP$67*($E16:$E$67=$D15)),IF(ISNUMBER(Data_2017!AJ15),100*ABS($G15-(Data_2017!AJ15-$K15)/$M15),0),IF(ISNUMBER(Data_2017!AJ15),100*ABS($G15-(Data_2017!AJ15-$K15)/$M15),0)))</f>
        <v>100</v>
      </c>
      <c r="AQ15" s="100">
        <f>IF($H15=0,0,CHOOSE($H15,SUMPRODUCT($O16:$O$67*AQ16:AQ$67*($E16:$E$67=$D15)),IF(ISNUMBER(Data_2017!AK15),100*ABS($G15-(Data_2017!AK15-$K15)/$M15),0),IF(ISNUMBER(Data_2017!AK15),100*ABS($G15-(Data_2017!AK15-$K15)/$M15),0)))</f>
        <v>100</v>
      </c>
      <c r="AR15" s="100">
        <f>IF($H15=0,0,CHOOSE($H15,SUMPRODUCT($O16:$O$67*AR16:AR$67*($E16:$E$67=$D15)),IF(ISNUMBER(Data_2017!AL15),100*ABS($G15-(Data_2017!AL15-$K15)/$M15),0),IF(ISNUMBER(Data_2017!AL15),100*ABS($G15-(Data_2017!AL15-$K15)/$M15),0)))</f>
        <v>51.5739954246171</v>
      </c>
      <c r="AS15" s="100">
        <f>IF($H15=0,0,CHOOSE($H15,SUMPRODUCT($O16:$O$67*AS16:AS$67*($E16:$E$67=$D15)),IF(ISNUMBER(Data_2017!AM15),100*ABS($G15-(Data_2017!AM15-$K15)/$M15),0),IF(ISNUMBER(Data_2017!AM15),100*ABS($G15-(Data_2017!AM15-$K15)/$M15),0)))</f>
        <v>85.4925510640123</v>
      </c>
      <c r="AT15" s="100">
        <f>IF($H15=0,0,CHOOSE($H15,SUMPRODUCT($O16:$O$67*AT16:AT$67*($E16:$E$67=$D15)),IF(ISNUMBER(Data_2017!AN15),100*ABS($G15-(Data_2017!AN15-$K15)/$M15),0),IF(ISNUMBER(Data_2017!AN15),100*ABS($G15-(Data_2017!AN15-$K15)/$M15),0)))</f>
        <v>99.955716663049</v>
      </c>
      <c r="AU15" s="100">
        <f>IF($H15=0,0,CHOOSE($H15,SUMPRODUCT($O16:$O$67*AU16:AU$67*($E16:$E$67=$D15)),IF(ISNUMBER(Data_2017!AO15),100*ABS($G15-(Data_2017!AO15-$K15)/$M15),0),IF(ISNUMBER(Data_2017!AO15),100*ABS($G15-(Data_2017!AO15-$K15)/$M15),0)))</f>
        <v>41.2355762909441</v>
      </c>
      <c r="AV15" s="100">
        <f>IF($H15=0,0,CHOOSE($H15,SUMPRODUCT($O16:$O$67*AV16:AV$67*($E16:$E$67=$D15)),IF(ISNUMBER(Data_2017!AP15),100*ABS($G15-(Data_2017!AP15-$K15)/$M15),0),IF(ISNUMBER(Data_2017!AP15),100*ABS($G15-(Data_2017!AP15-$K15)/$M15),0)))</f>
        <v>89.8094250892857</v>
      </c>
      <c r="AW15" s="100">
        <f>IF($H15=0,0,CHOOSE($H15,SUMPRODUCT($O16:$O$67*AW16:AW$67*($E16:$E$67=$D15)),IF(ISNUMBER(Data_2017!AQ15),100*ABS($G15-(Data_2017!AQ15-$K15)/$M15),0),IF(ISNUMBER(Data_2017!AQ15),100*ABS($G15-(Data_2017!AQ15-$K15)/$M15),0)))</f>
        <v>42.4622465207373</v>
      </c>
      <c r="AX15" s="100">
        <f>IF($H15=0,0,CHOOSE($H15,SUMPRODUCT($O16:$O$67*AX16:AX$67*($E16:$E$67=$D15)),IF(ISNUMBER(Data_2017!AR15),100*ABS($G15-(Data_2017!AR15-$K15)/$M15),0),IF(ISNUMBER(Data_2017!AR15),100*ABS($G15-(Data_2017!AR15-$K15)/$M15),0)))</f>
        <v>99.7139509476031</v>
      </c>
      <c r="AY15" s="100">
        <f>IF($H15=0,0,CHOOSE($H15,SUMPRODUCT($O16:$O$67*AY16:AY$67*($E16:$E$67=$D15)),IF(ISNUMBER(Data_2017!AS15),100*ABS($G15-(Data_2017!AS15-$K15)/$M15),0),IF(ISNUMBER(Data_2017!AS15),100*ABS($G15-(Data_2017!AS15-$K15)/$M15),0)))</f>
        <v>98.390468579235</v>
      </c>
      <c r="AZ15" s="100">
        <f>IF($H15=0,0,CHOOSE($H15,SUMPRODUCT($O16:$O$67*AZ16:AZ$67*($E16:$E$67=$D15)),IF(ISNUMBER(Data_2017!AT15),100*ABS($G15-(Data_2017!AT15-$K15)/$M15),0),IF(ISNUMBER(Data_2017!AT15),100*ABS($G15-(Data_2017!AT15-$K15)/$M15),0)))</f>
        <v>97.8933569645073</v>
      </c>
      <c r="BA15" s="100">
        <f>IF($H15=0,0,CHOOSE($H15,SUMPRODUCT($O16:$O$67*BA16:BA$67*($E16:$E$67=$D15)),IF(ISNUMBER(Data_2017!AU15),100*ABS($G15-(Data_2017!AU15-$K15)/$M15),0),IF(ISNUMBER(Data_2017!AU15),100*ABS($G15-(Data_2017!AU15-$K15)/$M15),0)))</f>
        <v>85.4925510640123</v>
      </c>
      <c r="BB15" s="100">
        <f>IF($H15=0,0,CHOOSE($H15,SUMPRODUCT($O16:$O$67*BB16:BB$67*($E16:$E$67=$D15)),IF(ISNUMBER(Data_2017!AV15),100*ABS($G15-(Data_2017!AV15-$K15)/$M15),0),IF(ISNUMBER(Data_2017!AV15),100*ABS($G15-(Data_2017!AV15-$K15)/$M15),0)))</f>
        <v>94.732965478836</v>
      </c>
      <c r="BC15" s="100">
        <f>IF($H15=0,0,CHOOSE($H15,SUMPRODUCT($O16:$O$67*BC16:BC$67*($E16:$E$67=$D15)),IF(ISNUMBER(Data_2017!AW15),100*ABS($G15-(Data_2017!AW15-$K15)/$M15),0),IF(ISNUMBER(Data_2017!AW15),100*ABS($G15-(Data_2017!AW15-$K15)/$M15),0)))</f>
        <v>87.9170516374089</v>
      </c>
      <c r="BD15" s="100">
        <f>IF($H15=0,0,CHOOSE($H15,SUMPRODUCT($O16:$O$67*BD16:BD$67*($E16:$E$67=$D15)),IF(ISNUMBER(Data_2017!AX15),100*ABS($G15-(Data_2017!AX15-$K15)/$M15),0),IF(ISNUMBER(Data_2017!AX15),100*ABS($G15-(Data_2017!AX15-$K15)/$M15),0)))</f>
        <v>100</v>
      </c>
      <c r="BE15" s="100">
        <f>IF($H15=0,0,CHOOSE($H15,SUMPRODUCT($O16:$O$67*BE16:BE$67*($E16:$E$67=$D15)),IF(ISNUMBER(Data_2017!AY15),100*ABS($G15-(Data_2017!AY15-$K15)/$M15),0),IF(ISNUMBER(Data_2017!AY15),100*ABS($G15-(Data_2017!AY15-$K15)/$M15),0)))</f>
        <v>100</v>
      </c>
      <c r="BF15" s="100">
        <f>IF($H15=0,0,CHOOSE($H15,SUMPRODUCT($O16:$O$67*BF16:BF$67*($E16:$E$67=$D15)),IF(ISNUMBER(Data_2017!AZ15),100*ABS($G15-(Data_2017!AZ15-$K15)/$M15),0),IF(ISNUMBER(Data_2017!AZ15),100*ABS($G15-(Data_2017!AZ15-$K15)/$M15),0)))</f>
        <v>100</v>
      </c>
      <c r="BG15" s="100">
        <f>IF($H15=0,0,CHOOSE($H15,SUMPRODUCT($O16:$O$67*BG16:BG$67*($E16:$E$67=$D15)),IF(ISNUMBER(Data_2017!BA15),100*ABS($G15-(Data_2017!BA15-$K15)/$M15),0),IF(ISNUMBER(Data_2017!BA15),100*ABS($G15-(Data_2017!BA15-$K15)/$M15),0)))</f>
        <v>99.7139509476031</v>
      </c>
      <c r="BH15" s="100">
        <f>IF($H15=0,0,CHOOSE($H15,SUMPRODUCT($O16:$O$67*BH16:BH$67*($E16:$E$67=$D15)),IF(ISNUMBER(Data_2017!BB15),100*ABS($G15-(Data_2017!BB15-$K15)/$M15),0),IF(ISNUMBER(Data_2017!BB15),100*ABS($G15-(Data_2017!BB15-$K15)/$M15),0)))</f>
        <v>85.4925510640123</v>
      </c>
      <c r="BI15" s="100">
        <f>IF($H15=0,0,CHOOSE($H15,SUMPRODUCT($O16:$O$67*BI16:BI$67*($E16:$E$67=$D15)),IF(ISNUMBER(Data_2017!BC15),100*ABS($G15-(Data_2017!BC15-$K15)/$M15),0),IF(ISNUMBER(Data_2017!BC15),100*ABS($G15-(Data_2017!BC15-$K15)/$M15),0)))</f>
        <v>100</v>
      </c>
      <c r="BJ15" s="100">
        <f>IF($H15=0,0,CHOOSE($H15,SUMPRODUCT($O16:$O$67*BJ16:BJ$67*($E16:$E$67=$D15)),IF(ISNUMBER(Data_2017!BD15),100*ABS($G15-(Data_2017!BD15-$K15)/$M15),0),IF(ISNUMBER(Data_2017!BD15),100*ABS($G15-(Data_2017!BD15-$K15)/$M15),0)))</f>
        <v>100</v>
      </c>
      <c r="BK15" s="100">
        <f>IF($H15=0,0,CHOOSE($H15,SUMPRODUCT($O16:$O$67*BK16:BK$67*($E16:$E$67=$D15)),IF(ISNUMBER(Data_2017!BE15),100*ABS($G15-(Data_2017!BE15-$K15)/$M15),0),IF(ISNUMBER(Data_2017!BE15),100*ABS($G15-(Data_2017!BE15-$K15)/$M15),0)))</f>
        <v>99.9272241012492</v>
      </c>
      <c r="BL15" s="100">
        <f>IF($H15=0,0,CHOOSE($H15,SUMPRODUCT($O16:$O$67*BL16:BL$67*($E16:$E$67=$D15)),IF(ISNUMBER(Data_2017!BF15),100*ABS($G15-(Data_2017!BF15-$K15)/$M15),0),IF(ISNUMBER(Data_2017!BF15),100*ABS($G15-(Data_2017!BF15-$K15)/$M15),0)))</f>
        <v>99.9986825378037</v>
      </c>
      <c r="BM15" s="100">
        <f>IF($H15=0,0,CHOOSE($H15,SUMPRODUCT($O16:$O$67*BM16:BM$67*($E16:$E$67=$D15)),IF(ISNUMBER(Data_2017!BG15),100*ABS($G15-(Data_2017!BG15-$K15)/$M15),0),IF(ISNUMBER(Data_2017!BG15),100*ABS($G15-(Data_2017!BG15-$K15)/$M15),0)))</f>
        <v>100</v>
      </c>
      <c r="BN15" s="100">
        <f>IF($H15=0,0,CHOOSE($H15,SUMPRODUCT($O16:$O$67*BN16:BN$67*($E16:$E$67=$D15)),IF(ISNUMBER(Data_2017!BH15),100*ABS($G15-(Data_2017!BH15-$K15)/$M15),0),IF(ISNUMBER(Data_2017!BH15),100*ABS($G15-(Data_2017!BH15-$K15)/$M15),0)))</f>
        <v>100</v>
      </c>
      <c r="BO15" s="100">
        <f>IF($H15=0,0,CHOOSE($H15,SUMPRODUCT($O16:$O$67*BO16:BO$67*($E16:$E$67=$D15)),IF(ISNUMBER(Data_2017!BI15),100*ABS($G15-(Data_2017!BI15-$K15)/$M15),0),IF(ISNUMBER(Data_2017!BI15),100*ABS($G15-(Data_2017!BI15-$K15)/$M15),0)))</f>
        <v>89.8094250892857</v>
      </c>
      <c r="BP15" s="100">
        <f>IF($H15=0,0,CHOOSE($H15,SUMPRODUCT($O16:$O$67*BP16:BP$67*($E16:$E$67=$D15)),IF(ISNUMBER(Data_2017!BJ15),100*ABS($G15-(Data_2017!BJ15-$K15)/$M15),0),IF(ISNUMBER(Data_2017!BJ15),100*ABS($G15-(Data_2017!BJ15-$K15)/$M15),0)))</f>
        <v>0</v>
      </c>
      <c r="BQ15" s="100">
        <f>IF($H15=0,0,CHOOSE($H15,SUMPRODUCT($O16:$O$67*BQ16:BQ$67*($E16:$E$67=$D15)),IF(ISNUMBER(Data_2017!BK15),100*ABS($G15-(Data_2017!BK15-$K15)/$M15),0),IF(ISNUMBER(Data_2017!BK15),100*ABS($G15-(Data_2017!BK15-$K15)/$M15),0)))</f>
        <v>100</v>
      </c>
      <c r="BR15" s="100">
        <f>IF($H15=0,0,CHOOSE($H15,SUMPRODUCT($O16:$O$67*BR16:BR$67*($E16:$E$67=$D15)),IF(ISNUMBER(Data_2017!BL15),100*ABS($G15-(Data_2017!BL15-$K15)/$M15),0),IF(ISNUMBER(Data_2017!BL15),100*ABS($G15-(Data_2017!BL15-$K15)/$M15),0)))</f>
        <v>94.732965478836</v>
      </c>
      <c r="BS15" s="100">
        <f>IF($H15=0,0,CHOOSE($H15,SUMPRODUCT($O16:$O$67*BS16:BS$67*($E16:$E$67=$D15)),IF(ISNUMBER(Data_2017!BM15),100*ABS($G15-(Data_2017!BM15-$K15)/$M15),0),IF(ISNUMBER(Data_2017!BM15),100*ABS($G15-(Data_2017!BM15-$K15)/$M15),0)))</f>
        <v>97.8684507507508</v>
      </c>
      <c r="BT15" s="100">
        <f>IF($H15=0,0,CHOOSE($H15,SUMPRODUCT($O16:$O$67*BT16:BT$67*($E16:$E$67=$D15)),IF(ISNUMBER(Data_2017!BN15),100*ABS($G15-(Data_2017!BN15-$K15)/$M15),0),IF(ISNUMBER(Data_2017!BN15),100*ABS($G15-(Data_2017!BN15-$K15)/$M15),0)))</f>
        <v>85.4925510640123</v>
      </c>
      <c r="BU15" s="100">
        <f>IF($H15=0,0,CHOOSE($H15,SUMPRODUCT($O16:$O$67*BU16:BU$67*($E16:$E$67=$D15)),IF(ISNUMBER(Data_2017!BO15),100*ABS($G15-(Data_2017!BO15-$K15)/$M15),0),IF(ISNUMBER(Data_2017!BO15),100*ABS($G15-(Data_2017!BO15-$K15)/$M15),0)))</f>
        <v>99.9990480931465</v>
      </c>
      <c r="BV15" s="100">
        <f>IF($H15=0,0,CHOOSE($H15,SUMPRODUCT($O16:$O$67*BV16:BV$67*($E16:$E$67=$D15)),IF(ISNUMBER(Data_2017!BP15),100*ABS($G15-(Data_2017!BP15-$K15)/$M15),0),IF(ISNUMBER(Data_2017!BP15),100*ABS($G15-(Data_2017!BP15-$K15)/$M15),0)))</f>
        <v>100</v>
      </c>
      <c r="BW15" s="100">
        <f>IF($H15=0,0,CHOOSE($H15,SUMPRODUCT($O16:$O$67*BW16:BW$67*($E16:$E$67=$D15)),IF(ISNUMBER(Data_2017!BQ15),100*ABS($G15-(Data_2017!BQ15-$K15)/$M15),0),IF(ISNUMBER(Data_2017!BQ15),100*ABS($G15-(Data_2017!BQ15-$K15)/$M15),0)))</f>
        <v>100</v>
      </c>
      <c r="BX15" s="100">
        <f>IF($H15=0,0,CHOOSE($H15,SUMPRODUCT($O16:$O$67*BX16:BX$67*($E16:$E$67=$D15)),IF(ISNUMBER(Data_2017!BR15),100*ABS($G15-(Data_2017!BR15-$K15)/$M15),0),IF(ISNUMBER(Data_2017!BR15),100*ABS($G15-(Data_2017!BR15-$K15)/$M15),0)))</f>
        <v>94.732965478836</v>
      </c>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row>
    <row r="16" s="69" customFormat="1" ht="24.95" customHeight="1" spans="1:130">
      <c r="A16" s="92"/>
      <c r="B16" s="92">
        <f>tblIndicators!A12</f>
        <v>11</v>
      </c>
      <c r="C16" s="92">
        <f>tblIndicators!B12</f>
        <v>0</v>
      </c>
      <c r="D16" s="92" t="str">
        <f>tblIndicators!D12</f>
        <v>DISE1.2.2</v>
      </c>
      <c r="E16" s="92" t="str">
        <f>tblIndicators!E12</f>
        <v>DISE1.2</v>
      </c>
      <c r="F16" s="92">
        <f>tblIndicators!F12</f>
        <v>3</v>
      </c>
      <c r="G16" s="92">
        <f>tblIndicators!Y12</f>
        <v>1</v>
      </c>
      <c r="H16" s="92">
        <f>tblIndicators!Z12</f>
        <v>3</v>
      </c>
      <c r="I16" s="104">
        <f>tblIndicators!AA12</f>
        <v>1</v>
      </c>
      <c r="J16" s="92">
        <f>tblIndicators!AB12</f>
        <v>5</v>
      </c>
      <c r="K16" s="89">
        <f>IF(uxb_works!$B$66=1,CHOOSE(H16,"-",MIN(Data_2017!J16:BR16),I16),CHOOSE(H16,"-",MIN(Data_2017!J16:BQ16),I16))</f>
        <v>1</v>
      </c>
      <c r="L16" s="97">
        <f>IF(uxb_works!$B$66=1,CHOOSE(H16,"-",MAX(Data_2017!J16:BR16),J16),CHOOSE(H16,"-",MAX(Data_2017!J16:BQ16),J16))</f>
        <v>5</v>
      </c>
      <c r="M16" s="92">
        <f t="shared" si="1"/>
        <v>4</v>
      </c>
      <c r="N16" s="105" t="str">
        <f>REPT(" ",F16)&amp;tblIndicators!AE12</f>
        <v>   1.2.2) Percentage of computers infected</v>
      </c>
      <c r="O16" s="106">
        <f>tblIndicators!AD12</f>
        <v>0.333333333333333</v>
      </c>
      <c r="P16" s="100">
        <f>IF($H16=0,0,CHOOSE($H16,SUMPRODUCT($O17:$O$67*P17:P$67*($E17:$E$67=$D16)),IF(ISNUMBER(Data_2017!J16),100*ABS($G16-(Data_2017!J16-$K16)/$M16),0),IF(ISNUMBER(Data_2017!J16),100*ABS($G16-(Data_2017!J16-$K16)/$M16),0)))</f>
        <v>25</v>
      </c>
      <c r="Q16" s="100">
        <f>IF($H16=0,0,CHOOSE($H16,SUMPRODUCT($O17:$O$67*Q17:Q$67*($E17:$E$67=$D16)),IF(ISNUMBER(Data_2017!K16),100*ABS($G16-(Data_2017!K16-$K16)/$M16),0),IF(ISNUMBER(Data_2017!K16),100*ABS($G16-(Data_2017!K16-$K16)/$M16),0)))</f>
        <v>75</v>
      </c>
      <c r="R16" s="100">
        <f>IF($H16=0,0,CHOOSE($H16,SUMPRODUCT($O17:$O$67*R17:R$67*($E17:$E$67=$D16)),IF(ISNUMBER(Data_2017!L16),100*ABS($G16-(Data_2017!L16-$K16)/$M16),0),IF(ISNUMBER(Data_2017!L16),100*ABS($G16-(Data_2017!L16-$K16)/$M16),0)))</f>
        <v>25</v>
      </c>
      <c r="S16" s="100">
        <f>IF($H16=0,0,CHOOSE($H16,SUMPRODUCT($O17:$O$67*S17:S$67*($E17:$E$67=$D16)),IF(ISNUMBER(Data_2017!M16),100*ABS($G16-(Data_2017!M16-$K16)/$M16),0),IF(ISNUMBER(Data_2017!M16),100*ABS($G16-(Data_2017!M16-$K16)/$M16),0)))</f>
        <v>50</v>
      </c>
      <c r="T16" s="100">
        <f>IF($H16=0,0,CHOOSE($H16,SUMPRODUCT($O17:$O$67*T17:T$67*($E17:$E$67=$D16)),IF(ISNUMBER(Data_2017!N16),100*ABS($G16-(Data_2017!N16-$K16)/$M16),0),IF(ISNUMBER(Data_2017!N16),100*ABS($G16-(Data_2017!N16-$K16)/$M16),0)))</f>
        <v>25</v>
      </c>
      <c r="U16" s="100">
        <f>IF($H16=0,0,CHOOSE($H16,SUMPRODUCT($O17:$O$67*U17:U$67*($E17:$E$67=$D16)),IF(ISNUMBER(Data_2017!O16),100*ABS($G16-(Data_2017!O16-$K16)/$M16),0),IF(ISNUMBER(Data_2017!O16),100*ABS($G16-(Data_2017!O16-$K16)/$M16),0)))</f>
        <v>25</v>
      </c>
      <c r="V16" s="100">
        <f>IF($H16=0,0,CHOOSE($H16,SUMPRODUCT($O17:$O$67*V17:V$67*($E17:$E$67=$D16)),IF(ISNUMBER(Data_2017!P16),100*ABS($G16-(Data_2017!P16-$K16)/$M16),0),IF(ISNUMBER(Data_2017!P16),100*ABS($G16-(Data_2017!P16-$K16)/$M16),0)))</f>
        <v>50</v>
      </c>
      <c r="W16" s="100">
        <f>IF($H16=0,0,CHOOSE($H16,SUMPRODUCT($O17:$O$67*W17:W$67*($E17:$E$67=$D16)),IF(ISNUMBER(Data_2017!Q16),100*ABS($G16-(Data_2017!Q16-$K16)/$M16),0),IF(ISNUMBER(Data_2017!Q16),100*ABS($G16-(Data_2017!Q16-$K16)/$M16),0)))</f>
        <v>50</v>
      </c>
      <c r="X16" s="100">
        <f>IF($H16=0,0,CHOOSE($H16,SUMPRODUCT($O17:$O$67*X17:X$67*($E17:$E$67=$D16)),IF(ISNUMBER(Data_2017!R16),100*ABS($G16-(Data_2017!R16-$K16)/$M16),0),IF(ISNUMBER(Data_2017!R16),100*ABS($G16-(Data_2017!R16-$K16)/$M16),0)))</f>
        <v>75</v>
      </c>
      <c r="Y16" s="100">
        <f>IF($H16=0,0,CHOOSE($H16,SUMPRODUCT($O17:$O$67*Y17:Y$67*($E17:$E$67=$D16)),IF(ISNUMBER(Data_2017!S16),100*ABS($G16-(Data_2017!S16-$K16)/$M16),0),IF(ISNUMBER(Data_2017!S16),100*ABS($G16-(Data_2017!S16-$K16)/$M16),0)))</f>
        <v>50</v>
      </c>
      <c r="Z16" s="100">
        <f>IF($H16=0,0,CHOOSE($H16,SUMPRODUCT($O17:$O$67*Z17:Z$67*($E17:$E$67=$D16)),IF(ISNUMBER(Data_2017!T16),100*ABS($G16-(Data_2017!T16-$K16)/$M16),0),IF(ISNUMBER(Data_2017!T16),100*ABS($G16-(Data_2017!T16-$K16)/$M16),0)))</f>
        <v>50</v>
      </c>
      <c r="AA16" s="100">
        <f>IF($H16=0,0,CHOOSE($H16,SUMPRODUCT($O17:$O$67*AA17:AA$67*($E17:$E$67=$D16)),IF(ISNUMBER(Data_2017!U16),100*ABS($G16-(Data_2017!U16-$K16)/$M16),0),IF(ISNUMBER(Data_2017!U16),100*ABS($G16-(Data_2017!U16-$K16)/$M16),0)))</f>
        <v>50</v>
      </c>
      <c r="AB16" s="100">
        <f>IF($H16=0,0,CHOOSE($H16,SUMPRODUCT($O17:$O$67*AB17:AB$67*($E17:$E$67=$D16)),IF(ISNUMBER(Data_2017!V16),100*ABS($G16-(Data_2017!V16-$K16)/$M16),0),IF(ISNUMBER(Data_2017!V16),100*ABS($G16-(Data_2017!V16-$K16)/$M16),0)))</f>
        <v>50</v>
      </c>
      <c r="AC16" s="100">
        <f>IF($H16=0,0,CHOOSE($H16,SUMPRODUCT($O17:$O$67*AC17:AC$67*($E17:$E$67=$D16)),IF(ISNUMBER(Data_2017!W16),100*ABS($G16-(Data_2017!W16-$K16)/$M16),0),IF(ISNUMBER(Data_2017!W16),100*ABS($G16-(Data_2017!W16-$K16)/$M16),0)))</f>
        <v>50</v>
      </c>
      <c r="AD16" s="100">
        <f>IF($H16=0,0,CHOOSE($H16,SUMPRODUCT($O17:$O$67*AD17:AD$67*($E17:$E$67=$D16)),IF(ISNUMBER(Data_2017!X16),100*ABS($G16-(Data_2017!X16-$K16)/$M16),0),IF(ISNUMBER(Data_2017!X16),100*ABS($G16-(Data_2017!X16-$K16)/$M16),0)))</f>
        <v>25</v>
      </c>
      <c r="AE16" s="100">
        <f>IF($H16=0,0,CHOOSE($H16,SUMPRODUCT($O17:$O$67*AE17:AE$67*($E17:$E$67=$D16)),IF(ISNUMBER(Data_2017!Y16),100*ABS($G16-(Data_2017!Y16-$K16)/$M16),0),IF(ISNUMBER(Data_2017!Y16),100*ABS($G16-(Data_2017!Y16-$K16)/$M16),0)))</f>
        <v>50</v>
      </c>
      <c r="AF16" s="100">
        <f>IF($H16=0,0,CHOOSE($H16,SUMPRODUCT($O17:$O$67*AF17:AF$67*($E17:$E$67=$D16)),IF(ISNUMBER(Data_2017!Z16),100*ABS($G16-(Data_2017!Z16-$K16)/$M16),0),IF(ISNUMBER(Data_2017!Z16),100*ABS($G16-(Data_2017!Z16-$K16)/$M16),0)))</f>
        <v>25</v>
      </c>
      <c r="AG16" s="100">
        <f>IF($H16=0,0,CHOOSE($H16,SUMPRODUCT($O17:$O$67*AG17:AG$67*($E17:$E$67=$D16)),IF(ISNUMBER(Data_2017!AA16),100*ABS($G16-(Data_2017!AA16-$K16)/$M16),0),IF(ISNUMBER(Data_2017!AA16),100*ABS($G16-(Data_2017!AA16-$K16)/$M16),0)))</f>
        <v>50</v>
      </c>
      <c r="AH16" s="100">
        <f>IF($H16=0,0,CHOOSE($H16,SUMPRODUCT($O17:$O$67*AH17:AH$67*($E17:$E$67=$D16)),IF(ISNUMBER(Data_2017!AB16),100*ABS($G16-(Data_2017!AB16-$K16)/$M16),0),IF(ISNUMBER(Data_2017!AB16),100*ABS($G16-(Data_2017!AB16-$K16)/$M16),0)))</f>
        <v>25</v>
      </c>
      <c r="AI16" s="100">
        <f>IF($H16=0,0,CHOOSE($H16,SUMPRODUCT($O17:$O$67*AI17:AI$67*($E17:$E$67=$D16)),IF(ISNUMBER(Data_2017!AC16),100*ABS($G16-(Data_2017!AC16-$K16)/$M16),0),IF(ISNUMBER(Data_2017!AC16),100*ABS($G16-(Data_2017!AC16-$K16)/$M16),0)))</f>
        <v>25</v>
      </c>
      <c r="AJ16" s="100">
        <f>IF($H16=0,0,CHOOSE($H16,SUMPRODUCT($O17:$O$67*AJ17:AJ$67*($E17:$E$67=$D16)),IF(ISNUMBER(Data_2017!AD16),100*ABS($G16-(Data_2017!AD16-$K16)/$M16),0),IF(ISNUMBER(Data_2017!AD16),100*ABS($G16-(Data_2017!AD16-$K16)/$M16),0)))</f>
        <v>50</v>
      </c>
      <c r="AK16" s="100">
        <f>IF($H16=0,0,CHOOSE($H16,SUMPRODUCT($O17:$O$67*AK17:AK$67*($E17:$E$67=$D16)),IF(ISNUMBER(Data_2017!AE16),100*ABS($G16-(Data_2017!AE16-$K16)/$M16),0),IF(ISNUMBER(Data_2017!AE16),100*ABS($G16-(Data_2017!AE16-$K16)/$M16),0)))</f>
        <v>25</v>
      </c>
      <c r="AL16" s="100">
        <f>IF($H16=0,0,CHOOSE($H16,SUMPRODUCT($O17:$O$67*AL17:AL$67*($E17:$E$67=$D16)),IF(ISNUMBER(Data_2017!AF16),100*ABS($G16-(Data_2017!AF16-$K16)/$M16),0),IF(ISNUMBER(Data_2017!AF16),100*ABS($G16-(Data_2017!AF16-$K16)/$M16),0)))</f>
        <v>50</v>
      </c>
      <c r="AM16" s="100">
        <f>IF($H16=0,0,CHOOSE($H16,SUMPRODUCT($O17:$O$67*AM17:AM$67*($E17:$E$67=$D16)),IF(ISNUMBER(Data_2017!AG16),100*ABS($G16-(Data_2017!AG16-$K16)/$M16),0),IF(ISNUMBER(Data_2017!AG16),100*ABS($G16-(Data_2017!AG16-$K16)/$M16),0)))</f>
        <v>75</v>
      </c>
      <c r="AN16" s="100">
        <f>IF($H16=0,0,CHOOSE($H16,SUMPRODUCT($O17:$O$67*AN17:AN$67*($E17:$E$67=$D16)),IF(ISNUMBER(Data_2017!AH16),100*ABS($G16-(Data_2017!AH16-$K16)/$M16),0),IF(ISNUMBER(Data_2017!AH16),100*ABS($G16-(Data_2017!AH16-$K16)/$M16),0)))</f>
        <v>50</v>
      </c>
      <c r="AO16" s="100">
        <f>IF($H16=0,0,CHOOSE($H16,SUMPRODUCT($O17:$O$67*AO17:AO$67*($E17:$E$67=$D16)),IF(ISNUMBER(Data_2017!AI16),100*ABS($G16-(Data_2017!AI16-$K16)/$M16),0),IF(ISNUMBER(Data_2017!AI16),100*ABS($G16-(Data_2017!AI16-$K16)/$M16),0)))</f>
        <v>50</v>
      </c>
      <c r="AP16" s="100">
        <f>IF($H16=0,0,CHOOSE($H16,SUMPRODUCT($O17:$O$67*AP17:AP$67*($E17:$E$67=$D16)),IF(ISNUMBER(Data_2017!AJ16),100*ABS($G16-(Data_2017!AJ16-$K16)/$M16),0),IF(ISNUMBER(Data_2017!AJ16),100*ABS($G16-(Data_2017!AJ16-$K16)/$M16),0)))</f>
        <v>50</v>
      </c>
      <c r="AQ16" s="100">
        <f>IF($H16=0,0,CHOOSE($H16,SUMPRODUCT($O17:$O$67*AQ17:AQ$67*($E17:$E$67=$D16)),IF(ISNUMBER(Data_2017!AK16),100*ABS($G16-(Data_2017!AK16-$K16)/$M16),0),IF(ISNUMBER(Data_2017!AK16),100*ABS($G16-(Data_2017!AK16-$K16)/$M16),0)))</f>
        <v>50</v>
      </c>
      <c r="AR16" s="100">
        <f>IF($H16=0,0,CHOOSE($H16,SUMPRODUCT($O17:$O$67*AR17:AR$67*($E17:$E$67=$D16)),IF(ISNUMBER(Data_2017!AL16),100*ABS($G16-(Data_2017!AL16-$K16)/$M16),0),IF(ISNUMBER(Data_2017!AL16),100*ABS($G16-(Data_2017!AL16-$K16)/$M16),0)))</f>
        <v>50</v>
      </c>
      <c r="AS16" s="100">
        <f>IF($H16=0,0,CHOOSE($H16,SUMPRODUCT($O17:$O$67*AS17:AS$67*($E17:$E$67=$D16)),IF(ISNUMBER(Data_2017!AM16),100*ABS($G16-(Data_2017!AM16-$K16)/$M16),0),IF(ISNUMBER(Data_2017!AM16),100*ABS($G16-(Data_2017!AM16-$K16)/$M16),0)))</f>
        <v>50</v>
      </c>
      <c r="AT16" s="100">
        <f>IF($H16=0,0,CHOOSE($H16,SUMPRODUCT($O17:$O$67*AT17:AT$67*($E17:$E$67=$D16)),IF(ISNUMBER(Data_2017!AN16),100*ABS($G16-(Data_2017!AN16-$K16)/$M16),0),IF(ISNUMBER(Data_2017!AN16),100*ABS($G16-(Data_2017!AN16-$K16)/$M16),0)))</f>
        <v>25</v>
      </c>
      <c r="AU16" s="100">
        <f>IF($H16=0,0,CHOOSE($H16,SUMPRODUCT($O17:$O$67*AU17:AU$67*($E17:$E$67=$D16)),IF(ISNUMBER(Data_2017!AO16),100*ABS($G16-(Data_2017!AO16-$K16)/$M16),0),IF(ISNUMBER(Data_2017!AO16),100*ABS($G16-(Data_2017!AO16-$K16)/$M16),0)))</f>
        <v>50</v>
      </c>
      <c r="AV16" s="100">
        <f>IF($H16=0,0,CHOOSE($H16,SUMPRODUCT($O17:$O$67*AV17:AV$67*($E17:$E$67=$D16)),IF(ISNUMBER(Data_2017!AP16),100*ABS($G16-(Data_2017!AP16-$K16)/$M16),0),IF(ISNUMBER(Data_2017!AP16),100*ABS($G16-(Data_2017!AP16-$K16)/$M16),0)))</f>
        <v>50</v>
      </c>
      <c r="AW16" s="100">
        <f>IF($H16=0,0,CHOOSE($H16,SUMPRODUCT($O17:$O$67*AW17:AW$67*($E17:$E$67=$D16)),IF(ISNUMBER(Data_2017!AQ16),100*ABS($G16-(Data_2017!AQ16-$K16)/$M16),0),IF(ISNUMBER(Data_2017!AQ16),100*ABS($G16-(Data_2017!AQ16-$K16)/$M16),0)))</f>
        <v>50</v>
      </c>
      <c r="AX16" s="100">
        <f>IF($H16=0,0,CHOOSE($H16,SUMPRODUCT($O17:$O$67*AX17:AX$67*($E17:$E$67=$D16)),IF(ISNUMBER(Data_2017!AR16),100*ABS($G16-(Data_2017!AR16-$K16)/$M16),0),IF(ISNUMBER(Data_2017!AR16),100*ABS($G16-(Data_2017!AR16-$K16)/$M16),0)))</f>
        <v>25</v>
      </c>
      <c r="AY16" s="100">
        <f>IF($H16=0,0,CHOOSE($H16,SUMPRODUCT($O17:$O$67*AY17:AY$67*($E17:$E$67=$D16)),IF(ISNUMBER(Data_2017!AS16),100*ABS($G16-(Data_2017!AS16-$K16)/$M16),0),IF(ISNUMBER(Data_2017!AS16),100*ABS($G16-(Data_2017!AS16-$K16)/$M16),0)))</f>
        <v>0</v>
      </c>
      <c r="AZ16" s="100">
        <f>IF($H16=0,0,CHOOSE($H16,SUMPRODUCT($O17:$O$67*AZ17:AZ$67*($E17:$E$67=$D16)),IF(ISNUMBER(Data_2017!AT16),100*ABS($G16-(Data_2017!AT16-$K16)/$M16),0),IF(ISNUMBER(Data_2017!AT16),100*ABS($G16-(Data_2017!AT16-$K16)/$M16),0)))</f>
        <v>25</v>
      </c>
      <c r="BA16" s="100">
        <f>IF($H16=0,0,CHOOSE($H16,SUMPRODUCT($O17:$O$67*BA17:BA$67*($E17:$E$67=$D16)),IF(ISNUMBER(Data_2017!AU16),100*ABS($G16-(Data_2017!AU16-$K16)/$M16),0),IF(ISNUMBER(Data_2017!AU16),100*ABS($G16-(Data_2017!AU16-$K16)/$M16),0)))</f>
        <v>50</v>
      </c>
      <c r="BB16" s="100">
        <f>IF($H16=0,0,CHOOSE($H16,SUMPRODUCT($O17:$O$67*BB17:BB$67*($E17:$E$67=$D16)),IF(ISNUMBER(Data_2017!AV16),100*ABS($G16-(Data_2017!AV16-$K16)/$M16),0),IF(ISNUMBER(Data_2017!AV16),100*ABS($G16-(Data_2017!AV16-$K16)/$M16),0)))</f>
        <v>75</v>
      </c>
      <c r="BC16" s="100">
        <f>IF($H16=0,0,CHOOSE($H16,SUMPRODUCT($O17:$O$67*BC17:BC$67*($E17:$E$67=$D16)),IF(ISNUMBER(Data_2017!AW16),100*ABS($G16-(Data_2017!AW16-$K16)/$M16),0),IF(ISNUMBER(Data_2017!AW16),100*ABS($G16-(Data_2017!AW16-$K16)/$M16),0)))</f>
        <v>25</v>
      </c>
      <c r="BD16" s="100">
        <f>IF($H16=0,0,CHOOSE($H16,SUMPRODUCT($O17:$O$67*BD17:BD$67*($E17:$E$67=$D16)),IF(ISNUMBER(Data_2017!AX16),100*ABS($G16-(Data_2017!AX16-$K16)/$M16),0),IF(ISNUMBER(Data_2017!AX16),100*ABS($G16-(Data_2017!AX16-$K16)/$M16),0)))</f>
        <v>75</v>
      </c>
      <c r="BE16" s="100">
        <f>IF($H16=0,0,CHOOSE($H16,SUMPRODUCT($O17:$O$67*BE17:BE$67*($E17:$E$67=$D16)),IF(ISNUMBER(Data_2017!AY16),100*ABS($G16-(Data_2017!AY16-$K16)/$M16),0),IF(ISNUMBER(Data_2017!AY16),100*ABS($G16-(Data_2017!AY16-$K16)/$M16),0)))</f>
        <v>25</v>
      </c>
      <c r="BF16" s="100">
        <f>IF($H16=0,0,CHOOSE($H16,SUMPRODUCT($O17:$O$67*BF17:BF$67*($E17:$E$67=$D16)),IF(ISNUMBER(Data_2017!AZ16),100*ABS($G16-(Data_2017!AZ16-$K16)/$M16),0),IF(ISNUMBER(Data_2017!AZ16),100*ABS($G16-(Data_2017!AZ16-$K16)/$M16),0)))</f>
        <v>50</v>
      </c>
      <c r="BG16" s="100">
        <f>IF($H16=0,0,CHOOSE($H16,SUMPRODUCT($O17:$O$67*BG17:BG$67*($E17:$E$67=$D16)),IF(ISNUMBER(Data_2017!BA16),100*ABS($G16-(Data_2017!BA16-$K16)/$M16),0),IF(ISNUMBER(Data_2017!BA16),100*ABS($G16-(Data_2017!BA16-$K16)/$M16),0)))</f>
        <v>25</v>
      </c>
      <c r="BH16" s="100">
        <f>IF($H16=0,0,CHOOSE($H16,SUMPRODUCT($O17:$O$67*BH17:BH$67*($E17:$E$67=$D16)),IF(ISNUMBER(Data_2017!BB16),100*ABS($G16-(Data_2017!BB16-$K16)/$M16),0),IF(ISNUMBER(Data_2017!BB16),100*ABS($G16-(Data_2017!BB16-$K16)/$M16),0)))</f>
        <v>50</v>
      </c>
      <c r="BI16" s="100">
        <f>IF($H16=0,0,CHOOSE($H16,SUMPRODUCT($O17:$O$67*BI17:BI$67*($E17:$E$67=$D16)),IF(ISNUMBER(Data_2017!BC16),100*ABS($G16-(Data_2017!BC16-$K16)/$M16),0),IF(ISNUMBER(Data_2017!BC16),100*ABS($G16-(Data_2017!BC16-$K16)/$M16),0)))</f>
        <v>25</v>
      </c>
      <c r="BJ16" s="100">
        <f>IF($H16=0,0,CHOOSE($H16,SUMPRODUCT($O17:$O$67*BJ17:BJ$67*($E17:$E$67=$D16)),IF(ISNUMBER(Data_2017!BD16),100*ABS($G16-(Data_2017!BD16-$K16)/$M16),0),IF(ISNUMBER(Data_2017!BD16),100*ABS($G16-(Data_2017!BD16-$K16)/$M16),0)))</f>
        <v>25</v>
      </c>
      <c r="BK16" s="100">
        <f>IF($H16=0,0,CHOOSE($H16,SUMPRODUCT($O17:$O$67*BK17:BK$67*($E17:$E$67=$D16)),IF(ISNUMBER(Data_2017!BE16),100*ABS($G16-(Data_2017!BE16-$K16)/$M16),0),IF(ISNUMBER(Data_2017!BE16),100*ABS($G16-(Data_2017!BE16-$K16)/$M16),0)))</f>
        <v>75</v>
      </c>
      <c r="BL16" s="100">
        <f>IF($H16=0,0,CHOOSE($H16,SUMPRODUCT($O17:$O$67*BL17:BL$67*($E17:$E$67=$D16)),IF(ISNUMBER(Data_2017!BF16),100*ABS($G16-(Data_2017!BF16-$K16)/$M16),0),IF(ISNUMBER(Data_2017!BF16),100*ABS($G16-(Data_2017!BF16-$K16)/$M16),0)))</f>
        <v>25</v>
      </c>
      <c r="BM16" s="100">
        <f>IF($H16=0,0,CHOOSE($H16,SUMPRODUCT($O17:$O$67*BM17:BM$67*($E17:$E$67=$D16)),IF(ISNUMBER(Data_2017!BG16),100*ABS($G16-(Data_2017!BG16-$K16)/$M16),0),IF(ISNUMBER(Data_2017!BG16),100*ABS($G16-(Data_2017!BG16-$K16)/$M16),0)))</f>
        <v>50</v>
      </c>
      <c r="BN16" s="100">
        <f>IF($H16=0,0,CHOOSE($H16,SUMPRODUCT($O17:$O$67*BN17:BN$67*($E17:$E$67=$D16)),IF(ISNUMBER(Data_2017!BH16),100*ABS($G16-(Data_2017!BH16-$K16)/$M16),0),IF(ISNUMBER(Data_2017!BH16),100*ABS($G16-(Data_2017!BH16-$K16)/$M16),0)))</f>
        <v>75</v>
      </c>
      <c r="BO16" s="100">
        <f>IF($H16=0,0,CHOOSE($H16,SUMPRODUCT($O17:$O$67*BO17:BO$67*($E17:$E$67=$D16)),IF(ISNUMBER(Data_2017!BI16),100*ABS($G16-(Data_2017!BI16-$K16)/$M16),0),IF(ISNUMBER(Data_2017!BI16),100*ABS($G16-(Data_2017!BI16-$K16)/$M16),0)))</f>
        <v>50</v>
      </c>
      <c r="BP16" s="100">
        <f>IF($H16=0,0,CHOOSE($H16,SUMPRODUCT($O17:$O$67*BP17:BP$67*($E17:$E$67=$D16)),IF(ISNUMBER(Data_2017!BJ16),100*ABS($G16-(Data_2017!BJ16-$K16)/$M16),0),IF(ISNUMBER(Data_2017!BJ16),100*ABS($G16-(Data_2017!BJ16-$K16)/$M16),0)))</f>
        <v>50</v>
      </c>
      <c r="BQ16" s="100">
        <f>IF($H16=0,0,CHOOSE($H16,SUMPRODUCT($O17:$O$67*BQ17:BQ$67*($E17:$E$67=$D16)),IF(ISNUMBER(Data_2017!BK16),100*ABS($G16-(Data_2017!BK16-$K16)/$M16),0),IF(ISNUMBER(Data_2017!BK16),100*ABS($G16-(Data_2017!BK16-$K16)/$M16),0)))</f>
        <v>50</v>
      </c>
      <c r="BR16" s="100">
        <f>IF($H16=0,0,CHOOSE($H16,SUMPRODUCT($O17:$O$67*BR17:BR$67*($E17:$E$67=$D16)),IF(ISNUMBER(Data_2017!BL16),100*ABS($G16-(Data_2017!BL16-$K16)/$M16),0),IF(ISNUMBER(Data_2017!BL16),100*ABS($G16-(Data_2017!BL16-$K16)/$M16),0)))</f>
        <v>75</v>
      </c>
      <c r="BS16" s="100">
        <f>IF($H16=0,0,CHOOSE($H16,SUMPRODUCT($O17:$O$67*BS17:BS$67*($E17:$E$67=$D16)),IF(ISNUMBER(Data_2017!BM16),100*ABS($G16-(Data_2017!BM16-$K16)/$M16),0),IF(ISNUMBER(Data_2017!BM16),100*ABS($G16-(Data_2017!BM16-$K16)/$M16),0)))</f>
        <v>50</v>
      </c>
      <c r="BT16" s="100">
        <f>IF($H16=0,0,CHOOSE($H16,SUMPRODUCT($O17:$O$67*BT17:BT$67*($E17:$E$67=$D16)),IF(ISNUMBER(Data_2017!BN16),100*ABS($G16-(Data_2017!BN16-$K16)/$M16),0),IF(ISNUMBER(Data_2017!BN16),100*ABS($G16-(Data_2017!BN16-$K16)/$M16),0)))</f>
        <v>50</v>
      </c>
      <c r="BU16" s="100">
        <f>IF($H16=0,0,CHOOSE($H16,SUMPRODUCT($O17:$O$67*BU17:BU$67*($E17:$E$67=$D16)),IF(ISNUMBER(Data_2017!BO16),100*ABS($G16-(Data_2017!BO16-$K16)/$M16),0),IF(ISNUMBER(Data_2017!BO16),100*ABS($G16-(Data_2017!BO16-$K16)/$M16),0)))</f>
        <v>50</v>
      </c>
      <c r="BV16" s="100">
        <f>IF($H16=0,0,CHOOSE($H16,SUMPRODUCT($O17:$O$67*BV17:BV$67*($E17:$E$67=$D16)),IF(ISNUMBER(Data_2017!BP16),100*ABS($G16-(Data_2017!BP16-$K16)/$M16),0),IF(ISNUMBER(Data_2017!BP16),100*ABS($G16-(Data_2017!BP16-$K16)/$M16),0)))</f>
        <v>75</v>
      </c>
      <c r="BW16" s="100">
        <f>IF($H16=0,0,CHOOSE($H16,SUMPRODUCT($O17:$O$67*BW17:BW$67*($E17:$E$67=$D16)),IF(ISNUMBER(Data_2017!BQ16),100*ABS($G16-(Data_2017!BQ16-$K16)/$M16),0),IF(ISNUMBER(Data_2017!BQ16),100*ABS($G16-(Data_2017!BQ16-$K16)/$M16),0)))</f>
        <v>50</v>
      </c>
      <c r="BX16" s="100">
        <f>IF($H16=0,0,CHOOSE($H16,SUMPRODUCT($O17:$O$67*BX17:BX$67*($E17:$E$67=$D16)),IF(ISNUMBER(Data_2017!BR16),100*ABS($G16-(Data_2017!BR16-$K16)/$M16),0),IF(ISNUMBER(Data_2017!BR16),100*ABS($G16-(Data_2017!BR16-$K16)/$M16),0)))</f>
        <v>75</v>
      </c>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row>
    <row r="17" s="69" customFormat="1" ht="24.95" customHeight="1" spans="1:130">
      <c r="A17" s="92"/>
      <c r="B17" s="92">
        <f>tblIndicators!A13</f>
        <v>12</v>
      </c>
      <c r="C17" s="92">
        <f>tblIndicators!B13</f>
        <v>0</v>
      </c>
      <c r="D17" s="92" t="str">
        <f>tblIndicators!D13</f>
        <v>DISE1.2.3</v>
      </c>
      <c r="E17" s="92" t="str">
        <f>tblIndicators!E13</f>
        <v>DISE1.2</v>
      </c>
      <c r="F17" s="92">
        <f>tblIndicators!F13</f>
        <v>3</v>
      </c>
      <c r="G17" s="92">
        <f>tblIndicators!Y13</f>
        <v>0</v>
      </c>
      <c r="H17" s="92">
        <f>tblIndicators!Z13</f>
        <v>2</v>
      </c>
      <c r="I17" s="104">
        <f>tblIndicators!AA13</f>
        <v>0</v>
      </c>
      <c r="J17" s="92">
        <f>tblIndicators!AB13</f>
        <v>0</v>
      </c>
      <c r="K17" s="89">
        <f>IF(uxb_works!$B$66=1,CHOOSE(H17,"-",MIN(Data_2017!J17:BR17),I17),CHOOSE(H17,"-",MIN(Data_2017!J17:BQ17),I17))</f>
        <v>0.144</v>
      </c>
      <c r="L17" s="97">
        <f>IF(uxb_works!$B$66=1,CHOOSE(H17,"-",MAX(Data_2017!J17:BR17),J17),CHOOSE(H17,"-",MAX(Data_2017!J17:BQ17),J17))</f>
        <v>0.930965</v>
      </c>
      <c r="M17" s="92">
        <f t="shared" si="1"/>
        <v>0.786965</v>
      </c>
      <c r="N17" s="105" t="str">
        <f>REPT(" ",F17)&amp;tblIndicators!AE13</f>
        <v>   1.2.3) Percentage with Internet access</v>
      </c>
      <c r="O17" s="106">
        <f>tblIndicators!AD13</f>
        <v>0.333333333333333</v>
      </c>
      <c r="P17" s="100">
        <f>IF($H17=0,0,CHOOSE($H17,SUMPRODUCT($O18:$O$67*P18:P$67*($E18:$E$67=$D17)),IF(ISNUMBER(Data_2017!J17),100*ABS($G17-(Data_2017!J17-$K17)/$M17),0),IF(ISNUMBER(Data_2017!J17),100*ABS($G17-(Data_2017!J17-$K17)/$M17),0)))</f>
        <v>97.6452647517627</v>
      </c>
      <c r="Q17" s="100">
        <f>IF($H17=0,0,CHOOSE($H17,SUMPRODUCT($O18:$O$67*Q18:Q$67*($E18:$E$67=$D17)),IF(ISNUMBER(Data_2017!K17),100*ABS($G17-(Data_2017!K17-$K17)/$M17),0),IF(ISNUMBER(Data_2017!K17),100*ABS($G17-(Data_2017!K17-$K17)/$M17),0)))</f>
        <v>100</v>
      </c>
      <c r="R17" s="100">
        <f>IF($H17=0,0,CHOOSE($H17,SUMPRODUCT($O18:$O$67*R18:R$67*($E18:$E$67=$D17)),IF(ISNUMBER(Data_2017!L17),100*ABS($G17-(Data_2017!L17-$K17)/$M17),0),IF(ISNUMBER(Data_2017!L17),100*ABS($G17-(Data_2017!L17-$K17)/$M17),0)))</f>
        <v>66.6293926667641</v>
      </c>
      <c r="S17" s="100">
        <f>IF($H17=0,0,CHOOSE($H17,SUMPRODUCT($O18:$O$67*S18:S$67*($E18:$E$67=$D17)),IF(ISNUMBER(Data_2017!M17),100*ABS($G17-(Data_2017!M17-$K17)/$M17),0),IF(ISNUMBER(Data_2017!M17),100*ABS($G17-(Data_2017!M17-$K17)/$M17),0)))</f>
        <v>31.6610354164422</v>
      </c>
      <c r="T17" s="100">
        <f>IF($H17=0,0,CHOOSE($H17,SUMPRODUCT($O18:$O$67*T18:T$67*($E18:$E$67=$D17)),IF(ISNUMBER(Data_2017!N17),100*ABS($G17-(Data_2017!N17-$K17)/$M17),0),IF(ISNUMBER(Data_2017!N17),100*ABS($G17-(Data_2017!N17-$K17)/$M17),0)))</f>
        <v>81.6930867319385</v>
      </c>
      <c r="U17" s="100">
        <f>IF($H17=0,0,CHOOSE($H17,SUMPRODUCT($O18:$O$67*U18:U$67*($E18:$E$67=$D17)),IF(ISNUMBER(Data_2017!O17),100*ABS($G17-(Data_2017!O17-$K17)/$M17),0),IF(ISNUMBER(Data_2017!O17),100*ABS($G17-(Data_2017!O17-$K17)/$M17),0)))</f>
        <v>77.2588361617099</v>
      </c>
      <c r="V17" s="100">
        <f>IF($H17=0,0,CHOOSE($H17,SUMPRODUCT($O18:$O$67*V18:V$67*($E18:$E$67=$D17)),IF(ISNUMBER(Data_2017!P17),100*ABS($G17-(Data_2017!P17-$K17)/$M17),0),IF(ISNUMBER(Data_2017!P17),100*ABS($G17-(Data_2017!P17-$K17)/$M17),0)))</f>
        <v>52.7405570950327</v>
      </c>
      <c r="W17" s="100">
        <f>IF($H17=0,0,CHOOSE($H17,SUMPRODUCT($O18:$O$67*W18:W$67*($E18:$E$67=$D17)),IF(ISNUMBER(Data_2017!Q17),100*ABS($G17-(Data_2017!Q17-$K17)/$M17),0),IF(ISNUMBER(Data_2017!Q17),100*ABS($G17-(Data_2017!Q17-$K17)/$M17),0)))</f>
        <v>89.7789609448959</v>
      </c>
      <c r="X17" s="100">
        <f>IF($H17=0,0,CHOOSE($H17,SUMPRODUCT($O18:$O$67*X18:X$67*($E18:$E$67=$D17)),IF(ISNUMBER(Data_2017!R17),100*ABS($G17-(Data_2017!R17-$K17)/$M17),0),IF(ISNUMBER(Data_2017!R17),100*ABS($G17-(Data_2017!R17-$K17)/$M17),0)))</f>
        <v>69.8899201639082</v>
      </c>
      <c r="Y17" s="100">
        <f>IF($H17=0,0,CHOOSE($H17,SUMPRODUCT($O18:$O$67*Y18:Y$67*($E18:$E$67=$D17)),IF(ISNUMBER(Data_2017!S17),100*ABS($G17-(Data_2017!S17-$K17)/$M17),0),IF(ISNUMBER(Data_2017!S17),100*ABS($G17-(Data_2017!S17-$K17)/$M17),0)))</f>
        <v>29.759116895534</v>
      </c>
      <c r="Z17" s="100">
        <f>IF($H17=0,0,CHOOSE($H17,SUMPRODUCT($O18:$O$67*Z18:Z$67*($E18:$E$67=$D17)),IF(ISNUMBER(Data_2017!T17),100*ABS($G17-(Data_2017!T17-$K17)/$M17),0),IF(ISNUMBER(Data_2017!T17),100*ABS($G17-(Data_2017!T17-$K17)/$M17),0)))</f>
        <v>60.3193891650556</v>
      </c>
      <c r="AA17" s="100">
        <f>IF($H17=0,0,CHOOSE($H17,SUMPRODUCT($O18:$O$67*AA18:AA$67*($E18:$E$67=$D17)),IF(ISNUMBER(Data_2017!U17),100*ABS($G17-(Data_2017!U17-$K17)/$M17),0),IF(ISNUMBER(Data_2017!U17),100*ABS($G17-(Data_2017!U17-$K17)/$M17),0)))</f>
        <v>54.2336698582529</v>
      </c>
      <c r="AB17" s="100">
        <f>IF($H17=0,0,CHOOSE($H17,SUMPRODUCT($O18:$O$67*AB18:AB$67*($E18:$E$67=$D17)),IF(ISNUMBER(Data_2017!V17),100*ABS($G17-(Data_2017!V17-$K17)/$M17),0),IF(ISNUMBER(Data_2017!V17),100*ABS($G17-(Data_2017!V17-$K17)/$M17),0)))</f>
        <v>85.0101338687235</v>
      </c>
      <c r="AC17" s="100">
        <f>IF($H17=0,0,CHOOSE($H17,SUMPRODUCT($O18:$O$67*AC18:AC$67*($E18:$E$67=$D17)),IF(ISNUMBER(Data_2017!W17),100*ABS($G17-(Data_2017!W17-$K17)/$M17),0),IF(ISNUMBER(Data_2017!W17),100*ABS($G17-(Data_2017!W17-$K17)/$M17),0)))</f>
        <v>72.430158901603</v>
      </c>
      <c r="AD17" s="100">
        <f>IF($H17=0,0,CHOOSE($H17,SUMPRODUCT($O18:$O$67*AD18:AD$67*($E18:$E$67=$D17)),IF(ISNUMBER(Data_2017!X17),100*ABS($G17-(Data_2017!X17-$K17)/$M17),0),IF(ISNUMBER(Data_2017!X17),100*ABS($G17-(Data_2017!X17-$K17)/$M17),0)))</f>
        <v>14.7401726887473</v>
      </c>
      <c r="AE17" s="100">
        <f>IF($H17=0,0,CHOOSE($H17,SUMPRODUCT($O18:$O$67*AE18:AE$67*($E18:$E$67=$D17)),IF(ISNUMBER(Data_2017!Y17),100*ABS($G17-(Data_2017!Y17-$K17)/$M17),0),IF(ISNUMBER(Data_2017!Y17),100*ABS($G17-(Data_2017!Y17-$K17)/$M17),0)))</f>
        <v>0</v>
      </c>
      <c r="AF17" s="100">
        <f>IF($H17=0,0,CHOOSE($H17,SUMPRODUCT($O18:$O$67*AF18:AF$67*($E18:$E$67=$D17)),IF(ISNUMBER(Data_2017!Z17),100*ABS($G17-(Data_2017!Z17-$K17)/$M17),0),IF(ISNUMBER(Data_2017!Z17),100*ABS($G17-(Data_2017!Z17-$K17)/$M17),0)))</f>
        <v>99.7310254630741</v>
      </c>
      <c r="AG17" s="100">
        <f>IF($H17=0,0,CHOOSE($H17,SUMPRODUCT($O18:$O$67*AG18:AG$67*($E18:$E$67=$D17)),IF(ISNUMBER(Data_2017!AA17),100*ABS($G17-(Data_2017!AA17-$K17)/$M17),0),IF(ISNUMBER(Data_2017!AA17),100*ABS($G17-(Data_2017!AA17-$K17)/$M17),0)))</f>
        <v>93.0026112978341</v>
      </c>
      <c r="AH17" s="100">
        <f>IF($H17=0,0,CHOOSE($H17,SUMPRODUCT($O18:$O$67*AH18:AH$67*($E18:$E$67=$D17)),IF(ISNUMBER(Data_2017!AB17),100*ABS($G17-(Data_2017!AB17-$K17)/$M17),0),IF(ISNUMBER(Data_2017!AB17),100*ABS($G17-(Data_2017!AB17-$K17)/$M17),0)))</f>
        <v>48.6933980546212</v>
      </c>
      <c r="AI17" s="100">
        <f>IF($H17=0,0,CHOOSE($H17,SUMPRODUCT($O18:$O$67*AI18:AI$67*($E18:$E$67=$D17)),IF(ISNUMBER(Data_2017!AC17),100*ABS($G17-(Data_2017!AC17-$K17)/$M17),0),IF(ISNUMBER(Data_2017!AC17),100*ABS($G17-(Data_2017!AC17-$K17)/$M17),0)))</f>
        <v>89.6461125506296</v>
      </c>
      <c r="AJ17" s="100">
        <f>IF($H17=0,0,CHOOSE($H17,SUMPRODUCT($O18:$O$67*AJ18:AJ$67*($E18:$E$67=$D17)),IF(ISNUMBER(Data_2017!AD17),100*ABS($G17-(Data_2017!AD17-$K17)/$M17),0),IF(ISNUMBER(Data_2017!AD17),100*ABS($G17-(Data_2017!AD17-$K17)/$M17),0)))</f>
        <v>49.995843706338</v>
      </c>
      <c r="AK17" s="100">
        <f>IF($H17=0,0,CHOOSE($H17,SUMPRODUCT($O18:$O$67*AK18:AK$67*($E18:$E$67=$D17)),IF(ISNUMBER(Data_2017!AE17),100*ABS($G17-(Data_2017!AE17-$K17)/$M17),0),IF(ISNUMBER(Data_2017!AE17),100*ABS($G17-(Data_2017!AE17-$K17)/$M17),0)))</f>
        <v>9.62694365231948</v>
      </c>
      <c r="AL17" s="100">
        <f>IF($H17=0,0,CHOOSE($H17,SUMPRODUCT($O18:$O$67*AL18:AL$67*($E18:$E$67=$D17)),IF(ISNUMBER(Data_2017!AF17),100*ABS($G17-(Data_2017!AF17-$K17)/$M17),0),IF(ISNUMBER(Data_2017!AF17),100*ABS($G17-(Data_2017!AF17-$K17)/$M17),0)))</f>
        <v>70.1635216323476</v>
      </c>
      <c r="AM17" s="100">
        <f>IF($H17=0,0,CHOOSE($H17,SUMPRODUCT($O18:$O$67*AM18:AM$67*($E18:$E$67=$D17)),IF(ISNUMBER(Data_2017!AG17),100*ABS($G17-(Data_2017!AG17-$K17)/$M17),0),IF(ISNUMBER(Data_2017!AG17),100*ABS($G17-(Data_2017!AG17-$K17)/$M17),0)))</f>
        <v>47.6757107657227</v>
      </c>
      <c r="AN17" s="100">
        <f>IF($H17=0,0,CHOOSE($H17,SUMPRODUCT($O18:$O$67*AN18:AN$67*($E18:$E$67=$D17)),IF(ISNUMBER(Data_2017!AH17),100*ABS($G17-(Data_2017!AH17-$K17)/$M17),0),IF(ISNUMBER(Data_2017!AH17),100*ABS($G17-(Data_2017!AH17-$K17)/$M17),0)))</f>
        <v>4.57453635168019</v>
      </c>
      <c r="AO17" s="100">
        <f>IF($H17=0,0,CHOOSE($H17,SUMPRODUCT($O18:$O$67*AO18:AO$67*($E18:$E$67=$D17)),IF(ISNUMBER(Data_2017!AI17),100*ABS($G17-(Data_2017!AI17-$K17)/$M17),0),IF(ISNUMBER(Data_2017!AI17),100*ABS($G17-(Data_2017!AI17-$K17)/$M17),0)))</f>
        <v>72.0032883434406</v>
      </c>
      <c r="AP17" s="100">
        <f>IF($H17=0,0,CHOOSE($H17,SUMPRODUCT($O18:$O$67*AP18:AP$67*($E18:$E$67=$D17)),IF(ISNUMBER(Data_2017!AJ17),100*ABS($G17-(Data_2017!AJ17-$K17)/$M17),0),IF(ISNUMBER(Data_2017!AJ17),100*ABS($G17-(Data_2017!AJ17-$K17)/$M17),0)))</f>
        <v>86.0001585366418</v>
      </c>
      <c r="AQ17" s="100">
        <f>IF($H17=0,0,CHOOSE($H17,SUMPRODUCT($O18:$O$67*AQ18:AQ$67*($E18:$E$67=$D17)),IF(ISNUMBER(Data_2017!AK17),100*ABS($G17-(Data_2017!AK17-$K17)/$M17),0),IF(ISNUMBER(Data_2017!AK17),100*ABS($G17-(Data_2017!AK17-$K17)/$M17),0)))</f>
        <v>33.6736703665347</v>
      </c>
      <c r="AR17" s="100">
        <f>IF($H17=0,0,CHOOSE($H17,SUMPRODUCT($O18:$O$67*AR18:AR$67*($E18:$E$67=$D17)),IF(ISNUMBER(Data_2017!AL17),100*ABS($G17-(Data_2017!AL17-$K17)/$M17),0),IF(ISNUMBER(Data_2017!AL17),100*ABS($G17-(Data_2017!AL17-$K17)/$M17),0)))</f>
        <v>98.6070536809134</v>
      </c>
      <c r="AS17" s="100">
        <f>IF($H17=0,0,CHOOSE($H17,SUMPRODUCT($O18:$O$67*AS18:AS$67*($E18:$E$67=$D17)),IF(ISNUMBER(Data_2017!AM17),100*ABS($G17-(Data_2017!AM17-$K17)/$M17),0),IF(ISNUMBER(Data_2017!AM17),100*ABS($G17-(Data_2017!AM17-$K17)/$M17),0)))</f>
        <v>75.2257088942964</v>
      </c>
      <c r="AT17" s="100">
        <f>IF($H17=0,0,CHOOSE($H17,SUMPRODUCT($O18:$O$67*AT18:AT$67*($E18:$E$67=$D17)),IF(ISNUMBER(Data_2017!AN17),100*ABS($G17-(Data_2017!AN17-$K17)/$M17),0),IF(ISNUMBER(Data_2017!AN17),100*ABS($G17-(Data_2017!AN17-$K17)/$M17),0)))</f>
        <v>81.6930867319385</v>
      </c>
      <c r="AU17" s="100">
        <f>IF($H17=0,0,CHOOSE($H17,SUMPRODUCT($O18:$O$67*AU18:AU$67*($E18:$E$67=$D17)),IF(ISNUMBER(Data_2017!AO17),100*ABS($G17-(Data_2017!AO17-$K17)/$M17),0),IF(ISNUMBER(Data_2017!AO17),100*ABS($G17-(Data_2017!AO17-$K17)/$M17),0)))</f>
        <v>33.4195294581081</v>
      </c>
      <c r="AV17" s="100">
        <f>IF($H17=0,0,CHOOSE($H17,SUMPRODUCT($O18:$O$67*AV18:AV$67*($E18:$E$67=$D17)),IF(ISNUMBER(Data_2017!AP17),100*ABS($G17-(Data_2017!AP17-$K17)/$M17),0),IF(ISNUMBER(Data_2017!AP17),100*ABS($G17-(Data_2017!AP17-$K17)/$M17),0)))</f>
        <v>90.092952037257</v>
      </c>
      <c r="AW17" s="100">
        <f>IF($H17=0,0,CHOOSE($H17,SUMPRODUCT($O18:$O$67*AW18:AW$67*($E18:$E$67=$D17)),IF(ISNUMBER(Data_2017!AQ17),100*ABS($G17-(Data_2017!AQ17-$K17)/$M17),0),IF(ISNUMBER(Data_2017!AQ17),100*ABS($G17-(Data_2017!AQ17-$K17)/$M17),0)))</f>
        <v>54.6797417831331</v>
      </c>
      <c r="AX17" s="100">
        <f>IF($H17=0,0,CHOOSE($H17,SUMPRODUCT($O18:$O$67*AX18:AX$67*($E18:$E$67=$D17)),IF(ISNUMBER(Data_2017!AR17),100*ABS($G17-(Data_2017!AR17-$K17)/$M17),0),IF(ISNUMBER(Data_2017!AR17),100*ABS($G17-(Data_2017!AR17-$K17)/$M17),0)))</f>
        <v>65.0239845482328</v>
      </c>
      <c r="AY17" s="100">
        <f>IF($H17=0,0,CHOOSE($H17,SUMPRODUCT($O18:$O$67*AY18:AY$67*($E18:$E$67=$D17)),IF(ISNUMBER(Data_2017!AS17),100*ABS($G17-(Data_2017!AS17-$K17)/$M17),0),IF(ISNUMBER(Data_2017!AS17),100*ABS($G17-(Data_2017!AS17-$K17)/$M17),0)))</f>
        <v>70.7772788197629</v>
      </c>
      <c r="AZ17" s="100">
        <f>IF($H17=0,0,CHOOSE($H17,SUMPRODUCT($O18:$O$67*AZ18:AZ$67*($E18:$E$67=$D17)),IF(ISNUMBER(Data_2017!AT17),100*ABS($G17-(Data_2017!AT17-$K17)/$M17),0),IF(ISNUMBER(Data_2017!AT17),100*ABS($G17-(Data_2017!AT17-$K17)/$M17),0)))</f>
        <v>14.7401726887473</v>
      </c>
      <c r="BA17" s="100">
        <f>IF($H17=0,0,CHOOSE($H17,SUMPRODUCT($O18:$O$67*BA18:BA$67*($E18:$E$67=$D17)),IF(ISNUMBER(Data_2017!AU17),100*ABS($G17-(Data_2017!AU17-$K17)/$M17),0),IF(ISNUMBER(Data_2017!AU17),100*ABS($G17-(Data_2017!AU17-$K17)/$M17),0)))</f>
        <v>74.2091452605897</v>
      </c>
      <c r="BB17" s="100">
        <f>IF($H17=0,0,CHOOSE($H17,SUMPRODUCT($O18:$O$67*BB18:BB$67*($E18:$E$67=$D17)),IF(ISNUMBER(Data_2017!AV17),100*ABS($G17-(Data_2017!AV17-$K17)/$M17),0),IF(ISNUMBER(Data_2017!AV17),100*ABS($G17-(Data_2017!AV17-$K17)/$M17),0)))</f>
        <v>87.9327543156303</v>
      </c>
      <c r="BC17" s="100">
        <f>IF($H17=0,0,CHOOSE($H17,SUMPRODUCT($O18:$O$67*BC18:BC$67*($E18:$E$67=$D17)),IF(ISNUMBER(Data_2017!AW17),100*ABS($G17-(Data_2017!AW17-$K17)/$M17),0),IF(ISNUMBER(Data_2017!AW17),100*ABS($G17-(Data_2017!AW17-$K17)/$M17),0)))</f>
        <v>89.3235404369953</v>
      </c>
      <c r="BD17" s="100">
        <f>IF($H17=0,0,CHOOSE($H17,SUMPRODUCT($O18:$O$67*BD18:BD$67*($E18:$E$67=$D17)),IF(ISNUMBER(Data_2017!AX17),100*ABS($G17-(Data_2017!AX17-$K17)/$M17),0),IF(ISNUMBER(Data_2017!AX17),100*ABS($G17-(Data_2017!AX17-$K17)/$M17),0)))</f>
        <v>43.8906861032789</v>
      </c>
      <c r="BE17" s="100">
        <f>IF($H17=0,0,CHOOSE($H17,SUMPRODUCT($O18:$O$67*BE18:BE$67*($E18:$E$67=$D17)),IF(ISNUMBER(Data_2017!AY17),100*ABS($G17-(Data_2017!AY17-$K17)/$M17),0),IF(ISNUMBER(Data_2017!AY17),100*ABS($G17-(Data_2017!AY17-$K17)/$M17),0)))</f>
        <v>56.774415521027</v>
      </c>
      <c r="BF17" s="100">
        <f>IF($H17=0,0,CHOOSE($H17,SUMPRODUCT($O18:$O$67*BF18:BF$67*($E18:$E$67=$D17)),IF(ISNUMBER(Data_2017!AZ17),100*ABS($G17-(Data_2017!AZ17-$K17)/$M17),0),IF(ISNUMBER(Data_2017!AZ17),100*ABS($G17-(Data_2017!AZ17-$K17)/$M17),0)))</f>
        <v>70.1635216323476</v>
      </c>
      <c r="BG17" s="100">
        <f>IF($H17=0,0,CHOOSE($H17,SUMPRODUCT($O18:$O$67*BG18:BG$67*($E18:$E$67=$D17)),IF(ISNUMBER(Data_2017!BA17),100*ABS($G17-(Data_2017!BA17-$K17)/$M17),0),IF(ISNUMBER(Data_2017!BA17),100*ABS($G17-(Data_2017!BA17-$K17)/$M17),0)))</f>
        <v>65.0239845482328</v>
      </c>
      <c r="BH17" s="100">
        <f>IF($H17=0,0,CHOOSE($H17,SUMPRODUCT($O18:$O$67*BH18:BH$67*($E18:$E$67=$D17)),IF(ISNUMBER(Data_2017!BB17),100*ABS($G17-(Data_2017!BB17-$K17)/$M17),0),IF(ISNUMBER(Data_2017!BB17),100*ABS($G17-(Data_2017!BB17-$K17)/$M17),0)))</f>
        <v>75.2257088942964</v>
      </c>
      <c r="BI17" s="100">
        <f>IF($H17=0,0,CHOOSE($H17,SUMPRODUCT($O18:$O$67*BI18:BI$67*($E18:$E$67=$D17)),IF(ISNUMBER(Data_2017!BC17),100*ABS($G17-(Data_2017!BC17-$K17)/$M17),0),IF(ISNUMBER(Data_2017!BC17),100*ABS($G17-(Data_2017!BC17-$K17)/$M17),0)))</f>
        <v>63.3941789024925</v>
      </c>
      <c r="BJ17" s="100">
        <f>IF($H17=0,0,CHOOSE($H17,SUMPRODUCT($O18:$O$67*BJ18:BJ$67*($E18:$E$67=$D17)),IF(ISNUMBER(Data_2017!BD17),100*ABS($G17-(Data_2017!BD17-$K17)/$M17),0),IF(ISNUMBER(Data_2017!BD17),100*ABS($G17-(Data_2017!BD17-$K17)/$M17),0)))</f>
        <v>56.774415521027</v>
      </c>
      <c r="BK17" s="100">
        <f>IF($H17=0,0,CHOOSE($H17,SUMPRODUCT($O18:$O$67*BK18:BK$67*($E18:$E$67=$D17)),IF(ISNUMBER(Data_2017!BE17),100*ABS($G17-(Data_2017!BE17-$K17)/$M17),0),IF(ISNUMBER(Data_2017!BE17),100*ABS($G17-(Data_2017!BE17-$K17)/$M17),0)))</f>
        <v>95.6187770196134</v>
      </c>
      <c r="BL17" s="100">
        <f>IF($H17=0,0,CHOOSE($H17,SUMPRODUCT($O18:$O$67*BL18:BL$67*($E18:$E$67=$D17)),IF(ISNUMBER(Data_2017!BF17),100*ABS($G17-(Data_2017!BF17-$K17)/$M17),0),IF(ISNUMBER(Data_2017!BF17),100*ABS($G17-(Data_2017!BF17-$K17)/$M17),0)))</f>
        <v>71.5406657221096</v>
      </c>
      <c r="BM17" s="100">
        <f>IF($H17=0,0,CHOOSE($H17,SUMPRODUCT($O18:$O$67*BM18:BM$67*($E18:$E$67=$D17)),IF(ISNUMBER(Data_2017!BG17),100*ABS($G17-(Data_2017!BG17-$K17)/$M17),0),IF(ISNUMBER(Data_2017!BG17),100*ABS($G17-(Data_2017!BG17-$K17)/$M17),0)))</f>
        <v>86.0305096160566</v>
      </c>
      <c r="BN17" s="100">
        <f>IF($H17=0,0,CHOOSE($H17,SUMPRODUCT($O18:$O$67*BN18:BN$67*($E18:$E$67=$D17)),IF(ISNUMBER(Data_2017!BH17),100*ABS($G17-(Data_2017!BH17-$K17)/$M17),0),IF(ISNUMBER(Data_2017!BH17),100*ABS($G17-(Data_2017!BH17-$K17)/$M17),0)))</f>
        <v>96.8406472968938</v>
      </c>
      <c r="BO17" s="100">
        <f>IF($H17=0,0,CHOOSE($H17,SUMPRODUCT($O18:$O$67*BO18:BO$67*($E18:$E$67=$D17)),IF(ISNUMBER(Data_2017!BI17),100*ABS($G17-(Data_2017!BI17-$K17)/$M17),0),IF(ISNUMBER(Data_2017!BI17),100*ABS($G17-(Data_2017!BI17-$K17)/$M17),0)))</f>
        <v>87.9327543156303</v>
      </c>
      <c r="BP17" s="100">
        <f>IF($H17=0,0,CHOOSE($H17,SUMPRODUCT($O18:$O$67*BP18:BP$67*($E18:$E$67=$D17)),IF(ISNUMBER(Data_2017!BJ17),100*ABS($G17-(Data_2017!BJ17-$K17)/$M17),0),IF(ISNUMBER(Data_2017!BJ17),100*ABS($G17-(Data_2017!BJ17-$K17)/$M17),0)))</f>
        <v>80.8636637505093</v>
      </c>
      <c r="BQ17" s="100">
        <f>IF($H17=0,0,CHOOSE($H17,SUMPRODUCT($O18:$O$67*BQ18:BQ$67*($E18:$E$67=$D17)),IF(ISNUMBER(Data_2017!BK17),100*ABS($G17-(Data_2017!BK17-$K17)/$M17),0),IF(ISNUMBER(Data_2017!BK17),100*ABS($G17-(Data_2017!BK17-$K17)/$M17),0)))</f>
        <v>39.3092143674733</v>
      </c>
      <c r="BR17" s="100">
        <f>IF($H17=0,0,CHOOSE($H17,SUMPRODUCT($O18:$O$67*BR18:BR$67*($E18:$E$67=$D17)),IF(ISNUMBER(Data_2017!BL17),100*ABS($G17-(Data_2017!BL17-$K17)/$M17),0),IF(ISNUMBER(Data_2017!BL17),100*ABS($G17-(Data_2017!BL17-$K17)/$M17),0)))</f>
        <v>95.684052022644</v>
      </c>
      <c r="BS17" s="100">
        <f>IF($H17=0,0,CHOOSE($H17,SUMPRODUCT($O18:$O$67*BS18:BS$67*($E18:$E$67=$D17)),IF(ISNUMBER(Data_2017!BM17),100*ABS($G17-(Data_2017!BM17-$K17)/$M17),0),IF(ISNUMBER(Data_2017!BM17),100*ABS($G17-(Data_2017!BM17-$K17)/$M17),0)))</f>
        <v>94.1210854358199</v>
      </c>
      <c r="BT17" s="100">
        <f>IF($H17=0,0,CHOOSE($H17,SUMPRODUCT($O18:$O$67*BT18:BT$67*($E18:$E$67=$D17)),IF(ISNUMBER(Data_2017!BN17),100*ABS($G17-(Data_2017!BN17-$K17)/$M17),0),IF(ISNUMBER(Data_2017!BN17),100*ABS($G17-(Data_2017!BN17-$K17)/$M17),0)))</f>
        <v>79.8002452459766</v>
      </c>
      <c r="BU17" s="100">
        <f>IF($H17=0,0,CHOOSE($H17,SUMPRODUCT($O18:$O$67*BU18:BU$67*($E18:$E$67=$D17)),IF(ISNUMBER(Data_2017!BO17),100*ABS($G17-(Data_2017!BO17-$K17)/$M17),0),IF(ISNUMBER(Data_2017!BO17),100*ABS($G17-(Data_2017!BO17-$K17)/$M17),0)))</f>
        <v>93.807080134377</v>
      </c>
      <c r="BV17" s="100">
        <f>IF($H17=0,0,CHOOSE($H17,SUMPRODUCT($O18:$O$67*BV18:BV$67*($E18:$E$67=$D17)),IF(ISNUMBER(Data_2017!BP17),100*ABS($G17-(Data_2017!BP17-$K17)/$M17),0),IF(ISNUMBER(Data_2017!BP17),100*ABS($G17-(Data_2017!BP17-$K17)/$M17),0)))</f>
        <v>9.40321361178705</v>
      </c>
      <c r="BW17" s="100">
        <f>IF($H17=0,0,CHOOSE($H17,SUMPRODUCT($O18:$O$67*BW18:BW$67*($E18:$E$67=$D17)),IF(ISNUMBER(Data_2017!BQ17),100*ABS($G17-(Data_2017!BQ17-$K17)/$M17),0),IF(ISNUMBER(Data_2017!BQ17),100*ABS($G17-(Data_2017!BQ17-$K17)/$M17),0)))</f>
        <v>92.8618878830285</v>
      </c>
      <c r="BX17" s="100">
        <f>IF($H17=0,0,CHOOSE($H17,SUMPRODUCT($O18:$O$67*BX18:BX$67*($E18:$E$67=$D17)),IF(ISNUMBER(Data_2017!BR17),100*ABS($G17-(Data_2017!BR17-$K17)/$M17),0),IF(ISNUMBER(Data_2017!BR17),100*ABS($G17-(Data_2017!BR17-$K17)/$M17),0)))</f>
        <v>90.4741633998971</v>
      </c>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row>
    <row r="18" s="69" customFormat="1" ht="24.95" customHeight="1" spans="1:130">
      <c r="A18" s="92"/>
      <c r="B18" s="92">
        <f>tblIndicators!A14</f>
        <v>13</v>
      </c>
      <c r="C18" s="92">
        <f>tblIndicators!B14</f>
        <v>0</v>
      </c>
      <c r="D18" s="92" t="str">
        <f>tblIndicators!D14</f>
        <v>HESE</v>
      </c>
      <c r="E18" s="92" t="str">
        <f>tblIndicators!E14</f>
        <v>OVERALL</v>
      </c>
      <c r="F18" s="92">
        <f>tblIndicators!F14</f>
        <v>1</v>
      </c>
      <c r="G18" s="92" t="str">
        <f>tblIndicators!Y14</f>
        <v/>
      </c>
      <c r="H18" s="92">
        <f>tblIndicators!Z14</f>
        <v>1</v>
      </c>
      <c r="I18" s="104">
        <f>tblIndicators!AA14</f>
        <v>0</v>
      </c>
      <c r="J18" s="92">
        <f>tblIndicators!AB14</f>
        <v>0</v>
      </c>
      <c r="K18" s="89" t="str">
        <f>IF(uxb_works!$B$66=1,CHOOSE(H18,"-",MIN(Data_2017!J18:BR18),I18),CHOOSE(H18,"-",MIN(Data_2017!J18:BQ18),I18))</f>
        <v>-</v>
      </c>
      <c r="L18" s="97" t="str">
        <f>IF(uxb_works!$B$66=1,CHOOSE(H18,"-",MAX(Data_2017!J18:BR18),J18),CHOOSE(H18,"-",MAX(Data_2017!J18:BQ18),J18))</f>
        <v>-</v>
      </c>
      <c r="M18" s="92" t="str">
        <f t="shared" si="1"/>
        <v>-</v>
      </c>
      <c r="N18" s="105" t="str">
        <f>REPT(" ",F18)&amp;tblIndicators!AE14</f>
        <v> 2) HEALTH SECURITY</v>
      </c>
      <c r="O18" s="106">
        <f>tblIndicators!AD14</f>
        <v>0.25</v>
      </c>
      <c r="P18" s="100">
        <f>IF($H18=0,0,CHOOSE($H18,SUMPRODUCT($O19:$O$67*P19:P$67*($E19:$E$67=$D18)),IF(ISNUMBER(Data_2017!J18),100*ABS($G18-(Data_2017!J18-$K18)/$M18),0),IF(ISNUMBER(Data_2017!J18),100*ABS($G18-(Data_2017!J18-$K18)/$M18),0)))</f>
        <v>68.5404322865189</v>
      </c>
      <c r="Q18" s="100">
        <f>IF($H18=0,0,CHOOSE($H18,SUMPRODUCT($O19:$O$67*Q19:Q$67*($E19:$E$67=$D18)),IF(ISNUMBER(Data_2017!K18),100*ABS($G18-(Data_2017!K18-$K18)/$M18),0),IF(ISNUMBER(Data_2017!K18),100*ABS($G18-(Data_2017!K18-$K18)/$M18),0)))</f>
        <v>79.7932254038547</v>
      </c>
      <c r="R18" s="100">
        <f>IF($H18=0,0,CHOOSE($H18,SUMPRODUCT($O19:$O$67*R19:R$67*($E19:$E$67=$D18)),IF(ISNUMBER(Data_2017!L18),100*ABS($G18-(Data_2017!L18-$K18)/$M18),0),IF(ISNUMBER(Data_2017!L18),100*ABS($G18-(Data_2017!L18-$K18)/$M18),0)))</f>
        <v>74.5716076702999</v>
      </c>
      <c r="S18" s="100">
        <f>IF($H18=0,0,CHOOSE($H18,SUMPRODUCT($O19:$O$67*S19:S$67*($E19:$E$67=$D18)),IF(ISNUMBER(Data_2017!M18),100*ABS($G18-(Data_2017!M18-$K18)/$M18),0),IF(ISNUMBER(Data_2017!M18),100*ABS($G18-(Data_2017!M18-$K18)/$M18),0)))</f>
        <v>66.6373895667999</v>
      </c>
      <c r="T18" s="100">
        <f>IF($H18=0,0,CHOOSE($H18,SUMPRODUCT($O19:$O$67*T19:T$67*($E19:$E$67=$D18)),IF(ISNUMBER(Data_2017!N18),100*ABS($G18-(Data_2017!N18-$K18)/$M18),0),IF(ISNUMBER(Data_2017!N18),100*ABS($G18-(Data_2017!N18-$K18)/$M18),0)))</f>
        <v>78.5411276097704</v>
      </c>
      <c r="U18" s="100">
        <f>IF($H18=0,0,CHOOSE($H18,SUMPRODUCT($O19:$O$67*U19:U$67*($E19:$E$67=$D18)),IF(ISNUMBER(Data_2017!O18),100*ABS($G18-(Data_2017!O18-$K18)/$M18),0),IF(ISNUMBER(Data_2017!O18),100*ABS($G18-(Data_2017!O18-$K18)/$M18),0)))</f>
        <v>67.6294169135286</v>
      </c>
      <c r="V18" s="100">
        <f>IF($H18=0,0,CHOOSE($H18,SUMPRODUCT($O19:$O$67*V19:V$67*($E19:$E$67=$D18)),IF(ISNUMBER(Data_2017!P18),100*ABS($G18-(Data_2017!P18-$K18)/$M18),0),IF(ISNUMBER(Data_2017!P18),100*ABS($G18-(Data_2017!P18-$K18)/$M18),0)))</f>
        <v>65.3739668546807</v>
      </c>
      <c r="W18" s="100">
        <f>IF($H18=0,0,CHOOSE($H18,SUMPRODUCT($O19:$O$67*W19:W$67*($E19:$E$67=$D18)),IF(ISNUMBER(Data_2017!Q18),100*ABS($G18-(Data_2017!Q18-$K18)/$M18),0),IF(ISNUMBER(Data_2017!Q18),100*ABS($G18-(Data_2017!Q18-$K18)/$M18),0)))</f>
        <v>81.4126196569291</v>
      </c>
      <c r="X18" s="100">
        <f>IF($H18=0,0,CHOOSE($H18,SUMPRODUCT($O19:$O$67*X19:X$67*($E19:$E$67=$D18)),IF(ISNUMBER(Data_2017!R18),100*ABS($G18-(Data_2017!R18-$K18)/$M18),0),IF(ISNUMBER(Data_2017!R18),100*ABS($G18-(Data_2017!R18-$K18)/$M18),0)))</f>
        <v>74.8441020956128</v>
      </c>
      <c r="Y18" s="100">
        <f>IF($H18=0,0,CHOOSE($H18,SUMPRODUCT($O19:$O$67*Y19:Y$67*($E19:$E$67=$D18)),IF(ISNUMBER(Data_2017!S18),100*ABS($G18-(Data_2017!S18-$K18)/$M18),0),IF(ISNUMBER(Data_2017!S18),100*ABS($G18-(Data_2017!S18-$K18)/$M18),0)))</f>
        <v>52.2806390395639</v>
      </c>
      <c r="Z18" s="100">
        <f>IF($H18=0,0,CHOOSE($H18,SUMPRODUCT($O19:$O$67*Z19:Z$67*($E19:$E$67=$D18)),IF(ISNUMBER(Data_2017!T18),100*ABS($G18-(Data_2017!T18-$K18)/$M18),0),IF(ISNUMBER(Data_2017!T18),100*ABS($G18-(Data_2017!T18-$K18)/$M18),0)))</f>
        <v>56.7224351756007</v>
      </c>
      <c r="AA18" s="100">
        <f>IF($H18=0,0,CHOOSE($H18,SUMPRODUCT($O19:$O$67*AA19:AA$67*($E19:$E$67=$D18)),IF(ISNUMBER(Data_2017!U18),100*ABS($G18-(Data_2017!U18-$K18)/$M18),0),IF(ISNUMBER(Data_2017!U18),100*ABS($G18-(Data_2017!U18-$K18)/$M18),0)))</f>
        <v>58.5216055295972</v>
      </c>
      <c r="AB18" s="100">
        <f>IF($H18=0,0,CHOOSE($H18,SUMPRODUCT($O19:$O$67*AB19:AB$67*($E19:$E$67=$D18)),IF(ISNUMBER(Data_2017!V18),100*ABS($G18-(Data_2017!V18-$K18)/$M18),0),IF(ISNUMBER(Data_2017!V18),100*ABS($G18-(Data_2017!V18-$K18)/$M18),0)))</f>
        <v>71.7808287167097</v>
      </c>
      <c r="AC18" s="100">
        <f>IF($H18=0,0,CHOOSE($H18,SUMPRODUCT($O19:$O$67*AC19:AC$67*($E19:$E$67=$D18)),IF(ISNUMBER(Data_2017!W18),100*ABS($G18-(Data_2017!W18-$K18)/$M18),0),IF(ISNUMBER(Data_2017!W18),100*ABS($G18-(Data_2017!W18-$K18)/$M18),0)))</f>
        <v>70.2733087872303</v>
      </c>
      <c r="AD18" s="100">
        <f>IF($H18=0,0,CHOOSE($H18,SUMPRODUCT($O19:$O$67*AD19:AD$67*($E19:$E$67=$D18)),IF(ISNUMBER(Data_2017!X18),100*ABS($G18-(Data_2017!X18-$K18)/$M18),0),IF(ISNUMBER(Data_2017!X18),100*ABS($G18-(Data_2017!X18-$K18)/$M18),0)))</f>
        <v>59.6494460841144</v>
      </c>
      <c r="AE18" s="100">
        <f>IF($H18=0,0,CHOOSE($H18,SUMPRODUCT($O19:$O$67*AE19:AE$67*($E19:$E$67=$D18)),IF(ISNUMBER(Data_2017!Y18),100*ABS($G18-(Data_2017!Y18-$K18)/$M18),0),IF(ISNUMBER(Data_2017!Y18),100*ABS($G18-(Data_2017!Y18-$K18)/$M18),0)))</f>
        <v>45.5859282500325</v>
      </c>
      <c r="AF18" s="100">
        <f>IF($H18=0,0,CHOOSE($H18,SUMPRODUCT($O19:$O$67*AF19:AF$67*($E19:$E$67=$D18)),IF(ISNUMBER(Data_2017!Z18),100*ABS($G18-(Data_2017!Z18-$K18)/$M18),0),IF(ISNUMBER(Data_2017!Z18),100*ABS($G18-(Data_2017!Z18-$K18)/$M18),0)))</f>
        <v>62.6022311014463</v>
      </c>
      <c r="AG18" s="100">
        <f>IF($H18=0,0,CHOOSE($H18,SUMPRODUCT($O19:$O$67*AG19:AG$67*($E19:$E$67=$D18)),IF(ISNUMBER(Data_2017!AA18),100*ABS($G18-(Data_2017!AA18-$K18)/$M18),0),IF(ISNUMBER(Data_2017!AA18),100*ABS($G18-(Data_2017!AA18-$K18)/$M18),0)))</f>
        <v>84.0633016902858</v>
      </c>
      <c r="AH18" s="100">
        <f>IF($H18=0,0,CHOOSE($H18,SUMPRODUCT($O19:$O$67*AH19:AH$67*($E19:$E$67=$D18)),IF(ISNUMBER(Data_2017!AB18),100*ABS($G18-(Data_2017!AB18-$K18)/$M18),0),IF(ISNUMBER(Data_2017!AB18),100*ABS($G18-(Data_2017!AB18-$K18)/$M18),0)))</f>
        <v>61.287417956729</v>
      </c>
      <c r="AI18" s="100">
        <f>IF($H18=0,0,CHOOSE($H18,SUMPRODUCT($O19:$O$67*AI19:AI$67*($E19:$E$67=$D18)),IF(ISNUMBER(Data_2017!AC18),100*ABS($G18-(Data_2017!AC18-$K18)/$M18),0),IF(ISNUMBER(Data_2017!AC18),100*ABS($G18-(Data_2017!AC18-$K18)/$M18),0)))</f>
        <v>73.2917363465489</v>
      </c>
      <c r="AJ18" s="100">
        <f>IF($H18=0,0,CHOOSE($H18,SUMPRODUCT($O19:$O$67*AJ19:AJ$67*($E19:$E$67=$D18)),IF(ISNUMBER(Data_2017!AD18),100*ABS($G18-(Data_2017!AD18-$K18)/$M18),0),IF(ISNUMBER(Data_2017!AD18),100*ABS($G18-(Data_2017!AD18-$K18)/$M18),0)))</f>
        <v>62.5983055141362</v>
      </c>
      <c r="AK18" s="100">
        <f>IF($H18=0,0,CHOOSE($H18,SUMPRODUCT($O19:$O$67*AK19:AK$67*($E19:$E$67=$D18)),IF(ISNUMBER(Data_2017!AE18),100*ABS($G18-(Data_2017!AE18-$K18)/$M18),0),IF(ISNUMBER(Data_2017!AE18),100*ABS($G18-(Data_2017!AE18-$K18)/$M18),0)))</f>
        <v>54.4048711125749</v>
      </c>
      <c r="AL18" s="100">
        <f>IF($H18=0,0,CHOOSE($H18,SUMPRODUCT($O19:$O$67*AL19:AL$67*($E19:$E$67=$D18)),IF(ISNUMBER(Data_2017!AF18),100*ABS($G18-(Data_2017!AF18-$K18)/$M18),0),IF(ISNUMBER(Data_2017!AF18),100*ABS($G18-(Data_2017!AF18-$K18)/$M18),0)))</f>
        <v>63.5595116955628</v>
      </c>
      <c r="AM18" s="100">
        <f>IF($H18=0,0,CHOOSE($H18,SUMPRODUCT($O19:$O$67*AM19:AM$67*($E19:$E$67=$D18)),IF(ISNUMBER(Data_2017!AG18),100*ABS($G18-(Data_2017!AG18-$K18)/$M18),0),IF(ISNUMBER(Data_2017!AG18),100*ABS($G18-(Data_2017!AG18-$K18)/$M18),0)))</f>
        <v>57.7085752751893</v>
      </c>
      <c r="AN18" s="100">
        <f>IF($H18=0,0,CHOOSE($H18,SUMPRODUCT($O19:$O$67*AN19:AN$67*($E19:$E$67=$D18)),IF(ISNUMBER(Data_2017!AH18),100*ABS($G18-(Data_2017!AH18-$K18)/$M18),0),IF(ISNUMBER(Data_2017!AH18),100*ABS($G18-(Data_2017!AH18-$K18)/$M18),0)))</f>
        <v>39.9212106600053</v>
      </c>
      <c r="AO18" s="100">
        <f>IF($H18=0,0,CHOOSE($H18,SUMPRODUCT($O19:$O$67*AO19:AO$67*($E19:$E$67=$D18)),IF(ISNUMBER(Data_2017!AI18),100*ABS($G18-(Data_2017!AI18-$K18)/$M18),0),IF(ISNUMBER(Data_2017!AI18),100*ABS($G18-(Data_2017!AI18-$K18)/$M18),0)))</f>
        <v>67.1493273990489</v>
      </c>
      <c r="AP18" s="100">
        <f>IF($H18=0,0,CHOOSE($H18,SUMPRODUCT($O19:$O$67*AP19:AP$67*($E19:$E$67=$D18)),IF(ISNUMBER(Data_2017!AJ18),100*ABS($G18-(Data_2017!AJ18-$K18)/$M18),0),IF(ISNUMBER(Data_2017!AJ18),100*ABS($G18-(Data_2017!AJ18-$K18)/$M18),0)))</f>
        <v>63.8103578590452</v>
      </c>
      <c r="AQ18" s="100">
        <f>IF($H18=0,0,CHOOSE($H18,SUMPRODUCT($O19:$O$67*AQ19:AQ$67*($E19:$E$67=$D18)),IF(ISNUMBER(Data_2017!AK18),100*ABS($G18-(Data_2017!AK18-$K18)/$M18),0),IF(ISNUMBER(Data_2017!AK18),100*ABS($G18-(Data_2017!AK18-$K18)/$M18),0)))</f>
        <v>62.4800665576582</v>
      </c>
      <c r="AR18" s="100">
        <f>IF($H18=0,0,CHOOSE($H18,SUMPRODUCT($O19:$O$67*AR19:AR$67*($E19:$E$67=$D18)),IF(ISNUMBER(Data_2017!AL18),100*ABS($G18-(Data_2017!AL18-$K18)/$M18),0),IF(ISNUMBER(Data_2017!AL18),100*ABS($G18-(Data_2017!AL18-$K18)/$M18),0)))</f>
        <v>76.0642876445033</v>
      </c>
      <c r="AS18" s="100">
        <f>IF($H18=0,0,CHOOSE($H18,SUMPRODUCT($O19:$O$67*AS19:AS$67*($E19:$E$67=$D18)),IF(ISNUMBER(Data_2017!AM18),100*ABS($G18-(Data_2017!AM18-$K18)/$M18),0),IF(ISNUMBER(Data_2017!AM18),100*ABS($G18-(Data_2017!AM18-$K18)/$M18),0)))</f>
        <v>72.2636540212726</v>
      </c>
      <c r="AT18" s="100">
        <f>IF($H18=0,0,CHOOSE($H18,SUMPRODUCT($O19:$O$67*AT19:AT$67*($E19:$E$67=$D18)),IF(ISNUMBER(Data_2017!AN18),100*ABS($G18-(Data_2017!AN18-$K18)/$M18),0),IF(ISNUMBER(Data_2017!AN18),100*ABS($G18-(Data_2017!AN18-$K18)/$M18),0)))</f>
        <v>78.6915054456037</v>
      </c>
      <c r="AU18" s="100">
        <f>IF($H18=0,0,CHOOSE($H18,SUMPRODUCT($O19:$O$67*AU19:AU$67*($E19:$E$67=$D18)),IF(ISNUMBER(Data_2017!AO18),100*ABS($G18-(Data_2017!AO18-$K18)/$M18),0),IF(ISNUMBER(Data_2017!AO18),100*ABS($G18-(Data_2017!AO18-$K18)/$M18),0)))</f>
        <v>60.1191675579554</v>
      </c>
      <c r="AV18" s="100">
        <f>IF($H18=0,0,CHOOSE($H18,SUMPRODUCT($O19:$O$67*AV19:AV$67*($E19:$E$67=$D18)),IF(ISNUMBER(Data_2017!AP18),100*ABS($G18-(Data_2017!AP18-$K18)/$M18),0),IF(ISNUMBER(Data_2017!AP18),100*ABS($G18-(Data_2017!AP18-$K18)/$M18),0)))</f>
        <v>81.3391869794216</v>
      </c>
      <c r="AW18" s="100">
        <f>IF($H18=0,0,CHOOSE($H18,SUMPRODUCT($O19:$O$67*AW19:AW$67*($E19:$E$67=$D18)),IF(ISNUMBER(Data_2017!AQ18),100*ABS($G18-(Data_2017!AQ18-$K18)/$M18),0),IF(ISNUMBER(Data_2017!AQ18),100*ABS($G18-(Data_2017!AQ18-$K18)/$M18),0)))</f>
        <v>70.7886932164127</v>
      </c>
      <c r="AX18" s="100">
        <f>IF($H18=0,0,CHOOSE($H18,SUMPRODUCT($O19:$O$67*AX19:AX$67*($E19:$E$67=$D18)),IF(ISNUMBER(Data_2017!AR18),100*ABS($G18-(Data_2017!AR18-$K18)/$M18),0),IF(ISNUMBER(Data_2017!AR18),100*ABS($G18-(Data_2017!AR18-$K18)/$M18),0)))</f>
        <v>76.7221090946216</v>
      </c>
      <c r="AY18" s="100">
        <f>IF($H18=0,0,CHOOSE($H18,SUMPRODUCT($O19:$O$67*AY19:AY$67*($E19:$E$67=$D18)),IF(ISNUMBER(Data_2017!AS18),100*ABS($G18-(Data_2017!AS18-$K18)/$M18),0),IF(ISNUMBER(Data_2017!AS18),100*ABS($G18-(Data_2017!AS18-$K18)/$M18),0)))</f>
        <v>72.5922613624171</v>
      </c>
      <c r="AZ18" s="100">
        <f>IF($H18=0,0,CHOOSE($H18,SUMPRODUCT($O19:$O$67*AZ19:AZ$67*($E19:$E$67=$D18)),IF(ISNUMBER(Data_2017!AT18),100*ABS($G18-(Data_2017!AT18-$K18)/$M18),0),IF(ISNUMBER(Data_2017!AT18),100*ABS($G18-(Data_2017!AT18-$K18)/$M18),0)))</f>
        <v>55.7426683048991</v>
      </c>
      <c r="BA18" s="100">
        <f>IF($H18=0,0,CHOOSE($H18,SUMPRODUCT($O19:$O$67*BA19:BA$67*($E19:$E$67=$D18)),IF(ISNUMBER(Data_2017!AU18),100*ABS($G18-(Data_2017!AU18-$K18)/$M18),0),IF(ISNUMBER(Data_2017!AU18),100*ABS($G18-(Data_2017!AU18-$K18)/$M18),0)))</f>
        <v>69.7300246464941</v>
      </c>
      <c r="BB18" s="100">
        <f>IF($H18=0,0,CHOOSE($H18,SUMPRODUCT($O19:$O$67*BB19:BB$67*($E19:$E$67=$D18)),IF(ISNUMBER(Data_2017!AV18),100*ABS($G18-(Data_2017!AV18-$K18)/$M18),0),IF(ISNUMBER(Data_2017!AV18),100*ABS($G18-(Data_2017!AV18-$K18)/$M18),0)))</f>
        <v>87.1482616413409</v>
      </c>
      <c r="BC18" s="100">
        <f>IF($H18=0,0,CHOOSE($H18,SUMPRODUCT($O19:$O$67*BC19:BC$67*($E19:$E$67=$D18)),IF(ISNUMBER(Data_2017!AW18),100*ABS($G18-(Data_2017!AW18-$K18)/$M18),0),IF(ISNUMBER(Data_2017!AW18),100*ABS($G18-(Data_2017!AW18-$K18)/$M18),0)))</f>
        <v>81.3513942026754</v>
      </c>
      <c r="BD18" s="100">
        <f>IF($H18=0,0,CHOOSE($H18,SUMPRODUCT($O19:$O$67*BD19:BD$67*($E19:$E$67=$D18)),IF(ISNUMBER(Data_2017!AX18),100*ABS($G18-(Data_2017!AX18-$K18)/$M18),0),IF(ISNUMBER(Data_2017!AX18),100*ABS($G18-(Data_2017!AX18-$K18)/$M18),0)))</f>
        <v>57.464131117582</v>
      </c>
      <c r="BE18" s="100">
        <f>IF($H18=0,0,CHOOSE($H18,SUMPRODUCT($O19:$O$67*BE19:BE$67*($E19:$E$67=$D18)),IF(ISNUMBER(Data_2017!AY18),100*ABS($G18-(Data_2017!AY18-$K18)/$M18),0),IF(ISNUMBER(Data_2017!AY18),100*ABS($G18-(Data_2017!AY18-$K18)/$M18),0)))</f>
        <v>64.8041839567064</v>
      </c>
      <c r="BF18" s="100">
        <f>IF($H18=0,0,CHOOSE($H18,SUMPRODUCT($O19:$O$67*BF19:BF$67*($E19:$E$67=$D18)),IF(ISNUMBER(Data_2017!AZ18),100*ABS($G18-(Data_2017!AZ18-$K18)/$M18),0),IF(ISNUMBER(Data_2017!AZ18),100*ABS($G18-(Data_2017!AZ18-$K18)/$M18),0)))</f>
        <v>66.1348096614954</v>
      </c>
      <c r="BG18" s="100">
        <f>IF($H18=0,0,CHOOSE($H18,SUMPRODUCT($O19:$O$67*BG19:BG$67*($E19:$E$67=$D18)),IF(ISNUMBER(Data_2017!BA18),100*ABS($G18-(Data_2017!BA18-$K18)/$M18),0),IF(ISNUMBER(Data_2017!BA18),100*ABS($G18-(Data_2017!BA18-$K18)/$M18),0)))</f>
        <v>76.3781291129955</v>
      </c>
      <c r="BH18" s="100">
        <f>IF($H18=0,0,CHOOSE($H18,SUMPRODUCT($O19:$O$67*BH19:BH$67*($E19:$E$67=$D18)),IF(ISNUMBER(Data_2017!BB18),100*ABS($G18-(Data_2017!BB18-$K18)/$M18),0),IF(ISNUMBER(Data_2017!BB18),100*ABS($G18-(Data_2017!BB18-$K18)/$M18),0)))</f>
        <v>74.1470061961219</v>
      </c>
      <c r="BI18" s="100">
        <f>IF($H18=0,0,CHOOSE($H18,SUMPRODUCT($O19:$O$67*BI19:BI$67*($E19:$E$67=$D18)),IF(ISNUMBER(Data_2017!BC18),100*ABS($G18-(Data_2017!BC18-$K18)/$M18),0),IF(ISNUMBER(Data_2017!BC18),100*ABS($G18-(Data_2017!BC18-$K18)/$M18),0)))</f>
        <v>67.1662319709746</v>
      </c>
      <c r="BJ18" s="100">
        <f>IF($H18=0,0,CHOOSE($H18,SUMPRODUCT($O19:$O$67*BJ19:BJ$67*($E19:$E$67=$D18)),IF(ISNUMBER(Data_2017!BD18),100*ABS($G18-(Data_2017!BD18-$K18)/$M18),0),IF(ISNUMBER(Data_2017!BD18),100*ABS($G18-(Data_2017!BD18-$K18)/$M18),0)))</f>
        <v>63.7395189240267</v>
      </c>
      <c r="BK18" s="100">
        <f>IF($H18=0,0,CHOOSE($H18,SUMPRODUCT($O19:$O$67*BK19:BK$67*($E19:$E$67=$D18)),IF(ISNUMBER(Data_2017!BE18),100*ABS($G18-(Data_2017!BE18-$K18)/$M18),0),IF(ISNUMBER(Data_2017!BE18),100*ABS($G18-(Data_2017!BE18-$K18)/$M18),0)))</f>
        <v>82.7224155922812</v>
      </c>
      <c r="BL18" s="100">
        <f>IF($H18=0,0,CHOOSE($H18,SUMPRODUCT($O19:$O$67*BL19:BL$67*($E19:$E$67=$D18)),IF(ISNUMBER(Data_2017!BF18),100*ABS($G18-(Data_2017!BF18-$K18)/$M18),0),IF(ISNUMBER(Data_2017!BF18),100*ABS($G18-(Data_2017!BF18-$K18)/$M18),0)))</f>
        <v>69.9217059101635</v>
      </c>
      <c r="BM18" s="100">
        <f>IF($H18=0,0,CHOOSE($H18,SUMPRODUCT($O19:$O$67*BM19:BM$67*($E19:$E$67=$D18)),IF(ISNUMBER(Data_2017!BG18),100*ABS($G18-(Data_2017!BG18-$K18)/$M18),0),IF(ISNUMBER(Data_2017!BG18),100*ABS($G18-(Data_2017!BG18-$K18)/$M18),0)))</f>
        <v>79.7204264778452</v>
      </c>
      <c r="BN18" s="100">
        <f>IF($H18=0,0,CHOOSE($H18,SUMPRODUCT($O19:$O$67*BN19:BN$67*($E19:$E$67=$D18)),IF(ISNUMBER(Data_2017!BH18),100*ABS($G18-(Data_2017!BH18-$K18)/$M18),0),IF(ISNUMBER(Data_2017!BH18),100*ABS($G18-(Data_2017!BH18-$K18)/$M18),0)))</f>
        <v>79.9430805624143</v>
      </c>
      <c r="BO18" s="100">
        <f>IF($H18=0,0,CHOOSE($H18,SUMPRODUCT($O19:$O$67*BO19:BO$67*($E19:$E$67=$D18)),IF(ISNUMBER(Data_2017!BI18),100*ABS($G18-(Data_2017!BI18-$K18)/$M18),0),IF(ISNUMBER(Data_2017!BI18),100*ABS($G18-(Data_2017!BI18-$K18)/$M18),0)))</f>
        <v>81.7986033130295</v>
      </c>
      <c r="BP18" s="100">
        <f>IF($H18=0,0,CHOOSE($H18,SUMPRODUCT($O19:$O$67*BP19:BP$67*($E19:$E$67=$D18)),IF(ISNUMBER(Data_2017!BJ18),100*ABS($G18-(Data_2017!BJ18-$K18)/$M18),0),IF(ISNUMBER(Data_2017!BJ18),100*ABS($G18-(Data_2017!BJ18-$K18)/$M18),0)))</f>
        <v>79.2262317869643</v>
      </c>
      <c r="BQ18" s="100">
        <f>IF($H18=0,0,CHOOSE($H18,SUMPRODUCT($O19:$O$67*BQ19:BQ$67*($E19:$E$67=$D18)),IF(ISNUMBER(Data_2017!BK18),100*ABS($G18-(Data_2017!BK18-$K18)/$M18),0),IF(ISNUMBER(Data_2017!BK18),100*ABS($G18-(Data_2017!BK18-$K18)/$M18),0)))</f>
        <v>62.962229439847</v>
      </c>
      <c r="BR18" s="100">
        <f>IF($H18=0,0,CHOOSE($H18,SUMPRODUCT($O19:$O$67*BR19:BR$67*($E19:$E$67=$D18)),IF(ISNUMBER(Data_2017!BL18),100*ABS($G18-(Data_2017!BL18-$K18)/$M18),0),IF(ISNUMBER(Data_2017!BL18),100*ABS($G18-(Data_2017!BL18-$K18)/$M18),0)))</f>
        <v>85.6254192700744</v>
      </c>
      <c r="BS18" s="100">
        <f>IF($H18=0,0,CHOOSE($H18,SUMPRODUCT($O19:$O$67*BS19:BS$67*($E19:$E$67=$D18)),IF(ISNUMBER(Data_2017!BM18),100*ABS($G18-(Data_2017!BM18-$K18)/$M18),0),IF(ISNUMBER(Data_2017!BM18),100*ABS($G18-(Data_2017!BM18-$K18)/$M18),0)))</f>
        <v>79.8359516843624</v>
      </c>
      <c r="BT18" s="100">
        <f>IF($H18=0,0,CHOOSE($H18,SUMPRODUCT($O19:$O$67*BT19:BT$67*($E19:$E$67=$D18)),IF(ISNUMBER(Data_2017!BN18),100*ABS($G18-(Data_2017!BN18-$K18)/$M18),0),IF(ISNUMBER(Data_2017!BN18),100*ABS($G18-(Data_2017!BN18-$K18)/$M18),0)))</f>
        <v>73.3784180107914</v>
      </c>
      <c r="BU18" s="100">
        <f>IF($H18=0,0,CHOOSE($H18,SUMPRODUCT($O19:$O$67*BU19:BU$67*($E19:$E$67=$D18)),IF(ISNUMBER(Data_2017!BO18),100*ABS($G18-(Data_2017!BO18-$K18)/$M18),0),IF(ISNUMBER(Data_2017!BO18),100*ABS($G18-(Data_2017!BO18-$K18)/$M18),0)))</f>
        <v>69.5127604898796</v>
      </c>
      <c r="BV18" s="100">
        <f>IF($H18=0,0,CHOOSE($H18,SUMPRODUCT($O19:$O$67*BV19:BV$67*($E19:$E$67=$D18)),IF(ISNUMBER(Data_2017!BP18),100*ABS($G18-(Data_2017!BP18-$K18)/$M18),0),IF(ISNUMBER(Data_2017!BP18),100*ABS($G18-(Data_2017!BP18-$K18)/$M18),0)))</f>
        <v>45.7892310322449</v>
      </c>
      <c r="BW18" s="100">
        <f>IF($H18=0,0,CHOOSE($H18,SUMPRODUCT($O19:$O$67*BW19:BW$67*($E19:$E$67=$D18)),IF(ISNUMBER(Data_2017!BQ18),100*ABS($G18-(Data_2017!BQ18-$K18)/$M18),0),IF(ISNUMBER(Data_2017!BQ18),100*ABS($G18-(Data_2017!BQ18-$K18)/$M18),0)))</f>
        <v>83.3857572780462</v>
      </c>
      <c r="BX18" s="100">
        <f>IF($H18=0,0,CHOOSE($H18,SUMPRODUCT($O19:$O$67*BX19:BX$67*($E19:$E$67=$D18)),IF(ISNUMBER(Data_2017!BR18),100*ABS($G18-(Data_2017!BR18-$K18)/$M18),0),IF(ISNUMBER(Data_2017!BR18),100*ABS($G18-(Data_2017!BR18-$K18)/$M18),0)))</f>
        <v>89.5165886212333</v>
      </c>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row>
    <row r="19" s="69" customFormat="1" ht="24.95" customHeight="1" spans="1:130">
      <c r="A19" s="92"/>
      <c r="B19" s="92">
        <f>tblIndicators!A15</f>
        <v>14</v>
      </c>
      <c r="C19" s="92">
        <f>tblIndicators!B15</f>
        <v>0</v>
      </c>
      <c r="D19" s="92" t="str">
        <f>tblIndicators!D15</f>
        <v>HESE2.1</v>
      </c>
      <c r="E19" s="92" t="str">
        <f>tblIndicators!E15</f>
        <v>HESE</v>
      </c>
      <c r="F19" s="92">
        <f>tblIndicators!F15</f>
        <v>2</v>
      </c>
      <c r="G19" s="92" t="str">
        <f>tblIndicators!Y15</f>
        <v/>
      </c>
      <c r="H19" s="92">
        <f>tblIndicators!Z15</f>
        <v>1</v>
      </c>
      <c r="I19" s="104">
        <f>tblIndicators!AA15</f>
        <v>0</v>
      </c>
      <c r="J19" s="92">
        <f>tblIndicators!AB15</f>
        <v>0</v>
      </c>
      <c r="K19" s="89" t="str">
        <f>IF(uxb_works!$B$66=1,CHOOSE(H19,"-",MIN(Data_2017!J19:BR19),I19),CHOOSE(H19,"-",MIN(Data_2017!J19:BQ19),I19))</f>
        <v>-</v>
      </c>
      <c r="L19" s="97" t="str">
        <f>IF(uxb_works!$B$66=1,CHOOSE(H19,"-",MAX(Data_2017!J19:BR19),J19),CHOOSE(H19,"-",MAX(Data_2017!J19:BQ19),J19))</f>
        <v>-</v>
      </c>
      <c r="M19" s="92" t="str">
        <f t="shared" si="1"/>
        <v>-</v>
      </c>
      <c r="N19" s="105" t="str">
        <f>REPT(" ",F19)&amp;tblIndicators!AE15</f>
        <v>  2.1) Health security (Inputs)</v>
      </c>
      <c r="O19" s="106">
        <f>tblIndicators!AD15</f>
        <v>0.5</v>
      </c>
      <c r="P19" s="100">
        <f>IF($H19=0,0,CHOOSE($H19,SUMPRODUCT($O20:$O$67*P20:P$67*($E20:$E$67=$D19)),IF(ISNUMBER(Data_2017!J19),100*ABS($G19-(Data_2017!J19-$K19)/$M19),0),IF(ISNUMBER(Data_2017!J19),100*ABS($G19-(Data_2017!J19-$K19)/$M19),0)))</f>
        <v>55.909058022829</v>
      </c>
      <c r="Q19" s="100">
        <f>IF($H19=0,0,CHOOSE($H19,SUMPRODUCT($O20:$O$67*Q20:Q$67*($E20:$E$67=$D19)),IF(ISNUMBER(Data_2017!K19),100*ABS($G19-(Data_2017!K19-$K19)/$M19),0),IF(ISNUMBER(Data_2017!K19),100*ABS($G19-(Data_2017!K19-$K19)/$M19),0)))</f>
        <v>78.9490953407521</v>
      </c>
      <c r="R19" s="100">
        <f>IF($H19=0,0,CHOOSE($H19,SUMPRODUCT($O20:$O$67*R20:R$67*($E20:$E$67=$D19)),IF(ISNUMBER(Data_2017!L19),100*ABS($G19-(Data_2017!L19-$K19)/$M19),0),IF(ISNUMBER(Data_2017!L19),100*ABS($G19-(Data_2017!L19-$K19)/$M19),0)))</f>
        <v>64.9250190551349</v>
      </c>
      <c r="S19" s="100">
        <f>IF($H19=0,0,CHOOSE($H19,SUMPRODUCT($O20:$O$67*S20:S$67*($E20:$E$67=$D19)),IF(ISNUMBER(Data_2017!M19),100*ABS($G19-(Data_2017!M19-$K19)/$M19),0),IF(ISNUMBER(Data_2017!M19),100*ABS($G19-(Data_2017!M19-$K19)/$M19),0)))</f>
        <v>55.2751432727975</v>
      </c>
      <c r="T19" s="100">
        <f>IF($H19=0,0,CHOOSE($H19,SUMPRODUCT($O20:$O$67*T20:T$67*($E20:$E$67=$D19)),IF(ISNUMBER(Data_2017!N19),100*ABS($G19-(Data_2017!N19-$K19)/$M19),0),IF(ISNUMBER(Data_2017!N19),100*ABS($G19-(Data_2017!N19-$K19)/$M19),0)))</f>
        <v>73.8594227662136</v>
      </c>
      <c r="U19" s="100">
        <f>IF($H19=0,0,CHOOSE($H19,SUMPRODUCT($O20:$O$67*U20:U$67*($E20:$E$67=$D19)),IF(ISNUMBER(Data_2017!O19),100*ABS($G19-(Data_2017!O19-$K19)/$M19),0),IF(ISNUMBER(Data_2017!O19),100*ABS($G19-(Data_2017!O19-$K19)/$M19),0)))</f>
        <v>69.4909260892918</v>
      </c>
      <c r="V19" s="100">
        <f>IF($H19=0,0,CHOOSE($H19,SUMPRODUCT($O20:$O$67*V20:V$67*($E20:$E$67=$D19)),IF(ISNUMBER(Data_2017!P19),100*ABS($G19-(Data_2017!P19-$K19)/$M19),0),IF(ISNUMBER(Data_2017!P19),100*ABS($G19-(Data_2017!P19-$K19)/$M19),0)))</f>
        <v>53.2468341093019</v>
      </c>
      <c r="W19" s="100">
        <f>IF($H19=0,0,CHOOSE($H19,SUMPRODUCT($O20:$O$67*W20:W$67*($E20:$E$67=$D19)),IF(ISNUMBER(Data_2017!Q19),100*ABS($G19-(Data_2017!Q19-$K19)/$M19),0),IF(ISNUMBER(Data_2017!Q19),100*ABS($G19-(Data_2017!Q19-$K19)/$M19),0)))</f>
        <v>80.6628407448346</v>
      </c>
      <c r="X19" s="100">
        <f>IF($H19=0,0,CHOOSE($H19,SUMPRODUCT($O20:$O$67*X20:X$67*($E20:$E$67=$D19)),IF(ISNUMBER(Data_2017!R19),100*ABS($G19-(Data_2017!R19-$K19)/$M19),0),IF(ISNUMBER(Data_2017!R19),100*ABS($G19-(Data_2017!R19-$K19)/$M19),0)))</f>
        <v>73.199281005837</v>
      </c>
      <c r="Y19" s="100">
        <f>IF($H19=0,0,CHOOSE($H19,SUMPRODUCT($O20:$O$67*Y20:Y$67*($E20:$E$67=$D19)),IF(ISNUMBER(Data_2017!S19),100*ABS($G19-(Data_2017!S19-$K19)/$M19),0),IF(ISNUMBER(Data_2017!S19),100*ABS($G19-(Data_2017!S19-$K19)/$M19),0)))</f>
        <v>42.3683923150598</v>
      </c>
      <c r="Z19" s="100">
        <f>IF($H19=0,0,CHOOSE($H19,SUMPRODUCT($O20:$O$67*Z20:Z$67*($E20:$E$67=$D19)),IF(ISNUMBER(Data_2017!T19),100*ABS($G19-(Data_2017!T19-$K19)/$M19),0),IF(ISNUMBER(Data_2017!T19),100*ABS($G19-(Data_2017!T19-$K19)/$M19),0)))</f>
        <v>39.2820646609329</v>
      </c>
      <c r="AA19" s="100">
        <f>IF($H19=0,0,CHOOSE($H19,SUMPRODUCT($O20:$O$67*AA20:AA$67*($E20:$E$67=$D19)),IF(ISNUMBER(Data_2017!U19),100*ABS($G19-(Data_2017!U19-$K19)/$M19),0),IF(ISNUMBER(Data_2017!U19),100*ABS($G19-(Data_2017!U19-$K19)/$M19),0)))</f>
        <v>43.2719596563894</v>
      </c>
      <c r="AB19" s="100">
        <f>IF($H19=0,0,CHOOSE($H19,SUMPRODUCT($O20:$O$67*AB20:AB$67*($E20:$E$67=$D19)),IF(ISNUMBER(Data_2017!V19),100*ABS($G19-(Data_2017!V19-$K19)/$M19),0),IF(ISNUMBER(Data_2017!V19),100*ABS($G19-(Data_2017!V19-$K19)/$M19),0)))</f>
        <v>70.1642895040257</v>
      </c>
      <c r="AC19" s="100">
        <f>IF($H19=0,0,CHOOSE($H19,SUMPRODUCT($O20:$O$67*AC20:AC$67*($E20:$E$67=$D19)),IF(ISNUMBER(Data_2017!W19),100*ABS($G19-(Data_2017!W19-$K19)/$M19),0),IF(ISNUMBER(Data_2017!W19),100*ABS($G19-(Data_2017!W19-$K19)/$M19),0)))</f>
        <v>64.8946930166738</v>
      </c>
      <c r="AD19" s="100">
        <f>IF($H19=0,0,CHOOSE($H19,SUMPRODUCT($O20:$O$67*AD20:AD$67*($E20:$E$67=$D19)),IF(ISNUMBER(Data_2017!X19),100*ABS($G19-(Data_2017!X19-$K19)/$M19),0),IF(ISNUMBER(Data_2017!X19),100*ABS($G19-(Data_2017!X19-$K19)/$M19),0)))</f>
        <v>57.2648415184866</v>
      </c>
      <c r="AE19" s="100">
        <f>IF($H19=0,0,CHOOSE($H19,SUMPRODUCT($O20:$O$67*AE20:AE$67*($E20:$E$67=$D19)),IF(ISNUMBER(Data_2017!Y19),100*ABS($G19-(Data_2017!Y19-$K19)/$M19),0),IF(ISNUMBER(Data_2017!Y19),100*ABS($G19-(Data_2017!Y19-$K19)/$M19),0)))</f>
        <v>28.6196079891908</v>
      </c>
      <c r="AF19" s="100">
        <f>IF($H19=0,0,CHOOSE($H19,SUMPRODUCT($O20:$O$67*AF20:AF$67*($E20:$E$67=$D19)),IF(ISNUMBER(Data_2017!Z19),100*ABS($G19-(Data_2017!Z19-$K19)/$M19),0),IF(ISNUMBER(Data_2017!Z19),100*ABS($G19-(Data_2017!Z19-$K19)/$M19),0)))</f>
        <v>50.1266823396416</v>
      </c>
      <c r="AG19" s="100">
        <f>IF($H19=0,0,CHOOSE($H19,SUMPRODUCT($O20:$O$67*AG20:AG$67*($E20:$E$67=$D19)),IF(ISNUMBER(Data_2017!AA19),100*ABS($G19-(Data_2017!AA19-$K19)/$M19),0),IF(ISNUMBER(Data_2017!AA19),100*ABS($G19-(Data_2017!AA19-$K19)/$M19),0)))</f>
        <v>84.1613461233051</v>
      </c>
      <c r="AH19" s="100">
        <f>IF($H19=0,0,CHOOSE($H19,SUMPRODUCT($O20:$O$67*AH20:AH$67*($E20:$E$67=$D19)),IF(ISNUMBER(Data_2017!AB19),100*ABS($G19-(Data_2017!AB19-$K19)/$M19),0),IF(ISNUMBER(Data_2017!AB19),100*ABS($G19-(Data_2017!AB19-$K19)/$M19),0)))</f>
        <v>47.7723947866165</v>
      </c>
      <c r="AI19" s="100">
        <f>IF($H19=0,0,CHOOSE($H19,SUMPRODUCT($O20:$O$67*AI20:AI$67*($E20:$E$67=$D19)),IF(ISNUMBER(Data_2017!AC19),100*ABS($G19-(Data_2017!AC19-$K19)/$M19),0),IF(ISNUMBER(Data_2017!AC19),100*ABS($G19-(Data_2017!AC19-$K19)/$M19),0)))</f>
        <v>72.8916040804561</v>
      </c>
      <c r="AJ19" s="100">
        <f>IF($H19=0,0,CHOOSE($H19,SUMPRODUCT($O20:$O$67*AJ20:AJ$67*($E20:$E$67=$D19)),IF(ISNUMBER(Data_2017!AD19),100*ABS($G19-(Data_2017!AD19-$K19)/$M19),0),IF(ISNUMBER(Data_2017!AD19),100*ABS($G19-(Data_2017!AD19-$K19)/$M19),0)))</f>
        <v>53.4329949341218</v>
      </c>
      <c r="AK19" s="100">
        <f>IF($H19=0,0,CHOOSE($H19,SUMPRODUCT($O20:$O$67*AK20:AK$67*($E20:$E$67=$D19)),IF(ISNUMBER(Data_2017!AE19),100*ABS($G19-(Data_2017!AE19-$K19)/$M19),0),IF(ISNUMBER(Data_2017!AE19),100*ABS($G19-(Data_2017!AE19-$K19)/$M19),0)))</f>
        <v>39.7552494248035</v>
      </c>
      <c r="AL19" s="100">
        <f>IF($H19=0,0,CHOOSE($H19,SUMPRODUCT($O20:$O$67*AL20:AL$67*($E20:$E$67=$D19)),IF(ISNUMBER(Data_2017!AF19),100*ABS($G19-(Data_2017!AF19-$K19)/$M19),0),IF(ISNUMBER(Data_2017!AF19),100*ABS($G19-(Data_2017!AF19-$K19)/$M19),0)))</f>
        <v>50.2155614882312</v>
      </c>
      <c r="AM19" s="100">
        <f>IF($H19=0,0,CHOOSE($H19,SUMPRODUCT($O20:$O$67*AM20:AM$67*($E20:$E$67=$D19)),IF(ISNUMBER(Data_2017!AG19),100*ABS($G19-(Data_2017!AG19-$K19)/$M19),0),IF(ISNUMBER(Data_2017!AG19),100*ABS($G19-(Data_2017!AG19-$K19)/$M19),0)))</f>
        <v>56.1681196644119</v>
      </c>
      <c r="AN19" s="100">
        <f>IF($H19=0,0,CHOOSE($H19,SUMPRODUCT($O20:$O$67*AN20:AN$67*($E20:$E$67=$D19)),IF(ISNUMBER(Data_2017!AH19),100*ABS($G19-(Data_2017!AH19-$K19)/$M19),0),IF(ISNUMBER(Data_2017!AH19),100*ABS($G19-(Data_2017!AH19-$K19)/$M19),0)))</f>
        <v>31.691486179433</v>
      </c>
      <c r="AO19" s="100">
        <f>IF($H19=0,0,CHOOSE($H19,SUMPRODUCT($O20:$O$67*AO20:AO$67*($E20:$E$67=$D19)),IF(ISNUMBER(Data_2017!AI19),100*ABS($G19-(Data_2017!AI19-$K19)/$M19),0),IF(ISNUMBER(Data_2017!AI19),100*ABS($G19-(Data_2017!AI19-$K19)/$M19),0)))</f>
        <v>54.1709826029143</v>
      </c>
      <c r="AP19" s="100">
        <f>IF($H19=0,0,CHOOSE($H19,SUMPRODUCT($O20:$O$67*AP20:AP$67*($E20:$E$67=$D19)),IF(ISNUMBER(Data_2017!AJ19),100*ABS($G19-(Data_2017!AJ19-$K19)/$M19),0),IF(ISNUMBER(Data_2017!AJ19),100*ABS($G19-(Data_2017!AJ19-$K19)/$M19),0)))</f>
        <v>50.8562276538544</v>
      </c>
      <c r="AQ19" s="100">
        <f>IF($H19=0,0,CHOOSE($H19,SUMPRODUCT($O20:$O$67*AQ20:AQ$67*($E20:$E$67=$D19)),IF(ISNUMBER(Data_2017!AK19),100*ABS($G19-(Data_2017!AK19-$K19)/$M19),0),IF(ISNUMBER(Data_2017!AK19),100*ABS($G19-(Data_2017!AK19-$K19)/$M19),0)))</f>
        <v>55.056674171826</v>
      </c>
      <c r="AR19" s="100">
        <f>IF($H19=0,0,CHOOSE($H19,SUMPRODUCT($O20:$O$67*AR20:AR$67*($E20:$E$67=$D19)),IF(ISNUMBER(Data_2017!AL19),100*ABS($G19-(Data_2017!AL19-$K19)/$M19),0),IF(ISNUMBER(Data_2017!AL19),100*ABS($G19-(Data_2017!AL19-$K19)/$M19),0)))</f>
        <v>68.7409713070388</v>
      </c>
      <c r="AS19" s="100">
        <f>IF($H19=0,0,CHOOSE($H19,SUMPRODUCT($O20:$O$67*AS20:AS$67*($E20:$E$67=$D19)),IF(ISNUMBER(Data_2017!AM19),100*ABS($G19-(Data_2017!AM19-$K19)/$M19),0),IF(ISNUMBER(Data_2017!AM19),100*ABS($G19-(Data_2017!AM19-$K19)/$M19),0)))</f>
        <v>69.7943190328006</v>
      </c>
      <c r="AT19" s="100">
        <f>IF($H19=0,0,CHOOSE($H19,SUMPRODUCT($O20:$O$67*AT20:AT$67*($E20:$E$67=$D19)),IF(ISNUMBER(Data_2017!AN19),100*ABS($G19-(Data_2017!AN19-$K19)/$M19),0),IF(ISNUMBER(Data_2017!AN19),100*ABS($G19-(Data_2017!AN19-$K19)/$M19),0)))</f>
        <v>71.7760894328803</v>
      </c>
      <c r="AU19" s="100">
        <f>IF($H19=0,0,CHOOSE($H19,SUMPRODUCT($O20:$O$67*AU20:AU$67*($E20:$E$67=$D19)),IF(ISNUMBER(Data_2017!AO19),100*ABS($G19-(Data_2017!AO19-$K19)/$M19),0),IF(ISNUMBER(Data_2017!AO19),100*ABS($G19-(Data_2017!AO19-$K19)/$M19),0)))</f>
        <v>45.8735524568811</v>
      </c>
      <c r="AV19" s="100">
        <f>IF($H19=0,0,CHOOSE($H19,SUMPRODUCT($O20:$O$67*AV20:AV$67*($E20:$E$67=$D19)),IF(ISNUMBER(Data_2017!AP19),100*ABS($G19-(Data_2017!AP19-$K19)/$M19),0),IF(ISNUMBER(Data_2017!AP19),100*ABS($G19-(Data_2017!AP19-$K19)/$M19),0)))</f>
        <v>75.1781169234014</v>
      </c>
      <c r="AW19" s="100">
        <f>IF($H19=0,0,CHOOSE($H19,SUMPRODUCT($O20:$O$67*AW20:AW$67*($E20:$E$67=$D19)),IF(ISNUMBER(Data_2017!AQ19),100*ABS($G19-(Data_2017!AQ19-$K19)/$M19),0),IF(ISNUMBER(Data_2017!AQ19),100*ABS($G19-(Data_2017!AQ19-$K19)/$M19),0)))</f>
        <v>58.9227066230165</v>
      </c>
      <c r="AX19" s="100">
        <f>IF($H19=0,0,CHOOSE($H19,SUMPRODUCT($O20:$O$67*AX20:AX$67*($E20:$E$67=$D19)),IF(ISNUMBER(Data_2017!AR19),100*ABS($G19-(Data_2017!AR19-$K19)/$M19),0),IF(ISNUMBER(Data_2017!AR19),100*ABS($G19-(Data_2017!AR19-$K19)/$M19),0)))</f>
        <v>70.7468664432695</v>
      </c>
      <c r="AY19" s="100">
        <f>IF($H19=0,0,CHOOSE($H19,SUMPRODUCT($O20:$O$67*AY20:AY$67*($E20:$E$67=$D19)),IF(ISNUMBER(Data_2017!AS19),100*ABS($G19-(Data_2017!AS19-$K19)/$M19),0),IF(ISNUMBER(Data_2017!AS19),100*ABS($G19-(Data_2017!AS19-$K19)/$M19),0)))</f>
        <v>74.0238227958988</v>
      </c>
      <c r="AZ19" s="100">
        <f>IF($H19=0,0,CHOOSE($H19,SUMPRODUCT($O20:$O$67*AZ20:AZ$67*($E20:$E$67=$D19)),IF(ISNUMBER(Data_2017!AT19),100*ABS($G19-(Data_2017!AT19-$K19)/$M19),0),IF(ISNUMBER(Data_2017!AT19),100*ABS($G19-(Data_2017!AT19-$K19)/$M19),0)))</f>
        <v>45.3321028271603</v>
      </c>
      <c r="BA19" s="100">
        <f>IF($H19=0,0,CHOOSE($H19,SUMPRODUCT($O20:$O$67*BA20:BA$67*($E20:$E$67=$D19)),IF(ISNUMBER(Data_2017!AU19),100*ABS($G19-(Data_2017!AU19-$K19)/$M19),0),IF(ISNUMBER(Data_2017!AU19),100*ABS($G19-(Data_2017!AU19-$K19)/$M19),0)))</f>
        <v>72.8691930212223</v>
      </c>
      <c r="BB19" s="100">
        <f>IF($H19=0,0,CHOOSE($H19,SUMPRODUCT($O20:$O$67*BB20:BB$67*($E20:$E$67=$D19)),IF(ISNUMBER(Data_2017!AV19),100*ABS($G19-(Data_2017!AV19-$K19)/$M19),0),IF(ISNUMBER(Data_2017!AV19),100*ABS($G19-(Data_2017!AV19-$K19)/$M19),0)))</f>
        <v>86.898317982776</v>
      </c>
      <c r="BC19" s="100">
        <f>IF($H19=0,0,CHOOSE($H19,SUMPRODUCT($O20:$O$67*BC20:BC$67*($E20:$E$67=$D19)),IF(ISNUMBER(Data_2017!AW19),100*ABS($G19-(Data_2017!AW19-$K19)/$M19),0),IF(ISNUMBER(Data_2017!AW19),100*ABS($G19-(Data_2017!AW19-$K19)/$M19),0)))</f>
        <v>81.0396404923111</v>
      </c>
      <c r="BD19" s="100">
        <f>IF($H19=0,0,CHOOSE($H19,SUMPRODUCT($O20:$O$67*BD20:BD$67*($E20:$E$67=$D19)),IF(ISNUMBER(Data_2017!AX19),100*ABS($G19-(Data_2017!AX19-$K19)/$M19),0),IF(ISNUMBER(Data_2017!AX19),100*ABS($G19-(Data_2017!AX19-$K19)/$M19),0)))</f>
        <v>39.9681840680895</v>
      </c>
      <c r="BE19" s="100">
        <f>IF($H19=0,0,CHOOSE($H19,SUMPRODUCT($O20:$O$67*BE20:BE$67*($E20:$E$67=$D19)),IF(ISNUMBER(Data_2017!AY19),100*ABS($G19-(Data_2017!AY19-$K19)/$M19),0),IF(ISNUMBER(Data_2017!AY19),100*ABS($G19-(Data_2017!AY19-$K19)/$M19),0)))</f>
        <v>55.4654213174176</v>
      </c>
      <c r="BF19" s="100">
        <f>IF($H19=0,0,CHOOSE($H19,SUMPRODUCT($O20:$O$67*BF20:BF$67*($E20:$E$67=$D19)),IF(ISNUMBER(Data_2017!AZ19),100*ABS($G19-(Data_2017!AZ19-$K19)/$M19),0),IF(ISNUMBER(Data_2017!AZ19),100*ABS($G19-(Data_2017!AZ19-$K19)/$M19),0)))</f>
        <v>51.4107841184679</v>
      </c>
      <c r="BG19" s="100">
        <f>IF($H19=0,0,CHOOSE($H19,SUMPRODUCT($O20:$O$67*BG20:BG$67*($E20:$E$67=$D19)),IF(ISNUMBER(Data_2017!BA19),100*ABS($G19-(Data_2017!BA19-$K19)/$M19),0),IF(ISNUMBER(Data_2017!BA19),100*ABS($G19-(Data_2017!BA19-$K19)/$M19),0)))</f>
        <v>68.4212850479207</v>
      </c>
      <c r="BH19" s="100">
        <f>IF($H19=0,0,CHOOSE($H19,SUMPRODUCT($O20:$O$67*BH20:BH$67*($E20:$E$67=$D19)),IF(ISNUMBER(Data_2017!BB19),100*ABS($G19-(Data_2017!BB19-$K19)/$M19),0),IF(ISNUMBER(Data_2017!BB19),100*ABS($G19-(Data_2017!BB19-$K19)/$M19),0)))</f>
        <v>69.019125234351</v>
      </c>
      <c r="BI19" s="100">
        <f>IF($H19=0,0,CHOOSE($H19,SUMPRODUCT($O20:$O$67*BI20:BI$67*($E20:$E$67=$D19)),IF(ISNUMBER(Data_2017!BC19),100*ABS($G19-(Data_2017!BC19-$K19)/$M19),0),IF(ISNUMBER(Data_2017!BC19),100*ABS($G19-(Data_2017!BC19-$K19)/$M19),0)))</f>
        <v>52.8502114247849</v>
      </c>
      <c r="BJ19" s="100">
        <f>IF($H19=0,0,CHOOSE($H19,SUMPRODUCT($O20:$O$67*BJ20:BJ$67*($E20:$E$67=$D19)),IF(ISNUMBER(Data_2017!BD19),100*ABS($G19-(Data_2017!BD19-$K19)/$M19),0),IF(ISNUMBER(Data_2017!BD19),100*ABS($G19-(Data_2017!BD19-$K19)/$M19),0)))</f>
        <v>56.5765324285288</v>
      </c>
      <c r="BK19" s="100">
        <f>IF($H19=0,0,CHOOSE($H19,SUMPRODUCT($O20:$O$67*BK20:BK$67*($E20:$E$67=$D19)),IF(ISNUMBER(Data_2017!BE19),100*ABS($G19-(Data_2017!BE19-$K19)/$M19),0),IF(ISNUMBER(Data_2017!BE19),100*ABS($G19-(Data_2017!BE19-$K19)/$M19),0)))</f>
        <v>80.3904175006326</v>
      </c>
      <c r="BL19" s="100">
        <f>IF($H19=0,0,CHOOSE($H19,SUMPRODUCT($O20:$O$67*BL20:BL$67*($E20:$E$67=$D19)),IF(ISNUMBER(Data_2017!BF19),100*ABS($G19-(Data_2017!BF19-$K19)/$M19),0),IF(ISNUMBER(Data_2017!BF19),100*ABS($G19-(Data_2017!BF19-$K19)/$M19),0)))</f>
        <v>66.3188159299108</v>
      </c>
      <c r="BM19" s="100">
        <f>IF($H19=0,0,CHOOSE($H19,SUMPRODUCT($O20:$O$67*BM20:BM$67*($E20:$E$67=$D19)),IF(ISNUMBER(Data_2017!BG19),100*ABS($G19-(Data_2017!BG19-$K19)/$M19),0),IF(ISNUMBER(Data_2017!BG19),100*ABS($G19-(Data_2017!BG19-$K19)/$M19),0)))</f>
        <v>71.2263225473796</v>
      </c>
      <c r="BN19" s="100">
        <f>IF($H19=0,0,CHOOSE($H19,SUMPRODUCT($O20:$O$67*BN20:BN$67*($E20:$E$67=$D19)),IF(ISNUMBER(Data_2017!BH19),100*ABS($G19-(Data_2017!BH19-$K19)/$M19),0),IF(ISNUMBER(Data_2017!BH19),100*ABS($G19-(Data_2017!BH19-$K19)/$M19),0)))</f>
        <v>71.4680335960549</v>
      </c>
      <c r="BO19" s="100">
        <f>IF($H19=0,0,CHOOSE($H19,SUMPRODUCT($O20:$O$67*BO20:BO$67*($E20:$E$67=$D19)),IF(ISNUMBER(Data_2017!BI19),100*ABS($G19-(Data_2017!BI19-$K19)/$M19),0),IF(ISNUMBER(Data_2017!BI19),100*ABS($G19-(Data_2017!BI19-$K19)/$M19),0)))</f>
        <v>75.953310721851</v>
      </c>
      <c r="BP19" s="100">
        <f>IF($H19=0,0,CHOOSE($H19,SUMPRODUCT($O20:$O$67*BP20:BP$67*($E20:$E$67=$D19)),IF(ISNUMBER(Data_2017!BJ19),100*ABS($G19-(Data_2017!BJ19-$K19)/$M19),0),IF(ISNUMBER(Data_2017!BJ19),100*ABS($G19-(Data_2017!BJ19-$K19)/$M19),0)))</f>
        <v>76.2388327805633</v>
      </c>
      <c r="BQ19" s="100">
        <f>IF($H19=0,0,CHOOSE($H19,SUMPRODUCT($O20:$O$67*BQ20:BQ$67*($E20:$E$67=$D19)),IF(ISNUMBER(Data_2017!BK19),100*ABS($G19-(Data_2017!BK19-$K19)/$M19),0),IF(ISNUMBER(Data_2017!BK19),100*ABS($G19-(Data_2017!BK19-$K19)/$M19),0)))</f>
        <v>48.7357546453666</v>
      </c>
      <c r="BR19" s="100">
        <f>IF($H19=0,0,CHOOSE($H19,SUMPRODUCT($O20:$O$67*BR20:BR$67*($E20:$E$67=$D19)),IF(ISNUMBER(Data_2017!BL19),100*ABS($G19-(Data_2017!BL19-$K19)/$M19),0),IF(ISNUMBER(Data_2017!BL19),100*ABS($G19-(Data_2017!BL19-$K19)/$M19),0)))</f>
        <v>83.362633240243</v>
      </c>
      <c r="BS19" s="100">
        <f>IF($H19=0,0,CHOOSE($H19,SUMPRODUCT($O20:$O$67*BS20:BS$67*($E20:$E$67=$D19)),IF(ISNUMBER(Data_2017!BM19),100*ABS($G19-(Data_2017!BM19-$K19)/$M19),0),IF(ISNUMBER(Data_2017!BM19),100*ABS($G19-(Data_2017!BM19-$K19)/$M19),0)))</f>
        <v>74.0143932141794</v>
      </c>
      <c r="BT19" s="100">
        <f>IF($H19=0,0,CHOOSE($H19,SUMPRODUCT($O20:$O$67*BT20:BT$67*($E20:$E$67=$D19)),IF(ISNUMBER(Data_2017!BN19),100*ABS($G19-(Data_2017!BN19-$K19)/$M19),0),IF(ISNUMBER(Data_2017!BN19),100*ABS($G19-(Data_2017!BN19-$K19)/$M19),0)))</f>
        <v>82.2262611235088</v>
      </c>
      <c r="BU19" s="100">
        <f>IF($H19=0,0,CHOOSE($H19,SUMPRODUCT($O20:$O$67*BU20:BU$67*($E20:$E$67=$D19)),IF(ISNUMBER(Data_2017!BO19),100*ABS($G19-(Data_2017!BO19-$K19)/$M19),0),IF(ISNUMBER(Data_2017!BO19),100*ABS($G19-(Data_2017!BO19-$K19)/$M19),0)))</f>
        <v>69.5056233240216</v>
      </c>
      <c r="BV19" s="100">
        <f>IF($H19=0,0,CHOOSE($H19,SUMPRODUCT($O20:$O$67*BV20:BV$67*($E20:$E$67=$D19)),IF(ISNUMBER(Data_2017!BP19),100*ABS($G19-(Data_2017!BP19-$K19)/$M19),0),IF(ISNUMBER(Data_2017!BP19),100*ABS($G19-(Data_2017!BP19-$K19)/$M19),0)))</f>
        <v>35.8823904298325</v>
      </c>
      <c r="BW19" s="100">
        <f>IF($H19=0,0,CHOOSE($H19,SUMPRODUCT($O20:$O$67*BW20:BW$67*($E20:$E$67=$D19)),IF(ISNUMBER(Data_2017!BQ19),100*ABS($G19-(Data_2017!BQ19-$K19)/$M19),0),IF(ISNUMBER(Data_2017!BQ19),100*ABS($G19-(Data_2017!BQ19-$K19)/$M19),0)))</f>
        <v>78.9559648583492</v>
      </c>
      <c r="BX19" s="100">
        <f>IF($H19=0,0,CHOOSE($H19,SUMPRODUCT($O20:$O$67*BX20:BX$67*($E20:$E$67=$D19)),IF(ISNUMBER(Data_2017!BR19),100*ABS($G19-(Data_2017!BR19-$K19)/$M19),0),IF(ISNUMBER(Data_2017!BR19),100*ABS($G19-(Data_2017!BR19-$K19)/$M19),0)))</f>
        <v>91.656083053672</v>
      </c>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row>
    <row r="20" s="69" customFormat="1" ht="24.95" customHeight="1" spans="1:130">
      <c r="A20" s="92"/>
      <c r="B20" s="92">
        <f>tblIndicators!A16</f>
        <v>15</v>
      </c>
      <c r="C20" s="92">
        <f>tblIndicators!B16</f>
        <v>0</v>
      </c>
      <c r="D20" s="92" t="str">
        <f>tblIndicators!D16</f>
        <v>HESE2.1.1</v>
      </c>
      <c r="E20" s="92" t="str">
        <f>tblIndicators!E16</f>
        <v>HESE2.1</v>
      </c>
      <c r="F20" s="92">
        <f>tblIndicators!F16</f>
        <v>3</v>
      </c>
      <c r="G20" s="92">
        <f>tblIndicators!Y16</f>
        <v>0</v>
      </c>
      <c r="H20" s="92">
        <f>tblIndicators!Z16</f>
        <v>2</v>
      </c>
      <c r="I20" s="104">
        <f>tblIndicators!AA16</f>
        <v>0</v>
      </c>
      <c r="J20" s="92">
        <f>tblIndicators!AB16</f>
        <v>0</v>
      </c>
      <c r="K20" s="89">
        <f>IF(uxb_works!$B$66=1,CHOOSE(H20,"-",MIN(Data_2017!J20:BR20),I20),CHOOSE(H20,"-",MIN(Data_2017!J20:BQ20),I20))</f>
        <v>16.6666666666667</v>
      </c>
      <c r="L20" s="97">
        <f>IF(uxb_works!$B$66=1,CHOOSE(H20,"-",MAX(Data_2017!J20:BR20),J20),CHOOSE(H20,"-",MAX(Data_2017!J20:BQ20),J20))</f>
        <v>96.2962962962963</v>
      </c>
      <c r="M20" s="92">
        <f t="shared" si="1"/>
        <v>79.6296296296296</v>
      </c>
      <c r="N20" s="105" t="str">
        <f>REPT(" ",F20)&amp;tblIndicators!AE16</f>
        <v>   2.1.1) Environmental policies</v>
      </c>
      <c r="O20" s="106">
        <f>tblIndicators!AD16</f>
        <v>0.166666666666667</v>
      </c>
      <c r="P20" s="100">
        <f>IF($H20=0,0,CHOOSE($H20,SUMPRODUCT($O21:$O$67*P21:P$67*($E21:$E$67=$D20)),IF(ISNUMBER(Data_2017!J20),100*ABS($G20-(Data_2017!J20-$K20)/$M20),0),IF(ISNUMBER(Data_2017!J20),100*ABS($G20-(Data_2017!J20-$K20)/$M20),0)))</f>
        <v>62.7906976744186</v>
      </c>
      <c r="Q20" s="100">
        <f>IF($H20=0,0,CHOOSE($H20,SUMPRODUCT($O21:$O$67*Q21:Q$67*($E21:$E$67=$D20)),IF(ISNUMBER(Data_2017!K20),100*ABS($G20-(Data_2017!K20-$K20)/$M20),0),IF(ISNUMBER(Data_2017!K20),100*ABS($G20-(Data_2017!K20-$K20)/$M20),0)))</f>
        <v>97.6744186046511</v>
      </c>
      <c r="R20" s="100">
        <f>IF($H20=0,0,CHOOSE($H20,SUMPRODUCT($O21:$O$67*R21:R$67*($E21:$E$67=$D20)),IF(ISNUMBER(Data_2017!L20),100*ABS($G20-(Data_2017!L20-$K20)/$M20),0),IF(ISNUMBER(Data_2017!L20),100*ABS($G20-(Data_2017!L20-$K20)/$M20),0)))</f>
        <v>41.8604651162791</v>
      </c>
      <c r="S20" s="100">
        <f>IF($H20=0,0,CHOOSE($H20,SUMPRODUCT($O21:$O$67*S21:S$67*($E21:$E$67=$D20)),IF(ISNUMBER(Data_2017!M20),100*ABS($G20-(Data_2017!M20-$K20)/$M20),0),IF(ISNUMBER(Data_2017!M20),100*ABS($G20-(Data_2017!M20-$K20)/$M20),0)))</f>
        <v>72.0930232558139</v>
      </c>
      <c r="T20" s="100">
        <f>IF($H20=0,0,CHOOSE($H20,SUMPRODUCT($O21:$O$67*T21:T$67*($E21:$E$67=$D20)),IF(ISNUMBER(Data_2017!N20),100*ABS($G20-(Data_2017!N20-$K20)/$M20),0),IF(ISNUMBER(Data_2017!N20),100*ABS($G20-(Data_2017!N20-$K20)/$M20),0)))</f>
        <v>81.3953488372093</v>
      </c>
      <c r="U20" s="100">
        <f>IF($H20=0,0,CHOOSE($H20,SUMPRODUCT($O21:$O$67*U21:U$67*($E21:$E$67=$D20)),IF(ISNUMBER(Data_2017!O20),100*ABS($G20-(Data_2017!O20-$K20)/$M20),0),IF(ISNUMBER(Data_2017!O20),100*ABS($G20-(Data_2017!O20-$K20)/$M20),0)))</f>
        <v>79.0697674418604</v>
      </c>
      <c r="V20" s="100">
        <f>IF($H20=0,0,CHOOSE($H20,SUMPRODUCT($O21:$O$67*V21:V$67*($E21:$E$67=$D20)),IF(ISNUMBER(Data_2017!P20),100*ABS($G20-(Data_2017!P20-$K20)/$M20),0),IF(ISNUMBER(Data_2017!P20),100*ABS($G20-(Data_2017!P20-$K20)/$M20),0)))</f>
        <v>62.7906976744186</v>
      </c>
      <c r="W20" s="100">
        <f>IF($H20=0,0,CHOOSE($H20,SUMPRODUCT($O21:$O$67*W21:W$67*($E21:$E$67=$D20)),IF(ISNUMBER(Data_2017!Q20),100*ABS($G20-(Data_2017!Q20-$K20)/$M20),0),IF(ISNUMBER(Data_2017!Q20),100*ABS($G20-(Data_2017!Q20-$K20)/$M20),0)))</f>
        <v>97.6744186046511</v>
      </c>
      <c r="X20" s="100">
        <f>IF($H20=0,0,CHOOSE($H20,SUMPRODUCT($O21:$O$67*X21:X$67*($E21:$E$67=$D20)),IF(ISNUMBER(Data_2017!R20),100*ABS($G20-(Data_2017!R20-$K20)/$M20),0),IF(ISNUMBER(Data_2017!R20),100*ABS($G20-(Data_2017!R20-$K20)/$M20),0)))</f>
        <v>90.6976744186046</v>
      </c>
      <c r="Y20" s="100">
        <f>IF($H20=0,0,CHOOSE($H20,SUMPRODUCT($O21:$O$67*Y21:Y$67*($E21:$E$67=$D20)),IF(ISNUMBER(Data_2017!S20),100*ABS($G20-(Data_2017!S20-$K20)/$M20),0),IF(ISNUMBER(Data_2017!S20),100*ABS($G20-(Data_2017!S20-$K20)/$M20),0)))</f>
        <v>46.5116279069767</v>
      </c>
      <c r="Z20" s="100">
        <f>IF($H20=0,0,CHOOSE($H20,SUMPRODUCT($O21:$O$67*Z21:Z$67*($E21:$E$67=$D20)),IF(ISNUMBER(Data_2017!T20),100*ABS($G20-(Data_2017!T20-$K20)/$M20),0),IF(ISNUMBER(Data_2017!T20),100*ABS($G20-(Data_2017!T20-$K20)/$M20),0)))</f>
        <v>23.2558139534884</v>
      </c>
      <c r="AA20" s="100">
        <f>IF($H20=0,0,CHOOSE($H20,SUMPRODUCT($O21:$O$67*AA21:AA$67*($E21:$E$67=$D20)),IF(ISNUMBER(Data_2017!U20),100*ABS($G20-(Data_2017!U20-$K20)/$M20),0),IF(ISNUMBER(Data_2017!U20),100*ABS($G20-(Data_2017!U20-$K20)/$M20),0)))</f>
        <v>62.7906976744186</v>
      </c>
      <c r="AB20" s="100">
        <f>IF($H20=0,0,CHOOSE($H20,SUMPRODUCT($O21:$O$67*AB21:AB$67*($E21:$E$67=$D20)),IF(ISNUMBER(Data_2017!V20),100*ABS($G20-(Data_2017!V20-$K20)/$M20),0),IF(ISNUMBER(Data_2017!V20),100*ABS($G20-(Data_2017!V20-$K20)/$M20),0)))</f>
        <v>90.6976744186046</v>
      </c>
      <c r="AC20" s="100">
        <f>IF($H20=0,0,CHOOSE($H20,SUMPRODUCT($O21:$O$67*AC21:AC$67*($E21:$E$67=$D20)),IF(ISNUMBER(Data_2017!W20),100*ABS($G20-(Data_2017!W20-$K20)/$M20),0),IF(ISNUMBER(Data_2017!W20),100*ABS($G20-(Data_2017!W20-$K20)/$M20),0)))</f>
        <v>74.4186046511628</v>
      </c>
      <c r="AD20" s="100">
        <f>IF($H20=0,0,CHOOSE($H20,SUMPRODUCT($O21:$O$67*AD21:AD$67*($E21:$E$67=$D20)),IF(ISNUMBER(Data_2017!X20),100*ABS($G20-(Data_2017!X20-$K20)/$M20),0),IF(ISNUMBER(Data_2017!X20),100*ABS($G20-(Data_2017!X20-$K20)/$M20),0)))</f>
        <v>90.6976744186046</v>
      </c>
      <c r="AE20" s="100">
        <f>IF($H20=0,0,CHOOSE($H20,SUMPRODUCT($O21:$O$67*AE21:AE$67*($E21:$E$67=$D20)),IF(ISNUMBER(Data_2017!Y20),100*ABS($G20-(Data_2017!Y20-$K20)/$M20),0),IF(ISNUMBER(Data_2017!Y20),100*ABS($G20-(Data_2017!Y20-$K20)/$M20),0)))</f>
        <v>4.65116279069767</v>
      </c>
      <c r="AF20" s="100">
        <f>IF($H20=0,0,CHOOSE($H20,SUMPRODUCT($O21:$O$67*AF21:AF$67*($E21:$E$67=$D20)),IF(ISNUMBER(Data_2017!Z20),100*ABS($G20-(Data_2017!Z20-$K20)/$M20),0),IF(ISNUMBER(Data_2017!Z20),100*ABS($G20-(Data_2017!Z20-$K20)/$M20),0)))</f>
        <v>27.906976744186</v>
      </c>
      <c r="AG20" s="100">
        <f>IF($H20=0,0,CHOOSE($H20,SUMPRODUCT($O21:$O$67*AG21:AG$67*($E21:$E$67=$D20)),IF(ISNUMBER(Data_2017!AA20),100*ABS($G20-(Data_2017!AA20-$K20)/$M20),0),IF(ISNUMBER(Data_2017!AA20),100*ABS($G20-(Data_2017!AA20-$K20)/$M20),0)))</f>
        <v>90.6976744186046</v>
      </c>
      <c r="AH20" s="100">
        <f>IF($H20=0,0,CHOOSE($H20,SUMPRODUCT($O21:$O$67*AH21:AH$67*($E21:$E$67=$D20)),IF(ISNUMBER(Data_2017!AB20),100*ABS($G20-(Data_2017!AB20-$K20)/$M20),0),IF(ISNUMBER(Data_2017!AB20),100*ABS($G20-(Data_2017!AB20-$K20)/$M20),0)))</f>
        <v>62.7906976744186</v>
      </c>
      <c r="AI20" s="100">
        <f>IF($H20=0,0,CHOOSE($H20,SUMPRODUCT($O21:$O$67*AI21:AI$67*($E21:$E$67=$D20)),IF(ISNUMBER(Data_2017!AC20),100*ABS($G20-(Data_2017!AC20-$K20)/$M20),0),IF(ISNUMBER(Data_2017!AC20),100*ABS($G20-(Data_2017!AC20-$K20)/$M20),0)))</f>
        <v>97.6744186046511</v>
      </c>
      <c r="AJ20" s="100">
        <f>IF($H20=0,0,CHOOSE($H20,SUMPRODUCT($O21:$O$67*AJ21:AJ$67*($E21:$E$67=$D20)),IF(ISNUMBER(Data_2017!AD20),100*ABS($G20-(Data_2017!AD20-$K20)/$M20),0),IF(ISNUMBER(Data_2017!AD20),100*ABS($G20-(Data_2017!AD20-$K20)/$M20),0)))</f>
        <v>72.0930232558139</v>
      </c>
      <c r="AK20" s="100">
        <f>IF($H20=0,0,CHOOSE($H20,SUMPRODUCT($O21:$O$67*AK21:AK$67*($E21:$E$67=$D20)),IF(ISNUMBER(Data_2017!AE20),100*ABS($G20-(Data_2017!AE20-$K20)/$M20),0),IF(ISNUMBER(Data_2017!AE20),100*ABS($G20-(Data_2017!AE20-$K20)/$M20),0)))</f>
        <v>44.1860465116279</v>
      </c>
      <c r="AL20" s="100">
        <f>IF($H20=0,0,CHOOSE($H20,SUMPRODUCT($O21:$O$67*AL21:AL$67*($E21:$E$67=$D20)),IF(ISNUMBER(Data_2017!AF20),100*ABS($G20-(Data_2017!AF20-$K20)/$M20),0),IF(ISNUMBER(Data_2017!AF20),100*ABS($G20-(Data_2017!AF20-$K20)/$M20),0)))</f>
        <v>32.5581395348837</v>
      </c>
      <c r="AM20" s="100">
        <f>IF($H20=0,0,CHOOSE($H20,SUMPRODUCT($O21:$O$67*AM21:AM$67*($E21:$E$67=$D20)),IF(ISNUMBER(Data_2017!AG20),100*ABS($G20-(Data_2017!AG20-$K20)/$M20),0),IF(ISNUMBER(Data_2017!AG20),100*ABS($G20-(Data_2017!AG20-$K20)/$M20),0)))</f>
        <v>86.046511627907</v>
      </c>
      <c r="AN20" s="100">
        <f>IF($H20=0,0,CHOOSE($H20,SUMPRODUCT($O21:$O$67*AN21:AN$67*($E21:$E$67=$D20)),IF(ISNUMBER(Data_2017!AH20),100*ABS($G20-(Data_2017!AH20-$K20)/$M20),0),IF(ISNUMBER(Data_2017!AH20),100*ABS($G20-(Data_2017!AH20-$K20)/$M20),0)))</f>
        <v>13.953488372093</v>
      </c>
      <c r="AO20" s="100">
        <f>IF($H20=0,0,CHOOSE($H20,SUMPRODUCT($O21:$O$67*AO21:AO$67*($E21:$E$67=$D20)),IF(ISNUMBER(Data_2017!AI20),100*ABS($G20-(Data_2017!AI20-$K20)/$M20),0),IF(ISNUMBER(Data_2017!AI20),100*ABS($G20-(Data_2017!AI20-$K20)/$M20),0)))</f>
        <v>62.7906976744186</v>
      </c>
      <c r="AP20" s="100">
        <f>IF($H20=0,0,CHOOSE($H20,SUMPRODUCT($O21:$O$67*AP21:AP$67*($E21:$E$67=$D20)),IF(ISNUMBER(Data_2017!AJ20),100*ABS($G20-(Data_2017!AJ20-$K20)/$M20),0),IF(ISNUMBER(Data_2017!AJ20),100*ABS($G20-(Data_2017!AJ20-$K20)/$M20),0)))</f>
        <v>0</v>
      </c>
      <c r="AQ20" s="100">
        <f>IF($H20=0,0,CHOOSE($H20,SUMPRODUCT($O21:$O$67*AQ21:AQ$67*($E21:$E$67=$D20)),IF(ISNUMBER(Data_2017!AK20),100*ABS($G20-(Data_2017!AK20-$K20)/$M20),0),IF(ISNUMBER(Data_2017!AK20),100*ABS($G20-(Data_2017!AK20-$K20)/$M20),0)))</f>
        <v>69.7674418604651</v>
      </c>
      <c r="AR20" s="100">
        <f>IF($H20=0,0,CHOOSE($H20,SUMPRODUCT($O21:$O$67*AR21:AR$67*($E21:$E$67=$D20)),IF(ISNUMBER(Data_2017!AL20),100*ABS($G20-(Data_2017!AL20-$K20)/$M20),0),IF(ISNUMBER(Data_2017!AL20),100*ABS($G20-(Data_2017!AL20-$K20)/$M20),0)))</f>
        <v>83.7209302325581</v>
      </c>
      <c r="AS20" s="100">
        <f>IF($H20=0,0,CHOOSE($H20,SUMPRODUCT($O21:$O$67*AS21:AS$67*($E21:$E$67=$D20)),IF(ISNUMBER(Data_2017!AM20),100*ABS($G20-(Data_2017!AM20-$K20)/$M20),0),IF(ISNUMBER(Data_2017!AM20),100*ABS($G20-(Data_2017!AM20-$K20)/$M20),0)))</f>
        <v>95.3488372093023</v>
      </c>
      <c r="AT20" s="100">
        <f>IF($H20=0,0,CHOOSE($H20,SUMPRODUCT($O21:$O$67*AT21:AT$67*($E21:$E$67=$D20)),IF(ISNUMBER(Data_2017!AN20),100*ABS($G20-(Data_2017!AN20-$K20)/$M20),0),IF(ISNUMBER(Data_2017!AN20),100*ABS($G20-(Data_2017!AN20-$K20)/$M20),0)))</f>
        <v>81.3953488372093</v>
      </c>
      <c r="AU20" s="100">
        <f>IF($H20=0,0,CHOOSE($H20,SUMPRODUCT($O21:$O$67*AU21:AU$67*($E21:$E$67=$D20)),IF(ISNUMBER(Data_2017!AO20),100*ABS($G20-(Data_2017!AO20-$K20)/$M20),0),IF(ISNUMBER(Data_2017!AO20),100*ABS($G20-(Data_2017!AO20-$K20)/$M20),0)))</f>
        <v>27.906976744186</v>
      </c>
      <c r="AV20" s="100">
        <f>IF($H20=0,0,CHOOSE($H20,SUMPRODUCT($O21:$O$67*AV21:AV$67*($E21:$E$67=$D20)),IF(ISNUMBER(Data_2017!AP20),100*ABS($G20-(Data_2017!AP20-$K20)/$M20),0),IF(ISNUMBER(Data_2017!AP20),100*ABS($G20-(Data_2017!AP20-$K20)/$M20),0)))</f>
        <v>81.3953488372093</v>
      </c>
      <c r="AW20" s="100">
        <f>IF($H20=0,0,CHOOSE($H20,SUMPRODUCT($O21:$O$67*AW21:AW$67*($E21:$E$67=$D20)),IF(ISNUMBER(Data_2017!AQ20),100*ABS($G20-(Data_2017!AQ20-$K20)/$M20),0),IF(ISNUMBER(Data_2017!AQ20),100*ABS($G20-(Data_2017!AQ20-$K20)/$M20),0)))</f>
        <v>86.046511627907</v>
      </c>
      <c r="AX20" s="100">
        <f>IF($H20=0,0,CHOOSE($H20,SUMPRODUCT($O21:$O$67*AX21:AX$67*($E21:$E$67=$D20)),IF(ISNUMBER(Data_2017!AR20),100*ABS($G20-(Data_2017!AR20-$K20)/$M20),0),IF(ISNUMBER(Data_2017!AR20),100*ABS($G20-(Data_2017!AR20-$K20)/$M20),0)))</f>
        <v>83.7209302325581</v>
      </c>
      <c r="AY20" s="100">
        <f>IF($H20=0,0,CHOOSE($H20,SUMPRODUCT($O21:$O$67*AY21:AY$67*($E21:$E$67=$D20)),IF(ISNUMBER(Data_2017!AS20),100*ABS($G20-(Data_2017!AS20-$K20)/$M20),0),IF(ISNUMBER(Data_2017!AS20),100*ABS($G20-(Data_2017!AS20-$K20)/$M20),0)))</f>
        <v>65.1162790697674</v>
      </c>
      <c r="AZ20" s="100">
        <f>IF($H20=0,0,CHOOSE($H20,SUMPRODUCT($O21:$O$67*AZ21:AZ$67*($E21:$E$67=$D20)),IF(ISNUMBER(Data_2017!AT20),100*ABS($G20-(Data_2017!AT20-$K20)/$M20),0),IF(ISNUMBER(Data_2017!AT20),100*ABS($G20-(Data_2017!AT20-$K20)/$M20),0)))</f>
        <v>32.5581395348837</v>
      </c>
      <c r="BA20" s="100">
        <f>IF($H20=0,0,CHOOSE($H20,SUMPRODUCT($O21:$O$67*BA21:BA$67*($E21:$E$67=$D20)),IF(ISNUMBER(Data_2017!AU20),100*ABS($G20-(Data_2017!AU20-$K20)/$M20),0),IF(ISNUMBER(Data_2017!AU20),100*ABS($G20-(Data_2017!AU20-$K20)/$M20),0)))</f>
        <v>95.3488372093023</v>
      </c>
      <c r="BB20" s="100">
        <f>IF($H20=0,0,CHOOSE($H20,SUMPRODUCT($O21:$O$67*BB21:BB$67*($E21:$E$67=$D20)),IF(ISNUMBER(Data_2017!AV20),100*ABS($G20-(Data_2017!AV20-$K20)/$M20),0),IF(ISNUMBER(Data_2017!AV20),100*ABS($G20-(Data_2017!AV20-$K20)/$M20),0)))</f>
        <v>90.6976744186046</v>
      </c>
      <c r="BC20" s="100">
        <f>IF($H20=0,0,CHOOSE($H20,SUMPRODUCT($O21:$O$67*BC21:BC$67*($E21:$E$67=$D20)),IF(ISNUMBER(Data_2017!AW20),100*ABS($G20-(Data_2017!AW20-$K20)/$M20),0),IF(ISNUMBER(Data_2017!AW20),100*ABS($G20-(Data_2017!AW20-$K20)/$M20),0)))</f>
        <v>97.6744186046511</v>
      </c>
      <c r="BD20" s="100">
        <f>IF($H20=0,0,CHOOSE($H20,SUMPRODUCT($O21:$O$67*BD21:BD$67*($E21:$E$67=$D20)),IF(ISNUMBER(Data_2017!AX20),100*ABS($G20-(Data_2017!AX20-$K20)/$M20),0),IF(ISNUMBER(Data_2017!AX20),100*ABS($G20-(Data_2017!AX20-$K20)/$M20),0)))</f>
        <v>23.2558139534884</v>
      </c>
      <c r="BE20" s="100">
        <f>IF($H20=0,0,CHOOSE($H20,SUMPRODUCT($O21:$O$67*BE21:BE$67*($E21:$E$67=$D20)),IF(ISNUMBER(Data_2017!AY20),100*ABS($G20-(Data_2017!AY20-$K20)/$M20),0),IF(ISNUMBER(Data_2017!AY20),100*ABS($G20-(Data_2017!AY20-$K20)/$M20),0)))</f>
        <v>60.4651162790698</v>
      </c>
      <c r="BF20" s="100">
        <f>IF($H20=0,0,CHOOSE($H20,SUMPRODUCT($O21:$O$67*BF21:BF$67*($E21:$E$67=$D20)),IF(ISNUMBER(Data_2017!AZ20),100*ABS($G20-(Data_2017!AZ20-$K20)/$M20),0),IF(ISNUMBER(Data_2017!AZ20),100*ABS($G20-(Data_2017!AZ20-$K20)/$M20),0)))</f>
        <v>32.5581395348837</v>
      </c>
      <c r="BG20" s="100">
        <f>IF($H20=0,0,CHOOSE($H20,SUMPRODUCT($O21:$O$67*BG21:BG$67*($E21:$E$67=$D20)),IF(ISNUMBER(Data_2017!BA20),100*ABS($G20-(Data_2017!BA20-$K20)/$M20),0),IF(ISNUMBER(Data_2017!BA20),100*ABS($G20-(Data_2017!BA20-$K20)/$M20),0)))</f>
        <v>69.7674418604651</v>
      </c>
      <c r="BH20" s="100">
        <f>IF($H20=0,0,CHOOSE($H20,SUMPRODUCT($O21:$O$67*BH21:BH$67*($E21:$E$67=$D20)),IF(ISNUMBER(Data_2017!BB20),100*ABS($G20-(Data_2017!BB20-$K20)/$M20),0),IF(ISNUMBER(Data_2017!BB20),100*ABS($G20-(Data_2017!BB20-$K20)/$M20),0)))</f>
        <v>90.6976744186046</v>
      </c>
      <c r="BI20" s="100">
        <f>IF($H20=0,0,CHOOSE($H20,SUMPRODUCT($O21:$O$67*BI21:BI$67*($E21:$E$67=$D20)),IF(ISNUMBER(Data_2017!BC20),100*ABS($G20-(Data_2017!BC20-$K20)/$M20),0),IF(ISNUMBER(Data_2017!BC20),100*ABS($G20-(Data_2017!BC20-$K20)/$M20),0)))</f>
        <v>48.8372093023256</v>
      </c>
      <c r="BJ20" s="100">
        <f>IF($H20=0,0,CHOOSE($H20,SUMPRODUCT($O21:$O$67*BJ21:BJ$67*($E21:$E$67=$D20)),IF(ISNUMBER(Data_2017!BD20),100*ABS($G20-(Data_2017!BD20-$K20)/$M20),0),IF(ISNUMBER(Data_2017!BD20),100*ABS($G20-(Data_2017!BD20-$K20)/$M20),0)))</f>
        <v>60.4651162790698</v>
      </c>
      <c r="BK20" s="100">
        <f>IF($H20=0,0,CHOOSE($H20,SUMPRODUCT($O21:$O$67*BK21:BK$67*($E21:$E$67=$D20)),IF(ISNUMBER(Data_2017!BE20),100*ABS($G20-(Data_2017!BE20-$K20)/$M20),0),IF(ISNUMBER(Data_2017!BE20),100*ABS($G20-(Data_2017!BE20-$K20)/$M20),0)))</f>
        <v>93.0232558139535</v>
      </c>
      <c r="BL20" s="100">
        <f>IF($H20=0,0,CHOOSE($H20,SUMPRODUCT($O21:$O$67*BL21:BL$67*($E21:$E$67=$D20)),IF(ISNUMBER(Data_2017!BF20),100*ABS($G20-(Data_2017!BF20-$K20)/$M20),0),IF(ISNUMBER(Data_2017!BF20),100*ABS($G20-(Data_2017!BF20-$K20)/$M20),0)))</f>
        <v>79.0697674418604</v>
      </c>
      <c r="BM20" s="100">
        <f>IF($H20=0,0,CHOOSE($H20,SUMPRODUCT($O21:$O$67*BM21:BM$67*($E21:$E$67=$D20)),IF(ISNUMBER(Data_2017!BG20),100*ABS($G20-(Data_2017!BG20-$K20)/$M20),0),IF(ISNUMBER(Data_2017!BG20),100*ABS($G20-(Data_2017!BG20-$K20)/$M20),0)))</f>
        <v>97.6744186046511</v>
      </c>
      <c r="BN20" s="100">
        <f>IF($H20=0,0,CHOOSE($H20,SUMPRODUCT($O21:$O$67*BN21:BN$67*($E21:$E$67=$D20)),IF(ISNUMBER(Data_2017!BH20),100*ABS($G20-(Data_2017!BH20-$K20)/$M20),0),IF(ISNUMBER(Data_2017!BH20),100*ABS($G20-(Data_2017!BH20-$K20)/$M20),0)))</f>
        <v>86.046511627907</v>
      </c>
      <c r="BO20" s="100">
        <f>IF($H20=0,0,CHOOSE($H20,SUMPRODUCT($O21:$O$67*BO21:BO$67*($E21:$E$67=$D20)),IF(ISNUMBER(Data_2017!BI20),100*ABS($G20-(Data_2017!BI20-$K20)/$M20),0),IF(ISNUMBER(Data_2017!BI20),100*ABS($G20-(Data_2017!BI20-$K20)/$M20),0)))</f>
        <v>86.046511627907</v>
      </c>
      <c r="BP20" s="100">
        <f>IF($H20=0,0,CHOOSE($H20,SUMPRODUCT($O21:$O$67*BP21:BP$67*($E21:$E$67=$D20)),IF(ISNUMBER(Data_2017!BJ20),100*ABS($G20-(Data_2017!BJ20-$K20)/$M20),0),IF(ISNUMBER(Data_2017!BJ20),100*ABS($G20-(Data_2017!BJ20-$K20)/$M20),0)))</f>
        <v>97.6744186046511</v>
      </c>
      <c r="BQ20" s="100">
        <f>IF($H20=0,0,CHOOSE($H20,SUMPRODUCT($O21:$O$67*BQ21:BQ$67*($E21:$E$67=$D20)),IF(ISNUMBER(Data_2017!BK20),100*ABS($G20-(Data_2017!BK20-$K20)/$M20),0),IF(ISNUMBER(Data_2017!BK20),100*ABS($G20-(Data_2017!BK20-$K20)/$M20),0)))</f>
        <v>62.7906976744186</v>
      </c>
      <c r="BR20" s="100">
        <f>IF($H20=0,0,CHOOSE($H20,SUMPRODUCT($O21:$O$67*BR21:BR$67*($E21:$E$67=$D20)),IF(ISNUMBER(Data_2017!BL20),100*ABS($G20-(Data_2017!BL20-$K20)/$M20),0),IF(ISNUMBER(Data_2017!BL20),100*ABS($G20-(Data_2017!BL20-$K20)/$M20),0)))</f>
        <v>86.046511627907</v>
      </c>
      <c r="BS20" s="100">
        <f>IF($H20=0,0,CHOOSE($H20,SUMPRODUCT($O21:$O$67*BS21:BS$67*($E21:$E$67=$D20)),IF(ISNUMBER(Data_2017!BM20),100*ABS($G20-(Data_2017!BM20-$K20)/$M20),0),IF(ISNUMBER(Data_2017!BM20),100*ABS($G20-(Data_2017!BM20-$K20)/$M20),0)))</f>
        <v>95.3488372093023</v>
      </c>
      <c r="BT20" s="100">
        <f>IF($H20=0,0,CHOOSE($H20,SUMPRODUCT($O21:$O$67*BT21:BT$67*($E21:$E$67=$D20)),IF(ISNUMBER(Data_2017!BN20),100*ABS($G20-(Data_2017!BN20-$K20)/$M20),0),IF(ISNUMBER(Data_2017!BN20),100*ABS($G20-(Data_2017!BN20-$K20)/$M20),0)))</f>
        <v>100</v>
      </c>
      <c r="BU20" s="100">
        <f>IF($H20=0,0,CHOOSE($H20,SUMPRODUCT($O21:$O$67*BU21:BU$67*($E21:$E$67=$D20)),IF(ISNUMBER(Data_2017!BO20),100*ABS($G20-(Data_2017!BO20-$K20)/$M20),0),IF(ISNUMBER(Data_2017!BO20),100*ABS($G20-(Data_2017!BO20-$K20)/$M20),0)))</f>
        <v>86.046511627907</v>
      </c>
      <c r="BV20" s="100">
        <f>IF($H20=0,0,CHOOSE($H20,SUMPRODUCT($O21:$O$67*BV21:BV$67*($E21:$E$67=$D20)),IF(ISNUMBER(Data_2017!BP20),100*ABS($G20-(Data_2017!BP20-$K20)/$M20),0),IF(ISNUMBER(Data_2017!BP20),100*ABS($G20-(Data_2017!BP20-$K20)/$M20),0)))</f>
        <v>37.2093023255814</v>
      </c>
      <c r="BW20" s="100">
        <f>IF($H20=0,0,CHOOSE($H20,SUMPRODUCT($O21:$O$67*BW21:BW$67*($E21:$E$67=$D20)),IF(ISNUMBER(Data_2017!BQ20),100*ABS($G20-(Data_2017!BQ20-$K20)/$M20),0),IF(ISNUMBER(Data_2017!BQ20),100*ABS($G20-(Data_2017!BQ20-$K20)/$M20),0)))</f>
        <v>86.046511627907</v>
      </c>
      <c r="BX20" s="100">
        <f>IF($H20=0,0,CHOOSE($H20,SUMPRODUCT($O21:$O$67*BX21:BX$67*($E21:$E$67=$D20)),IF(ISNUMBER(Data_2017!BR20),100*ABS($G20-(Data_2017!BR20-$K20)/$M20),0),IF(ISNUMBER(Data_2017!BR20),100*ABS($G20-(Data_2017!BR20-$K20)/$M20),0)))</f>
        <v>100</v>
      </c>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row>
    <row r="21" s="69" customFormat="1" ht="24.95" customHeight="1" spans="1:130">
      <c r="A21" s="92"/>
      <c r="B21" s="92">
        <f>tblIndicators!A17</f>
        <v>16</v>
      </c>
      <c r="C21" s="92">
        <f>tblIndicators!B17</f>
        <v>0</v>
      </c>
      <c r="D21" s="92" t="str">
        <f>tblIndicators!D17</f>
        <v>HESE2.1.2</v>
      </c>
      <c r="E21" s="92" t="str">
        <f>tblIndicators!E17</f>
        <v>HESE2.1</v>
      </c>
      <c r="F21" s="92">
        <f>tblIndicators!F17</f>
        <v>3</v>
      </c>
      <c r="G21" s="92">
        <f>tblIndicators!Y17</f>
        <v>0</v>
      </c>
      <c r="H21" s="92">
        <f>tblIndicators!Z17</f>
        <v>3</v>
      </c>
      <c r="I21" s="104">
        <f>tblIndicators!AA17</f>
        <v>0</v>
      </c>
      <c r="J21" s="92">
        <f>tblIndicators!AB17</f>
        <v>100</v>
      </c>
      <c r="K21" s="89">
        <f>IF(uxb_works!$B$66=1,CHOOSE(H21,"-",MIN(Data_2017!J21:BR21),I21),CHOOSE(H21,"-",MIN(Data_2017!J21:BQ21),I21))</f>
        <v>0</v>
      </c>
      <c r="L21" s="97">
        <f>IF(uxb_works!$B$66=1,CHOOSE(H21,"-",MAX(Data_2017!J21:BR21),J21),CHOOSE(H21,"-",MAX(Data_2017!J21:BQ21),J21))</f>
        <v>100</v>
      </c>
      <c r="M21" s="92">
        <f t="shared" si="1"/>
        <v>100</v>
      </c>
      <c r="N21" s="105" t="str">
        <f>REPT(" ",F21)&amp;tblIndicators!AE17</f>
        <v>   2.1.2) Access to healthcare</v>
      </c>
      <c r="O21" s="106">
        <f>tblIndicators!AD17</f>
        <v>0.166666666666667</v>
      </c>
      <c r="P21" s="100">
        <f>IF($H21=0,0,CHOOSE($H21,SUMPRODUCT($O22:$O$67*P22:P$67*($E22:$E$67=$D21)),IF(ISNUMBER(Data_2017!J21),100*ABS($G21-(Data_2017!J21-$K21)/$M21),0),IF(ISNUMBER(Data_2017!J21),100*ABS($G21-(Data_2017!J21-$K21)/$M21),0)))</f>
        <v>73.3333333333333</v>
      </c>
      <c r="Q21" s="100">
        <f>IF($H21=0,0,CHOOSE($H21,SUMPRODUCT($O22:$O$67*Q22:Q$67*($E22:$E$67=$D21)),IF(ISNUMBER(Data_2017!K21),100*ABS($G21-(Data_2017!K21-$K21)/$M21),0),IF(ISNUMBER(Data_2017!K21),100*ABS($G21-(Data_2017!K21-$K21)/$M21),0)))</f>
        <v>100</v>
      </c>
      <c r="R21" s="100">
        <f>IF($H21=0,0,CHOOSE($H21,SUMPRODUCT($O22:$O$67*R22:R$67*($E22:$E$67=$D21)),IF(ISNUMBER(Data_2017!L21),100*ABS($G21-(Data_2017!L21-$K21)/$M21),0),IF(ISNUMBER(Data_2017!L21),100*ABS($G21-(Data_2017!L21-$K21)/$M21),0)))</f>
        <v>73.3333333333333</v>
      </c>
      <c r="S21" s="100">
        <f>IF($H21=0,0,CHOOSE($H21,SUMPRODUCT($O22:$O$67*S22:S$67*($E22:$E$67=$D21)),IF(ISNUMBER(Data_2017!M21),100*ABS($G21-(Data_2017!M21-$K21)/$M21),0),IF(ISNUMBER(Data_2017!M21),100*ABS($G21-(Data_2017!M21-$K21)/$M21),0)))</f>
        <v>80</v>
      </c>
      <c r="T21" s="100">
        <f>IF($H21=0,0,CHOOSE($H21,SUMPRODUCT($O22:$O$67*T22:T$67*($E22:$E$67=$D21)),IF(ISNUMBER(Data_2017!N21),100*ABS($G21-(Data_2017!N21-$K21)/$M21),0),IF(ISNUMBER(Data_2017!N21),100*ABS($G21-(Data_2017!N21-$K21)/$M21),0)))</f>
        <v>93.3333333333333</v>
      </c>
      <c r="U21" s="100">
        <f>IF($H21=0,0,CHOOSE($H21,SUMPRODUCT($O22:$O$67*U22:U$67*($E22:$E$67=$D21)),IF(ISNUMBER(Data_2017!O21),100*ABS($G21-(Data_2017!O21-$K21)/$M21),0),IF(ISNUMBER(Data_2017!O21),100*ABS($G21-(Data_2017!O21-$K21)/$M21),0)))</f>
        <v>86.6666666666667</v>
      </c>
      <c r="V21" s="100">
        <f>IF($H21=0,0,CHOOSE($H21,SUMPRODUCT($O22:$O$67*V22:V$67*($E22:$E$67=$D21)),IF(ISNUMBER(Data_2017!P21),100*ABS($G21-(Data_2017!P21-$K21)/$M21),0),IF(ISNUMBER(Data_2017!P21),100*ABS($G21-(Data_2017!P21-$K21)/$M21),0)))</f>
        <v>73.3333333333333</v>
      </c>
      <c r="W21" s="100">
        <f>IF($H21=0,0,CHOOSE($H21,SUMPRODUCT($O22:$O$67*W22:W$67*($E22:$E$67=$D21)),IF(ISNUMBER(Data_2017!Q21),100*ABS($G21-(Data_2017!Q21-$K21)/$M21),0),IF(ISNUMBER(Data_2017!Q21),100*ABS($G21-(Data_2017!Q21-$K21)/$M21),0)))</f>
        <v>100</v>
      </c>
      <c r="X21" s="100">
        <f>IF($H21=0,0,CHOOSE($H21,SUMPRODUCT($O22:$O$67*X22:X$67*($E22:$E$67=$D21)),IF(ISNUMBER(Data_2017!R21),100*ABS($G21-(Data_2017!R21-$K21)/$M21),0),IF(ISNUMBER(Data_2017!R21),100*ABS($G21-(Data_2017!R21-$K21)/$M21),0)))</f>
        <v>93.3333333333333</v>
      </c>
      <c r="Y21" s="100">
        <f>IF($H21=0,0,CHOOSE($H21,SUMPRODUCT($O22:$O$67*Y22:Y$67*($E22:$E$67=$D21)),IF(ISNUMBER(Data_2017!S21),100*ABS($G21-(Data_2017!S21-$K21)/$M21),0),IF(ISNUMBER(Data_2017!S21),100*ABS($G21-(Data_2017!S21-$K21)/$M21),0)))</f>
        <v>60</v>
      </c>
      <c r="Z21" s="100">
        <f>IF($H21=0,0,CHOOSE($H21,SUMPRODUCT($O22:$O$67*Z22:Z$67*($E22:$E$67=$D21)),IF(ISNUMBER(Data_2017!T21),100*ABS($G21-(Data_2017!T21-$K21)/$M21),0),IF(ISNUMBER(Data_2017!T21),100*ABS($G21-(Data_2017!T21-$K21)/$M21),0)))</f>
        <v>53.3333333333333</v>
      </c>
      <c r="AA21" s="100">
        <f>IF($H21=0,0,CHOOSE($H21,SUMPRODUCT($O22:$O$67*AA22:AA$67*($E22:$E$67=$D21)),IF(ISNUMBER(Data_2017!U21),100*ABS($G21-(Data_2017!U21-$K21)/$M21),0),IF(ISNUMBER(Data_2017!U21),100*ABS($G21-(Data_2017!U21-$K21)/$M21),0)))</f>
        <v>60</v>
      </c>
      <c r="AB21" s="100">
        <f>IF($H21=0,0,CHOOSE($H21,SUMPRODUCT($O22:$O$67*AB22:AB$67*($E22:$E$67=$D21)),IF(ISNUMBER(Data_2017!V21),100*ABS($G21-(Data_2017!V21-$K21)/$M21),0),IF(ISNUMBER(Data_2017!V21),100*ABS($G21-(Data_2017!V21-$K21)/$M21),0)))</f>
        <v>93.3333333333333</v>
      </c>
      <c r="AC21" s="100">
        <f>IF($H21=0,0,CHOOSE($H21,SUMPRODUCT($O22:$O$67*AC22:AC$67*($E22:$E$67=$D21)),IF(ISNUMBER(Data_2017!W21),100*ABS($G21-(Data_2017!W21-$K21)/$M21),0),IF(ISNUMBER(Data_2017!W21),100*ABS($G21-(Data_2017!W21-$K21)/$M21),0)))</f>
        <v>86.6666666666667</v>
      </c>
      <c r="AD21" s="100">
        <f>IF($H21=0,0,CHOOSE($H21,SUMPRODUCT($O22:$O$67*AD22:AD$67*($E22:$E$67=$D21)),IF(ISNUMBER(Data_2017!X21),100*ABS($G21-(Data_2017!X21-$K21)/$M21),0),IF(ISNUMBER(Data_2017!X21),100*ABS($G21-(Data_2017!X21-$K21)/$M21),0)))</f>
        <v>80</v>
      </c>
      <c r="AE21" s="100">
        <f>IF($H21=0,0,CHOOSE($H21,SUMPRODUCT($O22:$O$67*AE22:AE$67*($E22:$E$67=$D21)),IF(ISNUMBER(Data_2017!Y21),100*ABS($G21-(Data_2017!Y21-$K21)/$M21),0),IF(ISNUMBER(Data_2017!Y21),100*ABS($G21-(Data_2017!Y21-$K21)/$M21),0)))</f>
        <v>46.6666666666667</v>
      </c>
      <c r="AF21" s="100">
        <f>IF($H21=0,0,CHOOSE($H21,SUMPRODUCT($O22:$O$67*AF22:AF$67*($E22:$E$67=$D21)),IF(ISNUMBER(Data_2017!Z21),100*ABS($G21-(Data_2017!Z21-$K21)/$M21),0),IF(ISNUMBER(Data_2017!Z21),100*ABS($G21-(Data_2017!Z21-$K21)/$M21),0)))</f>
        <v>80</v>
      </c>
      <c r="AG21" s="100">
        <f>IF($H21=0,0,CHOOSE($H21,SUMPRODUCT($O22:$O$67*AG22:AG$67*($E22:$E$67=$D21)),IF(ISNUMBER(Data_2017!AA21),100*ABS($G21-(Data_2017!AA21-$K21)/$M21),0),IF(ISNUMBER(Data_2017!AA21),100*ABS($G21-(Data_2017!AA21-$K21)/$M21),0)))</f>
        <v>100</v>
      </c>
      <c r="AH21" s="100">
        <f>IF($H21=0,0,CHOOSE($H21,SUMPRODUCT($O22:$O$67*AH22:AH$67*($E22:$E$67=$D21)),IF(ISNUMBER(Data_2017!AB21),100*ABS($G21-(Data_2017!AB21-$K21)/$M21),0),IF(ISNUMBER(Data_2017!AB21),100*ABS($G21-(Data_2017!AB21-$K21)/$M21),0)))</f>
        <v>73.3333333333333</v>
      </c>
      <c r="AI21" s="100">
        <f>IF($H21=0,0,CHOOSE($H21,SUMPRODUCT($O22:$O$67*AI22:AI$67*($E22:$E$67=$D21)),IF(ISNUMBER(Data_2017!AC21),100*ABS($G21-(Data_2017!AC21-$K21)/$M21),0),IF(ISNUMBER(Data_2017!AC21),100*ABS($G21-(Data_2017!AC21-$K21)/$M21),0)))</f>
        <v>93.3333333333333</v>
      </c>
      <c r="AJ21" s="100">
        <f>IF($H21=0,0,CHOOSE($H21,SUMPRODUCT($O22:$O$67*AJ22:AJ$67*($E22:$E$67=$D21)),IF(ISNUMBER(Data_2017!AD21),100*ABS($G21-(Data_2017!AD21-$K21)/$M21),0),IF(ISNUMBER(Data_2017!AD21),100*ABS($G21-(Data_2017!AD21-$K21)/$M21),0)))</f>
        <v>60</v>
      </c>
      <c r="AK21" s="100">
        <f>IF($H21=0,0,CHOOSE($H21,SUMPRODUCT($O22:$O$67*AK22:AK$67*($E22:$E$67=$D21)),IF(ISNUMBER(Data_2017!AE21),100*ABS($G21-(Data_2017!AE21-$K21)/$M21),0),IF(ISNUMBER(Data_2017!AE21),100*ABS($G21-(Data_2017!AE21-$K21)/$M21),0)))</f>
        <v>73.3333333333333</v>
      </c>
      <c r="AL21" s="100">
        <f>IF($H21=0,0,CHOOSE($H21,SUMPRODUCT($O22:$O$67*AL22:AL$67*($E22:$E$67=$D21)),IF(ISNUMBER(Data_2017!AF21),100*ABS($G21-(Data_2017!AF21-$K21)/$M21),0),IF(ISNUMBER(Data_2017!AF21),100*ABS($G21-(Data_2017!AF21-$K21)/$M21),0)))</f>
        <v>73.3333333333333</v>
      </c>
      <c r="AM21" s="100">
        <f>IF($H21=0,0,CHOOSE($H21,SUMPRODUCT($O22:$O$67*AM22:AM$67*($E22:$E$67=$D21)),IF(ISNUMBER(Data_2017!AG21),100*ABS($G21-(Data_2017!AG21-$K21)/$M21),0),IF(ISNUMBER(Data_2017!AG21),100*ABS($G21-(Data_2017!AG21-$K21)/$M21),0)))</f>
        <v>80</v>
      </c>
      <c r="AN21" s="100">
        <f>IF($H21=0,0,CHOOSE($H21,SUMPRODUCT($O22:$O$67*AN22:AN$67*($E22:$E$67=$D21)),IF(ISNUMBER(Data_2017!AH21),100*ABS($G21-(Data_2017!AH21-$K21)/$M21),0),IF(ISNUMBER(Data_2017!AH21),100*ABS($G21-(Data_2017!AH21-$K21)/$M21),0)))</f>
        <v>66.6666666666667</v>
      </c>
      <c r="AO21" s="100">
        <f>IF($H21=0,0,CHOOSE($H21,SUMPRODUCT($O22:$O$67*AO22:AO$67*($E22:$E$67=$D21)),IF(ISNUMBER(Data_2017!AI21),100*ABS($G21-(Data_2017!AI21-$K21)/$M21),0),IF(ISNUMBER(Data_2017!AI21),100*ABS($G21-(Data_2017!AI21-$K21)/$M21),0)))</f>
        <v>73.3333333333333</v>
      </c>
      <c r="AP21" s="100">
        <f>IF($H21=0,0,CHOOSE($H21,SUMPRODUCT($O22:$O$67*AP22:AP$67*($E22:$E$67=$D21)),IF(ISNUMBER(Data_2017!AJ21),100*ABS($G21-(Data_2017!AJ21-$K21)/$M21),0),IF(ISNUMBER(Data_2017!AJ21),100*ABS($G21-(Data_2017!AJ21-$K21)/$M21),0)))</f>
        <v>80</v>
      </c>
      <c r="AQ21" s="100">
        <f>IF($H21=0,0,CHOOSE($H21,SUMPRODUCT($O22:$O$67*AQ22:AQ$67*($E22:$E$67=$D21)),IF(ISNUMBER(Data_2017!AK21),100*ABS($G21-(Data_2017!AK21-$K21)/$M21),0),IF(ISNUMBER(Data_2017!AK21),100*ABS($G21-(Data_2017!AK21-$K21)/$M21),0)))</f>
        <v>86.6666666666667</v>
      </c>
      <c r="AR21" s="100">
        <f>IF($H21=0,0,CHOOSE($H21,SUMPRODUCT($O22:$O$67*AR22:AR$67*($E22:$E$67=$D21)),IF(ISNUMBER(Data_2017!AL21),100*ABS($G21-(Data_2017!AL21-$K21)/$M21),0),IF(ISNUMBER(Data_2017!AL21),100*ABS($G21-(Data_2017!AL21-$K21)/$M21),0)))</f>
        <v>86.6666666666667</v>
      </c>
      <c r="AS21" s="100">
        <f>IF($H21=0,0,CHOOSE($H21,SUMPRODUCT($O22:$O$67*AS22:AS$67*($E22:$E$67=$D21)),IF(ISNUMBER(Data_2017!AM21),100*ABS($G21-(Data_2017!AM21-$K21)/$M21),0),IF(ISNUMBER(Data_2017!AM21),100*ABS($G21-(Data_2017!AM21-$K21)/$M21),0)))</f>
        <v>93.3333333333333</v>
      </c>
      <c r="AT21" s="100">
        <f>IF($H21=0,0,CHOOSE($H21,SUMPRODUCT($O22:$O$67*AT22:AT$67*($E22:$E$67=$D21)),IF(ISNUMBER(Data_2017!AN21),100*ABS($G21-(Data_2017!AN21-$K21)/$M21),0),IF(ISNUMBER(Data_2017!AN21),100*ABS($G21-(Data_2017!AN21-$K21)/$M21),0)))</f>
        <v>93.3333333333333</v>
      </c>
      <c r="AU21" s="100">
        <f>IF($H21=0,0,CHOOSE($H21,SUMPRODUCT($O22:$O$67*AU22:AU$67*($E22:$E$67=$D21)),IF(ISNUMBER(Data_2017!AO21),100*ABS($G21-(Data_2017!AO21-$K21)/$M21),0),IF(ISNUMBER(Data_2017!AO21),100*ABS($G21-(Data_2017!AO21-$K21)/$M21),0)))</f>
        <v>73.3333333333333</v>
      </c>
      <c r="AV21" s="100">
        <f>IF($H21=0,0,CHOOSE($H21,SUMPRODUCT($O22:$O$67*AV22:AV$67*($E22:$E$67=$D21)),IF(ISNUMBER(Data_2017!AP21),100*ABS($G21-(Data_2017!AP21-$K21)/$M21),0),IF(ISNUMBER(Data_2017!AP21),100*ABS($G21-(Data_2017!AP21-$K21)/$M21),0)))</f>
        <v>100</v>
      </c>
      <c r="AW21" s="100">
        <f>IF($H21=0,0,CHOOSE($H21,SUMPRODUCT($O22:$O$67*AW22:AW$67*($E22:$E$67=$D21)),IF(ISNUMBER(Data_2017!AQ21),100*ABS($G21-(Data_2017!AQ21-$K21)/$M21),0),IF(ISNUMBER(Data_2017!AQ21),100*ABS($G21-(Data_2017!AQ21-$K21)/$M21),0)))</f>
        <v>86.6666666666667</v>
      </c>
      <c r="AX21" s="100">
        <f>IF($H21=0,0,CHOOSE($H21,SUMPRODUCT($O22:$O$67*AX22:AX$67*($E22:$E$67=$D21)),IF(ISNUMBER(Data_2017!AR21),100*ABS($G21-(Data_2017!AR21-$K21)/$M21),0),IF(ISNUMBER(Data_2017!AR21),100*ABS($G21-(Data_2017!AR21-$K21)/$M21),0)))</f>
        <v>93.3333333333333</v>
      </c>
      <c r="AY21" s="100">
        <f>IF($H21=0,0,CHOOSE($H21,SUMPRODUCT($O22:$O$67*AY22:AY$67*($E22:$E$67=$D21)),IF(ISNUMBER(Data_2017!AS21),100*ABS($G21-(Data_2017!AS21-$K21)/$M21),0),IF(ISNUMBER(Data_2017!AS21),100*ABS($G21-(Data_2017!AS21-$K21)/$M21),0)))</f>
        <v>80</v>
      </c>
      <c r="AZ21" s="100">
        <f>IF($H21=0,0,CHOOSE($H21,SUMPRODUCT($O22:$O$67*AZ22:AZ$67*($E22:$E$67=$D21)),IF(ISNUMBER(Data_2017!AT21),100*ABS($G21-(Data_2017!AT21-$K21)/$M21),0),IF(ISNUMBER(Data_2017!AT21),100*ABS($G21-(Data_2017!AT21-$K21)/$M21),0)))</f>
        <v>86.6666666666667</v>
      </c>
      <c r="BA21" s="100">
        <f>IF($H21=0,0,CHOOSE($H21,SUMPRODUCT($O22:$O$67*BA22:BA$67*($E22:$E$67=$D21)),IF(ISNUMBER(Data_2017!AU21),100*ABS($G21-(Data_2017!AU21-$K21)/$M21),0),IF(ISNUMBER(Data_2017!AU21),100*ABS($G21-(Data_2017!AU21-$K21)/$M21),0)))</f>
        <v>93.3333333333333</v>
      </c>
      <c r="BB21" s="100">
        <f>IF($H21=0,0,CHOOSE($H21,SUMPRODUCT($O22:$O$67*BB22:BB$67*($E22:$E$67=$D21)),IF(ISNUMBER(Data_2017!AV21),100*ABS($G21-(Data_2017!AV21-$K21)/$M21),0),IF(ISNUMBER(Data_2017!AV21),100*ABS($G21-(Data_2017!AV21-$K21)/$M21),0)))</f>
        <v>100</v>
      </c>
      <c r="BC21" s="100">
        <f>IF($H21=0,0,CHOOSE($H21,SUMPRODUCT($O22:$O$67*BC22:BC$67*($E22:$E$67=$D21)),IF(ISNUMBER(Data_2017!AW21),100*ABS($G21-(Data_2017!AW21-$K21)/$M21),0),IF(ISNUMBER(Data_2017!AW21),100*ABS($G21-(Data_2017!AW21-$K21)/$M21),0)))</f>
        <v>100</v>
      </c>
      <c r="BD21" s="100">
        <f>IF($H21=0,0,CHOOSE($H21,SUMPRODUCT($O22:$O$67*BD22:BD$67*($E22:$E$67=$D21)),IF(ISNUMBER(Data_2017!AX21),100*ABS($G21-(Data_2017!AX21-$K21)/$M21),0),IF(ISNUMBER(Data_2017!AX21),100*ABS($G21-(Data_2017!AX21-$K21)/$M21),0)))</f>
        <v>60</v>
      </c>
      <c r="BE21" s="100">
        <f>IF($H21=0,0,CHOOSE($H21,SUMPRODUCT($O22:$O$67*BE22:BE$67*($E22:$E$67=$D21)),IF(ISNUMBER(Data_2017!AY21),100*ABS($G21-(Data_2017!AY21-$K21)/$M21),0),IF(ISNUMBER(Data_2017!AY21),100*ABS($G21-(Data_2017!AY21-$K21)/$M21),0)))</f>
        <v>73.3333333333333</v>
      </c>
      <c r="BF21" s="100">
        <f>IF($H21=0,0,CHOOSE($H21,SUMPRODUCT($O22:$O$67*BF22:BF$67*($E22:$E$67=$D21)),IF(ISNUMBER(Data_2017!AZ21),100*ABS($G21-(Data_2017!AZ21-$K21)/$M21),0),IF(ISNUMBER(Data_2017!AZ21),100*ABS($G21-(Data_2017!AZ21-$K21)/$M21),0)))</f>
        <v>80</v>
      </c>
      <c r="BG21" s="100">
        <f>IF($H21=0,0,CHOOSE($H21,SUMPRODUCT($O22:$O$67*BG22:BG$67*($E22:$E$67=$D21)),IF(ISNUMBER(Data_2017!BA21),100*ABS($G21-(Data_2017!BA21-$K21)/$M21),0),IF(ISNUMBER(Data_2017!BA21),100*ABS($G21-(Data_2017!BA21-$K21)/$M21),0)))</f>
        <v>93.3333333333333</v>
      </c>
      <c r="BH21" s="100">
        <f>IF($H21=0,0,CHOOSE($H21,SUMPRODUCT($O22:$O$67*BH22:BH$67*($E22:$E$67=$D21)),IF(ISNUMBER(Data_2017!BB21),100*ABS($G21-(Data_2017!BB21-$K21)/$M21),0),IF(ISNUMBER(Data_2017!BB21),100*ABS($G21-(Data_2017!BB21-$K21)/$M21),0)))</f>
        <v>93.3333333333333</v>
      </c>
      <c r="BI21" s="100">
        <f>IF($H21=0,0,CHOOSE($H21,SUMPRODUCT($O22:$O$67*BI22:BI$67*($E22:$E$67=$D21)),IF(ISNUMBER(Data_2017!BC21),100*ABS($G21-(Data_2017!BC21-$K21)/$M21),0),IF(ISNUMBER(Data_2017!BC21),100*ABS($G21-(Data_2017!BC21-$K21)/$M21),0)))</f>
        <v>80</v>
      </c>
      <c r="BJ21" s="100">
        <f>IF($H21=0,0,CHOOSE($H21,SUMPRODUCT($O22:$O$67*BJ22:BJ$67*($E22:$E$67=$D21)),IF(ISNUMBER(Data_2017!BD21),100*ABS($G21-(Data_2017!BD21-$K21)/$M21),0),IF(ISNUMBER(Data_2017!BD21),100*ABS($G21-(Data_2017!BD21-$K21)/$M21),0)))</f>
        <v>80</v>
      </c>
      <c r="BK21" s="100">
        <f>IF($H21=0,0,CHOOSE($H21,SUMPRODUCT($O22:$O$67*BK22:BK$67*($E22:$E$67=$D21)),IF(ISNUMBER(Data_2017!BE21),100*ABS($G21-(Data_2017!BE21-$K21)/$M21),0),IF(ISNUMBER(Data_2017!BE21),100*ABS($G21-(Data_2017!BE21-$K21)/$M21),0)))</f>
        <v>93.3333333333333</v>
      </c>
      <c r="BL21" s="100">
        <f>IF($H21=0,0,CHOOSE($H21,SUMPRODUCT($O22:$O$67*BL22:BL$67*($E22:$E$67=$D21)),IF(ISNUMBER(Data_2017!BF21),100*ABS($G21-(Data_2017!BF21-$K21)/$M21),0),IF(ISNUMBER(Data_2017!BF21),100*ABS($G21-(Data_2017!BF21-$K21)/$M21),0)))</f>
        <v>86.6666666666667</v>
      </c>
      <c r="BM21" s="100">
        <f>IF($H21=0,0,CHOOSE($H21,SUMPRODUCT($O22:$O$67*BM22:BM$67*($E22:$E$67=$D21)),IF(ISNUMBER(Data_2017!BG21),100*ABS($G21-(Data_2017!BG21-$K21)/$M21),0),IF(ISNUMBER(Data_2017!BG21),100*ABS($G21-(Data_2017!BG21-$K21)/$M21),0)))</f>
        <v>93.3333333333333</v>
      </c>
      <c r="BN21" s="100">
        <f>IF($H21=0,0,CHOOSE($H21,SUMPRODUCT($O22:$O$67*BN22:BN$67*($E22:$E$67=$D21)),IF(ISNUMBER(Data_2017!BH21),100*ABS($G21-(Data_2017!BH21-$K21)/$M21),0),IF(ISNUMBER(Data_2017!BH21),100*ABS($G21-(Data_2017!BH21-$K21)/$M21),0)))</f>
        <v>86.6666666666667</v>
      </c>
      <c r="BO21" s="100">
        <f>IF($H21=0,0,CHOOSE($H21,SUMPRODUCT($O22:$O$67*BO22:BO$67*($E22:$E$67=$D21)),IF(ISNUMBER(Data_2017!BI21),100*ABS($G21-(Data_2017!BI21-$K21)/$M21),0),IF(ISNUMBER(Data_2017!BI21),100*ABS($G21-(Data_2017!BI21-$K21)/$M21),0)))</f>
        <v>100</v>
      </c>
      <c r="BP21" s="100">
        <f>IF($H21=0,0,CHOOSE($H21,SUMPRODUCT($O22:$O$67*BP22:BP$67*($E22:$E$67=$D21)),IF(ISNUMBER(Data_2017!BJ21),100*ABS($G21-(Data_2017!BJ21-$K21)/$M21),0),IF(ISNUMBER(Data_2017!BJ21),100*ABS($G21-(Data_2017!BJ21-$K21)/$M21),0)))</f>
        <v>86.6666666666667</v>
      </c>
      <c r="BQ21" s="100">
        <f>IF($H21=0,0,CHOOSE($H21,SUMPRODUCT($O22:$O$67*BQ22:BQ$67*($E22:$E$67=$D21)),IF(ISNUMBER(Data_2017!BK21),100*ABS($G21-(Data_2017!BK21-$K21)/$M21),0),IF(ISNUMBER(Data_2017!BK21),100*ABS($G21-(Data_2017!BK21-$K21)/$M21),0)))</f>
        <v>66.6666666666667</v>
      </c>
      <c r="BR21" s="100">
        <f>IF($H21=0,0,CHOOSE($H21,SUMPRODUCT($O22:$O$67*BR22:BR$67*($E22:$E$67=$D21)),IF(ISNUMBER(Data_2017!BL21),100*ABS($G21-(Data_2017!BL21-$K21)/$M21),0),IF(ISNUMBER(Data_2017!BL21),100*ABS($G21-(Data_2017!BL21-$K21)/$M21),0)))</f>
        <v>100</v>
      </c>
      <c r="BS21" s="100">
        <f>IF($H21=0,0,CHOOSE($H21,SUMPRODUCT($O22:$O$67*BS22:BS$67*($E22:$E$67=$D21)),IF(ISNUMBER(Data_2017!BM21),100*ABS($G21-(Data_2017!BM21-$K21)/$M21),0),IF(ISNUMBER(Data_2017!BM21),100*ABS($G21-(Data_2017!BM21-$K21)/$M21),0)))</f>
        <v>100</v>
      </c>
      <c r="BT21" s="100">
        <f>IF($H21=0,0,CHOOSE($H21,SUMPRODUCT($O22:$O$67*BT22:BT$67*($E22:$E$67=$D21)),IF(ISNUMBER(Data_2017!BN21),100*ABS($G21-(Data_2017!BN21-$K21)/$M21),0),IF(ISNUMBER(Data_2017!BN21),100*ABS($G21-(Data_2017!BN21-$K21)/$M21),0)))</f>
        <v>93.3333333333333</v>
      </c>
      <c r="BU21" s="100">
        <f>IF($H21=0,0,CHOOSE($H21,SUMPRODUCT($O22:$O$67*BU22:BU$67*($E22:$E$67=$D21)),IF(ISNUMBER(Data_2017!BO21),100*ABS($G21-(Data_2017!BO21-$K21)/$M21),0),IF(ISNUMBER(Data_2017!BO21),100*ABS($G21-(Data_2017!BO21-$K21)/$M21),0)))</f>
        <v>93.3333333333333</v>
      </c>
      <c r="BV21" s="100">
        <f>IF($H21=0,0,CHOOSE($H21,SUMPRODUCT($O22:$O$67*BV22:BV$67*($E22:$E$67=$D21)),IF(ISNUMBER(Data_2017!BP21),100*ABS($G21-(Data_2017!BP21-$K21)/$M21),0),IF(ISNUMBER(Data_2017!BP21),100*ABS($G21-(Data_2017!BP21-$K21)/$M21),0)))</f>
        <v>60</v>
      </c>
      <c r="BW21" s="100">
        <f>IF($H21=0,0,CHOOSE($H21,SUMPRODUCT($O22:$O$67*BW22:BW$67*($E22:$E$67=$D21)),IF(ISNUMBER(Data_2017!BQ21),100*ABS($G21-(Data_2017!BQ21-$K21)/$M21),0),IF(ISNUMBER(Data_2017!BQ21),100*ABS($G21-(Data_2017!BQ21-$K21)/$M21),0)))</f>
        <v>100</v>
      </c>
      <c r="BX21" s="100">
        <f>IF($H21=0,0,CHOOSE($H21,SUMPRODUCT($O22:$O$67*BX22:BX$67*($E22:$E$67=$D21)),IF(ISNUMBER(Data_2017!BR21),100*ABS($G21-(Data_2017!BR21-$K21)/$M21),0),IF(ISNUMBER(Data_2017!BR21),100*ABS($G21-(Data_2017!BR21-$K21)/$M21),0)))</f>
        <v>100</v>
      </c>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row>
    <row r="22" s="69" customFormat="1" ht="24.95" customHeight="1" spans="1:130">
      <c r="A22" s="92"/>
      <c r="B22" s="92">
        <f>tblIndicators!A18</f>
        <v>17</v>
      </c>
      <c r="C22" s="92">
        <f>tblIndicators!B18</f>
        <v>0</v>
      </c>
      <c r="D22" s="92" t="str">
        <f>tblIndicators!D18</f>
        <v>HESE2.1.3</v>
      </c>
      <c r="E22" s="92" t="str">
        <f>tblIndicators!E18</f>
        <v>HESE2.1</v>
      </c>
      <c r="F22" s="92">
        <f>tblIndicators!F18</f>
        <v>3</v>
      </c>
      <c r="G22" s="92">
        <f>tblIndicators!Y18</f>
        <v>0</v>
      </c>
      <c r="H22" s="92">
        <f>tblIndicators!Z18</f>
        <v>2</v>
      </c>
      <c r="I22" s="104">
        <f>tblIndicators!AA18</f>
        <v>0</v>
      </c>
      <c r="J22" s="92">
        <f>tblIndicators!AB18</f>
        <v>0</v>
      </c>
      <c r="K22" s="89">
        <f>IF(uxb_works!$B$66=1,CHOOSE(H22,"-",MIN(Data_2017!J22:BR22),I22),CHOOSE(H22,"-",MIN(Data_2017!J22:BQ22),I22))</f>
        <v>0.1</v>
      </c>
      <c r="L22" s="97">
        <f>IF(uxb_works!$B$66=1,CHOOSE(H22,"-",MAX(Data_2017!J22:BR22),J22),CHOOSE(H22,"-",MAX(Data_2017!J22:BQ22),J22))</f>
        <v>12.199</v>
      </c>
      <c r="M22" s="92">
        <f t="shared" si="1"/>
        <v>12.099</v>
      </c>
      <c r="N22" s="105" t="str">
        <f>REPT(" ",F22)&amp;tblIndicators!AE18</f>
        <v>   2.1.3) No. of beds per 1,000</v>
      </c>
      <c r="O22" s="106">
        <f>tblIndicators!AD18</f>
        <v>0.166666666666667</v>
      </c>
      <c r="P22" s="100">
        <f>IF($H22=0,0,CHOOSE($H22,SUMPRODUCT($O23:$O$67*P23:P$67*($E23:$E$67=$D22)),IF(ISNUMBER(Data_2017!J22),100*ABS($G22-(Data_2017!J22-$K22)/$M22),0),IF(ISNUMBER(Data_2017!J22),100*ABS($G22-(Data_2017!J22-$K22)/$M22),0)))</f>
        <v>8.26514587982478</v>
      </c>
      <c r="Q22" s="100">
        <f>IF($H22=0,0,CHOOSE($H22,SUMPRODUCT($O23:$O$67*Q23:Q$67*($E23:$E$67=$D22)),IF(ISNUMBER(Data_2017!K22),100*ABS($G22-(Data_2017!K22-$K22)/$M22),0),IF(ISNUMBER(Data_2017!K22),100*ABS($G22-(Data_2017!K22-$K22)/$M22),0)))</f>
        <v>38.019671047194</v>
      </c>
      <c r="R22" s="100">
        <f>IF($H22=0,0,CHOOSE($H22,SUMPRODUCT($O23:$O$67*R23:R$67*($E23:$E$67=$D22)),IF(ISNUMBER(Data_2017!L22),100*ABS($G22-(Data_2017!L22-$K22)/$M22),0),IF(ISNUMBER(Data_2017!L22),100*ABS($G22-(Data_2017!L22-$K22)/$M22),0)))</f>
        <v>38.8461856351765</v>
      </c>
      <c r="S22" s="100">
        <f>IF($H22=0,0,CHOOSE($H22,SUMPRODUCT($O23:$O$67*S23:S$67*($E23:$E$67=$D22)),IF(ISNUMBER(Data_2017!M22),100*ABS($G22-(Data_2017!M22-$K22)/$M22),0),IF(ISNUMBER(Data_2017!M22),100*ABS($G22-(Data_2017!M22-$K22)/$M22),0)))</f>
        <v>16.5302917596496</v>
      </c>
      <c r="T22" s="100">
        <f>IF($H22=0,0,CHOOSE($H22,SUMPRODUCT($O23:$O$67*T23:T$67*($E23:$E$67=$D22)),IF(ISNUMBER(Data_2017!N22),100*ABS($G22-(Data_2017!N22-$K22)/$M22),0),IF(ISNUMBER(Data_2017!N22),100*ABS($G22-(Data_2017!N22-$K22)/$M22),0)))</f>
        <v>24.7954376394743</v>
      </c>
      <c r="U22" s="100">
        <f>IF($H22=0,0,CHOOSE($H22,SUMPRODUCT($O23:$O$67*U23:U$67*($E23:$E$67=$D22)),IF(ISNUMBER(Data_2017!O22),100*ABS($G22-(Data_2017!O22-$K22)/$M22),0),IF(ISNUMBER(Data_2017!O22),100*ABS($G22-(Data_2017!O22-$K22)/$M22),0)))</f>
        <v>47.8998604880051</v>
      </c>
      <c r="V22" s="100">
        <f>IF($H22=0,0,CHOOSE($H22,SUMPRODUCT($O23:$O$67*V23:V$67*($E23:$E$67=$D22)),IF(ISNUMBER(Data_2017!P22),100*ABS($G22-(Data_2017!P22-$K22)/$M22),0),IF(ISNUMBER(Data_2017!P22),100*ABS($G22-(Data_2017!P22-$K22)/$M22),0)))</f>
        <v>11.5712042317547</v>
      </c>
      <c r="W22" s="100">
        <f>IF($H22=0,0,CHOOSE($H22,SUMPRODUCT($O23:$O$67*W23:W$67*($E23:$E$67=$D22)),IF(ISNUMBER(Data_2017!Q22),100*ABS($G22-(Data_2017!Q22-$K22)/$M22),0),IF(ISNUMBER(Data_2017!Q22),100*ABS($G22-(Data_2017!Q22-$K22)/$M22),0)))</f>
        <v>52.8969336308786</v>
      </c>
      <c r="X22" s="100">
        <f>IF($H22=0,0,CHOOSE($H22,SUMPRODUCT($O23:$O$67*X23:X$67*($E23:$E$67=$D22)),IF(ISNUMBER(Data_2017!R22),100*ABS($G22-(Data_2017!R22-$K22)/$M22),0),IF(ISNUMBER(Data_2017!R22),100*ABS($G22-(Data_2017!R22-$K22)/$M22),0)))</f>
        <v>38.019671047194</v>
      </c>
      <c r="Y22" s="100">
        <f>IF($H22=0,0,CHOOSE($H22,SUMPRODUCT($O23:$O$67*Y23:Y$67*($E23:$E$67=$D22)),IF(ISNUMBER(Data_2017!S22),100*ABS($G22-(Data_2017!S22-$K22)/$M22),0),IF(ISNUMBER(Data_2017!S22),100*ABS($G22-(Data_2017!S22-$K22)/$M22),0)))</f>
        <v>3.30605835192991</v>
      </c>
      <c r="Z22" s="100">
        <f>IF($H22=0,0,CHOOSE($H22,SUMPRODUCT($O23:$O$67*Z23:Z$67*($E23:$E$67=$D22)),IF(ISNUMBER(Data_2017!T22),100*ABS($G22-(Data_2017!T22-$K22)/$M22),0),IF(ISNUMBER(Data_2017!T22),100*ABS($G22-(Data_2017!T22-$K22)/$M22),0)))</f>
        <v>6.61211670385982</v>
      </c>
      <c r="AA22" s="100">
        <f>IF($H22=0,0,CHOOSE($H22,SUMPRODUCT($O23:$O$67*AA23:AA$67*($E23:$E$67=$D22)),IF(ISNUMBER(Data_2017!U22),100*ABS($G22-(Data_2017!U22-$K22)/$M22),0),IF(ISNUMBER(Data_2017!U22),100*ABS($G22-(Data_2017!U22-$K22)/$M22),0)))</f>
        <v>6.61211670385982</v>
      </c>
      <c r="AB22" s="100">
        <f>IF($H22=0,0,CHOOSE($H22,SUMPRODUCT($O23:$O$67*AB23:AB$67*($E23:$E$67=$D22)),IF(ISNUMBER(Data_2017!V22),100*ABS($G22-(Data_2017!V22-$K22)/$M22),0),IF(ISNUMBER(Data_2017!V22),100*ABS($G22-(Data_2017!V22-$K22)/$M22),0)))</f>
        <v>19.8363501115795</v>
      </c>
      <c r="AC22" s="100">
        <f>IF($H22=0,0,CHOOSE($H22,SUMPRODUCT($O23:$O$67*AC23:AC$67*($E23:$E$67=$D22)),IF(ISNUMBER(Data_2017!W22),100*ABS($G22-(Data_2017!W22-$K22)/$M22),0),IF(ISNUMBER(Data_2017!W22),100*ABS($G22-(Data_2017!W22-$K22)/$M22),0)))</f>
        <v>18.1833209356145</v>
      </c>
      <c r="AD22" s="100">
        <f>IF($H22=0,0,CHOOSE($H22,SUMPRODUCT($O23:$O$67*AD23:AD$67*($E23:$E$67=$D22)),IF(ISNUMBER(Data_2017!X22),100*ABS($G22-(Data_2017!X22-$K22)/$M22),0),IF(ISNUMBER(Data_2017!X22),100*ABS($G22-(Data_2017!X22-$K22)/$M22),0)))</f>
        <v>21.5720307463427</v>
      </c>
      <c r="AE22" s="100">
        <f>IF($H22=0,0,CHOOSE($H22,SUMPRODUCT($O23:$O$67*AE23:AE$67*($E23:$E$67=$D22)),IF(ISNUMBER(Data_2017!Y22),100*ABS($G22-(Data_2017!Y22-$K22)/$M22),0),IF(ISNUMBER(Data_2017!Y22),100*ABS($G22-(Data_2017!Y22-$K22)/$M22),0)))</f>
        <v>4.13257293991239</v>
      </c>
      <c r="AF22" s="100">
        <f>IF($H22=0,0,CHOOSE($H22,SUMPRODUCT($O23:$O$67*AF23:AF$67*($E23:$E$67=$D22)),IF(ISNUMBER(Data_2017!Z22),100*ABS($G22-(Data_2017!Z22-$K22)/$M22),0),IF(ISNUMBER(Data_2017!Z22),100*ABS($G22-(Data_2017!Z22-$K22)/$M22),0)))</f>
        <v>9.09166046780725</v>
      </c>
      <c r="AG22" s="100">
        <f>IF($H22=0,0,CHOOSE($H22,SUMPRODUCT($O23:$O$67*AG23:AG$67*($E23:$E$67=$D22)),IF(ISNUMBER(Data_2017!AA22),100*ABS($G22-(Data_2017!AA22-$K22)/$M22),0),IF(ISNUMBER(Data_2017!AA22),100*ABS($G22-(Data_2017!AA22-$K22)/$M22),0)))</f>
        <v>66.9476816265807</v>
      </c>
      <c r="AH22" s="100">
        <f>IF($H22=0,0,CHOOSE($H22,SUMPRODUCT($O23:$O$67*AH23:AH$67*($E23:$E$67=$D22)),IF(ISNUMBER(Data_2017!AB22),100*ABS($G22-(Data_2017!AB22-$K22)/$M22),0),IF(ISNUMBER(Data_2017!AB22),100*ABS($G22-(Data_2017!AB22-$K22)/$M22),0)))</f>
        <v>15.7037771716671</v>
      </c>
      <c r="AI22" s="100">
        <f>IF($H22=0,0,CHOOSE($H22,SUMPRODUCT($O23:$O$67*AI23:AI$67*($E23:$E$67=$D22)),IF(ISNUMBER(Data_2017!AC22),100*ABS($G22-(Data_2017!AC22-$K22)/$M22),0),IF(ISNUMBER(Data_2017!AC22),100*ABS($G22-(Data_2017!AC22-$K22)/$M22),0)))</f>
        <v>42.1522439871064</v>
      </c>
      <c r="AJ22" s="100">
        <f>IF($H22=0,0,CHOOSE($H22,SUMPRODUCT($O23:$O$67*AJ23:AJ$67*($E23:$E$67=$D22)),IF(ISNUMBER(Data_2017!AD22),100*ABS($G22-(Data_2017!AD22-$K22)/$M22),0),IF(ISNUMBER(Data_2017!AD22),100*ABS($G22-(Data_2017!AD22-$K22)/$M22),0)))</f>
        <v>19.8363501115795</v>
      </c>
      <c r="AK22" s="100">
        <f>IF($H22=0,0,CHOOSE($H22,SUMPRODUCT($O23:$O$67*AK23:AK$67*($E23:$E$67=$D22)),IF(ISNUMBER(Data_2017!AE22),100*ABS($G22-(Data_2017!AE22-$K22)/$M22),0),IF(ISNUMBER(Data_2017!AE22),100*ABS($G22-(Data_2017!AE22-$K22)/$M22),0)))</f>
        <v>6.61211670385982</v>
      </c>
      <c r="AL22" s="100">
        <f>IF($H22=0,0,CHOOSE($H22,SUMPRODUCT($O23:$O$67*AL23:AL$67*($E23:$E$67=$D22)),IF(ISNUMBER(Data_2017!AF22),100*ABS($G22-(Data_2017!AF22-$K22)/$M22),0),IF(ISNUMBER(Data_2017!AF22),100*ABS($G22-(Data_2017!AF22-$K22)/$M22),0)))</f>
        <v>11.1884749095716</v>
      </c>
      <c r="AM22" s="100">
        <f>IF($H22=0,0,CHOOSE($H22,SUMPRODUCT($O23:$O$67*AM23:AM$67*($E23:$E$67=$D22)),IF(ISNUMBER(Data_2017!AG22),100*ABS($G22-(Data_2017!AG22-$K22)/$M22),0),IF(ISNUMBER(Data_2017!AG22),100*ABS($G22-(Data_2017!AG22-$K22)/$M22),0)))</f>
        <v>19.8363501115795</v>
      </c>
      <c r="AN22" s="100">
        <f>IF($H22=0,0,CHOOSE($H22,SUMPRODUCT($O23:$O$67*AN23:AN$67*($E23:$E$67=$D22)),IF(ISNUMBER(Data_2017!AH22),100*ABS($G22-(Data_2017!AH22-$K22)/$M22),0),IF(ISNUMBER(Data_2017!AH22),100*ABS($G22-(Data_2017!AH22-$K22)/$M22),0)))</f>
        <v>4.13257293991239</v>
      </c>
      <c r="AO22" s="100">
        <f>IF($H22=0,0,CHOOSE($H22,SUMPRODUCT($O23:$O$67*AO23:AO$67*($E23:$E$67=$D22)),IF(ISNUMBER(Data_2017!AI22),100*ABS($G22-(Data_2017!AI22-$K22)/$M22),0),IF(ISNUMBER(Data_2017!AI22),100*ABS($G22-(Data_2017!AI22-$K22)/$M22),0)))</f>
        <v>14.8772625836846</v>
      </c>
      <c r="AP22" s="100">
        <f>IF($H22=0,0,CHOOSE($H22,SUMPRODUCT($O23:$O$67*AP23:AP$67*($E23:$E$67=$D22)),IF(ISNUMBER(Data_2017!AJ22),100*ABS($G22-(Data_2017!AJ22-$K22)/$M22),0),IF(ISNUMBER(Data_2017!AJ22),100*ABS($G22-(Data_2017!AJ22-$K22)/$M22),0)))</f>
        <v>17.356806347632</v>
      </c>
      <c r="AQ22" s="100">
        <f>IF($H22=0,0,CHOOSE($H22,SUMPRODUCT($O23:$O$67*AQ23:AQ$67*($E23:$E$67=$D22)),IF(ISNUMBER(Data_2017!AK22),100*ABS($G22-(Data_2017!AK22-$K22)/$M22),0),IF(ISNUMBER(Data_2017!AK22),100*ABS($G22-(Data_2017!AK22-$K22)/$M22),0)))</f>
        <v>11.5712042317547</v>
      </c>
      <c r="AR22" s="100">
        <f>IF($H22=0,0,CHOOSE($H22,SUMPRODUCT($O23:$O$67*AR23:AR$67*($E23:$E$67=$D22)),IF(ISNUMBER(Data_2017!AL22),100*ABS($G22-(Data_2017!AL22-$K22)/$M22),0),IF(ISNUMBER(Data_2017!AL22),100*ABS($G22-(Data_2017!AL22-$K22)/$M22),0)))</f>
        <v>23.1424084635094</v>
      </c>
      <c r="AS22" s="100">
        <f>IF($H22=0,0,CHOOSE($H22,SUMPRODUCT($O23:$O$67*AS23:AS$67*($E23:$E$67=$D22)),IF(ISNUMBER(Data_2017!AM22),100*ABS($G22-(Data_2017!AM22-$K22)/$M22),0),IF(ISNUMBER(Data_2017!AM22),100*ABS($G22-(Data_2017!AM22-$K22)/$M22),0)))</f>
        <v>14.0507479957021</v>
      </c>
      <c r="AT22" s="100">
        <f>IF($H22=0,0,CHOOSE($H22,SUMPRODUCT($O23:$O$67*AT23:AT$67*($E23:$E$67=$D22)),IF(ISNUMBER(Data_2017!AN22),100*ABS($G22-(Data_2017!AN22-$K22)/$M22),0),IF(ISNUMBER(Data_2017!AN22),100*ABS($G22-(Data_2017!AN22-$K22)/$M22),0)))</f>
        <v>24.7954376394743</v>
      </c>
      <c r="AU22" s="100">
        <f>IF($H22=0,0,CHOOSE($H22,SUMPRODUCT($O23:$O$67*AU23:AU$67*($E23:$E$67=$D22)),IF(ISNUMBER(Data_2017!AO22),100*ABS($G22-(Data_2017!AO22-$K22)/$M22),0),IF(ISNUMBER(Data_2017!AO22),100*ABS($G22-(Data_2017!AO22-$K22)/$M22),0)))</f>
        <v>7.4386312918423</v>
      </c>
      <c r="AV22" s="100">
        <f>IF($H22=0,0,CHOOSE($H22,SUMPRODUCT($O23:$O$67*AV23:AV$67*($E23:$E$67=$D22)),IF(ISNUMBER(Data_2017!AP22),100*ABS($G22-(Data_2017!AP22-$K22)/$M22),0),IF(ISNUMBER(Data_2017!AP22),100*ABS($G22-(Data_2017!AP22-$K22)/$M22),0)))</f>
        <v>31.4075543433342</v>
      </c>
      <c r="AW22" s="100">
        <f>IF($H22=0,0,CHOOSE($H22,SUMPRODUCT($O23:$O$67*AW23:AW$67*($E23:$E$67=$D22)),IF(ISNUMBER(Data_2017!AQ22),100*ABS($G22-(Data_2017!AQ22-$K22)/$M22),0),IF(ISNUMBER(Data_2017!AQ22),100*ABS($G22-(Data_2017!AQ22-$K22)/$M22),0)))</f>
        <v>11.5712042317547</v>
      </c>
      <c r="AX22" s="100">
        <f>IF($H22=0,0,CHOOSE($H22,SUMPRODUCT($O23:$O$67*AX23:AX$67*($E23:$E$67=$D22)),IF(ISNUMBER(Data_2017!AR22),100*ABS($G22-(Data_2017!AR22-$K22)/$M22),0),IF(ISNUMBER(Data_2017!AR22),100*ABS($G22-(Data_2017!AR22-$K22)/$M22),0)))</f>
        <v>27.2749814034218</v>
      </c>
      <c r="AY22" s="100">
        <f>IF($H22=0,0,CHOOSE($H22,SUMPRODUCT($O23:$O$67*AY23:AY$67*($E23:$E$67=$D22)),IF(ISNUMBER(Data_2017!AS22),100*ABS($G22-(Data_2017!AS22-$K22)/$M22),0),IF(ISNUMBER(Data_2017!AS22),100*ABS($G22-(Data_2017!AS22-$K22)/$M22),0)))</f>
        <v>89.1809268807339</v>
      </c>
      <c r="AZ22" s="100">
        <f>IF($H22=0,0,CHOOSE($H22,SUMPRODUCT($O23:$O$67*AZ23:AZ$67*($E23:$E$67=$D22)),IF(ISNUMBER(Data_2017!AT22),100*ABS($G22-(Data_2017!AT22-$K22)/$M22),0),IF(ISNUMBER(Data_2017!AT22),100*ABS($G22-(Data_2017!AT22-$K22)/$M22),0)))</f>
        <v>26.4484668154393</v>
      </c>
      <c r="BA22" s="100">
        <f>IF($H22=0,0,CHOOSE($H22,SUMPRODUCT($O23:$O$67*BA23:BA$67*($E23:$E$67=$D22)),IF(ISNUMBER(Data_2017!AU22),100*ABS($G22-(Data_2017!AU22-$K22)/$M22),0),IF(ISNUMBER(Data_2017!AU22),100*ABS($G22-(Data_2017!AU22-$K22)/$M22),0)))</f>
        <v>21.4893792875444</v>
      </c>
      <c r="BB22" s="100">
        <f>IF($H22=0,0,CHOOSE($H22,SUMPRODUCT($O23:$O$67*BB23:BB$67*($E23:$E$67=$D22)),IF(ISNUMBER(Data_2017!AV22),100*ABS($G22-(Data_2017!AV22-$K22)/$M22),0),IF(ISNUMBER(Data_2017!AV22),100*ABS($G22-(Data_2017!AV22-$K22)/$M22),0)))</f>
        <v>100</v>
      </c>
      <c r="BC22" s="100">
        <f>IF($H22=0,0,CHOOSE($H22,SUMPRODUCT($O23:$O$67*BC23:BC$67*($E23:$E$67=$D22)),IF(ISNUMBER(Data_2017!AW22),100*ABS($G22-(Data_2017!AW22-$K22)/$M22),0),IF(ISNUMBER(Data_2017!AW22),100*ABS($G22-(Data_2017!AW22-$K22)/$M22),0)))</f>
        <v>52.0704190428961</v>
      </c>
      <c r="BD22" s="100">
        <f>IF($H22=0,0,CHOOSE($H22,SUMPRODUCT($O23:$O$67*BD23:BD$67*($E23:$E$67=$D22)),IF(ISNUMBER(Data_2017!AX22),100*ABS($G22-(Data_2017!AX22-$K22)/$M22),0),IF(ISNUMBER(Data_2017!AX22),100*ABS($G22-(Data_2017!AX22-$K22)/$M22),0)))</f>
        <v>12.3977188197372</v>
      </c>
      <c r="BE22" s="100">
        <f>IF($H22=0,0,CHOOSE($H22,SUMPRODUCT($O23:$O$67*BE23:BE$67*($E23:$E$67=$D22)),IF(ISNUMBER(Data_2017!AY22),100*ABS($G22-(Data_2017!AY22-$K22)/$M22),0),IF(ISNUMBER(Data_2017!AY22),100*ABS($G22-(Data_2017!AY22-$K22)/$M22),0)))</f>
        <v>18.1833209356145</v>
      </c>
      <c r="BF22" s="100">
        <f>IF($H22=0,0,CHOOSE($H22,SUMPRODUCT($O23:$O$67*BF23:BF$67*($E23:$E$67=$D22)),IF(ISNUMBER(Data_2017!AZ22),100*ABS($G22-(Data_2017!AZ22-$K22)/$M22),0),IF(ISNUMBER(Data_2017!AZ22),100*ABS($G22-(Data_2017!AZ22-$K22)/$M22),0)))</f>
        <v>12.7043408014275</v>
      </c>
      <c r="BG22" s="100">
        <f>IF($H22=0,0,CHOOSE($H22,SUMPRODUCT($O23:$O$67*BG23:BG$67*($E23:$E$67=$D22)),IF(ISNUMBER(Data_2017!BA22),100*ABS($G22-(Data_2017!BA22-$K22)/$M22),0),IF(ISNUMBER(Data_2017!BA22),100*ABS($G22-(Data_2017!BA22-$K22)/$M22),0)))</f>
        <v>27.2749814034218</v>
      </c>
      <c r="BH22" s="100">
        <f>IF($H22=0,0,CHOOSE($H22,SUMPRODUCT($O23:$O$67*BH23:BH$67*($E23:$E$67=$D22)),IF(ISNUMBER(Data_2017!BB22),100*ABS($G22-(Data_2017!BB22-$K22)/$M22),0),IF(ISNUMBER(Data_2017!BB22),100*ABS($G22-(Data_2017!BB22-$K22)/$M22),0)))</f>
        <v>14.0507479957021</v>
      </c>
      <c r="BI22" s="100">
        <f>IF($H22=0,0,CHOOSE($H22,SUMPRODUCT($O23:$O$67*BI23:BI$67*($E23:$E$67=$D22)),IF(ISNUMBER(Data_2017!BC22),100*ABS($G22-(Data_2017!BC22-$K22)/$M22),0),IF(ISNUMBER(Data_2017!BC22),100*ABS($G22-(Data_2017!BC22-$K22)/$M22),0)))</f>
        <v>16.5302917596496</v>
      </c>
      <c r="BJ22" s="100">
        <f>IF($H22=0,0,CHOOSE($H22,SUMPRODUCT($O23:$O$67*BJ23:BJ$67*($E23:$E$67=$D22)),IF(ISNUMBER(Data_2017!BD22),100*ABS($G22-(Data_2017!BD22-$K22)/$M22),0),IF(ISNUMBER(Data_2017!BD22),100*ABS($G22-(Data_2017!BD22-$K22)/$M22),0)))</f>
        <v>18.1833209356145</v>
      </c>
      <c r="BK22" s="100">
        <f>IF($H22=0,0,CHOOSE($H22,SUMPRODUCT($O23:$O$67*BK23:BK$67*($E23:$E$67=$D22)),IF(ISNUMBER(Data_2017!BE22),100*ABS($G22-(Data_2017!BE22-$K22)/$M22),0),IF(ISNUMBER(Data_2017!BE22),100*ABS($G22-(Data_2017!BE22-$K22)/$M22),0)))</f>
        <v>84.3044879742127</v>
      </c>
      <c r="BL22" s="100">
        <f>IF($H22=0,0,CHOOSE($H22,SUMPRODUCT($O23:$O$67*BL23:BL$67*($E23:$E$67=$D22)),IF(ISNUMBER(Data_2017!BF22),100*ABS($G22-(Data_2017!BF22-$K22)/$M22),0),IF(ISNUMBER(Data_2017!BF22),100*ABS($G22-(Data_2017!BF22-$K22)/$M22),0)))</f>
        <v>44.5449612297414</v>
      </c>
      <c r="BM22" s="100">
        <f>IF($H22=0,0,CHOOSE($H22,SUMPRODUCT($O23:$O$67*BM23:BM$67*($E23:$E$67=$D22)),IF(ISNUMBER(Data_2017!BG22),100*ABS($G22-(Data_2017!BG22-$K22)/$M22),0),IF(ISNUMBER(Data_2017!BG22),100*ABS($G22-(Data_2017!BG22-$K22)/$M22),0)))</f>
        <v>15.7037771716671</v>
      </c>
      <c r="BN22" s="100">
        <f>IF($H22=0,0,CHOOSE($H22,SUMPRODUCT($O23:$O$67*BN23:BN$67*($E23:$E$67=$D22)),IF(ISNUMBER(Data_2017!BH22),100*ABS($G22-(Data_2017!BH22-$K22)/$M22),0),IF(ISNUMBER(Data_2017!BH22),100*ABS($G22-(Data_2017!BH22-$K22)/$M22),0)))</f>
        <v>21.4893792875444</v>
      </c>
      <c r="BO22" s="100">
        <f>IF($H22=0,0,CHOOSE($H22,SUMPRODUCT($O23:$O$67*BO23:BO$67*($E23:$E$67=$D22)),IF(ISNUMBER(Data_2017!BI22),100*ABS($G22-(Data_2017!BI22-$K22)/$M22),0),IF(ISNUMBER(Data_2017!BI22),100*ABS($G22-(Data_2017!BI22-$K22)/$M22),0)))</f>
        <v>31.4075543433342</v>
      </c>
      <c r="BP22" s="100">
        <f>IF($H22=0,0,CHOOSE($H22,SUMPRODUCT($O23:$O$67*BP23:BP$67*($E23:$E$67=$D22)),IF(ISNUMBER(Data_2017!BJ22),100*ABS($G22-(Data_2017!BJ22-$K22)/$M22),0),IF(ISNUMBER(Data_2017!BJ22),100*ABS($G22-(Data_2017!BJ22-$K22)/$M22),0)))</f>
        <v>75.328539548723</v>
      </c>
      <c r="BQ22" s="100">
        <f>IF($H22=0,0,CHOOSE($H22,SUMPRODUCT($O23:$O$67*BQ23:BQ$67*($E23:$E$67=$D22)),IF(ISNUMBER(Data_2017!BK22),100*ABS($G22-(Data_2017!BK22-$K22)/$M22),0),IF(ISNUMBER(Data_2017!BK22),100*ABS($G22-(Data_2017!BK22-$K22)/$M22),0)))</f>
        <v>0</v>
      </c>
      <c r="BR22" s="100">
        <f>IF($H22=0,0,CHOOSE($H22,SUMPRODUCT($O23:$O$67*BR23:BR$67*($E23:$E$67=$D22)),IF(ISNUMBER(Data_2017!BL22),100*ABS($G22-(Data_2017!BL22-$K22)/$M22),0),IF(ISNUMBER(Data_2017!BL22),100*ABS($G22-(Data_2017!BL22-$K22)/$M22),0)))</f>
        <v>77.5518637903959</v>
      </c>
      <c r="BS22" s="100">
        <f>IF($H22=0,0,CHOOSE($H22,SUMPRODUCT($O23:$O$67*BS23:BS$67*($E23:$E$67=$D22)),IF(ISNUMBER(Data_2017!BM22),100*ABS($G22-(Data_2017!BM22-$K22)/$M22),0),IF(ISNUMBER(Data_2017!BM22),100*ABS($G22-(Data_2017!BM22-$K22)/$M22),0)))</f>
        <v>21.4893792875444</v>
      </c>
      <c r="BT22" s="100">
        <f>IF($H22=0,0,CHOOSE($H22,SUMPRODUCT($O23:$O$67*BT23:BT$67*($E23:$E$67=$D22)),IF(ISNUMBER(Data_2017!BN22),100*ABS($G22-(Data_2017!BN22-$K22)/$M22),0),IF(ISNUMBER(Data_2017!BN22),100*ABS($G22-(Data_2017!BN22-$K22)/$M22),0)))</f>
        <v>13.2242334077196</v>
      </c>
      <c r="BU22" s="100">
        <f>IF($H22=0,0,CHOOSE($H22,SUMPRODUCT($O23:$O$67*BU23:BU$67*($E23:$E$67=$D22)),IF(ISNUMBER(Data_2017!BO22),100*ABS($G22-(Data_2017!BO22-$K22)/$M22),0),IF(ISNUMBER(Data_2017!BO22),100*ABS($G22-(Data_2017!BO22-$K22)/$M22),0)))</f>
        <v>18.1833209356145</v>
      </c>
      <c r="BV22" s="100">
        <f>IF($H22=0,0,CHOOSE($H22,SUMPRODUCT($O23:$O$67*BV23:BV$67*($E23:$E$67=$D22)),IF(ISNUMBER(Data_2017!BP22),100*ABS($G22-(Data_2017!BP22-$K22)/$M22),0),IF(ISNUMBER(Data_2017!BP22),100*ABS($G22-(Data_2017!BP22-$K22)/$M22),0)))</f>
        <v>4.95908752789487</v>
      </c>
      <c r="BW22" s="100">
        <f>IF($H22=0,0,CHOOSE($H22,SUMPRODUCT($O23:$O$67*BW23:BW$67*($E23:$E$67=$D22)),IF(ISNUMBER(Data_2017!BQ22),100*ABS($G22-(Data_2017!BQ22-$K22)/$M22),0),IF(ISNUMBER(Data_2017!BQ22),100*ABS($G22-(Data_2017!BQ22-$K22)/$M22),0)))</f>
        <v>40.4992148111414</v>
      </c>
      <c r="BX22" s="100">
        <f>IF($H22=0,0,CHOOSE($H22,SUMPRODUCT($O23:$O$67*BX23:BX$67*($E23:$E$67=$D22)),IF(ISNUMBER(Data_2017!BR22),100*ABS($G22-(Data_2017!BR22-$K22)/$M22),0),IF(ISNUMBER(Data_2017!BR22),100*ABS($G22-(Data_2017!BR22-$K22)/$M22),0)))</f>
        <v>113.009339614844</v>
      </c>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row>
    <row r="23" s="69" customFormat="1" ht="24.95" customHeight="1" spans="1:130">
      <c r="A23" s="92"/>
      <c r="B23" s="92">
        <f>tblIndicators!A19</f>
        <v>18</v>
      </c>
      <c r="C23" s="92">
        <f>tblIndicators!B19</f>
        <v>0</v>
      </c>
      <c r="D23" s="92" t="str">
        <f>tblIndicators!D19</f>
        <v>HESE2.1.4</v>
      </c>
      <c r="E23" s="92" t="str">
        <f>tblIndicators!E19</f>
        <v>HESE2.1</v>
      </c>
      <c r="F23" s="92">
        <f>tblIndicators!F19</f>
        <v>3</v>
      </c>
      <c r="G23" s="92">
        <f>tblIndicators!Y19</f>
        <v>0</v>
      </c>
      <c r="H23" s="92">
        <f>tblIndicators!Z19</f>
        <v>2</v>
      </c>
      <c r="I23" s="104">
        <f>tblIndicators!AA19</f>
        <v>0</v>
      </c>
      <c r="J23" s="92">
        <f>tblIndicators!AB19</f>
        <v>0</v>
      </c>
      <c r="K23" s="89">
        <f>IF(uxb_works!$B$66=1,CHOOSE(H23,"-",MIN(Data_2017!J23:BR23),I23),CHOOSE(H23,"-",MIN(Data_2017!J23:BQ23),I23))</f>
        <v>0.201</v>
      </c>
      <c r="L23" s="97">
        <f>IF(uxb_works!$B$66=1,CHOOSE(H23,"-",MAX(Data_2017!J23:BR23),J23),CHOOSE(H23,"-",MAX(Data_2017!J23:BQ23),J23))</f>
        <v>8.493</v>
      </c>
      <c r="M23" s="92">
        <f t="shared" si="1"/>
        <v>8.292</v>
      </c>
      <c r="N23" s="105" t="str">
        <f>REPT(" ",F23)&amp;tblIndicators!AE19</f>
        <v>   2.1.4) No. of doctors per 1,000</v>
      </c>
      <c r="O23" s="106">
        <f>tblIndicators!AD19</f>
        <v>0.166666666666667</v>
      </c>
      <c r="P23" s="100">
        <f>IF($H23=0,0,CHOOSE($H23,SUMPRODUCT($O24:$O$67*P24:P$67*($E24:$E$67=$D23)),IF(ISNUMBER(Data_2017!J23),100*ABS($G23-(Data_2017!J23-$K23)/$M23),0),IF(ISNUMBER(Data_2017!J23),100*ABS($G23-(Data_2017!J23-$K23)/$M23),0)))</f>
        <v>16.365171249397</v>
      </c>
      <c r="Q23" s="100">
        <f>IF($H23=0,0,CHOOSE($H23,SUMPRODUCT($O24:$O$67*Q24:Q$67*($E24:$E$67=$D23)),IF(ISNUMBER(Data_2017!K23),100*ABS($G23-(Data_2017!K23-$K23)/$M23),0),IF(ISNUMBER(Data_2017!K23),100*ABS($G23-(Data_2017!K23-$K23)/$M23),0)))</f>
        <v>38.0004823926676</v>
      </c>
      <c r="R23" s="100">
        <f>IF($H23=0,0,CHOOSE($H23,SUMPRODUCT($O24:$O$67*R24:R$67*($E24:$E$67=$D23)),IF(ISNUMBER(Data_2017!L23),100*ABS($G23-(Data_2017!L23-$K23)/$M23),0),IF(ISNUMBER(Data_2017!L23),100*ABS($G23-(Data_2017!L23-$K23)/$M23),0)))</f>
        <v>73.0101302460203</v>
      </c>
      <c r="S23" s="100">
        <f>IF($H23=0,0,CHOOSE($H23,SUMPRODUCT($O24:$O$67*S24:S$67*($E24:$E$67=$D23)),IF(ISNUMBER(Data_2017!M23),100*ABS($G23-(Data_2017!M23-$K23)/$M23),0),IF(ISNUMBER(Data_2017!M23),100*ABS($G23-(Data_2017!M23-$K23)/$M23),0)))</f>
        <v>2.32754462132176</v>
      </c>
      <c r="T23" s="100">
        <f>IF($H23=0,0,CHOOSE($H23,SUMPRODUCT($O24:$O$67*T24:T$67*($E24:$E$67=$D23)),IF(ISNUMBER(Data_2017!N23),100*ABS($G23-(Data_2017!N23-$K23)/$M23),0),IF(ISNUMBER(Data_2017!N23),100*ABS($G23-(Data_2017!N23-$K23)/$M23),0)))</f>
        <v>43.6324167872648</v>
      </c>
      <c r="U23" s="100">
        <f>IF($H23=0,0,CHOOSE($H23,SUMPRODUCT($O24:$O$67*U24:U$67*($E24:$E$67=$D23)),IF(ISNUMBER(Data_2017!O23),100*ABS($G23-(Data_2017!O23-$K23)/$M23),0),IF(ISNUMBER(Data_2017!O23),100*ABS($G23-(Data_2017!O23-$K23)/$M23),0)))</f>
        <v>44.6092619392185</v>
      </c>
      <c r="V23" s="100">
        <f>IF($H23=0,0,CHOOSE($H23,SUMPRODUCT($O24:$O$67*V24:V$67*($E24:$E$67=$D23)),IF(ISNUMBER(Data_2017!P23),100*ABS($G23-(Data_2017!P23-$K23)/$M23),0),IF(ISNUMBER(Data_2017!P23),100*ABS($G23-(Data_2017!P23-$K23)/$M23),0)))</f>
        <v>16.4857694163049</v>
      </c>
      <c r="W23" s="100">
        <f>IF($H23=0,0,CHOOSE($H23,SUMPRODUCT($O24:$O$67*W24:W$67*($E24:$E$67=$D23)),IF(ISNUMBER(Data_2017!Q23),100*ABS($G23-(Data_2017!Q23-$K23)/$M23),0),IF(ISNUMBER(Data_2017!Q23),100*ABS($G23-(Data_2017!Q23-$K23)/$M23),0)))</f>
        <v>33.405692233478</v>
      </c>
      <c r="X23" s="100">
        <f>IF($H23=0,0,CHOOSE($H23,SUMPRODUCT($O24:$O$67*X24:X$67*($E24:$E$67=$D23)),IF(ISNUMBER(Data_2017!R23),100*ABS($G23-(Data_2017!R23-$K23)/$M23),0),IF(ISNUMBER(Data_2017!R23),100*ABS($G23-(Data_2017!R23-$K23)/$M23),0)))</f>
        <v>42.94500723589</v>
      </c>
      <c r="Y23" s="100">
        <f>IF($H23=0,0,CHOOSE($H23,SUMPRODUCT($O24:$O$67*Y24:Y$67*($E24:$E$67=$D23)),IF(ISNUMBER(Data_2017!S23),100*ABS($G23-(Data_2017!S23-$K23)/$M23),0),IF(ISNUMBER(Data_2017!S23),100*ABS($G23-(Data_2017!S23-$K23)/$M23),0)))</f>
        <v>7.392667631452</v>
      </c>
      <c r="Z23" s="100">
        <f>IF($H23=0,0,CHOOSE($H23,SUMPRODUCT($O24:$O$67*Z24:Z$67*($E24:$E$67=$D23)),IF(ISNUMBER(Data_2017!T23),100*ABS($G23-(Data_2017!T23-$K23)/$M23),0),IF(ISNUMBER(Data_2017!T23),100*ABS($G23-(Data_2017!T23-$K23)/$M23),0)))</f>
        <v>20.7911239749156</v>
      </c>
      <c r="AA23" s="100">
        <f>IF($H23=0,0,CHOOSE($H23,SUMPRODUCT($O24:$O$67*AA24:AA$67*($E24:$E$67=$D23)),IF(ISNUMBER(Data_2017!U23),100*ABS($G23-(Data_2017!U23-$K23)/$M23),0),IF(ISNUMBER(Data_2017!U23),100*ABS($G23-(Data_2017!U23-$K23)/$M23),0)))</f>
        <v>5.02894356005789</v>
      </c>
      <c r="AB23" s="100">
        <f>IF($H23=0,0,CHOOSE($H23,SUMPRODUCT($O24:$O$67*AB24:AB$67*($E24:$E$67=$D23)),IF(ISNUMBER(Data_2017!V23),100*ABS($G23-(Data_2017!V23-$K23)/$M23),0),IF(ISNUMBER(Data_2017!V23),100*ABS($G23-(Data_2017!V23-$K23)/$M23),0)))</f>
        <v>30.3183791606368</v>
      </c>
      <c r="AC23" s="100">
        <f>IF($H23=0,0,CHOOSE($H23,SUMPRODUCT($O24:$O$67*AC24:AC$67*($E24:$E$67=$D23)),IF(ISNUMBER(Data_2017!W23),100*ABS($G23-(Data_2017!W23-$K23)/$M23),0),IF(ISNUMBER(Data_2017!W23),100*ABS($G23-(Data_2017!W23-$K23)/$M23),0)))</f>
        <v>23.2995658465991</v>
      </c>
      <c r="AD23" s="100">
        <f>IF($H23=0,0,CHOOSE($H23,SUMPRODUCT($O24:$O$67*AD24:AD$67*($E24:$E$67=$D23)),IF(ISNUMBER(Data_2017!X23),100*ABS($G23-(Data_2017!X23-$K23)/$M23),0),IF(ISNUMBER(Data_2017!X23),100*ABS($G23-(Data_2017!X23-$K23)/$M23),0)))</f>
        <v>6.31934394597202</v>
      </c>
      <c r="AE23" s="100">
        <f>IF($H23=0,0,CHOOSE($H23,SUMPRODUCT($O24:$O$67*AE24:AE$67*($E24:$E$67=$D23)),IF(ISNUMBER(Data_2017!Y23),100*ABS($G23-(Data_2017!Y23-$K23)/$M23),0),IF(ISNUMBER(Data_2017!Y23),100*ABS($G23-(Data_2017!Y23-$K23)/$M23),0)))</f>
        <v>2.26724553786782</v>
      </c>
      <c r="AF23" s="100">
        <f>IF($H23=0,0,CHOOSE($H23,SUMPRODUCT($O24:$O$67*AF24:AF$67*($E24:$E$67=$D23)),IF(ISNUMBER(Data_2017!Z23),100*ABS($G23-(Data_2017!Z23-$K23)/$M23),0),IF(ISNUMBER(Data_2017!Z23),100*ABS($G23-(Data_2017!Z23-$K23)/$M23),0)))</f>
        <v>21.2614568258562</v>
      </c>
      <c r="AG23" s="100">
        <f>IF($H23=0,0,CHOOSE($H23,SUMPRODUCT($O24:$O$67*AG24:AG$67*($E24:$E$67=$D23)),IF(ISNUMBER(Data_2017!AA23),100*ABS($G23-(Data_2017!AA23-$K23)/$M23),0),IF(ISNUMBER(Data_2017!AA23),100*ABS($G23-(Data_2017!AA23-$K23)/$M23),0)))</f>
        <v>47.3227206946454</v>
      </c>
      <c r="AH23" s="100">
        <f>IF($H23=0,0,CHOOSE($H23,SUMPRODUCT($O24:$O$67*AH24:AH$67*($E24:$E$67=$D23)),IF(ISNUMBER(Data_2017!AB23),100*ABS($G23-(Data_2017!AB23-$K23)/$M23),0),IF(ISNUMBER(Data_2017!AB23),100*ABS($G23-(Data_2017!AB23-$K23)/$M23),0)))</f>
        <v>11.8065605402798</v>
      </c>
      <c r="AI23" s="100">
        <f>IF($H23=0,0,CHOOSE($H23,SUMPRODUCT($O24:$O$67*AI24:AI$67*($E24:$E$67=$D23)),IF(ISNUMBER(Data_2017!AC23),100*ABS($G23-(Data_2017!AC23-$K23)/$M23),0),IF(ISNUMBER(Data_2017!AC23),100*ABS($G23-(Data_2017!AC23-$K23)/$M23),0)))</f>
        <v>20.4896285576459</v>
      </c>
      <c r="AJ23" s="100">
        <f>IF($H23=0,0,CHOOSE($H23,SUMPRODUCT($O24:$O$67*AJ24:AJ$67*($E24:$E$67=$D23)),IF(ISNUMBER(Data_2017!AD23),100*ABS($G23-(Data_2017!AD23-$K23)/$M23),0),IF(ISNUMBER(Data_2017!AD23),100*ABS($G23-(Data_2017!AD23-$K23)/$M23),0)))</f>
        <v>18.6685962373372</v>
      </c>
      <c r="AK23" s="100">
        <f>IF($H23=0,0,CHOOSE($H23,SUMPRODUCT($O24:$O$67*AK24:AK$67*($E24:$E$67=$D23)),IF(ISNUMBER(Data_2017!AE23),100*ABS($G23-(Data_2017!AE23-$K23)/$M23),0),IF(ISNUMBER(Data_2017!AE23),100*ABS($G23-(Data_2017!AE23-$K23)/$M23),0)))</f>
        <v>0</v>
      </c>
      <c r="AL23" s="100">
        <f>IF($H23=0,0,CHOOSE($H23,SUMPRODUCT($O24:$O$67*AL24:AL$67*($E24:$E$67=$D23)),IF(ISNUMBER(Data_2017!AF23),100*ABS($G23-(Data_2017!AF23-$K23)/$M23),0),IF(ISNUMBER(Data_2017!AF23),100*ABS($G23-(Data_2017!AF23-$K23)/$M23),0)))</f>
        <v>24.2134211515987</v>
      </c>
      <c r="AM23" s="100">
        <f>IF($H23=0,0,CHOOSE($H23,SUMPRODUCT($O24:$O$67*AM24:AM$67*($E24:$E$67=$D23)),IF(ISNUMBER(Data_2017!AG23),100*ABS($G23-(Data_2017!AG23-$K23)/$M23),0),IF(ISNUMBER(Data_2017!AG23),100*ABS($G23-(Data_2017!AG23-$K23)/$M23),0)))</f>
        <v>6.82585624698505</v>
      </c>
      <c r="AN23" s="100">
        <f>IF($H23=0,0,CHOOSE($H23,SUMPRODUCT($O24:$O$67*AN24:AN$67*($E24:$E$67=$D23)),IF(ISNUMBER(Data_2017!AH23),100*ABS($G23-(Data_2017!AH23-$K23)/$M23),0),IF(ISNUMBER(Data_2017!AH23),100*ABS($G23-(Data_2017!AH23-$K23)/$M23),0)))</f>
        <v>7.29618909792571</v>
      </c>
      <c r="AO23" s="100">
        <f>IF($H23=0,0,CHOOSE($H23,SUMPRODUCT($O24:$O$67*AO24:AO$67*($E24:$E$67=$D23)),IF(ISNUMBER(Data_2017!AI23),100*ABS($G23-(Data_2017!AI23-$K23)/$M23),0),IF(ISNUMBER(Data_2017!AI23),100*ABS($G23-(Data_2017!AI23-$K23)/$M23),0)))</f>
        <v>13.0246020260492</v>
      </c>
      <c r="AP23" s="100">
        <f>IF($H23=0,0,CHOOSE($H23,SUMPRODUCT($O24:$O$67*AP24:AP$67*($E24:$E$67=$D23)),IF(ISNUMBER(Data_2017!AJ23),100*ABS($G23-(Data_2017!AJ23-$K23)/$M23),0),IF(ISNUMBER(Data_2017!AJ23),100*ABS($G23-(Data_2017!AJ23-$K23)/$M23),0)))</f>
        <v>21.0805595754945</v>
      </c>
      <c r="AQ23" s="100">
        <f>IF($H23=0,0,CHOOSE($H23,SUMPRODUCT($O24:$O$67*AQ24:AQ$67*($E24:$E$67=$D23)),IF(ISNUMBER(Data_2017!AK23),100*ABS($G23-(Data_2017!AK23-$K23)/$M23),0),IF(ISNUMBER(Data_2017!AK23),100*ABS($G23-(Data_2017!AK23-$K23)/$M23),0)))</f>
        <v>11.0347322720695</v>
      </c>
      <c r="AR23" s="100">
        <f>IF($H23=0,0,CHOOSE($H23,SUMPRODUCT($O24:$O$67*AR24:AR$67*($E24:$E$67=$D23)),IF(ISNUMBER(Data_2017!AL23),100*ABS($G23-(Data_2017!AL23-$K23)/$M23),0),IF(ISNUMBER(Data_2017!AL23),100*ABS($G23-(Data_2017!AL23-$K23)/$M23),0)))</f>
        <v>31.4158224794983</v>
      </c>
      <c r="AS23" s="100">
        <f>IF($H23=0,0,CHOOSE($H23,SUMPRODUCT($O24:$O$67*AS24:AS$67*($E24:$E$67=$D23)),IF(ISNUMBER(Data_2017!AM23),100*ABS($G23-(Data_2017!AM23-$K23)/$M23),0),IF(ISNUMBER(Data_2017!AM23),100*ABS($G23-(Data_2017!AM23-$K23)/$M23),0)))</f>
        <v>29.232995658466</v>
      </c>
      <c r="AT23" s="100">
        <f>IF($H23=0,0,CHOOSE($H23,SUMPRODUCT($O24:$O$67*AT24:AT$67*($E24:$E$67=$D23)),IF(ISNUMBER(Data_2017!AN23),100*ABS($G23-(Data_2017!AN23-$K23)/$M23),0),IF(ISNUMBER(Data_2017!AN23),100*ABS($G23-(Data_2017!AN23-$K23)/$M23),0)))</f>
        <v>43.6324167872648</v>
      </c>
      <c r="AU23" s="100">
        <f>IF($H23=0,0,CHOOSE($H23,SUMPRODUCT($O24:$O$67*AU24:AU$67*($E24:$E$67=$D23)),IF(ISNUMBER(Data_2017!AO23),100*ABS($G23-(Data_2017!AO23-$K23)/$M23),0),IF(ISNUMBER(Data_2017!AO23),100*ABS($G23-(Data_2017!AO23-$K23)/$M23),0)))</f>
        <v>10.9623733719247</v>
      </c>
      <c r="AV23" s="100">
        <f>IF($H23=0,0,CHOOSE($H23,SUMPRODUCT($O24:$O$67*AV24:AV$67*($E24:$E$67=$D23)),IF(ISNUMBER(Data_2017!AP23),100*ABS($G23-(Data_2017!AP23-$K23)/$M23),0),IF(ISNUMBER(Data_2017!AP23),100*ABS($G23-(Data_2017!AP23-$K23)/$M23),0)))</f>
        <v>38.2657983598649</v>
      </c>
      <c r="AW23" s="100">
        <f>IF($H23=0,0,CHOOSE($H23,SUMPRODUCT($O24:$O$67*AW24:AW$67*($E24:$E$67=$D23)),IF(ISNUMBER(Data_2017!AQ23),100*ABS($G23-(Data_2017!AQ23-$K23)/$M23),0),IF(ISNUMBER(Data_2017!AQ23),100*ABS($G23-(Data_2017!AQ23-$K23)/$M23),0)))</f>
        <v>22.5518572117704</v>
      </c>
      <c r="AX23" s="100">
        <f>IF($H23=0,0,CHOOSE($H23,SUMPRODUCT($O24:$O$67*AX24:AX$67*($E24:$E$67=$D23)),IF(ISNUMBER(Data_2017!AR23),100*ABS($G23-(Data_2017!AR23-$K23)/$M23),0),IF(ISNUMBER(Data_2017!AR23),100*ABS($G23-(Data_2017!AR23-$K23)/$M23),0)))</f>
        <v>45.1519536903039</v>
      </c>
      <c r="AY23" s="100">
        <f>IF($H23=0,0,CHOOSE($H23,SUMPRODUCT($O24:$O$67*AY24:AY$67*($E24:$E$67=$D23)),IF(ISNUMBER(Data_2017!AS23),100*ABS($G23-(Data_2017!AS23-$K23)/$M23),0),IF(ISNUMBER(Data_2017!AS23),100*ABS($G23-(Data_2017!AS23-$K23)/$M23),0)))</f>
        <v>37.4457308248915</v>
      </c>
      <c r="AZ23" s="100">
        <f>IF($H23=0,0,CHOOSE($H23,SUMPRODUCT($O24:$O$67*AZ24:AZ$67*($E24:$E$67=$D23)),IF(ISNUMBER(Data_2017!AT23),100*ABS($G23-(Data_2017!AT23-$K23)/$M23),0),IF(ISNUMBER(Data_2017!AT23),100*ABS($G23-(Data_2017!AT23-$K23)/$M23),0)))</f>
        <v>6.31934394597202</v>
      </c>
      <c r="BA23" s="100">
        <f>IF($H23=0,0,CHOOSE($H23,SUMPRODUCT($O24:$O$67*BA24:BA$67*($E24:$E$67=$D23)),IF(ISNUMBER(Data_2017!AU23),100*ABS($G23-(Data_2017!AU23-$K23)/$M23),0),IF(ISNUMBER(Data_2017!AU23),100*ABS($G23-(Data_2017!AU23-$K23)/$M23),0)))</f>
        <v>40.2436082971539</v>
      </c>
      <c r="BB23" s="100">
        <f>IF($H23=0,0,CHOOSE($H23,SUMPRODUCT($O24:$O$67*BB24:BB$67*($E24:$E$67=$D23)),IF(ISNUMBER(Data_2017!AV23),100*ABS($G23-(Data_2017!AV23-$K23)/$M23),0),IF(ISNUMBER(Data_2017!AV23),100*ABS($G23-(Data_2017!AV23-$K23)/$M23),0)))</f>
        <v>30.6922334780511</v>
      </c>
      <c r="BC23" s="100">
        <f>IF($H23=0,0,CHOOSE($H23,SUMPRODUCT($O24:$O$67*BC24:BC$67*($E24:$E$67=$D23)),IF(ISNUMBER(Data_2017!AW23),100*ABS($G23-(Data_2017!AW23-$K23)/$M23),0),IF(ISNUMBER(Data_2017!AW23),100*ABS($G23-(Data_2017!AW23-$K23)/$M23),0)))</f>
        <v>36.4930053063193</v>
      </c>
      <c r="BD23" s="100">
        <f>IF($H23=0,0,CHOOSE($H23,SUMPRODUCT($O24:$O$67*BD24:BD$67*($E24:$E$67=$D23)),IF(ISNUMBER(Data_2017!AX23),100*ABS($G23-(Data_2017!AX23-$K23)/$M23),0),IF(ISNUMBER(Data_2017!AX23),100*ABS($G23-(Data_2017!AX23-$K23)/$M23),0)))</f>
        <v>17.6555716353111</v>
      </c>
      <c r="BE23" s="100">
        <f>IF($H23=0,0,CHOOSE($H23,SUMPRODUCT($O24:$O$67*BE24:BE$67*($E24:$E$67=$D23)),IF(ISNUMBER(Data_2017!AY23),100*ABS($G23-(Data_2017!AY23-$K23)/$M23),0),IF(ISNUMBER(Data_2017!AY23),100*ABS($G23-(Data_2017!AY23-$K23)/$M23),0)))</f>
        <v>19.9107573564882</v>
      </c>
      <c r="BF23" s="100">
        <f>IF($H23=0,0,CHOOSE($H23,SUMPRODUCT($O24:$O$67*BF24:BF$67*($E24:$E$67=$D23)),IF(ISNUMBER(Data_2017!AZ23),100*ABS($G23-(Data_2017!AZ23-$K23)/$M23),0),IF(ISNUMBER(Data_2017!AZ23),100*ABS($G23-(Data_2017!AZ23-$K23)/$M23),0)))</f>
        <v>23.2022243744959</v>
      </c>
      <c r="BG23" s="100">
        <f>IF($H23=0,0,CHOOSE($H23,SUMPRODUCT($O24:$O$67*BG24:BG$67*($E24:$E$67=$D23)),IF(ISNUMBER(Data_2017!BA23),100*ABS($G23-(Data_2017!BA23-$K23)/$M23),0),IF(ISNUMBER(Data_2017!BA23),100*ABS($G23-(Data_2017!BA23-$K23)/$M23),0)))</f>
        <v>45.1519536903039</v>
      </c>
      <c r="BH23" s="100">
        <f>IF($H23=0,0,CHOOSE($H23,SUMPRODUCT($O24:$O$67*BH24:BH$67*($E24:$E$67=$D23)),IF(ISNUMBER(Data_2017!BB23),100*ABS($G23-(Data_2017!BB23-$K23)/$M23),0),IF(ISNUMBER(Data_2017!BB23),100*ABS($G23-(Data_2017!BB23-$K23)/$M23),0)))</f>
        <v>29.232995658466</v>
      </c>
      <c r="BI23" s="100">
        <f>IF($H23=0,0,CHOOSE($H23,SUMPRODUCT($O24:$O$67*BI24:BI$67*($E24:$E$67=$D23)),IF(ISNUMBER(Data_2017!BC23),100*ABS($G23-(Data_2017!BC23-$K23)/$M23),0),IF(ISNUMBER(Data_2017!BC23),100*ABS($G23-(Data_2017!BC23-$K23)/$M23),0)))</f>
        <v>10.0337674867342</v>
      </c>
      <c r="BJ23" s="100">
        <f>IF($H23=0,0,CHOOSE($H23,SUMPRODUCT($O24:$O$67*BJ24:BJ$67*($E24:$E$67=$D23)),IF(ISNUMBER(Data_2017!BD23),100*ABS($G23-(Data_2017!BD23-$K23)/$M23),0),IF(ISNUMBER(Data_2017!BD23),100*ABS($G23-(Data_2017!BD23-$K23)/$M23),0)))</f>
        <v>19.9107573564882</v>
      </c>
      <c r="BK23" s="100">
        <f>IF($H23=0,0,CHOOSE($H23,SUMPRODUCT($O24:$O$67*BK24:BK$67*($E24:$E$67=$D23)),IF(ISNUMBER(Data_2017!BE23),100*ABS($G23-(Data_2017!BE23-$K23)/$M23),0),IF(ISNUMBER(Data_2017!BE23),100*ABS($G23-(Data_2017!BE23-$K23)/$M23),0)))</f>
        <v>24.4814278822962</v>
      </c>
      <c r="BL23" s="100">
        <f>IF($H23=0,0,CHOOSE($H23,SUMPRODUCT($O24:$O$67*BL24:BL$67*($E24:$E$67=$D23)),IF(ISNUMBER(Data_2017!BF23),100*ABS($G23-(Data_2017!BF23-$K23)/$M23),0),IF(ISNUMBER(Data_2017!BF23),100*ABS($G23-(Data_2017!BF23-$K23)/$M23),0)))</f>
        <v>28.9315002411963</v>
      </c>
      <c r="BM23" s="100">
        <f>IF($H23=0,0,CHOOSE($H23,SUMPRODUCT($O24:$O$67*BM24:BM$67*($E24:$E$67=$D23)),IF(ISNUMBER(Data_2017!BG23),100*ABS($G23-(Data_2017!BG23-$K23)/$M23),0),IF(ISNUMBER(Data_2017!BG23),100*ABS($G23-(Data_2017!BG23-$K23)/$M23),0)))</f>
        <v>20.6464061746261</v>
      </c>
      <c r="BN23" s="100">
        <f>IF($H23=0,0,CHOOSE($H23,SUMPRODUCT($O24:$O$67*BN24:BN$67*($E24:$E$67=$D23)),IF(ISNUMBER(Data_2017!BH23),100*ABS($G23-(Data_2017!BH23-$K23)/$M23),0),IF(ISNUMBER(Data_2017!BH23),100*ABS($G23-(Data_2017!BH23-$K23)/$M23),0)))</f>
        <v>47.1056439942113</v>
      </c>
      <c r="BO23" s="100">
        <f>IF($H23=0,0,CHOOSE($H23,SUMPRODUCT($O24:$O$67*BO24:BO$67*($E24:$E$67=$D23)),IF(ISNUMBER(Data_2017!BI23),100*ABS($G23-(Data_2017!BI23-$K23)/$M23),0),IF(ISNUMBER(Data_2017!BI23),100*ABS($G23-(Data_2017!BI23-$K23)/$M23),0)))</f>
        <v>38.2657983598649</v>
      </c>
      <c r="BP23" s="100">
        <f>IF($H23=0,0,CHOOSE($H23,SUMPRODUCT($O24:$O$67*BP24:BP$67*($E24:$E$67=$D23)),IF(ISNUMBER(Data_2017!BJ23),100*ABS($G23-(Data_2017!BJ23-$K23)/$M23),0),IF(ISNUMBER(Data_2017!BJ23),100*ABS($G23-(Data_2017!BJ23-$K23)/$M23),0)))</f>
        <v>14.0633718633389</v>
      </c>
      <c r="BQ23" s="100">
        <f>IF($H23=0,0,CHOOSE($H23,SUMPRODUCT($O24:$O$67*BQ24:BQ$67*($E24:$E$67=$D23)),IF(ISNUMBER(Data_2017!BK23),100*ABS($G23-(Data_2017!BK23-$K23)/$M23),0),IF(ISNUMBER(Data_2017!BK23),100*ABS($G23-(Data_2017!BK23-$K23)/$M23),0)))</f>
        <v>15.5571635311143</v>
      </c>
      <c r="BR23" s="100">
        <f>IF($H23=0,0,CHOOSE($H23,SUMPRODUCT($O24:$O$67*BR24:BR$67*($E24:$E$67=$D23)),IF(ISNUMBER(Data_2017!BL23),100*ABS($G23-(Data_2017!BL23-$K23)/$M23),0),IF(ISNUMBER(Data_2017!BL23),100*ABS($G23-(Data_2017!BL23-$K23)/$M23),0)))</f>
        <v>36.5774240231548</v>
      </c>
      <c r="BS23" s="100">
        <f>IF($H23=0,0,CHOOSE($H23,SUMPRODUCT($O24:$O$67*BS24:BS$67*($E24:$E$67=$D23)),IF(ISNUMBER(Data_2017!BM23),100*ABS($G23-(Data_2017!BM23-$K23)/$M23),0),IF(ISNUMBER(Data_2017!BM23),100*ABS($G23-(Data_2017!BM23-$K23)/$M23),0)))</f>
        <v>27.4481427882296</v>
      </c>
      <c r="BT23" s="100">
        <f>IF($H23=0,0,CHOOSE($H23,SUMPRODUCT($O24:$O$67*BT24:BT$67*($E24:$E$67=$D23)),IF(ISNUMBER(Data_2017!BN23),100*ABS($G23-(Data_2017!BN23-$K23)/$M23),0),IF(ISNUMBER(Data_2017!BN23),100*ABS($G23-(Data_2017!BN23-$K23)/$M23),0)))</f>
        <v>100</v>
      </c>
      <c r="BU23" s="100">
        <f>IF($H23=0,0,CHOOSE($H23,SUMPRODUCT($O24:$O$67*BU24:BU$67*($E24:$E$67=$D23)),IF(ISNUMBER(Data_2017!BO23),100*ABS($G23-(Data_2017!BO23-$K23)/$M23),0),IF(ISNUMBER(Data_2017!BO23),100*ABS($G23-(Data_2017!BO23-$K23)/$M23),0)))</f>
        <v>31.9705740472745</v>
      </c>
      <c r="BV23" s="100">
        <f>IF($H23=0,0,CHOOSE($H23,SUMPRODUCT($O24:$O$67*BV24:BV$67*($E24:$E$67=$D23)),IF(ISNUMBER(Data_2017!BP23),100*ABS($G23-(Data_2017!BP23-$K23)/$M23),0),IF(ISNUMBER(Data_2017!BP23),100*ABS($G23-(Data_2017!BP23-$K23)/$M23),0)))</f>
        <v>4.42595272551857</v>
      </c>
      <c r="BW23" s="100">
        <f>IF($H23=0,0,CHOOSE($H23,SUMPRODUCT($O24:$O$67*BW24:BW$67*($E24:$E$67=$D23)),IF(ISNUMBER(Data_2017!BQ23),100*ABS($G23-(Data_2017!BQ23-$K23)/$M23),0),IF(ISNUMBER(Data_2017!BQ23),100*ABS($G23-(Data_2017!BQ23-$K23)/$M23),0)))</f>
        <v>47.1900627110468</v>
      </c>
      <c r="BX23" s="100">
        <f>IF($H23=0,0,CHOOSE($H23,SUMPRODUCT($O24:$O$67*BX24:BX$67*($E24:$E$67=$D23)),IF(ISNUMBER(Data_2017!BR23),100*ABS($G23-(Data_2017!BR23-$K23)/$M23),0),IF(ISNUMBER(Data_2017!BR23),100*ABS($G23-(Data_2017!BR23-$K23)/$M23),0)))</f>
        <v>36.9271587071877</v>
      </c>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row>
    <row r="24" s="69" customFormat="1" ht="24.95" customHeight="1" spans="1:130">
      <c r="A24" s="92"/>
      <c r="B24" s="92">
        <f>tblIndicators!A20</f>
        <v>19</v>
      </c>
      <c r="C24" s="92">
        <f>tblIndicators!B20</f>
        <v>0</v>
      </c>
      <c r="D24" s="92" t="str">
        <f>tblIndicators!D20</f>
        <v>HESE2.1.5</v>
      </c>
      <c r="E24" s="92" t="str">
        <f>tblIndicators!E20</f>
        <v>HESE2.1</v>
      </c>
      <c r="F24" s="92">
        <f>tblIndicators!F20</f>
        <v>3</v>
      </c>
      <c r="G24" s="92">
        <f>tblIndicators!Y20</f>
        <v>0</v>
      </c>
      <c r="H24" s="92">
        <f>tblIndicators!Z20</f>
        <v>3</v>
      </c>
      <c r="I24" s="104">
        <f>tblIndicators!AA20</f>
        <v>0</v>
      </c>
      <c r="J24" s="92">
        <f>tblIndicators!AB20</f>
        <v>100</v>
      </c>
      <c r="K24" s="89">
        <f>IF(uxb_works!$B$66=1,CHOOSE(H24,"-",MIN(Data_2017!J24:BR24),I24),CHOOSE(H24,"-",MIN(Data_2017!J24:BQ24),I24))</f>
        <v>0</v>
      </c>
      <c r="L24" s="97">
        <f>IF(uxb_works!$B$66=1,CHOOSE(H24,"-",MAX(Data_2017!J24:BR24),J24),CHOOSE(H24,"-",MAX(Data_2017!J24:BQ24),J24))</f>
        <v>100</v>
      </c>
      <c r="M24" s="92">
        <f t="shared" si="1"/>
        <v>100</v>
      </c>
      <c r="N24" s="105" t="str">
        <f>REPT(" ",F24)&amp;tblIndicators!AE20</f>
        <v>   2.1.5) Access to safe and quality food</v>
      </c>
      <c r="O24" s="106">
        <f>tblIndicators!AD20</f>
        <v>0.166666666666667</v>
      </c>
      <c r="P24" s="100">
        <f>IF($H24=0,0,CHOOSE($H24,SUMPRODUCT($O25:$O$67*P25:P$67*($E25:$E$67=$D24)),IF(ISNUMBER(Data_2017!J24),100*ABS($G24-(Data_2017!J24-$K24)/$M24),0),IF(ISNUMBER(Data_2017!J24),100*ABS($G24-(Data_2017!J24-$K24)/$M24),0)))</f>
        <v>99.7</v>
      </c>
      <c r="Q24" s="100">
        <f>IF($H24=0,0,CHOOSE($H24,SUMPRODUCT($O25:$O$67*Q25:Q$67*($E25:$E$67=$D24)),IF(ISNUMBER(Data_2017!K24),100*ABS($G24-(Data_2017!K24-$K24)/$M24),0),IF(ISNUMBER(Data_2017!K24),100*ABS($G24-(Data_2017!K24-$K24)/$M24),0)))</f>
        <v>100</v>
      </c>
      <c r="R24" s="100">
        <f>IF($H24=0,0,CHOOSE($H24,SUMPRODUCT($O25:$O$67*R25:R$67*($E25:$E$67=$D24)),IF(ISNUMBER(Data_2017!L24),100*ABS($G24-(Data_2017!L24-$K24)/$M24),0),IF(ISNUMBER(Data_2017!L24),100*ABS($G24-(Data_2017!L24-$K24)/$M24),0)))</f>
        <v>100</v>
      </c>
      <c r="S24" s="100">
        <f>IF($H24=0,0,CHOOSE($H24,SUMPRODUCT($O25:$O$67*S25:S$67*($E25:$E$67=$D24)),IF(ISNUMBER(Data_2017!M24),100*ABS($G24-(Data_2017!M24-$K24)/$M24),0),IF(ISNUMBER(Data_2017!M24),100*ABS($G24-(Data_2017!M24-$K24)/$M24),0)))</f>
        <v>98.2</v>
      </c>
      <c r="T24" s="100">
        <f>IF($H24=0,0,CHOOSE($H24,SUMPRODUCT($O25:$O$67*T25:T$67*($E25:$E$67=$D24)),IF(ISNUMBER(Data_2017!N24),100*ABS($G24-(Data_2017!N24-$K24)/$M24),0),IF(ISNUMBER(Data_2017!N24),100*ABS($G24-(Data_2017!N24-$K24)/$M24),0)))</f>
        <v>100</v>
      </c>
      <c r="U24" s="100">
        <f>IF($H24=0,0,CHOOSE($H24,SUMPRODUCT($O25:$O$67*U25:U$67*($E25:$E$67=$D24)),IF(ISNUMBER(Data_2017!O24),100*ABS($G24-(Data_2017!O24-$K24)/$M24),0),IF(ISNUMBER(Data_2017!O24),100*ABS($G24-(Data_2017!O24-$K24)/$M24),0)))</f>
        <v>96.2</v>
      </c>
      <c r="V24" s="100">
        <f>IF($H24=0,0,CHOOSE($H24,SUMPRODUCT($O25:$O$67*V25:V$67*($E25:$E$67=$D24)),IF(ISNUMBER(Data_2017!P24),100*ABS($G24-(Data_2017!P24-$K24)/$M24),0),IF(ISNUMBER(Data_2017!P24),100*ABS($G24-(Data_2017!P24-$K24)/$M24),0)))</f>
        <v>92.8</v>
      </c>
      <c r="W24" s="100">
        <f>IF($H24=0,0,CHOOSE($H24,SUMPRODUCT($O25:$O$67*W25:W$67*($E25:$E$67=$D24)),IF(ISNUMBER(Data_2017!Q24),100*ABS($G24-(Data_2017!Q24-$K24)/$M24),0),IF(ISNUMBER(Data_2017!Q24),100*ABS($G24-(Data_2017!Q24-$K24)/$M24),0)))</f>
        <v>100</v>
      </c>
      <c r="X24" s="100">
        <f>IF($H24=0,0,CHOOSE($H24,SUMPRODUCT($O25:$O$67*X25:X$67*($E25:$E$67=$D24)),IF(ISNUMBER(Data_2017!R24),100*ABS($G24-(Data_2017!R24-$K24)/$M24),0),IF(ISNUMBER(Data_2017!R24),100*ABS($G24-(Data_2017!R24-$K24)/$M24),0)))</f>
        <v>99.2</v>
      </c>
      <c r="Y24" s="100">
        <f>IF($H24=0,0,CHOOSE($H24,SUMPRODUCT($O25:$O$67*Y25:Y$67*($E25:$E$67=$D24)),IF(ISNUMBER(Data_2017!S24),100*ABS($G24-(Data_2017!S24-$K24)/$M24),0),IF(ISNUMBER(Data_2017!S24),100*ABS($G24-(Data_2017!S24-$K24)/$M24),0)))</f>
        <v>99.5</v>
      </c>
      <c r="Z24" s="100">
        <f>IF($H24=0,0,CHOOSE($H24,SUMPRODUCT($O25:$O$67*Z25:Z$67*($E25:$E$67=$D24)),IF(ISNUMBER(Data_2017!T24),100*ABS($G24-(Data_2017!T24-$K24)/$M24),0),IF(ISNUMBER(Data_2017!T24),100*ABS($G24-(Data_2017!T24-$K24)/$M24),0)))</f>
        <v>94.2</v>
      </c>
      <c r="AA24" s="100">
        <f>IF($H24=0,0,CHOOSE($H24,SUMPRODUCT($O25:$O$67*AA25:AA$67*($E25:$E$67=$D24)),IF(ISNUMBER(Data_2017!U24),100*ABS($G24-(Data_2017!U24-$K24)/$M24),0),IF(ISNUMBER(Data_2017!U24),100*ABS($G24-(Data_2017!U24-$K24)/$M24),0)))</f>
        <v>87.7</v>
      </c>
      <c r="AB24" s="100">
        <f>IF($H24=0,0,CHOOSE($H24,SUMPRODUCT($O25:$O$67*AB25:AB$67*($E25:$E$67=$D24)),IF(ISNUMBER(Data_2017!V24),100*ABS($G24-(Data_2017!V24-$K24)/$M24),0),IF(ISNUMBER(Data_2017!V24),100*ABS($G24-(Data_2017!V24-$K24)/$M24),0)))</f>
        <v>99.3</v>
      </c>
      <c r="AC24" s="100">
        <f>IF($H24=0,0,CHOOSE($H24,SUMPRODUCT($O25:$O$67*AC25:AC$67*($E25:$E$67=$D24)),IF(ISNUMBER(Data_2017!W24),100*ABS($G24-(Data_2017!W24-$K24)/$M24),0),IF(ISNUMBER(Data_2017!W24),100*ABS($G24-(Data_2017!W24-$K24)/$M24),0)))</f>
        <v>99.3</v>
      </c>
      <c r="AD24" s="100">
        <f>IF($H24=0,0,CHOOSE($H24,SUMPRODUCT($O25:$O$67*AD25:AD$67*($E25:$E$67=$D24)),IF(ISNUMBER(Data_2017!X24),100*ABS($G24-(Data_2017!X24-$K24)/$M24),0),IF(ISNUMBER(Data_2017!X24),100*ABS($G24-(Data_2017!X24-$K24)/$M24),0)))</f>
        <v>82.5</v>
      </c>
      <c r="AE24" s="100">
        <f>IF($H24=0,0,CHOOSE($H24,SUMPRODUCT($O25:$O$67*AE25:AE$67*($E25:$E$67=$D24)),IF(ISNUMBER(Data_2017!Y24),100*ABS($G24-(Data_2017!Y24-$K24)/$M24),0),IF(ISNUMBER(Data_2017!Y24),100*ABS($G24-(Data_2017!Y24-$K24)/$M24),0)))</f>
        <v>76.5</v>
      </c>
      <c r="AF24" s="100">
        <f>IF($H24=0,0,CHOOSE($H24,SUMPRODUCT($O25:$O$67*AF25:AF$67*($E25:$E$67=$D24)),IF(ISNUMBER(Data_2017!Z24),100*ABS($G24-(Data_2017!Z24-$K24)/$M24),0),IF(ISNUMBER(Data_2017!Z24),100*ABS($G24-(Data_2017!Z24-$K24)/$M24),0)))</f>
        <v>87.5</v>
      </c>
      <c r="AG24" s="100">
        <f>IF($H24=0,0,CHOOSE($H24,SUMPRODUCT($O25:$O$67*AG25:AG$67*($E25:$E$67=$D24)),IF(ISNUMBER(Data_2017!AA24),100*ABS($G24-(Data_2017!AA24-$K24)/$M24),0),IF(ISNUMBER(Data_2017!AA24),100*ABS($G24-(Data_2017!AA24-$K24)/$M24),0)))</f>
        <v>100</v>
      </c>
      <c r="AH24" s="100">
        <f>IF($H24=0,0,CHOOSE($H24,SUMPRODUCT($O25:$O$67*AH25:AH$67*($E25:$E$67=$D24)),IF(ISNUMBER(Data_2017!AB24),100*ABS($G24-(Data_2017!AB24-$K24)/$M24),0),IF(ISNUMBER(Data_2017!AB24),100*ABS($G24-(Data_2017!AB24-$K24)/$M24),0)))</f>
        <v>85.5</v>
      </c>
      <c r="AI24" s="100">
        <f>IF($H24=0,0,CHOOSE($H24,SUMPRODUCT($O25:$O$67*AI25:AI$67*($E25:$E$67=$D24)),IF(ISNUMBER(Data_2017!AC24),100*ABS($G24-(Data_2017!AC24-$K24)/$M24),0),IF(ISNUMBER(Data_2017!AC24),100*ABS($G24-(Data_2017!AC24-$K24)/$M24),0)))</f>
        <v>96.2</v>
      </c>
      <c r="AJ24" s="100">
        <f>IF($H24=0,0,CHOOSE($H24,SUMPRODUCT($O25:$O$67*AJ25:AJ$67*($E25:$E$67=$D24)),IF(ISNUMBER(Data_2017!AD24),100*ABS($G24-(Data_2017!AD24-$K24)/$M24),0),IF(ISNUMBER(Data_2017!AD24),100*ABS($G24-(Data_2017!AD24-$K24)/$M24),0)))</f>
        <v>100</v>
      </c>
      <c r="AK24" s="100">
        <f>IF($H24=0,0,CHOOSE($H24,SUMPRODUCT($O25:$O$67*AK25:AK$67*($E25:$E$67=$D24)),IF(ISNUMBER(Data_2017!AE24),100*ABS($G24-(Data_2017!AE24-$K24)/$M24),0),IF(ISNUMBER(Data_2017!AE24),100*ABS($G24-(Data_2017!AE24-$K24)/$M24),0)))</f>
        <v>76.9</v>
      </c>
      <c r="AL24" s="100">
        <f>IF($H24=0,0,CHOOSE($H24,SUMPRODUCT($O25:$O$67*AL25:AL$67*($E25:$E$67=$D24)),IF(ISNUMBER(Data_2017!AF24),100*ABS($G24-(Data_2017!AF24-$K24)/$M24),0),IF(ISNUMBER(Data_2017!AF24),100*ABS($G24-(Data_2017!AF24-$K24)/$M24),0)))</f>
        <v>97.5</v>
      </c>
      <c r="AM24" s="100">
        <f>IF($H24=0,0,CHOOSE($H24,SUMPRODUCT($O25:$O$67*AM25:AM$67*($E25:$E$67=$D24)),IF(ISNUMBER(Data_2017!AG24),100*ABS($G24-(Data_2017!AG24-$K24)/$M24),0),IF(ISNUMBER(Data_2017!AG24),100*ABS($G24-(Data_2017!AG24-$K24)/$M24),0)))</f>
        <v>94.3</v>
      </c>
      <c r="AN24" s="100">
        <f>IF($H24=0,0,CHOOSE($H24,SUMPRODUCT($O25:$O$67*AN25:AN$67*($E25:$E$67=$D24)),IF(ISNUMBER(Data_2017!AH24),100*ABS($G24-(Data_2017!AH24-$K24)/$M24),0),IF(ISNUMBER(Data_2017!AH24),100*ABS($G24-(Data_2017!AH24-$K24)/$M24),0)))</f>
        <v>48.1</v>
      </c>
      <c r="AO24" s="100">
        <f>IF($H24=0,0,CHOOSE($H24,SUMPRODUCT($O25:$O$67*AO25:AO$67*($E25:$E$67=$D24)),IF(ISNUMBER(Data_2017!AI24),100*ABS($G24-(Data_2017!AI24-$K24)/$M24),0),IF(ISNUMBER(Data_2017!AI24),100*ABS($G24-(Data_2017!AI24-$K24)/$M24),0)))</f>
        <v>98.5</v>
      </c>
      <c r="AP24" s="100">
        <f>IF($H24=0,0,CHOOSE($H24,SUMPRODUCT($O25:$O$67*AP25:AP$67*($E25:$E$67=$D24)),IF(ISNUMBER(Data_2017!AJ24),100*ABS($G24-(Data_2017!AJ24-$K24)/$M24),0),IF(ISNUMBER(Data_2017!AJ24),100*ABS($G24-(Data_2017!AJ24-$K24)/$M24),0)))</f>
        <v>99.2</v>
      </c>
      <c r="AQ24" s="100">
        <f>IF($H24=0,0,CHOOSE($H24,SUMPRODUCT($O25:$O$67*AQ25:AQ$67*($E25:$E$67=$D24)),IF(ISNUMBER(Data_2017!AK24),100*ABS($G24-(Data_2017!AK24-$K24)/$M24),0),IF(ISNUMBER(Data_2017!AK24),100*ABS($G24-(Data_2017!AK24-$K24)/$M24),0)))</f>
        <v>88.8</v>
      </c>
      <c r="AR24" s="100">
        <f>IF($H24=0,0,CHOOSE($H24,SUMPRODUCT($O25:$O$67*AR25:AR$67*($E25:$E$67=$D24)),IF(ISNUMBER(Data_2017!AL24),100*ABS($G24-(Data_2017!AL24-$K24)/$M24),0),IF(ISNUMBER(Data_2017!AL24),100*ABS($G24-(Data_2017!AL24-$K24)/$M24),0)))</f>
        <v>100</v>
      </c>
      <c r="AS24" s="100">
        <f>IF($H24=0,0,CHOOSE($H24,SUMPRODUCT($O25:$O$67*AS25:AS$67*($E25:$E$67=$D24)),IF(ISNUMBER(Data_2017!AM24),100*ABS($G24-(Data_2017!AM24-$K24)/$M24),0),IF(ISNUMBER(Data_2017!AM24),100*ABS($G24-(Data_2017!AM24-$K24)/$M24),0)))</f>
        <v>99.3</v>
      </c>
      <c r="AT24" s="100">
        <f>IF($H24=0,0,CHOOSE($H24,SUMPRODUCT($O25:$O$67*AT25:AT$67*($E25:$E$67=$D24)),IF(ISNUMBER(Data_2017!AN24),100*ABS($G24-(Data_2017!AN24-$K24)/$M24),0),IF(ISNUMBER(Data_2017!AN24),100*ABS($G24-(Data_2017!AN24-$K24)/$M24),0)))</f>
        <v>100</v>
      </c>
      <c r="AU24" s="100">
        <f>IF($H24=0,0,CHOOSE($H24,SUMPRODUCT($O25:$O$67*AU25:AU$67*($E25:$E$67=$D24)),IF(ISNUMBER(Data_2017!AO24),100*ABS($G24-(Data_2017!AO24-$K24)/$M24),0),IF(ISNUMBER(Data_2017!AO24),100*ABS($G24-(Data_2017!AO24-$K24)/$M24),0)))</f>
        <v>93.1</v>
      </c>
      <c r="AV24" s="100">
        <f>IF($H24=0,0,CHOOSE($H24,SUMPRODUCT($O25:$O$67*AV25:AV$67*($E25:$E$67=$D24)),IF(ISNUMBER(Data_2017!AP24),100*ABS($G24-(Data_2017!AP24-$K24)/$M24),0),IF(ISNUMBER(Data_2017!AP24),100*ABS($G24-(Data_2017!AP24-$K24)/$M24),0)))</f>
        <v>100</v>
      </c>
      <c r="AW24" s="100">
        <f>IF($H24=0,0,CHOOSE($H24,SUMPRODUCT($O25:$O$67*AW25:AW$67*($E25:$E$67=$D24)),IF(ISNUMBER(Data_2017!AQ24),100*ABS($G24-(Data_2017!AQ24-$K24)/$M24),0),IF(ISNUMBER(Data_2017!AQ24),100*ABS($G24-(Data_2017!AQ24-$K24)/$M24),0)))</f>
        <v>96.7</v>
      </c>
      <c r="AX24" s="100">
        <f>IF($H24=0,0,CHOOSE($H24,SUMPRODUCT($O25:$O$67*AX25:AX$67*($E25:$E$67=$D24)),IF(ISNUMBER(Data_2017!AR24),100*ABS($G24-(Data_2017!AR24-$K24)/$M24),0),IF(ISNUMBER(Data_2017!AR24),100*ABS($G24-(Data_2017!AR24-$K24)/$M24),0)))</f>
        <v>100</v>
      </c>
      <c r="AY24" s="100">
        <f>IF($H24=0,0,CHOOSE($H24,SUMPRODUCT($O25:$O$67*AY25:AY$67*($E25:$E$67=$D24)),IF(ISNUMBER(Data_2017!AS24),100*ABS($G24-(Data_2017!AS24-$K24)/$M24),0),IF(ISNUMBER(Data_2017!AS24),100*ABS($G24-(Data_2017!AS24-$K24)/$M24),0)))</f>
        <v>97.4</v>
      </c>
      <c r="AZ24" s="100">
        <f>IF($H24=0,0,CHOOSE($H24,SUMPRODUCT($O25:$O$67*AZ25:AZ$67*($E25:$E$67=$D24)),IF(ISNUMBER(Data_2017!AT24),100*ABS($G24-(Data_2017!AT24-$K24)/$M24),0),IF(ISNUMBER(Data_2017!AT24),100*ABS($G24-(Data_2017!AT24-$K24)/$M24),0)))</f>
        <v>82.5</v>
      </c>
      <c r="BA24" s="100">
        <f>IF($H24=0,0,CHOOSE($H24,SUMPRODUCT($O25:$O$67*BA25:BA$67*($E25:$E$67=$D24)),IF(ISNUMBER(Data_2017!AU24),100*ABS($G24-(Data_2017!AU24-$K24)/$M24),0),IF(ISNUMBER(Data_2017!AU24),100*ABS($G24-(Data_2017!AU24-$K24)/$M24),0)))</f>
        <v>99.3</v>
      </c>
      <c r="BB24" s="100">
        <f>IF($H24=0,0,CHOOSE($H24,SUMPRODUCT($O25:$O$67*BB25:BB$67*($E25:$E$67=$D24)),IF(ISNUMBER(Data_2017!AV24),100*ABS($G24-(Data_2017!AV24-$K24)/$M24),0),IF(ISNUMBER(Data_2017!AV24),100*ABS($G24-(Data_2017!AV24-$K24)/$M24),0)))</f>
        <v>100</v>
      </c>
      <c r="BC24" s="100">
        <f>IF($H24=0,0,CHOOSE($H24,SUMPRODUCT($O25:$O$67*BC25:BC$67*($E25:$E$67=$D24)),IF(ISNUMBER(Data_2017!AW24),100*ABS($G24-(Data_2017!AW24-$K24)/$M24),0),IF(ISNUMBER(Data_2017!AW24),100*ABS($G24-(Data_2017!AW24-$K24)/$M24),0)))</f>
        <v>100</v>
      </c>
      <c r="BD24" s="100">
        <f>IF($H24=0,0,CHOOSE($H24,SUMPRODUCT($O25:$O$67*BD25:BD$67*($E25:$E$67=$D24)),IF(ISNUMBER(Data_2017!AX24),100*ABS($G24-(Data_2017!AX24-$K24)/$M24),0),IF(ISNUMBER(Data_2017!AX24),100*ABS($G24-(Data_2017!AX24-$K24)/$M24),0)))</f>
        <v>89</v>
      </c>
      <c r="BE24" s="100">
        <f>IF($H24=0,0,CHOOSE($H24,SUMPRODUCT($O25:$O$67*BE25:BE$67*($E25:$E$67=$D24)),IF(ISNUMBER(Data_2017!AY24),100*ABS($G24-(Data_2017!AY24-$K24)/$M24),0),IF(ISNUMBER(Data_2017!AY24),100*ABS($G24-(Data_2017!AY24-$K24)/$M24),0)))</f>
        <v>98.4</v>
      </c>
      <c r="BF24" s="100">
        <f>IF($H24=0,0,CHOOSE($H24,SUMPRODUCT($O25:$O$67*BF25:BF$67*($E25:$E$67=$D24)),IF(ISNUMBER(Data_2017!AZ24),100*ABS($G24-(Data_2017!AZ24-$K24)/$M24),0),IF(ISNUMBER(Data_2017!AZ24),100*ABS($G24-(Data_2017!AZ24-$K24)/$M24),0)))</f>
        <v>97.5</v>
      </c>
      <c r="BG24" s="100">
        <f>IF($H24=0,0,CHOOSE($H24,SUMPRODUCT($O25:$O$67*BG25:BG$67*($E25:$E$67=$D24)),IF(ISNUMBER(Data_2017!BA24),100*ABS($G24-(Data_2017!BA24-$K24)/$M24),0),IF(ISNUMBER(Data_2017!BA24),100*ABS($G24-(Data_2017!BA24-$K24)/$M24),0)))</f>
        <v>100</v>
      </c>
      <c r="BH24" s="100">
        <f>IF($H24=0,0,CHOOSE($H24,SUMPRODUCT($O25:$O$67*BH25:BH$67*($E25:$E$67=$D24)),IF(ISNUMBER(Data_2017!BB24),100*ABS($G24-(Data_2017!BB24-$K24)/$M24),0),IF(ISNUMBER(Data_2017!BB24),100*ABS($G24-(Data_2017!BB24-$K24)/$M24),0)))</f>
        <v>99.3</v>
      </c>
      <c r="BI24" s="100">
        <f>IF($H24=0,0,CHOOSE($H24,SUMPRODUCT($O25:$O$67*BI25:BI$67*($E25:$E$67=$D24)),IF(ISNUMBER(Data_2017!BC24),100*ABS($G24-(Data_2017!BC24-$K24)/$M24),0),IF(ISNUMBER(Data_2017!BC24),100*ABS($G24-(Data_2017!BC24-$K24)/$M24),0)))</f>
        <v>99.2</v>
      </c>
      <c r="BJ24" s="100">
        <f>IF($H24=0,0,CHOOSE($H24,SUMPRODUCT($O25:$O$67*BJ25:BJ$67*($E25:$E$67=$D24)),IF(ISNUMBER(Data_2017!BD24),100*ABS($G24-(Data_2017!BD24-$K24)/$M24),0),IF(ISNUMBER(Data_2017!BD24),100*ABS($G24-(Data_2017!BD24-$K24)/$M24),0)))</f>
        <v>98.4</v>
      </c>
      <c r="BK24" s="100">
        <f>IF($H24=0,0,CHOOSE($H24,SUMPRODUCT($O25:$O$67*BK25:BK$67*($E25:$E$67=$D24)),IF(ISNUMBER(Data_2017!BE24),100*ABS($G24-(Data_2017!BE24-$K24)/$M24),0),IF(ISNUMBER(Data_2017!BE24),100*ABS($G24-(Data_2017!BE24-$K24)/$M24),0)))</f>
        <v>99.7</v>
      </c>
      <c r="BL24" s="100">
        <f>IF($H24=0,0,CHOOSE($H24,SUMPRODUCT($O25:$O$67*BL25:BL$67*($E25:$E$67=$D24)),IF(ISNUMBER(Data_2017!BF24),100*ABS($G24-(Data_2017!BF24-$K24)/$M24),0),IF(ISNUMBER(Data_2017!BF24),100*ABS($G24-(Data_2017!BF24-$K24)/$M24),0)))</f>
        <v>96.2</v>
      </c>
      <c r="BM24" s="100">
        <f>IF($H24=0,0,CHOOSE($H24,SUMPRODUCT($O25:$O$67*BM25:BM$67*($E25:$E$67=$D24)),IF(ISNUMBER(Data_2017!BG24),100*ABS($G24-(Data_2017!BG24-$K24)/$M24),0),IF(ISNUMBER(Data_2017!BG24),100*ABS($G24-(Data_2017!BG24-$K24)/$M24),0)))</f>
        <v>100</v>
      </c>
      <c r="BN24" s="100">
        <f>IF($H24=0,0,CHOOSE($H24,SUMPRODUCT($O25:$O$67*BN25:BN$67*($E25:$E$67=$D24)),IF(ISNUMBER(Data_2017!BH24),100*ABS($G24-(Data_2017!BH24-$K24)/$M24),0),IF(ISNUMBER(Data_2017!BH24),100*ABS($G24-(Data_2017!BH24-$K24)/$M24),0)))</f>
        <v>100</v>
      </c>
      <c r="BO24" s="100">
        <f>IF($H24=0,0,CHOOSE($H24,SUMPRODUCT($O25:$O$67*BO25:BO$67*($E25:$E$67=$D24)),IF(ISNUMBER(Data_2017!BI24),100*ABS($G24-(Data_2017!BI24-$K24)/$M24),0),IF(ISNUMBER(Data_2017!BI24),100*ABS($G24-(Data_2017!BI24-$K24)/$M24),0)))</f>
        <v>100</v>
      </c>
      <c r="BP24" s="100">
        <f>IF($H24=0,0,CHOOSE($H24,SUMPRODUCT($O25:$O$67*BP25:BP$67*($E25:$E$67=$D24)),IF(ISNUMBER(Data_2017!BJ24),100*ABS($G24-(Data_2017!BJ24-$K24)/$M24),0),IF(ISNUMBER(Data_2017!BJ24),100*ABS($G24-(Data_2017!BJ24-$K24)/$M24),0)))</f>
        <v>96.2</v>
      </c>
      <c r="BQ24" s="100">
        <f>IF($H24=0,0,CHOOSE($H24,SUMPRODUCT($O25:$O$67*BQ25:BQ$67*($E25:$E$67=$D24)),IF(ISNUMBER(Data_2017!BK24),100*ABS($G24-(Data_2017!BK24-$K24)/$M24),0),IF(ISNUMBER(Data_2017!BK24),100*ABS($G24-(Data_2017!BK24-$K24)/$M24),0)))</f>
        <v>84.9</v>
      </c>
      <c r="BR24" s="100">
        <f>IF($H24=0,0,CHOOSE($H24,SUMPRODUCT($O25:$O$67*BR25:BR$67*($E25:$E$67=$D24)),IF(ISNUMBER(Data_2017!BL24),100*ABS($G24-(Data_2017!BL24-$K24)/$M24),0),IF(ISNUMBER(Data_2017!BL24),100*ABS($G24-(Data_2017!BL24-$K24)/$M24),0)))</f>
        <v>100</v>
      </c>
      <c r="BS24" s="100">
        <f>IF($H24=0,0,CHOOSE($H24,SUMPRODUCT($O25:$O$67*BS25:BS$67*($E25:$E$67=$D24)),IF(ISNUMBER(Data_2017!BM24),100*ABS($G24-(Data_2017!BM24-$K24)/$M24),0),IF(ISNUMBER(Data_2017!BM24),100*ABS($G24-(Data_2017!BM24-$K24)/$M24),0)))</f>
        <v>99.8</v>
      </c>
      <c r="BT24" s="100">
        <f>IF($H24=0,0,CHOOSE($H24,SUMPRODUCT($O25:$O$67*BT25:BT$67*($E25:$E$67=$D24)),IF(ISNUMBER(Data_2017!BN24),100*ABS($G24-(Data_2017!BN24-$K24)/$M24),0),IF(ISNUMBER(Data_2017!BN24),100*ABS($G24-(Data_2017!BN24-$K24)/$M24),0)))</f>
        <v>99.3</v>
      </c>
      <c r="BU24" s="100">
        <f>IF($H24=0,0,CHOOSE($H24,SUMPRODUCT($O25:$O$67*BU25:BU$67*($E25:$E$67=$D24)),IF(ISNUMBER(Data_2017!BO24),100*ABS($G24-(Data_2017!BO24-$K24)/$M24),0),IF(ISNUMBER(Data_2017!BO24),100*ABS($G24-(Data_2017!BO24-$K24)/$M24),0)))</f>
        <v>100</v>
      </c>
      <c r="BV24" s="100">
        <f>IF($H24=0,0,CHOOSE($H24,SUMPRODUCT($O25:$O$67*BV25:BV$67*($E25:$E$67=$D24)),IF(ISNUMBER(Data_2017!BP24),100*ABS($G24-(Data_2017!BP24-$K24)/$M24),0),IF(ISNUMBER(Data_2017!BP24),100*ABS($G24-(Data_2017!BP24-$K24)/$M24),0)))</f>
        <v>71.2</v>
      </c>
      <c r="BW24" s="100">
        <f>IF($H24=0,0,CHOOSE($H24,SUMPRODUCT($O25:$O$67*BW25:BW$67*($E25:$E$67=$D24)),IF(ISNUMBER(Data_2017!BQ24),100*ABS($G24-(Data_2017!BQ24-$K24)/$M24),0),IF(ISNUMBER(Data_2017!BQ24),100*ABS($G24-(Data_2017!BQ24-$K24)/$M24),0)))</f>
        <v>100</v>
      </c>
      <c r="BX24" s="100">
        <f>IF($H24=0,0,CHOOSE($H24,SUMPRODUCT($O25:$O$67*BX25:BX$67*($E25:$E$67=$D24)),IF(ISNUMBER(Data_2017!BR24),100*ABS($G24-(Data_2017!BR24-$K24)/$M24),0),IF(ISNUMBER(Data_2017!BR24),100*ABS($G24-(Data_2017!BR24-$K24)/$M24),0)))</f>
        <v>100</v>
      </c>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row>
    <row r="25" s="69" customFormat="1" ht="24.95" customHeight="1" spans="1:130">
      <c r="A25" s="92"/>
      <c r="B25" s="92">
        <f>tblIndicators!A21</f>
        <v>20</v>
      </c>
      <c r="C25" s="92">
        <f>tblIndicators!B21</f>
        <v>0</v>
      </c>
      <c r="D25" s="92" t="str">
        <f>tblIndicators!D21</f>
        <v>HESE2.1.6</v>
      </c>
      <c r="E25" s="92" t="str">
        <f>tblIndicators!E21</f>
        <v>HESE2.1</v>
      </c>
      <c r="F25" s="92">
        <f>tblIndicators!F21</f>
        <v>3</v>
      </c>
      <c r="G25" s="92">
        <f>tblIndicators!Y21</f>
        <v>0</v>
      </c>
      <c r="H25" s="92">
        <f>tblIndicators!Z21</f>
        <v>3</v>
      </c>
      <c r="I25" s="104">
        <f>tblIndicators!AA21</f>
        <v>1</v>
      </c>
      <c r="J25" s="92">
        <f>tblIndicators!AB21</f>
        <v>5</v>
      </c>
      <c r="K25" s="89">
        <f>IF(uxb_works!$B$66=1,CHOOSE(H25,"-",MIN(Data_2017!J25:BR25),I25),CHOOSE(H25,"-",MIN(Data_2017!J25:BQ25),I25))</f>
        <v>1</v>
      </c>
      <c r="L25" s="97">
        <f>IF(uxb_works!$B$66=1,CHOOSE(H25,"-",MAX(Data_2017!J25:BR25),J25),CHOOSE(H25,"-",MAX(Data_2017!J25:BQ25),J25))</f>
        <v>5</v>
      </c>
      <c r="M25" s="92">
        <f t="shared" si="1"/>
        <v>4</v>
      </c>
      <c r="N25" s="105" t="str">
        <f>REPT(" ",F25)&amp;tblIndicators!AE21</f>
        <v>   2.1.6) Quality of health services</v>
      </c>
      <c r="O25" s="106">
        <f>tblIndicators!AD21</f>
        <v>0.166666666666667</v>
      </c>
      <c r="P25" s="100">
        <f>IF($H25=0,0,CHOOSE($H25,SUMPRODUCT($O26:$O$67*P26:P$67*($E26:$E$67=$D25)),IF(ISNUMBER(Data_2017!J25),100*ABS($G25-(Data_2017!J25-$K25)/$M25),0),IF(ISNUMBER(Data_2017!J25),100*ABS($G25-(Data_2017!J25-$K25)/$M25),0)))</f>
        <v>75</v>
      </c>
      <c r="Q25" s="100">
        <f>IF($H25=0,0,CHOOSE($H25,SUMPRODUCT($O26:$O$67*Q26:Q$67*($E26:$E$67=$D25)),IF(ISNUMBER(Data_2017!K25),100*ABS($G25-(Data_2017!K25-$K25)/$M25),0),IF(ISNUMBER(Data_2017!K25),100*ABS($G25-(Data_2017!K25-$K25)/$M25),0)))</f>
        <v>100</v>
      </c>
      <c r="R25" s="100">
        <f>IF($H25=0,0,CHOOSE($H25,SUMPRODUCT($O26:$O$67*R26:R$67*($E26:$E$67=$D25)),IF(ISNUMBER(Data_2017!L25),100*ABS($G25-(Data_2017!L25-$K25)/$M25),0),IF(ISNUMBER(Data_2017!L25),100*ABS($G25-(Data_2017!L25-$K25)/$M25),0)))</f>
        <v>62.5</v>
      </c>
      <c r="S25" s="100">
        <f>IF($H25=0,0,CHOOSE($H25,SUMPRODUCT($O26:$O$67*S26:S$67*($E26:$E$67=$D25)),IF(ISNUMBER(Data_2017!M25),100*ABS($G25-(Data_2017!M25-$K25)/$M25),0),IF(ISNUMBER(Data_2017!M25),100*ABS($G25-(Data_2017!M25-$K25)/$M25),0)))</f>
        <v>62.5</v>
      </c>
      <c r="T25" s="100">
        <f>IF($H25=0,0,CHOOSE($H25,SUMPRODUCT($O26:$O$67*T26:T$67*($E26:$E$67=$D25)),IF(ISNUMBER(Data_2017!N25),100*ABS($G25-(Data_2017!N25-$K25)/$M25),0),IF(ISNUMBER(Data_2017!N25),100*ABS($G25-(Data_2017!N25-$K25)/$M25),0)))</f>
        <v>100</v>
      </c>
      <c r="U25" s="100">
        <f>IF($H25=0,0,CHOOSE($H25,SUMPRODUCT($O26:$O$67*U26:U$67*($E26:$E$67=$D25)),IF(ISNUMBER(Data_2017!O25),100*ABS($G25-(Data_2017!O25-$K25)/$M25),0),IF(ISNUMBER(Data_2017!O25),100*ABS($G25-(Data_2017!O25-$K25)/$M25),0)))</f>
        <v>62.5</v>
      </c>
      <c r="V25" s="100">
        <f>IF($H25=0,0,CHOOSE($H25,SUMPRODUCT($O26:$O$67*V26:V$67*($E26:$E$67=$D25)),IF(ISNUMBER(Data_2017!P25),100*ABS($G25-(Data_2017!P25-$K25)/$M25),0),IF(ISNUMBER(Data_2017!P25),100*ABS($G25-(Data_2017!P25-$K25)/$M25),0)))</f>
        <v>62.5</v>
      </c>
      <c r="W25" s="100">
        <f>IF($H25=0,0,CHOOSE($H25,SUMPRODUCT($O26:$O$67*W26:W$67*($E26:$E$67=$D25)),IF(ISNUMBER(Data_2017!Q25),100*ABS($G25-(Data_2017!Q25-$K25)/$M25),0),IF(ISNUMBER(Data_2017!Q25),100*ABS($G25-(Data_2017!Q25-$K25)/$M25),0)))</f>
        <v>100</v>
      </c>
      <c r="X25" s="100">
        <f>IF($H25=0,0,CHOOSE($H25,SUMPRODUCT($O26:$O$67*X26:X$67*($E26:$E$67=$D25)),IF(ISNUMBER(Data_2017!R25),100*ABS($G25-(Data_2017!R25-$K25)/$M25),0),IF(ISNUMBER(Data_2017!R25),100*ABS($G25-(Data_2017!R25-$K25)/$M25),0)))</f>
        <v>75</v>
      </c>
      <c r="Y25" s="100">
        <f>IF($H25=0,0,CHOOSE($H25,SUMPRODUCT($O26:$O$67*Y26:Y$67*($E26:$E$67=$D25)),IF(ISNUMBER(Data_2017!S25),100*ABS($G25-(Data_2017!S25-$K25)/$M25),0),IF(ISNUMBER(Data_2017!S25),100*ABS($G25-(Data_2017!S25-$K25)/$M25),0)))</f>
        <v>37.5</v>
      </c>
      <c r="Z25" s="100">
        <f>IF($H25=0,0,CHOOSE($H25,SUMPRODUCT($O26:$O$67*Z26:Z$67*($E26:$E$67=$D25)),IF(ISNUMBER(Data_2017!T25),100*ABS($G25-(Data_2017!T25-$K25)/$M25),0),IF(ISNUMBER(Data_2017!T25),100*ABS($G25-(Data_2017!T25-$K25)/$M25),0)))</f>
        <v>37.5</v>
      </c>
      <c r="AA25" s="100">
        <f>IF($H25=0,0,CHOOSE($H25,SUMPRODUCT($O26:$O$67*AA26:AA$67*($E26:$E$67=$D25)),IF(ISNUMBER(Data_2017!U25),100*ABS($G25-(Data_2017!U25-$K25)/$M25),0),IF(ISNUMBER(Data_2017!U25),100*ABS($G25-(Data_2017!U25-$K25)/$M25),0)))</f>
        <v>37.5</v>
      </c>
      <c r="AB25" s="100">
        <f>IF($H25=0,0,CHOOSE($H25,SUMPRODUCT($O26:$O$67*AB26:AB$67*($E26:$E$67=$D25)),IF(ISNUMBER(Data_2017!V25),100*ABS($G25-(Data_2017!V25-$K25)/$M25),0),IF(ISNUMBER(Data_2017!V25),100*ABS($G25-(Data_2017!V25-$K25)/$M25),0)))</f>
        <v>87.5</v>
      </c>
      <c r="AC25" s="100">
        <f>IF($H25=0,0,CHOOSE($H25,SUMPRODUCT($O26:$O$67*AC26:AC$67*($E26:$E$67=$D25)),IF(ISNUMBER(Data_2017!W25),100*ABS($G25-(Data_2017!W25-$K25)/$M25),0),IF(ISNUMBER(Data_2017!W25),100*ABS($G25-(Data_2017!W25-$K25)/$M25),0)))</f>
        <v>87.5</v>
      </c>
      <c r="AD25" s="100">
        <f>IF($H25=0,0,CHOOSE($H25,SUMPRODUCT($O26:$O$67*AD26:AD$67*($E26:$E$67=$D25)),IF(ISNUMBER(Data_2017!X25),100*ABS($G25-(Data_2017!X25-$K25)/$M25),0),IF(ISNUMBER(Data_2017!X25),100*ABS($G25-(Data_2017!X25-$K25)/$M25),0)))</f>
        <v>62.5</v>
      </c>
      <c r="AE25" s="100">
        <f>IF($H25=0,0,CHOOSE($H25,SUMPRODUCT($O26:$O$67*AE26:AE$67*($E26:$E$67=$D25)),IF(ISNUMBER(Data_2017!Y25),100*ABS($G25-(Data_2017!Y25-$K25)/$M25),0),IF(ISNUMBER(Data_2017!Y25),100*ABS($G25-(Data_2017!Y25-$K25)/$M25),0)))</f>
        <v>37.5</v>
      </c>
      <c r="AF25" s="100">
        <f>IF($H25=0,0,CHOOSE($H25,SUMPRODUCT($O26:$O$67*AF26:AF$67*($E26:$E$67=$D25)),IF(ISNUMBER(Data_2017!Z25),100*ABS($G25-(Data_2017!Z25-$K25)/$M25),0),IF(ISNUMBER(Data_2017!Z25),100*ABS($G25-(Data_2017!Z25-$K25)/$M25),0)))</f>
        <v>75</v>
      </c>
      <c r="AG25" s="100">
        <f>IF($H25=0,0,CHOOSE($H25,SUMPRODUCT($O26:$O$67*AG26:AG$67*($E26:$E$67=$D25)),IF(ISNUMBER(Data_2017!AA25),100*ABS($G25-(Data_2017!AA25-$K25)/$M25),0),IF(ISNUMBER(Data_2017!AA25),100*ABS($G25-(Data_2017!AA25-$K25)/$M25),0)))</f>
        <v>100</v>
      </c>
      <c r="AH25" s="100">
        <f>IF($H25=0,0,CHOOSE($H25,SUMPRODUCT($O26:$O$67*AH26:AH$67*($E26:$E$67=$D25)),IF(ISNUMBER(Data_2017!AB25),100*ABS($G25-(Data_2017!AB25-$K25)/$M25),0),IF(ISNUMBER(Data_2017!AB25),100*ABS($G25-(Data_2017!AB25-$K25)/$M25),0)))</f>
        <v>37.5</v>
      </c>
      <c r="AI25" s="100">
        <f>IF($H25=0,0,CHOOSE($H25,SUMPRODUCT($O26:$O$67*AI26:AI$67*($E26:$E$67=$D25)),IF(ISNUMBER(Data_2017!AC25),100*ABS($G25-(Data_2017!AC25-$K25)/$M25),0),IF(ISNUMBER(Data_2017!AC25),100*ABS($G25-(Data_2017!AC25-$K25)/$M25),0)))</f>
        <v>87.5</v>
      </c>
      <c r="AJ25" s="100">
        <f>IF($H25=0,0,CHOOSE($H25,SUMPRODUCT($O26:$O$67*AJ26:AJ$67*($E26:$E$67=$D25)),IF(ISNUMBER(Data_2017!AD25),100*ABS($G25-(Data_2017!AD25-$K25)/$M25),0),IF(ISNUMBER(Data_2017!AD25),100*ABS($G25-(Data_2017!AD25-$K25)/$M25),0)))</f>
        <v>50</v>
      </c>
      <c r="AK25" s="100">
        <f>IF($H25=0,0,CHOOSE($H25,SUMPRODUCT($O26:$O$67*AK26:AK$67*($E26:$E$67=$D25)),IF(ISNUMBER(Data_2017!AE25),100*ABS($G25-(Data_2017!AE25-$K25)/$M25),0),IF(ISNUMBER(Data_2017!AE25),100*ABS($G25-(Data_2017!AE25-$K25)/$M25),0)))</f>
        <v>37.5</v>
      </c>
      <c r="AL25" s="100">
        <f>IF($H25=0,0,CHOOSE($H25,SUMPRODUCT($O26:$O$67*AL26:AL$67*($E26:$E$67=$D25)),IF(ISNUMBER(Data_2017!AF25),100*ABS($G25-(Data_2017!AF25-$K25)/$M25),0),IF(ISNUMBER(Data_2017!AF25),100*ABS($G25-(Data_2017!AF25-$K25)/$M25),0)))</f>
        <v>62.5</v>
      </c>
      <c r="AM25" s="100">
        <f>IF($H25=0,0,CHOOSE($H25,SUMPRODUCT($O26:$O$67*AM26:AM$67*($E26:$E$67=$D25)),IF(ISNUMBER(Data_2017!AG25),100*ABS($G25-(Data_2017!AG25-$K25)/$M25),0),IF(ISNUMBER(Data_2017!AG25),100*ABS($G25-(Data_2017!AG25-$K25)/$M25),0)))</f>
        <v>50</v>
      </c>
      <c r="AN25" s="100">
        <f>IF($H25=0,0,CHOOSE($H25,SUMPRODUCT($O26:$O$67*AN26:AN$67*($E26:$E$67=$D25)),IF(ISNUMBER(Data_2017!AH25),100*ABS($G25-(Data_2017!AH25-$K25)/$M25),0),IF(ISNUMBER(Data_2017!AH25),100*ABS($G25-(Data_2017!AH25-$K25)/$M25),0)))</f>
        <v>50</v>
      </c>
      <c r="AO25" s="100">
        <f>IF($H25=0,0,CHOOSE($H25,SUMPRODUCT($O26:$O$67*AO26:AO$67*($E26:$E$67=$D25)),IF(ISNUMBER(Data_2017!AI25),100*ABS($G25-(Data_2017!AI25-$K25)/$M25),0),IF(ISNUMBER(Data_2017!AI25),100*ABS($G25-(Data_2017!AI25-$K25)/$M25),0)))</f>
        <v>62.5</v>
      </c>
      <c r="AP25" s="100">
        <f>IF($H25=0,0,CHOOSE($H25,SUMPRODUCT($O26:$O$67*AP26:AP$67*($E26:$E$67=$D25)),IF(ISNUMBER(Data_2017!AJ25),100*ABS($G25-(Data_2017!AJ25-$K25)/$M25),0),IF(ISNUMBER(Data_2017!AJ25),100*ABS($G25-(Data_2017!AJ25-$K25)/$M25),0)))</f>
        <v>87.5</v>
      </c>
      <c r="AQ25" s="100">
        <f>IF($H25=0,0,CHOOSE($H25,SUMPRODUCT($O26:$O$67*AQ26:AQ$67*($E26:$E$67=$D25)),IF(ISNUMBER(Data_2017!AK25),100*ABS($G25-(Data_2017!AK25-$K25)/$M25),0),IF(ISNUMBER(Data_2017!AK25),100*ABS($G25-(Data_2017!AK25-$K25)/$M25),0)))</f>
        <v>62.5</v>
      </c>
      <c r="AR25" s="100">
        <f>IF($H25=0,0,CHOOSE($H25,SUMPRODUCT($O26:$O$67*AR26:AR$67*($E26:$E$67=$D25)),IF(ISNUMBER(Data_2017!AL25),100*ABS($G25-(Data_2017!AL25-$K25)/$M25),0),IF(ISNUMBER(Data_2017!AL25),100*ABS($G25-(Data_2017!AL25-$K25)/$M25),0)))</f>
        <v>87.5</v>
      </c>
      <c r="AS25" s="100">
        <f>IF($H25=0,0,CHOOSE($H25,SUMPRODUCT($O26:$O$67*AS26:AS$67*($E26:$E$67=$D25)),IF(ISNUMBER(Data_2017!AM25),100*ABS($G25-(Data_2017!AM25-$K25)/$M25),0),IF(ISNUMBER(Data_2017!AM25),100*ABS($G25-(Data_2017!AM25-$K25)/$M25),0)))</f>
        <v>87.5</v>
      </c>
      <c r="AT25" s="100">
        <f>IF($H25=0,0,CHOOSE($H25,SUMPRODUCT($O26:$O$67*AT26:AT$67*($E26:$E$67=$D25)),IF(ISNUMBER(Data_2017!AN25),100*ABS($G25-(Data_2017!AN25-$K25)/$M25),0),IF(ISNUMBER(Data_2017!AN25),100*ABS($G25-(Data_2017!AN25-$K25)/$M25),0)))</f>
        <v>87.5</v>
      </c>
      <c r="AU25" s="100">
        <f>IF($H25=0,0,CHOOSE($H25,SUMPRODUCT($O26:$O$67*AU26:AU$67*($E26:$E$67=$D25)),IF(ISNUMBER(Data_2017!AO25),100*ABS($G25-(Data_2017!AO25-$K25)/$M25),0),IF(ISNUMBER(Data_2017!AO25),100*ABS($G25-(Data_2017!AO25-$K25)/$M25),0)))</f>
        <v>62.5</v>
      </c>
      <c r="AV25" s="100">
        <f>IF($H25=0,0,CHOOSE($H25,SUMPRODUCT($O26:$O$67*AV26:AV$67*($E26:$E$67=$D25)),IF(ISNUMBER(Data_2017!AP25),100*ABS($G25-(Data_2017!AP25-$K25)/$M25),0),IF(ISNUMBER(Data_2017!AP25),100*ABS($G25-(Data_2017!AP25-$K25)/$M25),0)))</f>
        <v>100</v>
      </c>
      <c r="AW25" s="100">
        <f>IF($H25=0,0,CHOOSE($H25,SUMPRODUCT($O26:$O$67*AW26:AW$67*($E26:$E$67=$D25)),IF(ISNUMBER(Data_2017!AQ25),100*ABS($G25-(Data_2017!AQ25-$K25)/$M25),0),IF(ISNUMBER(Data_2017!AQ25),100*ABS($G25-(Data_2017!AQ25-$K25)/$M25),0)))</f>
        <v>50</v>
      </c>
      <c r="AX25" s="100">
        <f>IF($H25=0,0,CHOOSE($H25,SUMPRODUCT($O26:$O$67*AX26:AX$67*($E26:$E$67=$D25)),IF(ISNUMBER(Data_2017!AR25),100*ABS($G25-(Data_2017!AR25-$K25)/$M25),0),IF(ISNUMBER(Data_2017!AR25),100*ABS($G25-(Data_2017!AR25-$K25)/$M25),0)))</f>
        <v>75</v>
      </c>
      <c r="AY25" s="100">
        <f>IF($H25=0,0,CHOOSE($H25,SUMPRODUCT($O26:$O$67*AY26:AY$67*($E26:$E$67=$D25)),IF(ISNUMBER(Data_2017!AS25),100*ABS($G25-(Data_2017!AS25-$K25)/$M25),0),IF(ISNUMBER(Data_2017!AS25),100*ABS($G25-(Data_2017!AS25-$K25)/$M25),0)))</f>
        <v>75</v>
      </c>
      <c r="AZ25" s="100">
        <f>IF($H25=0,0,CHOOSE($H25,SUMPRODUCT($O26:$O$67*AZ26:AZ$67*($E26:$E$67=$D25)),IF(ISNUMBER(Data_2017!AT25),100*ABS($G25-(Data_2017!AT25-$K25)/$M25),0),IF(ISNUMBER(Data_2017!AT25),100*ABS($G25-(Data_2017!AT25-$K25)/$M25),0)))</f>
        <v>37.5</v>
      </c>
      <c r="BA25" s="100">
        <f>IF($H25=0,0,CHOOSE($H25,SUMPRODUCT($O26:$O$67*BA26:BA$67*($E26:$E$67=$D25)),IF(ISNUMBER(Data_2017!AU25),100*ABS($G25-(Data_2017!AU25-$K25)/$M25),0),IF(ISNUMBER(Data_2017!AU25),100*ABS($G25-(Data_2017!AU25-$K25)/$M25),0)))</f>
        <v>87.5</v>
      </c>
      <c r="BB25" s="100">
        <f>IF($H25=0,0,CHOOSE($H25,SUMPRODUCT($O26:$O$67*BB26:BB$67*($E26:$E$67=$D25)),IF(ISNUMBER(Data_2017!AV25),100*ABS($G25-(Data_2017!AV25-$K25)/$M25),0),IF(ISNUMBER(Data_2017!AV25),100*ABS($G25-(Data_2017!AV25-$K25)/$M25),0)))</f>
        <v>100</v>
      </c>
      <c r="BC25" s="100">
        <f>IF($H25=0,0,CHOOSE($H25,SUMPRODUCT($O26:$O$67*BC26:BC$67*($E26:$E$67=$D25)),IF(ISNUMBER(Data_2017!AW25),100*ABS($G25-(Data_2017!AW25-$K25)/$M25),0),IF(ISNUMBER(Data_2017!AW25),100*ABS($G25-(Data_2017!AW25-$K25)/$M25),0)))</f>
        <v>100</v>
      </c>
      <c r="BD25" s="100">
        <f>IF($H25=0,0,CHOOSE($H25,SUMPRODUCT($O26:$O$67*BD26:BD$67*($E26:$E$67=$D25)),IF(ISNUMBER(Data_2017!AX25),100*ABS($G25-(Data_2017!AX25-$K25)/$M25),0),IF(ISNUMBER(Data_2017!AX25),100*ABS($G25-(Data_2017!AX25-$K25)/$M25),0)))</f>
        <v>37.5</v>
      </c>
      <c r="BE25" s="100">
        <f>IF($H25=0,0,CHOOSE($H25,SUMPRODUCT($O26:$O$67*BE26:BE$67*($E26:$E$67=$D25)),IF(ISNUMBER(Data_2017!AY25),100*ABS($G25-(Data_2017!AY25-$K25)/$M25),0),IF(ISNUMBER(Data_2017!AY25),100*ABS($G25-(Data_2017!AY25-$K25)/$M25),0)))</f>
        <v>62.5</v>
      </c>
      <c r="BF25" s="100">
        <f>IF($H25=0,0,CHOOSE($H25,SUMPRODUCT($O26:$O$67*BF26:BF$67*($E26:$E$67=$D25)),IF(ISNUMBER(Data_2017!AZ25),100*ABS($G25-(Data_2017!AZ25-$K25)/$M25),0),IF(ISNUMBER(Data_2017!AZ25),100*ABS($G25-(Data_2017!AZ25-$K25)/$M25),0)))</f>
        <v>62.5</v>
      </c>
      <c r="BG25" s="100">
        <f>IF($H25=0,0,CHOOSE($H25,SUMPRODUCT($O26:$O$67*BG26:BG$67*($E26:$E$67=$D25)),IF(ISNUMBER(Data_2017!BA25),100*ABS($G25-(Data_2017!BA25-$K25)/$M25),0),IF(ISNUMBER(Data_2017!BA25),100*ABS($G25-(Data_2017!BA25-$K25)/$M25),0)))</f>
        <v>75</v>
      </c>
      <c r="BH25" s="100">
        <f>IF($H25=0,0,CHOOSE($H25,SUMPRODUCT($O26:$O$67*BH26:BH$67*($E26:$E$67=$D25)),IF(ISNUMBER(Data_2017!BB25),100*ABS($G25-(Data_2017!BB25-$K25)/$M25),0),IF(ISNUMBER(Data_2017!BB25),100*ABS($G25-(Data_2017!BB25-$K25)/$M25),0)))</f>
        <v>87.5</v>
      </c>
      <c r="BI25" s="100">
        <f>IF($H25=0,0,CHOOSE($H25,SUMPRODUCT($O26:$O$67*BI26:BI$67*($E26:$E$67=$D25)),IF(ISNUMBER(Data_2017!BC25),100*ABS($G25-(Data_2017!BC25-$K25)/$M25),0),IF(ISNUMBER(Data_2017!BC25),100*ABS($G25-(Data_2017!BC25-$K25)/$M25),0)))</f>
        <v>62.5</v>
      </c>
      <c r="BJ25" s="100">
        <f>IF($H25=0,0,CHOOSE($H25,SUMPRODUCT($O26:$O$67*BJ26:BJ$67*($E26:$E$67=$D25)),IF(ISNUMBER(Data_2017!BD25),100*ABS($G25-(Data_2017!BD25-$K25)/$M25),0),IF(ISNUMBER(Data_2017!BD25),100*ABS($G25-(Data_2017!BD25-$K25)/$M25),0)))</f>
        <v>62.5</v>
      </c>
      <c r="BK25" s="100">
        <f>IF($H25=0,0,CHOOSE($H25,SUMPRODUCT($O26:$O$67*BK26:BK$67*($E26:$E$67=$D25)),IF(ISNUMBER(Data_2017!BE25),100*ABS($G25-(Data_2017!BE25-$K25)/$M25),0),IF(ISNUMBER(Data_2017!BE25),100*ABS($G25-(Data_2017!BE25-$K25)/$M25),0)))</f>
        <v>87.5</v>
      </c>
      <c r="BL25" s="100">
        <f>IF($H25=0,0,CHOOSE($H25,SUMPRODUCT($O26:$O$67*BL26:BL$67*($E26:$E$67=$D25)),IF(ISNUMBER(Data_2017!BF25),100*ABS($G25-(Data_2017!BF25-$K25)/$M25),0),IF(ISNUMBER(Data_2017!BF25),100*ABS($G25-(Data_2017!BF25-$K25)/$M25),0)))</f>
        <v>62.5</v>
      </c>
      <c r="BM25" s="100">
        <f>IF($H25=0,0,CHOOSE($H25,SUMPRODUCT($O26:$O$67*BM26:BM$67*($E26:$E$67=$D25)),IF(ISNUMBER(Data_2017!BG25),100*ABS($G25-(Data_2017!BG25-$K25)/$M25),0),IF(ISNUMBER(Data_2017!BG25),100*ABS($G25-(Data_2017!BG25-$K25)/$M25),0)))</f>
        <v>100</v>
      </c>
      <c r="BN25" s="100">
        <f>IF($H25=0,0,CHOOSE($H25,SUMPRODUCT($O26:$O$67*BN26:BN$67*($E26:$E$67=$D25)),IF(ISNUMBER(Data_2017!BH25),100*ABS($G25-(Data_2017!BH25-$K25)/$M25),0),IF(ISNUMBER(Data_2017!BH25),100*ABS($G25-(Data_2017!BH25-$K25)/$M25),0)))</f>
        <v>87.5</v>
      </c>
      <c r="BO25" s="100">
        <f>IF($H25=0,0,CHOOSE($H25,SUMPRODUCT($O26:$O$67*BO26:BO$67*($E26:$E$67=$D25)),IF(ISNUMBER(Data_2017!BI25),100*ABS($G25-(Data_2017!BI25-$K25)/$M25),0),IF(ISNUMBER(Data_2017!BI25),100*ABS($G25-(Data_2017!BI25-$K25)/$M25),0)))</f>
        <v>100</v>
      </c>
      <c r="BP25" s="100">
        <f>IF($H25=0,0,CHOOSE($H25,SUMPRODUCT($O26:$O$67*BP26:BP$67*($E26:$E$67=$D25)),IF(ISNUMBER(Data_2017!BJ25),100*ABS($G25-(Data_2017!BJ25-$K25)/$M25),0),IF(ISNUMBER(Data_2017!BJ25),100*ABS($G25-(Data_2017!BJ25-$K25)/$M25),0)))</f>
        <v>87.5</v>
      </c>
      <c r="BQ25" s="100">
        <f>IF($H25=0,0,CHOOSE($H25,SUMPRODUCT($O26:$O$67*BQ26:BQ$67*($E26:$E$67=$D25)),IF(ISNUMBER(Data_2017!BK25),100*ABS($G25-(Data_2017!BK25-$K25)/$M25),0),IF(ISNUMBER(Data_2017!BK25),100*ABS($G25-(Data_2017!BK25-$K25)/$M25),0)))</f>
        <v>62.5</v>
      </c>
      <c r="BR25" s="100">
        <f>IF($H25=0,0,CHOOSE($H25,SUMPRODUCT($O26:$O$67*BR26:BR$67*($E26:$E$67=$D25)),IF(ISNUMBER(Data_2017!BL25),100*ABS($G25-(Data_2017!BL25-$K25)/$M25),0),IF(ISNUMBER(Data_2017!BL25),100*ABS($G25-(Data_2017!BL25-$K25)/$M25),0)))</f>
        <v>100</v>
      </c>
      <c r="BS25" s="100">
        <f>IF($H25=0,0,CHOOSE($H25,SUMPRODUCT($O26:$O$67*BS26:BS$67*($E26:$E$67=$D25)),IF(ISNUMBER(Data_2017!BM25),100*ABS($G25-(Data_2017!BM25-$K25)/$M25),0),IF(ISNUMBER(Data_2017!BM25),100*ABS($G25-(Data_2017!BM25-$K25)/$M25),0)))</f>
        <v>100</v>
      </c>
      <c r="BT25" s="100">
        <f>IF($H25=0,0,CHOOSE($H25,SUMPRODUCT($O26:$O$67*BT26:BT$67*($E26:$E$67=$D25)),IF(ISNUMBER(Data_2017!BN25),100*ABS($G25-(Data_2017!BN25-$K25)/$M25),0),IF(ISNUMBER(Data_2017!BN25),100*ABS($G25-(Data_2017!BN25-$K25)/$M25),0)))</f>
        <v>87.5</v>
      </c>
      <c r="BU25" s="100">
        <f>IF($H25=0,0,CHOOSE($H25,SUMPRODUCT($O26:$O$67*BU26:BU$67*($E26:$E$67=$D25)),IF(ISNUMBER(Data_2017!BO25),100*ABS($G25-(Data_2017!BO25-$K25)/$M25),0),IF(ISNUMBER(Data_2017!BO25),100*ABS($G25-(Data_2017!BO25-$K25)/$M25),0)))</f>
        <v>87.5</v>
      </c>
      <c r="BV25" s="100">
        <f>IF($H25=0,0,CHOOSE($H25,SUMPRODUCT($O26:$O$67*BV26:BV$67*($E26:$E$67=$D25)),IF(ISNUMBER(Data_2017!BP25),100*ABS($G25-(Data_2017!BP25-$K25)/$M25),0),IF(ISNUMBER(Data_2017!BP25),100*ABS($G25-(Data_2017!BP25-$K25)/$M25),0)))</f>
        <v>37.5</v>
      </c>
      <c r="BW25" s="100">
        <f>IF($H25=0,0,CHOOSE($H25,SUMPRODUCT($O26:$O$67*BW26:BW$67*($E26:$E$67=$D25)),IF(ISNUMBER(Data_2017!BQ25),100*ABS($G25-(Data_2017!BQ25-$K25)/$M25),0),IF(ISNUMBER(Data_2017!BQ25),100*ABS($G25-(Data_2017!BQ25-$K25)/$M25),0)))</f>
        <v>100</v>
      </c>
      <c r="BX25" s="100">
        <f>IF($H25=0,0,CHOOSE($H25,SUMPRODUCT($O26:$O$67*BX26:BX$67*($E26:$E$67=$D25)),IF(ISNUMBER(Data_2017!BR25),100*ABS($G25-(Data_2017!BR25-$K25)/$M25),0),IF(ISNUMBER(Data_2017!BR25),100*ABS($G25-(Data_2017!BR25-$K25)/$M25),0)))</f>
        <v>100</v>
      </c>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row>
    <row r="26" s="69" customFormat="1" ht="24.95" customHeight="1" spans="1:130">
      <c r="A26" s="92"/>
      <c r="B26" s="92">
        <f>tblIndicators!A22</f>
        <v>21</v>
      </c>
      <c r="C26" s="92">
        <f>tblIndicators!B22</f>
        <v>0</v>
      </c>
      <c r="D26" s="92" t="str">
        <f>tblIndicators!D22</f>
        <v>HESE2.2</v>
      </c>
      <c r="E26" s="92" t="str">
        <f>tblIndicators!E22</f>
        <v>HESE</v>
      </c>
      <c r="F26" s="92">
        <f>tblIndicators!F22</f>
        <v>2</v>
      </c>
      <c r="G26" s="92" t="str">
        <f>tblIndicators!Y22</f>
        <v/>
      </c>
      <c r="H26" s="92">
        <f>tblIndicators!Z22</f>
        <v>1</v>
      </c>
      <c r="I26" s="104">
        <f>tblIndicators!AA22</f>
        <v>0</v>
      </c>
      <c r="J26" s="92">
        <f>tblIndicators!AB22</f>
        <v>0</v>
      </c>
      <c r="K26" s="89" t="str">
        <f>IF(uxb_works!$B$66=1,CHOOSE(H26,"-",MIN(Data_2017!J26:BR26),I26),CHOOSE(H26,"-",MIN(Data_2017!J26:BQ26),I26))</f>
        <v>-</v>
      </c>
      <c r="L26" s="97" t="str">
        <f>IF(uxb_works!$B$66=1,CHOOSE(H26,"-",MAX(Data_2017!J26:BR26),J26),CHOOSE(H26,"-",MAX(Data_2017!J26:BQ26),J26))</f>
        <v>-</v>
      </c>
      <c r="M26" s="92" t="str">
        <f t="shared" si="1"/>
        <v>-</v>
      </c>
      <c r="N26" s="105" t="str">
        <f>REPT(" ",F26)&amp;tblIndicators!AE22</f>
        <v>  2.2) Health security (Outputs)</v>
      </c>
      <c r="O26" s="106">
        <f>tblIndicators!AD22</f>
        <v>0.5</v>
      </c>
      <c r="P26" s="100">
        <f>IF($H26=0,0,CHOOSE($H26,SUMPRODUCT($O27:$O$67*P27:P$67*($E27:$E$67=$D26)),IF(ISNUMBER(Data_2017!J26),100*ABS($G26-(Data_2017!J26-$K26)/$M26),0),IF(ISNUMBER(Data_2017!J26),100*ABS($G26-(Data_2017!J26-$K26)/$M26),0)))</f>
        <v>81.1718065502088</v>
      </c>
      <c r="Q26" s="100">
        <f>IF($H26=0,0,CHOOSE($H26,SUMPRODUCT($O27:$O$67*Q27:Q$67*($E27:$E$67=$D26)),IF(ISNUMBER(Data_2017!K26),100*ABS($G26-(Data_2017!K26-$K26)/$M26),0),IF(ISNUMBER(Data_2017!K26),100*ABS($G26-(Data_2017!K26-$K26)/$M26),0)))</f>
        <v>80.6373554669572</v>
      </c>
      <c r="R26" s="100">
        <f>IF($H26=0,0,CHOOSE($H26,SUMPRODUCT($O27:$O$67*R27:R$67*($E27:$E$67=$D26)),IF(ISNUMBER(Data_2017!L26),100*ABS($G26-(Data_2017!L26-$K26)/$M26),0),IF(ISNUMBER(Data_2017!L26),100*ABS($G26-(Data_2017!L26-$K26)/$M26),0)))</f>
        <v>84.2181962854649</v>
      </c>
      <c r="S26" s="100">
        <f>IF($H26=0,0,CHOOSE($H26,SUMPRODUCT($O27:$O$67*S27:S$67*($E27:$E$67=$D26)),IF(ISNUMBER(Data_2017!M26),100*ABS($G26-(Data_2017!M26-$K26)/$M26),0),IF(ISNUMBER(Data_2017!M26),100*ABS($G26-(Data_2017!M26-$K26)/$M26),0)))</f>
        <v>77.9996358608022</v>
      </c>
      <c r="T26" s="100">
        <f>IF($H26=0,0,CHOOSE($H26,SUMPRODUCT($O27:$O$67*T27:T$67*($E27:$E$67=$D26)),IF(ISNUMBER(Data_2017!N26),100*ABS($G26-(Data_2017!N26-$K26)/$M26),0),IF(ISNUMBER(Data_2017!N26),100*ABS($G26-(Data_2017!N26-$K26)/$M26),0)))</f>
        <v>83.2228324533271</v>
      </c>
      <c r="U26" s="100">
        <f>IF($H26=0,0,CHOOSE($H26,SUMPRODUCT($O27:$O$67*U27:U$67*($E27:$E$67=$D26)),IF(ISNUMBER(Data_2017!O26),100*ABS($G26-(Data_2017!O26-$K26)/$M26),0),IF(ISNUMBER(Data_2017!O26),100*ABS($G26-(Data_2017!O26-$K26)/$M26),0)))</f>
        <v>65.7679077377655</v>
      </c>
      <c r="V26" s="100">
        <f>IF($H26=0,0,CHOOSE($H26,SUMPRODUCT($O27:$O$67*V27:V$67*($E27:$E$67=$D26)),IF(ISNUMBER(Data_2017!P26),100*ABS($G26-(Data_2017!P26-$K26)/$M26),0),IF(ISNUMBER(Data_2017!P26),100*ABS($G26-(Data_2017!P26-$K26)/$M26),0)))</f>
        <v>77.5010996000594</v>
      </c>
      <c r="W26" s="100">
        <f>IF($H26=0,0,CHOOSE($H26,SUMPRODUCT($O27:$O$67*W27:W$67*($E27:$E$67=$D26)),IF(ISNUMBER(Data_2017!Q26),100*ABS($G26-(Data_2017!Q26-$K26)/$M26),0),IF(ISNUMBER(Data_2017!Q26),100*ABS($G26-(Data_2017!Q26-$K26)/$M26),0)))</f>
        <v>82.1623985690235</v>
      </c>
      <c r="X26" s="100">
        <f>IF($H26=0,0,CHOOSE($H26,SUMPRODUCT($O27:$O$67*X27:X$67*($E27:$E$67=$D26)),IF(ISNUMBER(Data_2017!R26),100*ABS($G26-(Data_2017!R26-$K26)/$M26),0),IF(ISNUMBER(Data_2017!R26),100*ABS($G26-(Data_2017!R26-$K26)/$M26),0)))</f>
        <v>76.4889231853885</v>
      </c>
      <c r="Y26" s="100">
        <f>IF($H26=0,0,CHOOSE($H26,SUMPRODUCT($O27:$O$67*Y27:Y$67*($E27:$E$67=$D26)),IF(ISNUMBER(Data_2017!S26),100*ABS($G26-(Data_2017!S26-$K26)/$M26),0),IF(ISNUMBER(Data_2017!S26),100*ABS($G26-(Data_2017!S26-$K26)/$M26),0)))</f>
        <v>62.192885764068</v>
      </c>
      <c r="Z26" s="100">
        <f>IF($H26=0,0,CHOOSE($H26,SUMPRODUCT($O27:$O$67*Z27:Z$67*($E27:$E$67=$D26)),IF(ISNUMBER(Data_2017!T26),100*ABS($G26-(Data_2017!T26-$K26)/$M26),0),IF(ISNUMBER(Data_2017!T26),100*ABS($G26-(Data_2017!T26-$K26)/$M26),0)))</f>
        <v>74.1628056902685</v>
      </c>
      <c r="AA26" s="100">
        <f>IF($H26=0,0,CHOOSE($H26,SUMPRODUCT($O27:$O$67*AA27:AA$67*($E27:$E$67=$D26)),IF(ISNUMBER(Data_2017!U26),100*ABS($G26-(Data_2017!U26-$K26)/$M26),0),IF(ISNUMBER(Data_2017!U26),100*ABS($G26-(Data_2017!U26-$K26)/$M26),0)))</f>
        <v>73.7712514028051</v>
      </c>
      <c r="AB26" s="100">
        <f>IF($H26=0,0,CHOOSE($H26,SUMPRODUCT($O27:$O$67*AB27:AB$67*($E27:$E$67=$D26)),IF(ISNUMBER(Data_2017!V26),100*ABS($G26-(Data_2017!V26-$K26)/$M26),0),IF(ISNUMBER(Data_2017!V26),100*ABS($G26-(Data_2017!V26-$K26)/$M26),0)))</f>
        <v>73.3973679293937</v>
      </c>
      <c r="AC26" s="100">
        <f>IF($H26=0,0,CHOOSE($H26,SUMPRODUCT($O27:$O$67*AC27:AC$67*($E27:$E$67=$D26)),IF(ISNUMBER(Data_2017!W26),100*ABS($G26-(Data_2017!W26-$K26)/$M26),0),IF(ISNUMBER(Data_2017!W26),100*ABS($G26-(Data_2017!W26-$K26)/$M26),0)))</f>
        <v>75.6519245577867</v>
      </c>
      <c r="AD26" s="100">
        <f>IF($H26=0,0,CHOOSE($H26,SUMPRODUCT($O27:$O$67*AD27:AD$67*($E27:$E$67=$D26)),IF(ISNUMBER(Data_2017!X26),100*ABS($G26-(Data_2017!X26-$K26)/$M26),0),IF(ISNUMBER(Data_2017!X26),100*ABS($G26-(Data_2017!X26-$K26)/$M26),0)))</f>
        <v>62.0340506497421</v>
      </c>
      <c r="AE26" s="100">
        <f>IF($H26=0,0,CHOOSE($H26,SUMPRODUCT($O27:$O$67*AE27:AE$67*($E27:$E$67=$D26)),IF(ISNUMBER(Data_2017!Y26),100*ABS($G26-(Data_2017!Y26-$K26)/$M26),0),IF(ISNUMBER(Data_2017!Y26),100*ABS($G26-(Data_2017!Y26-$K26)/$M26),0)))</f>
        <v>62.5522485108742</v>
      </c>
      <c r="AF26" s="100">
        <f>IF($H26=0,0,CHOOSE($H26,SUMPRODUCT($O27:$O$67*AF27:AF$67*($E27:$E$67=$D26)),IF(ISNUMBER(Data_2017!Z26),100*ABS($G26-(Data_2017!Z26-$K26)/$M26),0),IF(ISNUMBER(Data_2017!Z26),100*ABS($G26-(Data_2017!Z26-$K26)/$M26),0)))</f>
        <v>75.077779863251</v>
      </c>
      <c r="AG26" s="100">
        <f>IF($H26=0,0,CHOOSE($H26,SUMPRODUCT($O27:$O$67*AG27:AG$67*($E27:$E$67=$D26)),IF(ISNUMBER(Data_2017!AA26),100*ABS($G26-(Data_2017!AA26-$K26)/$M26),0),IF(ISNUMBER(Data_2017!AA26),100*ABS($G26-(Data_2017!AA26-$K26)/$M26),0)))</f>
        <v>83.9652572572665</v>
      </c>
      <c r="AH26" s="100">
        <f>IF($H26=0,0,CHOOSE($H26,SUMPRODUCT($O27:$O$67*AH27:AH$67*($E27:$E$67=$D26)),IF(ISNUMBER(Data_2017!AB26),100*ABS($G26-(Data_2017!AB26-$K26)/$M26),0),IF(ISNUMBER(Data_2017!AB26),100*ABS($G26-(Data_2017!AB26-$K26)/$M26),0)))</f>
        <v>74.8024411268416</v>
      </c>
      <c r="AI26" s="100">
        <f>IF($H26=0,0,CHOOSE($H26,SUMPRODUCT($O27:$O$67*AI27:AI$67*($E27:$E$67=$D26)),IF(ISNUMBER(Data_2017!AC26),100*ABS($G26-(Data_2017!AC26-$K26)/$M26),0),IF(ISNUMBER(Data_2017!AC26),100*ABS($G26-(Data_2017!AC26-$K26)/$M26),0)))</f>
        <v>73.6918686126416</v>
      </c>
      <c r="AJ26" s="100">
        <f>IF($H26=0,0,CHOOSE($H26,SUMPRODUCT($O27:$O$67*AJ27:AJ$67*($E27:$E$67=$D26)),IF(ISNUMBER(Data_2017!AD26),100*ABS($G26-(Data_2017!AD26-$K26)/$M26),0),IF(ISNUMBER(Data_2017!AD26),100*ABS($G26-(Data_2017!AD26-$K26)/$M26),0)))</f>
        <v>71.7636160941507</v>
      </c>
      <c r="AK26" s="100">
        <f>IF($H26=0,0,CHOOSE($H26,SUMPRODUCT($O27:$O$67*AK27:AK$67*($E27:$E$67=$D26)),IF(ISNUMBER(Data_2017!AE26),100*ABS($G26-(Data_2017!AE26-$K26)/$M26),0),IF(ISNUMBER(Data_2017!AE26),100*ABS($G26-(Data_2017!AE26-$K26)/$M26),0)))</f>
        <v>69.0544928003463</v>
      </c>
      <c r="AL26" s="100">
        <f>IF($H26=0,0,CHOOSE($H26,SUMPRODUCT($O27:$O$67*AL27:AL$67*($E27:$E$67=$D26)),IF(ISNUMBER(Data_2017!AF26),100*ABS($G26-(Data_2017!AF26-$K26)/$M26),0),IF(ISNUMBER(Data_2017!AF26),100*ABS($G26-(Data_2017!AF26-$K26)/$M26),0)))</f>
        <v>76.9034619028943</v>
      </c>
      <c r="AM26" s="100">
        <f>IF($H26=0,0,CHOOSE($H26,SUMPRODUCT($O27:$O$67*AM27:AM$67*($E27:$E$67=$D26)),IF(ISNUMBER(Data_2017!AG26),100*ABS($G26-(Data_2017!AG26-$K26)/$M26),0),IF(ISNUMBER(Data_2017!AG26),100*ABS($G26-(Data_2017!AG26-$K26)/$M26),0)))</f>
        <v>59.2490308859667</v>
      </c>
      <c r="AN26" s="100">
        <f>IF($H26=0,0,CHOOSE($H26,SUMPRODUCT($O27:$O$67*AN27:AN$67*($E27:$E$67=$D26)),IF(ISNUMBER(Data_2017!AH26),100*ABS($G26-(Data_2017!AH26-$K26)/$M26),0),IF(ISNUMBER(Data_2017!AH26),100*ABS($G26-(Data_2017!AH26-$K26)/$M26),0)))</f>
        <v>48.1509351405775</v>
      </c>
      <c r="AO26" s="100">
        <f>IF($H26=0,0,CHOOSE($H26,SUMPRODUCT($O27:$O$67*AO27:AO$67*($E27:$E$67=$D26)),IF(ISNUMBER(Data_2017!AI26),100*ABS($G26-(Data_2017!AI26-$K26)/$M26),0),IF(ISNUMBER(Data_2017!AI26),100*ABS($G26-(Data_2017!AI26-$K26)/$M26),0)))</f>
        <v>80.1276721951836</v>
      </c>
      <c r="AP26" s="100">
        <f>IF($H26=0,0,CHOOSE($H26,SUMPRODUCT($O27:$O$67*AP27:AP$67*($E27:$E$67=$D26)),IF(ISNUMBER(Data_2017!AJ26),100*ABS($G26-(Data_2017!AJ26-$K26)/$M26),0),IF(ISNUMBER(Data_2017!AJ26),100*ABS($G26-(Data_2017!AJ26-$K26)/$M26),0)))</f>
        <v>76.7644880642359</v>
      </c>
      <c r="AQ26" s="100">
        <f>IF($H26=0,0,CHOOSE($H26,SUMPRODUCT($O27:$O$67*AQ27:AQ$67*($E27:$E$67=$D26)),IF(ISNUMBER(Data_2017!AK26),100*ABS($G26-(Data_2017!AK26-$K26)/$M26),0),IF(ISNUMBER(Data_2017!AK26),100*ABS($G26-(Data_2017!AK26-$K26)/$M26),0)))</f>
        <v>69.9034589434905</v>
      </c>
      <c r="AR26" s="100">
        <f>IF($H26=0,0,CHOOSE($H26,SUMPRODUCT($O27:$O$67*AR27:AR$67*($E27:$E$67=$D26)),IF(ISNUMBER(Data_2017!AL26),100*ABS($G26-(Data_2017!AL26-$K26)/$M26),0),IF(ISNUMBER(Data_2017!AL26),100*ABS($G26-(Data_2017!AL26-$K26)/$M26),0)))</f>
        <v>83.3876039819678</v>
      </c>
      <c r="AS26" s="100">
        <f>IF($H26=0,0,CHOOSE($H26,SUMPRODUCT($O27:$O$67*AS27:AS$67*($E27:$E$67=$D26)),IF(ISNUMBER(Data_2017!AM26),100*ABS($G26-(Data_2017!AM26-$K26)/$M26),0),IF(ISNUMBER(Data_2017!AM26),100*ABS($G26-(Data_2017!AM26-$K26)/$M26),0)))</f>
        <v>74.7329890097446</v>
      </c>
      <c r="AT26" s="100">
        <f>IF($H26=0,0,CHOOSE($H26,SUMPRODUCT($O27:$O$67*AT27:AT$67*($E27:$E$67=$D26)),IF(ISNUMBER(Data_2017!AN26),100*ABS($G26-(Data_2017!AN26-$K26)/$M26),0),IF(ISNUMBER(Data_2017!AN26),100*ABS($G26-(Data_2017!AN26-$K26)/$M26),0)))</f>
        <v>85.6069214583271</v>
      </c>
      <c r="AU26" s="100">
        <f>IF($H26=0,0,CHOOSE($H26,SUMPRODUCT($O27:$O$67*AU27:AU$67*($E27:$E$67=$D26)),IF(ISNUMBER(Data_2017!AO26),100*ABS($G26-(Data_2017!AO26-$K26)/$M26),0),IF(ISNUMBER(Data_2017!AO26),100*ABS($G26-(Data_2017!AO26-$K26)/$M26),0)))</f>
        <v>74.3647826590297</v>
      </c>
      <c r="AV26" s="100">
        <f>IF($H26=0,0,CHOOSE($H26,SUMPRODUCT($O27:$O$67*AV27:AV$67*($E27:$E$67=$D26)),IF(ISNUMBER(Data_2017!AP26),100*ABS($G26-(Data_2017!AP26-$K26)/$M26),0),IF(ISNUMBER(Data_2017!AP26),100*ABS($G26-(Data_2017!AP26-$K26)/$M26),0)))</f>
        <v>87.5002570354419</v>
      </c>
      <c r="AW26" s="100">
        <f>IF($H26=0,0,CHOOSE($H26,SUMPRODUCT($O27:$O$67*AW27:AW$67*($E27:$E$67=$D26)),IF(ISNUMBER(Data_2017!AQ26),100*ABS($G26-(Data_2017!AQ26-$K26)/$M26),0),IF(ISNUMBER(Data_2017!AQ26),100*ABS($G26-(Data_2017!AQ26-$K26)/$M26),0)))</f>
        <v>82.6546798098089</v>
      </c>
      <c r="AX26" s="100">
        <f>IF($H26=0,0,CHOOSE($H26,SUMPRODUCT($O27:$O$67*AX27:AX$67*($E27:$E$67=$D26)),IF(ISNUMBER(Data_2017!AR26),100*ABS($G26-(Data_2017!AR26-$K26)/$M26),0),IF(ISNUMBER(Data_2017!AR26),100*ABS($G26-(Data_2017!AR26-$K26)/$M26),0)))</f>
        <v>82.6973517459736</v>
      </c>
      <c r="AY26" s="100">
        <f>IF($H26=0,0,CHOOSE($H26,SUMPRODUCT($O27:$O$67*AY27:AY$67*($E27:$E$67=$D26)),IF(ISNUMBER(Data_2017!AS26),100*ABS($G26-(Data_2017!AS26-$K26)/$M26),0),IF(ISNUMBER(Data_2017!AS26),100*ABS($G26-(Data_2017!AS26-$K26)/$M26),0)))</f>
        <v>71.1606999289354</v>
      </c>
      <c r="AZ26" s="100">
        <f>IF($H26=0,0,CHOOSE($H26,SUMPRODUCT($O27:$O$67*AZ27:AZ$67*($E27:$E$67=$D26)),IF(ISNUMBER(Data_2017!AT26),100*ABS($G26-(Data_2017!AT26-$K26)/$M26),0),IF(ISNUMBER(Data_2017!AT26),100*ABS($G26-(Data_2017!AT26-$K26)/$M26),0)))</f>
        <v>66.153233782638</v>
      </c>
      <c r="BA26" s="100">
        <f>IF($H26=0,0,CHOOSE($H26,SUMPRODUCT($O27:$O$67*BA27:BA$67*($E27:$E$67=$D26)),IF(ISNUMBER(Data_2017!AU26),100*ABS($G26-(Data_2017!AU26-$K26)/$M26),0),IF(ISNUMBER(Data_2017!AU26),100*ABS($G26-(Data_2017!AU26-$K26)/$M26),0)))</f>
        <v>66.5908562717659</v>
      </c>
      <c r="BB26" s="100">
        <f>IF($H26=0,0,CHOOSE($H26,SUMPRODUCT($O27:$O$67*BB27:BB$67*($E27:$E$67=$D26)),IF(ISNUMBER(Data_2017!AV26),100*ABS($G26-(Data_2017!AV26-$K26)/$M26),0),IF(ISNUMBER(Data_2017!AV26),100*ABS($G26-(Data_2017!AV26-$K26)/$M26),0)))</f>
        <v>87.3982052999057</v>
      </c>
      <c r="BC26" s="100">
        <f>IF($H26=0,0,CHOOSE($H26,SUMPRODUCT($O27:$O$67*BC27:BC$67*($E27:$E$67=$D26)),IF(ISNUMBER(Data_2017!AW26),100*ABS($G26-(Data_2017!AW26-$K26)/$M26),0),IF(ISNUMBER(Data_2017!AW26),100*ABS($G26-(Data_2017!AW26-$K26)/$M26),0)))</f>
        <v>81.6631479130396</v>
      </c>
      <c r="BD26" s="100">
        <f>IF($H26=0,0,CHOOSE($H26,SUMPRODUCT($O27:$O$67*BD27:BD$67*($E27:$E$67=$D26)),IF(ISNUMBER(Data_2017!AX26),100*ABS($G26-(Data_2017!AX26-$K26)/$M26),0),IF(ISNUMBER(Data_2017!AX26),100*ABS($G26-(Data_2017!AX26-$K26)/$M26),0)))</f>
        <v>74.9600781670746</v>
      </c>
      <c r="BE26" s="100">
        <f>IF($H26=0,0,CHOOSE($H26,SUMPRODUCT($O27:$O$67*BE27:BE$67*($E27:$E$67=$D26)),IF(ISNUMBER(Data_2017!AY26),100*ABS($G26-(Data_2017!AY26-$K26)/$M26),0),IF(ISNUMBER(Data_2017!AY26),100*ABS($G26-(Data_2017!AY26-$K26)/$M26),0)))</f>
        <v>74.1429465959952</v>
      </c>
      <c r="BF26" s="100">
        <f>IF($H26=0,0,CHOOSE($H26,SUMPRODUCT($O27:$O$67*BF27:BF$67*($E27:$E$67=$D26)),IF(ISNUMBER(Data_2017!AZ26),100*ABS($G26-(Data_2017!AZ26-$K26)/$M26),0),IF(ISNUMBER(Data_2017!AZ26),100*ABS($G26-(Data_2017!AZ26-$K26)/$M26),0)))</f>
        <v>80.8588352045229</v>
      </c>
      <c r="BG26" s="100">
        <f>IF($H26=0,0,CHOOSE($H26,SUMPRODUCT($O27:$O$67*BG27:BG$67*($E27:$E$67=$D26)),IF(ISNUMBER(Data_2017!BA26),100*ABS($G26-(Data_2017!BA26-$K26)/$M26),0),IF(ISNUMBER(Data_2017!BA26),100*ABS($G26-(Data_2017!BA26-$K26)/$M26),0)))</f>
        <v>84.3349731780704</v>
      </c>
      <c r="BH26" s="100">
        <f>IF($H26=0,0,CHOOSE($H26,SUMPRODUCT($O27:$O$67*BH27:BH$67*($E27:$E$67=$D26)),IF(ISNUMBER(Data_2017!BB26),100*ABS($G26-(Data_2017!BB26-$K26)/$M26),0),IF(ISNUMBER(Data_2017!BB26),100*ABS($G26-(Data_2017!BB26-$K26)/$M26),0)))</f>
        <v>79.2748871578928</v>
      </c>
      <c r="BI26" s="100">
        <f>IF($H26=0,0,CHOOSE($H26,SUMPRODUCT($O27:$O$67*BI27:BI$67*($E27:$E$67=$D26)),IF(ISNUMBER(Data_2017!BC26),100*ABS($G26-(Data_2017!BC26-$K26)/$M26),0),IF(ISNUMBER(Data_2017!BC26),100*ABS($G26-(Data_2017!BC26-$K26)/$M26),0)))</f>
        <v>81.4822525171642</v>
      </c>
      <c r="BJ26" s="100">
        <f>IF($H26=0,0,CHOOSE($H26,SUMPRODUCT($O27:$O$67*BJ27:BJ$67*($E27:$E$67=$D26)),IF(ISNUMBER(Data_2017!BD26),100*ABS($G26-(Data_2017!BD26-$K26)/$M26),0),IF(ISNUMBER(Data_2017!BD26),100*ABS($G26-(Data_2017!BD26-$K26)/$M26),0)))</f>
        <v>70.9025054195246</v>
      </c>
      <c r="BK26" s="100">
        <f>IF($H26=0,0,CHOOSE($H26,SUMPRODUCT($O27:$O$67*BK27:BK$67*($E27:$E$67=$D26)),IF(ISNUMBER(Data_2017!BE26),100*ABS($G26-(Data_2017!BE26-$K26)/$M26),0),IF(ISNUMBER(Data_2017!BE26),100*ABS($G26-(Data_2017!BE26-$K26)/$M26),0)))</f>
        <v>85.0544136839298</v>
      </c>
      <c r="BL26" s="100">
        <f>IF($H26=0,0,CHOOSE($H26,SUMPRODUCT($O27:$O$67*BL27:BL$67*($E27:$E$67=$D26)),IF(ISNUMBER(Data_2017!BF26),100*ABS($G26-(Data_2017!BF26-$K26)/$M26),0),IF(ISNUMBER(Data_2017!BF26),100*ABS($G26-(Data_2017!BF26-$K26)/$M26),0)))</f>
        <v>73.5245958904163</v>
      </c>
      <c r="BM26" s="100">
        <f>IF($H26=0,0,CHOOSE($H26,SUMPRODUCT($O27:$O$67*BM27:BM$67*($E27:$E$67=$D26)),IF(ISNUMBER(Data_2017!BG26),100*ABS($G26-(Data_2017!BG26-$K26)/$M26),0),IF(ISNUMBER(Data_2017!BG26),100*ABS($G26-(Data_2017!BG26-$K26)/$M26),0)))</f>
        <v>88.2145304083107</v>
      </c>
      <c r="BN26" s="100">
        <f>IF($H26=0,0,CHOOSE($H26,SUMPRODUCT($O27:$O$67*BN27:BN$67*($E27:$E$67=$D26)),IF(ISNUMBER(Data_2017!BH26),100*ABS($G26-(Data_2017!BH26-$K26)/$M26),0),IF(ISNUMBER(Data_2017!BH26),100*ABS($G26-(Data_2017!BH26-$K26)/$M26),0)))</f>
        <v>88.4181275287736</v>
      </c>
      <c r="BO26" s="100">
        <f>IF($H26=0,0,CHOOSE($H26,SUMPRODUCT($O27:$O$67*BO27:BO$67*($E27:$E$67=$D26)),IF(ISNUMBER(Data_2017!BI26),100*ABS($G26-(Data_2017!BI26-$K26)/$M26),0),IF(ISNUMBER(Data_2017!BI26),100*ABS($G26-(Data_2017!BI26-$K26)/$M26),0)))</f>
        <v>87.643895904208</v>
      </c>
      <c r="BP26" s="100">
        <f>IF($H26=0,0,CHOOSE($H26,SUMPRODUCT($O27:$O$67*BP27:BP$67*($E27:$E$67=$D26)),IF(ISNUMBER(Data_2017!BJ26),100*ABS($G26-(Data_2017!BJ26-$K26)/$M26),0),IF(ISNUMBER(Data_2017!BJ26),100*ABS($G26-(Data_2017!BJ26-$K26)/$M26),0)))</f>
        <v>82.2136307933653</v>
      </c>
      <c r="BQ26" s="100">
        <f>IF($H26=0,0,CHOOSE($H26,SUMPRODUCT($O27:$O$67*BQ27:BQ$67*($E27:$E$67=$D26)),IF(ISNUMBER(Data_2017!BK26),100*ABS($G26-(Data_2017!BK26-$K26)/$M26),0),IF(ISNUMBER(Data_2017!BK26),100*ABS($G26-(Data_2017!BK26-$K26)/$M26),0)))</f>
        <v>77.1887042343273</v>
      </c>
      <c r="BR26" s="100">
        <f>IF($H26=0,0,CHOOSE($H26,SUMPRODUCT($O27:$O$67*BR27:BR$67*($E27:$E$67=$D26)),IF(ISNUMBER(Data_2017!BL26),100*ABS($G26-(Data_2017!BL26-$K26)/$M26),0),IF(ISNUMBER(Data_2017!BL26),100*ABS($G26-(Data_2017!BL26-$K26)/$M26),0)))</f>
        <v>87.8882052999057</v>
      </c>
      <c r="BS26" s="100">
        <f>IF($H26=0,0,CHOOSE($H26,SUMPRODUCT($O27:$O$67*BS27:BS$67*($E27:$E$67=$D26)),IF(ISNUMBER(Data_2017!BM26),100*ABS($G26-(Data_2017!BM26-$K26)/$M26),0),IF(ISNUMBER(Data_2017!BM26),100*ABS($G26-(Data_2017!BM26-$K26)/$M26),0)))</f>
        <v>85.6575101545455</v>
      </c>
      <c r="BT26" s="100">
        <f>IF($H26=0,0,CHOOSE($H26,SUMPRODUCT($O27:$O$67*BT27:BT$67*($E27:$E$67=$D26)),IF(ISNUMBER(Data_2017!BN26),100*ABS($G26-(Data_2017!BN26-$K26)/$M26),0),IF(ISNUMBER(Data_2017!BN26),100*ABS($G26-(Data_2017!BN26-$K26)/$M26),0)))</f>
        <v>64.5305748980739</v>
      </c>
      <c r="BU26" s="100">
        <f>IF($H26=0,0,CHOOSE($H26,SUMPRODUCT($O27:$O$67*BU27:BU$67*($E27:$E$67=$D26)),IF(ISNUMBER(Data_2017!BO26),100*ABS($G26-(Data_2017!BO26-$K26)/$M26),0),IF(ISNUMBER(Data_2017!BO26),100*ABS($G26-(Data_2017!BO26-$K26)/$M26),0)))</f>
        <v>69.5198976557376</v>
      </c>
      <c r="BV26" s="100">
        <f>IF($H26=0,0,CHOOSE($H26,SUMPRODUCT($O27:$O$67*BV27:BV$67*($E27:$E$67=$D26)),IF(ISNUMBER(Data_2017!BP26),100*ABS($G26-(Data_2017!BP26-$K26)/$M26),0),IF(ISNUMBER(Data_2017!BP26),100*ABS($G26-(Data_2017!BP26-$K26)/$M26),0)))</f>
        <v>55.6960716346574</v>
      </c>
      <c r="BW26" s="100">
        <f>IF($H26=0,0,CHOOSE($H26,SUMPRODUCT($O27:$O$67*BW27:BW$67*($E27:$E$67=$D26)),IF(ISNUMBER(Data_2017!BQ26),100*ABS($G26-(Data_2017!BQ26-$K26)/$M26),0),IF(ISNUMBER(Data_2017!BQ26),100*ABS($G26-(Data_2017!BQ26-$K26)/$M26),0)))</f>
        <v>87.8155496977432</v>
      </c>
      <c r="BX26" s="100">
        <f>IF($H26=0,0,CHOOSE($H26,SUMPRODUCT($O27:$O$67*BX27:BX$67*($E27:$E$67=$D26)),IF(ISNUMBER(Data_2017!BR26),100*ABS($G26-(Data_2017!BR26-$K26)/$M26),0),IF(ISNUMBER(Data_2017!BR26),100*ABS($G26-(Data_2017!BR26-$K26)/$M26),0)))</f>
        <v>87.3770941887946</v>
      </c>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row>
    <row r="27" s="69" customFormat="1" ht="24.95" customHeight="1" spans="1:130">
      <c r="A27" s="92"/>
      <c r="B27" s="92">
        <f>tblIndicators!A23</f>
        <v>22</v>
      </c>
      <c r="C27" s="92">
        <f>tblIndicators!B23</f>
        <v>0</v>
      </c>
      <c r="D27" s="92" t="str">
        <f>tblIndicators!D23</f>
        <v>HESE2.2.1</v>
      </c>
      <c r="E27" s="92" t="str">
        <f>tblIndicators!E23</f>
        <v>HESE2.2</v>
      </c>
      <c r="F27" s="92">
        <f>tblIndicators!F23</f>
        <v>3</v>
      </c>
      <c r="G27" s="92">
        <f>tblIndicators!Y23</f>
        <v>1</v>
      </c>
      <c r="H27" s="92">
        <f>tblIndicators!Z23</f>
        <v>3</v>
      </c>
      <c r="I27" s="104">
        <f>tblIndicators!AA23</f>
        <v>0</v>
      </c>
      <c r="J27" s="92">
        <f>tblIndicators!AB23</f>
        <v>100</v>
      </c>
      <c r="K27" s="89">
        <f>IF(uxb_works!$B$66=1,CHOOSE(H27,"-",MIN(Data_2017!J27:BR27),I27),CHOOSE(H27,"-",MIN(Data_2017!J27:BQ27),I27))</f>
        <v>0</v>
      </c>
      <c r="L27" s="97">
        <f>IF(uxb_works!$B$66=1,CHOOSE(H27,"-",MAX(Data_2017!J27:BR27),J27),CHOOSE(H27,"-",MAX(Data_2017!J27:BQ27),J27))</f>
        <v>100</v>
      </c>
      <c r="M27" s="92">
        <f t="shared" si="1"/>
        <v>100</v>
      </c>
      <c r="N27" s="105" t="str">
        <f>REPT(" ",F27)&amp;tblIndicators!AE23</f>
        <v>   2.2.1) Air quality (PM 2.5 levels)</v>
      </c>
      <c r="O27" s="106">
        <f>tblIndicators!AD23</f>
        <v>0.166666666666667</v>
      </c>
      <c r="P27" s="100">
        <f>IF($H27=0,0,CHOOSE($H27,SUMPRODUCT($O28:$O$67*P28:P$67*($E28:$E$67=$D27)),IF(ISNUMBER(Data_2017!J27),100*ABS($G27-(Data_2017!J27-$K27)/$M27),0),IF(ISNUMBER(Data_2017!J27),100*ABS($G27-(Data_2017!J27-$K27)/$M27),0)))</f>
        <v>44.2188213579332</v>
      </c>
      <c r="Q27" s="100">
        <f>IF($H27=0,0,CHOOSE($H27,SUMPRODUCT($O28:$O$67*Q28:Q$67*($E28:$E$67=$D27)),IF(ISNUMBER(Data_2017!K27),100*ABS($G27-(Data_2017!K27-$K27)/$M27),0),IF(ISNUMBER(Data_2017!K27),100*ABS($G27-(Data_2017!K27-$K27)/$M27),0)))</f>
        <v>84.4425936871428</v>
      </c>
      <c r="R27" s="100">
        <f>IF($H27=0,0,CHOOSE($H27,SUMPRODUCT($O28:$O$67*R28:R$67*($E28:$E$67=$D27)),IF(ISNUMBER(Data_2017!L27),100*ABS($G27-(Data_2017!L27-$K27)/$M27),0),IF(ISNUMBER(Data_2017!L27),100*ABS($G27-(Data_2017!L27-$K27)/$M27),0)))</f>
        <v>85.0015876433254</v>
      </c>
      <c r="S27" s="100">
        <f>IF($H27=0,0,CHOOSE($H27,SUMPRODUCT($O28:$O$67*S28:S$67*($E28:$E$67=$D27)),IF(ISNUMBER(Data_2017!M27),100*ABS($G27-(Data_2017!M27-$K27)/$M27),0),IF(ISNUMBER(Data_2017!M27),100*ABS($G27-(Data_2017!M27-$K27)/$M27),0)))</f>
        <v>76.4810751759005</v>
      </c>
      <c r="T27" s="100">
        <f>IF($H27=0,0,CHOOSE($H27,SUMPRODUCT($O28:$O$67*T28:T$67*($E28:$E$67=$D27)),IF(ISNUMBER(Data_2017!N27),100*ABS($G27-(Data_2017!N27-$K27)/$M27),0),IF(ISNUMBER(Data_2017!N27),100*ABS($G27-(Data_2017!N27-$K27)/$M27),0)))</f>
        <v>84.7493633883333</v>
      </c>
      <c r="U27" s="100">
        <f>IF($H27=0,0,CHOOSE($H27,SUMPRODUCT($O28:$O$67*U28:U$67*($E28:$E$67=$D27)),IF(ISNUMBER(Data_2017!O27),100*ABS($G27-(Data_2017!O27-$K27)/$M27),0),IF(ISNUMBER(Data_2017!O27),100*ABS($G27-(Data_2017!O27-$K27)/$M27),0)))</f>
        <v>14.7614644487932</v>
      </c>
      <c r="V27" s="100">
        <f>IF($H27=0,0,CHOOSE($H27,SUMPRODUCT($O28:$O$67*V28:V$67*($E28:$E$67=$D27)),IF(ISNUMBER(Data_2017!P27),100*ABS($G27-(Data_2017!P27-$K27)/$M27),0),IF(ISNUMBER(Data_2017!P27),100*ABS($G27-(Data_2017!P27-$K27)/$M27),0)))</f>
        <v>76</v>
      </c>
      <c r="W27" s="100">
        <f>IF($H27=0,0,CHOOSE($H27,SUMPRODUCT($O28:$O$67*W28:W$67*($E28:$E$67=$D27)),IF(ISNUMBER(Data_2017!Q27),100*ABS($G27-(Data_2017!Q27-$K27)/$M27),0),IF(ISNUMBER(Data_2017!Q27),100*ABS($G27-(Data_2017!Q27-$K27)/$M27),0)))</f>
        <v>81.752734334</v>
      </c>
      <c r="X27" s="100">
        <f>IF($H27=0,0,CHOOSE($H27,SUMPRODUCT($O28:$O$67*X28:X$67*($E28:$E$67=$D27)),IF(ISNUMBER(Data_2017!R27),100*ABS($G27-(Data_2017!R27-$K27)/$M27),0),IF(ISNUMBER(Data_2017!R27),100*ABS($G27-(Data_2017!R27-$K27)/$M27),0)))</f>
        <v>85.8404069506296</v>
      </c>
      <c r="Y27" s="100">
        <f>IF($H27=0,0,CHOOSE($H27,SUMPRODUCT($O28:$O$67*Y28:Y$67*($E28:$E$67=$D27)),IF(ISNUMBER(Data_2017!S27),100*ABS($G27-(Data_2017!S27-$K27)/$M27),0),IF(ISNUMBER(Data_2017!S27),100*ABS($G27-(Data_2017!S27-$K27)/$M27),0)))</f>
        <v>24.3573410838639</v>
      </c>
      <c r="Z27" s="100">
        <f>IF($H27=0,0,CHOOSE($H27,SUMPRODUCT($O28:$O$67*Z28:Z$67*($E28:$E$67=$D27)),IF(ISNUMBER(Data_2017!T27),100*ABS($G27-(Data_2017!T27-$K27)/$M27),0),IF(ISNUMBER(Data_2017!T27),100*ABS($G27-(Data_2017!T27-$K27)/$M27),0)))</f>
        <v>74.5522577278539</v>
      </c>
      <c r="AA27" s="100">
        <f>IF($H27=0,0,CHOOSE($H27,SUMPRODUCT($O28:$O$67*AA28:AA$67*($E28:$E$67=$D27)),IF(ISNUMBER(Data_2017!U27),100*ABS($G27-(Data_2017!U27-$K27)/$M27),0),IF(ISNUMBER(Data_2017!U27),100*ABS($G27-(Data_2017!U27-$K27)/$M27),0)))</f>
        <v>74.4336264557194</v>
      </c>
      <c r="AB27" s="100">
        <f>IF($H27=0,0,CHOOSE($H27,SUMPRODUCT($O28:$O$67*AB28:AB$67*($E28:$E$67=$D27)),IF(ISNUMBER(Data_2017!V27),100*ABS($G27-(Data_2017!V27-$K27)/$M27),0),IF(ISNUMBER(Data_2017!V27),100*ABS($G27-(Data_2017!V27-$K27)/$M27),0)))</f>
        <v>88.34</v>
      </c>
      <c r="AC27" s="100">
        <f>IF($H27=0,0,CHOOSE($H27,SUMPRODUCT($O28:$O$67*AC28:AC$67*($E28:$E$67=$D27)),IF(ISNUMBER(Data_2017!W27),100*ABS($G27-(Data_2017!W27-$K27)/$M27),0),IF(ISNUMBER(Data_2017!W27),100*ABS($G27-(Data_2017!W27-$K27)/$M27),0)))</f>
        <v>90</v>
      </c>
      <c r="AD27" s="100">
        <f>IF($H27=0,0,CHOOSE($H27,SUMPRODUCT($O28:$O$67*AD28:AD$67*($E28:$E$67=$D27)),IF(ISNUMBER(Data_2017!X27),100*ABS($G27-(Data_2017!X27-$K27)/$M27),0),IF(ISNUMBER(Data_2017!X27),100*ABS($G27-(Data_2017!X27-$K27)/$M27),0)))</f>
        <v>22.105666</v>
      </c>
      <c r="AE27" s="100">
        <f>IF($H27=0,0,CHOOSE($H27,SUMPRODUCT($O28:$O$67*AE28:AE$67*($E28:$E$67=$D27)),IF(ISNUMBER(Data_2017!Y27),100*ABS($G27-(Data_2017!Y27-$K27)/$M27),0),IF(ISNUMBER(Data_2017!Y27),100*ABS($G27-(Data_2017!Y27-$K27)/$M27),0)))</f>
        <v>10.3039772727273</v>
      </c>
      <c r="AF27" s="100">
        <f>IF($H27=0,0,CHOOSE($H27,SUMPRODUCT($O28:$O$67*AF28:AF$67*($E28:$E$67=$D27)),IF(ISNUMBER(Data_2017!Z27),100*ABS($G27-(Data_2017!Z27-$K27)/$M27),0),IF(ISNUMBER(Data_2017!Z27),100*ABS($G27-(Data_2017!Z27-$K27)/$M27),0)))</f>
        <v>6.56666666666671</v>
      </c>
      <c r="AG27" s="100">
        <f>IF($H27=0,0,CHOOSE($H27,SUMPRODUCT($O28:$O$67*AG28:AG$67*($E28:$E$67=$D27)),IF(ISNUMBER(Data_2017!AA27),100*ABS($G27-(Data_2017!AA27-$K27)/$M27),0),IF(ISNUMBER(Data_2017!AA27),100*ABS($G27-(Data_2017!AA27-$K27)/$M27),0)))</f>
        <v>81.74473133</v>
      </c>
      <c r="AH27" s="100">
        <f>IF($H27=0,0,CHOOSE($H27,SUMPRODUCT($O28:$O$67*AH28:AH$67*($E28:$E$67=$D27)),IF(ISNUMBER(Data_2017!AB27),100*ABS($G27-(Data_2017!AB27-$K27)/$M27),0),IF(ISNUMBER(Data_2017!AB27),100*ABS($G27-(Data_2017!AB27-$K27)/$M27),0)))</f>
        <v>71.7483445</v>
      </c>
      <c r="AI27" s="100">
        <f>IF($H27=0,0,CHOOSE($H27,SUMPRODUCT($O28:$O$67*AI28:AI$67*($E28:$E$67=$D27)),IF(ISNUMBER(Data_2017!AC27),100*ABS($G27-(Data_2017!AC27-$K27)/$M27),0),IF(ISNUMBER(Data_2017!AC27),100*ABS($G27-(Data_2017!AC27-$K27)/$M27),0)))</f>
        <v>70.5333333333333</v>
      </c>
      <c r="AJ27" s="100">
        <f>IF($H27=0,0,CHOOSE($H27,SUMPRODUCT($O28:$O$67*AJ28:AJ$67*($E28:$E$67=$D27)),IF(ISNUMBER(Data_2017!AD27),100*ABS($G27-(Data_2017!AD27-$K27)/$M27),0),IF(ISNUMBER(Data_2017!AD27),100*ABS($G27-(Data_2017!AD27-$K27)/$M27),0)))</f>
        <v>67.4572231910926</v>
      </c>
      <c r="AK27" s="100">
        <f>IF($H27=0,0,CHOOSE($H27,SUMPRODUCT($O28:$O$67*AK28:AK$67*($E28:$E$67=$D27)),IF(ISNUMBER(Data_2017!AE27),100*ABS($G27-(Data_2017!AE27-$K27)/$M27),0),IF(ISNUMBER(Data_2017!AE27),100*ABS($G27-(Data_2017!AE27-$K27)/$M27),0)))</f>
        <v>84.59179593</v>
      </c>
      <c r="AL27" s="100">
        <f>IF($H27=0,0,CHOOSE($H27,SUMPRODUCT($O28:$O$67*AL28:AL$67*($E28:$E$67=$D27)),IF(ISNUMBER(Data_2017!AF27),100*ABS($G27-(Data_2017!AF27-$K27)/$M27),0),IF(ISNUMBER(Data_2017!AF27),100*ABS($G27-(Data_2017!AF27-$K27)/$M27),0)))</f>
        <v>31.9638654441458</v>
      </c>
      <c r="AM27" s="100">
        <f>IF($H27=0,0,CHOOSE($H27,SUMPRODUCT($O28:$O$67*AM28:AM$67*($E28:$E$67=$D27)),IF(ISNUMBER(Data_2017!AG27),100*ABS($G27-(Data_2017!AG27-$K27)/$M27),0),IF(ISNUMBER(Data_2017!AG27),100*ABS($G27-(Data_2017!AG27-$K27)/$M27),0)))</f>
        <v>59.38304128</v>
      </c>
      <c r="AN27" s="100">
        <f>IF($H27=0,0,CHOOSE($H27,SUMPRODUCT($O28:$O$67*AN28:AN$67*($E28:$E$67=$D27)),IF(ISNUMBER(Data_2017!AH27),100*ABS($G27-(Data_2017!AH27-$K27)/$M27),0),IF(ISNUMBER(Data_2017!AH27),100*ABS($G27-(Data_2017!AH27-$K27)/$M27),0)))</f>
        <v>11.65</v>
      </c>
      <c r="AO27" s="100">
        <f>IF($H27=0,0,CHOOSE($H27,SUMPRODUCT($O28:$O$67*AO28:AO$67*($E28:$E$67=$D27)),IF(ISNUMBER(Data_2017!AI27),100*ABS($G27-(Data_2017!AI27-$K27)/$M27),0),IF(ISNUMBER(Data_2017!AI27),100*ABS($G27-(Data_2017!AI27-$K27)/$M27),0)))</f>
        <v>75.1291480630574</v>
      </c>
      <c r="AP27" s="100">
        <f>IF($H27=0,0,CHOOSE($H27,SUMPRODUCT($O28:$O$67*AP28:AP$67*($E28:$E$67=$D27)),IF(ISNUMBER(Data_2017!AJ27),100*ABS($G27-(Data_2017!AJ27-$K27)/$M27),0),IF(ISNUMBER(Data_2017!AJ27),100*ABS($G27-(Data_2017!AJ27-$K27)/$M27),0)))</f>
        <v>32.56650997</v>
      </c>
      <c r="AQ27" s="100">
        <f>IF($H27=0,0,CHOOSE($H27,SUMPRODUCT($O28:$O$67*AQ28:AQ$67*($E28:$E$67=$D27)),IF(ISNUMBER(Data_2017!AK27),100*ABS($G27-(Data_2017!AK27-$K27)/$M27),0),IF(ISNUMBER(Data_2017!AK27),100*ABS($G27-(Data_2017!AK27-$K27)/$M27),0)))</f>
        <v>52.4635185700374</v>
      </c>
      <c r="AR27" s="100">
        <f>IF($H27=0,0,CHOOSE($H27,SUMPRODUCT($O28:$O$67*AR28:AR$67*($E28:$E$67=$D27)),IF(ISNUMBER(Data_2017!AL27),100*ABS($G27-(Data_2017!AL27-$K27)/$M27),0),IF(ISNUMBER(Data_2017!AL27),100*ABS($G27-(Data_2017!AL27-$K27)/$M27),0)))</f>
        <v>91</v>
      </c>
      <c r="AS27" s="100">
        <f>IF($H27=0,0,CHOOSE($H27,SUMPRODUCT($O28:$O$67*AS28:AS$67*($E28:$E$67=$D27)),IF(ISNUMBER(Data_2017!AM27),100*ABS($G27-(Data_2017!AM27-$K27)/$M27),0),IF(ISNUMBER(Data_2017!AM27),100*ABS($G27-(Data_2017!AM27-$K27)/$M27),0)))</f>
        <v>89.2111111111111</v>
      </c>
      <c r="AT27" s="100">
        <f>IF($H27=0,0,CHOOSE($H27,SUMPRODUCT($O28:$O$67*AT28:AT$67*($E28:$E$67=$D27)),IF(ISNUMBER(Data_2017!AN27),100*ABS($G27-(Data_2017!AN27-$K27)/$M27),0),IF(ISNUMBER(Data_2017!AN27),100*ABS($G27-(Data_2017!AN27-$K27)/$M27),0)))</f>
        <v>90.0538974183333</v>
      </c>
      <c r="AU27" s="100">
        <f>IF($H27=0,0,CHOOSE($H27,SUMPRODUCT($O28:$O$67*AU28:AU$67*($E28:$E$67=$D27)),IF(ISNUMBER(Data_2017!AO27),100*ABS($G27-(Data_2017!AO27-$K27)/$M27),0),IF(ISNUMBER(Data_2017!AO27),100*ABS($G27-(Data_2017!AO27-$K27)/$M27),0)))</f>
        <v>82.8</v>
      </c>
      <c r="AV27" s="100">
        <f>IF($H27=0,0,CHOOSE($H27,SUMPRODUCT($O28:$O$67*AV28:AV$67*($E28:$E$67=$D27)),IF(ISNUMBER(Data_2017!AP27),100*ABS($G27-(Data_2017!AP27-$K27)/$M27),0),IF(ISNUMBER(Data_2017!AP27),100*ABS($G27-(Data_2017!AP27-$K27)/$M27),0)))</f>
        <v>92.3</v>
      </c>
      <c r="AW27" s="100">
        <f>IF($H27=0,0,CHOOSE($H27,SUMPRODUCT($O28:$O$67*AW28:AW$67*($E28:$E$67=$D27)),IF(ISNUMBER(Data_2017!AQ27),100*ABS($G27-(Data_2017!AQ27-$K27)/$M27),0),IF(ISNUMBER(Data_2017!AQ27),100*ABS($G27-(Data_2017!AQ27-$K27)/$M27),0)))</f>
        <v>80.2234609986552</v>
      </c>
      <c r="AX27" s="100">
        <f>IF($H27=0,0,CHOOSE($H27,SUMPRODUCT($O28:$O$67*AX28:AX$67*($E28:$E$67=$D27)),IF(ISNUMBER(Data_2017!AR27),100*ABS($G27-(Data_2017!AR27-$K27)/$M27),0),IF(ISNUMBER(Data_2017!AR27),100*ABS($G27-(Data_2017!AR27-$K27)/$M27),0)))</f>
        <v>69.818219755</v>
      </c>
      <c r="AY27" s="100">
        <f>IF($H27=0,0,CHOOSE($H27,SUMPRODUCT($O28:$O$67*AY28:AY$67*($E28:$E$67=$D27)),IF(ISNUMBER(Data_2017!AS27),100*ABS($G27-(Data_2017!AS27-$K27)/$M27),0),IF(ISNUMBER(Data_2017!AS27),100*ABS($G27-(Data_2017!AS27-$K27)/$M27),0)))</f>
        <v>80.1824983363096</v>
      </c>
      <c r="AZ27" s="100">
        <f>IF($H27=0,0,CHOOSE($H27,SUMPRODUCT($O28:$O$67*AZ28:AZ$67*($E28:$E$67=$D27)),IF(ISNUMBER(Data_2017!AT27),100*ABS($G27-(Data_2017!AT27-$K27)/$M27),0),IF(ISNUMBER(Data_2017!AT27),100*ABS($G27-(Data_2017!AT27-$K27)/$M27),0)))</f>
        <v>37.0625</v>
      </c>
      <c r="BA27" s="100">
        <f>IF($H27=0,0,CHOOSE($H27,SUMPRODUCT($O28:$O$67*BA28:BA$67*($E28:$E$67=$D27)),IF(ISNUMBER(Data_2017!AU27),100*ABS($G27-(Data_2017!AU27-$K27)/$M27),0),IF(ISNUMBER(Data_2017!AU27),100*ABS($G27-(Data_2017!AU27-$K27)/$M27),0)))</f>
        <v>91.1888888888889</v>
      </c>
      <c r="BB27" s="100">
        <f>IF($H27=0,0,CHOOSE($H27,SUMPRODUCT($O28:$O$67*BB28:BB$67*($E28:$E$67=$D27)),IF(ISNUMBER(Data_2017!AV27),100*ABS($G27-(Data_2017!AV27-$K27)/$M27),0),IF(ISNUMBER(Data_2017!AV27),100*ABS($G27-(Data_2017!AV27-$K27)/$M27),0)))</f>
        <v>83.16</v>
      </c>
      <c r="BC27" s="100">
        <f>IF($H27=0,0,CHOOSE($H27,SUMPRODUCT($O28:$O$67*BC28:BC$67*($E28:$E$67=$D27)),IF(ISNUMBER(Data_2017!AW27),100*ABS($G27-(Data_2017!AW27-$K27)/$M27),0),IF(ISNUMBER(Data_2017!AW27),100*ABS($G27-(Data_2017!AW27-$K27)/$M27),0)))</f>
        <v>82.5</v>
      </c>
      <c r="BD27" s="100">
        <f>IF($H27=0,0,CHOOSE($H27,SUMPRODUCT($O28:$O$67*BD28:BD$67*($E28:$E$67=$D27)),IF(ISNUMBER(Data_2017!AX27),100*ABS($G27-(Data_2017!AX27-$K27)/$M27),0),IF(ISNUMBER(Data_2017!AX27),100*ABS($G27-(Data_2017!AX27-$K27)/$M27),0)))</f>
        <v>81.554</v>
      </c>
      <c r="BE27" s="100">
        <f>IF($H27=0,0,CHOOSE($H27,SUMPRODUCT($O28:$O$67*BE28:BE$67*($E28:$E$67=$D27)),IF(ISNUMBER(Data_2017!AY27),100*ABS($G27-(Data_2017!AY27-$K27)/$M27),0),IF(ISNUMBER(Data_2017!AY27),100*ABS($G27-(Data_2017!AY27-$K27)/$M27),0)))</f>
        <v>84.1176470588235</v>
      </c>
      <c r="BF27" s="100">
        <f>IF($H27=0,0,CHOOSE($H27,SUMPRODUCT($O28:$O$67*BF28:BF$67*($E28:$E$67=$D27)),IF(ISNUMBER(Data_2017!AZ27),100*ABS($G27-(Data_2017!AZ27-$K27)/$M27),0),IF(ISNUMBER(Data_2017!AZ27),100*ABS($G27-(Data_2017!AZ27-$K27)/$M27),0)))</f>
        <v>55.5111646990954</v>
      </c>
      <c r="BG27" s="100">
        <f>IF($H27=0,0,CHOOSE($H27,SUMPRODUCT($O28:$O$67*BG28:BG$67*($E28:$E$67=$D27)),IF(ISNUMBER(Data_2017!BA27),100*ABS($G27-(Data_2017!BA27-$K27)/$M27),0),IF(ISNUMBER(Data_2017!BA27),100*ABS($G27-(Data_2017!BA27-$K27)/$M27),0)))</f>
        <v>82.982658025</v>
      </c>
      <c r="BH27" s="100">
        <f>IF($H27=0,0,CHOOSE($H27,SUMPRODUCT($O28:$O$67*BH28:BH$67*($E28:$E$67=$D27)),IF(ISNUMBER(Data_2017!BB27),100*ABS($G27-(Data_2017!BB27-$K27)/$M27),0),IF(ISNUMBER(Data_2017!BB27),100*ABS($G27-(Data_2017!BB27-$K27)/$M27),0)))</f>
        <v>91.4625</v>
      </c>
      <c r="BI27" s="100">
        <f>IF($H27=0,0,CHOOSE($H27,SUMPRODUCT($O28:$O$67*BI28:BI$67*($E28:$E$67=$D27)),IF(ISNUMBER(Data_2017!BC27),100*ABS($G27-(Data_2017!BC27-$K27)/$M27),0),IF(ISNUMBER(Data_2017!BC27),100*ABS($G27-(Data_2017!BC27-$K27)/$M27),0)))</f>
        <v>71.229</v>
      </c>
      <c r="BJ27" s="100">
        <f>IF($H27=0,0,CHOOSE($H27,SUMPRODUCT($O28:$O$67*BJ28:BJ$67*($E28:$E$67=$D27)),IF(ISNUMBER(Data_2017!BD27),100*ABS($G27-(Data_2017!BD27-$K27)/$M27),0),IF(ISNUMBER(Data_2017!BD27),100*ABS($G27-(Data_2017!BD27-$K27)/$M27),0)))</f>
        <v>81.375</v>
      </c>
      <c r="BK27" s="100">
        <f>IF($H27=0,0,CHOOSE($H27,SUMPRODUCT($O28:$O$67*BK28:BK$67*($E28:$E$67=$D27)),IF(ISNUMBER(Data_2017!BE27),100*ABS($G27-(Data_2017!BE27-$K27)/$M27),0),IF(ISNUMBER(Data_2017!BE27),100*ABS($G27-(Data_2017!BE27-$K27)/$M27),0)))</f>
        <v>75.766592054663</v>
      </c>
      <c r="BL27" s="100">
        <f>IF($H27=0,0,CHOOSE($H27,SUMPRODUCT($O28:$O$67*BL28:BL$67*($E28:$E$67=$D27)),IF(ISNUMBER(Data_2017!BF27),100*ABS($G27-(Data_2017!BF27-$K27)/$M27),0),IF(ISNUMBER(Data_2017!BF27),100*ABS($G27-(Data_2017!BF27-$K27)/$M27),0)))</f>
        <v>48.4</v>
      </c>
      <c r="BM27" s="100">
        <f>IF($H27=0,0,CHOOSE($H27,SUMPRODUCT($O28:$O$67*BM28:BM$67*($E28:$E$67=$D27)),IF(ISNUMBER(Data_2017!BG27),100*ABS($G27-(Data_2017!BG27-$K27)/$M27),0),IF(ISNUMBER(Data_2017!BG27),100*ABS($G27-(Data_2017!BG27-$K27)/$M27),0)))</f>
        <v>82</v>
      </c>
      <c r="BN27" s="100">
        <f>IF($H27=0,0,CHOOSE($H27,SUMPRODUCT($O28:$O$67*BN28:BN$67*($E28:$E$67=$D27)),IF(ISNUMBER(Data_2017!BH27),100*ABS($G27-(Data_2017!BH27-$K27)/$M27),0),IF(ISNUMBER(Data_2017!BH27),100*ABS($G27-(Data_2017!BH27-$K27)/$M27),0)))</f>
        <v>94.4854889975</v>
      </c>
      <c r="BO27" s="100">
        <f>IF($H27=0,0,CHOOSE($H27,SUMPRODUCT($O28:$O$67*BO28:BO$67*($E28:$E$67=$D27)),IF(ISNUMBER(Data_2017!BI27),100*ABS($G27-(Data_2017!BI27-$K27)/$M27),0),IF(ISNUMBER(Data_2017!BI27),100*ABS($G27-(Data_2017!BI27-$K27)/$M27),0)))</f>
        <v>92.32</v>
      </c>
      <c r="BP27" s="100">
        <f>IF($H27=0,0,CHOOSE($H27,SUMPRODUCT($O28:$O$67*BP28:BP$67*($E28:$E$67=$D27)),IF(ISNUMBER(Data_2017!BJ27),100*ABS($G27-(Data_2017!BJ27-$K27)/$M27),0),IF(ISNUMBER(Data_2017!BJ27),100*ABS($G27-(Data_2017!BJ27-$K27)/$M27),0)))</f>
        <v>81.2857142857143</v>
      </c>
      <c r="BQ27" s="100">
        <f>IF($H27=0,0,CHOOSE($H27,SUMPRODUCT($O28:$O$67*BQ28:BQ$67*($E28:$E$67=$D27)),IF(ISNUMBER(Data_2017!BK27),100*ABS($G27-(Data_2017!BK27-$K27)/$M27),0),IF(ISNUMBER(Data_2017!BK27),100*ABS($G27-(Data_2017!BK27-$K27)/$M27),0)))</f>
        <v>68.34</v>
      </c>
      <c r="BR27" s="100">
        <f>IF($H27=0,0,CHOOSE($H27,SUMPRODUCT($O28:$O$67*BR28:BR$67*($E28:$E$67=$D27)),IF(ISNUMBER(Data_2017!BL27),100*ABS($G27-(Data_2017!BL27-$K27)/$M27),0),IF(ISNUMBER(Data_2017!BL27),100*ABS($G27-(Data_2017!BL27-$K27)/$M27),0)))</f>
        <v>85.1</v>
      </c>
      <c r="BS27" s="100">
        <f>IF($H27=0,0,CHOOSE($H27,SUMPRODUCT($O28:$O$67*BS28:BS$67*($E28:$E$67=$D27)),IF(ISNUMBER(Data_2017!BM27),100*ABS($G27-(Data_2017!BM27-$K27)/$M27),0),IF(ISNUMBER(Data_2017!BM27),100*ABS($G27-(Data_2017!BM27-$K27)/$M27),0)))</f>
        <v>91.6</v>
      </c>
      <c r="BT27" s="100">
        <f>IF($H27=0,0,CHOOSE($H27,SUMPRODUCT($O28:$O$67*BT28:BT$67*($E28:$E$67=$D27)),IF(ISNUMBER(Data_2017!BN27),100*ABS($G27-(Data_2017!BN27-$K27)/$M27),0),IF(ISNUMBER(Data_2017!BN27),100*ABS($G27-(Data_2017!BN27-$K27)/$M27),0)))</f>
        <v>91.1125</v>
      </c>
      <c r="BU27" s="100">
        <f>IF($H27=0,0,CHOOSE($H27,SUMPRODUCT($O28:$O$67*BU28:BU$67*($E28:$E$67=$D27)),IF(ISNUMBER(Data_2017!BO27),100*ABS($G27-(Data_2017!BO27-$K27)/$M27),0),IF(ISNUMBER(Data_2017!BO27),100*ABS($G27-(Data_2017!BO27-$K27)/$M27),0)))</f>
        <v>93.7125993275396</v>
      </c>
      <c r="BV27" s="100">
        <f>IF($H27=0,0,CHOOSE($H27,SUMPRODUCT($O28:$O$67*BV28:BV$67*($E28:$E$67=$D27)),IF(ISNUMBER(Data_2017!BP27),100*ABS($G27-(Data_2017!BP27-$K27)/$M27),0),IF(ISNUMBER(Data_2017!BP27),100*ABS($G27-(Data_2017!BP27-$K27)/$M27),0)))</f>
        <v>45.61187811</v>
      </c>
      <c r="BW27" s="100">
        <f>IF($H27=0,0,CHOOSE($H27,SUMPRODUCT($O28:$O$67*BW28:BW$67*($E28:$E$67=$D27)),IF(ISNUMBER(Data_2017!BQ27),100*ABS($G27-(Data_2017!BQ27-$K27)/$M27),0),IF(ISNUMBER(Data_2017!BQ27),100*ABS($G27-(Data_2017!BQ27-$K27)/$M27),0)))</f>
        <v>85.6957121812</v>
      </c>
      <c r="BX27" s="100">
        <f>IF($H27=0,0,CHOOSE($H27,SUMPRODUCT($O28:$O$67*BX28:BX$67*($E28:$E$67=$D27)),IF(ISNUMBER(Data_2017!BR27),100*ABS($G27-(Data_2017!BR27-$K27)/$M27),0),IF(ISNUMBER(Data_2017!BR27),100*ABS($G27-(Data_2017!BR27-$K27)/$M27),0)))</f>
        <v>85.0333333333333</v>
      </c>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row>
    <row r="28" s="69" customFormat="1" ht="24.95" customHeight="1" spans="1:130">
      <c r="A28" s="92"/>
      <c r="B28" s="92">
        <f>tblIndicators!A24</f>
        <v>23</v>
      </c>
      <c r="C28" s="92">
        <f>tblIndicators!B24</f>
        <v>0</v>
      </c>
      <c r="D28" s="92" t="str">
        <f>tblIndicators!D24</f>
        <v>HESE2.2.2</v>
      </c>
      <c r="E28" s="92" t="str">
        <f>tblIndicators!E24</f>
        <v>HESE2.2</v>
      </c>
      <c r="F28" s="92">
        <f>tblIndicators!F24</f>
        <v>3</v>
      </c>
      <c r="G28" s="92">
        <f>tblIndicators!Y24</f>
        <v>0</v>
      </c>
      <c r="H28" s="92">
        <f>tblIndicators!Z24</f>
        <v>3</v>
      </c>
      <c r="I28" s="104">
        <f>tblIndicators!AA24</f>
        <v>0</v>
      </c>
      <c r="J28" s="92">
        <f>tblIndicators!AB24</f>
        <v>100</v>
      </c>
      <c r="K28" s="89">
        <f>IF(uxb_works!$B$66=1,CHOOSE(H28,"-",MIN(Data_2017!J28:BR28),I28),CHOOSE(H28,"-",MIN(Data_2017!J28:BQ28),I28))</f>
        <v>0</v>
      </c>
      <c r="L28" s="97">
        <f>IF(uxb_works!$B$66=1,CHOOSE(H28,"-",MAX(Data_2017!J28:BR28),J28),CHOOSE(H28,"-",MAX(Data_2017!J28:BQ28),J28))</f>
        <v>100</v>
      </c>
      <c r="M28" s="92">
        <f t="shared" si="1"/>
        <v>100</v>
      </c>
      <c r="N28" s="105" t="str">
        <f>REPT(" ",F28)&amp;tblIndicators!AE24</f>
        <v>   2.2.2) Water quality</v>
      </c>
      <c r="O28" s="106">
        <f>tblIndicators!AD24</f>
        <v>0.166666666666667</v>
      </c>
      <c r="P28" s="100">
        <f>IF($H28=0,0,CHOOSE($H28,SUMPRODUCT($O29:$O$67*P29:P$67*($E29:$E$67=$D28)),IF(ISNUMBER(Data_2017!J28),100*ABS($G28-(Data_2017!J28-$K28)/$M28),0),IF(ISNUMBER(Data_2017!J28),100*ABS($G28-(Data_2017!J28-$K28)/$M28),0)))</f>
        <v>91.3447138534964</v>
      </c>
      <c r="Q28" s="100">
        <f>IF($H28=0,0,CHOOSE($H28,SUMPRODUCT($O29:$O$67*Q29:Q$67*($E29:$E$67=$D28)),IF(ISNUMBER(Data_2017!K28),100*ABS($G28-(Data_2017!K28-$K28)/$M28),0),IF(ISNUMBER(Data_2017!K28),100*ABS($G28-(Data_2017!K28-$K28)/$M28),0)))</f>
        <v>94.4980184940555</v>
      </c>
      <c r="R28" s="100">
        <f>IF($H28=0,0,CHOOSE($H28,SUMPRODUCT($O29:$O$67*R29:R$67*($E29:$E$67=$D28)),IF(ISNUMBER(Data_2017!L28),100*ABS($G28-(Data_2017!L28-$K28)/$M28),0),IF(ISNUMBER(Data_2017!L28),100*ABS($G28-(Data_2017!L28-$K28)/$M28),0)))</f>
        <v>87.6489240209656</v>
      </c>
      <c r="S28" s="100">
        <f>IF($H28=0,0,CHOOSE($H28,SUMPRODUCT($O29:$O$67*S29:S$67*($E29:$E$67=$D28)),IF(ISNUMBER(Data_2017!M28),100*ABS($G28-(Data_2017!M28-$K28)/$M28),0),IF(ISNUMBER(Data_2017!M28),100*ABS($G28-(Data_2017!M28-$K28)/$M28),0)))</f>
        <v>79.3330165764691</v>
      </c>
      <c r="T28" s="100">
        <f>IF($H28=0,0,CHOOSE($H28,SUMPRODUCT($O29:$O$67*T29:T$67*($E29:$E$67=$D28)),IF(ISNUMBER(Data_2017!N28),100*ABS($G28-(Data_2017!N28-$K28)/$M28),0),IF(ISNUMBER(Data_2017!N28),100*ABS($G28-(Data_2017!N28-$K28)/$M28),0)))</f>
        <v>78.2850769165211</v>
      </c>
      <c r="U28" s="100">
        <f>IF($H28=0,0,CHOOSE($H28,SUMPRODUCT($O29:$O$67*U29:U$67*($E29:$E$67=$D28)),IF(ISNUMBER(Data_2017!O28),100*ABS($G28-(Data_2017!O28-$K28)/$M28),0),IF(ISNUMBER(Data_2017!O28),100*ABS($G28-(Data_2017!O28-$K28)/$M28),0)))</f>
        <v>85.9515234158606</v>
      </c>
      <c r="V28" s="100">
        <f>IF($H28=0,0,CHOOSE($H28,SUMPRODUCT($O29:$O$67*V29:V$67*($E29:$E$67=$D28)),IF(ISNUMBER(Data_2017!P28),100*ABS($G28-(Data_2017!P28-$K28)/$M28),0),IF(ISNUMBER(Data_2017!P28),100*ABS($G28-(Data_2017!P28-$K28)/$M28),0)))</f>
        <v>71.4101853666851</v>
      </c>
      <c r="W28" s="100">
        <f>IF($H28=0,0,CHOOSE($H28,SUMPRODUCT($O29:$O$67*W29:W$67*($E29:$E$67=$D28)),IF(ISNUMBER(Data_2017!Q28),100*ABS($G28-(Data_2017!Q28-$K28)/$M28),0),IF(ISNUMBER(Data_2017!Q28),100*ABS($G28-(Data_2017!Q28-$K28)/$M28),0)))</f>
        <v>94.8823667277453</v>
      </c>
      <c r="X28" s="100">
        <f>IF($H28=0,0,CHOOSE($H28,SUMPRODUCT($O29:$O$67*X29:X$67*($E29:$E$67=$D28)),IF(ISNUMBER(Data_2017!R28),100*ABS($G28-(Data_2017!R28-$K28)/$M28),0),IF(ISNUMBER(Data_2017!R28),100*ABS($G28-(Data_2017!R28-$K28)/$M28),0)))</f>
        <v>80.5849763497678</v>
      </c>
      <c r="Y28" s="100">
        <f>IF($H28=0,0,CHOOSE($H28,SUMPRODUCT($O29:$O$67*Y29:Y$67*($E29:$E$67=$D28)),IF(ISNUMBER(Data_2017!S28),100*ABS($G28-(Data_2017!S28-$K28)/$M28),0),IF(ISNUMBER(Data_2017!S28),100*ABS($G28-(Data_2017!S28-$K28)/$M28),0)))</f>
        <v>74.477965653897</v>
      </c>
      <c r="Z28" s="100">
        <f>IF($H28=0,0,CHOOSE($H28,SUMPRODUCT($O29:$O$67*Z29:Z$67*($E29:$E$67=$D28)),IF(ISNUMBER(Data_2017!T28),100*ABS($G28-(Data_2017!T28-$K28)/$M28),0),IF(ISNUMBER(Data_2017!T28),100*ABS($G28-(Data_2017!T28-$K28)/$M28),0)))</f>
        <v>51.4702169003281</v>
      </c>
      <c r="AA28" s="100">
        <f>IF($H28=0,0,CHOOSE($H28,SUMPRODUCT($O29:$O$67*AA29:AA$67*($E29:$E$67=$D28)),IF(ISNUMBER(Data_2017!U28),100*ABS($G28-(Data_2017!U28-$K28)/$M28),0),IF(ISNUMBER(Data_2017!U28),100*ABS($G28-(Data_2017!U28-$K28)/$M28),0)))</f>
        <v>68.918064516129</v>
      </c>
      <c r="AB28" s="100">
        <f>IF($H28=0,0,CHOOSE($H28,SUMPRODUCT($O29:$O$67*AB29:AB$67*($E29:$E$67=$D28)),IF(ISNUMBER(Data_2017!V28),100*ABS($G28-(Data_2017!V28-$K28)/$M28),0),IF(ISNUMBER(Data_2017!V28),100*ABS($G28-(Data_2017!V28-$K28)/$M28),0)))</f>
        <v>74.68</v>
      </c>
      <c r="AC28" s="100">
        <f>IF($H28=0,0,CHOOSE($H28,SUMPRODUCT($O29:$O$67*AC29:AC$67*($E29:$E$67=$D28)),IF(ISNUMBER(Data_2017!W28),100*ABS($G28-(Data_2017!W28-$K28)/$M28),0),IF(ISNUMBER(Data_2017!W28),100*ABS($G28-(Data_2017!W28-$K28)/$M28),0)))</f>
        <v>74.5977355435292</v>
      </c>
      <c r="AD28" s="100">
        <f>IF($H28=0,0,CHOOSE($H28,SUMPRODUCT($O29:$O$67*AD29:AD$67*($E29:$E$67=$D28)),IF(ISNUMBER(Data_2017!X28),100*ABS($G28-(Data_2017!X28-$K28)/$M28),0),IF(ISNUMBER(Data_2017!X28),100*ABS($G28-(Data_2017!X28-$K28)/$M28),0)))</f>
        <v>74.6005667533132</v>
      </c>
      <c r="AE28" s="100">
        <f>IF($H28=0,0,CHOOSE($H28,SUMPRODUCT($O29:$O$67*AE29:AE$67*($E29:$E$67=$D28)),IF(ISNUMBER(Data_2017!Y28),100*ABS($G28-(Data_2017!Y28-$K28)/$M28),0),IF(ISNUMBER(Data_2017!Y28),100*ABS($G28-(Data_2017!Y28-$K28)/$M28),0)))</f>
        <v>75.6312234201219</v>
      </c>
      <c r="AF28" s="100">
        <f>IF($H28=0,0,CHOOSE($H28,SUMPRODUCT($O29:$O$67*AF29:AF$67*($E29:$E$67=$D28)),IF(ISNUMBER(Data_2017!Z28),100*ABS($G28-(Data_2017!Z28-$K28)/$M28),0),IF(ISNUMBER(Data_2017!Z28),100*ABS($G28-(Data_2017!Z28-$K28)/$M28),0)))</f>
        <v>86.3282694848085</v>
      </c>
      <c r="AG28" s="100">
        <f>IF($H28=0,0,CHOOSE($H28,SUMPRODUCT($O29:$O$67*AG29:AG$67*($E29:$E$67=$D28)),IF(ISNUMBER(Data_2017!AA28),100*ABS($G28-(Data_2017!AA28-$K28)/$M28),0),IF(ISNUMBER(Data_2017!AA28),100*ABS($G28-(Data_2017!AA28-$K28)/$M28),0)))</f>
        <v>96.9922018153151</v>
      </c>
      <c r="AH28" s="100">
        <f>IF($H28=0,0,CHOOSE($H28,SUMPRODUCT($O29:$O$67*AH29:AH$67*($E29:$E$67=$D28)),IF(ISNUMBER(Data_2017!AB28),100*ABS($G28-(Data_2017!AB28-$K28)/$M28),0),IF(ISNUMBER(Data_2017!AB28),100*ABS($G28-(Data_2017!AB28-$K28)/$M28),0)))</f>
        <v>75.8059359952273</v>
      </c>
      <c r="AI28" s="100">
        <f>IF($H28=0,0,CHOOSE($H28,SUMPRODUCT($O29:$O$67*AI29:AI$67*($E29:$E$67=$D28)),IF(ISNUMBER(Data_2017!AC28),100*ABS($G28-(Data_2017!AC28-$K28)/$M28),0),IF(ISNUMBER(Data_2017!AC28),100*ABS($G28-(Data_2017!AC28-$K28)/$M28),0)))</f>
        <v>83.1285166403886</v>
      </c>
      <c r="AJ28" s="100">
        <f>IF($H28=0,0,CHOOSE($H28,SUMPRODUCT($O29:$O$67*AJ29:AJ$67*($E29:$E$67=$D28)),IF(ISNUMBER(Data_2017!AD28),100*ABS($G28-(Data_2017!AD28-$K28)/$M28),0),IF(ISNUMBER(Data_2017!AD28),100*ABS($G28-(Data_2017!AD28-$K28)/$M28),0)))</f>
        <v>72.8538884390847</v>
      </c>
      <c r="AK28" s="100">
        <f>IF($H28=0,0,CHOOSE($H28,SUMPRODUCT($O29:$O$67*AK29:AK$67*($E29:$E$67=$D28)),IF(ISNUMBER(Data_2017!AE28),100*ABS($G28-(Data_2017!AE28-$K28)/$M28),0),IF(ISNUMBER(Data_2017!AE28),100*ABS($G28-(Data_2017!AE28-$K28)/$M28),0)))</f>
        <v>58.8163847104445</v>
      </c>
      <c r="AL28" s="100">
        <f>IF($H28=0,0,CHOOSE($H28,SUMPRODUCT($O29:$O$67*AL29:AL$67*($E29:$E$67=$D28)),IF(ISNUMBER(Data_2017!AF28),100*ABS($G28-(Data_2017!AF28-$K28)/$M28),0),IF(ISNUMBER(Data_2017!AF28),100*ABS($G28-(Data_2017!AF28-$K28)/$M28),0)))</f>
        <v>83.0237823326373</v>
      </c>
      <c r="AM28" s="100">
        <f>IF($H28=0,0,CHOOSE($H28,SUMPRODUCT($O29:$O$67*AM29:AM$67*($E29:$E$67=$D28)),IF(ISNUMBER(Data_2017!AG28),100*ABS($G28-(Data_2017!AG28-$K28)/$M28),0),IF(ISNUMBER(Data_2017!AG28),100*ABS($G28-(Data_2017!AG28-$K28)/$M28),0)))</f>
        <v>85.1482771551541</v>
      </c>
      <c r="AN28" s="100">
        <f>IF($H28=0,0,CHOOSE($H28,SUMPRODUCT($O29:$O$67*AN29:AN$67*($E29:$E$67=$D28)),IF(ISNUMBER(Data_2017!AH28),100*ABS($G28-(Data_2017!AH28-$K28)/$M28),0),IF(ISNUMBER(Data_2017!AH28),100*ABS($G28-(Data_2017!AH28-$K28)/$M28),0)))</f>
        <v>64.843312737035</v>
      </c>
      <c r="AO28" s="100">
        <f>IF($H28=0,0,CHOOSE($H28,SUMPRODUCT($O29:$O$67*AO29:AO$67*($E29:$E$67=$D28)),IF(ISNUMBER(Data_2017!AI28),100*ABS($G28-(Data_2017!AI28-$K28)/$M28),0),IF(ISNUMBER(Data_2017!AI28),100*ABS($G28-(Data_2017!AI28-$K28)/$M28),0)))</f>
        <v>77.8593667703584</v>
      </c>
      <c r="AP28" s="100">
        <f>IF($H28=0,0,CHOOSE($H28,SUMPRODUCT($O29:$O$67*AP29:AP$67*($E29:$E$67=$D28)),IF(ISNUMBER(Data_2017!AJ28),100*ABS($G28-(Data_2017!AJ28-$K28)/$M28),0),IF(ISNUMBER(Data_2017!AJ28),100*ABS($G28-(Data_2017!AJ28-$K28)/$M28),0)))</f>
        <v>79.0954190991605</v>
      </c>
      <c r="AQ28" s="100">
        <f>IF($H28=0,0,CHOOSE($H28,SUMPRODUCT($O29:$O$67*AQ29:AQ$67*($E29:$E$67=$D28)),IF(ISNUMBER(Data_2017!AK28),100*ABS($G28-(Data_2017!AK28-$K28)/$M28),0),IF(ISNUMBER(Data_2017!AK28),100*ABS($G28-(Data_2017!AK28-$K28)/$M28),0)))</f>
        <v>61.2459445178336</v>
      </c>
      <c r="AR28" s="100">
        <f>IF($H28=0,0,CHOOSE($H28,SUMPRODUCT($O29:$O$67*AR29:AR$67*($E29:$E$67=$D28)),IF(ISNUMBER(Data_2017!AL28),100*ABS($G28-(Data_2017!AL28-$K28)/$M28),0),IF(ISNUMBER(Data_2017!AL28),100*ABS($G28-(Data_2017!AL28-$K28)/$M28),0)))</f>
        <v>90.3712234201219</v>
      </c>
      <c r="AS28" s="100">
        <f>IF($H28=0,0,CHOOSE($H28,SUMPRODUCT($O29:$O$67*AS29:AS$67*($E29:$E$67=$D28)),IF(ISNUMBER(Data_2017!AM28),100*ABS($G28-(Data_2017!AM28-$K28)/$M28),0),IF(ISNUMBER(Data_2017!AM28),100*ABS($G28-(Data_2017!AM28-$K28)/$M28),0)))</f>
        <v>75.1299509950143</v>
      </c>
      <c r="AT28" s="100">
        <f>IF($H28=0,0,CHOOSE($H28,SUMPRODUCT($O29:$O$67*AT29:AT$67*($E29:$E$67=$D28)),IF(ISNUMBER(Data_2017!AN28),100*ABS($G28-(Data_2017!AN28-$K28)/$M28),0),IF(ISNUMBER(Data_2017!AN28),100*ABS($G28-(Data_2017!AN28-$K28)/$M28),0)))</f>
        <v>87.2850769165211</v>
      </c>
      <c r="AU28" s="100">
        <f>IF($H28=0,0,CHOOSE($H28,SUMPRODUCT($O29:$O$67*AU29:AU$67*($E29:$E$67=$D28)),IF(ISNUMBER(Data_2017!AO28),100*ABS($G28-(Data_2017!AO28-$K28)/$M28),0),IF(ISNUMBER(Data_2017!AO28),100*ABS($G28-(Data_2017!AO28-$K28)/$M28),0)))</f>
        <v>83.0867703583756</v>
      </c>
      <c r="AV28" s="100">
        <f>IF($H28=0,0,CHOOSE($H28,SUMPRODUCT($O29:$O$67*AV29:AV$67*($E29:$E$67=$D28)),IF(ISNUMBER(Data_2017!AP28),100*ABS($G28-(Data_2017!AP28-$K28)/$M28),0),IF(ISNUMBER(Data_2017!AP28),100*ABS($G28-(Data_2017!AP28-$K28)/$M28),0)))</f>
        <v>92.3350662632633</v>
      </c>
      <c r="AW28" s="100">
        <f>IF($H28=0,0,CHOOSE($H28,SUMPRODUCT($O29:$O$67*AW29:AW$67*($E29:$E$67=$D28)),IF(ISNUMBER(Data_2017!AQ28),100*ABS($G28-(Data_2017!AQ28-$K28)/$M28),0),IF(ISNUMBER(Data_2017!AQ28),100*ABS($G28-(Data_2017!AQ28-$K28)/$M28),0)))</f>
        <v>68.1903217283845</v>
      </c>
      <c r="AX28" s="100">
        <f>IF($H28=0,0,CHOOSE($H28,SUMPRODUCT($O29:$O$67*AX29:AX$67*($E29:$E$67=$D28)),IF(ISNUMBER(Data_2017!AR28),100*ABS($G28-(Data_2017!AR28-$K28)/$M28),0),IF(ISNUMBER(Data_2017!AR28),100*ABS($G28-(Data_2017!AR28-$K28)/$M28),0)))</f>
        <v>86.3978352580219</v>
      </c>
      <c r="AY28" s="100">
        <f>IF($H28=0,0,CHOOSE($H28,SUMPRODUCT($O29:$O$67*AY29:AY$67*($E29:$E$67=$D28)),IF(ISNUMBER(Data_2017!AS28),100*ABS($G28-(Data_2017!AS28-$K28)/$M28),0),IF(ISNUMBER(Data_2017!AS28),100*ABS($G28-(Data_2017!AS28-$K28)/$M28),0)))</f>
        <v>87.9379469041633</v>
      </c>
      <c r="AZ28" s="100">
        <f>IF($H28=0,0,CHOOSE($H28,SUMPRODUCT($O29:$O$67*AZ29:AZ$67*($E29:$E$67=$D28)),IF(ISNUMBER(Data_2017!AT28),100*ABS($G28-(Data_2017!AT28-$K28)/$M28),0),IF(ISNUMBER(Data_2017!AT28),100*ABS($G28-(Data_2017!AT28-$K28)/$M28),0)))</f>
        <v>84.3588315506882</v>
      </c>
      <c r="BA28" s="100">
        <f>IF($H28=0,0,CHOOSE($H28,SUMPRODUCT($O29:$O$67*BA29:BA$67*($E29:$E$67=$D28)),IF(ISNUMBER(Data_2017!AU28),100*ABS($G28-(Data_2017!AU28-$K28)/$M28),0),IF(ISNUMBER(Data_2017!AU28),100*ABS($G28-(Data_2017!AU28-$K28)/$M28),0)))</f>
        <v>83.4326100481527</v>
      </c>
      <c r="BB28" s="100">
        <f>IF($H28=0,0,CHOOSE($H28,SUMPRODUCT($O29:$O$67*BB29:BB$67*($E29:$E$67=$D28)),IF(ISNUMBER(Data_2017!AV28),100*ABS($G28-(Data_2017!AV28-$K28)/$M28),0),IF(ISNUMBER(Data_2017!AV28),100*ABS($G28-(Data_2017!AV28-$K28)/$M28),0)))</f>
        <v>89.1403460178122</v>
      </c>
      <c r="BC28" s="100">
        <f>IF($H28=0,0,CHOOSE($H28,SUMPRODUCT($O29:$O$67*BC29:BC$67*($E29:$E$67=$D28)),IF(ISNUMBER(Data_2017!AW28),100*ABS($G28-(Data_2017!AW28-$K28)/$M28),0),IF(ISNUMBER(Data_2017!AW28),100*ABS($G28-(Data_2017!AW28-$K28)/$M28),0)))</f>
        <v>90.2805855030468</v>
      </c>
      <c r="BD28" s="100">
        <f>IF($H28=0,0,CHOOSE($H28,SUMPRODUCT($O29:$O$67*BD29:BD$67*($E29:$E$67=$D28)),IF(ISNUMBER(Data_2017!AX28),100*ABS($G28-(Data_2017!AX28-$K28)/$M28),0),IF(ISNUMBER(Data_2017!AX28),100*ABS($G28-(Data_2017!AX28-$K28)/$M28),0)))</f>
        <v>65.9302049686794</v>
      </c>
      <c r="BE28" s="100">
        <f>IF($H28=0,0,CHOOSE($H28,SUMPRODUCT($O29:$O$67*BE29:BE$67*($E29:$E$67=$D28)),IF(ISNUMBER(Data_2017!AY28),100*ABS($G28-(Data_2017!AY28-$K28)/$M28),0),IF(ISNUMBER(Data_2017!AY28),100*ABS($G28-(Data_2017!AY28-$K28)/$M28),0)))</f>
        <v>66.8841752247837</v>
      </c>
      <c r="BF28" s="100">
        <f>IF($H28=0,0,CHOOSE($H28,SUMPRODUCT($O29:$O$67*BF29:BF$67*($E29:$E$67=$D28)),IF(ISNUMBER(Data_2017!AZ28),100*ABS($G28-(Data_2017!AZ28-$K28)/$M28),0),IF(ISNUMBER(Data_2017!AZ28),100*ABS($G28-(Data_2017!AZ28-$K28)/$M28),0)))</f>
        <v>83.208722887459</v>
      </c>
      <c r="BG28" s="100">
        <f>IF($H28=0,0,CHOOSE($H28,SUMPRODUCT($O29:$O$67*BG29:BG$67*($E29:$E$67=$D28)),IF(ISNUMBER(Data_2017!BA28),100*ABS($G28-(Data_2017!BA28-$K28)/$M28),0),IF(ISNUMBER(Data_2017!BA28),100*ABS($G28-(Data_2017!BA28-$K28)/$M28),0)))</f>
        <v>83.0591255806026</v>
      </c>
      <c r="BH28" s="100">
        <f>IF($H28=0,0,CHOOSE($H28,SUMPRODUCT($O29:$O$67*BH29:BH$67*($E29:$E$67=$D28)),IF(ISNUMBER(Data_2017!BB28),100*ABS($G28-(Data_2017!BB28-$K28)/$M28),0),IF(ISNUMBER(Data_2017!BB28),100*ABS($G28-(Data_2017!BB28-$K28)/$M28),0)))</f>
        <v>75.1299509950143</v>
      </c>
      <c r="BI28" s="100">
        <f>IF($H28=0,0,CHOOSE($H28,SUMPRODUCT($O29:$O$67*BI29:BI$67*($E29:$E$67=$D28)),IF(ISNUMBER(Data_2017!BC28),100*ABS($G28-(Data_2017!BC28-$K28)/$M28),0),IF(ISNUMBER(Data_2017!BC28),100*ABS($G28-(Data_2017!BC28-$K28)/$M28),0)))</f>
        <v>86.1620019601994</v>
      </c>
      <c r="BJ28" s="100">
        <f>IF($H28=0,0,CHOOSE($H28,SUMPRODUCT($O29:$O$67*BJ29:BJ$67*($E29:$E$67=$D28)),IF(ISNUMBER(Data_2017!BD28),100*ABS($G28-(Data_2017!BD28-$K28)/$M28),0),IF(ISNUMBER(Data_2017!BD28),100*ABS($G28-(Data_2017!BD28-$K28)/$M28),0)))</f>
        <v>50.1841752247837</v>
      </c>
      <c r="BK28" s="100">
        <f>IF($H28=0,0,CHOOSE($H28,SUMPRODUCT($O29:$O$67*BK29:BK$67*($E29:$E$67=$D28)),IF(ISNUMBER(Data_2017!BE28),100*ABS($G28-(Data_2017!BE28-$K28)/$M28),0),IF(ISNUMBER(Data_2017!BE28),100*ABS($G28-(Data_2017!BE28-$K28)/$M28),0)))</f>
        <v>93.8108194485874</v>
      </c>
      <c r="BL28" s="100">
        <f>IF($H28=0,0,CHOOSE($H28,SUMPRODUCT($O29:$O$67*BL29:BL$67*($E29:$E$67=$D28)),IF(ISNUMBER(Data_2017!BF28),100*ABS($G28-(Data_2017!BF28-$K28)/$M28),0),IF(ISNUMBER(Data_2017!BF28),100*ABS($G28-(Data_2017!BF28-$K28)/$M28),0)))</f>
        <v>82.7680103975796</v>
      </c>
      <c r="BM28" s="100">
        <f>IF($H28=0,0,CHOOSE($H28,SUMPRODUCT($O29:$O$67*BM29:BM$67*($E29:$E$67=$D28)),IF(ISNUMBER(Data_2017!BG28),100*ABS($G28-(Data_2017!BG28-$K28)/$M28),0),IF(ISNUMBER(Data_2017!BG28),100*ABS($G28-(Data_2017!BG28-$K28)/$M28),0)))</f>
        <v>94.8656624195679</v>
      </c>
      <c r="BN28" s="100">
        <f>IF($H28=0,0,CHOOSE($H28,SUMPRODUCT($O29:$O$67*BN29:BN$67*($E29:$E$67=$D28)),IF(ISNUMBER(Data_2017!BH28),100*ABS($G28-(Data_2017!BH28-$K28)/$M28),0),IF(ISNUMBER(Data_2017!BH28),100*ABS($G28-(Data_2017!BH28-$K28)/$M28),0)))</f>
        <v>94.5553117143222</v>
      </c>
      <c r="BO28" s="100">
        <f>IF($H28=0,0,CHOOSE($H28,SUMPRODUCT($O29:$O$67*BO29:BO$67*($E29:$E$67=$D28)),IF(ISNUMBER(Data_2017!BI28),100*ABS($G28-(Data_2017!BI28-$K28)/$M28),0),IF(ISNUMBER(Data_2017!BI28),100*ABS($G28-(Data_2017!BI28-$K28)/$M28),0)))</f>
        <v>93.1768994758597</v>
      </c>
      <c r="BP28" s="100">
        <f>IF($H28=0,0,CHOOSE($H28,SUMPRODUCT($O29:$O$67*BP29:BP$67*($E29:$E$67=$D28)),IF(ISNUMBER(Data_2017!BJ28),100*ABS($G28-(Data_2017!BJ28-$K28)/$M28),0),IF(ISNUMBER(Data_2017!BJ28),100*ABS($G28-(Data_2017!BJ28-$K28)/$M28),0)))</f>
        <v>87.916005454468</v>
      </c>
      <c r="BQ28" s="100">
        <f>IF($H28=0,0,CHOOSE($H28,SUMPRODUCT($O29:$O$67*BQ29:BQ$67*($E29:$E$67=$D28)),IF(ISNUMBER(Data_2017!BK28),100*ABS($G28-(Data_2017!BK28-$K28)/$M28),0),IF(ISNUMBER(Data_2017!BK28),100*ABS($G28-(Data_2017!BK28-$K28)/$M28),0)))</f>
        <v>73.3695742958197</v>
      </c>
      <c r="BR28" s="100">
        <f>IF($H28=0,0,CHOOSE($H28,SUMPRODUCT($O29:$O$67*BR29:BR$67*($E29:$E$67=$D28)),IF(ISNUMBER(Data_2017!BL28),100*ABS($G28-(Data_2017!BL28-$K28)/$M28),0),IF(ISNUMBER(Data_2017!BL28),100*ABS($G28-(Data_2017!BL28-$K28)/$M28),0)))</f>
        <v>90.1403460178122</v>
      </c>
      <c r="BS28" s="100">
        <f>IF($H28=0,0,CHOOSE($H28,SUMPRODUCT($O29:$O$67*BS29:BS$67*($E29:$E$67=$D28)),IF(ISNUMBER(Data_2017!BM28),100*ABS($G28-(Data_2017!BM28-$K28)/$M28),0),IF(ISNUMBER(Data_2017!BM28),100*ABS($G28-(Data_2017!BM28-$K28)/$M28),0)))</f>
        <v>93.4071308646184</v>
      </c>
      <c r="BT28" s="100">
        <f>IF($H28=0,0,CHOOSE($H28,SUMPRODUCT($O29:$O$67*BT29:BT$67*($E29:$E$67=$D28)),IF(ISNUMBER(Data_2017!BN28),100*ABS($G28-(Data_2017!BN28-$K28)/$M28),0),IF(ISNUMBER(Data_2017!BN28),100*ABS($G28-(Data_2017!BN28-$K28)/$M28),0)))</f>
        <v>79.5964145395662</v>
      </c>
      <c r="BU28" s="100">
        <f>IF($H28=0,0,CHOOSE($H28,SUMPRODUCT($O29:$O$67*BU29:BU$67*($E29:$E$67=$D28)),IF(ISNUMBER(Data_2017!BO28),100*ABS($G28-(Data_2017!BO28-$K28)/$M28),0),IF(ISNUMBER(Data_2017!BO28),100*ABS($G28-(Data_2017!BO28-$K28)/$M28),0)))</f>
        <v>90.0277410832233</v>
      </c>
      <c r="BV28" s="100">
        <f>IF($H28=0,0,CHOOSE($H28,SUMPRODUCT($O29:$O$67*BV29:BV$67*($E29:$E$67=$D28)),IF(ISNUMBER(Data_2017!BP28),100*ABS($G28-(Data_2017!BP28-$K28)/$M28),0),IF(ISNUMBER(Data_2017!BP28),100*ABS($G28-(Data_2017!BP28-$K28)/$M28),0)))</f>
        <v>64.4896274768824</v>
      </c>
      <c r="BW28" s="100">
        <f>IF($H28=0,0,CHOOSE($H28,SUMPRODUCT($O29:$O$67*BW29:BW$67*($E29:$E$67=$D28)),IF(ISNUMBER(Data_2017!BQ28),100*ABS($G28-(Data_2017!BQ28-$K28)/$M28),0),IF(ISNUMBER(Data_2017!BQ28),100*ABS($G28-(Data_2017!BQ28-$K28)/$M28),0)))</f>
        <v>92.0764477777304</v>
      </c>
      <c r="BX28" s="100">
        <f>IF($H28=0,0,CHOOSE($H28,SUMPRODUCT($O29:$O$67*BX29:BX$67*($E29:$E$67=$D28)),IF(ISNUMBER(Data_2017!BR28),100*ABS($G28-(Data_2017!BR28-$K28)/$M28),0),IF(ISNUMBER(Data_2017!BR28),100*ABS($G28-(Data_2017!BR28-$K28)/$M28),0)))</f>
        <v>87.1403460178122</v>
      </c>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row>
    <row r="29" s="69" customFormat="1" ht="24.95" customHeight="1" spans="1:130">
      <c r="A29" s="92"/>
      <c r="B29" s="92">
        <f>tblIndicators!A25</f>
        <v>24</v>
      </c>
      <c r="C29" s="92">
        <f>tblIndicators!B25</f>
        <v>0</v>
      </c>
      <c r="D29" s="92" t="str">
        <f>tblIndicators!D25</f>
        <v>HESE2.2.3</v>
      </c>
      <c r="E29" s="92" t="str">
        <f>tblIndicators!E25</f>
        <v>HESE2.2</v>
      </c>
      <c r="F29" s="92">
        <f>tblIndicators!F25</f>
        <v>3</v>
      </c>
      <c r="G29" s="92">
        <f>tblIndicators!Y25</f>
        <v>0</v>
      </c>
      <c r="H29" s="92">
        <f>tblIndicators!Z25</f>
        <v>2</v>
      </c>
      <c r="I29" s="104">
        <f>tblIndicators!AA25</f>
        <v>0</v>
      </c>
      <c r="J29" s="92">
        <f>tblIndicators!AB25</f>
        <v>0</v>
      </c>
      <c r="K29" s="89">
        <f>IF(uxb_works!$B$66=1,CHOOSE(H29,"-",MIN(Data_2017!J29:BR29),I29),CHOOSE(H29,"-",MIN(Data_2017!J29:BQ29),I29))</f>
        <v>57.4409024390244</v>
      </c>
      <c r="L29" s="97">
        <f>IF(uxb_works!$B$66=1,CHOOSE(H29,"-",MAX(Data_2017!J29:BR29),J29),CHOOSE(H29,"-",MAX(Data_2017!J29:BQ29),J29))</f>
        <v>84.2780487804878</v>
      </c>
      <c r="M29" s="92">
        <f t="shared" si="1"/>
        <v>26.8371463414634</v>
      </c>
      <c r="N29" s="105" t="str">
        <f>REPT(" ",F29)&amp;tblIndicators!AE25</f>
        <v>   2.2.3) Life expectancy years</v>
      </c>
      <c r="O29" s="106">
        <f>tblIndicators!AD25</f>
        <v>0.166666666666667</v>
      </c>
      <c r="P29" s="100">
        <f>IF($H29=0,0,CHOOSE($H29,SUMPRODUCT($O30:$O$67*P30:P$67*($E30:$E$67=$D29)),IF(ISNUMBER(Data_2017!J29),100*ABS($G29-(Data_2017!J29-$K29)/$M29),0),IF(ISNUMBER(Data_2017!J29),100*ABS($G29-(Data_2017!J29-$K29)/$M29),0)))</f>
        <v>74.8974619270887</v>
      </c>
      <c r="Q29" s="100">
        <f>IF($H29=0,0,CHOOSE($H29,SUMPRODUCT($O30:$O$67*Q30:Q$67*($E30:$E$67=$D29)),IF(ISNUMBER(Data_2017!K29),100*ABS($G29-(Data_2017!K29-$K29)/$M29),0),IF(ISNUMBER(Data_2017!K29),100*ABS($G29-(Data_2017!K29-$K29)/$M29),0)))</f>
        <v>90.4209945625057</v>
      </c>
      <c r="R29" s="100">
        <f>IF($H29=0,0,CHOOSE($H29,SUMPRODUCT($O30:$O$67*R30:R$67*($E30:$E$67=$D29)),IF(ISNUMBER(Data_2017!L29),100*ABS($G29-(Data_2017!L29-$K29)/$M29),0),IF(ISNUMBER(Data_2017!L29),100*ABS($G29-(Data_2017!L29-$K29)/$M29),0)))</f>
        <v>89.9756707803072</v>
      </c>
      <c r="S29" s="100">
        <f>IF($H29=0,0,CHOOSE($H29,SUMPRODUCT($O30:$O$67*S30:S$67*($E30:$E$67=$D29)),IF(ISNUMBER(Data_2017!M29),100*ABS($G29-(Data_2017!M29-$K29)/$M29),0),IF(ISNUMBER(Data_2017!M29),100*ABS($G29-(Data_2017!M29-$K29)/$M29),0)))</f>
        <v>63.9423151201965</v>
      </c>
      <c r="T29" s="100">
        <f>IF($H29=0,0,CHOOSE($H29,SUMPRODUCT($O30:$O$67*T30:T$67*($E30:$E$67=$D29)),IF(ISNUMBER(Data_2017!N29),100*ABS($G29-(Data_2017!N29-$K29)/$M29),0),IF(ISNUMBER(Data_2017!N29),100*ABS($G29-(Data_2017!N29-$K29)/$M29),0)))</f>
        <v>96.6555275132847</v>
      </c>
      <c r="U29" s="100">
        <f>IF($H29=0,0,CHOOSE($H29,SUMPRODUCT($O30:$O$67*U30:U$67*($E30:$E$67=$D29)),IF(ISNUMBER(Data_2017!O29),100*ABS($G29-(Data_2017!O29-$K29)/$M29),0),IF(ISNUMBER(Data_2017!O29),100*ABS($G29-(Data_2017!O29-$K29)/$M29),0)))</f>
        <v>69.1036177558771</v>
      </c>
      <c r="V29" s="100">
        <f>IF($H29=0,0,CHOOSE($H29,SUMPRODUCT($O30:$O$67*V30:V$67*($E30:$E$67=$D29)),IF(ISNUMBER(Data_2017!P29),100*ABS($G29-(Data_2017!P29-$K29)/$M29),0),IF(ISNUMBER(Data_2017!P29),100*ABS($G29-(Data_2017!P29-$K29)/$M29),0)))</f>
        <v>62.3804101159387</v>
      </c>
      <c r="W29" s="100">
        <f>IF($H29=0,0,CHOOSE($H29,SUMPRODUCT($O30:$O$67*W30:W$67*($E30:$E$67=$D29)),IF(ISNUMBER(Data_2017!Q29),100*ABS($G29-(Data_2017!Q29-$K29)/$M29),0),IF(ISNUMBER(Data_2017!Q29),100*ABS($G29-(Data_2017!Q29-$K29)/$M29),0)))</f>
        <v>88.8578172045844</v>
      </c>
      <c r="X29" s="100">
        <f>IF($H29=0,0,CHOOSE($H29,SUMPRODUCT($O30:$O$67*X30:X$67*($E30:$E$67=$D29)),IF(ISNUMBER(Data_2017!R29),100*ABS($G29-(Data_2017!R29-$K29)/$M29),0),IF(ISNUMBER(Data_2017!R29),100*ABS($G29-(Data_2017!R29-$K29)/$M29),0)))</f>
        <v>70.3998734916929</v>
      </c>
      <c r="Y29" s="100">
        <f>IF($H29=0,0,CHOOSE($H29,SUMPRODUCT($O30:$O$67*Y30:Y$67*($E30:$E$67=$D29)),IF(ISNUMBER(Data_2017!S29),100*ABS($G29-(Data_2017!S29-$K29)/$M29),0),IF(ISNUMBER(Data_2017!S29),100*ABS($G29-(Data_2017!S29-$K29)/$M29),0)))</f>
        <v>51.7046358205727</v>
      </c>
      <c r="Z29" s="100">
        <f>IF($H29=0,0,CHOOSE($H29,SUMPRODUCT($O30:$O$67*Z30:Z$67*($E30:$E$67=$D29)),IF(ISNUMBER(Data_2017!T29),100*ABS($G29-(Data_2017!T29-$K29)/$M29),0),IF(ISNUMBER(Data_2017!T29),100*ABS($G29-(Data_2017!T29-$K29)/$M29),0)))</f>
        <v>63.2284338326109</v>
      </c>
      <c r="AA29" s="100">
        <f>IF($H29=0,0,CHOOSE($H29,SUMPRODUCT($O30:$O$67*AA30:AA$67*($E30:$E$67=$D29)),IF(ISNUMBER(Data_2017!U29),100*ABS($G29-(Data_2017!U29-$K29)/$M29),0),IF(ISNUMBER(Data_2017!U29),100*ABS($G29-(Data_2017!U29-$K29)/$M29),0)))</f>
        <v>62.7802018134675</v>
      </c>
      <c r="AB29" s="100">
        <f>IF($H29=0,0,CHOOSE($H29,SUMPRODUCT($O30:$O$67*AB30:AB$67*($E30:$E$67=$D29)),IF(ISNUMBER(Data_2017!V29),100*ABS($G29-(Data_2017!V29-$K29)/$M29),0),IF(ISNUMBER(Data_2017!V29),100*ABS($G29-(Data_2017!V29-$K29)/$M29),0)))</f>
        <v>80.1893953596914</v>
      </c>
      <c r="AC29" s="100">
        <f>IF($H29=0,0,CHOOSE($H29,SUMPRODUCT($O30:$O$67*AC30:AC$67*($E30:$E$67=$D29)),IF(ISNUMBER(Data_2017!W29),100*ABS($G29-(Data_2017!W29-$K29)/$M29),0),IF(ISNUMBER(Data_2017!W29),100*ABS($G29-(Data_2017!W29-$K29)/$M29),0)))</f>
        <v>78.2990869429943</v>
      </c>
      <c r="AD29" s="100">
        <f>IF($H29=0,0,CHOOSE($H29,SUMPRODUCT($O30:$O$67*AD30:AD$67*($E30:$E$67=$D29)),IF(ISNUMBER(Data_2017!X29),100*ABS($G29-(Data_2017!X29-$K29)/$M29),0),IF(ISNUMBER(Data_2017!X29),100*ABS($G29-(Data_2017!X29-$K29)/$M29),0)))</f>
        <v>40.6438836596163</v>
      </c>
      <c r="AE29" s="100">
        <f>IF($H29=0,0,CHOOSE($H29,SUMPRODUCT($O30:$O$67*AE30:AE$67*($E30:$E$67=$D29)),IF(ISNUMBER(Data_2017!Y29),100*ABS($G29-(Data_2017!Y29-$K29)/$M29),0),IF(ISNUMBER(Data_2017!Y29),100*ABS($G29-(Data_2017!Y29-$K29)/$M29),0)))</f>
        <v>54.2542507972659</v>
      </c>
      <c r="AF29" s="100">
        <f>IF($H29=0,0,CHOOSE($H29,SUMPRODUCT($O30:$O$67*AF30:AF$67*($E30:$E$67=$D29)),IF(ISNUMBER(Data_2017!Z29),100*ABS($G29-(Data_2017!Z29-$K29)/$M29),0),IF(ISNUMBER(Data_2017!Z29),100*ABS($G29-(Data_2017!Z29-$K29)/$M29),0)))</f>
        <v>79.4483983339437</v>
      </c>
      <c r="AG29" s="100">
        <f>IF($H29=0,0,CHOOSE($H29,SUMPRODUCT($O30:$O$67*AG30:AG$67*($E30:$E$67=$D29)),IF(ISNUMBER(Data_2017!AA29),100*ABS($G29-(Data_2017!AA29-$K29)/$M29),0),IF(ISNUMBER(Data_2017!AA29),100*ABS($G29-(Data_2017!AA29-$K29)/$M29),0)))</f>
        <v>88.121669727889</v>
      </c>
      <c r="AH29" s="100">
        <f>IF($H29=0,0,CHOOSE($H29,SUMPRODUCT($O30:$O$67*AH30:AH$67*($E30:$E$67=$D29)),IF(ISNUMBER(Data_2017!AB29),100*ABS($G29-(Data_2017!AB29-$K29)/$M29),0),IF(ISNUMBER(Data_2017!AB29),100*ABS($G29-(Data_2017!AB29-$K29)/$M29),0)))</f>
        <v>68.3263005499294</v>
      </c>
      <c r="AI29" s="100">
        <f>IF($H29=0,0,CHOOSE($H29,SUMPRODUCT($O30:$O$67*AI30:AI$67*($E30:$E$67=$D29)),IF(ISNUMBER(Data_2017!AC29),100*ABS($G29-(Data_2017!AC29-$K29)/$M29),0),IF(ISNUMBER(Data_2017!AC29),100*ABS($G29-(Data_2017!AC29-$K29)/$M29),0)))</f>
        <v>100</v>
      </c>
      <c r="AJ29" s="100">
        <f>IF($H29=0,0,CHOOSE($H29,SUMPRODUCT($O30:$O$67*AJ30:AJ$67*($E30:$E$67=$D29)),IF(ISNUMBER(Data_2017!AD29),100*ABS($G29-(Data_2017!AD29-$K29)/$M29),0),IF(ISNUMBER(Data_2017!AD29),100*ABS($G29-(Data_2017!AD29-$K29)/$M29),0)))</f>
        <v>67.0165033358387</v>
      </c>
      <c r="AK29" s="100">
        <f>IF($H29=0,0,CHOOSE($H29,SUMPRODUCT($O30:$O$67*AK30:AK$67*($E30:$E$67=$D29)),IF(ISNUMBER(Data_2017!AE29),100*ABS($G29-(Data_2017!AE29-$K29)/$M29),0),IF(ISNUMBER(Data_2017!AE29),100*ABS($G29-(Data_2017!AE29-$K29)/$M29),0)))</f>
        <v>43.3383651891308</v>
      </c>
      <c r="AL29" s="100">
        <f>IF($H29=0,0,CHOOSE($H29,SUMPRODUCT($O30:$O$67*AL30:AL$67*($E30:$E$67=$D29)),IF(ISNUMBER(Data_2017!AF29),100*ABS($G29-(Data_2017!AF29-$K29)/$M29),0),IF(ISNUMBER(Data_2017!AF29),100*ABS($G29-(Data_2017!AF29-$K29)/$M29),0)))</f>
        <v>63.5404331273635</v>
      </c>
      <c r="AM29" s="100">
        <f>IF($H29=0,0,CHOOSE($H29,SUMPRODUCT($O30:$O$67*AM30:AM$67*($E30:$E$67=$D29)),IF(ISNUMBER(Data_2017!AG29),100*ABS($G29-(Data_2017!AG29-$K29)/$M29),0),IF(ISNUMBER(Data_2017!AG29),100*ABS($G29-(Data_2017!AG29-$K29)/$M29),0)))</f>
        <v>0</v>
      </c>
      <c r="AN29" s="100">
        <f>IF($H29=0,0,CHOOSE($H29,SUMPRODUCT($O30:$O$67*AN30:AN$67*($E30:$E$67=$D29)),IF(ISNUMBER(Data_2017!AH29),100*ABS($G29-(Data_2017!AH29-$K29)/$M29),0),IF(ISNUMBER(Data_2017!AH29),100*ABS($G29-(Data_2017!AH29-$K29)/$M29),0)))</f>
        <v>33.297404489409</v>
      </c>
      <c r="AO29" s="100">
        <f>IF($H29=0,0,CHOOSE($H29,SUMPRODUCT($O30:$O$67*AO30:AO$67*($E30:$E$67=$D29)),IF(ISNUMBER(Data_2017!AI29),100*ABS($G29-(Data_2017!AI29-$K29)/$M29),0),IF(ISNUMBER(Data_2017!AI29),100*ABS($G29-(Data_2017!AI29-$K29)/$M29),0)))</f>
        <v>64.9631971702854</v>
      </c>
      <c r="AP29" s="100">
        <f>IF($H29=0,0,CHOOSE($H29,SUMPRODUCT($O30:$O$67*AP30:AP$67*($E30:$E$67=$D29)),IF(ISNUMBER(Data_2017!AJ29),100*ABS($G29-(Data_2017!AJ29-$K29)/$M29),0),IF(ISNUMBER(Data_2017!AJ29),100*ABS($G29-(Data_2017!AJ29-$K29)/$M29),0)))</f>
        <v>64.3026638541591</v>
      </c>
      <c r="AQ29" s="100">
        <f>IF($H29=0,0,CHOOSE($H29,SUMPRODUCT($O30:$O$67*AQ30:AQ$67*($E30:$E$67=$D29)),IF(ISNUMBER(Data_2017!AK29),100*ABS($G29-(Data_2017!AK29-$K29)/$M29),0),IF(ISNUMBER(Data_2017!AK29),100*ABS($G29-(Data_2017!AK29-$K29)/$M29),0)))</f>
        <v>64.6113004999441</v>
      </c>
      <c r="AR29" s="100">
        <f>IF($H29=0,0,CHOOSE($H29,SUMPRODUCT($O30:$O$67*AR30:AR$67*($E30:$E$67=$D29)),IF(ISNUMBER(Data_2017!AL29),100*ABS($G29-(Data_2017!AL29-$K29)/$M29),0),IF(ISNUMBER(Data_2017!AL29),100*ABS($G29-(Data_2017!AL29-$K29)/$M29),0)))</f>
        <v>90.0392884634785</v>
      </c>
      <c r="AS29" s="100">
        <f>IF($H29=0,0,CHOOSE($H29,SUMPRODUCT($O30:$O$67*AS30:AS$67*($E30:$E$67=$D29)),IF(ISNUMBER(Data_2017!AM29),100*ABS($G29-(Data_2017!AM29-$K29)/$M29),0),IF(ISNUMBER(Data_2017!AM29),100*ABS($G29-(Data_2017!AM29-$K29)/$M29),0)))</f>
        <v>86.9433747153216</v>
      </c>
      <c r="AT29" s="100">
        <f>IF($H29=0,0,CHOOSE($H29,SUMPRODUCT($O30:$O$67*AT30:AT$67*($E30:$E$67=$D29)),IF(ISNUMBER(Data_2017!AN29),100*ABS($G29-(Data_2017!AN29-$K29)/$M29),0),IF(ISNUMBER(Data_2017!AN29),100*ABS($G29-(Data_2017!AN29-$K29)/$M29),0)))</f>
        <v>96.6555275132847</v>
      </c>
      <c r="AU29" s="100">
        <f>IF($H29=0,0,CHOOSE($H29,SUMPRODUCT($O30:$O$67*AU30:AU$67*($E30:$E$67=$D29)),IF(ISNUMBER(Data_2017!AO29),100*ABS($G29-(Data_2017!AO29-$K29)/$M29),0),IF(ISNUMBER(Data_2017!AO29),100*ABS($G29-(Data_2017!AO29-$K29)/$M29),0)))</f>
        <v>40.8607290768256</v>
      </c>
      <c r="AV29" s="100">
        <f>IF($H29=0,0,CHOOSE($H29,SUMPRODUCT($O30:$O$67*AV30:AV$67*($E30:$E$67=$D29)),IF(ISNUMBER(Data_2017!AP29),100*ABS($G29-(Data_2017!AP29-$K29)/$M29),0),IF(ISNUMBER(Data_2017!AP29),100*ABS($G29-(Data_2017!AP29-$K29)/$M29),0)))</f>
        <v>93.1929079006801</v>
      </c>
      <c r="AW29" s="100">
        <f>IF($H29=0,0,CHOOSE($H29,SUMPRODUCT($O30:$O$67*AW30:AW$67*($E30:$E$67=$D29)),IF(ISNUMBER(Data_2017!AQ29),100*ABS($G29-(Data_2017!AQ29-$K29)/$M29),0),IF(ISNUMBER(Data_2017!AQ29),100*ABS($G29-(Data_2017!AQ29-$K29)/$M29),0)))</f>
        <v>72.5851409086241</v>
      </c>
      <c r="AX29" s="100">
        <f>IF($H29=0,0,CHOOSE($H29,SUMPRODUCT($O30:$O$67*AX30:AX$67*($E30:$E$67=$D29)),IF(ISNUMBER(Data_2017!AR29),100*ABS($G29-(Data_2017!AR29-$K29)/$M29),0),IF(ISNUMBER(Data_2017!AR29),100*ABS($G29-(Data_2017!AR29-$K29)/$M29),0)))</f>
        <v>97.0644983336711</v>
      </c>
      <c r="AY29" s="100">
        <f>IF($H29=0,0,CHOOSE($H29,SUMPRODUCT($O30:$O$67*AY30:AY$67*($E30:$E$67=$D29)),IF(ISNUMBER(Data_2017!AS29),100*ABS($G29-(Data_2017!AS29-$K29)/$M29),0),IF(ISNUMBER(Data_2017!AS29),100*ABS($G29-(Data_2017!AS29-$K29)/$M29),0)))</f>
        <v>50.1828099567127</v>
      </c>
      <c r="AZ29" s="100">
        <f>IF($H29=0,0,CHOOSE($H29,SUMPRODUCT($O30:$O$67*AZ30:AZ$67*($E30:$E$67=$D29)),IF(ISNUMBER(Data_2017!AT29),100*ABS($G29-(Data_2017!AT29-$K29)/$M29),0),IF(ISNUMBER(Data_2017!AT29),100*ABS($G29-(Data_2017!AT29-$K29)/$M29),0)))</f>
        <v>40.6438836596163</v>
      </c>
      <c r="BA29" s="100">
        <f>IF($H29=0,0,CHOOSE($H29,SUMPRODUCT($O30:$O$67*BA30:BA$67*($E30:$E$67=$D29)),IF(ISNUMBER(Data_2017!AU29),100*ABS($G29-(Data_2017!AU29-$K29)/$M29),0),IF(ISNUMBER(Data_2017!AU29),100*ABS($G29-(Data_2017!AU29-$K29)/$M29),0)))</f>
        <v>85.8511725276426</v>
      </c>
      <c r="BB29" s="100">
        <f>IF($H29=0,0,CHOOSE($H29,SUMPRODUCT($O30:$O$67*BB30:BB$67*($E30:$E$67=$D29)),IF(ISNUMBER(Data_2017!AV29),100*ABS($G29-(Data_2017!AV29-$K29)/$M29),0),IF(ISNUMBER(Data_2017!AV29),100*ABS($G29-(Data_2017!AV29-$K29)/$M29),0)))</f>
        <v>98.3813843753152</v>
      </c>
      <c r="BC29" s="100">
        <f>IF($H29=0,0,CHOOSE($H29,SUMPRODUCT($O30:$O$67*BC30:BC$67*($E30:$E$67=$D29)),IF(ISNUMBER(Data_2017!AW29),100*ABS($G29-(Data_2017!AW29-$K29)/$M29),0),IF(ISNUMBER(Data_2017!AW29),100*ABS($G29-(Data_2017!AW29-$K29)/$M29),0)))</f>
        <v>94.0108495414528</v>
      </c>
      <c r="BD29" s="100">
        <f>IF($H29=0,0,CHOOSE($H29,SUMPRODUCT($O30:$O$67*BD30:BD$67*($E30:$E$67=$D29)),IF(ISNUMBER(Data_2017!AX29),100*ABS($G29-(Data_2017!AX29-$K29)/$M29),0),IF(ISNUMBER(Data_2017!AX29),100*ABS($G29-(Data_2017!AX29-$K29)/$M29),0)))</f>
        <v>69.538035649532</v>
      </c>
      <c r="BE29" s="100">
        <f>IF($H29=0,0,CHOOSE($H29,SUMPRODUCT($O30:$O$67*BE30:BE$67*($E30:$E$67=$D29)),IF(ISNUMBER(Data_2017!AY29),100*ABS($G29-(Data_2017!AY29-$K29)/$M29),0),IF(ISNUMBER(Data_2017!AY29),100*ABS($G29-(Data_2017!AY29-$K29)/$M29),0)))</f>
        <v>64.2205970428683</v>
      </c>
      <c r="BF29" s="100">
        <f>IF($H29=0,0,CHOOSE($H29,SUMPRODUCT($O30:$O$67*BF30:BF$67*($E30:$E$67=$D29)),IF(ISNUMBER(Data_2017!AZ29),100*ABS($G29-(Data_2017!AZ29-$K29)/$M29),0),IF(ISNUMBER(Data_2017!AZ29),100*ABS($G29-(Data_2017!AZ29-$K29)/$M29),0)))</f>
        <v>63.5404331273635</v>
      </c>
      <c r="BG29" s="100">
        <f>IF($H29=0,0,CHOOSE($H29,SUMPRODUCT($O30:$O$67*BG30:BG$67*($E30:$E$67=$D29)),IF(ISNUMBER(Data_2017!BA29),100*ABS($G29-(Data_2017!BA29-$K29)/$M29),0),IF(ISNUMBER(Data_2017!BA29),100*ABS($G29-(Data_2017!BA29-$K29)/$M29),0)))</f>
        <v>97.0644983336711</v>
      </c>
      <c r="BH29" s="100">
        <f>IF($H29=0,0,CHOOSE($H29,SUMPRODUCT($O30:$O$67*BH30:BH$67*($E30:$E$67=$D29)),IF(ISNUMBER(Data_2017!BB29),100*ABS($G29-(Data_2017!BB29-$K29)/$M29),0),IF(ISNUMBER(Data_2017!BB29),100*ABS($G29-(Data_2017!BB29-$K29)/$M29),0)))</f>
        <v>86.9433747153216</v>
      </c>
      <c r="BI29" s="100">
        <f>IF($H29=0,0,CHOOSE($H29,SUMPRODUCT($O30:$O$67*BI30:BI$67*($E30:$E$67=$D29)),IF(ISNUMBER(Data_2017!BC29),100*ABS($G29-(Data_2017!BC29-$K29)/$M29),0),IF(ISNUMBER(Data_2017!BC29),100*ABS($G29-(Data_2017!BC29-$K29)/$M29),0)))</f>
        <v>90.7199976734104</v>
      </c>
      <c r="BJ29" s="100">
        <f>IF($H29=0,0,CHOOSE($H29,SUMPRODUCT($O30:$O$67*BJ30:BJ$67*($E30:$E$67=$D29)),IF(ISNUMBER(Data_2017!BD29),100*ABS($G29-(Data_2017!BD29-$K29)/$M29),0),IF(ISNUMBER(Data_2017!BD29),100*ABS($G29-(Data_2017!BD29-$K29)/$M29),0)))</f>
        <v>64.2205970428683</v>
      </c>
      <c r="BK29" s="100">
        <f>IF($H29=0,0,CHOOSE($H29,SUMPRODUCT($O30:$O$67*BK30:BK$67*($E30:$E$67=$D29)),IF(ISNUMBER(Data_2017!BE29),100*ABS($G29-(Data_2017!BE29-$K29)/$M29),0),IF(ISNUMBER(Data_2017!BE29),100*ABS($G29-(Data_2017!BE29-$K29)/$M29),0)))</f>
        <v>92.092321981818</v>
      </c>
      <c r="BL29" s="100">
        <f>IF($H29=0,0,CHOOSE($H29,SUMPRODUCT($O30:$O$67*BL30:BL$67*($E30:$E$67=$D29)),IF(ISNUMBER(Data_2017!BF29),100*ABS($G29-(Data_2017!BF29-$K29)/$M29),0),IF(ISNUMBER(Data_2017!BF29),100*ABS($G29-(Data_2017!BF29-$K29)/$M29),0)))</f>
        <v>69.1036177558771</v>
      </c>
      <c r="BM29" s="100">
        <f>IF($H29=0,0,CHOOSE($H29,SUMPRODUCT($O30:$O$67*BM30:BM$67*($E30:$E$67=$D29)),IF(ISNUMBER(Data_2017!BG29),100*ABS($G29-(Data_2017!BG29-$K29)/$M29),0),IF(ISNUMBER(Data_2017!BG29),100*ABS($G29-(Data_2017!BG29-$K29)/$M29),0)))</f>
        <v>93.7291140874089</v>
      </c>
      <c r="BN29" s="100">
        <f>IF($H29=0,0,CHOOSE($H29,SUMPRODUCT($O30:$O$67*BN30:BN$67*($E30:$E$67=$D29)),IF(ISNUMBER(Data_2017!BH29),100*ABS($G29-(Data_2017!BH29-$K29)/$M29),0),IF(ISNUMBER(Data_2017!BH29),100*ABS($G29-(Data_2017!BH29-$K29)/$M29),0)))</f>
        <v>93.5655257592543</v>
      </c>
      <c r="BO29" s="100">
        <f>IF($H29=0,0,CHOOSE($H29,SUMPRODUCT($O30:$O$67*BO30:BO$67*($E30:$E$67=$D29)),IF(ISNUMBER(Data_2017!BI29),100*ABS($G29-(Data_2017!BI29-$K29)/$M29),0),IF(ISNUMBER(Data_2017!BI29),100*ABS($G29-(Data_2017!BI29-$K29)/$M29),0)))</f>
        <v>93.1929079006801</v>
      </c>
      <c r="BP29" s="100">
        <f>IF($H29=0,0,CHOOSE($H29,SUMPRODUCT($O30:$O$67*BP30:BP$67*($E30:$E$67=$D29)),IF(ISNUMBER(Data_2017!BJ29),100*ABS($G29-(Data_2017!BJ29-$K29)/$M29),0),IF(ISNUMBER(Data_2017!BJ29),100*ABS($G29-(Data_2017!BJ29-$K29)/$M29),0)))</f>
        <v>84.8044619625328</v>
      </c>
      <c r="BQ29" s="100">
        <f>IF($H29=0,0,CHOOSE($H29,SUMPRODUCT($O30:$O$67*BQ30:BQ$67*($E30:$E$67=$D29)),IF(ISNUMBER(Data_2017!BK29),100*ABS($G29-(Data_2017!BK29-$K29)/$M29),0),IF(ISNUMBER(Data_2017!BK29),100*ABS($G29-(Data_2017!BK29-$K29)/$M29),0)))</f>
        <v>67.6317772145088</v>
      </c>
      <c r="BR29" s="100">
        <f>IF($H29=0,0,CHOOSE($H29,SUMPRODUCT($O30:$O$67*BR30:BR$67*($E30:$E$67=$D29)),IF(ISNUMBER(Data_2017!BL29),100*ABS($G29-(Data_2017!BL29-$K29)/$M29),0),IF(ISNUMBER(Data_2017!BL29),100*ABS($G29-(Data_2017!BL29-$K29)/$M29),0)))</f>
        <v>98.3813843753152</v>
      </c>
      <c r="BS29" s="100">
        <f>IF($H29=0,0,CHOOSE($H29,SUMPRODUCT($O30:$O$67*BS30:BS$67*($E30:$E$67=$D29)),IF(ISNUMBER(Data_2017!BM29),100*ABS($G29-(Data_2017!BM29-$K29)/$M29),0),IF(ISNUMBER(Data_2017!BM29),100*ABS($G29-(Data_2017!BM29-$K29)/$M29),0)))</f>
        <v>92.0244328256339</v>
      </c>
      <c r="BT29" s="100">
        <f>IF($H29=0,0,CHOOSE($H29,SUMPRODUCT($O30:$O$67*BT30:BT$67*($E30:$E$67=$D29)),IF(ISNUMBER(Data_2017!BN29),100*ABS($G29-(Data_2017!BN29-$K29)/$M29),0),IF(ISNUMBER(Data_2017!BN29),100*ABS($G29-(Data_2017!BN29-$K29)/$M29),0)))</f>
        <v>71.1401647089084</v>
      </c>
      <c r="BU29" s="100">
        <f>IF($H29=0,0,CHOOSE($H29,SUMPRODUCT($O30:$O$67*BU30:BU$67*($E30:$E$67=$D29)),IF(ISNUMBER(Data_2017!BO29),100*ABS($G29-(Data_2017!BO29-$K29)/$M29),0),IF(ISNUMBER(Data_2017!BO29),100*ABS($G29-(Data_2017!BO29-$K29)/$M29),0)))</f>
        <v>89.4876322679795</v>
      </c>
      <c r="BV29" s="100">
        <f>IF($H29=0,0,CHOOSE($H29,SUMPRODUCT($O30:$O$67*BV30:BV$67*($E30:$E$67=$D29)),IF(ISNUMBER(Data_2017!BP29),100*ABS($G29-(Data_2017!BP29-$K29)/$M29),0),IF(ISNUMBER(Data_2017!BP29),100*ABS($G29-(Data_2017!BP29-$K29)/$M29),0)))</f>
        <v>32.0494981928034</v>
      </c>
      <c r="BW29" s="100">
        <f>IF($H29=0,0,CHOOSE($H29,SUMPRODUCT($O30:$O$67*BW30:BW$67*($E30:$E$67=$D29)),IF(ISNUMBER(Data_2017!BQ29),100*ABS($G29-(Data_2017!BQ29-$K29)/$M29),0),IF(ISNUMBER(Data_2017!BQ29),100*ABS($G29-(Data_2017!BQ29-$K29)/$M29),0)))</f>
        <v>95.9739094793074</v>
      </c>
      <c r="BX29" s="100">
        <f>IF($H29=0,0,CHOOSE($H29,SUMPRODUCT($O30:$O$67*BX30:BX$67*($E30:$E$67=$D29)),IF(ISNUMBER(Data_2017!BR29),100*ABS($G29-(Data_2017!BR29-$K29)/$M29),0),IF(ISNUMBER(Data_2017!BR29),100*ABS($G29-(Data_2017!BR29-$K29)/$M29),0)))</f>
        <v>98.3813843753152</v>
      </c>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row>
    <row r="30" s="69" customFormat="1" ht="24.95" customHeight="1" spans="1:130">
      <c r="A30" s="92"/>
      <c r="B30" s="92">
        <f>tblIndicators!A26</f>
        <v>25</v>
      </c>
      <c r="C30" s="92">
        <f>tblIndicators!B26</f>
        <v>0</v>
      </c>
      <c r="D30" s="92" t="str">
        <f>tblIndicators!D26</f>
        <v>HESE2.2.4</v>
      </c>
      <c r="E30" s="92" t="str">
        <f>tblIndicators!E26</f>
        <v>HESE2.2</v>
      </c>
      <c r="F30" s="92">
        <f>tblIndicators!F26</f>
        <v>3</v>
      </c>
      <c r="G30" s="92">
        <f>tblIndicators!Y26</f>
        <v>1</v>
      </c>
      <c r="H30" s="92">
        <f>tblIndicators!Z26</f>
        <v>2</v>
      </c>
      <c r="I30" s="104">
        <f>tblIndicators!AA26</f>
        <v>0</v>
      </c>
      <c r="J30" s="92">
        <f>tblIndicators!AB26</f>
        <v>0</v>
      </c>
      <c r="K30" s="89">
        <f>IF(uxb_works!$B$66=1,CHOOSE(H30,"-",MIN(Data_2017!J30:BR30),I30),CHOOSE(H30,"-",MIN(Data_2017!J30:BQ30),I30))</f>
        <v>1.5</v>
      </c>
      <c r="L30" s="97">
        <f>IF(uxb_works!$B$66=1,CHOOSE(H30,"-",MAX(Data_2017!J30:BR30),J30),CHOOSE(H30,"-",MAX(Data_2017!J30:BQ30),J30))</f>
        <v>65.8</v>
      </c>
      <c r="M30" s="92">
        <f t="shared" si="1"/>
        <v>64.3</v>
      </c>
      <c r="N30" s="105" t="str">
        <f>REPT(" ",F30)&amp;tblIndicators!AE26</f>
        <v>   2.2.4) Infant mortality</v>
      </c>
      <c r="O30" s="106">
        <f>tblIndicators!AD26</f>
        <v>0.166666666666667</v>
      </c>
      <c r="P30" s="100">
        <f>IF($H30=0,0,CHOOSE($H30,SUMPRODUCT($O31:$O$67*P31:P$67*($E31:$E$67=$D30)),IF(ISNUMBER(Data_2017!J30),100*ABS($G30-(Data_2017!J30-$K30)/$M30),0),IF(ISNUMBER(Data_2017!J30),100*ABS($G30-(Data_2017!J30-$K30)/$M30),0)))</f>
        <v>93.1570762052877</v>
      </c>
      <c r="Q30" s="100">
        <f>IF($H30=0,0,CHOOSE($H30,SUMPRODUCT($O31:$O$67*Q31:Q$67*($E31:$E$67=$D30)),IF(ISNUMBER(Data_2017!K30),100*ABS($G30-(Data_2017!K30-$K30)/$M30),0),IF(ISNUMBER(Data_2017!K30),100*ABS($G30-(Data_2017!K30-$K30)/$M30),0)))</f>
        <v>97.3561430793157</v>
      </c>
      <c r="R30" s="100">
        <f>IF($H30=0,0,CHOOSE($H30,SUMPRODUCT($O31:$O$67*R31:R$67*($E31:$E$67=$D30)),IF(ISNUMBER(Data_2017!L30),100*ABS($G30-(Data_2017!L30-$K30)/$M30),0),IF(ISNUMBER(Data_2017!L30),100*ABS($G30-(Data_2017!L30-$K30)/$M30),0)))</f>
        <v>96.7340590979782</v>
      </c>
      <c r="S30" s="100">
        <f>IF($H30=0,0,CHOOSE($H30,SUMPRODUCT($O31:$O$67*S31:S$67*($E31:$E$67=$D30)),IF(ISNUMBER(Data_2017!M30),100*ABS($G30-(Data_2017!M30-$K30)/$M30),0),IF(ISNUMBER(Data_2017!M30),100*ABS($G30-(Data_2017!M30-$K30)/$M30),0)))</f>
        <v>86.0031104199067</v>
      </c>
      <c r="T30" s="100">
        <f>IF($H30=0,0,CHOOSE($H30,SUMPRODUCT($O31:$O$67*T31:T$67*($E31:$E$67=$D30)),IF(ISNUMBER(Data_2017!N30),100*ABS($G30-(Data_2017!N30-$K30)/$M30),0),IF(ISNUMBER(Data_2017!N30),100*ABS($G30-(Data_2017!N30-$K30)/$M30),0)))</f>
        <v>96.8895800933126</v>
      </c>
      <c r="U30" s="100">
        <f>IF($H30=0,0,CHOOSE($H30,SUMPRODUCT($O31:$O$67*U31:U$67*($E31:$E$67=$D30)),IF(ISNUMBER(Data_2017!O30),100*ABS($G30-(Data_2017!O30-$K30)/$M30),0),IF(ISNUMBER(Data_2017!O30),100*ABS($G30-(Data_2017!O30-$K30)/$M30),0)))</f>
        <v>88.0248833592535</v>
      </c>
      <c r="V30" s="100">
        <f>IF($H30=0,0,CHOOSE($H30,SUMPRODUCT($O31:$O$67*V31:V$67*($E31:$E$67=$D30)),IF(ISNUMBER(Data_2017!P30),100*ABS($G30-(Data_2017!P30-$K30)/$M30),0),IF(ISNUMBER(Data_2017!P30),100*ABS($G30-(Data_2017!P30-$K30)/$M30),0)))</f>
        <v>81.1819595645412</v>
      </c>
      <c r="W30" s="100">
        <f>IF($H30=0,0,CHOOSE($H30,SUMPRODUCT($O31:$O$67*W31:W$67*($E31:$E$67=$D30)),IF(ISNUMBER(Data_2017!Q30),100*ABS($G30-(Data_2017!Q30-$K30)/$M30),0),IF(ISNUMBER(Data_2017!Q30),100*ABS($G30-(Data_2017!Q30-$K30)/$M30),0)))</f>
        <v>97.2006220839813</v>
      </c>
      <c r="X30" s="100">
        <f>IF($H30=0,0,CHOOSE($H30,SUMPRODUCT($O31:$O$67*X31:X$67*($E31:$E$67=$D30)),IF(ISNUMBER(Data_2017!R30),100*ABS($G30-(Data_2017!R30-$K30)/$M30),0),IF(ISNUMBER(Data_2017!R30),100*ABS($G30-(Data_2017!R30-$K30)/$M30),0)))</f>
        <v>85.0699844479005</v>
      </c>
      <c r="Y30" s="100">
        <f>IF($H30=0,0,CHOOSE($H30,SUMPRODUCT($O31:$O$67*Y31:Y$67*($E31:$E$67=$D30)),IF(ISNUMBER(Data_2017!S30),100*ABS($G30-(Data_2017!S30-$K30)/$M30),0),IF(ISNUMBER(Data_2017!S30),100*ABS($G30-(Data_2017!S30-$K30)/$M30),0)))</f>
        <v>70.7620528771384</v>
      </c>
      <c r="Z30" s="100">
        <f>IF($H30=0,0,CHOOSE($H30,SUMPRODUCT($O31:$O$67*Z31:Z$67*($E31:$E$67=$D30)),IF(ISNUMBER(Data_2017!T30),100*ABS($G30-(Data_2017!T30-$K30)/$M30),0),IF(ISNUMBER(Data_2017!T30),100*ABS($G30-(Data_2017!T30-$K30)/$M30),0)))</f>
        <v>82.2706065318818</v>
      </c>
      <c r="AA30" s="100">
        <f>IF($H30=0,0,CHOOSE($H30,SUMPRODUCT($O31:$O$67*AA31:AA$67*($E31:$E$67=$D30)),IF(ISNUMBER(Data_2017!U30),100*ABS($G30-(Data_2017!U30-$K30)/$M30),0),IF(ISNUMBER(Data_2017!U30),100*ABS($G30-(Data_2017!U30-$K30)/$M30),0)))</f>
        <v>65.4743390357698</v>
      </c>
      <c r="AB30" s="100">
        <f>IF($H30=0,0,CHOOSE($H30,SUMPRODUCT($O31:$O$67*AB31:AB$67*($E31:$E$67=$D30)),IF(ISNUMBER(Data_2017!V30),100*ABS($G30-(Data_2017!V30-$K30)/$M30),0),IF(ISNUMBER(Data_2017!V30),100*ABS($G30-(Data_2017!V30-$K30)/$M30),0)))</f>
        <v>92.0684292379471</v>
      </c>
      <c r="AC30" s="100">
        <f>IF($H30=0,0,CHOOSE($H30,SUMPRODUCT($O31:$O$67*AC31:AC$67*($E31:$E$67=$D30)),IF(ISNUMBER(Data_2017!W30),100*ABS($G30-(Data_2017!W30-$K30)/$M30),0),IF(ISNUMBER(Data_2017!W30),100*ABS($G30-(Data_2017!W30-$K30)/$M30),0)))</f>
        <v>93.3125972006221</v>
      </c>
      <c r="AD30" s="100">
        <f>IF($H30=0,0,CHOOSE($H30,SUMPRODUCT($O31:$O$67*AD31:AD$67*($E31:$E$67=$D30)),IF(ISNUMBER(Data_2017!X30),100*ABS($G30-(Data_2017!X30-$K30)/$M30),0),IF(ISNUMBER(Data_2017!X30),100*ABS($G30-(Data_2017!X30-$K30)/$M30),0)))</f>
        <v>43.3903576982893</v>
      </c>
      <c r="AE30" s="100">
        <f>IF($H30=0,0,CHOOSE($H30,SUMPRODUCT($O31:$O$67*AE31:AE$67*($E31:$E$67=$D30)),IF(ISNUMBER(Data_2017!Y30),100*ABS($G30-(Data_2017!Y30-$K30)/$M30),0),IF(ISNUMBER(Data_2017!Y30),100*ABS($G30-(Data_2017!Y30-$K30)/$M30),0)))</f>
        <v>54.5878693623639</v>
      </c>
      <c r="AF30" s="100">
        <f>IF($H30=0,0,CHOOSE($H30,SUMPRODUCT($O31:$O$67*AF31:AF$67*($E31:$E$67=$D30)),IF(ISNUMBER(Data_2017!Z30),100*ABS($G30-(Data_2017!Z30-$K30)/$M30),0),IF(ISNUMBER(Data_2017!Z30),100*ABS($G30-(Data_2017!Z30-$K30)/$M30),0)))</f>
        <v>91.7573872472784</v>
      </c>
      <c r="AG30" s="100">
        <f>IF($H30=0,0,CHOOSE($H30,SUMPRODUCT($O31:$O$67*AG31:AG$67*($E31:$E$67=$D30)),IF(ISNUMBER(Data_2017!AA30),100*ABS($G30-(Data_2017!AA30-$K30)/$M30),0),IF(ISNUMBER(Data_2017!AA30),100*ABS($G30-(Data_2017!AA30-$K30)/$M30),0)))</f>
        <v>97.5116640746501</v>
      </c>
      <c r="AH30" s="100">
        <f>IF($H30=0,0,CHOOSE($H30,SUMPRODUCT($O31:$O$67*AH31:AH$67*($E31:$E$67=$D30)),IF(ISNUMBER(Data_2017!AB30),100*ABS($G30-(Data_2017!AB30-$K30)/$M30),0),IF(ISNUMBER(Data_2017!AB30),100*ABS($G30-(Data_2017!AB30-$K30)/$M30),0)))</f>
        <v>75.4276827371695</v>
      </c>
      <c r="AI30" s="100">
        <f>IF($H30=0,0,CHOOSE($H30,SUMPRODUCT($O31:$O$67*AI31:AI$67*($E31:$E$67=$D30)),IF(ISNUMBER(Data_2017!AC30),100*ABS($G30-(Data_2017!AC30-$K30)/$M30),0),IF(ISNUMBER(Data_2017!AC30),100*ABS($G30-(Data_2017!AC30-$K30)/$M30),0)))</f>
        <v>100</v>
      </c>
      <c r="AJ30" s="100">
        <f>IF($H30=0,0,CHOOSE($H30,SUMPRODUCT($O31:$O$67*AJ31:AJ$67*($E31:$E$67=$D30)),IF(ISNUMBER(Data_2017!AD30),100*ABS($G30-(Data_2017!AD30-$K30)/$M30),0),IF(ISNUMBER(Data_2017!AD30),100*ABS($G30-(Data_2017!AD30-$K30)/$M30),0)))</f>
        <v>84.2923794712286</v>
      </c>
      <c r="AK30" s="100">
        <f>IF($H30=0,0,CHOOSE($H30,SUMPRODUCT($O31:$O$67*AK31:AK$67*($E31:$E$67=$D30)),IF(ISNUMBER(Data_2017!AE30),100*ABS($G30-(Data_2017!AE30-$K30)/$M30),0),IF(ISNUMBER(Data_2017!AE30),100*ABS($G30-(Data_2017!AE30-$K30)/$M30),0)))</f>
        <v>66.8740279937792</v>
      </c>
      <c r="AL30" s="100">
        <f>IF($H30=0,0,CHOOSE($H30,SUMPRODUCT($O31:$O$67*AL31:AL$67*($E31:$E$67=$D30)),IF(ISNUMBER(Data_2017!AF30),100*ABS($G30-(Data_2017!AF30-$K30)/$M30),0),IF(ISNUMBER(Data_2017!AF30),100*ABS($G30-(Data_2017!AF30-$K30)/$M30),0)))</f>
        <v>82.8926905132193</v>
      </c>
      <c r="AM30" s="100">
        <f>IF($H30=0,0,CHOOSE($H30,SUMPRODUCT($O31:$O$67*AM31:AM$67*($E31:$E$67=$D30)),IF(ISNUMBER(Data_2017!AG30),100*ABS($G30-(Data_2017!AG30-$K30)/$M30),0),IF(ISNUMBER(Data_2017!AG30),100*ABS($G30-(Data_2017!AG30-$K30)/$M30),0)))</f>
        <v>50.0777604976672</v>
      </c>
      <c r="AN30" s="100">
        <f>IF($H30=0,0,CHOOSE($H30,SUMPRODUCT($O31:$O$67*AN31:AN$67*($E31:$E$67=$D30)),IF(ISNUMBER(Data_2017!AH30),100*ABS($G30-(Data_2017!AH30-$K30)/$M30),0),IF(ISNUMBER(Data_2017!AH30),100*ABS($G30-(Data_2017!AH30-$K30)/$M30),0)))</f>
        <v>0</v>
      </c>
      <c r="AO30" s="100">
        <f>IF($H30=0,0,CHOOSE($H30,SUMPRODUCT($O31:$O$67*AO31:AO$67*($E31:$E$67=$D30)),IF(ISNUMBER(Data_2017!AI30),100*ABS($G30-(Data_2017!AI30-$K30)/$M30),0),IF(ISNUMBER(Data_2017!AI30),100*ABS($G30-(Data_2017!AI30-$K30)/$M30),0)))</f>
        <v>93.0015552099534</v>
      </c>
      <c r="AP30" s="100">
        <f>IF($H30=0,0,CHOOSE($H30,SUMPRODUCT($O31:$O$67*AP31:AP$67*($E31:$E$67=$D30)),IF(ISNUMBER(Data_2017!AJ30),100*ABS($G30-(Data_2017!AJ30-$K30)/$M30),0),IF(ISNUMBER(Data_2017!AJ30),100*ABS($G30-(Data_2017!AJ30-$K30)/$M30),0)))</f>
        <v>90.9797822706065</v>
      </c>
      <c r="AQ30" s="100">
        <f>IF($H30=0,0,CHOOSE($H30,SUMPRODUCT($O31:$O$67*AQ31:AQ$67*($E31:$E$67=$D30)),IF(ISNUMBER(Data_2017!AK30),100*ABS($G30-(Data_2017!AK30-$K30)/$M30),0),IF(ISNUMBER(Data_2017!AK30),100*ABS($G30-(Data_2017!AK30-$K30)/$M30),0)))</f>
        <v>81.9595645412131</v>
      </c>
      <c r="AR30" s="100">
        <f>IF($H30=0,0,CHOOSE($H30,SUMPRODUCT($O31:$O$67*AR31:AR$67*($E31:$E$67=$D30)),IF(ISNUMBER(Data_2017!AL30),100*ABS($G30-(Data_2017!AL30-$K30)/$M30),0),IF(ISNUMBER(Data_2017!AL30),100*ABS($G30-(Data_2017!AL30-$K30)/$M30),0)))</f>
        <v>96.8895800933126</v>
      </c>
      <c r="AS30" s="100">
        <f>IF($H30=0,0,CHOOSE($H30,SUMPRODUCT($O31:$O$67*AS31:AS$67*($E31:$E$67=$D30)),IF(ISNUMBER(Data_2017!AM30),100*ABS($G30-(Data_2017!AM30-$K30)/$M30),0),IF(ISNUMBER(Data_2017!AM30),100*ABS($G30-(Data_2017!AM30-$K30)/$M30),0)))</f>
        <v>95.6454121306376</v>
      </c>
      <c r="AT30" s="100">
        <f>IF($H30=0,0,CHOOSE($H30,SUMPRODUCT($O31:$O$67*AT31:AT$67*($E31:$E$67=$D30)),IF(ISNUMBER(Data_2017!AN30),100*ABS($G30-(Data_2017!AN30-$K30)/$M30),0),IF(ISNUMBER(Data_2017!AN30),100*ABS($G30-(Data_2017!AN30-$K30)/$M30),0)))</f>
        <v>96.8895800933126</v>
      </c>
      <c r="AU30" s="100">
        <f>IF($H30=0,0,CHOOSE($H30,SUMPRODUCT($O31:$O$67*AU31:AU$67*($E31:$E$67=$D30)),IF(ISNUMBER(Data_2017!AO30),100*ABS($G30-(Data_2017!AO30-$K30)/$M30),0),IF(ISNUMBER(Data_2017!AO30),100*ABS($G30-(Data_2017!AO30-$K30)/$M30),0)))</f>
        <v>67.8071539657854</v>
      </c>
      <c r="AV30" s="100">
        <f>IF($H30=0,0,CHOOSE($H30,SUMPRODUCT($O31:$O$67*AV31:AV$67*($E31:$E$67=$D30)),IF(ISNUMBER(Data_2017!AP30),100*ABS($G30-(Data_2017!AP30-$K30)/$M30),0),IF(ISNUMBER(Data_2017!AP30),100*ABS($G30-(Data_2017!AP30-$K30)/$M30),0)))</f>
        <v>97.6671850699845</v>
      </c>
      <c r="AW30" s="100">
        <f>IF($H30=0,0,CHOOSE($H30,SUMPRODUCT($O31:$O$67*AW31:AW$67*($E31:$E$67=$D30)),IF(ISNUMBER(Data_2017!AQ30),100*ABS($G30-(Data_2017!AQ30-$K30)/$M30),0),IF(ISNUMBER(Data_2017!AQ30),100*ABS($G30-(Data_2017!AQ30-$K30)/$M30),0)))</f>
        <v>84.7589424572317</v>
      </c>
      <c r="AX30" s="100">
        <f>IF($H30=0,0,CHOOSE($H30,SUMPRODUCT($O31:$O$67*AX31:AX$67*($E31:$E$67=$D30)),IF(ISNUMBER(Data_2017!AR30),100*ABS($G30-(Data_2017!AR30-$K30)/$M30),0),IF(ISNUMBER(Data_2017!AR30),100*ABS($G30-(Data_2017!AR30-$K30)/$M30),0)))</f>
        <v>97.8227060653188</v>
      </c>
      <c r="AY30" s="100">
        <f>IF($H30=0,0,CHOOSE($H30,SUMPRODUCT($O31:$O$67*AY31:AY$67*($E31:$E$67=$D30)),IF(ISNUMBER(Data_2017!AS30),100*ABS($G30-(Data_2017!AS30-$K30)/$M30),0),IF(ISNUMBER(Data_2017!AS30),100*ABS($G30-(Data_2017!AS30-$K30)/$M30),0)))</f>
        <v>89.5800933125972</v>
      </c>
      <c r="AZ30" s="100">
        <f>IF($H30=0,0,CHOOSE($H30,SUMPRODUCT($O31:$O$67*AZ31:AZ$67*($E31:$E$67=$D30)),IF(ISNUMBER(Data_2017!AT30),100*ABS($G30-(Data_2017!AT30-$K30)/$M30),0),IF(ISNUMBER(Data_2017!AT30),100*ABS($G30-(Data_2017!AT30-$K30)/$M30),0)))</f>
        <v>43.3903576982893</v>
      </c>
      <c r="BA30" s="100">
        <f>IF($H30=0,0,CHOOSE($H30,SUMPRODUCT($O31:$O$67*BA31:BA$67*($E31:$E$67=$D30)),IF(ISNUMBER(Data_2017!AU30),100*ABS($G30-(Data_2017!AU30-$K30)/$M30),0),IF(ISNUMBER(Data_2017!AU30),100*ABS($G30-(Data_2017!AU30-$K30)/$M30),0)))</f>
        <v>95.1788491446345</v>
      </c>
      <c r="BB30" s="100">
        <f>IF($H30=0,0,CHOOSE($H30,SUMPRODUCT($O31:$O$67*BB31:BB$67*($E31:$E$67=$D30)),IF(ISNUMBER(Data_2017!AV30),100*ABS($G30-(Data_2017!AV30-$K30)/$M30),0),IF(ISNUMBER(Data_2017!AV30),100*ABS($G30-(Data_2017!AV30-$K30)/$M30),0)))</f>
        <v>99.2223950233281</v>
      </c>
      <c r="BC30" s="100">
        <f>IF($H30=0,0,CHOOSE($H30,SUMPRODUCT($O31:$O$67*BC31:BC$67*($E31:$E$67=$D30)),IF(ISNUMBER(Data_2017!AW30),100*ABS($G30-(Data_2017!AW30-$K30)/$M30),0),IF(ISNUMBER(Data_2017!AW30),100*ABS($G30-(Data_2017!AW30-$K30)/$M30),0)))</f>
        <v>96.8895800933126</v>
      </c>
      <c r="BD30" s="100">
        <f>IF($H30=0,0,CHOOSE($H30,SUMPRODUCT($O31:$O$67*BD31:BD$67*($E31:$E$67=$D30)),IF(ISNUMBER(Data_2017!AX30),100*ABS($G30-(Data_2017!AX30-$K30)/$M30),0),IF(ISNUMBER(Data_2017!AX30),100*ABS($G30-(Data_2017!AX30-$K30)/$M30),0)))</f>
        <v>73.7169517884914</v>
      </c>
      <c r="BE30" s="100">
        <f>IF($H30=0,0,CHOOSE($H30,SUMPRODUCT($O31:$O$67*BE31:BE$67*($E31:$E$67=$D30)),IF(ISNUMBER(Data_2017!AY30),100*ABS($G30-(Data_2017!AY30-$K30)/$M30),0),IF(ISNUMBER(Data_2017!AY30),100*ABS($G30-(Data_2017!AY30-$K30)/$M30),0)))</f>
        <v>79.6267496111975</v>
      </c>
      <c r="BF30" s="100">
        <f>IF($H30=0,0,CHOOSE($H30,SUMPRODUCT($O31:$O$67*BF31:BF$67*($E31:$E$67=$D30)),IF(ISNUMBER(Data_2017!AZ30),100*ABS($G30-(Data_2017!AZ30-$K30)/$M30),0),IF(ISNUMBER(Data_2017!AZ30),100*ABS($G30-(Data_2017!AZ30-$K30)/$M30),0)))</f>
        <v>82.8926905132193</v>
      </c>
      <c r="BG30" s="100">
        <f>IF($H30=0,0,CHOOSE($H30,SUMPRODUCT($O31:$O$67*BG31:BG$67*($E31:$E$67=$D30)),IF(ISNUMBER(Data_2017!BA30),100*ABS($G30-(Data_2017!BA30-$K30)/$M30),0),IF(ISNUMBER(Data_2017!BA30),100*ABS($G30-(Data_2017!BA30-$K30)/$M30),0)))</f>
        <v>97.8227060653188</v>
      </c>
      <c r="BH30" s="100">
        <f>IF($H30=0,0,CHOOSE($H30,SUMPRODUCT($O31:$O$67*BH31:BH$67*($E31:$E$67=$D30)),IF(ISNUMBER(Data_2017!BB30),100*ABS($G30-(Data_2017!BB30-$K30)/$M30),0),IF(ISNUMBER(Data_2017!BB30),100*ABS($G30-(Data_2017!BB30-$K30)/$M30),0)))</f>
        <v>95.6454121306376</v>
      </c>
      <c r="BI30" s="100">
        <f>IF($H30=0,0,CHOOSE($H30,SUMPRODUCT($O31:$O$67*BI31:BI$67*($E31:$E$67=$D30)),IF(ISNUMBER(Data_2017!BC30),100*ABS($G30-(Data_2017!BC30-$K30)/$M30),0),IF(ISNUMBER(Data_2017!BC30),100*ABS($G30-(Data_2017!BC30-$K30)/$M30),0)))</f>
        <v>91.4463452566096</v>
      </c>
      <c r="BJ30" s="100">
        <f>IF($H30=0,0,CHOOSE($H30,SUMPRODUCT($O31:$O$67*BJ31:BJ$67*($E31:$E$67=$D30)),IF(ISNUMBER(Data_2017!BD30),100*ABS($G30-(Data_2017!BD30-$K30)/$M30),0),IF(ISNUMBER(Data_2017!BD30),100*ABS($G30-(Data_2017!BD30-$K30)/$M30),0)))</f>
        <v>79.6267496111975</v>
      </c>
      <c r="BK30" s="100">
        <f>IF($H30=0,0,CHOOSE($H30,SUMPRODUCT($O31:$O$67*BK31:BK$67*($E31:$E$67=$D30)),IF(ISNUMBER(Data_2017!BE30),100*ABS($G30-(Data_2017!BE30-$K30)/$M30),0),IF(ISNUMBER(Data_2017!BE30),100*ABS($G30-(Data_2017!BE30-$K30)/$M30),0)))</f>
        <v>97.8227060653188</v>
      </c>
      <c r="BL30" s="100">
        <f>IF($H30=0,0,CHOOSE($H30,SUMPRODUCT($O31:$O$67*BL31:BL$67*($E31:$E$67=$D30)),IF(ISNUMBER(Data_2017!BF30),100*ABS($G30-(Data_2017!BF30-$K30)/$M30),0),IF(ISNUMBER(Data_2017!BF30),100*ABS($G30-(Data_2017!BF30-$K30)/$M30),0)))</f>
        <v>88.0248833592535</v>
      </c>
      <c r="BM30" s="100">
        <f>IF($H30=0,0,CHOOSE($H30,SUMPRODUCT($O31:$O$67*BM31:BM$67*($E31:$E$67=$D30)),IF(ISNUMBER(Data_2017!BG30),100*ABS($G30-(Data_2017!BG30-$K30)/$M30),0),IF(ISNUMBER(Data_2017!BG30),100*ABS($G30-(Data_2017!BG30-$K30)/$M30),0)))</f>
        <v>99.0668740279938</v>
      </c>
      <c r="BN30" s="100">
        <f>IF($H30=0,0,CHOOSE($H30,SUMPRODUCT($O31:$O$67*BN31:BN$67*($E31:$E$67=$D30)),IF(ISNUMBER(Data_2017!BH30),100*ABS($G30-(Data_2017!BH30-$K30)/$M30),0),IF(ISNUMBER(Data_2017!BH30),100*ABS($G30-(Data_2017!BH30-$K30)/$M30),0)))</f>
        <v>98.6003110419907</v>
      </c>
      <c r="BO30" s="100">
        <f>IF($H30=0,0,CHOOSE($H30,SUMPRODUCT($O31:$O$67*BO31:BO$67*($E31:$E$67=$D30)),IF(ISNUMBER(Data_2017!BI30),100*ABS($G30-(Data_2017!BI30-$K30)/$M30),0),IF(ISNUMBER(Data_2017!BI30),100*ABS($G30-(Data_2017!BI30-$K30)/$M30),0)))</f>
        <v>97.6671850699845</v>
      </c>
      <c r="BP30" s="100">
        <f>IF($H30=0,0,CHOOSE($H30,SUMPRODUCT($O31:$O$67*BP31:BP$67*($E31:$E$67=$D30)),IF(ISNUMBER(Data_2017!BJ30),100*ABS($G30-(Data_2017!BJ30-$K30)/$M30),0),IF(ISNUMBER(Data_2017!BJ30),100*ABS($G30-(Data_2017!BJ30-$K30)/$M30),0)))</f>
        <v>95.9564541213064</v>
      </c>
      <c r="BQ30" s="100">
        <f>IF($H30=0,0,CHOOSE($H30,SUMPRODUCT($O31:$O$67*BQ31:BQ$67*($E31:$E$67=$D30)),IF(ISNUMBER(Data_2017!BK30),100*ABS($G30-(Data_2017!BK30-$K30)/$M30),0),IF(ISNUMBER(Data_2017!BK30),100*ABS($G30-(Data_2017!BK30-$K30)/$M30),0)))</f>
        <v>81.49300155521</v>
      </c>
      <c r="BR30" s="100">
        <f>IF($H30=0,0,CHOOSE($H30,SUMPRODUCT($O31:$O$67*BR31:BR$67*($E31:$E$67=$D30)),IF(ISNUMBER(Data_2017!BL30),100*ABS($G30-(Data_2017!BL30-$K30)/$M30),0),IF(ISNUMBER(Data_2017!BL30),100*ABS($G30-(Data_2017!BL30-$K30)/$M30),0)))</f>
        <v>99.2223950233281</v>
      </c>
      <c r="BS30" s="100">
        <f>IF($H30=0,0,CHOOSE($H30,SUMPRODUCT($O31:$O$67*BS31:BS$67*($E31:$E$67=$D30)),IF(ISNUMBER(Data_2017!BM30),100*ABS($G30-(Data_2017!BM30-$K30)/$M30),0),IF(ISNUMBER(Data_2017!BM30),100*ABS($G30-(Data_2017!BM30-$K30)/$M30),0)))</f>
        <v>95.6454121306376</v>
      </c>
      <c r="BT30" s="100">
        <f>IF($H30=0,0,CHOOSE($H30,SUMPRODUCT($O31:$O$67*BT31:BT$67*($E31:$E$67=$D30)),IF(ISNUMBER(Data_2017!BN30),100*ABS($G30-(Data_2017!BN30-$K30)/$M30),0),IF(ISNUMBER(Data_2017!BN30),100*ABS($G30-(Data_2017!BN30-$K30)/$M30),0)))</f>
        <v>95.3343701399689</v>
      </c>
      <c r="BU30" s="100">
        <f>IF($H30=0,0,CHOOSE($H30,SUMPRODUCT($O31:$O$67*BU31:BU$67*($E31:$E$67=$D30)),IF(ISNUMBER(Data_2017!BO30),100*ABS($G30-(Data_2017!BO30-$K30)/$M30),0),IF(ISNUMBER(Data_2017!BO30),100*ABS($G30-(Data_2017!BO30-$K30)/$M30),0)))</f>
        <v>95.0233281493002</v>
      </c>
      <c r="BV30" s="100">
        <f>IF($H30=0,0,CHOOSE($H30,SUMPRODUCT($O31:$O$67*BV31:BV$67*($E31:$E$67=$D30)),IF(ISNUMBER(Data_2017!BP30),100*ABS($G30-(Data_2017!BP30-$K30)/$M30),0),IF(ISNUMBER(Data_2017!BP30),100*ABS($G30-(Data_2017!BP30-$K30)/$M30),0)))</f>
        <v>40.9020217729393</v>
      </c>
      <c r="BW30" s="100">
        <f>IF($H30=0,0,CHOOSE($H30,SUMPRODUCT($O31:$O$67*BW31:BW$67*($E31:$E$67=$D30)),IF(ISNUMBER(Data_2017!BQ30),100*ABS($G30-(Data_2017!BQ30-$K30)/$M30),0),IF(ISNUMBER(Data_2017!BQ30),100*ABS($G30-(Data_2017!BQ30-$K30)/$M30),0)))</f>
        <v>97.045101088647</v>
      </c>
      <c r="BX30" s="100">
        <f>IF($H30=0,0,CHOOSE($H30,SUMPRODUCT($O31:$O$67*BX31:BX$67*($E31:$E$67=$D30)),IF(ISNUMBER(Data_2017!BR30),100*ABS($G30-(Data_2017!BR30-$K30)/$M30),0),IF(ISNUMBER(Data_2017!BR30),100*ABS($G30-(Data_2017!BR30-$K30)/$M30),0)))</f>
        <v>99.2223950233281</v>
      </c>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row>
    <row r="31" s="69" customFormat="1" ht="24.95" customHeight="1" spans="1:130">
      <c r="A31" s="92"/>
      <c r="B31" s="92">
        <f>tblIndicators!A27</f>
        <v>26</v>
      </c>
      <c r="C31" s="92">
        <f>tblIndicators!B27</f>
        <v>0</v>
      </c>
      <c r="D31" s="92" t="str">
        <f>tblIndicators!D27</f>
        <v>HESE2.2.5</v>
      </c>
      <c r="E31" s="92" t="str">
        <f>tblIndicators!E27</f>
        <v>HESE2.2</v>
      </c>
      <c r="F31" s="92">
        <f>tblIndicators!F27</f>
        <v>3</v>
      </c>
      <c r="G31" s="92">
        <f>tblIndicators!Y27</f>
        <v>1</v>
      </c>
      <c r="H31" s="92">
        <f>tblIndicators!Z27</f>
        <v>2</v>
      </c>
      <c r="I31" s="104">
        <f>tblIndicators!AA27</f>
        <v>0</v>
      </c>
      <c r="J31" s="92">
        <f>tblIndicators!AB27</f>
        <v>0</v>
      </c>
      <c r="K31" s="89">
        <f>IF(uxb_works!$B$66=1,CHOOSE(H31,"-",MIN(Data_2017!J31:BR31),I31),CHOOSE(H31,"-",MIN(Data_2017!J31:BQ31),I31))</f>
        <v>60.2</v>
      </c>
      <c r="L31" s="97">
        <f>IF(uxb_works!$B$66=1,CHOOSE(H31,"-",MAX(Data_2017!J31:BR31),J31),CHOOSE(H31,"-",MAX(Data_2017!J31:BQ31),J31))</f>
        <v>177.7</v>
      </c>
      <c r="M31" s="92">
        <f t="shared" si="1"/>
        <v>117.5</v>
      </c>
      <c r="N31" s="105" t="str">
        <f>REPT(" ",F31)&amp;tblIndicators!AE27</f>
        <v>   2.2.5) Cancer mortality rate</v>
      </c>
      <c r="O31" s="106">
        <f>tblIndicators!AD27</f>
        <v>0.166666666666667</v>
      </c>
      <c r="P31" s="100">
        <f>IF($H31=0,0,CHOOSE($H31,SUMPRODUCT($O32:$O$67*P32:P$67*($E32:$E$67=$D31)),IF(ISNUMBER(Data_2017!J31),100*ABS($G31-(Data_2017!J31-$K31)/$M31),0),IF(ISNUMBER(Data_2017!J31),100*ABS($G31-(Data_2017!J31-$K31)/$M31),0)))</f>
        <v>83.4127659574468</v>
      </c>
      <c r="Q31" s="100">
        <f>IF($H31=0,0,CHOOSE($H31,SUMPRODUCT($O32:$O$67*Q32:Q$67*($E32:$E$67=$D31)),IF(ISNUMBER(Data_2017!K31),100*ABS($G31-(Data_2017!K31-$K31)/$M31),0),IF(ISNUMBER(Data_2017!K31),100*ABS($G31-(Data_2017!K31-$K31)/$M31),0)))</f>
        <v>17.1063829787234</v>
      </c>
      <c r="R31" s="100">
        <f>IF($H31=0,0,CHOOSE($H31,SUMPRODUCT($O32:$O$67*R32:R$67*($E32:$E$67=$D31)),IF(ISNUMBER(Data_2017!L31),100*ABS($G31-(Data_2017!L31-$K31)/$M31),0),IF(ISNUMBER(Data_2017!L31),100*ABS($G31-(Data_2017!L31-$K31)/$M31),0)))</f>
        <v>45.9489361702128</v>
      </c>
      <c r="S31" s="100">
        <f>IF($H31=0,0,CHOOSE($H31,SUMPRODUCT($O32:$O$67*S32:S$67*($E32:$E$67=$D31)),IF(ISNUMBER(Data_2017!M31),100*ABS($G31-(Data_2017!M31-$K31)/$M31),0),IF(ISNUMBER(Data_2017!M31),100*ABS($G31-(Data_2017!M31-$K31)/$M31),0)))</f>
        <v>62.2382978723404</v>
      </c>
      <c r="T31" s="100">
        <f>IF($H31=0,0,CHOOSE($H31,SUMPRODUCT($O32:$O$67*T32:T$67*($E32:$E$67=$D31)),IF(ISNUMBER(Data_2017!N31),100*ABS($G31-(Data_2017!N31-$K31)/$M31),0),IF(ISNUMBER(Data_2017!N31),100*ABS($G31-(Data_2017!N31-$K31)/$M31),0)))</f>
        <v>42.7574468085106</v>
      </c>
      <c r="U31" s="100">
        <f>IF($H31=0,0,CHOOSE($H31,SUMPRODUCT($O32:$O$67*U32:U$67*($E32:$E$67=$D31)),IF(ISNUMBER(Data_2017!O31),100*ABS($G31-(Data_2017!O31-$K31)/$M31),0),IF(ISNUMBER(Data_2017!O31),100*ABS($G31-(Data_2017!O31-$K31)/$M31),0)))</f>
        <v>36.7659574468085</v>
      </c>
      <c r="V31" s="100">
        <f>IF($H31=0,0,CHOOSE($H31,SUMPRODUCT($O32:$O$67*V32:V$67*($E32:$E$67=$D31)),IF(ISNUMBER(Data_2017!P31),100*ABS($G31-(Data_2017!P31-$K31)/$M31),0),IF(ISNUMBER(Data_2017!P31),100*ABS($G31-(Data_2017!P31-$K31)/$M31),0)))</f>
        <v>74.0340425531915</v>
      </c>
      <c r="W31" s="100">
        <f>IF($H31=0,0,CHOOSE($H31,SUMPRODUCT($O32:$O$67*W32:W$67*($E32:$E$67=$D31)),IF(ISNUMBER(Data_2017!Q31),100*ABS($G31-(Data_2017!Q31-$K31)/$M31),0),IF(ISNUMBER(Data_2017!Q31),100*ABS($G31-(Data_2017!Q31-$K31)/$M31),0)))</f>
        <v>30.2808510638298</v>
      </c>
      <c r="X31" s="100">
        <f>IF($H31=0,0,CHOOSE($H31,SUMPRODUCT($O32:$O$67*X32:X$67*($E32:$E$67=$D31)),IF(ISNUMBER(Data_2017!R31),100*ABS($G31-(Data_2017!R31-$K31)/$M31),0),IF(ISNUMBER(Data_2017!R31),100*ABS($G31-(Data_2017!R31-$K31)/$M31),0)))</f>
        <v>37.0382978723404</v>
      </c>
      <c r="Y31" s="100">
        <f>IF($H31=0,0,CHOOSE($H31,SUMPRODUCT($O32:$O$67*Y32:Y$67*($E32:$E$67=$D31)),IF(ISNUMBER(Data_2017!S31),100*ABS($G31-(Data_2017!S31-$K31)/$M31),0),IF(ISNUMBER(Data_2017!S31),100*ABS($G31-(Data_2017!S31-$K31)/$M31),0)))</f>
        <v>51.8553191489362</v>
      </c>
      <c r="Z31" s="100">
        <f>IF($H31=0,0,CHOOSE($H31,SUMPRODUCT($O32:$O$67*Z32:Z$67*($E32:$E$67=$D31)),IF(ISNUMBER(Data_2017!T31),100*ABS($G31-(Data_2017!T31-$K31)/$M31),0),IF(ISNUMBER(Data_2017!T31),100*ABS($G31-(Data_2017!T31-$K31)/$M31),0)))</f>
        <v>73.4553191489362</v>
      </c>
      <c r="AA31" s="100">
        <f>IF($H31=0,0,CHOOSE($H31,SUMPRODUCT($O32:$O$67*AA32:AA$67*($E32:$E$67=$D31)),IF(ISNUMBER(Data_2017!U31),100*ABS($G31-(Data_2017!U31-$K31)/$M31),0),IF(ISNUMBER(Data_2017!U31),100*ABS($G31-(Data_2017!U31-$K31)/$M31),0)))</f>
        <v>71.0212765957447</v>
      </c>
      <c r="AB31" s="100">
        <f>IF($H31=0,0,CHOOSE($H31,SUMPRODUCT($O32:$O$67*AB32:AB$67*($E32:$E$67=$D31)),IF(ISNUMBER(Data_2017!V31),100*ABS($G31-(Data_2017!V31-$K31)/$M31),0),IF(ISNUMBER(Data_2017!V31),100*ABS($G31-(Data_2017!V31-$K31)/$M31),0)))</f>
        <v>5.1063829787234</v>
      </c>
      <c r="AC31" s="100">
        <f>IF($H31=0,0,CHOOSE($H31,SUMPRODUCT($O32:$O$67*AC32:AC$67*($E32:$E$67=$D31)),IF(ISNUMBER(Data_2017!W31),100*ABS($G31-(Data_2017!W31-$K31)/$M31),0),IF(ISNUMBER(Data_2017!W31),100*ABS($G31-(Data_2017!W31-$K31)/$M31),0)))</f>
        <v>17.7021276595745</v>
      </c>
      <c r="AD31" s="100">
        <f>IF($H31=0,0,CHOOSE($H31,SUMPRODUCT($O32:$O$67*AD32:AD$67*($E32:$E$67=$D31)),IF(ISNUMBER(Data_2017!X31),100*ABS($G31-(Data_2017!X31-$K31)/$M31),0),IF(ISNUMBER(Data_2017!X31),100*ABS($G31-(Data_2017!X31-$K31)/$M31),0)))</f>
        <v>91.463829787234</v>
      </c>
      <c r="AE31" s="100">
        <f>IF($H31=0,0,CHOOSE($H31,SUMPRODUCT($O32:$O$67*AE32:AE$67*($E32:$E$67=$D31)),IF(ISNUMBER(Data_2017!Y31),100*ABS($G31-(Data_2017!Y31-$K31)/$M31),0),IF(ISNUMBER(Data_2017!Y31),100*ABS($G31-(Data_2017!Y31-$K31)/$M31),0)))</f>
        <v>80.536170212766</v>
      </c>
      <c r="AF31" s="100">
        <f>IF($H31=0,0,CHOOSE($H31,SUMPRODUCT($O32:$O$67*AF32:AF$67*($E32:$E$67=$D31)),IF(ISNUMBER(Data_2017!Z31),100*ABS($G31-(Data_2017!Z31-$K31)/$M31),0),IF(ISNUMBER(Data_2017!Z31),100*ABS($G31-(Data_2017!Z31-$K31)/$M31),0)))</f>
        <v>86.3659574468085</v>
      </c>
      <c r="AG31" s="100">
        <f>IF($H31=0,0,CHOOSE($H31,SUMPRODUCT($O32:$O$67*AG32:AG$67*($E32:$E$67=$D31)),IF(ISNUMBER(Data_2017!AA31),100*ABS($G31-(Data_2017!AA31-$K31)/$M31),0),IF(ISNUMBER(Data_2017!AA31),100*ABS($G31-(Data_2017!AA31-$K31)/$M31),0)))</f>
        <v>39.4212765957447</v>
      </c>
      <c r="AH31" s="100">
        <f>IF($H31=0,0,CHOOSE($H31,SUMPRODUCT($O32:$O$67*AH32:AH$67*($E32:$E$67=$D31)),IF(ISNUMBER(Data_2017!AB31),100*ABS($G31-(Data_2017!AB31-$K31)/$M31),0),IF(ISNUMBER(Data_2017!AB31),100*ABS($G31-(Data_2017!AB31-$K31)/$M31),0)))</f>
        <v>57.5063829787234</v>
      </c>
      <c r="AI31" s="100">
        <f>IF($H31=0,0,CHOOSE($H31,SUMPRODUCT($O32:$O$67*AI32:AI$67*($E32:$E$67=$D31)),IF(ISNUMBER(Data_2017!AC31),100*ABS($G31-(Data_2017!AC31-$K31)/$M31),0),IF(ISNUMBER(Data_2017!AC31),100*ABS($G31-(Data_2017!AC31-$K31)/$M31),0)))</f>
        <v>63.4893617021277</v>
      </c>
      <c r="AJ31" s="100">
        <f>IF($H31=0,0,CHOOSE($H31,SUMPRODUCT($O32:$O$67*AJ32:AJ$67*($E32:$E$67=$D31)),IF(ISNUMBER(Data_2017!AD31),100*ABS($G31-(Data_2017!AD31-$K31)/$M31),0),IF(ISNUMBER(Data_2017!AD31),100*ABS($G31-(Data_2017!AD31-$K31)/$M31),0)))</f>
        <v>38.9617021276596</v>
      </c>
      <c r="AK31" s="100">
        <f>IF($H31=0,0,CHOOSE($H31,SUMPRODUCT($O32:$O$67*AK32:AK$67*($E32:$E$67=$D31)),IF(ISNUMBER(Data_2017!AE31),100*ABS($G31-(Data_2017!AE31-$K31)/$M31),0),IF(ISNUMBER(Data_2017!AE31),100*ABS($G31-(Data_2017!AE31-$K31)/$M31),0)))</f>
        <v>60.7063829787234</v>
      </c>
      <c r="AL31" s="100">
        <f>IF($H31=0,0,CHOOSE($H31,SUMPRODUCT($O32:$O$67*AL32:AL$67*($E32:$E$67=$D31)),IF(ISNUMBER(Data_2017!AF31),100*ABS($G31-(Data_2017!AF31-$K31)/$M31),0),IF(ISNUMBER(Data_2017!AF31),100*ABS($G31-(Data_2017!AF31-$K31)/$M31),0)))</f>
        <v>100</v>
      </c>
      <c r="AM31" s="100">
        <f>IF($H31=0,0,CHOOSE($H31,SUMPRODUCT($O32:$O$67*AM32:AM$67*($E32:$E$67=$D31)),IF(ISNUMBER(Data_2017!AG31),100*ABS($G31-(Data_2017!AG31-$K31)/$M31),0),IF(ISNUMBER(Data_2017!AG31),100*ABS($G31-(Data_2017!AG31-$K31)/$M31),0)))</f>
        <v>60.8851063829787</v>
      </c>
      <c r="AN31" s="100">
        <f>IF($H31=0,0,CHOOSE($H31,SUMPRODUCT($O32:$O$67*AN32:AN$67*($E32:$E$67=$D31)),IF(ISNUMBER(Data_2017!AH31),100*ABS($G31-(Data_2017!AH31-$K31)/$M31),0),IF(ISNUMBER(Data_2017!AH31),100*ABS($G31-(Data_2017!AH31-$K31)/$M31),0)))</f>
        <v>79.1148936170213</v>
      </c>
      <c r="AO31" s="100">
        <f>IF($H31=0,0,CHOOSE($H31,SUMPRODUCT($O32:$O$67*AO32:AO$67*($E32:$E$67=$D31)),IF(ISNUMBER(Data_2017!AI31),100*ABS($G31-(Data_2017!AI31-$K31)/$M31),0),IF(ISNUMBER(Data_2017!AI31),100*ABS($G31-(Data_2017!AI31-$K31)/$M31),0)))</f>
        <v>69.8127659574468</v>
      </c>
      <c r="AP31" s="100">
        <f>IF($H31=0,0,CHOOSE($H31,SUMPRODUCT($O32:$O$67*AP32:AP$67*($E32:$E$67=$D31)),IF(ISNUMBER(Data_2017!AJ31),100*ABS($G31-(Data_2017!AJ31-$K31)/$M31),0),IF(ISNUMBER(Data_2017!AJ31),100*ABS($G31-(Data_2017!AJ31-$K31)/$M31),0)))</f>
        <v>93.6425531914894</v>
      </c>
      <c r="AQ31" s="100">
        <f>IF($H31=0,0,CHOOSE($H31,SUMPRODUCT($O32:$O$67*AQ32:AQ$67*($E32:$E$67=$D31)),IF(ISNUMBER(Data_2017!AK31),100*ABS($G31-(Data_2017!AK31-$K31)/$M31),0),IF(ISNUMBER(Data_2017!AK31),100*ABS($G31-(Data_2017!AK31-$K31)/$M31),0)))</f>
        <v>59.1404255319149</v>
      </c>
      <c r="AR31" s="100">
        <f>IF($H31=0,0,CHOOSE($H31,SUMPRODUCT($O32:$O$67*AR32:AR$67*($E32:$E$67=$D31)),IF(ISNUMBER(Data_2017!AL31),100*ABS($G31-(Data_2017!AL31-$K31)/$M31),0),IF(ISNUMBER(Data_2017!AL31),100*ABS($G31-(Data_2017!AL31-$K31)/$M31),0)))</f>
        <v>32.0255319148936</v>
      </c>
      <c r="AS31" s="100">
        <f>IF($H31=0,0,CHOOSE($H31,SUMPRODUCT($O32:$O$67*AS32:AS$67*($E32:$E$67=$D31)),IF(ISNUMBER(Data_2017!AM31),100*ABS($G31-(Data_2017!AM31-$K31)/$M31),0),IF(ISNUMBER(Data_2017!AM31),100*ABS($G31-(Data_2017!AM31-$K31)/$M31),0)))</f>
        <v>26.468085106383</v>
      </c>
      <c r="AT31" s="100">
        <f>IF($H31=0,0,CHOOSE($H31,SUMPRODUCT($O32:$O$67*AT32:AT$67*($E32:$E$67=$D31)),IF(ISNUMBER(Data_2017!AN31),100*ABS($G31-(Data_2017!AN31-$K31)/$M31),0),IF(ISNUMBER(Data_2017!AN31),100*ABS($G31-(Data_2017!AN31-$K31)/$M31),0)))</f>
        <v>42.7574468085106</v>
      </c>
      <c r="AU31" s="100">
        <f>IF($H31=0,0,CHOOSE($H31,SUMPRODUCT($O32:$O$67*AU32:AU$67*($E32:$E$67=$D31)),IF(ISNUMBER(Data_2017!AO31),100*ABS($G31-(Data_2017!AO31-$K31)/$M31),0),IF(ISNUMBER(Data_2017!AO31),100*ABS($G31-(Data_2017!AO31-$K31)/$M31),0)))</f>
        <v>71.6340425531915</v>
      </c>
      <c r="AV31" s="100">
        <f>IF($H31=0,0,CHOOSE($H31,SUMPRODUCT($O32:$O$67*AV32:AV$67*($E32:$E$67=$D31)),IF(ISNUMBER(Data_2017!AP31),100*ABS($G31-(Data_2017!AP31-$K31)/$M31),0),IF(ISNUMBER(Data_2017!AP31),100*ABS($G31-(Data_2017!AP31-$K31)/$M31),0)))</f>
        <v>49.5063829787234</v>
      </c>
      <c r="AW31" s="100">
        <f>IF($H31=0,0,CHOOSE($H31,SUMPRODUCT($O32:$O$67*AW32:AW$67*($E32:$E$67=$D31)),IF(ISNUMBER(Data_2017!AQ31),100*ABS($G31-(Data_2017!AQ31-$K31)/$M31),0),IF(ISNUMBER(Data_2017!AQ31),100*ABS($G31-(Data_2017!AQ31-$K31)/$M31),0)))</f>
        <v>90.1702127659574</v>
      </c>
      <c r="AX31" s="100">
        <f>IF($H31=0,0,CHOOSE($H31,SUMPRODUCT($O32:$O$67*AX32:AX$67*($E32:$E$67=$D31)),IF(ISNUMBER(Data_2017!AR31),100*ABS($G31-(Data_2017!AR31-$K31)/$M31),0),IF(ISNUMBER(Data_2017!AR31),100*ABS($G31-(Data_2017!AR31-$K31)/$M31),0)))</f>
        <v>45.0808510638298</v>
      </c>
      <c r="AY31" s="100">
        <f>IF($H31=0,0,CHOOSE($H31,SUMPRODUCT($O32:$O$67*AY32:AY$67*($E32:$E$67=$D31)),IF(ISNUMBER(Data_2017!AS31),100*ABS($G31-(Data_2017!AS31-$K31)/$M31),0),IF(ISNUMBER(Data_2017!AS31),100*ABS($G31-(Data_2017!AS31-$K31)/$M31),0)))</f>
        <v>19.0808510638298</v>
      </c>
      <c r="AZ31" s="100">
        <f>IF($H31=0,0,CHOOSE($H31,SUMPRODUCT($O32:$O$67*AZ32:AZ$67*($E32:$E$67=$D31)),IF(ISNUMBER(Data_2017!AT31),100*ABS($G31-(Data_2017!AT31-$K31)/$M31),0),IF(ISNUMBER(Data_2017!AT31),100*ABS($G31-(Data_2017!AT31-$K31)/$M31),0)))</f>
        <v>91.463829787234</v>
      </c>
      <c r="BA31" s="100">
        <f>IF($H31=0,0,CHOOSE($H31,SUMPRODUCT($O32:$O$67*BA32:BA$67*($E32:$E$67=$D31)),IF(ISNUMBER(Data_2017!AU31),100*ABS($G31-(Data_2017!AU31-$K31)/$M31),0),IF(ISNUMBER(Data_2017!AU31),100*ABS($G31-(Data_2017!AU31-$K31)/$M31),0)))</f>
        <v>18.8936170212766</v>
      </c>
      <c r="BB31" s="100">
        <f>IF($H31=0,0,CHOOSE($H31,SUMPRODUCT($O32:$O$67*BB32:BB$67*($E32:$E$67=$D31)),IF(ISNUMBER(Data_2017!AV31),100*ABS($G31-(Data_2017!AV31-$K31)/$M31),0),IF(ISNUMBER(Data_2017!AV31),100*ABS($G31-(Data_2017!AV31-$K31)/$M31),0)))</f>
        <v>54.4851063829787</v>
      </c>
      <c r="BC31" s="100">
        <f>IF($H31=0,0,CHOOSE($H31,SUMPRODUCT($O32:$O$67*BC32:BC$67*($E32:$E$67=$D31)),IF(ISNUMBER(Data_2017!AW31),100*ABS($G31-(Data_2017!AW31-$K31)/$M31),0),IF(ISNUMBER(Data_2017!AW31),100*ABS($G31-(Data_2017!AW31-$K31)/$M31),0)))</f>
        <v>26.2978723404255</v>
      </c>
      <c r="BD31" s="100">
        <f>IF($H31=0,0,CHOOSE($H31,SUMPRODUCT($O32:$O$67*BD32:BD$67*($E32:$E$67=$D31)),IF(ISNUMBER(Data_2017!AX31),100*ABS($G31-(Data_2017!AX31-$K31)/$M31),0),IF(ISNUMBER(Data_2017!AX31),100*ABS($G31-(Data_2017!AX31-$K31)/$M31),0)))</f>
        <v>59.0212765957447</v>
      </c>
      <c r="BE31" s="100">
        <f>IF($H31=0,0,CHOOSE($H31,SUMPRODUCT($O32:$O$67*BE32:BE$67*($E32:$E$67=$D31)),IF(ISNUMBER(Data_2017!AY31),100*ABS($G31-(Data_2017!AY31-$K31)/$M31),0),IF(ISNUMBER(Data_2017!AY31),100*ABS($G31-(Data_2017!AY31-$K31)/$M31),0)))</f>
        <v>50.0085106382979</v>
      </c>
      <c r="BF31" s="100">
        <f>IF($H31=0,0,CHOOSE($H31,SUMPRODUCT($O32:$O$67*BF32:BF$67*($E32:$E$67=$D31)),IF(ISNUMBER(Data_2017!AZ31),100*ABS($G31-(Data_2017!AZ31-$K31)/$M31),0),IF(ISNUMBER(Data_2017!AZ31),100*ABS($G31-(Data_2017!AZ31-$K31)/$M31),0)))</f>
        <v>100</v>
      </c>
      <c r="BG31" s="100">
        <f>IF($H31=0,0,CHOOSE($H31,SUMPRODUCT($O32:$O$67*BG32:BG$67*($E32:$E$67=$D31)),IF(ISNUMBER(Data_2017!BA31),100*ABS($G31-(Data_2017!BA31-$K31)/$M31),0),IF(ISNUMBER(Data_2017!BA31),100*ABS($G31-(Data_2017!BA31-$K31)/$M31),0)))</f>
        <v>45.0808510638298</v>
      </c>
      <c r="BH31" s="100">
        <f>IF($H31=0,0,CHOOSE($H31,SUMPRODUCT($O32:$O$67*BH32:BH$67*($E32:$E$67=$D31)),IF(ISNUMBER(Data_2017!BB31),100*ABS($G31-(Data_2017!BB31-$K31)/$M31),0),IF(ISNUMBER(Data_2017!BB31),100*ABS($G31-(Data_2017!BB31-$K31)/$M31),0)))</f>
        <v>26.468085106383</v>
      </c>
      <c r="BI31" s="100">
        <f>IF($H31=0,0,CHOOSE($H31,SUMPRODUCT($O32:$O$67*BI32:BI$67*($E32:$E$67=$D31)),IF(ISNUMBER(Data_2017!BC31),100*ABS($G31-(Data_2017!BC31-$K31)/$M31),0),IF(ISNUMBER(Data_2017!BC31),100*ABS($G31-(Data_2017!BC31-$K31)/$M31),0)))</f>
        <v>49.3361702127659</v>
      </c>
      <c r="BJ31" s="100">
        <f>IF($H31=0,0,CHOOSE($H31,SUMPRODUCT($O32:$O$67*BJ32:BJ$67*($E32:$E$67=$D31)),IF(ISNUMBER(Data_2017!BD31),100*ABS($G31-(Data_2017!BD31-$K31)/$M31),0),IF(ISNUMBER(Data_2017!BD31),100*ABS($G31-(Data_2017!BD31-$K31)/$M31),0)))</f>
        <v>50.0085106382979</v>
      </c>
      <c r="BK31" s="100">
        <f>IF($H31=0,0,CHOOSE($H31,SUMPRODUCT($O32:$O$67*BK32:BK$67*($E32:$E$67=$D31)),IF(ISNUMBER(Data_2017!BE31),100*ABS($G31-(Data_2017!BE31-$K31)/$M31),0),IF(ISNUMBER(Data_2017!BE31),100*ABS($G31-(Data_2017!BE31-$K31)/$M31),0)))</f>
        <v>50.8340425531915</v>
      </c>
      <c r="BL31" s="100">
        <f>IF($H31=0,0,CHOOSE($H31,SUMPRODUCT($O32:$O$67*BL32:BL$67*($E32:$E$67=$D31)),IF(ISNUMBER(Data_2017!BF31),100*ABS($G31-(Data_2017!BF31-$K31)/$M31),0),IF(ISNUMBER(Data_2017!BF31),100*ABS($G31-(Data_2017!BF31-$K31)/$M31),0)))</f>
        <v>52.8510638297872</v>
      </c>
      <c r="BM31" s="100">
        <f>IF($H31=0,0,CHOOSE($H31,SUMPRODUCT($O32:$O$67*BM32:BM$67*($E32:$E$67=$D31)),IF(ISNUMBER(Data_2017!BG31),100*ABS($G31-(Data_2017!BG31-$K31)/$M31),0),IF(ISNUMBER(Data_2017!BG31),100*ABS($G31-(Data_2017!BG31-$K31)/$M31),0)))</f>
        <v>59.6255319148936</v>
      </c>
      <c r="BN31" s="100">
        <f>IF($H31=0,0,CHOOSE($H31,SUMPRODUCT($O32:$O$67*BN32:BN$67*($E32:$E$67=$D31)),IF(ISNUMBER(Data_2017!BH31),100*ABS($G31-(Data_2017!BH31-$K31)/$M31),0),IF(ISNUMBER(Data_2017!BH31),100*ABS($G31-(Data_2017!BH31-$K31)/$M31),0)))</f>
        <v>49.3021276595745</v>
      </c>
      <c r="BO31" s="100">
        <f>IF($H31=0,0,CHOOSE($H31,SUMPRODUCT($O32:$O$67*BO32:BO$67*($E32:$E$67=$D31)),IF(ISNUMBER(Data_2017!BI31),100*ABS($G31-(Data_2017!BI31-$K31)/$M31),0),IF(ISNUMBER(Data_2017!BI31),100*ABS($G31-(Data_2017!BI31-$K31)/$M31),0)))</f>
        <v>49.5063829787234</v>
      </c>
      <c r="BP31" s="100">
        <f>IF($H31=0,0,CHOOSE($H31,SUMPRODUCT($O32:$O$67*BP32:BP$67*($E32:$E$67=$D31)),IF(ISNUMBER(Data_2017!BJ31),100*ABS($G31-(Data_2017!BJ31-$K31)/$M31),0),IF(ISNUMBER(Data_2017!BJ31),100*ABS($G31-(Data_2017!BJ31-$K31)/$M31),0)))</f>
        <v>43.3191489361702</v>
      </c>
      <c r="BQ31" s="100">
        <f>IF($H31=0,0,CHOOSE($H31,SUMPRODUCT($O32:$O$67*BQ32:BQ$67*($E32:$E$67=$D31)),IF(ISNUMBER(Data_2017!BK31),100*ABS($G31-(Data_2017!BK31-$K31)/$M31),0),IF(ISNUMBER(Data_2017!BK31),100*ABS($G31-(Data_2017!BK31-$K31)/$M31),0)))</f>
        <v>72.2978723404255</v>
      </c>
      <c r="BR31" s="100">
        <f>IF($H31=0,0,CHOOSE($H31,SUMPRODUCT($O32:$O$67*BR32:BR$67*($E32:$E$67=$D31)),IF(ISNUMBER(Data_2017!BL31),100*ABS($G31-(Data_2017!BL31-$K31)/$M31),0),IF(ISNUMBER(Data_2017!BL31),100*ABS($G31-(Data_2017!BL31-$K31)/$M31),0)))</f>
        <v>54.4851063829787</v>
      </c>
      <c r="BS31" s="100">
        <f>IF($H31=0,0,CHOOSE($H31,SUMPRODUCT($O32:$O$67*BS32:BS$67*($E32:$E$67=$D31)),IF(ISNUMBER(Data_2017!BM31),100*ABS($G31-(Data_2017!BM31-$K31)/$M31),0),IF(ISNUMBER(Data_2017!BM31),100*ABS($G31-(Data_2017!BM31-$K31)/$M31),0)))</f>
        <v>41.268085106383</v>
      </c>
      <c r="BT31" s="100">
        <f>IF($H31=0,0,CHOOSE($H31,SUMPRODUCT($O32:$O$67*BT32:BT$67*($E32:$E$67=$D31)),IF(ISNUMBER(Data_2017!BN31),100*ABS($G31-(Data_2017!BN31-$K31)/$M31),0),IF(ISNUMBER(Data_2017!BN31),100*ABS($G31-(Data_2017!BN31-$K31)/$M31),0)))</f>
        <v>0</v>
      </c>
      <c r="BU31" s="100">
        <f>IF($H31=0,0,CHOOSE($H31,SUMPRODUCT($O32:$O$67*BU32:BU$67*($E32:$E$67=$D31)),IF(ISNUMBER(Data_2017!BO31),100*ABS($G31-(Data_2017!BO31-$K31)/$M31),0),IF(ISNUMBER(Data_2017!BO31),100*ABS($G31-(Data_2017!BO31-$K31)/$M31),0)))</f>
        <v>48.868085106383</v>
      </c>
      <c r="BV31" s="100">
        <f>IF($H31=0,0,CHOOSE($H31,SUMPRODUCT($O32:$O$67*BV32:BV$67*($E32:$E$67=$D31)),IF(ISNUMBER(Data_2017!BP31),100*ABS($G31-(Data_2017!BP31-$K31)/$M31),0),IF(ISNUMBER(Data_2017!BP31),100*ABS($G31-(Data_2017!BP31-$K31)/$M31),0)))</f>
        <v>51.1234042553192</v>
      </c>
      <c r="BW31" s="100">
        <f>IF($H31=0,0,CHOOSE($H31,SUMPRODUCT($O32:$O$67*BW32:BW$67*($E32:$E$67=$D31)),IF(ISNUMBER(Data_2017!BQ31),100*ABS($G31-(Data_2017!BQ31-$K31)/$M31),0),IF(ISNUMBER(Data_2017!BQ31),100*ABS($G31-(Data_2017!BQ31-$K31)/$M31),0)))</f>
        <v>56.1021276595745</v>
      </c>
      <c r="BX31" s="100">
        <f>IF($H31=0,0,CHOOSE($H31,SUMPRODUCT($O32:$O$67*BX32:BX$67*($E32:$E$67=$D31)),IF(ISNUMBER(Data_2017!BR31),100*ABS($G31-(Data_2017!BR31-$K31)/$M31),0),IF(ISNUMBER(Data_2017!BR31),100*ABS($G31-(Data_2017!BR31-$K31)/$M31),0)))</f>
        <v>54.4851063829787</v>
      </c>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row>
    <row r="32" s="69" customFormat="1" ht="24.95" customHeight="1" spans="1:130">
      <c r="A32" s="92"/>
      <c r="B32" s="92">
        <f>tblIndicators!A28</f>
        <v>27</v>
      </c>
      <c r="C32" s="92">
        <f>tblIndicators!B28</f>
        <v>0</v>
      </c>
      <c r="D32" s="92" t="str">
        <f>tblIndicators!D28</f>
        <v>HESE2.2.6</v>
      </c>
      <c r="E32" s="92" t="str">
        <f>tblIndicators!E28</f>
        <v>HESE2.2</v>
      </c>
      <c r="F32" s="92">
        <f>tblIndicators!F28</f>
        <v>3</v>
      </c>
      <c r="G32" s="92">
        <f>tblIndicators!Y28</f>
        <v>1</v>
      </c>
      <c r="H32" s="92">
        <f>tblIndicators!Z28</f>
        <v>2</v>
      </c>
      <c r="I32" s="104">
        <f>tblIndicators!AA28</f>
        <v>0</v>
      </c>
      <c r="J32" s="92">
        <f>tblIndicators!AB28</f>
        <v>0</v>
      </c>
      <c r="K32" s="89">
        <f>IF(uxb_works!$B$66=1,CHOOSE(H32,"-",MIN(Data_2017!J32:BR32),I32),CHOOSE(H32,"-",MIN(Data_2017!J32:BQ32),I32))</f>
        <v>0</v>
      </c>
      <c r="L32" s="97">
        <f>IF(uxb_works!$B$66=1,CHOOSE(H32,"-",MAX(Data_2017!J32:BR32),J32),CHOOSE(H32,"-",MAX(Data_2017!J32:BQ32),J32))</f>
        <v>0.4</v>
      </c>
      <c r="M32" s="92">
        <f t="shared" si="1"/>
        <v>0.4</v>
      </c>
      <c r="N32" s="105" t="str">
        <f>REPT(" ",F32)&amp;tblIndicators!AE28</f>
        <v>   2.2.6) Number of attacks using biological, chemical and/or radiological weapons</v>
      </c>
      <c r="O32" s="106">
        <f>tblIndicators!AD28</f>
        <v>0.166666666666667</v>
      </c>
      <c r="P32" s="100">
        <f>IF($H32=0,0,CHOOSE($H32,SUMPRODUCT($O33:$O$67*P33:P$67*($E33:$E$67=$D32)),IF(ISNUMBER(Data_2017!J32),100*ABS($G32-(Data_2017!J32-$K32)/$M32),0),IF(ISNUMBER(Data_2017!J32),100*ABS($G32-(Data_2017!J32-$K32)/$M32),0)))</f>
        <v>100</v>
      </c>
      <c r="Q32" s="100">
        <f>IF($H32=0,0,CHOOSE($H32,SUMPRODUCT($O33:$O$67*Q33:Q$67*($E33:$E$67=$D32)),IF(ISNUMBER(Data_2017!K32),100*ABS($G32-(Data_2017!K32-$K32)/$M32),0),IF(ISNUMBER(Data_2017!K32),100*ABS($G32-(Data_2017!K32-$K32)/$M32),0)))</f>
        <v>100</v>
      </c>
      <c r="R32" s="100">
        <f>IF($H32=0,0,CHOOSE($H32,SUMPRODUCT($O33:$O$67*R33:R$67*($E33:$E$67=$D32)),IF(ISNUMBER(Data_2017!L32),100*ABS($G32-(Data_2017!L32-$K32)/$M32),0),IF(ISNUMBER(Data_2017!L32),100*ABS($G32-(Data_2017!L32-$K32)/$M32),0)))</f>
        <v>100</v>
      </c>
      <c r="S32" s="100">
        <f>IF($H32=0,0,CHOOSE($H32,SUMPRODUCT($O33:$O$67*S33:S$67*($E33:$E$67=$D32)),IF(ISNUMBER(Data_2017!M32),100*ABS($G32-(Data_2017!M32-$K32)/$M32),0),IF(ISNUMBER(Data_2017!M32),100*ABS($G32-(Data_2017!M32-$K32)/$M32),0)))</f>
        <v>100</v>
      </c>
      <c r="T32" s="100">
        <f>IF($H32=0,0,CHOOSE($H32,SUMPRODUCT($O33:$O$67*T33:T$67*($E33:$E$67=$D32)),IF(ISNUMBER(Data_2017!N32),100*ABS($G32-(Data_2017!N32-$K32)/$M32),0),IF(ISNUMBER(Data_2017!N32),100*ABS($G32-(Data_2017!N32-$K32)/$M32),0)))</f>
        <v>100</v>
      </c>
      <c r="U32" s="100">
        <f>IF($H32=0,0,CHOOSE($H32,SUMPRODUCT($O33:$O$67*U33:U$67*($E33:$E$67=$D32)),IF(ISNUMBER(Data_2017!O32),100*ABS($G32-(Data_2017!O32-$K32)/$M32),0),IF(ISNUMBER(Data_2017!O32),100*ABS($G32-(Data_2017!O32-$K32)/$M32),0)))</f>
        <v>100</v>
      </c>
      <c r="V32" s="100">
        <f>IF($H32=0,0,CHOOSE($H32,SUMPRODUCT($O33:$O$67*V33:V$67*($E33:$E$67=$D32)),IF(ISNUMBER(Data_2017!P32),100*ABS($G32-(Data_2017!P32-$K32)/$M32),0),IF(ISNUMBER(Data_2017!P32),100*ABS($G32-(Data_2017!P32-$K32)/$M32),0)))</f>
        <v>100</v>
      </c>
      <c r="W32" s="100">
        <f>IF($H32=0,0,CHOOSE($H32,SUMPRODUCT($O33:$O$67*W33:W$67*($E33:$E$67=$D32)),IF(ISNUMBER(Data_2017!Q32),100*ABS($G32-(Data_2017!Q32-$K32)/$M32),0),IF(ISNUMBER(Data_2017!Q32),100*ABS($G32-(Data_2017!Q32-$K32)/$M32),0)))</f>
        <v>100</v>
      </c>
      <c r="X32" s="100">
        <f>IF($H32=0,0,CHOOSE($H32,SUMPRODUCT($O33:$O$67*X33:X$67*($E33:$E$67=$D32)),IF(ISNUMBER(Data_2017!R32),100*ABS($G32-(Data_2017!R32-$K32)/$M32),0),IF(ISNUMBER(Data_2017!R32),100*ABS($G32-(Data_2017!R32-$K32)/$M32),0)))</f>
        <v>100</v>
      </c>
      <c r="Y32" s="100">
        <f>IF($H32=0,0,CHOOSE($H32,SUMPRODUCT($O33:$O$67*Y33:Y$67*($E33:$E$67=$D32)),IF(ISNUMBER(Data_2017!S32),100*ABS($G32-(Data_2017!S32-$K32)/$M32),0),IF(ISNUMBER(Data_2017!S32),100*ABS($G32-(Data_2017!S32-$K32)/$M32),0)))</f>
        <v>100</v>
      </c>
      <c r="Z32" s="100">
        <f>IF($H32=0,0,CHOOSE($H32,SUMPRODUCT($O33:$O$67*Z33:Z$67*($E33:$E$67=$D32)),IF(ISNUMBER(Data_2017!T32),100*ABS($G32-(Data_2017!T32-$K32)/$M32),0),IF(ISNUMBER(Data_2017!T32),100*ABS($G32-(Data_2017!T32-$K32)/$M32),0)))</f>
        <v>100</v>
      </c>
      <c r="AA32" s="100">
        <f>IF($H32=0,0,CHOOSE($H32,SUMPRODUCT($O33:$O$67*AA33:AA$67*($E33:$E$67=$D32)),IF(ISNUMBER(Data_2017!U32),100*ABS($G32-(Data_2017!U32-$K32)/$M32),0),IF(ISNUMBER(Data_2017!U32),100*ABS($G32-(Data_2017!U32-$K32)/$M32),0)))</f>
        <v>100</v>
      </c>
      <c r="AB32" s="100">
        <f>IF($H32=0,0,CHOOSE($H32,SUMPRODUCT($O33:$O$67*AB33:AB$67*($E33:$E$67=$D32)),IF(ISNUMBER(Data_2017!V32),100*ABS($G32-(Data_2017!V32-$K32)/$M32),0),IF(ISNUMBER(Data_2017!V32),100*ABS($G32-(Data_2017!V32-$K32)/$M32),0)))</f>
        <v>100</v>
      </c>
      <c r="AC32" s="100">
        <f>IF($H32=0,0,CHOOSE($H32,SUMPRODUCT($O33:$O$67*AC33:AC$67*($E33:$E$67=$D32)),IF(ISNUMBER(Data_2017!W32),100*ABS($G32-(Data_2017!W32-$K32)/$M32),0),IF(ISNUMBER(Data_2017!W32),100*ABS($G32-(Data_2017!W32-$K32)/$M32),0)))</f>
        <v>100</v>
      </c>
      <c r="AD32" s="100">
        <f>IF($H32=0,0,CHOOSE($H32,SUMPRODUCT($O33:$O$67*AD33:AD$67*($E33:$E$67=$D32)),IF(ISNUMBER(Data_2017!X32),100*ABS($G32-(Data_2017!X32-$K32)/$M32),0),IF(ISNUMBER(Data_2017!X32),100*ABS($G32-(Data_2017!X32-$K32)/$M32),0)))</f>
        <v>100</v>
      </c>
      <c r="AE32" s="100">
        <f>IF($H32=0,0,CHOOSE($H32,SUMPRODUCT($O33:$O$67*AE33:AE$67*($E33:$E$67=$D32)),IF(ISNUMBER(Data_2017!Y32),100*ABS($G32-(Data_2017!Y32-$K32)/$M32),0),IF(ISNUMBER(Data_2017!Y32),100*ABS($G32-(Data_2017!Y32-$K32)/$M32),0)))</f>
        <v>100</v>
      </c>
      <c r="AF32" s="100">
        <f>IF($H32=0,0,CHOOSE($H32,SUMPRODUCT($O33:$O$67*AF33:AF$67*($E33:$E$67=$D32)),IF(ISNUMBER(Data_2017!Z32),100*ABS($G32-(Data_2017!Z32-$K32)/$M32),0),IF(ISNUMBER(Data_2017!Z32),100*ABS($G32-(Data_2017!Z32-$K32)/$M32),0)))</f>
        <v>100</v>
      </c>
      <c r="AG32" s="100">
        <f>IF($H32=0,0,CHOOSE($H32,SUMPRODUCT($O33:$O$67*AG33:AG$67*($E33:$E$67=$D32)),IF(ISNUMBER(Data_2017!AA32),100*ABS($G32-(Data_2017!AA32-$K32)/$M32),0),IF(ISNUMBER(Data_2017!AA32),100*ABS($G32-(Data_2017!AA32-$K32)/$M32),0)))</f>
        <v>100</v>
      </c>
      <c r="AH32" s="100">
        <f>IF($H32=0,0,CHOOSE($H32,SUMPRODUCT($O33:$O$67*AH33:AH$67*($E33:$E$67=$D32)),IF(ISNUMBER(Data_2017!AB32),100*ABS($G32-(Data_2017!AB32-$K32)/$M32),0),IF(ISNUMBER(Data_2017!AB32),100*ABS($G32-(Data_2017!AB32-$K32)/$M32),0)))</f>
        <v>100</v>
      </c>
      <c r="AI32" s="100">
        <f>IF($H32=0,0,CHOOSE($H32,SUMPRODUCT($O33:$O$67*AI33:AI$67*($E33:$E$67=$D32)),IF(ISNUMBER(Data_2017!AC32),100*ABS($G32-(Data_2017!AC32-$K32)/$M32),0),IF(ISNUMBER(Data_2017!AC32),100*ABS($G32-(Data_2017!AC32-$K32)/$M32),0)))</f>
        <v>25</v>
      </c>
      <c r="AJ32" s="100">
        <f>IF($H32=0,0,CHOOSE($H32,SUMPRODUCT($O33:$O$67*AJ33:AJ$67*($E33:$E$67=$D32)),IF(ISNUMBER(Data_2017!AD32),100*ABS($G32-(Data_2017!AD32-$K32)/$M32),0),IF(ISNUMBER(Data_2017!AD32),100*ABS($G32-(Data_2017!AD32-$K32)/$M32),0)))</f>
        <v>100</v>
      </c>
      <c r="AK32" s="100">
        <f>IF($H32=0,0,CHOOSE($H32,SUMPRODUCT($O33:$O$67*AK33:AK$67*($E33:$E$67=$D32)),IF(ISNUMBER(Data_2017!AE32),100*ABS($G32-(Data_2017!AE32-$K32)/$M32),0),IF(ISNUMBER(Data_2017!AE32),100*ABS($G32-(Data_2017!AE32-$K32)/$M32),0)))</f>
        <v>100</v>
      </c>
      <c r="AL32" s="100">
        <f>IF($H32=0,0,CHOOSE($H32,SUMPRODUCT($O33:$O$67*AL33:AL$67*($E33:$E$67=$D32)),IF(ISNUMBER(Data_2017!AF32),100*ABS($G32-(Data_2017!AF32-$K32)/$M32),0),IF(ISNUMBER(Data_2017!AF32),100*ABS($G32-(Data_2017!AF32-$K32)/$M32),0)))</f>
        <v>100</v>
      </c>
      <c r="AM32" s="100">
        <f>IF($H32=0,0,CHOOSE($H32,SUMPRODUCT($O33:$O$67*AM33:AM$67*($E33:$E$67=$D32)),IF(ISNUMBER(Data_2017!AG32),100*ABS($G32-(Data_2017!AG32-$K32)/$M32),0),IF(ISNUMBER(Data_2017!AG32),100*ABS($G32-(Data_2017!AG32-$K32)/$M32),0)))</f>
        <v>100</v>
      </c>
      <c r="AN32" s="100">
        <f>IF($H32=0,0,CHOOSE($H32,SUMPRODUCT($O33:$O$67*AN33:AN$67*($E33:$E$67=$D32)),IF(ISNUMBER(Data_2017!AH32),100*ABS($G32-(Data_2017!AH32-$K32)/$M32),0),IF(ISNUMBER(Data_2017!AH32),100*ABS($G32-(Data_2017!AH32-$K32)/$M32),0)))</f>
        <v>100</v>
      </c>
      <c r="AO32" s="100">
        <f>IF($H32=0,0,CHOOSE($H32,SUMPRODUCT($O33:$O$67*AO33:AO$67*($E33:$E$67=$D32)),IF(ISNUMBER(Data_2017!AI32),100*ABS($G32-(Data_2017!AI32-$K32)/$M32),0),IF(ISNUMBER(Data_2017!AI32),100*ABS($G32-(Data_2017!AI32-$K32)/$M32),0)))</f>
        <v>100</v>
      </c>
      <c r="AP32" s="100">
        <f>IF($H32=0,0,CHOOSE($H32,SUMPRODUCT($O33:$O$67*AP33:AP$67*($E33:$E$67=$D32)),IF(ISNUMBER(Data_2017!AJ32),100*ABS($G32-(Data_2017!AJ32-$K32)/$M32),0),IF(ISNUMBER(Data_2017!AJ32),100*ABS($G32-(Data_2017!AJ32-$K32)/$M32),0)))</f>
        <v>100</v>
      </c>
      <c r="AQ32" s="100">
        <f>IF($H32=0,0,CHOOSE($H32,SUMPRODUCT($O33:$O$67*AQ33:AQ$67*($E33:$E$67=$D32)),IF(ISNUMBER(Data_2017!AK32),100*ABS($G32-(Data_2017!AK32-$K32)/$M32),0),IF(ISNUMBER(Data_2017!AK32),100*ABS($G32-(Data_2017!AK32-$K32)/$M32),0)))</f>
        <v>100</v>
      </c>
      <c r="AR32" s="100">
        <f>IF($H32=0,0,CHOOSE($H32,SUMPRODUCT($O33:$O$67*AR33:AR$67*($E33:$E$67=$D32)),IF(ISNUMBER(Data_2017!AL32),100*ABS($G32-(Data_2017!AL32-$K32)/$M32),0),IF(ISNUMBER(Data_2017!AL32),100*ABS($G32-(Data_2017!AL32-$K32)/$M32),0)))</f>
        <v>100</v>
      </c>
      <c r="AS32" s="100">
        <f>IF($H32=0,0,CHOOSE($H32,SUMPRODUCT($O33:$O$67*AS33:AS$67*($E33:$E$67=$D32)),IF(ISNUMBER(Data_2017!AM32),100*ABS($G32-(Data_2017!AM32-$K32)/$M32),0),IF(ISNUMBER(Data_2017!AM32),100*ABS($G32-(Data_2017!AM32-$K32)/$M32),0)))</f>
        <v>75</v>
      </c>
      <c r="AT32" s="100">
        <f>IF($H32=0,0,CHOOSE($H32,SUMPRODUCT($O33:$O$67*AT33:AT$67*($E33:$E$67=$D32)),IF(ISNUMBER(Data_2017!AN32),100*ABS($G32-(Data_2017!AN32-$K32)/$M32),0),IF(ISNUMBER(Data_2017!AN32),100*ABS($G32-(Data_2017!AN32-$K32)/$M32),0)))</f>
        <v>100</v>
      </c>
      <c r="AU32" s="100">
        <f>IF($H32=0,0,CHOOSE($H32,SUMPRODUCT($O33:$O$67*AU33:AU$67*($E33:$E$67=$D32)),IF(ISNUMBER(Data_2017!AO32),100*ABS($G32-(Data_2017!AO32-$K32)/$M32),0),IF(ISNUMBER(Data_2017!AO32),100*ABS($G32-(Data_2017!AO32-$K32)/$M32),0)))</f>
        <v>100</v>
      </c>
      <c r="AV32" s="100">
        <f>IF($H32=0,0,CHOOSE($H32,SUMPRODUCT($O33:$O$67*AV33:AV$67*($E33:$E$67=$D32)),IF(ISNUMBER(Data_2017!AP32),100*ABS($G32-(Data_2017!AP32-$K32)/$M32),0),IF(ISNUMBER(Data_2017!AP32),100*ABS($G32-(Data_2017!AP32-$K32)/$M32),0)))</f>
        <v>100</v>
      </c>
      <c r="AW32" s="100">
        <f>IF($H32=0,0,CHOOSE($H32,SUMPRODUCT($O33:$O$67*AW33:AW$67*($E33:$E$67=$D32)),IF(ISNUMBER(Data_2017!AQ32),100*ABS($G32-(Data_2017!AQ32-$K32)/$M32),0),IF(ISNUMBER(Data_2017!AQ32),100*ABS($G32-(Data_2017!AQ32-$K32)/$M32),0)))</f>
        <v>100</v>
      </c>
      <c r="AX32" s="100">
        <f>IF($H32=0,0,CHOOSE($H32,SUMPRODUCT($O33:$O$67*AX33:AX$67*($E33:$E$67=$D32)),IF(ISNUMBER(Data_2017!AR32),100*ABS($G32-(Data_2017!AR32-$K32)/$M32),0),IF(ISNUMBER(Data_2017!AR32),100*ABS($G32-(Data_2017!AR32-$K32)/$M32),0)))</f>
        <v>100</v>
      </c>
      <c r="AY32" s="100">
        <f>IF($H32=0,0,CHOOSE($H32,SUMPRODUCT($O33:$O$67*AY33:AY$67*($E33:$E$67=$D32)),IF(ISNUMBER(Data_2017!AS32),100*ABS($G32-(Data_2017!AS32-$K32)/$M32),0),IF(ISNUMBER(Data_2017!AS32),100*ABS($G32-(Data_2017!AS32-$K32)/$M32),0)))</f>
        <v>100</v>
      </c>
      <c r="AZ32" s="100">
        <f>IF($H32=0,0,CHOOSE($H32,SUMPRODUCT($O33:$O$67*AZ33:AZ$67*($E33:$E$67=$D32)),IF(ISNUMBER(Data_2017!AT32),100*ABS($G32-(Data_2017!AT32-$K32)/$M32),0),IF(ISNUMBER(Data_2017!AT32),100*ABS($G32-(Data_2017!AT32-$K32)/$M32),0)))</f>
        <v>100</v>
      </c>
      <c r="BA32" s="100">
        <f>IF($H32=0,0,CHOOSE($H32,SUMPRODUCT($O33:$O$67*BA33:BA$67*($E33:$E$67=$D32)),IF(ISNUMBER(Data_2017!AU32),100*ABS($G32-(Data_2017!AU32-$K32)/$M32),0),IF(ISNUMBER(Data_2017!AU32),100*ABS($G32-(Data_2017!AU32-$K32)/$M32),0)))</f>
        <v>25</v>
      </c>
      <c r="BB32" s="100">
        <f>IF($H32=0,0,CHOOSE($H32,SUMPRODUCT($O33:$O$67*BB33:BB$67*($E33:$E$67=$D32)),IF(ISNUMBER(Data_2017!AV32),100*ABS($G32-(Data_2017!AV32-$K32)/$M32),0),IF(ISNUMBER(Data_2017!AV32),100*ABS($G32-(Data_2017!AV32-$K32)/$M32),0)))</f>
        <v>100</v>
      </c>
      <c r="BC32" s="100">
        <f>IF($H32=0,0,CHOOSE($H32,SUMPRODUCT($O33:$O$67*BC33:BC$67*($E33:$E$67=$D32)),IF(ISNUMBER(Data_2017!AW32),100*ABS($G32-(Data_2017!AW32-$K32)/$M32),0),IF(ISNUMBER(Data_2017!AW32),100*ABS($G32-(Data_2017!AW32-$K32)/$M32),0)))</f>
        <v>100</v>
      </c>
      <c r="BD32" s="100">
        <f>IF($H32=0,0,CHOOSE($H32,SUMPRODUCT($O33:$O$67*BD33:BD$67*($E33:$E$67=$D32)),IF(ISNUMBER(Data_2017!AX32),100*ABS($G32-(Data_2017!AX32-$K32)/$M32),0),IF(ISNUMBER(Data_2017!AX32),100*ABS($G32-(Data_2017!AX32-$K32)/$M32),0)))</f>
        <v>100</v>
      </c>
      <c r="BE32" s="100">
        <f>IF($H32=0,0,CHOOSE($H32,SUMPRODUCT($O33:$O$67*BE33:BE$67*($E33:$E$67=$D32)),IF(ISNUMBER(Data_2017!AY32),100*ABS($G32-(Data_2017!AY32-$K32)/$M32),0),IF(ISNUMBER(Data_2017!AY32),100*ABS($G32-(Data_2017!AY32-$K32)/$M32),0)))</f>
        <v>100</v>
      </c>
      <c r="BF32" s="100">
        <f>IF($H32=0,0,CHOOSE($H32,SUMPRODUCT($O33:$O$67*BF33:BF$67*($E33:$E$67=$D32)),IF(ISNUMBER(Data_2017!AZ32),100*ABS($G32-(Data_2017!AZ32-$K32)/$M32),0),IF(ISNUMBER(Data_2017!AZ32),100*ABS($G32-(Data_2017!AZ32-$K32)/$M32),0)))</f>
        <v>100</v>
      </c>
      <c r="BG32" s="100">
        <f>IF($H32=0,0,CHOOSE($H32,SUMPRODUCT($O33:$O$67*BG33:BG$67*($E33:$E$67=$D32)),IF(ISNUMBER(Data_2017!BA32),100*ABS($G32-(Data_2017!BA32-$K32)/$M32),0),IF(ISNUMBER(Data_2017!BA32),100*ABS($G32-(Data_2017!BA32-$K32)/$M32),0)))</f>
        <v>100</v>
      </c>
      <c r="BH32" s="100">
        <f>IF($H32=0,0,CHOOSE($H32,SUMPRODUCT($O33:$O$67*BH33:BH$67*($E33:$E$67=$D32)),IF(ISNUMBER(Data_2017!BB32),100*ABS($G32-(Data_2017!BB32-$K32)/$M32),0),IF(ISNUMBER(Data_2017!BB32),100*ABS($G32-(Data_2017!BB32-$K32)/$M32),0)))</f>
        <v>100</v>
      </c>
      <c r="BI32" s="100">
        <f>IF($H32=0,0,CHOOSE($H32,SUMPRODUCT($O33:$O$67*BI33:BI$67*($E33:$E$67=$D32)),IF(ISNUMBER(Data_2017!BC32),100*ABS($G32-(Data_2017!BC32-$K32)/$M32),0),IF(ISNUMBER(Data_2017!BC32),100*ABS($G32-(Data_2017!BC32-$K32)/$M32),0)))</f>
        <v>100</v>
      </c>
      <c r="BJ32" s="100">
        <f>IF($H32=0,0,CHOOSE($H32,SUMPRODUCT($O33:$O$67*BJ33:BJ$67*($E33:$E$67=$D32)),IF(ISNUMBER(Data_2017!BD32),100*ABS($G32-(Data_2017!BD32-$K32)/$M32),0),IF(ISNUMBER(Data_2017!BD32),100*ABS($G32-(Data_2017!BD32-$K32)/$M32),0)))</f>
        <v>100</v>
      </c>
      <c r="BK32" s="100">
        <f>IF($H32=0,0,CHOOSE($H32,SUMPRODUCT($O33:$O$67*BK33:BK$67*($E33:$E$67=$D32)),IF(ISNUMBER(Data_2017!BE32),100*ABS($G32-(Data_2017!BE32-$K32)/$M32),0),IF(ISNUMBER(Data_2017!BE32),100*ABS($G32-(Data_2017!BE32-$K32)/$M32),0)))</f>
        <v>100</v>
      </c>
      <c r="BL32" s="100">
        <f>IF($H32=0,0,CHOOSE($H32,SUMPRODUCT($O33:$O$67*BL33:BL$67*($E33:$E$67=$D32)),IF(ISNUMBER(Data_2017!BF32),100*ABS($G32-(Data_2017!BF32-$K32)/$M32),0),IF(ISNUMBER(Data_2017!BF32),100*ABS($G32-(Data_2017!BF32-$K32)/$M32),0)))</f>
        <v>100</v>
      </c>
      <c r="BM32" s="100">
        <f>IF($H32=0,0,CHOOSE($H32,SUMPRODUCT($O33:$O$67*BM33:BM$67*($E33:$E$67=$D32)),IF(ISNUMBER(Data_2017!BG32),100*ABS($G32-(Data_2017!BG32-$K32)/$M32),0),IF(ISNUMBER(Data_2017!BG32),100*ABS($G32-(Data_2017!BG32-$K32)/$M32),0)))</f>
        <v>100</v>
      </c>
      <c r="BN32" s="100">
        <f>IF($H32=0,0,CHOOSE($H32,SUMPRODUCT($O33:$O$67*BN33:BN$67*($E33:$E$67=$D32)),IF(ISNUMBER(Data_2017!BH32),100*ABS($G32-(Data_2017!BH32-$K32)/$M32),0),IF(ISNUMBER(Data_2017!BH32),100*ABS($G32-(Data_2017!BH32-$K32)/$M32),0)))</f>
        <v>100</v>
      </c>
      <c r="BO32" s="100">
        <f>IF($H32=0,0,CHOOSE($H32,SUMPRODUCT($O33:$O$67*BO33:BO$67*($E33:$E$67=$D32)),IF(ISNUMBER(Data_2017!BI32),100*ABS($G32-(Data_2017!BI32-$K32)/$M32),0),IF(ISNUMBER(Data_2017!BI32),100*ABS($G32-(Data_2017!BI32-$K32)/$M32),0)))</f>
        <v>100</v>
      </c>
      <c r="BP32" s="100">
        <f>IF($H32=0,0,CHOOSE($H32,SUMPRODUCT($O33:$O$67*BP33:BP$67*($E33:$E$67=$D32)),IF(ISNUMBER(Data_2017!BJ32),100*ABS($G32-(Data_2017!BJ32-$K32)/$M32),0),IF(ISNUMBER(Data_2017!BJ32),100*ABS($G32-(Data_2017!BJ32-$K32)/$M32),0)))</f>
        <v>100</v>
      </c>
      <c r="BQ32" s="100">
        <f>IF($H32=0,0,CHOOSE($H32,SUMPRODUCT($O33:$O$67*BQ33:BQ$67*($E33:$E$67=$D32)),IF(ISNUMBER(Data_2017!BK32),100*ABS($G32-(Data_2017!BK32-$K32)/$M32),0),IF(ISNUMBER(Data_2017!BK32),100*ABS($G32-(Data_2017!BK32-$K32)/$M32),0)))</f>
        <v>100</v>
      </c>
      <c r="BR32" s="100">
        <f>IF($H32=0,0,CHOOSE($H32,SUMPRODUCT($O33:$O$67*BR33:BR$67*($E33:$E$67=$D32)),IF(ISNUMBER(Data_2017!BL32),100*ABS($G32-(Data_2017!BL32-$K32)/$M32),0),IF(ISNUMBER(Data_2017!BL32),100*ABS($G32-(Data_2017!BL32-$K32)/$M32),0)))</f>
        <v>100</v>
      </c>
      <c r="BS32" s="100">
        <f>IF($H32=0,0,CHOOSE($H32,SUMPRODUCT($O33:$O$67*BS33:BS$67*($E33:$E$67=$D32)),IF(ISNUMBER(Data_2017!BM32),100*ABS($G32-(Data_2017!BM32-$K32)/$M32),0),IF(ISNUMBER(Data_2017!BM32),100*ABS($G32-(Data_2017!BM32-$K32)/$M32),0)))</f>
        <v>100</v>
      </c>
      <c r="BT32" s="100">
        <f>IF($H32=0,0,CHOOSE($H32,SUMPRODUCT($O33:$O$67*BT33:BT$67*($E33:$E$67=$D32)),IF(ISNUMBER(Data_2017!BN32),100*ABS($G32-(Data_2017!BN32-$K32)/$M32),0),IF(ISNUMBER(Data_2017!BN32),100*ABS($G32-(Data_2017!BN32-$K32)/$M32),0)))</f>
        <v>50</v>
      </c>
      <c r="BU32" s="100">
        <f>IF($H32=0,0,CHOOSE($H32,SUMPRODUCT($O33:$O$67*BU33:BU$67*($E33:$E$67=$D32)),IF(ISNUMBER(Data_2017!BO32),100*ABS($G32-(Data_2017!BO32-$K32)/$M32),0),IF(ISNUMBER(Data_2017!BO32),100*ABS($G32-(Data_2017!BO32-$K32)/$M32),0)))</f>
        <v>0</v>
      </c>
      <c r="BV32" s="100">
        <f>IF($H32=0,0,CHOOSE($H32,SUMPRODUCT($O33:$O$67*BV33:BV$67*($E33:$E$67=$D32)),IF(ISNUMBER(Data_2017!BP32),100*ABS($G32-(Data_2017!BP32-$K32)/$M32),0),IF(ISNUMBER(Data_2017!BP32),100*ABS($G32-(Data_2017!BP32-$K32)/$M32),0)))</f>
        <v>100</v>
      </c>
      <c r="BW32" s="100">
        <f>IF($H32=0,0,CHOOSE($H32,SUMPRODUCT($O33:$O$67*BW33:BW$67*($E33:$E$67=$D32)),IF(ISNUMBER(Data_2017!BQ32),100*ABS($G32-(Data_2017!BQ32-$K32)/$M32),0),IF(ISNUMBER(Data_2017!BQ32),100*ABS($G32-(Data_2017!BQ32-$K32)/$M32),0)))</f>
        <v>100</v>
      </c>
      <c r="BX32" s="100">
        <f>IF($H32=0,0,CHOOSE($H32,SUMPRODUCT($O33:$O$67*BX33:BX$67*($E33:$E$67=$D32)),IF(ISNUMBER(Data_2017!BR32),100*ABS($G32-(Data_2017!BR32-$K32)/$M32),0),IF(ISNUMBER(Data_2017!BR32),100*ABS($G32-(Data_2017!BR32-$K32)/$M32),0)))</f>
        <v>100</v>
      </c>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row>
    <row r="33" s="69" customFormat="1" ht="24.95" customHeight="1" spans="1:130">
      <c r="A33" s="92"/>
      <c r="B33" s="92">
        <f>tblIndicators!A29</f>
        <v>28</v>
      </c>
      <c r="C33" s="92">
        <f>tblIndicators!B29</f>
        <v>0</v>
      </c>
      <c r="D33" s="92" t="str">
        <f>tblIndicators!D29</f>
        <v>INSE</v>
      </c>
      <c r="E33" s="92" t="str">
        <f>tblIndicators!E29</f>
        <v>OVERALL</v>
      </c>
      <c r="F33" s="92">
        <f>tblIndicators!F29</f>
        <v>1</v>
      </c>
      <c r="G33" s="92" t="str">
        <f>tblIndicators!Y29</f>
        <v/>
      </c>
      <c r="H33" s="92">
        <f>tblIndicators!Z29</f>
        <v>1</v>
      </c>
      <c r="I33" s="104">
        <f>tblIndicators!AA29</f>
        <v>0</v>
      </c>
      <c r="J33" s="92">
        <f>tblIndicators!AB29</f>
        <v>0</v>
      </c>
      <c r="K33" s="89" t="str">
        <f>IF(uxb_works!$B$66=1,CHOOSE(H33,"-",MIN(Data_2017!J33:BR33),I33),CHOOSE(H33,"-",MIN(Data_2017!J33:BQ33),I33))</f>
        <v>-</v>
      </c>
      <c r="L33" s="97" t="str">
        <f>IF(uxb_works!$B$66=1,CHOOSE(H33,"-",MAX(Data_2017!J33:BR33),J33),CHOOSE(H33,"-",MAX(Data_2017!J33:BQ33),J33))</f>
        <v>-</v>
      </c>
      <c r="M33" s="92" t="str">
        <f t="shared" si="1"/>
        <v>-</v>
      </c>
      <c r="N33" s="105" t="str">
        <f>REPT(" ",F33)&amp;tblIndicators!AE29</f>
        <v> 3) INFRASTRUCTURE SECURITY</v>
      </c>
      <c r="O33" s="106">
        <f>tblIndicators!AD29</f>
        <v>0.25</v>
      </c>
      <c r="P33" s="100">
        <f>IF($H33=0,0,CHOOSE($H33,SUMPRODUCT($O34:$O$67*P34:P$67*($E34:$E$67=$D33)),IF(ISNUMBER(Data_2017!J33),100*ABS($G33-(Data_2017!J33-$K33)/$M33),0),IF(ISNUMBER(Data_2017!J33),100*ABS($G33-(Data_2017!J33-$K33)/$M33),0)))</f>
        <v>91.3641602398045</v>
      </c>
      <c r="Q33" s="100">
        <f>IF($H33=0,0,CHOOSE($H33,SUMPRODUCT($O34:$O$67*Q34:Q$67*($E34:$E$67=$D33)),IF(ISNUMBER(Data_2017!K33),100*ABS($G33-(Data_2017!K33-$K33)/$M33),0),IF(ISNUMBER(Data_2017!K33),100*ABS($G33-(Data_2017!K33-$K33)/$M33),0)))</f>
        <v>96.0487020964921</v>
      </c>
      <c r="R33" s="100">
        <f>IF($H33=0,0,CHOOSE($H33,SUMPRODUCT($O34:$O$67*R34:R$67*($E34:$E$67=$D33)),IF(ISNUMBER(Data_2017!L33),100*ABS($G33-(Data_2017!L33-$K33)/$M33),0),IF(ISNUMBER(Data_2017!L33),100*ABS($G33-(Data_2017!L33-$K33)/$M33),0)))</f>
        <v>82.0450727670822</v>
      </c>
      <c r="S33" s="100">
        <f>IF($H33=0,0,CHOOSE($H33,SUMPRODUCT($O34:$O$67*S34:S$67*($E34:$E$67=$D33)),IF(ISNUMBER(Data_2017!M33),100*ABS($G33-(Data_2017!M33-$K33)/$M33),0),IF(ISNUMBER(Data_2017!M33),100*ABS($G33-(Data_2017!M33-$K33)/$M33),0)))</f>
        <v>68.3322310976069</v>
      </c>
      <c r="T33" s="100">
        <f>IF($H33=0,0,CHOOSE($H33,SUMPRODUCT($O34:$O$67*T34:T$67*($E34:$E$67=$D33)),IF(ISNUMBER(Data_2017!N33),100*ABS($G33-(Data_2017!N33-$K33)/$M33),0),IF(ISNUMBER(Data_2017!N33),100*ABS($G33-(Data_2017!N33-$K33)/$M33),0)))</f>
        <v>96.5932931771737</v>
      </c>
      <c r="U33" s="100">
        <f>IF($H33=0,0,CHOOSE($H33,SUMPRODUCT($O34:$O$67*U34:U$67*($E34:$E$67=$D33)),IF(ISNUMBER(Data_2017!O33),100*ABS($G33-(Data_2017!O33-$K33)/$M33),0),IF(ISNUMBER(Data_2017!O33),100*ABS($G33-(Data_2017!O33-$K33)/$M33),0)))</f>
        <v>74.4895357167155</v>
      </c>
      <c r="V33" s="100">
        <f>IF($H33=0,0,CHOOSE($H33,SUMPRODUCT($O34:$O$67*V34:V$67*($E34:$E$67=$D33)),IF(ISNUMBER(Data_2017!P33),100*ABS($G33-(Data_2017!P33-$K33)/$M33),0),IF(ISNUMBER(Data_2017!P33),100*ABS($G33-(Data_2017!P33-$K33)/$M33),0)))</f>
        <v>69.7850257376166</v>
      </c>
      <c r="W33" s="100">
        <f>IF($H33=0,0,CHOOSE($H33,SUMPRODUCT($O34:$O$67*W34:W$67*($E34:$E$67=$D33)),IF(ISNUMBER(Data_2017!Q33),100*ABS($G33-(Data_2017!Q33-$K33)/$M33),0),IF(ISNUMBER(Data_2017!Q33),100*ABS($G33-(Data_2017!Q33-$K33)/$M33),0)))</f>
        <v>88.5618810078511</v>
      </c>
      <c r="X33" s="100">
        <f>IF($H33=0,0,CHOOSE($H33,SUMPRODUCT($O34:$O$67*X34:X$67*($E34:$E$67=$D33)),IF(ISNUMBER(Data_2017!R33),100*ABS($G33-(Data_2017!R33-$K33)/$M33),0),IF(ISNUMBER(Data_2017!R33),100*ABS($G33-(Data_2017!R33-$K33)/$M33),0)))</f>
        <v>87.992217350021</v>
      </c>
      <c r="Y33" s="100">
        <f>IF($H33=0,0,CHOOSE($H33,SUMPRODUCT($O34:$O$67*Y34:Y$67*($E34:$E$67=$D33)),IF(ISNUMBER(Data_2017!S33),100*ABS($G33-(Data_2017!S33-$K33)/$M33),0),IF(ISNUMBER(Data_2017!S33),100*ABS($G33-(Data_2017!S33-$K33)/$M33),0)))</f>
        <v>68.0018524380856</v>
      </c>
      <c r="Z33" s="100">
        <f>IF($H33=0,0,CHOOSE($H33,SUMPRODUCT($O34:$O$67*Z34:Z$67*($E34:$E$67=$D33)),IF(ISNUMBER(Data_2017!T33),100*ABS($G33-(Data_2017!T33-$K33)/$M33),0),IF(ISNUMBER(Data_2017!T33),100*ABS($G33-(Data_2017!T33-$K33)/$M33),0)))</f>
        <v>58.417287888492</v>
      </c>
      <c r="AA33" s="100">
        <f>IF($H33=0,0,CHOOSE($H33,SUMPRODUCT($O34:$O$67*AA34:AA$67*($E34:$E$67=$D33)),IF(ISNUMBER(Data_2017!U33),100*ABS($G33-(Data_2017!U33-$K33)/$M33),0),IF(ISNUMBER(Data_2017!U33),100*ABS($G33-(Data_2017!U33-$K33)/$M33),0)))</f>
        <v>66.2715702654957</v>
      </c>
      <c r="AB33" s="100">
        <f>IF($H33=0,0,CHOOSE($H33,SUMPRODUCT($O34:$O$67*AB34:AB$67*($E34:$E$67=$D33)),IF(ISNUMBER(Data_2017!V33),100*ABS($G33-(Data_2017!V33-$K33)/$M33),0),IF(ISNUMBER(Data_2017!V33),100*ABS($G33-(Data_2017!V33-$K33)/$M33),0)))</f>
        <v>87.4662031145375</v>
      </c>
      <c r="AC33" s="100">
        <f>IF($H33=0,0,CHOOSE($H33,SUMPRODUCT($O34:$O$67*AC34:AC$67*($E34:$E$67=$D33)),IF(ISNUMBER(Data_2017!W33),100*ABS($G33-(Data_2017!W33-$K33)/$M33),0),IF(ISNUMBER(Data_2017!W33),100*ABS($G33-(Data_2017!W33-$K33)/$M33),0)))</f>
        <v>79.2281408050174</v>
      </c>
      <c r="AD33" s="100">
        <f>IF($H33=0,0,CHOOSE($H33,SUMPRODUCT($O34:$O$67*AD34:AD$67*($E34:$E$67=$D33)),IF(ISNUMBER(Data_2017!X33),100*ABS($G33-(Data_2017!X33-$K33)/$M33),0),IF(ISNUMBER(Data_2017!X33),100*ABS($G33-(Data_2017!X33-$K33)/$M33),0)))</f>
        <v>58.4862536094941</v>
      </c>
      <c r="AE33" s="100">
        <f>IF($H33=0,0,CHOOSE($H33,SUMPRODUCT($O34:$O$67*AE34:AE$67*($E34:$E$67=$D33)),IF(ISNUMBER(Data_2017!Y33),100*ABS($G33-(Data_2017!Y33-$K33)/$M33),0),IF(ISNUMBER(Data_2017!Y33),100*ABS($G33-(Data_2017!Y33-$K33)/$M33),0)))</f>
        <v>38.4188834103654</v>
      </c>
      <c r="AF33" s="100">
        <f>IF($H33=0,0,CHOOSE($H33,SUMPRODUCT($O34:$O$67*AF34:AF$67*($E34:$E$67=$D33)),IF(ISNUMBER(Data_2017!Z33),100*ABS($G33-(Data_2017!Z33-$K33)/$M33),0),IF(ISNUMBER(Data_2017!Z33),100*ABS($G33-(Data_2017!Z33-$K33)/$M33),0)))</f>
        <v>81.7204033378227</v>
      </c>
      <c r="AG33" s="100">
        <f>IF($H33=0,0,CHOOSE($H33,SUMPRODUCT($O34:$O$67*AG34:AG$67*($E34:$E$67=$D33)),IF(ISNUMBER(Data_2017!AA33),100*ABS($G33-(Data_2017!AA33-$K33)/$M33),0),IF(ISNUMBER(Data_2017!AA33),100*ABS($G33-(Data_2017!AA33-$K33)/$M33),0)))</f>
        <v>88.1584769903501</v>
      </c>
      <c r="AH33" s="100">
        <f>IF($H33=0,0,CHOOSE($H33,SUMPRODUCT($O34:$O$67*AH34:AH$67*($E34:$E$67=$D33)),IF(ISNUMBER(Data_2017!AB33),100*ABS($G33-(Data_2017!AB33-$K33)/$M33),0),IF(ISNUMBER(Data_2017!AB33),100*ABS($G33-(Data_2017!AB33-$K33)/$M33),0)))</f>
        <v>65.7276199587451</v>
      </c>
      <c r="AI33" s="100">
        <f>IF($H33=0,0,CHOOSE($H33,SUMPRODUCT($O34:$O$67*AI34:AI$67*($E34:$E$67=$D33)),IF(ISNUMBER(Data_2017!AC33),100*ABS($G33-(Data_2017!AC33-$K33)/$M33),0),IF(ISNUMBER(Data_2017!AC33),100*ABS($G33-(Data_2017!AC33-$K33)/$M33),0)))</f>
        <v>96.0401670743199</v>
      </c>
      <c r="AJ33" s="100">
        <f>IF($H33=0,0,CHOOSE($H33,SUMPRODUCT($O34:$O$67*AJ34:AJ$67*($E34:$E$67=$D33)),IF(ISNUMBER(Data_2017!AD33),100*ABS($G33-(Data_2017!AD33-$K33)/$M33),0),IF(ISNUMBER(Data_2017!AD33),100*ABS($G33-(Data_2017!AD33-$K33)/$M33),0)))</f>
        <v>70.7912962945649</v>
      </c>
      <c r="AK33" s="100">
        <f>IF($H33=0,0,CHOOSE($H33,SUMPRODUCT($O34:$O$67*AK34:AK$67*($E34:$E$67=$D33)),IF(ISNUMBER(Data_2017!AE33),100*ABS($G33-(Data_2017!AE33-$K33)/$M33),0),IF(ISNUMBER(Data_2017!AE33),100*ABS($G33-(Data_2017!AE33-$K33)/$M33),0)))</f>
        <v>63.3189954694381</v>
      </c>
      <c r="AL33" s="100">
        <f>IF($H33=0,0,CHOOSE($H33,SUMPRODUCT($O34:$O$67*AL34:AL$67*($E34:$E$67=$D33)),IF(ISNUMBER(Data_2017!AF33),100*ABS($G33-(Data_2017!AF33-$K33)/$M33),0),IF(ISNUMBER(Data_2017!AF33),100*ABS($G33-(Data_2017!AF33-$K33)/$M33),0)))</f>
        <v>61.7422079955886</v>
      </c>
      <c r="AM33" s="100">
        <f>IF($H33=0,0,CHOOSE($H33,SUMPRODUCT($O34:$O$67*AM34:AM$67*($E34:$E$67=$D33)),IF(ISNUMBER(Data_2017!AG33),100*ABS($G33-(Data_2017!AG33-$K33)/$M33),0),IF(ISNUMBER(Data_2017!AG33),100*ABS($G33-(Data_2017!AG33-$K33)/$M33),0)))</f>
        <v>55.058886033288</v>
      </c>
      <c r="AN33" s="100">
        <f>IF($H33=0,0,CHOOSE($H33,SUMPRODUCT($O34:$O$67*AN34:AN$67*($E34:$E$67=$D33)),IF(ISNUMBER(Data_2017!AH33),100*ABS($G33-(Data_2017!AH33-$K33)/$M33),0),IF(ISNUMBER(Data_2017!AH33),100*ABS($G33-(Data_2017!AH33-$K33)/$M33),0)))</f>
        <v>40.1112106909003</v>
      </c>
      <c r="AO33" s="100">
        <f>IF($H33=0,0,CHOOSE($H33,SUMPRODUCT($O34:$O$67*AO34:AO$67*($E34:$E$67=$D33)),IF(ISNUMBER(Data_2017!AI33),100*ABS($G33-(Data_2017!AI33-$K33)/$M33),0),IF(ISNUMBER(Data_2017!AI33),100*ABS($G33-(Data_2017!AI33-$K33)/$M33),0)))</f>
        <v>78.1190759836028</v>
      </c>
      <c r="AP33" s="100">
        <f>IF($H33=0,0,CHOOSE($H33,SUMPRODUCT($O34:$O$67*AP34:AP$67*($E34:$E$67=$D33)),IF(ISNUMBER(Data_2017!AJ33),100*ABS($G33-(Data_2017!AJ33-$K33)/$M33),0),IF(ISNUMBER(Data_2017!AJ33),100*ABS($G33-(Data_2017!AJ33-$K33)/$M33),0)))</f>
        <v>71.6585348410983</v>
      </c>
      <c r="AQ33" s="100">
        <f>IF($H33=0,0,CHOOSE($H33,SUMPRODUCT($O34:$O$67*AQ34:AQ$67*($E34:$E$67=$D33)),IF(ISNUMBER(Data_2017!AK33),100*ABS($G33-(Data_2017!AK33-$K33)/$M33),0),IF(ISNUMBER(Data_2017!AK33),100*ABS($G33-(Data_2017!AK33-$K33)/$M33),0)))</f>
        <v>64.468667825633</v>
      </c>
      <c r="AR33" s="100">
        <f>IF($H33=0,0,CHOOSE($H33,SUMPRODUCT($O34:$O$67*AR34:AR$67*($E34:$E$67=$D33)),IF(ISNUMBER(Data_2017!AL33),100*ABS($G33-(Data_2017!AL33-$K33)/$M33),0),IF(ISNUMBER(Data_2017!AL33),100*ABS($G33-(Data_2017!AL33-$K33)/$M33),0)))</f>
        <v>93.4394058871563</v>
      </c>
      <c r="AS33" s="100">
        <f>IF($H33=0,0,CHOOSE($H33,SUMPRODUCT($O34:$O$67*AS34:AS$67*($E34:$E$67=$D33)),IF(ISNUMBER(Data_2017!AM33),100*ABS($G33-(Data_2017!AM33-$K33)/$M33),0),IF(ISNUMBER(Data_2017!AM33),100*ABS($G33-(Data_2017!AM33-$K33)/$M33),0)))</f>
        <v>88.2653941225815</v>
      </c>
      <c r="AT33" s="100">
        <f>IF($H33=0,0,CHOOSE($H33,SUMPRODUCT($O34:$O$67*AT34:AT$67*($E34:$E$67=$D33)),IF(ISNUMBER(Data_2017!AN33),100*ABS($G33-(Data_2017!AN33-$K33)/$M33),0),IF(ISNUMBER(Data_2017!AN33),100*ABS($G33-(Data_2017!AN33-$K33)/$M33),0)))</f>
        <v>96.7641371581147</v>
      </c>
      <c r="AU33" s="100">
        <f>IF($H33=0,0,CHOOSE($H33,SUMPRODUCT($O34:$O$67*AU34:AU$67*($E34:$E$67=$D33)),IF(ISNUMBER(Data_2017!AO33),100*ABS($G33-(Data_2017!AO33-$K33)/$M33),0),IF(ISNUMBER(Data_2017!AO33),100*ABS($G33-(Data_2017!AO33-$K33)/$M33),0)))</f>
        <v>52.8899109711199</v>
      </c>
      <c r="AV33" s="100">
        <f>IF($H33=0,0,CHOOSE($H33,SUMPRODUCT($O34:$O$67*AV34:AV$67*($E34:$E$67=$D33)),IF(ISNUMBER(Data_2017!AP33),100*ABS($G33-(Data_2017!AP33-$K33)/$M33),0),IF(ISNUMBER(Data_2017!AP33),100*ABS($G33-(Data_2017!AP33-$K33)/$M33),0)))</f>
        <v>96.0350335712365</v>
      </c>
      <c r="AW33" s="100">
        <f>IF($H33=0,0,CHOOSE($H33,SUMPRODUCT($O34:$O$67*AW34:AW$67*($E34:$E$67=$D33)),IF(ISNUMBER(Data_2017!AQ33),100*ABS($G33-(Data_2017!AQ33-$K33)/$M33),0),IF(ISNUMBER(Data_2017!AQ33),100*ABS($G33-(Data_2017!AQ33-$K33)/$M33),0)))</f>
        <v>72.9768510140906</v>
      </c>
      <c r="AX33" s="100">
        <f>IF($H33=0,0,CHOOSE($H33,SUMPRODUCT($O34:$O$67*AX34:AX$67*($E34:$E$67=$D33)),IF(ISNUMBER(Data_2017!AR33),100*ABS($G33-(Data_2017!AR33-$K33)/$M33),0),IF(ISNUMBER(Data_2017!AR33),100*ABS($G33-(Data_2017!AR33-$K33)/$M33),0)))</f>
        <v>90.3577176509129</v>
      </c>
      <c r="AY33" s="100">
        <f>IF($H33=0,0,CHOOSE($H33,SUMPRODUCT($O34:$O$67*AY34:AY$67*($E34:$E$67=$D33)),IF(ISNUMBER(Data_2017!AS33),100*ABS($G33-(Data_2017!AS33-$K33)/$M33),0),IF(ISNUMBER(Data_2017!AS33),100*ABS($G33-(Data_2017!AS33-$K33)/$M33),0)))</f>
        <v>76.3566505829332</v>
      </c>
      <c r="AZ33" s="100">
        <f>IF($H33=0,0,CHOOSE($H33,SUMPRODUCT($O34:$O$67*AZ34:AZ$67*($E34:$E$67=$D33)),IF(ISNUMBER(Data_2017!AT33),100*ABS($G33-(Data_2017!AT33-$K33)/$M33),0),IF(ISNUMBER(Data_2017!AT33),100*ABS($G33-(Data_2017!AT33-$K33)/$M33),0)))</f>
        <v>59.1170075735975</v>
      </c>
      <c r="BA33" s="100">
        <f>IF($H33=0,0,CHOOSE($H33,SUMPRODUCT($O34:$O$67*BA34:BA$67*($E34:$E$67=$D33)),IF(ISNUMBER(Data_2017!AU33),100*ABS($G33-(Data_2017!AU33-$K33)/$M33),0),IF(ISNUMBER(Data_2017!AU33),100*ABS($G33-(Data_2017!AU33-$K33)/$M33),0)))</f>
        <v>88.3905540917254</v>
      </c>
      <c r="BB33" s="100">
        <f>IF($H33=0,0,CHOOSE($H33,SUMPRODUCT($O34:$O$67*BB34:BB$67*($E34:$E$67=$D33)),IF(ISNUMBER(Data_2017!AV33),100*ABS($G33-(Data_2017!AV33-$K33)/$M33),0),IF(ISNUMBER(Data_2017!AV33),100*ABS($G33-(Data_2017!AV33-$K33)/$M33),0)))</f>
        <v>94.6122129030779</v>
      </c>
      <c r="BC33" s="100">
        <f>IF($H33=0,0,CHOOSE($H33,SUMPRODUCT($O34:$O$67*BC34:BC$67*($E34:$E$67=$D33)),IF(ISNUMBER(Data_2017!AW33),100*ABS($G33-(Data_2017!AW33-$K33)/$M33),0),IF(ISNUMBER(Data_2017!AW33),100*ABS($G33-(Data_2017!AW33-$K33)/$M33),0)))</f>
        <v>89.9016034450361</v>
      </c>
      <c r="BD33" s="100">
        <f>IF($H33=0,0,CHOOSE($H33,SUMPRODUCT($O34:$O$67*BD34:BD$67*($E34:$E$67=$D33)),IF(ISNUMBER(Data_2017!AX33),100*ABS($G33-(Data_2017!AX33-$K33)/$M33),0),IF(ISNUMBER(Data_2017!AX33),100*ABS($G33-(Data_2017!AX33-$K33)/$M33),0)))</f>
        <v>52.027548819922</v>
      </c>
      <c r="BE33" s="100">
        <f>IF($H33=0,0,CHOOSE($H33,SUMPRODUCT($O34:$O$67*BE34:BE$67*($E34:$E$67=$D33)),IF(ISNUMBER(Data_2017!AY33),100*ABS($G33-(Data_2017!AY33-$K33)/$M33),0),IF(ISNUMBER(Data_2017!AY33),100*ABS($G33-(Data_2017!AY33-$K33)/$M33),0)))</f>
        <v>79.5340170368527</v>
      </c>
      <c r="BF33" s="100">
        <f>IF($H33=0,0,CHOOSE($H33,SUMPRODUCT($O34:$O$67*BF34:BF$67*($E34:$E$67=$D33)),IF(ISNUMBER(Data_2017!AZ33),100*ABS($G33-(Data_2017!AZ33-$K33)/$M33),0),IF(ISNUMBER(Data_2017!AZ33),100*ABS($G33-(Data_2017!AZ33-$K33)/$M33),0)))</f>
        <v>56.8775341607706</v>
      </c>
      <c r="BG33" s="100">
        <f>IF($H33=0,0,CHOOSE($H33,SUMPRODUCT($O34:$O$67*BG34:BG$67*($E34:$E$67=$D33)),IF(ISNUMBER(Data_2017!BA33),100*ABS($G33-(Data_2017!BA33-$K33)/$M33),0),IF(ISNUMBER(Data_2017!BA33),100*ABS($G33-(Data_2017!BA33-$K33)/$M33),0)))</f>
        <v>92.3052195815775</v>
      </c>
      <c r="BH33" s="100">
        <f>IF($H33=0,0,CHOOSE($H33,SUMPRODUCT($O34:$O$67*BH34:BH$67*($E34:$E$67=$D33)),IF(ISNUMBER(Data_2017!BB33),100*ABS($G33-(Data_2017!BB33-$K33)/$M33),0),IF(ISNUMBER(Data_2017!BB33),100*ABS($G33-(Data_2017!BB33-$K33)/$M33),0)))</f>
        <v>91.2085493589534</v>
      </c>
      <c r="BI33" s="100">
        <f>IF($H33=0,0,CHOOSE($H33,SUMPRODUCT($O34:$O$67*BI34:BI$67*($E34:$E$67=$D33)),IF(ISNUMBER(Data_2017!BC33),100*ABS($G33-(Data_2017!BC33-$K33)/$M33),0),IF(ISNUMBER(Data_2017!BC33),100*ABS($G33-(Data_2017!BC33-$K33)/$M33),0)))</f>
        <v>81.3495769804108</v>
      </c>
      <c r="BJ33" s="100">
        <f>IF($H33=0,0,CHOOSE($H33,SUMPRODUCT($O34:$O$67*BJ34:BJ$67*($E34:$E$67=$D33)),IF(ISNUMBER(Data_2017!BD33),100*ABS($G33-(Data_2017!BD33-$K33)/$M33),0),IF(ISNUMBER(Data_2017!BD33),100*ABS($G33-(Data_2017!BD33-$K33)/$M33),0)))</f>
        <v>79.4362885203413</v>
      </c>
      <c r="BK33" s="100">
        <f>IF($H33=0,0,CHOOSE($H33,SUMPRODUCT($O34:$O$67*BK34:BK$67*($E34:$E$67=$D33)),IF(ISNUMBER(Data_2017!BE33),100*ABS($G33-(Data_2017!BE33-$K33)/$M33),0),IF(ISNUMBER(Data_2017!BE33),100*ABS($G33-(Data_2017!BE33-$K33)/$M33),0)))</f>
        <v>87.933656523691</v>
      </c>
      <c r="BL33" s="100">
        <f>IF($H33=0,0,CHOOSE($H33,SUMPRODUCT($O34:$O$67*BL34:BL$67*($E34:$E$67=$D33)),IF(ISNUMBER(Data_2017!BF33),100*ABS($G33-(Data_2017!BF33-$K33)/$M33),0),IF(ISNUMBER(Data_2017!BF33),100*ABS($G33-(Data_2017!BF33-$K33)/$M33),0)))</f>
        <v>74.3020368488188</v>
      </c>
      <c r="BM33" s="100">
        <f>IF($H33=0,0,CHOOSE($H33,SUMPRODUCT($O34:$O$67*BM34:BM$67*($E34:$E$67=$D33)),IF(ISNUMBER(Data_2017!BG33),100*ABS($G33-(Data_2017!BG33-$K33)/$M33),0),IF(ISNUMBER(Data_2017!BG33),100*ABS($G33-(Data_2017!BG33-$K33)/$M33),0)))</f>
        <v>97.0468547330032</v>
      </c>
      <c r="BN33" s="100">
        <f>IF($H33=0,0,CHOOSE($H33,SUMPRODUCT($O34:$O$67*BN34:BN$67*($E34:$E$67=$D33)),IF(ISNUMBER(Data_2017!BH33),100*ABS($G33-(Data_2017!BH33-$K33)/$M33),0),IF(ISNUMBER(Data_2017!BH33),100*ABS($G33-(Data_2017!BH33-$K33)/$M33),0)))</f>
        <v>96.1824658208614</v>
      </c>
      <c r="BO33" s="100">
        <f>IF($H33=0,0,CHOOSE($H33,SUMPRODUCT($O34:$O$67*BO34:BO$67*($E34:$E$67=$D33)),IF(ISNUMBER(Data_2017!BI33),100*ABS($G33-(Data_2017!BI33-$K33)/$M33),0),IF(ISNUMBER(Data_2017!BI33),100*ABS($G33-(Data_2017!BI33-$K33)/$M33),0)))</f>
        <v>95.7258767842671</v>
      </c>
      <c r="BP33" s="100">
        <f>IF($H33=0,0,CHOOSE($H33,SUMPRODUCT($O34:$O$67*BP34:BP$67*($E34:$E$67=$D33)),IF(ISNUMBER(Data_2017!BJ33),100*ABS($G33-(Data_2017!BJ33-$K33)/$M33),0),IF(ISNUMBER(Data_2017!BJ33),100*ABS($G33-(Data_2017!BJ33-$K33)/$M33),0)))</f>
        <v>87.586180456734</v>
      </c>
      <c r="BQ33" s="100">
        <f>IF($H33=0,0,CHOOSE($H33,SUMPRODUCT($O34:$O$67*BQ34:BQ$67*($E34:$E$67=$D33)),IF(ISNUMBER(Data_2017!BK33),100*ABS($G33-(Data_2017!BK33-$K33)/$M33),0),IF(ISNUMBER(Data_2017!BK33),100*ABS($G33-(Data_2017!BK33-$K33)/$M33),0)))</f>
        <v>63.9497260688569</v>
      </c>
      <c r="BR33" s="100">
        <f>IF($H33=0,0,CHOOSE($H33,SUMPRODUCT($O34:$O$67*BR34:BR$67*($E34:$E$67=$D33)),IF(ISNUMBER(Data_2017!BL33),100*ABS($G33-(Data_2017!BL33-$K33)/$M33),0),IF(ISNUMBER(Data_2017!BL33),100*ABS($G33-(Data_2017!BL33-$K33)/$M33),0)))</f>
        <v>93.5920142551198</v>
      </c>
      <c r="BS33" s="100">
        <f>IF($H33=0,0,CHOOSE($H33,SUMPRODUCT($O34:$O$67*BS34:BS$67*($E34:$E$67=$D33)),IF(ISNUMBER(Data_2017!BM33),100*ABS($G33-(Data_2017!BM33-$K33)/$M33),0),IF(ISNUMBER(Data_2017!BM33),100*ABS($G33-(Data_2017!BM33-$K33)/$M33),0)))</f>
        <v>92.7542869033763</v>
      </c>
      <c r="BT33" s="100">
        <f>IF($H33=0,0,CHOOSE($H33,SUMPRODUCT($O34:$O$67*BT34:BT$67*($E34:$E$67=$D33)),IF(ISNUMBER(Data_2017!BN33),100*ABS($G33-(Data_2017!BN33-$K33)/$M33),0),IF(ISNUMBER(Data_2017!BN33),100*ABS($G33-(Data_2017!BN33-$K33)/$M33),0)))</f>
        <v>82.3799009185844</v>
      </c>
      <c r="BU33" s="100">
        <f>IF($H33=0,0,CHOOSE($H33,SUMPRODUCT($O34:$O$67*BU34:BU$67*($E34:$E$67=$D33)),IF(ISNUMBER(Data_2017!BO33),100*ABS($G33-(Data_2017!BO33-$K33)/$M33),0),IF(ISNUMBER(Data_2017!BO33),100*ABS($G33-(Data_2017!BO33-$K33)/$M33),0)))</f>
        <v>96.132600317862</v>
      </c>
      <c r="BV33" s="100">
        <f>IF($H33=0,0,CHOOSE($H33,SUMPRODUCT($O34:$O$67*BV34:BV$67*($E34:$E$67=$D33)),IF(ISNUMBER(Data_2017!BP33),100*ABS($G33-(Data_2017!BP33-$K33)/$M33),0),IF(ISNUMBER(Data_2017!BP33),100*ABS($G33-(Data_2017!BP33-$K33)/$M33),0)))</f>
        <v>48.5783090960745</v>
      </c>
      <c r="BW33" s="100">
        <f>IF($H33=0,0,CHOOSE($H33,SUMPRODUCT($O34:$O$67*BW34:BW$67*($E34:$E$67=$D33)),IF(ISNUMBER(Data_2017!BQ33),100*ABS($G33-(Data_2017!BQ33-$K33)/$M33),0),IF(ISNUMBER(Data_2017!BQ33),100*ABS($G33-(Data_2017!BQ33-$K33)/$M33),0)))</f>
        <v>95.7118450134872</v>
      </c>
      <c r="BX33" s="100">
        <f>IF($H33=0,0,CHOOSE($H33,SUMPRODUCT($O34:$O$67*BX34:BX$67*($E34:$E$67=$D33)),IF(ISNUMBER(Data_2017!BR33),100*ABS($G33-(Data_2017!BR33-$K33)/$M33),0),IF(ISNUMBER(Data_2017!BR33),100*ABS($G33-(Data_2017!BR33-$K33)/$M33),0)))</f>
        <v>94.663422892713</v>
      </c>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row>
    <row r="34" s="69" customFormat="1" ht="24.95" customHeight="1" spans="1:130">
      <c r="A34" s="92"/>
      <c r="B34" s="92">
        <f>tblIndicators!A30</f>
        <v>29</v>
      </c>
      <c r="C34" s="92">
        <f>tblIndicators!B30</f>
        <v>0</v>
      </c>
      <c r="D34" s="92" t="str">
        <f>tblIndicators!D30</f>
        <v>INSE3.1</v>
      </c>
      <c r="E34" s="92" t="str">
        <f>tblIndicators!E30</f>
        <v>INSE</v>
      </c>
      <c r="F34" s="92">
        <f>tblIndicators!F30</f>
        <v>2</v>
      </c>
      <c r="G34" s="92" t="str">
        <f>tblIndicators!Y30</f>
        <v/>
      </c>
      <c r="H34" s="92">
        <f>tblIndicators!Z30</f>
        <v>1</v>
      </c>
      <c r="I34" s="104">
        <f>tblIndicators!AA30</f>
        <v>0</v>
      </c>
      <c r="J34" s="92">
        <f>tblIndicators!AB30</f>
        <v>0</v>
      </c>
      <c r="K34" s="89" t="str">
        <f>IF(uxb_works!$B$66=1,CHOOSE(H34,"-",MIN(Data_2017!J34:BR34),I34),CHOOSE(H34,"-",MIN(Data_2017!J34:BQ34),I34))</f>
        <v>-</v>
      </c>
      <c r="L34" s="97" t="str">
        <f>IF(uxb_works!$B$66=1,CHOOSE(H34,"-",MAX(Data_2017!J34:BR34),J34),CHOOSE(H34,"-",MAX(Data_2017!J34:BQ34),J34))</f>
        <v>-</v>
      </c>
      <c r="M34" s="92" t="str">
        <f t="shared" si="1"/>
        <v>-</v>
      </c>
      <c r="N34" s="105" t="str">
        <f>REPT(" ",F34)&amp;tblIndicators!AE30</f>
        <v>  3.1) Infrastructure security (Inputs)</v>
      </c>
      <c r="O34" s="106">
        <f>tblIndicators!AD30</f>
        <v>0.5</v>
      </c>
      <c r="P34" s="100">
        <f>IF($H34=0,0,CHOOSE($H34,SUMPRODUCT($O35:$O$67*P35:P$67*($E35:$E$67=$D34)),IF(ISNUMBER(Data_2017!J34),100*ABS($G34-(Data_2017!J34-$K34)/$M34),0),IF(ISNUMBER(Data_2017!J34),100*ABS($G34-(Data_2017!J34-$K34)/$M34),0)))</f>
        <v>90</v>
      </c>
      <c r="Q34" s="100">
        <f>IF($H34=0,0,CHOOSE($H34,SUMPRODUCT($O35:$O$67*Q35:Q$67*($E35:$E$67=$D34)),IF(ISNUMBER(Data_2017!K34),100*ABS($G34-(Data_2017!K34-$K34)/$M34),0),IF(ISNUMBER(Data_2017!K34),100*ABS($G34-(Data_2017!K34-$K34)/$M34),0)))</f>
        <v>94</v>
      </c>
      <c r="R34" s="100">
        <f>IF($H34=0,0,CHOOSE($H34,SUMPRODUCT($O35:$O$67*R35:R$67*($E35:$E$67=$D34)),IF(ISNUMBER(Data_2017!L34),100*ABS($G34-(Data_2017!L34-$K34)/$M34),0),IF(ISNUMBER(Data_2017!L34),100*ABS($G34-(Data_2017!L34-$K34)/$M34),0)))</f>
        <v>72</v>
      </c>
      <c r="S34" s="100">
        <f>IF($H34=0,0,CHOOSE($H34,SUMPRODUCT($O35:$O$67*S35:S$67*($E35:$E$67=$D34)),IF(ISNUMBER(Data_2017!M34),100*ABS($G34-(Data_2017!M34-$K34)/$M34),0),IF(ISNUMBER(Data_2017!M34),100*ABS($G34-(Data_2017!M34-$K34)/$M34),0)))</f>
        <v>60.5</v>
      </c>
      <c r="T34" s="100">
        <f>IF($H34=0,0,CHOOSE($H34,SUMPRODUCT($O35:$O$67*T35:T$67*($E35:$E$67=$D34)),IF(ISNUMBER(Data_2017!N34),100*ABS($G34-(Data_2017!N34-$K34)/$M34),0),IF(ISNUMBER(Data_2017!N34),100*ABS($G34-(Data_2017!N34-$K34)/$M34),0)))</f>
        <v>96.5</v>
      </c>
      <c r="U34" s="100">
        <f>IF($H34=0,0,CHOOSE($H34,SUMPRODUCT($O35:$O$67*U35:U$67*($E35:$E$67=$D34)),IF(ISNUMBER(Data_2017!O34),100*ABS($G34-(Data_2017!O34-$K34)/$M34),0),IF(ISNUMBER(Data_2017!O34),100*ABS($G34-(Data_2017!O34-$K34)/$M34),0)))</f>
        <v>70.5</v>
      </c>
      <c r="V34" s="100">
        <f>IF($H34=0,0,CHOOSE($H34,SUMPRODUCT($O35:$O$67*V35:V$67*($E35:$E$67=$D34)),IF(ISNUMBER(Data_2017!P34),100*ABS($G34-(Data_2017!P34-$K34)/$M34),0),IF(ISNUMBER(Data_2017!P34),100*ABS($G34-(Data_2017!P34-$K34)/$M34),0)))</f>
        <v>63</v>
      </c>
      <c r="W34" s="100">
        <f>IF($H34=0,0,CHOOSE($H34,SUMPRODUCT($O35:$O$67*W35:W$67*($E35:$E$67=$D34)),IF(ISNUMBER(Data_2017!Q34),100*ABS($G34-(Data_2017!Q34-$K34)/$M34),0),IF(ISNUMBER(Data_2017!Q34),100*ABS($G34-(Data_2017!Q34-$K34)/$M34),0)))</f>
        <v>88.5</v>
      </c>
      <c r="X34" s="100">
        <f>IF($H34=0,0,CHOOSE($H34,SUMPRODUCT($O35:$O$67*X35:X$67*($E35:$E$67=$D34)),IF(ISNUMBER(Data_2017!R34),100*ABS($G34-(Data_2017!R34-$K34)/$M34),0),IF(ISNUMBER(Data_2017!R34),100*ABS($G34-(Data_2017!R34-$K34)/$M34),0)))</f>
        <v>87.5</v>
      </c>
      <c r="Y34" s="100">
        <f>IF($H34=0,0,CHOOSE($H34,SUMPRODUCT($O35:$O$67*Y35:Y$67*($E35:$E$67=$D34)),IF(ISNUMBER(Data_2017!S34),100*ABS($G34-(Data_2017!S34-$K34)/$M34),0),IF(ISNUMBER(Data_2017!S34),100*ABS($G34-(Data_2017!S34-$K34)/$M34),0)))</f>
        <v>57</v>
      </c>
      <c r="Z34" s="100">
        <f>IF($H34=0,0,CHOOSE($H34,SUMPRODUCT($O35:$O$67*Z35:Z$67*($E35:$E$67=$D34)),IF(ISNUMBER(Data_2017!T34),100*ABS($G34-(Data_2017!T34-$K34)/$M34),0),IF(ISNUMBER(Data_2017!T34),100*ABS($G34-(Data_2017!T34-$K34)/$M34),0)))</f>
        <v>38</v>
      </c>
      <c r="AA34" s="100">
        <f>IF($H34=0,0,CHOOSE($H34,SUMPRODUCT($O35:$O$67*AA35:AA$67*($E35:$E$67=$D34)),IF(ISNUMBER(Data_2017!U34),100*ABS($G34-(Data_2017!U34-$K34)/$M34),0),IF(ISNUMBER(Data_2017!U34),100*ABS($G34-(Data_2017!U34-$K34)/$M34),0)))</f>
        <v>51.5</v>
      </c>
      <c r="AB34" s="100">
        <f>IF($H34=0,0,CHOOSE($H34,SUMPRODUCT($O35:$O$67*AB35:AB$67*($E35:$E$67=$D34)),IF(ISNUMBER(Data_2017!V34),100*ABS($G34-(Data_2017!V34-$K34)/$M34),0),IF(ISNUMBER(Data_2017!V34),100*ABS($G34-(Data_2017!V34-$K34)/$M34),0)))</f>
        <v>90.5</v>
      </c>
      <c r="AC34" s="100">
        <f>IF($H34=0,0,CHOOSE($H34,SUMPRODUCT($O35:$O$67*AC35:AC$67*($E35:$E$67=$D34)),IF(ISNUMBER(Data_2017!W34),100*ABS($G34-(Data_2017!W34-$K34)/$M34),0),IF(ISNUMBER(Data_2017!W34),100*ABS($G34-(Data_2017!W34-$K34)/$M34),0)))</f>
        <v>80.5</v>
      </c>
      <c r="AD34" s="100">
        <f>IF($H34=0,0,CHOOSE($H34,SUMPRODUCT($O35:$O$67*AD35:AD$67*($E35:$E$67=$D34)),IF(ISNUMBER(Data_2017!X34),100*ABS($G34-(Data_2017!X34-$K34)/$M34),0),IF(ISNUMBER(Data_2017!X34),100*ABS($G34-(Data_2017!X34-$K34)/$M34),0)))</f>
        <v>37.5</v>
      </c>
      <c r="AE34" s="100">
        <f>IF($H34=0,0,CHOOSE($H34,SUMPRODUCT($O35:$O$67*AE35:AE$67*($E35:$E$67=$D34)),IF(ISNUMBER(Data_2017!Y34),100*ABS($G34-(Data_2017!Y34-$K34)/$M34),0),IF(ISNUMBER(Data_2017!Y34),100*ABS($G34-(Data_2017!Y34-$K34)/$M34),0)))</f>
        <v>21</v>
      </c>
      <c r="AF34" s="100">
        <f>IF($H34=0,0,CHOOSE($H34,SUMPRODUCT($O35:$O$67*AF35:AF$67*($E35:$E$67=$D34)),IF(ISNUMBER(Data_2017!Z34),100*ABS($G34-(Data_2017!Z34-$K34)/$M34),0),IF(ISNUMBER(Data_2017!Z34),100*ABS($G34-(Data_2017!Z34-$K34)/$M34),0)))</f>
        <v>75.5</v>
      </c>
      <c r="AG34" s="100">
        <f>IF($H34=0,0,CHOOSE($H34,SUMPRODUCT($O35:$O$67*AG35:AG$67*($E35:$E$67=$D34)),IF(ISNUMBER(Data_2017!AA34),100*ABS($G34-(Data_2017!AA34-$K34)/$M34),0),IF(ISNUMBER(Data_2017!AA34),100*ABS($G34-(Data_2017!AA34-$K34)/$M34),0)))</f>
        <v>95</v>
      </c>
      <c r="AH34" s="100">
        <f>IF($H34=0,0,CHOOSE($H34,SUMPRODUCT($O35:$O$67*AH35:AH$67*($E35:$E$67=$D34)),IF(ISNUMBER(Data_2017!AB34),100*ABS($G34-(Data_2017!AB34-$K34)/$M34),0),IF(ISNUMBER(Data_2017!AB34),100*ABS($G34-(Data_2017!AB34-$K34)/$M34),0)))</f>
        <v>43</v>
      </c>
      <c r="AI34" s="100">
        <f>IF($H34=0,0,CHOOSE($H34,SUMPRODUCT($O35:$O$67*AI35:AI$67*($E35:$E$67=$D34)),IF(ISNUMBER(Data_2017!AC34),100*ABS($G34-(Data_2017!AC34-$K34)/$M34),0),IF(ISNUMBER(Data_2017!AC34),100*ABS($G34-(Data_2017!AC34-$K34)/$M34),0)))</f>
        <v>95.5</v>
      </c>
      <c r="AJ34" s="100">
        <f>IF($H34=0,0,CHOOSE($H34,SUMPRODUCT($O35:$O$67*AJ35:AJ$67*($E35:$E$67=$D34)),IF(ISNUMBER(Data_2017!AD34),100*ABS($G34-(Data_2017!AD34-$K34)/$M34),0),IF(ISNUMBER(Data_2017!AD34),100*ABS($G34-(Data_2017!AD34-$K34)/$M34),0)))</f>
        <v>66</v>
      </c>
      <c r="AK34" s="100">
        <f>IF($H34=0,0,CHOOSE($H34,SUMPRODUCT($O35:$O$67*AK35:AK$67*($E35:$E$67=$D34)),IF(ISNUMBER(Data_2017!AE34),100*ABS($G34-(Data_2017!AE34-$K34)/$M34),0),IF(ISNUMBER(Data_2017!AE34),100*ABS($G34-(Data_2017!AE34-$K34)/$M34),0)))</f>
        <v>43</v>
      </c>
      <c r="AL34" s="100">
        <f>IF($H34=0,0,CHOOSE($H34,SUMPRODUCT($O35:$O$67*AL35:AL$67*($E35:$E$67=$D34)),IF(ISNUMBER(Data_2017!AF34),100*ABS($G34-(Data_2017!AF34-$K34)/$M34),0),IF(ISNUMBER(Data_2017!AF34),100*ABS($G34-(Data_2017!AF34-$K34)/$M34),0)))</f>
        <v>47</v>
      </c>
      <c r="AM34" s="100">
        <f>IF($H34=0,0,CHOOSE($H34,SUMPRODUCT($O35:$O$67*AM35:AM$67*($E35:$E$67=$D34)),IF(ISNUMBER(Data_2017!AG34),100*ABS($G34-(Data_2017!AG34-$K34)/$M34),0),IF(ISNUMBER(Data_2017!AG34),100*ABS($G34-(Data_2017!AG34-$K34)/$M34),0)))</f>
        <v>52</v>
      </c>
      <c r="AN34" s="100">
        <f>IF($H34=0,0,CHOOSE($H34,SUMPRODUCT($O35:$O$67*AN35:AN$67*($E35:$E$67=$D34)),IF(ISNUMBER(Data_2017!AH34),100*ABS($G34-(Data_2017!AH34-$K34)/$M34),0),IF(ISNUMBER(Data_2017!AH34),100*ABS($G34-(Data_2017!AH34-$K34)/$M34),0)))</f>
        <v>26</v>
      </c>
      <c r="AO34" s="100">
        <f>IF($H34=0,0,CHOOSE($H34,SUMPRODUCT($O35:$O$67*AO35:AO$67*($E35:$E$67=$D34)),IF(ISNUMBER(Data_2017!AI34),100*ABS($G34-(Data_2017!AI34-$K34)/$M34),0),IF(ISNUMBER(Data_2017!AI34),100*ABS($G34-(Data_2017!AI34-$K34)/$M34),0)))</f>
        <v>70</v>
      </c>
      <c r="AP34" s="100">
        <f>IF($H34=0,0,CHOOSE($H34,SUMPRODUCT($O35:$O$67*AP35:AP$67*($E35:$E$67=$D34)),IF(ISNUMBER(Data_2017!AJ34),100*ABS($G34-(Data_2017!AJ34-$K34)/$M34),0),IF(ISNUMBER(Data_2017!AJ34),100*ABS($G34-(Data_2017!AJ34-$K34)/$M34),0)))</f>
        <v>72.5</v>
      </c>
      <c r="AQ34" s="100">
        <f>IF($H34=0,0,CHOOSE($H34,SUMPRODUCT($O35:$O$67*AQ35:AQ$67*($E35:$E$67=$D34)),IF(ISNUMBER(Data_2017!AK34),100*ABS($G34-(Data_2017!AK34-$K34)/$M34),0),IF(ISNUMBER(Data_2017!AK34),100*ABS($G34-(Data_2017!AK34-$K34)/$M34),0)))</f>
        <v>57.5</v>
      </c>
      <c r="AR34" s="100">
        <f>IF($H34=0,0,CHOOSE($H34,SUMPRODUCT($O35:$O$67*AR35:AR$67*($E35:$E$67=$D34)),IF(ISNUMBER(Data_2017!AL34),100*ABS($G34-(Data_2017!AL34-$K34)/$M34),0),IF(ISNUMBER(Data_2017!AL34),100*ABS($G34-(Data_2017!AL34-$K34)/$M34),0)))</f>
        <v>92.5</v>
      </c>
      <c r="AS34" s="100">
        <f>IF($H34=0,0,CHOOSE($H34,SUMPRODUCT($O35:$O$67*AS35:AS$67*($E35:$E$67=$D34)),IF(ISNUMBER(Data_2017!AM34),100*ABS($G34-(Data_2017!AM34-$K34)/$M34),0),IF(ISNUMBER(Data_2017!AM34),100*ABS($G34-(Data_2017!AM34-$K34)/$M34),0)))</f>
        <v>90.5</v>
      </c>
      <c r="AT34" s="100">
        <f>IF($H34=0,0,CHOOSE($H34,SUMPRODUCT($O35:$O$67*AT35:AT$67*($E35:$E$67=$D34)),IF(ISNUMBER(Data_2017!AN34),100*ABS($G34-(Data_2017!AN34-$K34)/$M34),0),IF(ISNUMBER(Data_2017!AN34),100*ABS($G34-(Data_2017!AN34-$K34)/$M34),0)))</f>
        <v>96.5</v>
      </c>
      <c r="AU34" s="100">
        <f>IF($H34=0,0,CHOOSE($H34,SUMPRODUCT($O35:$O$67*AU35:AU$67*($E35:$E$67=$D34)),IF(ISNUMBER(Data_2017!AO34),100*ABS($G34-(Data_2017!AO34-$K34)/$M34),0),IF(ISNUMBER(Data_2017!AO34),100*ABS($G34-(Data_2017!AO34-$K34)/$M34),0)))</f>
        <v>48.5</v>
      </c>
      <c r="AV34" s="100">
        <f>IF($H34=0,0,CHOOSE($H34,SUMPRODUCT($O35:$O$67*AV35:AV$67*($E35:$E$67=$D34)),IF(ISNUMBER(Data_2017!AP34),100*ABS($G34-(Data_2017!AP34-$K34)/$M34),0),IF(ISNUMBER(Data_2017!AP34),100*ABS($G34-(Data_2017!AP34-$K34)/$M34),0)))</f>
        <v>95.5</v>
      </c>
      <c r="AW34" s="100">
        <f>IF($H34=0,0,CHOOSE($H34,SUMPRODUCT($O35:$O$67*AW35:AW$67*($E35:$E$67=$D34)),IF(ISNUMBER(Data_2017!AQ34),100*ABS($G34-(Data_2017!AQ34-$K34)/$M34),0),IF(ISNUMBER(Data_2017!AQ34),100*ABS($G34-(Data_2017!AQ34-$K34)/$M34),0)))</f>
        <v>63.5</v>
      </c>
      <c r="AX34" s="100">
        <f>IF($H34=0,0,CHOOSE($H34,SUMPRODUCT($O35:$O$67*AX35:AX$67*($E35:$E$67=$D34)),IF(ISNUMBER(Data_2017!AR34),100*ABS($G34-(Data_2017!AR34-$K34)/$M34),0),IF(ISNUMBER(Data_2017!AR34),100*ABS($G34-(Data_2017!AR34-$K34)/$M34),0)))</f>
        <v>89.5</v>
      </c>
      <c r="AY34" s="100">
        <f>IF($H34=0,0,CHOOSE($H34,SUMPRODUCT($O35:$O$67*AY35:AY$67*($E35:$E$67=$D34)),IF(ISNUMBER(Data_2017!AS34),100*ABS($G34-(Data_2017!AS34-$K34)/$M34),0),IF(ISNUMBER(Data_2017!AS34),100*ABS($G34-(Data_2017!AS34-$K34)/$M34),0)))</f>
        <v>83.5</v>
      </c>
      <c r="AZ34" s="100">
        <f>IF($H34=0,0,CHOOSE($H34,SUMPRODUCT($O35:$O$67*AZ35:AZ$67*($E35:$E$67=$D34)),IF(ISNUMBER(Data_2017!AT34),100*ABS($G34-(Data_2017!AT34-$K34)/$M34),0),IF(ISNUMBER(Data_2017!AT34),100*ABS($G34-(Data_2017!AT34-$K34)/$M34),0)))</f>
        <v>32.5</v>
      </c>
      <c r="BA34" s="100">
        <f>IF($H34=0,0,CHOOSE($H34,SUMPRODUCT($O35:$O$67*BA35:BA$67*($E35:$E$67=$D34)),IF(ISNUMBER(Data_2017!AU34),100*ABS($G34-(Data_2017!AU34-$K34)/$M34),0),IF(ISNUMBER(Data_2017!AU34),100*ABS($G34-(Data_2017!AU34-$K34)/$M34),0)))</f>
        <v>90.5</v>
      </c>
      <c r="BB34" s="100">
        <f>IF($H34=0,0,CHOOSE($H34,SUMPRODUCT($O35:$O$67*BB35:BB$67*($E35:$E$67=$D34)),IF(ISNUMBER(Data_2017!AV34),100*ABS($G34-(Data_2017!AV34-$K34)/$M34),0),IF(ISNUMBER(Data_2017!AV34),100*ABS($G34-(Data_2017!AV34-$K34)/$M34),0)))</f>
        <v>96.5</v>
      </c>
      <c r="BC34" s="100">
        <f>IF($H34=0,0,CHOOSE($H34,SUMPRODUCT($O35:$O$67*BC35:BC$67*($E35:$E$67=$D34)),IF(ISNUMBER(Data_2017!AW34),100*ABS($G34-(Data_2017!AW34-$K34)/$M34),0),IF(ISNUMBER(Data_2017!AW34),100*ABS($G34-(Data_2017!AW34-$K34)/$M34),0)))</f>
        <v>92.5</v>
      </c>
      <c r="BD34" s="100">
        <f>IF($H34=0,0,CHOOSE($H34,SUMPRODUCT($O35:$O$67*BD35:BD$67*($E35:$E$67=$D34)),IF(ISNUMBER(Data_2017!AX34),100*ABS($G34-(Data_2017!AX34-$K34)/$M34),0),IF(ISNUMBER(Data_2017!AX34),100*ABS($G34-(Data_2017!AX34-$K34)/$M34),0)))</f>
        <v>41</v>
      </c>
      <c r="BE34" s="100">
        <f>IF($H34=0,0,CHOOSE($H34,SUMPRODUCT($O35:$O$67*BE35:BE$67*($E35:$E$67=$D34)),IF(ISNUMBER(Data_2017!AY34),100*ABS($G34-(Data_2017!AY34-$K34)/$M34),0),IF(ISNUMBER(Data_2017!AY34),100*ABS($G34-(Data_2017!AY34-$K34)/$M34),0)))</f>
        <v>79</v>
      </c>
      <c r="BF34" s="100">
        <f>IF($H34=0,0,CHOOSE($H34,SUMPRODUCT($O35:$O$67*BF35:BF$67*($E35:$E$67=$D34)),IF(ISNUMBER(Data_2017!AZ34),100*ABS($G34-(Data_2017!AZ34-$K34)/$M34),0),IF(ISNUMBER(Data_2017!AZ34),100*ABS($G34-(Data_2017!AZ34-$K34)/$M34),0)))</f>
        <v>37</v>
      </c>
      <c r="BG34" s="100">
        <f>IF($H34=0,0,CHOOSE($H34,SUMPRODUCT($O35:$O$67*BG35:BG$67*($E35:$E$67=$D34)),IF(ISNUMBER(Data_2017!BA34),100*ABS($G34-(Data_2017!BA34-$K34)/$M34),0),IF(ISNUMBER(Data_2017!BA34),100*ABS($G34-(Data_2017!BA34-$K34)/$M34),0)))</f>
        <v>94.5</v>
      </c>
      <c r="BH34" s="100">
        <f>IF($H34=0,0,CHOOSE($H34,SUMPRODUCT($O35:$O$67*BH35:BH$67*($E35:$E$67=$D34)),IF(ISNUMBER(Data_2017!BB34),100*ABS($G34-(Data_2017!BB34-$K34)/$M34),0),IF(ISNUMBER(Data_2017!BB34),100*ABS($G34-(Data_2017!BB34-$K34)/$M34),0)))</f>
        <v>90.5</v>
      </c>
      <c r="BI34" s="100">
        <f>IF($H34=0,0,CHOOSE($H34,SUMPRODUCT($O35:$O$67*BI35:BI$67*($E35:$E$67=$D34)),IF(ISNUMBER(Data_2017!BC34),100*ABS($G34-(Data_2017!BC34-$K34)/$M34),0),IF(ISNUMBER(Data_2017!BC34),100*ABS($G34-(Data_2017!BC34-$K34)/$M34),0)))</f>
        <v>84</v>
      </c>
      <c r="BJ34" s="100">
        <f>IF($H34=0,0,CHOOSE($H34,SUMPRODUCT($O35:$O$67*BJ35:BJ$67*($E35:$E$67=$D34)),IF(ISNUMBER(Data_2017!BD34),100*ABS($G34-(Data_2017!BD34-$K34)/$M34),0),IF(ISNUMBER(Data_2017!BD34),100*ABS($G34-(Data_2017!BD34-$K34)/$M34),0)))</f>
        <v>79</v>
      </c>
      <c r="BK34" s="100">
        <f>IF($H34=0,0,CHOOSE($H34,SUMPRODUCT($O35:$O$67*BK35:BK$67*($E35:$E$67=$D34)),IF(ISNUMBER(Data_2017!BE34),100*ABS($G34-(Data_2017!BE34-$K34)/$M34),0),IF(ISNUMBER(Data_2017!BE34),100*ABS($G34-(Data_2017!BE34-$K34)/$M34),0)))</f>
        <v>89.5</v>
      </c>
      <c r="BL34" s="100">
        <f>IF($H34=0,0,CHOOSE($H34,SUMPRODUCT($O35:$O$67*BL35:BL$67*($E35:$E$67=$D34)),IF(ISNUMBER(Data_2017!BF34),100*ABS($G34-(Data_2017!BF34-$K34)/$M34),0),IF(ISNUMBER(Data_2017!BF34),100*ABS($G34-(Data_2017!BF34-$K34)/$M34),0)))</f>
        <v>70.5</v>
      </c>
      <c r="BM34" s="100">
        <f>IF($H34=0,0,CHOOSE($H34,SUMPRODUCT($O35:$O$67*BM35:BM$67*($E35:$E$67=$D34)),IF(ISNUMBER(Data_2017!BG34),100*ABS($G34-(Data_2017!BG34-$K34)/$M34),0),IF(ISNUMBER(Data_2017!BG34),100*ABS($G34-(Data_2017!BG34-$K34)/$M34),0)))</f>
        <v>96.5</v>
      </c>
      <c r="BN34" s="100">
        <f>IF($H34=0,0,CHOOSE($H34,SUMPRODUCT($O35:$O$67*BN35:BN$67*($E35:$E$67=$D34)),IF(ISNUMBER(Data_2017!BH34),100*ABS($G34-(Data_2017!BH34-$K34)/$M34),0),IF(ISNUMBER(Data_2017!BH34),100*ABS($G34-(Data_2017!BH34-$K34)/$M34),0)))</f>
        <v>95</v>
      </c>
      <c r="BO34" s="100">
        <f>IF($H34=0,0,CHOOSE($H34,SUMPRODUCT($O35:$O$67*BO35:BO$67*($E35:$E$67=$D34)),IF(ISNUMBER(Data_2017!BI34),100*ABS($G34-(Data_2017!BI34-$K34)/$M34),0),IF(ISNUMBER(Data_2017!BI34),100*ABS($G34-(Data_2017!BI34-$K34)/$M34),0)))</f>
        <v>95.5</v>
      </c>
      <c r="BP34" s="100">
        <f>IF($H34=0,0,CHOOSE($H34,SUMPRODUCT($O35:$O$67*BP35:BP$67*($E35:$E$67=$D34)),IF(ISNUMBER(Data_2017!BJ34),100*ABS($G34-(Data_2017!BJ34-$K34)/$M34),0),IF(ISNUMBER(Data_2017!BJ34),100*ABS($G34-(Data_2017!BJ34-$K34)/$M34),0)))</f>
        <v>80.5</v>
      </c>
      <c r="BQ34" s="100">
        <f>IF($H34=0,0,CHOOSE($H34,SUMPRODUCT($O35:$O$67*BQ35:BQ$67*($E35:$E$67=$D34)),IF(ISNUMBER(Data_2017!BK34),100*ABS($G34-(Data_2017!BK34-$K34)/$M34),0),IF(ISNUMBER(Data_2017!BK34),100*ABS($G34-(Data_2017!BK34-$K34)/$M34),0)))</f>
        <v>68.5</v>
      </c>
      <c r="BR34" s="100">
        <f>IF($H34=0,0,CHOOSE($H34,SUMPRODUCT($O35:$O$67*BR35:BR$67*($E35:$E$67=$D34)),IF(ISNUMBER(Data_2017!BL34),100*ABS($G34-(Data_2017!BL34-$K34)/$M34),0),IF(ISNUMBER(Data_2017!BL34),100*ABS($G34-(Data_2017!BL34-$K34)/$M34),0)))</f>
        <v>96.5</v>
      </c>
      <c r="BS34" s="100">
        <f>IF($H34=0,0,CHOOSE($H34,SUMPRODUCT($O35:$O$67*BS35:BS$67*($E35:$E$67=$D34)),IF(ISNUMBER(Data_2017!BM34),100*ABS($G34-(Data_2017!BM34-$K34)/$M34),0),IF(ISNUMBER(Data_2017!BM34),100*ABS($G34-(Data_2017!BM34-$K34)/$M34),0)))</f>
        <v>90.5</v>
      </c>
      <c r="BT34" s="100">
        <f>IF($H34=0,0,CHOOSE($H34,SUMPRODUCT($O35:$O$67*BT35:BT$67*($E35:$E$67=$D34)),IF(ISNUMBER(Data_2017!BN34),100*ABS($G34-(Data_2017!BN34-$K34)/$M34),0),IF(ISNUMBER(Data_2017!BN34),100*ABS($G34-(Data_2017!BN34-$K34)/$M34),0)))</f>
        <v>90.5</v>
      </c>
      <c r="BU34" s="100">
        <f>IF($H34=0,0,CHOOSE($H34,SUMPRODUCT($O35:$O$67*BU35:BU$67*($E35:$E$67=$D34)),IF(ISNUMBER(Data_2017!BO34),100*ABS($G34-(Data_2017!BO34-$K34)/$M34),0),IF(ISNUMBER(Data_2017!BO34),100*ABS($G34-(Data_2017!BO34-$K34)/$M34),0)))</f>
        <v>97.5</v>
      </c>
      <c r="BV34" s="100">
        <f>IF($H34=0,0,CHOOSE($H34,SUMPRODUCT($O35:$O$67*BV35:BV$67*($E35:$E$67=$D34)),IF(ISNUMBER(Data_2017!BP34),100*ABS($G34-(Data_2017!BP34-$K34)/$M34),0),IF(ISNUMBER(Data_2017!BP34),100*ABS($G34-(Data_2017!BP34-$K34)/$M34),0)))</f>
        <v>30</v>
      </c>
      <c r="BW34" s="100">
        <f>IF($H34=0,0,CHOOSE($H34,SUMPRODUCT($O35:$O$67*BW35:BW$67*($E35:$E$67=$D34)),IF(ISNUMBER(Data_2017!BQ34),100*ABS($G34-(Data_2017!BQ34-$K34)/$M34),0),IF(ISNUMBER(Data_2017!BQ34),100*ABS($G34-(Data_2017!BQ34-$K34)/$M34),0)))</f>
        <v>95</v>
      </c>
      <c r="BX34" s="100">
        <f>IF($H34=0,0,CHOOSE($H34,SUMPRODUCT($O35:$O$67*BX35:BX$67*($E35:$E$67=$D34)),IF(ISNUMBER(Data_2017!BR34),100*ABS($G34-(Data_2017!BR34-$K34)/$M34),0),IF(ISNUMBER(Data_2017!BR34),100*ABS($G34-(Data_2017!BR34-$K34)/$M34),0)))</f>
        <v>96.5</v>
      </c>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row>
    <row r="35" s="69" customFormat="1" ht="24.95" customHeight="1" spans="1:130">
      <c r="A35" s="92"/>
      <c r="B35" s="92">
        <f>tblIndicators!A31</f>
        <v>30</v>
      </c>
      <c r="C35" s="92">
        <f>tblIndicators!B31</f>
        <v>0</v>
      </c>
      <c r="D35" s="92" t="str">
        <f>tblIndicators!D31</f>
        <v>INSE3.1.1</v>
      </c>
      <c r="E35" s="92" t="str">
        <f>tblIndicators!E31</f>
        <v>INSE3.1</v>
      </c>
      <c r="F35" s="92">
        <f>tblIndicators!F31</f>
        <v>3</v>
      </c>
      <c r="G35" s="92">
        <f>tblIndicators!Y31</f>
        <v>0</v>
      </c>
      <c r="H35" s="92">
        <f>tblIndicators!Z31</f>
        <v>3</v>
      </c>
      <c r="I35" s="104">
        <f>tblIndicators!AA31</f>
        <v>0</v>
      </c>
      <c r="J35" s="92">
        <f>tblIndicators!AB31</f>
        <v>10</v>
      </c>
      <c r="K35" s="89">
        <f>IF(uxb_works!$B$66=1,CHOOSE(H35,"-",MIN(Data_2017!J35:BR35),I35),CHOOSE(H35,"-",MIN(Data_2017!J35:BQ35),I35))</f>
        <v>0</v>
      </c>
      <c r="L35" s="97">
        <f>IF(uxb_works!$B$66=1,CHOOSE(H35,"-",MAX(Data_2017!J35:BR35),J35),CHOOSE(H35,"-",MAX(Data_2017!J35:BQ35),J35))</f>
        <v>10</v>
      </c>
      <c r="M35" s="92">
        <f t="shared" si="1"/>
        <v>10</v>
      </c>
      <c r="N35" s="105" t="str">
        <f>REPT(" ",F35)&amp;tblIndicators!AE31</f>
        <v>   3.1.1) Enforcement of transport safety</v>
      </c>
      <c r="O35" s="106">
        <f>tblIndicators!AD31</f>
        <v>0.2</v>
      </c>
      <c r="P35" s="100">
        <f>IF($H35=0,0,CHOOSE($H35,SUMPRODUCT($O36:$O$67*P36:P$67*($E36:$E$67=$D35)),IF(ISNUMBER(Data_2017!J35),100*ABS($G35-(Data_2017!J35-$K35)/$M35),0),IF(ISNUMBER(Data_2017!J35),100*ABS($G35-(Data_2017!J35-$K35)/$M35),0)))</f>
        <v>100</v>
      </c>
      <c r="Q35" s="100">
        <f>IF($H35=0,0,CHOOSE($H35,SUMPRODUCT($O36:$O$67*Q36:Q$67*($E36:$E$67=$D35)),IF(ISNUMBER(Data_2017!K35),100*ABS($G35-(Data_2017!K35-$K35)/$M35),0),IF(ISNUMBER(Data_2017!K35),100*ABS($G35-(Data_2017!K35-$K35)/$M35),0)))</f>
        <v>70</v>
      </c>
      <c r="R35" s="100">
        <f>IF($H35=0,0,CHOOSE($H35,SUMPRODUCT($O36:$O$67*R36:R$67*($E36:$E$67=$D35)),IF(ISNUMBER(Data_2017!L35),100*ABS($G35-(Data_2017!L35-$K35)/$M35),0),IF(ISNUMBER(Data_2017!L35),100*ABS($G35-(Data_2017!L35-$K35)/$M35),0)))</f>
        <v>60</v>
      </c>
      <c r="S35" s="100">
        <f>IF($H35=0,0,CHOOSE($H35,SUMPRODUCT($O36:$O$67*S36:S$67*($E36:$E$67=$D35)),IF(ISNUMBER(Data_2017!M35),100*ABS($G35-(Data_2017!M35-$K35)/$M35),0),IF(ISNUMBER(Data_2017!M35),100*ABS($G35-(Data_2017!M35-$K35)/$M35),0)))</f>
        <v>52.5</v>
      </c>
      <c r="T35" s="100">
        <f>IF($H35=0,0,CHOOSE($H35,SUMPRODUCT($O36:$O$67*T36:T$67*($E36:$E$67=$D35)),IF(ISNUMBER(Data_2017!N35),100*ABS($G35-(Data_2017!N35-$K35)/$M35),0),IF(ISNUMBER(Data_2017!N35),100*ABS($G35-(Data_2017!N35-$K35)/$M35),0)))</f>
        <v>82.5</v>
      </c>
      <c r="U35" s="100">
        <f>IF($H35=0,0,CHOOSE($H35,SUMPRODUCT($O36:$O$67*U36:U$67*($E36:$E$67=$D35)),IF(ISNUMBER(Data_2017!O35),100*ABS($G35-(Data_2017!O35-$K35)/$M35),0),IF(ISNUMBER(Data_2017!O35),100*ABS($G35-(Data_2017!O35-$K35)/$M35),0)))</f>
        <v>77.5</v>
      </c>
      <c r="V35" s="100">
        <f>IF($H35=0,0,CHOOSE($H35,SUMPRODUCT($O36:$O$67*V36:V$67*($E36:$E$67=$D35)),IF(ISNUMBER(Data_2017!P35),100*ABS($G35-(Data_2017!P35-$K35)/$M35),0),IF(ISNUMBER(Data_2017!P35),100*ABS($G35-(Data_2017!P35-$K35)/$M35),0)))</f>
        <v>40</v>
      </c>
      <c r="W35" s="100">
        <f>IF($H35=0,0,CHOOSE($H35,SUMPRODUCT($O36:$O$67*W36:W$67*($E36:$E$67=$D35)),IF(ISNUMBER(Data_2017!Q35),100*ABS($G35-(Data_2017!Q35-$K35)/$M35),0),IF(ISNUMBER(Data_2017!Q35),100*ABS($G35-(Data_2017!Q35-$K35)/$M35),0)))</f>
        <v>67.5</v>
      </c>
      <c r="X35" s="100">
        <f>IF($H35=0,0,CHOOSE($H35,SUMPRODUCT($O36:$O$67*X36:X$67*($E36:$E$67=$D35)),IF(ISNUMBER(Data_2017!R35),100*ABS($G35-(Data_2017!R35-$K35)/$M35),0),IF(ISNUMBER(Data_2017!R35),100*ABS($G35-(Data_2017!R35-$K35)/$M35),0)))</f>
        <v>62.5</v>
      </c>
      <c r="Y35" s="100">
        <f>IF($H35=0,0,CHOOSE($H35,SUMPRODUCT($O36:$O$67*Y36:Y$67*($E36:$E$67=$D35)),IF(ISNUMBER(Data_2017!S35),100*ABS($G35-(Data_2017!S35-$K35)/$M35),0),IF(ISNUMBER(Data_2017!S35),100*ABS($G35-(Data_2017!S35-$K35)/$M35),0)))</f>
        <v>60</v>
      </c>
      <c r="Z35" s="100">
        <f>IF($H35=0,0,CHOOSE($H35,SUMPRODUCT($O36:$O$67*Z36:Z$67*($E36:$E$67=$D35)),IF(ISNUMBER(Data_2017!T35),100*ABS($G35-(Data_2017!T35-$K35)/$M35),0),IF(ISNUMBER(Data_2017!T35),100*ABS($G35-(Data_2017!T35-$K35)/$M35),0)))</f>
        <v>40</v>
      </c>
      <c r="AA35" s="100">
        <f>IF($H35=0,0,CHOOSE($H35,SUMPRODUCT($O36:$O$67*AA36:AA$67*($E36:$E$67=$D35)),IF(ISNUMBER(Data_2017!U35),100*ABS($G35-(Data_2017!U35-$K35)/$M35),0),IF(ISNUMBER(Data_2017!U35),100*ABS($G35-(Data_2017!U35-$K35)/$M35),0)))</f>
        <v>57.5</v>
      </c>
      <c r="AB35" s="100">
        <f>IF($H35=0,0,CHOOSE($H35,SUMPRODUCT($O36:$O$67*AB36:AB$67*($E36:$E$67=$D35)),IF(ISNUMBER(Data_2017!V35),100*ABS($G35-(Data_2017!V35-$K35)/$M35),0),IF(ISNUMBER(Data_2017!V35),100*ABS($G35-(Data_2017!V35-$K35)/$M35),0)))</f>
        <v>77.5</v>
      </c>
      <c r="AC35" s="100">
        <f>IF($H35=0,0,CHOOSE($H35,SUMPRODUCT($O36:$O$67*AC36:AC$67*($E36:$E$67=$D35)),IF(ISNUMBER(Data_2017!W35),100*ABS($G35-(Data_2017!W35-$K35)/$M35),0),IF(ISNUMBER(Data_2017!W35),100*ABS($G35-(Data_2017!W35-$K35)/$M35),0)))</f>
        <v>77.5</v>
      </c>
      <c r="AD35" s="100">
        <f>IF($H35=0,0,CHOOSE($H35,SUMPRODUCT($O36:$O$67*AD36:AD$67*($E36:$E$67=$D35)),IF(ISNUMBER(Data_2017!X35),100*ABS($G35-(Data_2017!X35-$K35)/$M35),0),IF(ISNUMBER(Data_2017!X35),100*ABS($G35-(Data_2017!X35-$K35)/$M35),0)))</f>
        <v>37.5</v>
      </c>
      <c r="AE35" s="100">
        <f>IF($H35=0,0,CHOOSE($H35,SUMPRODUCT($O36:$O$67*AE36:AE$67*($E36:$E$67=$D35)),IF(ISNUMBER(Data_2017!Y35),100*ABS($G35-(Data_2017!Y35-$K35)/$M35),0),IF(ISNUMBER(Data_2017!Y35),100*ABS($G35-(Data_2017!Y35-$K35)/$M35),0)))</f>
        <v>30</v>
      </c>
      <c r="AF35" s="100">
        <f>IF($H35=0,0,CHOOSE($H35,SUMPRODUCT($O36:$O$67*AF36:AF$67*($E36:$E$67=$D35)),IF(ISNUMBER(Data_2017!Z35),100*ABS($G35-(Data_2017!Z35-$K35)/$M35),0),IF(ISNUMBER(Data_2017!Z35),100*ABS($G35-(Data_2017!Z35-$K35)/$M35),0)))</f>
        <v>77.5</v>
      </c>
      <c r="AG35" s="100">
        <f>IF($H35=0,0,CHOOSE($H35,SUMPRODUCT($O36:$O$67*AG36:AG$67*($E36:$E$67=$D35)),IF(ISNUMBER(Data_2017!AA35),100*ABS($G35-(Data_2017!AA35-$K35)/$M35),0),IF(ISNUMBER(Data_2017!AA35),100*ABS($G35-(Data_2017!AA35-$K35)/$M35),0)))</f>
        <v>75</v>
      </c>
      <c r="AH35" s="100">
        <f>IF($H35=0,0,CHOOSE($H35,SUMPRODUCT($O36:$O$67*AH36:AH$67*($E36:$E$67=$D35)),IF(ISNUMBER(Data_2017!AB35),100*ABS($G35-(Data_2017!AB35-$K35)/$M35),0),IF(ISNUMBER(Data_2017!AB35),100*ABS($G35-(Data_2017!AB35-$K35)/$M35),0)))</f>
        <v>65</v>
      </c>
      <c r="AI35" s="100">
        <f>IF($H35=0,0,CHOOSE($H35,SUMPRODUCT($O36:$O$67*AI36:AI$67*($E36:$E$67=$D35)),IF(ISNUMBER(Data_2017!AC35),100*ABS($G35-(Data_2017!AC35-$K35)/$M35),0),IF(ISNUMBER(Data_2017!AC35),100*ABS($G35-(Data_2017!AC35-$K35)/$M35),0)))</f>
        <v>77.5</v>
      </c>
      <c r="AJ35" s="100">
        <f>IF($H35=0,0,CHOOSE($H35,SUMPRODUCT($O36:$O$67*AJ36:AJ$67*($E36:$E$67=$D35)),IF(ISNUMBER(Data_2017!AD35),100*ABS($G35-(Data_2017!AD35-$K35)/$M35),0),IF(ISNUMBER(Data_2017!AD35),100*ABS($G35-(Data_2017!AD35-$K35)/$M35),0)))</f>
        <v>30</v>
      </c>
      <c r="AK35" s="100">
        <f>IF($H35=0,0,CHOOSE($H35,SUMPRODUCT($O36:$O$67*AK36:AK$67*($E36:$E$67=$D35)),IF(ISNUMBER(Data_2017!AE35),100*ABS($G35-(Data_2017!AE35-$K35)/$M35),0),IF(ISNUMBER(Data_2017!AE35),100*ABS($G35-(Data_2017!AE35-$K35)/$M35),0)))</f>
        <v>65</v>
      </c>
      <c r="AL35" s="100">
        <f>IF($H35=0,0,CHOOSE($H35,SUMPRODUCT($O36:$O$67*AL36:AL$67*($E36:$E$67=$D35)),IF(ISNUMBER(Data_2017!AF35),100*ABS($G35-(Data_2017!AF35-$K35)/$M35),0),IF(ISNUMBER(Data_2017!AF35),100*ABS($G35-(Data_2017!AF35-$K35)/$M35),0)))</f>
        <v>60</v>
      </c>
      <c r="AM35" s="100">
        <f>IF($H35=0,0,CHOOSE($H35,SUMPRODUCT($O36:$O$67*AM36:AM$67*($E36:$E$67=$D35)),IF(ISNUMBER(Data_2017!AG35),100*ABS($G35-(Data_2017!AG35-$K35)/$M35),0),IF(ISNUMBER(Data_2017!AG35),100*ABS($G35-(Data_2017!AG35-$K35)/$M35),0)))</f>
        <v>35</v>
      </c>
      <c r="AN35" s="100">
        <f>IF($H35=0,0,CHOOSE($H35,SUMPRODUCT($O36:$O$67*AN36:AN$67*($E36:$E$67=$D35)),IF(ISNUMBER(Data_2017!AH35),100*ABS($G35-(Data_2017!AH35-$K35)/$M35),0),IF(ISNUMBER(Data_2017!AH35),100*ABS($G35-(Data_2017!AH35-$K35)/$M35),0)))</f>
        <v>30</v>
      </c>
      <c r="AO35" s="100">
        <f>IF($H35=0,0,CHOOSE($H35,SUMPRODUCT($O36:$O$67*AO36:AO$67*($E36:$E$67=$D35)),IF(ISNUMBER(Data_2017!AI35),100*ABS($G35-(Data_2017!AI35-$K35)/$M35),0),IF(ISNUMBER(Data_2017!AI35),100*ABS($G35-(Data_2017!AI35-$K35)/$M35),0)))</f>
        <v>50</v>
      </c>
      <c r="AP35" s="100">
        <f>IF($H35=0,0,CHOOSE($H35,SUMPRODUCT($O36:$O$67*AP36:AP$67*($E36:$E$67=$D35)),IF(ISNUMBER(Data_2017!AJ35),100*ABS($G35-(Data_2017!AJ35-$K35)/$M35),0),IF(ISNUMBER(Data_2017!AJ35),100*ABS($G35-(Data_2017!AJ35-$K35)/$M35),0)))</f>
        <v>62.5</v>
      </c>
      <c r="AQ35" s="100">
        <f>IF($H35=0,0,CHOOSE($H35,SUMPRODUCT($O36:$O$67*AQ36:AQ$67*($E36:$E$67=$D35)),IF(ISNUMBER(Data_2017!AK35),100*ABS($G35-(Data_2017!AK35-$K35)/$M35),0),IF(ISNUMBER(Data_2017!AK35),100*ABS($G35-(Data_2017!AK35-$K35)/$M35),0)))</f>
        <v>37.5</v>
      </c>
      <c r="AR35" s="100">
        <f>IF($H35=0,0,CHOOSE($H35,SUMPRODUCT($O36:$O$67*AR36:AR$67*($E36:$E$67=$D35)),IF(ISNUMBER(Data_2017!AL35),100*ABS($G35-(Data_2017!AL35-$K35)/$M35),0),IF(ISNUMBER(Data_2017!AL35),100*ABS($G35-(Data_2017!AL35-$K35)/$M35),0)))</f>
        <v>87.5</v>
      </c>
      <c r="AS35" s="100">
        <f>IF($H35=0,0,CHOOSE($H35,SUMPRODUCT($O36:$O$67*AS36:AS$67*($E36:$E$67=$D35)),IF(ISNUMBER(Data_2017!AM35),100*ABS($G35-(Data_2017!AM35-$K35)/$M35),0),IF(ISNUMBER(Data_2017!AM35),100*ABS($G35-(Data_2017!AM35-$K35)/$M35),0)))</f>
        <v>77.5</v>
      </c>
      <c r="AT35" s="100">
        <f>IF($H35=0,0,CHOOSE($H35,SUMPRODUCT($O36:$O$67*AT36:AT$67*($E36:$E$67=$D35)),IF(ISNUMBER(Data_2017!AN35),100*ABS($G35-(Data_2017!AN35-$K35)/$M35),0),IF(ISNUMBER(Data_2017!AN35),100*ABS($G35-(Data_2017!AN35-$K35)/$M35),0)))</f>
        <v>82.5</v>
      </c>
      <c r="AU35" s="100">
        <f>IF($H35=0,0,CHOOSE($H35,SUMPRODUCT($O36:$O$67*AU36:AU$67*($E36:$E$67=$D35)),IF(ISNUMBER(Data_2017!AO35),100*ABS($G35-(Data_2017!AO35-$K35)/$M35),0),IF(ISNUMBER(Data_2017!AO35),100*ABS($G35-(Data_2017!AO35-$K35)/$M35),0)))</f>
        <v>42.5</v>
      </c>
      <c r="AV35" s="100">
        <f>IF($H35=0,0,CHOOSE($H35,SUMPRODUCT($O36:$O$67*AV36:AV$67*($E36:$E$67=$D35)),IF(ISNUMBER(Data_2017!AP35),100*ABS($G35-(Data_2017!AP35-$K35)/$M35),0),IF(ISNUMBER(Data_2017!AP35),100*ABS($G35-(Data_2017!AP35-$K35)/$M35),0)))</f>
        <v>77.5</v>
      </c>
      <c r="AW35" s="100">
        <f>IF($H35=0,0,CHOOSE($H35,SUMPRODUCT($O36:$O$67*AW36:AW$67*($E36:$E$67=$D35)),IF(ISNUMBER(Data_2017!AQ35),100*ABS($G35-(Data_2017!AQ35-$K35)/$M35),0),IF(ISNUMBER(Data_2017!AQ35),100*ABS($G35-(Data_2017!AQ35-$K35)/$M35),0)))</f>
        <v>42.5</v>
      </c>
      <c r="AX35" s="100">
        <f>IF($H35=0,0,CHOOSE($H35,SUMPRODUCT($O36:$O$67*AX36:AX$67*($E36:$E$67=$D35)),IF(ISNUMBER(Data_2017!AR35),100*ABS($G35-(Data_2017!AR35-$K35)/$M35),0),IF(ISNUMBER(Data_2017!AR35),100*ABS($G35-(Data_2017!AR35-$K35)/$M35),0)))</f>
        <v>72.5</v>
      </c>
      <c r="AY35" s="100">
        <f>IF($H35=0,0,CHOOSE($H35,SUMPRODUCT($O36:$O$67*AY36:AY$67*($E36:$E$67=$D35)),IF(ISNUMBER(Data_2017!AS35),100*ABS($G35-(Data_2017!AS35-$K35)/$M35),0),IF(ISNUMBER(Data_2017!AS35),100*ABS($G35-(Data_2017!AS35-$K35)/$M35),0)))</f>
        <v>67.5</v>
      </c>
      <c r="AZ35" s="100">
        <f>IF($H35=0,0,CHOOSE($H35,SUMPRODUCT($O36:$O$67*AZ36:AZ$67*($E36:$E$67=$D35)),IF(ISNUMBER(Data_2017!AT35),100*ABS($G35-(Data_2017!AT35-$K35)/$M35),0),IF(ISNUMBER(Data_2017!AT35),100*ABS($G35-(Data_2017!AT35-$K35)/$M35),0)))</f>
        <v>37.5</v>
      </c>
      <c r="BA35" s="100">
        <f>IF($H35=0,0,CHOOSE($H35,SUMPRODUCT($O36:$O$67*BA36:BA$67*($E36:$E$67=$D35)),IF(ISNUMBER(Data_2017!AU35),100*ABS($G35-(Data_2017!AU35-$K35)/$M35),0),IF(ISNUMBER(Data_2017!AU35),100*ABS($G35-(Data_2017!AU35-$K35)/$M35),0)))</f>
        <v>77.5</v>
      </c>
      <c r="BB35" s="100">
        <f>IF($H35=0,0,CHOOSE($H35,SUMPRODUCT($O36:$O$67*BB36:BB$67*($E36:$E$67=$D35)),IF(ISNUMBER(Data_2017!AV35),100*ABS($G35-(Data_2017!AV35-$K35)/$M35),0),IF(ISNUMBER(Data_2017!AV35),100*ABS($G35-(Data_2017!AV35-$K35)/$M35),0)))</f>
        <v>82.5</v>
      </c>
      <c r="BC35" s="100">
        <f>IF($H35=0,0,CHOOSE($H35,SUMPRODUCT($O36:$O$67*BC36:BC$67*($E36:$E$67=$D35)),IF(ISNUMBER(Data_2017!AW35),100*ABS($G35-(Data_2017!AW35-$K35)/$M35),0),IF(ISNUMBER(Data_2017!AW35),100*ABS($G35-(Data_2017!AW35-$K35)/$M35),0)))</f>
        <v>87.5</v>
      </c>
      <c r="BD35" s="100">
        <f>IF($H35=0,0,CHOOSE($H35,SUMPRODUCT($O36:$O$67*BD36:BD$67*($E36:$E$67=$D35)),IF(ISNUMBER(Data_2017!AX35),100*ABS($G35-(Data_2017!AX35-$K35)/$M35),0),IF(ISNUMBER(Data_2017!AX35),100*ABS($G35-(Data_2017!AX35-$K35)/$M35),0)))</f>
        <v>55</v>
      </c>
      <c r="BE35" s="100">
        <f>IF($H35=0,0,CHOOSE($H35,SUMPRODUCT($O36:$O$67*BE36:BE$67*($E36:$E$67=$D35)),IF(ISNUMBER(Data_2017!AY35),100*ABS($G35-(Data_2017!AY35-$K35)/$M35),0),IF(ISNUMBER(Data_2017!AY35),100*ABS($G35-(Data_2017!AY35-$K35)/$M35),0)))</f>
        <v>70</v>
      </c>
      <c r="BF35" s="100">
        <f>IF($H35=0,0,CHOOSE($H35,SUMPRODUCT($O36:$O$67*BF36:BF$67*($E36:$E$67=$D35)),IF(ISNUMBER(Data_2017!AZ35),100*ABS($G35-(Data_2017!AZ35-$K35)/$M35),0),IF(ISNUMBER(Data_2017!AZ35),100*ABS($G35-(Data_2017!AZ35-$K35)/$M35),0)))</f>
        <v>60</v>
      </c>
      <c r="BG35" s="100">
        <f>IF($H35=0,0,CHOOSE($H35,SUMPRODUCT($O36:$O$67*BG36:BG$67*($E36:$E$67=$D35)),IF(ISNUMBER(Data_2017!BA35),100*ABS($G35-(Data_2017!BA35-$K35)/$M35),0),IF(ISNUMBER(Data_2017!BA35),100*ABS($G35-(Data_2017!BA35-$K35)/$M35),0)))</f>
        <v>72.5</v>
      </c>
      <c r="BH35" s="100">
        <f>IF($H35=0,0,CHOOSE($H35,SUMPRODUCT($O36:$O$67*BH36:BH$67*($E36:$E$67=$D35)),IF(ISNUMBER(Data_2017!BB35),100*ABS($G35-(Data_2017!BB35-$K35)/$M35),0),IF(ISNUMBER(Data_2017!BB35),100*ABS($G35-(Data_2017!BB35-$K35)/$M35),0)))</f>
        <v>77.5</v>
      </c>
      <c r="BI35" s="100">
        <f>IF($H35=0,0,CHOOSE($H35,SUMPRODUCT($O36:$O$67*BI36:BI$67*($E36:$E$67=$D35)),IF(ISNUMBER(Data_2017!BC35),100*ABS($G35-(Data_2017!BC35-$K35)/$M35),0),IF(ISNUMBER(Data_2017!BC35),100*ABS($G35-(Data_2017!BC35-$K35)/$M35),0)))</f>
        <v>45</v>
      </c>
      <c r="BJ35" s="100">
        <f>IF($H35=0,0,CHOOSE($H35,SUMPRODUCT($O36:$O$67*BJ36:BJ$67*($E36:$E$67=$D35)),IF(ISNUMBER(Data_2017!BD35),100*ABS($G35-(Data_2017!BD35-$K35)/$M35),0),IF(ISNUMBER(Data_2017!BD35),100*ABS($G35-(Data_2017!BD35-$K35)/$M35),0)))</f>
        <v>70</v>
      </c>
      <c r="BK35" s="100">
        <f>IF($H35=0,0,CHOOSE($H35,SUMPRODUCT($O36:$O$67*BK36:BK$67*($E36:$E$67=$D35)),IF(ISNUMBER(Data_2017!BE35),100*ABS($G35-(Data_2017!BE35-$K35)/$M35),0),IF(ISNUMBER(Data_2017!BE35),100*ABS($G35-(Data_2017!BE35-$K35)/$M35),0)))</f>
        <v>72.5</v>
      </c>
      <c r="BL35" s="100">
        <f>IF($H35=0,0,CHOOSE($H35,SUMPRODUCT($O36:$O$67*BL36:BL$67*($E36:$E$67=$D35)),IF(ISNUMBER(Data_2017!BF35),100*ABS($G35-(Data_2017!BF35-$K35)/$M35),0),IF(ISNUMBER(Data_2017!BF35),100*ABS($G35-(Data_2017!BF35-$K35)/$M35),0)))</f>
        <v>77.5</v>
      </c>
      <c r="BM35" s="100">
        <f>IF($H35=0,0,CHOOSE($H35,SUMPRODUCT($O36:$O$67*BM36:BM$67*($E36:$E$67=$D35)),IF(ISNUMBER(Data_2017!BG35),100*ABS($G35-(Data_2017!BG35-$K35)/$M35),0),IF(ISNUMBER(Data_2017!BG35),100*ABS($G35-(Data_2017!BG35-$K35)/$M35),0)))</f>
        <v>82.5</v>
      </c>
      <c r="BN35" s="100">
        <f>IF($H35=0,0,CHOOSE($H35,SUMPRODUCT($O36:$O$67*BN36:BN$67*($E36:$E$67=$D35)),IF(ISNUMBER(Data_2017!BH35),100*ABS($G35-(Data_2017!BH35-$K35)/$M35),0),IF(ISNUMBER(Data_2017!BH35),100*ABS($G35-(Data_2017!BH35-$K35)/$M35),0)))</f>
        <v>75</v>
      </c>
      <c r="BO35" s="100">
        <f>IF($H35=0,0,CHOOSE($H35,SUMPRODUCT($O36:$O$67*BO36:BO$67*($E36:$E$67=$D35)),IF(ISNUMBER(Data_2017!BI35),100*ABS($G35-(Data_2017!BI35-$K35)/$M35),0),IF(ISNUMBER(Data_2017!BI35),100*ABS($G35-(Data_2017!BI35-$K35)/$M35),0)))</f>
        <v>77.5</v>
      </c>
      <c r="BP35" s="100">
        <f>IF($H35=0,0,CHOOSE($H35,SUMPRODUCT($O36:$O$67*BP36:BP$67*($E36:$E$67=$D35)),IF(ISNUMBER(Data_2017!BJ35),100*ABS($G35-(Data_2017!BJ35-$K35)/$M35),0),IF(ISNUMBER(Data_2017!BJ35),100*ABS($G35-(Data_2017!BJ35-$K35)/$M35),0)))</f>
        <v>77.5</v>
      </c>
      <c r="BQ35" s="100">
        <f>IF($H35=0,0,CHOOSE($H35,SUMPRODUCT($O36:$O$67*BQ36:BQ$67*($E36:$E$67=$D35)),IF(ISNUMBER(Data_2017!BK35),100*ABS($G35-(Data_2017!BK35-$K35)/$M35),0),IF(ISNUMBER(Data_2017!BK35),100*ABS($G35-(Data_2017!BK35-$K35)/$M35),0)))</f>
        <v>67.5</v>
      </c>
      <c r="BR35" s="100">
        <f>IF($H35=0,0,CHOOSE($H35,SUMPRODUCT($O36:$O$67*BR36:BR$67*($E36:$E$67=$D35)),IF(ISNUMBER(Data_2017!BL35),100*ABS($G35-(Data_2017!BL35-$K35)/$M35),0),IF(ISNUMBER(Data_2017!BL35),100*ABS($G35-(Data_2017!BL35-$K35)/$M35),0)))</f>
        <v>82.5</v>
      </c>
      <c r="BS35" s="100">
        <f>IF($H35=0,0,CHOOSE($H35,SUMPRODUCT($O36:$O$67*BS36:BS$67*($E36:$E$67=$D35)),IF(ISNUMBER(Data_2017!BM35),100*ABS($G35-(Data_2017!BM35-$K35)/$M35),0),IF(ISNUMBER(Data_2017!BM35),100*ABS($G35-(Data_2017!BM35-$K35)/$M35),0)))</f>
        <v>77.5</v>
      </c>
      <c r="BT35" s="100">
        <f>IF($H35=0,0,CHOOSE($H35,SUMPRODUCT($O36:$O$67*BT36:BT$67*($E36:$E$67=$D35)),IF(ISNUMBER(Data_2017!BN35),100*ABS($G35-(Data_2017!BN35-$K35)/$M35),0),IF(ISNUMBER(Data_2017!BN35),100*ABS($G35-(Data_2017!BN35-$K35)/$M35),0)))</f>
        <v>77.5</v>
      </c>
      <c r="BU35" s="100">
        <f>IF($H35=0,0,CHOOSE($H35,SUMPRODUCT($O36:$O$67*BU36:BU$67*($E36:$E$67=$D35)),IF(ISNUMBER(Data_2017!BO35),100*ABS($G35-(Data_2017!BO35-$K35)/$M35),0),IF(ISNUMBER(Data_2017!BO35),100*ABS($G35-(Data_2017!BO35-$K35)/$M35),0)))</f>
        <v>87.5</v>
      </c>
      <c r="BV35" s="100">
        <f>IF($H35=0,0,CHOOSE($H35,SUMPRODUCT($O36:$O$67*BV36:BV$67*($E36:$E$67=$D35)),IF(ISNUMBER(Data_2017!BP35),100*ABS($G35-(Data_2017!BP35-$K35)/$M35),0),IF(ISNUMBER(Data_2017!BP35),100*ABS($G35-(Data_2017!BP35-$K35)/$M35),0)))</f>
        <v>50</v>
      </c>
      <c r="BW35" s="100">
        <f>IF($H35=0,0,CHOOSE($H35,SUMPRODUCT($O36:$O$67*BW36:BW$67*($E36:$E$67=$D35)),IF(ISNUMBER(Data_2017!BQ35),100*ABS($G35-(Data_2017!BQ35-$K35)/$M35),0),IF(ISNUMBER(Data_2017!BQ35),100*ABS($G35-(Data_2017!BQ35-$K35)/$M35),0)))</f>
        <v>75</v>
      </c>
      <c r="BX35" s="100">
        <f>IF($H35=0,0,CHOOSE($H35,SUMPRODUCT($O36:$O$67*BX36:BX$67*($E36:$E$67=$D35)),IF(ISNUMBER(Data_2017!BR35),100*ABS($G35-(Data_2017!BR35-$K35)/$M35),0),IF(ISNUMBER(Data_2017!BR35),100*ABS($G35-(Data_2017!BR35-$K35)/$M35),0)))</f>
        <v>82.5</v>
      </c>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row>
    <row r="36" s="69" customFormat="1" ht="24.95" customHeight="1" spans="1:130">
      <c r="A36" s="92"/>
      <c r="B36" s="92">
        <f>tblIndicators!A32</f>
        <v>31</v>
      </c>
      <c r="C36" s="92">
        <f>tblIndicators!B32</f>
        <v>0</v>
      </c>
      <c r="D36" s="92" t="str">
        <f>tblIndicators!D32</f>
        <v>INSE3.1.2</v>
      </c>
      <c r="E36" s="92" t="str">
        <f>tblIndicators!E32</f>
        <v>INSE3.1</v>
      </c>
      <c r="F36" s="92">
        <f>tblIndicators!F32</f>
        <v>3</v>
      </c>
      <c r="G36" s="92">
        <f>tblIndicators!Y32</f>
        <v>0</v>
      </c>
      <c r="H36" s="92">
        <f>tblIndicators!Z32</f>
        <v>3</v>
      </c>
      <c r="I36" s="104">
        <f>tblIndicators!AA32</f>
        <v>0</v>
      </c>
      <c r="J36" s="92">
        <f>tblIndicators!AB32</f>
        <v>5</v>
      </c>
      <c r="K36" s="89">
        <f>IF(uxb_works!$B$66=1,CHOOSE(H36,"-",MIN(Data_2017!J36:BR36),I36),CHOOSE(H36,"-",MIN(Data_2017!J36:BQ36),I36))</f>
        <v>0</v>
      </c>
      <c r="L36" s="97">
        <f>IF(uxb_works!$B$66=1,CHOOSE(H36,"-",MAX(Data_2017!J36:BR36),J36),CHOOSE(H36,"-",MAX(Data_2017!J36:BQ36),J36))</f>
        <v>5</v>
      </c>
      <c r="M36" s="92">
        <f t="shared" si="1"/>
        <v>5</v>
      </c>
      <c r="N36" s="105" t="str">
        <f>REPT(" ",F36)&amp;tblIndicators!AE32</f>
        <v>   3.1.2) Pedestrian friendliness</v>
      </c>
      <c r="O36" s="106">
        <f>tblIndicators!AD32</f>
        <v>0.2</v>
      </c>
      <c r="P36" s="100">
        <f>IF($H36=0,0,CHOOSE($H36,SUMPRODUCT($O37:$O$67*P37:P$67*($E37:$E$67=$D36)),IF(ISNUMBER(Data_2017!J36),100*ABS($G36-(Data_2017!J36-$K36)/$M36),0),IF(ISNUMBER(Data_2017!J36),100*ABS($G36-(Data_2017!J36-$K36)/$M36),0)))</f>
        <v>100</v>
      </c>
      <c r="Q36" s="100">
        <f>IF($H36=0,0,CHOOSE($H36,SUMPRODUCT($O37:$O$67*Q37:Q$67*($E37:$E$67=$D36)),IF(ISNUMBER(Data_2017!K36),100*ABS($G36-(Data_2017!K36-$K36)/$M36),0),IF(ISNUMBER(Data_2017!K36),100*ABS($G36-(Data_2017!K36-$K36)/$M36),0)))</f>
        <v>100</v>
      </c>
      <c r="R36" s="100">
        <f>IF($H36=0,0,CHOOSE($H36,SUMPRODUCT($O37:$O$67*R37:R$67*($E37:$E$67=$D36)),IF(ISNUMBER(Data_2017!L36),100*ABS($G36-(Data_2017!L36-$K36)/$M36),0),IF(ISNUMBER(Data_2017!L36),100*ABS($G36-(Data_2017!L36-$K36)/$M36),0)))</f>
        <v>100</v>
      </c>
      <c r="S36" s="100">
        <f>IF($H36=0,0,CHOOSE($H36,SUMPRODUCT($O37:$O$67*S37:S$67*($E37:$E$67=$D36)),IF(ISNUMBER(Data_2017!M36),100*ABS($G36-(Data_2017!M36-$K36)/$M36),0),IF(ISNUMBER(Data_2017!M36),100*ABS($G36-(Data_2017!M36-$K36)/$M36),0)))</f>
        <v>50</v>
      </c>
      <c r="T36" s="100">
        <f>IF($H36=0,0,CHOOSE($H36,SUMPRODUCT($O37:$O$67*T37:T$67*($E37:$E$67=$D36)),IF(ISNUMBER(Data_2017!N36),100*ABS($G36-(Data_2017!N36-$K36)/$M36),0),IF(ISNUMBER(Data_2017!N36),100*ABS($G36-(Data_2017!N36-$K36)/$M36),0)))</f>
        <v>100</v>
      </c>
      <c r="U36" s="100">
        <f>IF($H36=0,0,CHOOSE($H36,SUMPRODUCT($O37:$O$67*U37:U$67*($E37:$E$67=$D36)),IF(ISNUMBER(Data_2017!O36),100*ABS($G36-(Data_2017!O36-$K36)/$M36),0),IF(ISNUMBER(Data_2017!O36),100*ABS($G36-(Data_2017!O36-$K36)/$M36),0)))</f>
        <v>50</v>
      </c>
      <c r="V36" s="100">
        <f>IF($H36=0,0,CHOOSE($H36,SUMPRODUCT($O37:$O$67*V37:V$67*($E37:$E$67=$D36)),IF(ISNUMBER(Data_2017!P36),100*ABS($G36-(Data_2017!P36-$K36)/$M36),0),IF(ISNUMBER(Data_2017!P36),100*ABS($G36-(Data_2017!P36-$K36)/$M36),0)))</f>
        <v>100</v>
      </c>
      <c r="W36" s="100">
        <f>IF($H36=0,0,CHOOSE($H36,SUMPRODUCT($O37:$O$67*W37:W$67*($E37:$E$67=$D36)),IF(ISNUMBER(Data_2017!Q36),100*ABS($G36-(Data_2017!Q36-$K36)/$M36),0),IF(ISNUMBER(Data_2017!Q36),100*ABS($G36-(Data_2017!Q36-$K36)/$M36),0)))</f>
        <v>100</v>
      </c>
      <c r="X36" s="100">
        <f>IF($H36=0,0,CHOOSE($H36,SUMPRODUCT($O37:$O$67*X37:X$67*($E37:$E$67=$D36)),IF(ISNUMBER(Data_2017!R36),100*ABS($G36-(Data_2017!R36-$K36)/$M36),0),IF(ISNUMBER(Data_2017!R36),100*ABS($G36-(Data_2017!R36-$K36)/$M36),0)))</f>
        <v>100</v>
      </c>
      <c r="Y36" s="100">
        <f>IF($H36=0,0,CHOOSE($H36,SUMPRODUCT($O37:$O$67*Y37:Y$67*($E37:$E$67=$D36)),IF(ISNUMBER(Data_2017!S36),100*ABS($G36-(Data_2017!S36-$K36)/$M36),0),IF(ISNUMBER(Data_2017!S36),100*ABS($G36-(Data_2017!S36-$K36)/$M36),0)))</f>
        <v>50</v>
      </c>
      <c r="Z36" s="100">
        <f>IF($H36=0,0,CHOOSE($H36,SUMPRODUCT($O37:$O$67*Z37:Z$67*($E37:$E$67=$D36)),IF(ISNUMBER(Data_2017!T36),100*ABS($G36-(Data_2017!T36-$K36)/$M36),0),IF(ISNUMBER(Data_2017!T36),100*ABS($G36-(Data_2017!T36-$K36)/$M36),0)))</f>
        <v>0</v>
      </c>
      <c r="AA36" s="100">
        <f>IF($H36=0,0,CHOOSE($H36,SUMPRODUCT($O37:$O$67*AA37:AA$67*($E37:$E$67=$D36)),IF(ISNUMBER(Data_2017!U36),100*ABS($G36-(Data_2017!U36-$K36)/$M36),0),IF(ISNUMBER(Data_2017!U36),100*ABS($G36-(Data_2017!U36-$K36)/$M36),0)))</f>
        <v>0</v>
      </c>
      <c r="AB36" s="100">
        <f>IF($H36=0,0,CHOOSE($H36,SUMPRODUCT($O37:$O$67*AB37:AB$67*($E37:$E$67=$D36)),IF(ISNUMBER(Data_2017!V36),100*ABS($G36-(Data_2017!V36-$K36)/$M36),0),IF(ISNUMBER(Data_2017!V36),100*ABS($G36-(Data_2017!V36-$K36)/$M36),0)))</f>
        <v>100</v>
      </c>
      <c r="AC36" s="100">
        <f>IF($H36=0,0,CHOOSE($H36,SUMPRODUCT($O37:$O$67*AC37:AC$67*($E37:$E$67=$D36)),IF(ISNUMBER(Data_2017!W36),100*ABS($G36-(Data_2017!W36-$K36)/$M36),0),IF(ISNUMBER(Data_2017!W36),100*ABS($G36-(Data_2017!W36-$K36)/$M36),0)))</f>
        <v>50</v>
      </c>
      <c r="AD36" s="100">
        <f>IF($H36=0,0,CHOOSE($H36,SUMPRODUCT($O37:$O$67*AD37:AD$67*($E37:$E$67=$D36)),IF(ISNUMBER(Data_2017!X36),100*ABS($G36-(Data_2017!X36-$K36)/$M36),0),IF(ISNUMBER(Data_2017!X36),100*ABS($G36-(Data_2017!X36-$K36)/$M36),0)))</f>
        <v>0</v>
      </c>
      <c r="AE36" s="100">
        <f>IF($H36=0,0,CHOOSE($H36,SUMPRODUCT($O37:$O$67*AE37:AE$67*($E37:$E$67=$D36)),IF(ISNUMBER(Data_2017!Y36),100*ABS($G36-(Data_2017!Y36-$K36)/$M36),0),IF(ISNUMBER(Data_2017!Y36),100*ABS($G36-(Data_2017!Y36-$K36)/$M36),0)))</f>
        <v>0</v>
      </c>
      <c r="AF36" s="100">
        <f>IF($H36=0,0,CHOOSE($H36,SUMPRODUCT($O37:$O$67*AF37:AF$67*($E37:$E$67=$D36)),IF(ISNUMBER(Data_2017!Z36),100*ABS($G36-(Data_2017!Z36-$K36)/$M36),0),IF(ISNUMBER(Data_2017!Z36),100*ABS($G36-(Data_2017!Z36-$K36)/$M36),0)))</f>
        <v>50</v>
      </c>
      <c r="AG36" s="100">
        <f>IF($H36=0,0,CHOOSE($H36,SUMPRODUCT($O37:$O$67*AG37:AG$67*($E37:$E$67=$D36)),IF(ISNUMBER(Data_2017!AA36),100*ABS($G36-(Data_2017!AA36-$K36)/$M36),0),IF(ISNUMBER(Data_2017!AA36),100*ABS($G36-(Data_2017!AA36-$K36)/$M36),0)))</f>
        <v>100</v>
      </c>
      <c r="AH36" s="100">
        <f>IF($H36=0,0,CHOOSE($H36,SUMPRODUCT($O37:$O$67*AH37:AH$67*($E37:$E$67=$D36)),IF(ISNUMBER(Data_2017!AB36),100*ABS($G36-(Data_2017!AB36-$K36)/$M36),0),IF(ISNUMBER(Data_2017!AB36),100*ABS($G36-(Data_2017!AB36-$K36)/$M36),0)))</f>
        <v>50</v>
      </c>
      <c r="AI36" s="100">
        <f>IF($H36=0,0,CHOOSE($H36,SUMPRODUCT($O37:$O$67*AI37:AI$67*($E37:$E$67=$D36)),IF(ISNUMBER(Data_2017!AC36),100*ABS($G36-(Data_2017!AC36-$K36)/$M36),0),IF(ISNUMBER(Data_2017!AC36),100*ABS($G36-(Data_2017!AC36-$K36)/$M36),0)))</f>
        <v>100</v>
      </c>
      <c r="AJ36" s="100">
        <f>IF($H36=0,0,CHOOSE($H36,SUMPRODUCT($O37:$O$67*AJ37:AJ$67*($E37:$E$67=$D36)),IF(ISNUMBER(Data_2017!AD36),100*ABS($G36-(Data_2017!AD36-$K36)/$M36),0),IF(ISNUMBER(Data_2017!AD36),100*ABS($G36-(Data_2017!AD36-$K36)/$M36),0)))</f>
        <v>100</v>
      </c>
      <c r="AK36" s="100">
        <f>IF($H36=0,0,CHOOSE($H36,SUMPRODUCT($O37:$O$67*AK37:AK$67*($E37:$E$67=$D36)),IF(ISNUMBER(Data_2017!AE36),100*ABS($G36-(Data_2017!AE36-$K36)/$M36),0),IF(ISNUMBER(Data_2017!AE36),100*ABS($G36-(Data_2017!AE36-$K36)/$M36),0)))</f>
        <v>0</v>
      </c>
      <c r="AL36" s="100">
        <f>IF($H36=0,0,CHOOSE($H36,SUMPRODUCT($O37:$O$67*AL37:AL$67*($E37:$E$67=$D36)),IF(ISNUMBER(Data_2017!AF36),100*ABS($G36-(Data_2017!AF36-$K36)/$M36),0),IF(ISNUMBER(Data_2017!AF36),100*ABS($G36-(Data_2017!AF36-$K36)/$M36),0)))</f>
        <v>0</v>
      </c>
      <c r="AM36" s="100">
        <f>IF($H36=0,0,CHOOSE($H36,SUMPRODUCT($O37:$O$67*AM37:AM$67*($E37:$E$67=$D36)),IF(ISNUMBER(Data_2017!AG36),100*ABS($G36-(Data_2017!AG36-$K36)/$M36),0),IF(ISNUMBER(Data_2017!AG36),100*ABS($G36-(Data_2017!AG36-$K36)/$M36),0)))</f>
        <v>50</v>
      </c>
      <c r="AN36" s="100">
        <f>IF($H36=0,0,CHOOSE($H36,SUMPRODUCT($O37:$O$67*AN37:AN$67*($E37:$E$67=$D36)),IF(ISNUMBER(Data_2017!AH36),100*ABS($G36-(Data_2017!AH36-$K36)/$M36),0),IF(ISNUMBER(Data_2017!AH36),100*ABS($G36-(Data_2017!AH36-$K36)/$M36),0)))</f>
        <v>50</v>
      </c>
      <c r="AO36" s="100">
        <f>IF($H36=0,0,CHOOSE($H36,SUMPRODUCT($O37:$O$67*AO37:AO$67*($E37:$E$67=$D36)),IF(ISNUMBER(Data_2017!AI36),100*ABS($G36-(Data_2017!AI36-$K36)/$M36),0),IF(ISNUMBER(Data_2017!AI36),100*ABS($G36-(Data_2017!AI36-$K36)/$M36),0)))</f>
        <v>50</v>
      </c>
      <c r="AP36" s="100">
        <f>IF($H36=0,0,CHOOSE($H36,SUMPRODUCT($O37:$O$67*AP37:AP$67*($E37:$E$67=$D36)),IF(ISNUMBER(Data_2017!AJ36),100*ABS($G36-(Data_2017!AJ36-$K36)/$M36),0),IF(ISNUMBER(Data_2017!AJ36),100*ABS($G36-(Data_2017!AJ36-$K36)/$M36),0)))</f>
        <v>50</v>
      </c>
      <c r="AQ36" s="100">
        <f>IF($H36=0,0,CHOOSE($H36,SUMPRODUCT($O37:$O$67*AQ37:AQ$67*($E37:$E$67=$D36)),IF(ISNUMBER(Data_2017!AK36),100*ABS($G36-(Data_2017!AK36-$K36)/$M36),0),IF(ISNUMBER(Data_2017!AK36),100*ABS($G36-(Data_2017!AK36-$K36)/$M36),0)))</f>
        <v>0</v>
      </c>
      <c r="AR36" s="100">
        <f>IF($H36=0,0,CHOOSE($H36,SUMPRODUCT($O37:$O$67*AR37:AR$67*($E37:$E$67=$D36)),IF(ISNUMBER(Data_2017!AL36),100*ABS($G36-(Data_2017!AL36-$K36)/$M36),0),IF(ISNUMBER(Data_2017!AL36),100*ABS($G36-(Data_2017!AL36-$K36)/$M36),0)))</f>
        <v>100</v>
      </c>
      <c r="AS36" s="100">
        <f>IF($H36=0,0,CHOOSE($H36,SUMPRODUCT($O37:$O$67*AS37:AS$67*($E37:$E$67=$D36)),IF(ISNUMBER(Data_2017!AM36),100*ABS($G36-(Data_2017!AM36-$K36)/$M36),0),IF(ISNUMBER(Data_2017!AM36),100*ABS($G36-(Data_2017!AM36-$K36)/$M36),0)))</f>
        <v>100</v>
      </c>
      <c r="AT36" s="100">
        <f>IF($H36=0,0,CHOOSE($H36,SUMPRODUCT($O37:$O$67*AT37:AT$67*($E37:$E$67=$D36)),IF(ISNUMBER(Data_2017!AN36),100*ABS($G36-(Data_2017!AN36-$K36)/$M36),0),IF(ISNUMBER(Data_2017!AN36),100*ABS($G36-(Data_2017!AN36-$K36)/$M36),0)))</f>
        <v>100</v>
      </c>
      <c r="AU36" s="100">
        <f>IF($H36=0,0,CHOOSE($H36,SUMPRODUCT($O37:$O$67*AU37:AU$67*($E37:$E$67=$D36)),IF(ISNUMBER(Data_2017!AO36),100*ABS($G36-(Data_2017!AO36-$K36)/$M36),0),IF(ISNUMBER(Data_2017!AO36),100*ABS($G36-(Data_2017!AO36-$K36)/$M36),0)))</f>
        <v>50</v>
      </c>
      <c r="AV36" s="100">
        <f>IF($H36=0,0,CHOOSE($H36,SUMPRODUCT($O37:$O$67*AV37:AV$67*($E37:$E$67=$D36)),IF(ISNUMBER(Data_2017!AP36),100*ABS($G36-(Data_2017!AP36-$K36)/$M36),0),IF(ISNUMBER(Data_2017!AP36),100*ABS($G36-(Data_2017!AP36-$K36)/$M36),0)))</f>
        <v>100</v>
      </c>
      <c r="AW36" s="100">
        <f>IF($H36=0,0,CHOOSE($H36,SUMPRODUCT($O37:$O$67*AW37:AW$67*($E37:$E$67=$D36)),IF(ISNUMBER(Data_2017!AQ36),100*ABS($G36-(Data_2017!AQ36-$K36)/$M36),0),IF(ISNUMBER(Data_2017!AQ36),100*ABS($G36-(Data_2017!AQ36-$K36)/$M36),0)))</f>
        <v>100</v>
      </c>
      <c r="AX36" s="100">
        <f>IF($H36=0,0,CHOOSE($H36,SUMPRODUCT($O37:$O$67*AX37:AX$67*($E37:$E$67=$D36)),IF(ISNUMBER(Data_2017!AR36),100*ABS($G36-(Data_2017!AR36-$K36)/$M36),0),IF(ISNUMBER(Data_2017!AR36),100*ABS($G36-(Data_2017!AR36-$K36)/$M36),0)))</f>
        <v>100</v>
      </c>
      <c r="AY36" s="100">
        <f>IF($H36=0,0,CHOOSE($H36,SUMPRODUCT($O37:$O$67*AY37:AY$67*($E37:$E$67=$D36)),IF(ISNUMBER(Data_2017!AS36),100*ABS($G36-(Data_2017!AS36-$K36)/$M36),0),IF(ISNUMBER(Data_2017!AS36),100*ABS($G36-(Data_2017!AS36-$K36)/$M36),0)))</f>
        <v>100</v>
      </c>
      <c r="AZ36" s="100">
        <f>IF($H36=0,0,CHOOSE($H36,SUMPRODUCT($O37:$O$67*AZ37:AZ$67*($E37:$E$67=$D36)),IF(ISNUMBER(Data_2017!AT36),100*ABS($G36-(Data_2017!AT36-$K36)/$M36),0),IF(ISNUMBER(Data_2017!AT36),100*ABS($G36-(Data_2017!AT36-$K36)/$M36),0)))</f>
        <v>0</v>
      </c>
      <c r="BA36" s="100">
        <f>IF($H36=0,0,CHOOSE($H36,SUMPRODUCT($O37:$O$67*BA37:BA$67*($E37:$E$67=$D36)),IF(ISNUMBER(Data_2017!AU36),100*ABS($G36-(Data_2017!AU36-$K36)/$M36),0),IF(ISNUMBER(Data_2017!AU36),100*ABS($G36-(Data_2017!AU36-$K36)/$M36),0)))</f>
        <v>100</v>
      </c>
      <c r="BB36" s="100">
        <f>IF($H36=0,0,CHOOSE($H36,SUMPRODUCT($O37:$O$67*BB37:BB$67*($E37:$E$67=$D36)),IF(ISNUMBER(Data_2017!AV36),100*ABS($G36-(Data_2017!AV36-$K36)/$M36),0),IF(ISNUMBER(Data_2017!AV36),100*ABS($G36-(Data_2017!AV36-$K36)/$M36),0)))</f>
        <v>100</v>
      </c>
      <c r="BC36" s="100">
        <f>IF($H36=0,0,CHOOSE($H36,SUMPRODUCT($O37:$O$67*BC37:BC$67*($E37:$E$67=$D36)),IF(ISNUMBER(Data_2017!AW36),100*ABS($G36-(Data_2017!AW36-$K36)/$M36),0),IF(ISNUMBER(Data_2017!AW36),100*ABS($G36-(Data_2017!AW36-$K36)/$M36),0)))</f>
        <v>100</v>
      </c>
      <c r="BD36" s="100">
        <f>IF($H36=0,0,CHOOSE($H36,SUMPRODUCT($O37:$O$67*BD37:BD$67*($E37:$E$67=$D36)),IF(ISNUMBER(Data_2017!AX36),100*ABS($G36-(Data_2017!AX36-$K36)/$M36),0),IF(ISNUMBER(Data_2017!AX36),100*ABS($G36-(Data_2017!AX36-$K36)/$M36),0)))</f>
        <v>0</v>
      </c>
      <c r="BE36" s="100">
        <f>IF($H36=0,0,CHOOSE($H36,SUMPRODUCT($O37:$O$67*BE37:BE$67*($E37:$E$67=$D36)),IF(ISNUMBER(Data_2017!AY36),100*ABS($G36-(Data_2017!AY36-$K36)/$M36),0),IF(ISNUMBER(Data_2017!AY36),100*ABS($G36-(Data_2017!AY36-$K36)/$M36),0)))</f>
        <v>100</v>
      </c>
      <c r="BF36" s="100">
        <f>IF($H36=0,0,CHOOSE($H36,SUMPRODUCT($O37:$O$67*BF37:BF$67*($E37:$E$67=$D36)),IF(ISNUMBER(Data_2017!AZ36),100*ABS($G36-(Data_2017!AZ36-$K36)/$M36),0),IF(ISNUMBER(Data_2017!AZ36),100*ABS($G36-(Data_2017!AZ36-$K36)/$M36),0)))</f>
        <v>0</v>
      </c>
      <c r="BG36" s="100">
        <f>IF($H36=0,0,CHOOSE($H36,SUMPRODUCT($O37:$O$67*BG37:BG$67*($E37:$E$67=$D36)),IF(ISNUMBER(Data_2017!BA36),100*ABS($G36-(Data_2017!BA36-$K36)/$M36),0),IF(ISNUMBER(Data_2017!BA36),100*ABS($G36-(Data_2017!BA36-$K36)/$M36),0)))</f>
        <v>100</v>
      </c>
      <c r="BH36" s="100">
        <f>IF($H36=0,0,CHOOSE($H36,SUMPRODUCT($O37:$O$67*BH37:BH$67*($E37:$E$67=$D36)),IF(ISNUMBER(Data_2017!BB36),100*ABS($G36-(Data_2017!BB36-$K36)/$M36),0),IF(ISNUMBER(Data_2017!BB36),100*ABS($G36-(Data_2017!BB36-$K36)/$M36),0)))</f>
        <v>100</v>
      </c>
      <c r="BI36" s="100">
        <f>IF($H36=0,0,CHOOSE($H36,SUMPRODUCT($O37:$O$67*BI37:BI$67*($E37:$E$67=$D36)),IF(ISNUMBER(Data_2017!BC36),100*ABS($G36-(Data_2017!BC36-$K36)/$M36),0),IF(ISNUMBER(Data_2017!BC36),100*ABS($G36-(Data_2017!BC36-$K36)/$M36),0)))</f>
        <v>100</v>
      </c>
      <c r="BJ36" s="100">
        <f>IF($H36=0,0,CHOOSE($H36,SUMPRODUCT($O37:$O$67*BJ37:BJ$67*($E37:$E$67=$D36)),IF(ISNUMBER(Data_2017!BD36),100*ABS($G36-(Data_2017!BD36-$K36)/$M36),0),IF(ISNUMBER(Data_2017!BD36),100*ABS($G36-(Data_2017!BD36-$K36)/$M36),0)))</f>
        <v>100</v>
      </c>
      <c r="BK36" s="100">
        <f>IF($H36=0,0,CHOOSE($H36,SUMPRODUCT($O37:$O$67*BK37:BK$67*($E37:$E$67=$D36)),IF(ISNUMBER(Data_2017!BE36),100*ABS($G36-(Data_2017!BE36-$K36)/$M36),0),IF(ISNUMBER(Data_2017!BE36),100*ABS($G36-(Data_2017!BE36-$K36)/$M36),0)))</f>
        <v>100</v>
      </c>
      <c r="BL36" s="100">
        <f>IF($H36=0,0,CHOOSE($H36,SUMPRODUCT($O37:$O$67*BL37:BL$67*($E37:$E$67=$D36)),IF(ISNUMBER(Data_2017!BF36),100*ABS($G36-(Data_2017!BF36-$K36)/$M36),0),IF(ISNUMBER(Data_2017!BF36),100*ABS($G36-(Data_2017!BF36-$K36)/$M36),0)))</f>
        <v>50</v>
      </c>
      <c r="BM36" s="100">
        <f>IF($H36=0,0,CHOOSE($H36,SUMPRODUCT($O37:$O$67*BM37:BM$67*($E37:$E$67=$D36)),IF(ISNUMBER(Data_2017!BG36),100*ABS($G36-(Data_2017!BG36-$K36)/$M36),0),IF(ISNUMBER(Data_2017!BG36),100*ABS($G36-(Data_2017!BG36-$K36)/$M36),0)))</f>
        <v>100</v>
      </c>
      <c r="BN36" s="100">
        <f>IF($H36=0,0,CHOOSE($H36,SUMPRODUCT($O37:$O$67*BN37:BN$67*($E37:$E$67=$D36)),IF(ISNUMBER(Data_2017!BH36),100*ABS($G36-(Data_2017!BH36-$K36)/$M36),0),IF(ISNUMBER(Data_2017!BH36),100*ABS($G36-(Data_2017!BH36-$K36)/$M36),0)))</f>
        <v>100</v>
      </c>
      <c r="BO36" s="100">
        <f>IF($H36=0,0,CHOOSE($H36,SUMPRODUCT($O37:$O$67*BO37:BO$67*($E37:$E$67=$D36)),IF(ISNUMBER(Data_2017!BI36),100*ABS($G36-(Data_2017!BI36-$K36)/$M36),0),IF(ISNUMBER(Data_2017!BI36),100*ABS($G36-(Data_2017!BI36-$K36)/$M36),0)))</f>
        <v>100</v>
      </c>
      <c r="BP36" s="100">
        <f>IF($H36=0,0,CHOOSE($H36,SUMPRODUCT($O37:$O$67*BP37:BP$67*($E37:$E$67=$D36)),IF(ISNUMBER(Data_2017!BJ36),100*ABS($G36-(Data_2017!BJ36-$K36)/$M36),0),IF(ISNUMBER(Data_2017!BJ36),100*ABS($G36-(Data_2017!BJ36-$K36)/$M36),0)))</f>
        <v>100</v>
      </c>
      <c r="BQ36" s="100">
        <f>IF($H36=0,0,CHOOSE($H36,SUMPRODUCT($O37:$O$67*BQ37:BQ$67*($E37:$E$67=$D36)),IF(ISNUMBER(Data_2017!BK36),100*ABS($G36-(Data_2017!BK36-$K36)/$M36),0),IF(ISNUMBER(Data_2017!BK36),100*ABS($G36-(Data_2017!BK36-$K36)/$M36),0)))</f>
        <v>100</v>
      </c>
      <c r="BR36" s="100">
        <f>IF($H36=0,0,CHOOSE($H36,SUMPRODUCT($O37:$O$67*BR37:BR$67*($E37:$E$67=$D36)),IF(ISNUMBER(Data_2017!BL36),100*ABS($G36-(Data_2017!BL36-$K36)/$M36),0),IF(ISNUMBER(Data_2017!BL36),100*ABS($G36-(Data_2017!BL36-$K36)/$M36),0)))</f>
        <v>100</v>
      </c>
      <c r="BS36" s="100">
        <f>IF($H36=0,0,CHOOSE($H36,SUMPRODUCT($O37:$O$67*BS37:BS$67*($E37:$E$67=$D36)),IF(ISNUMBER(Data_2017!BM36),100*ABS($G36-(Data_2017!BM36-$K36)/$M36),0),IF(ISNUMBER(Data_2017!BM36),100*ABS($G36-(Data_2017!BM36-$K36)/$M36),0)))</f>
        <v>100</v>
      </c>
      <c r="BT36" s="100">
        <f>IF($H36=0,0,CHOOSE($H36,SUMPRODUCT($O37:$O$67*BT37:BT$67*($E37:$E$67=$D36)),IF(ISNUMBER(Data_2017!BN36),100*ABS($G36-(Data_2017!BN36-$K36)/$M36),0),IF(ISNUMBER(Data_2017!BN36),100*ABS($G36-(Data_2017!BN36-$K36)/$M36),0)))</f>
        <v>100</v>
      </c>
      <c r="BU36" s="100">
        <f>IF($H36=0,0,CHOOSE($H36,SUMPRODUCT($O37:$O$67*BU37:BU$67*($E37:$E$67=$D36)),IF(ISNUMBER(Data_2017!BO36),100*ABS($G36-(Data_2017!BO36-$K36)/$M36),0),IF(ISNUMBER(Data_2017!BO36),100*ABS($G36-(Data_2017!BO36-$K36)/$M36),0)))</f>
        <v>100</v>
      </c>
      <c r="BV36" s="100">
        <f>IF($H36=0,0,CHOOSE($H36,SUMPRODUCT($O37:$O$67*BV37:BV$67*($E37:$E$67=$D36)),IF(ISNUMBER(Data_2017!BP36),100*ABS($G36-(Data_2017!BP36-$K36)/$M36),0),IF(ISNUMBER(Data_2017!BP36),100*ABS($G36-(Data_2017!BP36-$K36)/$M36),0)))</f>
        <v>0</v>
      </c>
      <c r="BW36" s="100">
        <f>IF($H36=0,0,CHOOSE($H36,SUMPRODUCT($O37:$O$67*BW37:BW$67*($E37:$E$67=$D36)),IF(ISNUMBER(Data_2017!BQ36),100*ABS($G36-(Data_2017!BQ36-$K36)/$M36),0),IF(ISNUMBER(Data_2017!BQ36),100*ABS($G36-(Data_2017!BQ36-$K36)/$M36),0)))</f>
        <v>100</v>
      </c>
      <c r="BX36" s="100">
        <f>IF($H36=0,0,CHOOSE($H36,SUMPRODUCT($O37:$O$67*BX37:BX$67*($E37:$E$67=$D36)),IF(ISNUMBER(Data_2017!BR36),100*ABS($G36-(Data_2017!BR36-$K36)/$M36),0),IF(ISNUMBER(Data_2017!BR36),100*ABS($G36-(Data_2017!BR36-$K36)/$M36),0)))</f>
        <v>100</v>
      </c>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row>
    <row r="37" s="69" customFormat="1" ht="24.95" customHeight="1" spans="1:130">
      <c r="A37" s="92"/>
      <c r="B37" s="92">
        <f>tblIndicators!A33</f>
        <v>32</v>
      </c>
      <c r="C37" s="92">
        <f>tblIndicators!B33</f>
        <v>0</v>
      </c>
      <c r="D37" s="92" t="str">
        <f>tblIndicators!D33</f>
        <v>INSE3.1.3</v>
      </c>
      <c r="E37" s="92" t="str">
        <f>tblIndicators!E33</f>
        <v>INSE3.1</v>
      </c>
      <c r="F37" s="92">
        <f>tblIndicators!F33</f>
        <v>3</v>
      </c>
      <c r="G37" s="92">
        <f>tblIndicators!Y33</f>
        <v>1</v>
      </c>
      <c r="H37" s="92">
        <f>tblIndicators!Z33</f>
        <v>3</v>
      </c>
      <c r="I37" s="104">
        <f>tblIndicators!AA33</f>
        <v>1</v>
      </c>
      <c r="J37" s="92">
        <f>tblIndicators!AB33</f>
        <v>5</v>
      </c>
      <c r="K37" s="89">
        <f>IF(uxb_works!$B$66=1,CHOOSE(H37,"-",MIN(Data_2017!J37:BR37),I37),CHOOSE(H37,"-",MIN(Data_2017!J37:BQ37),I37))</f>
        <v>1</v>
      </c>
      <c r="L37" s="97">
        <f>IF(uxb_works!$B$66=1,CHOOSE(H37,"-",MAX(Data_2017!J37:BR37),J37),CHOOSE(H37,"-",MAX(Data_2017!J37:BQ37),J37))</f>
        <v>5</v>
      </c>
      <c r="M37" s="92">
        <f t="shared" si="1"/>
        <v>4</v>
      </c>
      <c r="N37" s="105" t="str">
        <f>REPT(" ",F37)&amp;tblIndicators!AE33</f>
        <v>   3.1.3) Quality of road infrastructure</v>
      </c>
      <c r="O37" s="106">
        <f>tblIndicators!AD33</f>
        <v>0.2</v>
      </c>
      <c r="P37" s="100">
        <f>IF($H37=0,0,CHOOSE($H37,SUMPRODUCT($O38:$O$67*P38:P$67*($E38:$E$67=$D37)),IF(ISNUMBER(Data_2017!J37),100*ABS($G37-(Data_2017!J37-$K37)/$M37),0),IF(ISNUMBER(Data_2017!J37),100*ABS($G37-(Data_2017!J37-$K37)/$M37),0)))</f>
        <v>100</v>
      </c>
      <c r="Q37" s="100">
        <f>IF($H37=0,0,CHOOSE($H37,SUMPRODUCT($O38:$O$67*Q38:Q$67*($E38:$E$67=$D37)),IF(ISNUMBER(Data_2017!K37),100*ABS($G37-(Data_2017!K37-$K37)/$M37),0),IF(ISNUMBER(Data_2017!K37),100*ABS($G37-(Data_2017!K37-$K37)/$M37),0)))</f>
        <v>100</v>
      </c>
      <c r="R37" s="100">
        <f>IF($H37=0,0,CHOOSE($H37,SUMPRODUCT($O38:$O$67*R38:R$67*($E38:$E$67=$D37)),IF(ISNUMBER(Data_2017!L37),100*ABS($G37-(Data_2017!L37-$K37)/$M37),0),IF(ISNUMBER(Data_2017!L37),100*ABS($G37-(Data_2017!L37-$K37)/$M37),0)))</f>
        <v>50</v>
      </c>
      <c r="S37" s="100">
        <f>IF($H37=0,0,CHOOSE($H37,SUMPRODUCT($O38:$O$67*S38:S$67*($E38:$E$67=$D37)),IF(ISNUMBER(Data_2017!M37),100*ABS($G37-(Data_2017!M37-$K37)/$M37),0),IF(ISNUMBER(Data_2017!M37),100*ABS($G37-(Data_2017!M37-$K37)/$M37),0)))</f>
        <v>25</v>
      </c>
      <c r="T37" s="100">
        <f>IF($H37=0,0,CHOOSE($H37,SUMPRODUCT($O38:$O$67*T38:T$67*($E38:$E$67=$D37)),IF(ISNUMBER(Data_2017!N37),100*ABS($G37-(Data_2017!N37-$K37)/$M37),0),IF(ISNUMBER(Data_2017!N37),100*ABS($G37-(Data_2017!N37-$K37)/$M37),0)))</f>
        <v>100</v>
      </c>
      <c r="U37" s="100">
        <f>IF($H37=0,0,CHOOSE($H37,SUMPRODUCT($O38:$O$67*U38:U$67*($E38:$E$67=$D37)),IF(ISNUMBER(Data_2017!O37),100*ABS($G37-(Data_2017!O37-$K37)/$M37),0),IF(ISNUMBER(Data_2017!O37),100*ABS($G37-(Data_2017!O37-$K37)/$M37),0)))</f>
        <v>75</v>
      </c>
      <c r="V37" s="100">
        <f>IF($H37=0,0,CHOOSE($H37,SUMPRODUCT($O38:$O$67*V38:V$67*($E38:$E$67=$D37)),IF(ISNUMBER(Data_2017!P37),100*ABS($G37-(Data_2017!P37-$K37)/$M37),0),IF(ISNUMBER(Data_2017!P37),100*ABS($G37-(Data_2017!P37-$K37)/$M37),0)))</f>
        <v>50</v>
      </c>
      <c r="W37" s="100">
        <f>IF($H37=0,0,CHOOSE($H37,SUMPRODUCT($O38:$O$67*W38:W$67*($E38:$E$67=$D37)),IF(ISNUMBER(Data_2017!Q37),100*ABS($G37-(Data_2017!Q37-$K37)/$M37),0),IF(ISNUMBER(Data_2017!Q37),100*ABS($G37-(Data_2017!Q37-$K37)/$M37),0)))</f>
        <v>75</v>
      </c>
      <c r="X37" s="100">
        <f>IF($H37=0,0,CHOOSE($H37,SUMPRODUCT($O38:$O$67*X38:X$67*($E38:$E$67=$D37)),IF(ISNUMBER(Data_2017!R37),100*ABS($G37-(Data_2017!R37-$K37)/$M37),0),IF(ISNUMBER(Data_2017!R37),100*ABS($G37-(Data_2017!R37-$K37)/$M37),0)))</f>
        <v>75</v>
      </c>
      <c r="Y37" s="100">
        <f>IF($H37=0,0,CHOOSE($H37,SUMPRODUCT($O38:$O$67*Y38:Y$67*($E38:$E$67=$D37)),IF(ISNUMBER(Data_2017!S37),100*ABS($G37-(Data_2017!S37-$K37)/$M37),0),IF(ISNUMBER(Data_2017!S37),100*ABS($G37-(Data_2017!S37-$K37)/$M37),0)))</f>
        <v>50</v>
      </c>
      <c r="Z37" s="100">
        <f>IF($H37=0,0,CHOOSE($H37,SUMPRODUCT($O38:$O$67*Z38:Z$67*($E38:$E$67=$D37)),IF(ISNUMBER(Data_2017!T37),100*ABS($G37-(Data_2017!T37-$K37)/$M37),0),IF(ISNUMBER(Data_2017!T37),100*ABS($G37-(Data_2017!T37-$K37)/$M37),0)))</f>
        <v>50</v>
      </c>
      <c r="AA37" s="100">
        <f>IF($H37=0,0,CHOOSE($H37,SUMPRODUCT($O38:$O$67*AA38:AA$67*($E38:$E$67=$D37)),IF(ISNUMBER(Data_2017!U37),100*ABS($G37-(Data_2017!U37-$K37)/$M37),0),IF(ISNUMBER(Data_2017!U37),100*ABS($G37-(Data_2017!U37-$K37)/$M37),0)))</f>
        <v>50</v>
      </c>
      <c r="AB37" s="100">
        <f>IF($H37=0,0,CHOOSE($H37,SUMPRODUCT($O38:$O$67*AB38:AB$67*($E38:$E$67=$D37)),IF(ISNUMBER(Data_2017!V37),100*ABS($G37-(Data_2017!V37-$K37)/$M37),0),IF(ISNUMBER(Data_2017!V37),100*ABS($G37-(Data_2017!V37-$K37)/$M37),0)))</f>
        <v>75</v>
      </c>
      <c r="AC37" s="100">
        <f>IF($H37=0,0,CHOOSE($H37,SUMPRODUCT($O38:$O$67*AC38:AC$67*($E38:$E$67=$D37)),IF(ISNUMBER(Data_2017!W37),100*ABS($G37-(Data_2017!W37-$K37)/$M37),0),IF(ISNUMBER(Data_2017!W37),100*ABS($G37-(Data_2017!W37-$K37)/$M37),0)))</f>
        <v>75</v>
      </c>
      <c r="AD37" s="100">
        <f>IF($H37=0,0,CHOOSE($H37,SUMPRODUCT($O38:$O$67*AD38:AD$67*($E38:$E$67=$D37)),IF(ISNUMBER(Data_2017!X37),100*ABS($G37-(Data_2017!X37-$K37)/$M37),0),IF(ISNUMBER(Data_2017!X37),100*ABS($G37-(Data_2017!X37-$K37)/$M37),0)))</f>
        <v>50</v>
      </c>
      <c r="AE37" s="100">
        <f>IF($H37=0,0,CHOOSE($H37,SUMPRODUCT($O38:$O$67*AE38:AE$67*($E38:$E$67=$D37)),IF(ISNUMBER(Data_2017!Y37),100*ABS($G37-(Data_2017!Y37-$K37)/$M37),0),IF(ISNUMBER(Data_2017!Y37),100*ABS($G37-(Data_2017!Y37-$K37)/$M37),0)))</f>
        <v>0</v>
      </c>
      <c r="AF37" s="100">
        <f>IF($H37=0,0,CHOOSE($H37,SUMPRODUCT($O38:$O$67*AF38:AF$67*($E38:$E$67=$D37)),IF(ISNUMBER(Data_2017!Z37),100*ABS($G37-(Data_2017!Z37-$K37)/$M37),0),IF(ISNUMBER(Data_2017!Z37),100*ABS($G37-(Data_2017!Z37-$K37)/$M37),0)))</f>
        <v>75</v>
      </c>
      <c r="AG37" s="100">
        <f>IF($H37=0,0,CHOOSE($H37,SUMPRODUCT($O38:$O$67*AG38:AG$67*($E38:$E$67=$D37)),IF(ISNUMBER(Data_2017!AA37),100*ABS($G37-(Data_2017!AA37-$K37)/$M37),0),IF(ISNUMBER(Data_2017!AA37),100*ABS($G37-(Data_2017!AA37-$K37)/$M37),0)))</f>
        <v>100</v>
      </c>
      <c r="AH37" s="100">
        <f>IF($H37=0,0,CHOOSE($H37,SUMPRODUCT($O38:$O$67*AH38:AH$67*($E38:$E$67=$D37)),IF(ISNUMBER(Data_2017!AB37),100*ABS($G37-(Data_2017!AB37-$K37)/$M37),0),IF(ISNUMBER(Data_2017!AB37),100*ABS($G37-(Data_2017!AB37-$K37)/$M37),0)))</f>
        <v>25</v>
      </c>
      <c r="AI37" s="100">
        <f>IF($H37=0,0,CHOOSE($H37,SUMPRODUCT($O38:$O$67*AI38:AI$67*($E38:$E$67=$D37)),IF(ISNUMBER(Data_2017!AC37),100*ABS($G37-(Data_2017!AC37-$K37)/$M37),0),IF(ISNUMBER(Data_2017!AC37),100*ABS($G37-(Data_2017!AC37-$K37)/$M37),0)))</f>
        <v>100</v>
      </c>
      <c r="AJ37" s="100">
        <f>IF($H37=0,0,CHOOSE($H37,SUMPRODUCT($O38:$O$67*AJ38:AJ$67*($E38:$E$67=$D37)),IF(ISNUMBER(Data_2017!AD37),100*ABS($G37-(Data_2017!AD37-$K37)/$M37),0),IF(ISNUMBER(Data_2017!AD37),100*ABS($G37-(Data_2017!AD37-$K37)/$M37),0)))</f>
        <v>50</v>
      </c>
      <c r="AK37" s="100">
        <f>IF($H37=0,0,CHOOSE($H37,SUMPRODUCT($O38:$O$67*AK38:AK$67*($E38:$E$67=$D37)),IF(ISNUMBER(Data_2017!AE37),100*ABS($G37-(Data_2017!AE37-$K37)/$M37),0),IF(ISNUMBER(Data_2017!AE37),100*ABS($G37-(Data_2017!AE37-$K37)/$M37),0)))</f>
        <v>50</v>
      </c>
      <c r="AL37" s="100">
        <f>IF($H37=0,0,CHOOSE($H37,SUMPRODUCT($O38:$O$67*AL38:AL$67*($E38:$E$67=$D37)),IF(ISNUMBER(Data_2017!AF37),100*ABS($G37-(Data_2017!AF37-$K37)/$M37),0),IF(ISNUMBER(Data_2017!AF37),100*ABS($G37-(Data_2017!AF37-$K37)/$M37),0)))</f>
        <v>75</v>
      </c>
      <c r="AM37" s="100">
        <f>IF($H37=0,0,CHOOSE($H37,SUMPRODUCT($O38:$O$67*AM38:AM$67*($E38:$E$67=$D37)),IF(ISNUMBER(Data_2017!AG37),100*ABS($G37-(Data_2017!AG37-$K37)/$M37),0),IF(ISNUMBER(Data_2017!AG37),100*ABS($G37-(Data_2017!AG37-$K37)/$M37),0)))</f>
        <v>50</v>
      </c>
      <c r="AN37" s="100">
        <f>IF($H37=0,0,CHOOSE($H37,SUMPRODUCT($O38:$O$67*AN38:AN$67*($E38:$E$67=$D37)),IF(ISNUMBER(Data_2017!AH37),100*ABS($G37-(Data_2017!AH37-$K37)/$M37),0),IF(ISNUMBER(Data_2017!AH37),100*ABS($G37-(Data_2017!AH37-$K37)/$M37),0)))</f>
        <v>25</v>
      </c>
      <c r="AO37" s="100">
        <f>IF($H37=0,0,CHOOSE($H37,SUMPRODUCT($O38:$O$67*AO38:AO$67*($E38:$E$67=$D37)),IF(ISNUMBER(Data_2017!AI37),100*ABS($G37-(Data_2017!AI37-$K37)/$M37),0),IF(ISNUMBER(Data_2017!AI37),100*ABS($G37-(Data_2017!AI37-$K37)/$M37),0)))</f>
        <v>75</v>
      </c>
      <c r="AP37" s="100">
        <f>IF($H37=0,0,CHOOSE($H37,SUMPRODUCT($O38:$O$67*AP38:AP$67*($E38:$E$67=$D37)),IF(ISNUMBER(Data_2017!AJ37),100*ABS($G37-(Data_2017!AJ37-$K37)/$M37),0),IF(ISNUMBER(Data_2017!AJ37),100*ABS($G37-(Data_2017!AJ37-$K37)/$M37),0)))</f>
        <v>75</v>
      </c>
      <c r="AQ37" s="100">
        <f>IF($H37=0,0,CHOOSE($H37,SUMPRODUCT($O38:$O$67*AQ38:AQ$67*($E38:$E$67=$D37)),IF(ISNUMBER(Data_2017!AK37),100*ABS($G37-(Data_2017!AK37-$K37)/$M37),0),IF(ISNUMBER(Data_2017!AK37),100*ABS($G37-(Data_2017!AK37-$K37)/$M37),0)))</f>
        <v>75</v>
      </c>
      <c r="AR37" s="100">
        <f>IF($H37=0,0,CHOOSE($H37,SUMPRODUCT($O38:$O$67*AR38:AR$67*($E38:$E$67=$D37)),IF(ISNUMBER(Data_2017!AL37),100*ABS($G37-(Data_2017!AL37-$K37)/$M37),0),IF(ISNUMBER(Data_2017!AL37),100*ABS($G37-(Data_2017!AL37-$K37)/$M37),0)))</f>
        <v>75</v>
      </c>
      <c r="AS37" s="100">
        <f>IF($H37=0,0,CHOOSE($H37,SUMPRODUCT($O38:$O$67*AS38:AS$67*($E38:$E$67=$D37)),IF(ISNUMBER(Data_2017!AM37),100*ABS($G37-(Data_2017!AM37-$K37)/$M37),0),IF(ISNUMBER(Data_2017!AM37),100*ABS($G37-(Data_2017!AM37-$K37)/$M37),0)))</f>
        <v>75</v>
      </c>
      <c r="AT37" s="100">
        <f>IF($H37=0,0,CHOOSE($H37,SUMPRODUCT($O38:$O$67*AT38:AT$67*($E38:$E$67=$D37)),IF(ISNUMBER(Data_2017!AN37),100*ABS($G37-(Data_2017!AN37-$K37)/$M37),0),IF(ISNUMBER(Data_2017!AN37),100*ABS($G37-(Data_2017!AN37-$K37)/$M37),0)))</f>
        <v>100</v>
      </c>
      <c r="AU37" s="100">
        <f>IF($H37=0,0,CHOOSE($H37,SUMPRODUCT($O38:$O$67*AU38:AU$67*($E38:$E$67=$D37)),IF(ISNUMBER(Data_2017!AO37),100*ABS($G37-(Data_2017!AO37-$K37)/$M37),0),IF(ISNUMBER(Data_2017!AO37),100*ABS($G37-(Data_2017!AO37-$K37)/$M37),0)))</f>
        <v>50</v>
      </c>
      <c r="AV37" s="100">
        <f>IF($H37=0,0,CHOOSE($H37,SUMPRODUCT($O38:$O$67*AV38:AV$67*($E38:$E$67=$D37)),IF(ISNUMBER(Data_2017!AP37),100*ABS($G37-(Data_2017!AP37-$K37)/$M37),0),IF(ISNUMBER(Data_2017!AP37),100*ABS($G37-(Data_2017!AP37-$K37)/$M37),0)))</f>
        <v>100</v>
      </c>
      <c r="AW37" s="100">
        <f>IF($H37=0,0,CHOOSE($H37,SUMPRODUCT($O38:$O$67*AW38:AW$67*($E38:$E$67=$D37)),IF(ISNUMBER(Data_2017!AQ37),100*ABS($G37-(Data_2017!AQ37-$K37)/$M37),0),IF(ISNUMBER(Data_2017!AQ37),100*ABS($G37-(Data_2017!AQ37-$K37)/$M37),0)))</f>
        <v>50</v>
      </c>
      <c r="AX37" s="100">
        <f>IF($H37=0,0,CHOOSE($H37,SUMPRODUCT($O38:$O$67*AX38:AX$67*($E38:$E$67=$D37)),IF(ISNUMBER(Data_2017!AR37),100*ABS($G37-(Data_2017!AR37-$K37)/$M37),0),IF(ISNUMBER(Data_2017!AR37),100*ABS($G37-(Data_2017!AR37-$K37)/$M37),0)))</f>
        <v>75</v>
      </c>
      <c r="AY37" s="100">
        <f>IF($H37=0,0,CHOOSE($H37,SUMPRODUCT($O38:$O$67*AY38:AY$67*($E38:$E$67=$D37)),IF(ISNUMBER(Data_2017!AS37),100*ABS($G37-(Data_2017!AS37-$K37)/$M37),0),IF(ISNUMBER(Data_2017!AS37),100*ABS($G37-(Data_2017!AS37-$K37)/$M37),0)))</f>
        <v>75</v>
      </c>
      <c r="AZ37" s="100">
        <f>IF($H37=0,0,CHOOSE($H37,SUMPRODUCT($O38:$O$67*AZ38:AZ$67*($E38:$E$67=$D37)),IF(ISNUMBER(Data_2017!AT37),100*ABS($G37-(Data_2017!AT37-$K37)/$M37),0),IF(ISNUMBER(Data_2017!AT37),100*ABS($G37-(Data_2017!AT37-$K37)/$M37),0)))</f>
        <v>0</v>
      </c>
      <c r="BA37" s="100">
        <f>IF($H37=0,0,CHOOSE($H37,SUMPRODUCT($O38:$O$67*BA38:BA$67*($E38:$E$67=$D37)),IF(ISNUMBER(Data_2017!AU37),100*ABS($G37-(Data_2017!AU37-$K37)/$M37),0),IF(ISNUMBER(Data_2017!AU37),100*ABS($G37-(Data_2017!AU37-$K37)/$M37),0)))</f>
        <v>75</v>
      </c>
      <c r="BB37" s="100">
        <f>IF($H37=0,0,CHOOSE($H37,SUMPRODUCT($O38:$O$67*BB38:BB$67*($E38:$E$67=$D37)),IF(ISNUMBER(Data_2017!AV37),100*ABS($G37-(Data_2017!AV37-$K37)/$M37),0),IF(ISNUMBER(Data_2017!AV37),100*ABS($G37-(Data_2017!AV37-$K37)/$M37),0)))</f>
        <v>100</v>
      </c>
      <c r="BC37" s="100">
        <f>IF($H37=0,0,CHOOSE($H37,SUMPRODUCT($O38:$O$67*BC38:BC$67*($E38:$E$67=$D37)),IF(ISNUMBER(Data_2017!AW37),100*ABS($G37-(Data_2017!AW37-$K37)/$M37),0),IF(ISNUMBER(Data_2017!AW37),100*ABS($G37-(Data_2017!AW37-$K37)/$M37),0)))</f>
        <v>75</v>
      </c>
      <c r="BD37" s="100">
        <f>IF($H37=0,0,CHOOSE($H37,SUMPRODUCT($O38:$O$67*BD38:BD$67*($E38:$E$67=$D37)),IF(ISNUMBER(Data_2017!AX37),100*ABS($G37-(Data_2017!AX37-$K37)/$M37),0),IF(ISNUMBER(Data_2017!AX37),100*ABS($G37-(Data_2017!AX37-$K37)/$M37),0)))</f>
        <v>50</v>
      </c>
      <c r="BE37" s="100">
        <f>IF($H37=0,0,CHOOSE($H37,SUMPRODUCT($O38:$O$67*BE38:BE$67*($E38:$E$67=$D37)),IF(ISNUMBER(Data_2017!AY37),100*ABS($G37-(Data_2017!AY37-$K37)/$M37),0),IF(ISNUMBER(Data_2017!AY37),100*ABS($G37-(Data_2017!AY37-$K37)/$M37),0)))</f>
        <v>50</v>
      </c>
      <c r="BF37" s="100">
        <f>IF($H37=0,0,CHOOSE($H37,SUMPRODUCT($O38:$O$67*BF38:BF$67*($E38:$E$67=$D37)),IF(ISNUMBER(Data_2017!AZ37),100*ABS($G37-(Data_2017!AZ37-$K37)/$M37),0),IF(ISNUMBER(Data_2017!AZ37),100*ABS($G37-(Data_2017!AZ37-$K37)/$M37),0)))</f>
        <v>50</v>
      </c>
      <c r="BG37" s="100">
        <f>IF($H37=0,0,CHOOSE($H37,SUMPRODUCT($O38:$O$67*BG38:BG$67*($E38:$E$67=$D37)),IF(ISNUMBER(Data_2017!BA37),100*ABS($G37-(Data_2017!BA37-$K37)/$M37),0),IF(ISNUMBER(Data_2017!BA37),100*ABS($G37-(Data_2017!BA37-$K37)/$M37),0)))</f>
        <v>100</v>
      </c>
      <c r="BH37" s="100">
        <f>IF($H37=0,0,CHOOSE($H37,SUMPRODUCT($O38:$O$67*BH38:BH$67*($E38:$E$67=$D37)),IF(ISNUMBER(Data_2017!BB37),100*ABS($G37-(Data_2017!BB37-$K37)/$M37),0),IF(ISNUMBER(Data_2017!BB37),100*ABS($G37-(Data_2017!BB37-$K37)/$M37),0)))</f>
        <v>75</v>
      </c>
      <c r="BI37" s="100">
        <f>IF($H37=0,0,CHOOSE($H37,SUMPRODUCT($O38:$O$67*BI38:BI$67*($E38:$E$67=$D37)),IF(ISNUMBER(Data_2017!BC37),100*ABS($G37-(Data_2017!BC37-$K37)/$M37),0),IF(ISNUMBER(Data_2017!BC37),100*ABS($G37-(Data_2017!BC37-$K37)/$M37),0)))</f>
        <v>75</v>
      </c>
      <c r="BJ37" s="100">
        <f>IF($H37=0,0,CHOOSE($H37,SUMPRODUCT($O38:$O$67*BJ38:BJ$67*($E38:$E$67=$D37)),IF(ISNUMBER(Data_2017!BD37),100*ABS($G37-(Data_2017!BD37-$K37)/$M37),0),IF(ISNUMBER(Data_2017!BD37),100*ABS($G37-(Data_2017!BD37-$K37)/$M37),0)))</f>
        <v>75</v>
      </c>
      <c r="BK37" s="100">
        <f>IF($H37=0,0,CHOOSE($H37,SUMPRODUCT($O38:$O$67*BK38:BK$67*($E38:$E$67=$D37)),IF(ISNUMBER(Data_2017!BE37),100*ABS($G37-(Data_2017!BE37-$K37)/$M37),0),IF(ISNUMBER(Data_2017!BE37),100*ABS($G37-(Data_2017!BE37-$K37)/$M37),0)))</f>
        <v>75</v>
      </c>
      <c r="BL37" s="100">
        <f>IF($H37=0,0,CHOOSE($H37,SUMPRODUCT($O38:$O$67*BL38:BL$67*($E38:$E$67=$D37)),IF(ISNUMBER(Data_2017!BF37),100*ABS($G37-(Data_2017!BF37-$K37)/$M37),0),IF(ISNUMBER(Data_2017!BF37),100*ABS($G37-(Data_2017!BF37-$K37)/$M37),0)))</f>
        <v>75</v>
      </c>
      <c r="BM37" s="100">
        <f>IF($H37=0,0,CHOOSE($H37,SUMPRODUCT($O38:$O$67*BM38:BM$67*($E38:$E$67=$D37)),IF(ISNUMBER(Data_2017!BG37),100*ABS($G37-(Data_2017!BG37-$K37)/$M37),0),IF(ISNUMBER(Data_2017!BG37),100*ABS($G37-(Data_2017!BG37-$K37)/$M37),0)))</f>
        <v>100</v>
      </c>
      <c r="BN37" s="100">
        <f>IF($H37=0,0,CHOOSE($H37,SUMPRODUCT($O38:$O$67*BN38:BN$67*($E38:$E$67=$D37)),IF(ISNUMBER(Data_2017!BH37),100*ABS($G37-(Data_2017!BH37-$K37)/$M37),0),IF(ISNUMBER(Data_2017!BH37),100*ABS($G37-(Data_2017!BH37-$K37)/$M37),0)))</f>
        <v>100</v>
      </c>
      <c r="BO37" s="100">
        <f>IF($H37=0,0,CHOOSE($H37,SUMPRODUCT($O38:$O$67*BO38:BO$67*($E38:$E$67=$D37)),IF(ISNUMBER(Data_2017!BI37),100*ABS($G37-(Data_2017!BI37-$K37)/$M37),0),IF(ISNUMBER(Data_2017!BI37),100*ABS($G37-(Data_2017!BI37-$K37)/$M37),0)))</f>
        <v>100</v>
      </c>
      <c r="BP37" s="100">
        <f>IF($H37=0,0,CHOOSE($H37,SUMPRODUCT($O38:$O$67*BP38:BP$67*($E38:$E$67=$D37)),IF(ISNUMBER(Data_2017!BJ37),100*ABS($G37-(Data_2017!BJ37-$K37)/$M37),0),IF(ISNUMBER(Data_2017!BJ37),100*ABS($G37-(Data_2017!BJ37-$K37)/$M37),0)))</f>
        <v>75</v>
      </c>
      <c r="BQ37" s="100">
        <f>IF($H37=0,0,CHOOSE($H37,SUMPRODUCT($O38:$O$67*BQ38:BQ$67*($E38:$E$67=$D37)),IF(ISNUMBER(Data_2017!BK37),100*ABS($G37-(Data_2017!BK37-$K37)/$M37),0),IF(ISNUMBER(Data_2017!BK37),100*ABS($G37-(Data_2017!BK37-$K37)/$M37),0)))</f>
        <v>50</v>
      </c>
      <c r="BR37" s="100">
        <f>IF($H37=0,0,CHOOSE($H37,SUMPRODUCT($O38:$O$67*BR38:BR$67*($E38:$E$67=$D37)),IF(ISNUMBER(Data_2017!BL37),100*ABS($G37-(Data_2017!BL37-$K37)/$M37),0),IF(ISNUMBER(Data_2017!BL37),100*ABS($G37-(Data_2017!BL37-$K37)/$M37),0)))</f>
        <v>100</v>
      </c>
      <c r="BS37" s="100">
        <f>IF($H37=0,0,CHOOSE($H37,SUMPRODUCT($O38:$O$67*BS38:BS$67*($E38:$E$67=$D37)),IF(ISNUMBER(Data_2017!BM37),100*ABS($G37-(Data_2017!BM37-$K37)/$M37),0),IF(ISNUMBER(Data_2017!BM37),100*ABS($G37-(Data_2017!BM37-$K37)/$M37),0)))</f>
        <v>75</v>
      </c>
      <c r="BT37" s="100">
        <f>IF($H37=0,0,CHOOSE($H37,SUMPRODUCT($O38:$O$67*BT38:BT$67*($E38:$E$67=$D37)),IF(ISNUMBER(Data_2017!BN37),100*ABS($G37-(Data_2017!BN37-$K37)/$M37),0),IF(ISNUMBER(Data_2017!BN37),100*ABS($G37-(Data_2017!BN37-$K37)/$M37),0)))</f>
        <v>75</v>
      </c>
      <c r="BU37" s="100">
        <f>IF($H37=0,0,CHOOSE($H37,SUMPRODUCT($O38:$O$67*BU38:BU$67*($E38:$E$67=$D37)),IF(ISNUMBER(Data_2017!BO37),100*ABS($G37-(Data_2017!BO37-$K37)/$M37),0),IF(ISNUMBER(Data_2017!BO37),100*ABS($G37-(Data_2017!BO37-$K37)/$M37),0)))</f>
        <v>100</v>
      </c>
      <c r="BV37" s="100">
        <f>IF($H37=0,0,CHOOSE($H37,SUMPRODUCT($O38:$O$67*BV38:BV$67*($E38:$E$67=$D37)),IF(ISNUMBER(Data_2017!BP37),100*ABS($G37-(Data_2017!BP37-$K37)/$M37),0),IF(ISNUMBER(Data_2017!BP37),100*ABS($G37-(Data_2017!BP37-$K37)/$M37),0)))</f>
        <v>25</v>
      </c>
      <c r="BW37" s="100">
        <f>IF($H37=0,0,CHOOSE($H37,SUMPRODUCT($O38:$O$67*BW38:BW$67*($E38:$E$67=$D37)),IF(ISNUMBER(Data_2017!BQ37),100*ABS($G37-(Data_2017!BQ37-$K37)/$M37),0),IF(ISNUMBER(Data_2017!BQ37),100*ABS($G37-(Data_2017!BQ37-$K37)/$M37),0)))</f>
        <v>100</v>
      </c>
      <c r="BX37" s="100">
        <f>IF($H37=0,0,CHOOSE($H37,SUMPRODUCT($O38:$O$67*BX38:BX$67*($E38:$E$67=$D37)),IF(ISNUMBER(Data_2017!BR37),100*ABS($G37-(Data_2017!BR37-$K37)/$M37),0),IF(ISNUMBER(Data_2017!BR37),100*ABS($G37-(Data_2017!BR37-$K37)/$M37),0)))</f>
        <v>100</v>
      </c>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row>
    <row r="38" s="69" customFormat="1" ht="24.95" customHeight="1" spans="1:130">
      <c r="A38" s="92"/>
      <c r="B38" s="92">
        <f>tblIndicators!A34</f>
        <v>33</v>
      </c>
      <c r="C38" s="92">
        <f>tblIndicators!B34</f>
        <v>0</v>
      </c>
      <c r="D38" s="92" t="str">
        <f>tblIndicators!D34</f>
        <v>INSE3.1.4</v>
      </c>
      <c r="E38" s="92" t="str">
        <f>tblIndicators!E34</f>
        <v>INSE3.1</v>
      </c>
      <c r="F38" s="92">
        <f>tblIndicators!F34</f>
        <v>3</v>
      </c>
      <c r="G38" s="92">
        <f>tblIndicators!Y34</f>
        <v>1</v>
      </c>
      <c r="H38" s="92">
        <f>tblIndicators!Z34</f>
        <v>3</v>
      </c>
      <c r="I38" s="104">
        <f>tblIndicators!AA34</f>
        <v>1</v>
      </c>
      <c r="J38" s="92">
        <f>tblIndicators!AB34</f>
        <v>5</v>
      </c>
      <c r="K38" s="89">
        <f>IF(uxb_works!$B$66=1,CHOOSE(H38,"-",MIN(Data_2017!J38:BR38),I38),CHOOSE(H38,"-",MIN(Data_2017!J38:BQ38),I38))</f>
        <v>1</v>
      </c>
      <c r="L38" s="97">
        <f>IF(uxb_works!$B$66=1,CHOOSE(H38,"-",MAX(Data_2017!J38:BR38),J38),CHOOSE(H38,"-",MAX(Data_2017!J38:BQ38),J38))</f>
        <v>5</v>
      </c>
      <c r="M38" s="92">
        <f t="shared" si="1"/>
        <v>4</v>
      </c>
      <c r="N38" s="105" t="str">
        <f>REPT(" ",F38)&amp;tblIndicators!AE34</f>
        <v>   3.1.4) Quality of electricity infrastructure</v>
      </c>
      <c r="O38" s="106">
        <f>tblIndicators!AD34</f>
        <v>0.2</v>
      </c>
      <c r="P38" s="100">
        <f>IF($H38=0,0,CHOOSE($H38,SUMPRODUCT($O39:$O$67*P39:P$67*($E39:$E$67=$D38)),IF(ISNUMBER(Data_2017!J38),100*ABS($G38-(Data_2017!J38-$K38)/$M38),0),IF(ISNUMBER(Data_2017!J38),100*ABS($G38-(Data_2017!J38-$K38)/$M38),0)))</f>
        <v>75</v>
      </c>
      <c r="Q38" s="100">
        <f>IF($H38=0,0,CHOOSE($H38,SUMPRODUCT($O39:$O$67*Q39:Q$67*($E39:$E$67=$D38)),IF(ISNUMBER(Data_2017!K38),100*ABS($G38-(Data_2017!K38-$K38)/$M38),0),IF(ISNUMBER(Data_2017!K38),100*ABS($G38-(Data_2017!K38-$K38)/$M38),0)))</f>
        <v>100</v>
      </c>
      <c r="R38" s="100">
        <f>IF($H38=0,0,CHOOSE($H38,SUMPRODUCT($O39:$O$67*R39:R$67*($E39:$E$67=$D38)),IF(ISNUMBER(Data_2017!L38),100*ABS($G38-(Data_2017!L38-$K38)/$M38),0),IF(ISNUMBER(Data_2017!L38),100*ABS($G38-(Data_2017!L38-$K38)/$M38),0)))</f>
        <v>75</v>
      </c>
      <c r="S38" s="100">
        <f>IF($H38=0,0,CHOOSE($H38,SUMPRODUCT($O39:$O$67*S39:S$67*($E39:$E$67=$D38)),IF(ISNUMBER(Data_2017!M38),100*ABS($G38-(Data_2017!M38-$K38)/$M38),0),IF(ISNUMBER(Data_2017!M38),100*ABS($G38-(Data_2017!M38-$K38)/$M38),0)))</f>
        <v>100</v>
      </c>
      <c r="T38" s="100">
        <f>IF($H38=0,0,CHOOSE($H38,SUMPRODUCT($O39:$O$67*T39:T$67*($E39:$E$67=$D38)),IF(ISNUMBER(Data_2017!N38),100*ABS($G38-(Data_2017!N38-$K38)/$M38),0),IF(ISNUMBER(Data_2017!N38),100*ABS($G38-(Data_2017!N38-$K38)/$M38),0)))</f>
        <v>100</v>
      </c>
      <c r="U38" s="100">
        <f>IF($H38=0,0,CHOOSE($H38,SUMPRODUCT($O39:$O$67*U39:U$67*($E39:$E$67=$D38)),IF(ISNUMBER(Data_2017!O38),100*ABS($G38-(Data_2017!O38-$K38)/$M38),0),IF(ISNUMBER(Data_2017!O38),100*ABS($G38-(Data_2017!O38-$K38)/$M38),0)))</f>
        <v>100</v>
      </c>
      <c r="V38" s="100">
        <f>IF($H38=0,0,CHOOSE($H38,SUMPRODUCT($O39:$O$67*V39:V$67*($E39:$E$67=$D38)),IF(ISNUMBER(Data_2017!P38),100*ABS($G38-(Data_2017!P38-$K38)/$M38),0),IF(ISNUMBER(Data_2017!P38),100*ABS($G38-(Data_2017!P38-$K38)/$M38),0)))</f>
        <v>75</v>
      </c>
      <c r="W38" s="100">
        <f>IF($H38=0,0,CHOOSE($H38,SUMPRODUCT($O39:$O$67*W39:W$67*($E39:$E$67=$D38)),IF(ISNUMBER(Data_2017!Q38),100*ABS($G38-(Data_2017!Q38-$K38)/$M38),0),IF(ISNUMBER(Data_2017!Q38),100*ABS($G38-(Data_2017!Q38-$K38)/$M38),0)))</f>
        <v>100</v>
      </c>
      <c r="X38" s="100">
        <f>IF($H38=0,0,CHOOSE($H38,SUMPRODUCT($O39:$O$67*X39:X$67*($E39:$E$67=$D38)),IF(ISNUMBER(Data_2017!R38),100*ABS($G38-(Data_2017!R38-$K38)/$M38),0),IF(ISNUMBER(Data_2017!R38),100*ABS($G38-(Data_2017!R38-$K38)/$M38),0)))</f>
        <v>100</v>
      </c>
      <c r="Y38" s="100">
        <f>IF($H38=0,0,CHOOSE($H38,SUMPRODUCT($O39:$O$67*Y39:Y$67*($E39:$E$67=$D38)),IF(ISNUMBER(Data_2017!S38),100*ABS($G38-(Data_2017!S38-$K38)/$M38),0),IF(ISNUMBER(Data_2017!S38),100*ABS($G38-(Data_2017!S38-$K38)/$M38),0)))</f>
        <v>75</v>
      </c>
      <c r="Z38" s="100">
        <f>IF($H38=0,0,CHOOSE($H38,SUMPRODUCT($O39:$O$67*Z39:Z$67*($E39:$E$67=$D38)),IF(ISNUMBER(Data_2017!T38),100*ABS($G38-(Data_2017!T38-$K38)/$M38),0),IF(ISNUMBER(Data_2017!T38),100*ABS($G38-(Data_2017!T38-$K38)/$M38),0)))</f>
        <v>50</v>
      </c>
      <c r="AA38" s="100">
        <f>IF($H38=0,0,CHOOSE($H38,SUMPRODUCT($O39:$O$67*AA39:AA$67*($E39:$E$67=$D38)),IF(ISNUMBER(Data_2017!U38),100*ABS($G38-(Data_2017!U38-$K38)/$M38),0),IF(ISNUMBER(Data_2017!U38),100*ABS($G38-(Data_2017!U38-$K38)/$M38),0)))</f>
        <v>75</v>
      </c>
      <c r="AB38" s="100">
        <f>IF($H38=0,0,CHOOSE($H38,SUMPRODUCT($O39:$O$67*AB39:AB$67*($E39:$E$67=$D38)),IF(ISNUMBER(Data_2017!V38),100*ABS($G38-(Data_2017!V38-$K38)/$M38),0),IF(ISNUMBER(Data_2017!V38),100*ABS($G38-(Data_2017!V38-$K38)/$M38),0)))</f>
        <v>100</v>
      </c>
      <c r="AC38" s="100">
        <f>IF($H38=0,0,CHOOSE($H38,SUMPRODUCT($O39:$O$67*AC39:AC$67*($E39:$E$67=$D38)),IF(ISNUMBER(Data_2017!W38),100*ABS($G38-(Data_2017!W38-$K38)/$M38),0),IF(ISNUMBER(Data_2017!W38),100*ABS($G38-(Data_2017!W38-$K38)/$M38),0)))</f>
        <v>100</v>
      </c>
      <c r="AD38" s="100">
        <f>IF($H38=0,0,CHOOSE($H38,SUMPRODUCT($O39:$O$67*AD39:AD$67*($E39:$E$67=$D38)),IF(ISNUMBER(Data_2017!X38),100*ABS($G38-(Data_2017!X38-$K38)/$M38),0),IF(ISNUMBER(Data_2017!X38),100*ABS($G38-(Data_2017!X38-$K38)/$M38),0)))</f>
        <v>50</v>
      </c>
      <c r="AE38" s="100">
        <f>IF($H38=0,0,CHOOSE($H38,SUMPRODUCT($O39:$O$67*AE39:AE$67*($E39:$E$67=$D38)),IF(ISNUMBER(Data_2017!Y38),100*ABS($G38-(Data_2017!Y38-$K38)/$M38),0),IF(ISNUMBER(Data_2017!Y38),100*ABS($G38-(Data_2017!Y38-$K38)/$M38),0)))</f>
        <v>50</v>
      </c>
      <c r="AF38" s="100">
        <f>IF($H38=0,0,CHOOSE($H38,SUMPRODUCT($O39:$O$67*AF39:AF$67*($E39:$E$67=$D38)),IF(ISNUMBER(Data_2017!Z38),100*ABS($G38-(Data_2017!Z38-$K38)/$M38),0),IF(ISNUMBER(Data_2017!Z38),100*ABS($G38-(Data_2017!Z38-$K38)/$M38),0)))</f>
        <v>75</v>
      </c>
      <c r="AG38" s="100">
        <f>IF($H38=0,0,CHOOSE($H38,SUMPRODUCT($O39:$O$67*AG39:AG$67*($E39:$E$67=$D38)),IF(ISNUMBER(Data_2017!AA38),100*ABS($G38-(Data_2017!AA38-$K38)/$M38),0),IF(ISNUMBER(Data_2017!AA38),100*ABS($G38-(Data_2017!AA38-$K38)/$M38),0)))</f>
        <v>100</v>
      </c>
      <c r="AH38" s="100">
        <f>IF($H38=0,0,CHOOSE($H38,SUMPRODUCT($O39:$O$67*AH39:AH$67*($E39:$E$67=$D38)),IF(ISNUMBER(Data_2017!AB38),100*ABS($G38-(Data_2017!AB38-$K38)/$M38),0),IF(ISNUMBER(Data_2017!AB38),100*ABS($G38-(Data_2017!AB38-$K38)/$M38),0)))</f>
        <v>50</v>
      </c>
      <c r="AI38" s="100">
        <f>IF($H38=0,0,CHOOSE($H38,SUMPRODUCT($O39:$O$67*AI39:AI$67*($E39:$E$67=$D38)),IF(ISNUMBER(Data_2017!AC38),100*ABS($G38-(Data_2017!AC38-$K38)/$M38),0),IF(ISNUMBER(Data_2017!AC38),100*ABS($G38-(Data_2017!AC38-$K38)/$M38),0)))</f>
        <v>100</v>
      </c>
      <c r="AJ38" s="100">
        <f>IF($H38=0,0,CHOOSE($H38,SUMPRODUCT($O39:$O$67*AJ39:AJ$67*($E39:$E$67=$D38)),IF(ISNUMBER(Data_2017!AD38),100*ABS($G38-(Data_2017!AD38-$K38)/$M38),0),IF(ISNUMBER(Data_2017!AD38),100*ABS($G38-(Data_2017!AD38-$K38)/$M38),0)))</f>
        <v>75</v>
      </c>
      <c r="AK38" s="100">
        <f>IF($H38=0,0,CHOOSE($H38,SUMPRODUCT($O39:$O$67*AK39:AK$67*($E39:$E$67=$D38)),IF(ISNUMBER(Data_2017!AE38),100*ABS($G38-(Data_2017!AE38-$K38)/$M38),0),IF(ISNUMBER(Data_2017!AE38),100*ABS($G38-(Data_2017!AE38-$K38)/$M38),0)))</f>
        <v>50</v>
      </c>
      <c r="AL38" s="100">
        <f>IF($H38=0,0,CHOOSE($H38,SUMPRODUCT($O39:$O$67*AL39:AL$67*($E39:$E$67=$D38)),IF(ISNUMBER(Data_2017!AF38),100*ABS($G38-(Data_2017!AF38-$K38)/$M38),0),IF(ISNUMBER(Data_2017!AF38),100*ABS($G38-(Data_2017!AF38-$K38)/$M38),0)))</f>
        <v>100</v>
      </c>
      <c r="AM38" s="100">
        <f>IF($H38=0,0,CHOOSE($H38,SUMPRODUCT($O39:$O$67*AM39:AM$67*($E39:$E$67=$D38)),IF(ISNUMBER(Data_2017!AG38),100*ABS($G38-(Data_2017!AG38-$K38)/$M38),0),IF(ISNUMBER(Data_2017!AG38),100*ABS($G38-(Data_2017!AG38-$K38)/$M38),0)))</f>
        <v>50</v>
      </c>
      <c r="AN38" s="100">
        <f>IF($H38=0,0,CHOOSE($H38,SUMPRODUCT($O39:$O$67*AN39:AN$67*($E39:$E$67=$D38)),IF(ISNUMBER(Data_2017!AH38),100*ABS($G38-(Data_2017!AH38-$K38)/$M38),0),IF(ISNUMBER(Data_2017!AH38),100*ABS($G38-(Data_2017!AH38-$K38)/$M38),0)))</f>
        <v>25</v>
      </c>
      <c r="AO38" s="100">
        <f>IF($H38=0,0,CHOOSE($H38,SUMPRODUCT($O39:$O$67*AO39:AO$67*($E39:$E$67=$D38)),IF(ISNUMBER(Data_2017!AI38),100*ABS($G38-(Data_2017!AI38-$K38)/$M38),0),IF(ISNUMBER(Data_2017!AI38),100*ABS($G38-(Data_2017!AI38-$K38)/$M38),0)))</f>
        <v>100</v>
      </c>
      <c r="AP38" s="100">
        <f>IF($H38=0,0,CHOOSE($H38,SUMPRODUCT($O39:$O$67*AP39:AP$67*($E39:$E$67=$D38)),IF(ISNUMBER(Data_2017!AJ38),100*ABS($G38-(Data_2017!AJ38-$K38)/$M38),0),IF(ISNUMBER(Data_2017!AJ38),100*ABS($G38-(Data_2017!AJ38-$K38)/$M38),0)))</f>
        <v>100</v>
      </c>
      <c r="AQ38" s="100">
        <f>IF($H38=0,0,CHOOSE($H38,SUMPRODUCT($O39:$O$67*AQ39:AQ$67*($E39:$E$67=$D38)),IF(ISNUMBER(Data_2017!AK38),100*ABS($G38-(Data_2017!AK38-$K38)/$M38),0),IF(ISNUMBER(Data_2017!AK38),100*ABS($G38-(Data_2017!AK38-$K38)/$M38),0)))</f>
        <v>100</v>
      </c>
      <c r="AR38" s="100">
        <f>IF($H38=0,0,CHOOSE($H38,SUMPRODUCT($O39:$O$67*AR39:AR$67*($E39:$E$67=$D38)),IF(ISNUMBER(Data_2017!AL38),100*ABS($G38-(Data_2017!AL38-$K38)/$M38),0),IF(ISNUMBER(Data_2017!AL38),100*ABS($G38-(Data_2017!AL38-$K38)/$M38),0)))</f>
        <v>100</v>
      </c>
      <c r="AS38" s="100">
        <f>IF($H38=0,0,CHOOSE($H38,SUMPRODUCT($O39:$O$67*AS39:AS$67*($E39:$E$67=$D38)),IF(ISNUMBER(Data_2017!AM38),100*ABS($G38-(Data_2017!AM38-$K38)/$M38),0),IF(ISNUMBER(Data_2017!AM38),100*ABS($G38-(Data_2017!AM38-$K38)/$M38),0)))</f>
        <v>100</v>
      </c>
      <c r="AT38" s="100">
        <f>IF($H38=0,0,CHOOSE($H38,SUMPRODUCT($O39:$O$67*AT39:AT$67*($E39:$E$67=$D38)),IF(ISNUMBER(Data_2017!AN38),100*ABS($G38-(Data_2017!AN38-$K38)/$M38),0),IF(ISNUMBER(Data_2017!AN38),100*ABS($G38-(Data_2017!AN38-$K38)/$M38),0)))</f>
        <v>100</v>
      </c>
      <c r="AU38" s="100">
        <f>IF($H38=0,0,CHOOSE($H38,SUMPRODUCT($O39:$O$67*AU39:AU$67*($E39:$E$67=$D38)),IF(ISNUMBER(Data_2017!AO38),100*ABS($G38-(Data_2017!AO38-$K38)/$M38),0),IF(ISNUMBER(Data_2017!AO38),100*ABS($G38-(Data_2017!AO38-$K38)/$M38),0)))</f>
        <v>75</v>
      </c>
      <c r="AV38" s="100">
        <f>IF($H38=0,0,CHOOSE($H38,SUMPRODUCT($O39:$O$67*AV39:AV$67*($E39:$E$67=$D38)),IF(ISNUMBER(Data_2017!AP38),100*ABS($G38-(Data_2017!AP38-$K38)/$M38),0),IF(ISNUMBER(Data_2017!AP38),100*ABS($G38-(Data_2017!AP38-$K38)/$M38),0)))</f>
        <v>100</v>
      </c>
      <c r="AW38" s="100">
        <f>IF($H38=0,0,CHOOSE($H38,SUMPRODUCT($O39:$O$67*AW39:AW$67*($E39:$E$67=$D38)),IF(ISNUMBER(Data_2017!AQ38),100*ABS($G38-(Data_2017!AQ38-$K38)/$M38),0),IF(ISNUMBER(Data_2017!AQ38),100*ABS($G38-(Data_2017!AQ38-$K38)/$M38),0)))</f>
        <v>50</v>
      </c>
      <c r="AX38" s="100">
        <f>IF($H38=0,0,CHOOSE($H38,SUMPRODUCT($O39:$O$67*AX39:AX$67*($E39:$E$67=$D38)),IF(ISNUMBER(Data_2017!AR38),100*ABS($G38-(Data_2017!AR38-$K38)/$M38),0),IF(ISNUMBER(Data_2017!AR38),100*ABS($G38-(Data_2017!AR38-$K38)/$M38),0)))</f>
        <v>100</v>
      </c>
      <c r="AY38" s="100">
        <f>IF($H38=0,0,CHOOSE($H38,SUMPRODUCT($O39:$O$67*AY39:AY$67*($E39:$E$67=$D38)),IF(ISNUMBER(Data_2017!AS38),100*ABS($G38-(Data_2017!AS38-$K38)/$M38),0),IF(ISNUMBER(Data_2017!AS38),100*ABS($G38-(Data_2017!AS38-$K38)/$M38),0)))</f>
        <v>100</v>
      </c>
      <c r="AZ38" s="100">
        <f>IF($H38=0,0,CHOOSE($H38,SUMPRODUCT($O39:$O$67*AZ39:AZ$67*($E39:$E$67=$D38)),IF(ISNUMBER(Data_2017!AT38),100*ABS($G38-(Data_2017!AT38-$K38)/$M38),0),IF(ISNUMBER(Data_2017!AT38),100*ABS($G38-(Data_2017!AT38-$K38)/$M38),0)))</f>
        <v>75</v>
      </c>
      <c r="BA38" s="100">
        <f>IF($H38=0,0,CHOOSE($H38,SUMPRODUCT($O39:$O$67*BA39:BA$67*($E39:$E$67=$D38)),IF(ISNUMBER(Data_2017!AU38),100*ABS($G38-(Data_2017!AU38-$K38)/$M38),0),IF(ISNUMBER(Data_2017!AU38),100*ABS($G38-(Data_2017!AU38-$K38)/$M38),0)))</f>
        <v>100</v>
      </c>
      <c r="BB38" s="100">
        <f>IF($H38=0,0,CHOOSE($H38,SUMPRODUCT($O39:$O$67*BB39:BB$67*($E39:$E$67=$D38)),IF(ISNUMBER(Data_2017!AV38),100*ABS($G38-(Data_2017!AV38-$K38)/$M38),0),IF(ISNUMBER(Data_2017!AV38),100*ABS($G38-(Data_2017!AV38-$K38)/$M38),0)))</f>
        <v>100</v>
      </c>
      <c r="BC38" s="100">
        <f>IF($H38=0,0,CHOOSE($H38,SUMPRODUCT($O39:$O$67*BC39:BC$67*($E39:$E$67=$D38)),IF(ISNUMBER(Data_2017!AW38),100*ABS($G38-(Data_2017!AW38-$K38)/$M38),0),IF(ISNUMBER(Data_2017!AW38),100*ABS($G38-(Data_2017!AW38-$K38)/$M38),0)))</f>
        <v>100</v>
      </c>
      <c r="BD38" s="100">
        <f>IF($H38=0,0,CHOOSE($H38,SUMPRODUCT($O39:$O$67*BD39:BD$67*($E39:$E$67=$D38)),IF(ISNUMBER(Data_2017!AX38),100*ABS($G38-(Data_2017!AX38-$K38)/$M38),0),IF(ISNUMBER(Data_2017!AX38),100*ABS($G38-(Data_2017!AX38-$K38)/$M38),0)))</f>
        <v>75</v>
      </c>
      <c r="BE38" s="100">
        <f>IF($H38=0,0,CHOOSE($H38,SUMPRODUCT($O39:$O$67*BE39:BE$67*($E39:$E$67=$D38)),IF(ISNUMBER(Data_2017!AY38),100*ABS($G38-(Data_2017!AY38-$K38)/$M38),0),IF(ISNUMBER(Data_2017!AY38),100*ABS($G38-(Data_2017!AY38-$K38)/$M38),0)))</f>
        <v>100</v>
      </c>
      <c r="BF38" s="100">
        <f>IF($H38=0,0,CHOOSE($H38,SUMPRODUCT($O39:$O$67*BF39:BF$67*($E39:$E$67=$D38)),IF(ISNUMBER(Data_2017!AZ38),100*ABS($G38-(Data_2017!AZ38-$K38)/$M38),0),IF(ISNUMBER(Data_2017!AZ38),100*ABS($G38-(Data_2017!AZ38-$K38)/$M38),0)))</f>
        <v>75</v>
      </c>
      <c r="BG38" s="100">
        <f>IF($H38=0,0,CHOOSE($H38,SUMPRODUCT($O39:$O$67*BG39:BG$67*($E39:$E$67=$D38)),IF(ISNUMBER(Data_2017!BA38),100*ABS($G38-(Data_2017!BA38-$K38)/$M38),0),IF(ISNUMBER(Data_2017!BA38),100*ABS($G38-(Data_2017!BA38-$K38)/$M38),0)))</f>
        <v>100</v>
      </c>
      <c r="BH38" s="100">
        <f>IF($H38=0,0,CHOOSE($H38,SUMPRODUCT($O39:$O$67*BH39:BH$67*($E39:$E$67=$D38)),IF(ISNUMBER(Data_2017!BB38),100*ABS($G38-(Data_2017!BB38-$K38)/$M38),0),IF(ISNUMBER(Data_2017!BB38),100*ABS($G38-(Data_2017!BB38-$K38)/$M38),0)))</f>
        <v>100</v>
      </c>
      <c r="BI38" s="100">
        <f>IF($H38=0,0,CHOOSE($H38,SUMPRODUCT($O39:$O$67*BI39:BI$67*($E39:$E$67=$D38)),IF(ISNUMBER(Data_2017!BC38),100*ABS($G38-(Data_2017!BC38-$K38)/$M38),0),IF(ISNUMBER(Data_2017!BC38),100*ABS($G38-(Data_2017!BC38-$K38)/$M38),0)))</f>
        <v>100</v>
      </c>
      <c r="BJ38" s="100">
        <f>IF($H38=0,0,CHOOSE($H38,SUMPRODUCT($O39:$O$67*BJ39:BJ$67*($E39:$E$67=$D38)),IF(ISNUMBER(Data_2017!BD38),100*ABS($G38-(Data_2017!BD38-$K38)/$M38),0),IF(ISNUMBER(Data_2017!BD38),100*ABS($G38-(Data_2017!BD38-$K38)/$M38),0)))</f>
        <v>75</v>
      </c>
      <c r="BK38" s="100">
        <f>IF($H38=0,0,CHOOSE($H38,SUMPRODUCT($O39:$O$67*BK39:BK$67*($E39:$E$67=$D38)),IF(ISNUMBER(Data_2017!BE38),100*ABS($G38-(Data_2017!BE38-$K38)/$M38),0),IF(ISNUMBER(Data_2017!BE38),100*ABS($G38-(Data_2017!BE38-$K38)/$M38),0)))</f>
        <v>100</v>
      </c>
      <c r="BL38" s="100">
        <f>IF($H38=0,0,CHOOSE($H38,SUMPRODUCT($O39:$O$67*BL39:BL$67*($E39:$E$67=$D38)),IF(ISNUMBER(Data_2017!BF38),100*ABS($G38-(Data_2017!BF38-$K38)/$M38),0),IF(ISNUMBER(Data_2017!BF38),100*ABS($G38-(Data_2017!BF38-$K38)/$M38),0)))</f>
        <v>100</v>
      </c>
      <c r="BM38" s="100">
        <f>IF($H38=0,0,CHOOSE($H38,SUMPRODUCT($O39:$O$67*BM39:BM$67*($E39:$E$67=$D38)),IF(ISNUMBER(Data_2017!BG38),100*ABS($G38-(Data_2017!BG38-$K38)/$M38),0),IF(ISNUMBER(Data_2017!BG38),100*ABS($G38-(Data_2017!BG38-$K38)/$M38),0)))</f>
        <v>100</v>
      </c>
      <c r="BN38" s="100">
        <f>IF($H38=0,0,CHOOSE($H38,SUMPRODUCT($O39:$O$67*BN39:BN$67*($E39:$E$67=$D38)),IF(ISNUMBER(Data_2017!BH38),100*ABS($G38-(Data_2017!BH38-$K38)/$M38),0),IF(ISNUMBER(Data_2017!BH38),100*ABS($G38-(Data_2017!BH38-$K38)/$M38),0)))</f>
        <v>100</v>
      </c>
      <c r="BO38" s="100">
        <f>IF($H38=0,0,CHOOSE($H38,SUMPRODUCT($O39:$O$67*BO39:BO$67*($E39:$E$67=$D38)),IF(ISNUMBER(Data_2017!BI38),100*ABS($G38-(Data_2017!BI38-$K38)/$M38),0),IF(ISNUMBER(Data_2017!BI38),100*ABS($G38-(Data_2017!BI38-$K38)/$M38),0)))</f>
        <v>100</v>
      </c>
      <c r="BP38" s="100">
        <f>IF($H38=0,0,CHOOSE($H38,SUMPRODUCT($O39:$O$67*BP39:BP$67*($E39:$E$67=$D38)),IF(ISNUMBER(Data_2017!BJ38),100*ABS($G38-(Data_2017!BJ38-$K38)/$M38),0),IF(ISNUMBER(Data_2017!BJ38),100*ABS($G38-(Data_2017!BJ38-$K38)/$M38),0)))</f>
        <v>75</v>
      </c>
      <c r="BQ38" s="100">
        <f>IF($H38=0,0,CHOOSE($H38,SUMPRODUCT($O39:$O$67*BQ39:BQ$67*($E39:$E$67=$D38)),IF(ISNUMBER(Data_2017!BK38),100*ABS($G38-(Data_2017!BK38-$K38)/$M38),0),IF(ISNUMBER(Data_2017!BK38),100*ABS($G38-(Data_2017!BK38-$K38)/$M38),0)))</f>
        <v>50</v>
      </c>
      <c r="BR38" s="100">
        <f>IF($H38=0,0,CHOOSE($H38,SUMPRODUCT($O39:$O$67*BR39:BR$67*($E39:$E$67=$D38)),IF(ISNUMBER(Data_2017!BL38),100*ABS($G38-(Data_2017!BL38-$K38)/$M38),0),IF(ISNUMBER(Data_2017!BL38),100*ABS($G38-(Data_2017!BL38-$K38)/$M38),0)))</f>
        <v>100</v>
      </c>
      <c r="BS38" s="100">
        <f>IF($H38=0,0,CHOOSE($H38,SUMPRODUCT($O39:$O$67*BS39:BS$67*($E39:$E$67=$D38)),IF(ISNUMBER(Data_2017!BM38),100*ABS($G38-(Data_2017!BM38-$K38)/$M38),0),IF(ISNUMBER(Data_2017!BM38),100*ABS($G38-(Data_2017!BM38-$K38)/$M38),0)))</f>
        <v>100</v>
      </c>
      <c r="BT38" s="100">
        <f>IF($H38=0,0,CHOOSE($H38,SUMPRODUCT($O39:$O$67*BT39:BT$67*($E39:$E$67=$D38)),IF(ISNUMBER(Data_2017!BN38),100*ABS($G38-(Data_2017!BN38-$K38)/$M38),0),IF(ISNUMBER(Data_2017!BN38),100*ABS($G38-(Data_2017!BN38-$K38)/$M38),0)))</f>
        <v>100</v>
      </c>
      <c r="BU38" s="100">
        <f>IF($H38=0,0,CHOOSE($H38,SUMPRODUCT($O39:$O$67*BU39:BU$67*($E39:$E$67=$D38)),IF(ISNUMBER(Data_2017!BO38),100*ABS($G38-(Data_2017!BO38-$K38)/$M38),0),IF(ISNUMBER(Data_2017!BO38),100*ABS($G38-(Data_2017!BO38-$K38)/$M38),0)))</f>
        <v>100</v>
      </c>
      <c r="BV38" s="100">
        <f>IF($H38=0,0,CHOOSE($H38,SUMPRODUCT($O39:$O$67*BV39:BV$67*($E39:$E$67=$D38)),IF(ISNUMBER(Data_2017!BP38),100*ABS($G38-(Data_2017!BP38-$K38)/$M38),0),IF(ISNUMBER(Data_2017!BP38),100*ABS($G38-(Data_2017!BP38-$K38)/$M38),0)))</f>
        <v>50</v>
      </c>
      <c r="BW38" s="100">
        <f>IF($H38=0,0,CHOOSE($H38,SUMPRODUCT($O39:$O$67*BW39:BW$67*($E39:$E$67=$D38)),IF(ISNUMBER(Data_2017!BQ38),100*ABS($G38-(Data_2017!BQ38-$K38)/$M38),0),IF(ISNUMBER(Data_2017!BQ38),100*ABS($G38-(Data_2017!BQ38-$K38)/$M38),0)))</f>
        <v>100</v>
      </c>
      <c r="BX38" s="100">
        <f>IF($H38=0,0,CHOOSE($H38,SUMPRODUCT($O39:$O$67*BX39:BX$67*($E39:$E$67=$D38)),IF(ISNUMBER(Data_2017!BR38),100*ABS($G38-(Data_2017!BR38-$K38)/$M38),0),IF(ISNUMBER(Data_2017!BR38),100*ABS($G38-(Data_2017!BR38-$K38)/$M38),0)))</f>
        <v>100</v>
      </c>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row>
    <row r="39" s="69" customFormat="1" ht="24.95" customHeight="1" spans="1:130">
      <c r="A39" s="92"/>
      <c r="B39" s="92">
        <f>tblIndicators!A35</f>
        <v>34</v>
      </c>
      <c r="C39" s="92">
        <f>tblIndicators!B35</f>
        <v>0</v>
      </c>
      <c r="D39" s="92" t="str">
        <f>tblIndicators!D35</f>
        <v>INSE3.1.5</v>
      </c>
      <c r="E39" s="92" t="str">
        <f>tblIndicators!E35</f>
        <v>INSE3.1</v>
      </c>
      <c r="F39" s="92">
        <f>tblIndicators!F35</f>
        <v>3</v>
      </c>
      <c r="G39" s="92">
        <f>tblIndicators!Y35</f>
        <v>1</v>
      </c>
      <c r="H39" s="92">
        <f>tblIndicators!Z35</f>
        <v>3</v>
      </c>
      <c r="I39" s="104">
        <f>tblIndicators!AA35</f>
        <v>1</v>
      </c>
      <c r="J39" s="92">
        <f>tblIndicators!AB35</f>
        <v>5</v>
      </c>
      <c r="K39" s="89">
        <f>IF(uxb_works!$B$66=1,CHOOSE(H39,"-",MIN(Data_2017!J39:BR39),I39),CHOOSE(H39,"-",MIN(Data_2017!J39:BQ39),I39))</f>
        <v>1</v>
      </c>
      <c r="L39" s="97">
        <f>IF(uxb_works!$B$66=1,CHOOSE(H39,"-",MAX(Data_2017!J39:BR39),J39),CHOOSE(H39,"-",MAX(Data_2017!J39:BQ39),J39))</f>
        <v>5</v>
      </c>
      <c r="M39" s="92">
        <f t="shared" si="1"/>
        <v>4</v>
      </c>
      <c r="N39" s="105" t="str">
        <f>REPT(" ",F39)&amp;tblIndicators!AE35</f>
        <v>   3.1.5) Disaster management/business continuity plan</v>
      </c>
      <c r="O39" s="106">
        <f>tblIndicators!AD35</f>
        <v>0.2</v>
      </c>
      <c r="P39" s="100">
        <f>IF($H39=0,0,CHOOSE($H39,SUMPRODUCT($O40:$O$67*P40:P$67*($E40:$E$67=$D39)),IF(ISNUMBER(Data_2017!J39),100*ABS($G39-(Data_2017!J39-$K39)/$M39),0),IF(ISNUMBER(Data_2017!J39),100*ABS($G39-(Data_2017!J39-$K39)/$M39),0)))</f>
        <v>75</v>
      </c>
      <c r="Q39" s="100">
        <f>IF($H39=0,0,CHOOSE($H39,SUMPRODUCT($O40:$O$67*Q40:Q$67*($E40:$E$67=$D39)),IF(ISNUMBER(Data_2017!K39),100*ABS($G39-(Data_2017!K39-$K39)/$M39),0),IF(ISNUMBER(Data_2017!K39),100*ABS($G39-(Data_2017!K39-$K39)/$M39),0)))</f>
        <v>100</v>
      </c>
      <c r="R39" s="100">
        <f>IF($H39=0,0,CHOOSE($H39,SUMPRODUCT($O40:$O$67*R40:R$67*($E40:$E$67=$D39)),IF(ISNUMBER(Data_2017!L39),100*ABS($G39-(Data_2017!L39-$K39)/$M39),0),IF(ISNUMBER(Data_2017!L39),100*ABS($G39-(Data_2017!L39-$K39)/$M39),0)))</f>
        <v>75</v>
      </c>
      <c r="S39" s="100">
        <f>IF($H39=0,0,CHOOSE($H39,SUMPRODUCT($O40:$O$67*S40:S$67*($E40:$E$67=$D39)),IF(ISNUMBER(Data_2017!M39),100*ABS($G39-(Data_2017!M39-$K39)/$M39),0),IF(ISNUMBER(Data_2017!M39),100*ABS($G39-(Data_2017!M39-$K39)/$M39),0)))</f>
        <v>75</v>
      </c>
      <c r="T39" s="100">
        <f>IF($H39=0,0,CHOOSE($H39,SUMPRODUCT($O40:$O$67*T40:T$67*($E40:$E$67=$D39)),IF(ISNUMBER(Data_2017!N39),100*ABS($G39-(Data_2017!N39-$K39)/$M39),0),IF(ISNUMBER(Data_2017!N39),100*ABS($G39-(Data_2017!N39-$K39)/$M39),0)))</f>
        <v>100</v>
      </c>
      <c r="U39" s="100">
        <f>IF($H39=0,0,CHOOSE($H39,SUMPRODUCT($O40:$O$67*U40:U$67*($E40:$E$67=$D39)),IF(ISNUMBER(Data_2017!O39),100*ABS($G39-(Data_2017!O39-$K39)/$M39),0),IF(ISNUMBER(Data_2017!O39),100*ABS($G39-(Data_2017!O39-$K39)/$M39),0)))</f>
        <v>50</v>
      </c>
      <c r="V39" s="100">
        <f>IF($H39=0,0,CHOOSE($H39,SUMPRODUCT($O40:$O$67*V40:V$67*($E40:$E$67=$D39)),IF(ISNUMBER(Data_2017!P39),100*ABS($G39-(Data_2017!P39-$K39)/$M39),0),IF(ISNUMBER(Data_2017!P39),100*ABS($G39-(Data_2017!P39-$K39)/$M39),0)))</f>
        <v>50</v>
      </c>
      <c r="W39" s="100">
        <f>IF($H39=0,0,CHOOSE($H39,SUMPRODUCT($O40:$O$67*W40:W$67*($E40:$E$67=$D39)),IF(ISNUMBER(Data_2017!Q39),100*ABS($G39-(Data_2017!Q39-$K39)/$M39),0),IF(ISNUMBER(Data_2017!Q39),100*ABS($G39-(Data_2017!Q39-$K39)/$M39),0)))</f>
        <v>100</v>
      </c>
      <c r="X39" s="100">
        <f>IF($H39=0,0,CHOOSE($H39,SUMPRODUCT($O40:$O$67*X40:X$67*($E40:$E$67=$D39)),IF(ISNUMBER(Data_2017!R39),100*ABS($G39-(Data_2017!R39-$K39)/$M39),0),IF(ISNUMBER(Data_2017!R39),100*ABS($G39-(Data_2017!R39-$K39)/$M39),0)))</f>
        <v>100</v>
      </c>
      <c r="Y39" s="100">
        <f>IF($H39=0,0,CHOOSE($H39,SUMPRODUCT($O40:$O$67*Y40:Y$67*($E40:$E$67=$D39)),IF(ISNUMBER(Data_2017!S39),100*ABS($G39-(Data_2017!S39-$K39)/$M39),0),IF(ISNUMBER(Data_2017!S39),100*ABS($G39-(Data_2017!S39-$K39)/$M39),0)))</f>
        <v>50</v>
      </c>
      <c r="Z39" s="100">
        <f>IF($H39=0,0,CHOOSE($H39,SUMPRODUCT($O40:$O$67*Z40:Z$67*($E40:$E$67=$D39)),IF(ISNUMBER(Data_2017!T39),100*ABS($G39-(Data_2017!T39-$K39)/$M39),0),IF(ISNUMBER(Data_2017!T39),100*ABS($G39-(Data_2017!T39-$K39)/$M39),0)))</f>
        <v>50</v>
      </c>
      <c r="AA39" s="100">
        <f>IF($H39=0,0,CHOOSE($H39,SUMPRODUCT($O40:$O$67*AA40:AA$67*($E40:$E$67=$D39)),IF(ISNUMBER(Data_2017!U39),100*ABS($G39-(Data_2017!U39-$K39)/$M39),0),IF(ISNUMBER(Data_2017!U39),100*ABS($G39-(Data_2017!U39-$K39)/$M39),0)))</f>
        <v>75</v>
      </c>
      <c r="AB39" s="100">
        <f>IF($H39=0,0,CHOOSE($H39,SUMPRODUCT($O40:$O$67*AB40:AB$67*($E40:$E$67=$D39)),IF(ISNUMBER(Data_2017!V39),100*ABS($G39-(Data_2017!V39-$K39)/$M39),0),IF(ISNUMBER(Data_2017!V39),100*ABS($G39-(Data_2017!V39-$K39)/$M39),0)))</f>
        <v>100</v>
      </c>
      <c r="AC39" s="100">
        <f>IF($H39=0,0,CHOOSE($H39,SUMPRODUCT($O40:$O$67*AC40:AC$67*($E40:$E$67=$D39)),IF(ISNUMBER(Data_2017!W39),100*ABS($G39-(Data_2017!W39-$K39)/$M39),0),IF(ISNUMBER(Data_2017!W39),100*ABS($G39-(Data_2017!W39-$K39)/$M39),0)))</f>
        <v>100</v>
      </c>
      <c r="AD39" s="100">
        <f>IF($H39=0,0,CHOOSE($H39,SUMPRODUCT($O40:$O$67*AD40:AD$67*($E40:$E$67=$D39)),IF(ISNUMBER(Data_2017!X39),100*ABS($G39-(Data_2017!X39-$K39)/$M39),0),IF(ISNUMBER(Data_2017!X39),100*ABS($G39-(Data_2017!X39-$K39)/$M39),0)))</f>
        <v>50</v>
      </c>
      <c r="AE39" s="100">
        <f>IF($H39=0,0,CHOOSE($H39,SUMPRODUCT($O40:$O$67*AE40:AE$67*($E40:$E$67=$D39)),IF(ISNUMBER(Data_2017!Y39),100*ABS($G39-(Data_2017!Y39-$K39)/$M39),0),IF(ISNUMBER(Data_2017!Y39),100*ABS($G39-(Data_2017!Y39-$K39)/$M39),0)))</f>
        <v>25</v>
      </c>
      <c r="AF39" s="100">
        <f>IF($H39=0,0,CHOOSE($H39,SUMPRODUCT($O40:$O$67*AF40:AF$67*($E40:$E$67=$D39)),IF(ISNUMBER(Data_2017!Z39),100*ABS($G39-(Data_2017!Z39-$K39)/$M39),0),IF(ISNUMBER(Data_2017!Z39),100*ABS($G39-(Data_2017!Z39-$K39)/$M39),0)))</f>
        <v>100</v>
      </c>
      <c r="AG39" s="100">
        <f>IF($H39=0,0,CHOOSE($H39,SUMPRODUCT($O40:$O$67*AG40:AG$67*($E40:$E$67=$D39)),IF(ISNUMBER(Data_2017!AA39),100*ABS($G39-(Data_2017!AA39-$K39)/$M39),0),IF(ISNUMBER(Data_2017!AA39),100*ABS($G39-(Data_2017!AA39-$K39)/$M39),0)))</f>
        <v>100</v>
      </c>
      <c r="AH39" s="100">
        <f>IF($H39=0,0,CHOOSE($H39,SUMPRODUCT($O40:$O$67*AH40:AH$67*($E40:$E$67=$D39)),IF(ISNUMBER(Data_2017!AB39),100*ABS($G39-(Data_2017!AB39-$K39)/$M39),0),IF(ISNUMBER(Data_2017!AB39),100*ABS($G39-(Data_2017!AB39-$K39)/$M39),0)))</f>
        <v>25</v>
      </c>
      <c r="AI39" s="100">
        <f>IF($H39=0,0,CHOOSE($H39,SUMPRODUCT($O40:$O$67*AI40:AI$67*($E40:$E$67=$D39)),IF(ISNUMBER(Data_2017!AC39),100*ABS($G39-(Data_2017!AC39-$K39)/$M39),0),IF(ISNUMBER(Data_2017!AC39),100*ABS($G39-(Data_2017!AC39-$K39)/$M39),0)))</f>
        <v>100</v>
      </c>
      <c r="AJ39" s="100">
        <f>IF($H39=0,0,CHOOSE($H39,SUMPRODUCT($O40:$O$67*AJ40:AJ$67*($E40:$E$67=$D39)),IF(ISNUMBER(Data_2017!AD39),100*ABS($G39-(Data_2017!AD39-$K39)/$M39),0),IF(ISNUMBER(Data_2017!AD39),100*ABS($G39-(Data_2017!AD39-$K39)/$M39),0)))</f>
        <v>75</v>
      </c>
      <c r="AK39" s="100">
        <f>IF($H39=0,0,CHOOSE($H39,SUMPRODUCT($O40:$O$67*AK40:AK$67*($E40:$E$67=$D39)),IF(ISNUMBER(Data_2017!AE39),100*ABS($G39-(Data_2017!AE39-$K39)/$M39),0),IF(ISNUMBER(Data_2017!AE39),100*ABS($G39-(Data_2017!AE39-$K39)/$M39),0)))</f>
        <v>50</v>
      </c>
      <c r="AL39" s="100">
        <f>IF($H39=0,0,CHOOSE($H39,SUMPRODUCT($O40:$O$67*AL40:AL$67*($E40:$E$67=$D39)),IF(ISNUMBER(Data_2017!AF39),100*ABS($G39-(Data_2017!AF39-$K39)/$M39),0),IF(ISNUMBER(Data_2017!AF39),100*ABS($G39-(Data_2017!AF39-$K39)/$M39),0)))</f>
        <v>0</v>
      </c>
      <c r="AM39" s="100">
        <f>IF($H39=0,0,CHOOSE($H39,SUMPRODUCT($O40:$O$67*AM40:AM$67*($E40:$E$67=$D39)),IF(ISNUMBER(Data_2017!AG39),100*ABS($G39-(Data_2017!AG39-$K39)/$M39),0),IF(ISNUMBER(Data_2017!AG39),100*ABS($G39-(Data_2017!AG39-$K39)/$M39),0)))</f>
        <v>75</v>
      </c>
      <c r="AN39" s="100">
        <f>IF($H39=0,0,CHOOSE($H39,SUMPRODUCT($O40:$O$67*AN40:AN$67*($E40:$E$67=$D39)),IF(ISNUMBER(Data_2017!AH39),100*ABS($G39-(Data_2017!AH39-$K39)/$M39),0),IF(ISNUMBER(Data_2017!AH39),100*ABS($G39-(Data_2017!AH39-$K39)/$M39),0)))</f>
        <v>0</v>
      </c>
      <c r="AO39" s="100">
        <f>IF($H39=0,0,CHOOSE($H39,SUMPRODUCT($O40:$O$67*AO40:AO$67*($E40:$E$67=$D39)),IF(ISNUMBER(Data_2017!AI39),100*ABS($G39-(Data_2017!AI39-$K39)/$M39),0),IF(ISNUMBER(Data_2017!AI39),100*ABS($G39-(Data_2017!AI39-$K39)/$M39),0)))</f>
        <v>75</v>
      </c>
      <c r="AP39" s="100">
        <f>IF($H39=0,0,CHOOSE($H39,SUMPRODUCT($O40:$O$67*AP40:AP$67*($E40:$E$67=$D39)),IF(ISNUMBER(Data_2017!AJ39),100*ABS($G39-(Data_2017!AJ39-$K39)/$M39),0),IF(ISNUMBER(Data_2017!AJ39),100*ABS($G39-(Data_2017!AJ39-$K39)/$M39),0)))</f>
        <v>75</v>
      </c>
      <c r="AQ39" s="100">
        <f>IF($H39=0,0,CHOOSE($H39,SUMPRODUCT($O40:$O$67*AQ40:AQ$67*($E40:$E$67=$D39)),IF(ISNUMBER(Data_2017!AK39),100*ABS($G39-(Data_2017!AK39-$K39)/$M39),0),IF(ISNUMBER(Data_2017!AK39),100*ABS($G39-(Data_2017!AK39-$K39)/$M39),0)))</f>
        <v>75</v>
      </c>
      <c r="AR39" s="100">
        <f>IF($H39=0,0,CHOOSE($H39,SUMPRODUCT($O40:$O$67*AR40:AR$67*($E40:$E$67=$D39)),IF(ISNUMBER(Data_2017!AL39),100*ABS($G39-(Data_2017!AL39-$K39)/$M39),0),IF(ISNUMBER(Data_2017!AL39),100*ABS($G39-(Data_2017!AL39-$K39)/$M39),0)))</f>
        <v>100</v>
      </c>
      <c r="AS39" s="100">
        <f>IF($H39=0,0,CHOOSE($H39,SUMPRODUCT($O40:$O$67*AS40:AS$67*($E40:$E$67=$D39)),IF(ISNUMBER(Data_2017!AM39),100*ABS($G39-(Data_2017!AM39-$K39)/$M39),0),IF(ISNUMBER(Data_2017!AM39),100*ABS($G39-(Data_2017!AM39-$K39)/$M39),0)))</f>
        <v>100</v>
      </c>
      <c r="AT39" s="100">
        <f>IF($H39=0,0,CHOOSE($H39,SUMPRODUCT($O40:$O$67*AT40:AT$67*($E40:$E$67=$D39)),IF(ISNUMBER(Data_2017!AN39),100*ABS($G39-(Data_2017!AN39-$K39)/$M39),0),IF(ISNUMBER(Data_2017!AN39),100*ABS($G39-(Data_2017!AN39-$K39)/$M39),0)))</f>
        <v>100</v>
      </c>
      <c r="AU39" s="100">
        <f>IF($H39=0,0,CHOOSE($H39,SUMPRODUCT($O40:$O$67*AU40:AU$67*($E40:$E$67=$D39)),IF(ISNUMBER(Data_2017!AO39),100*ABS($G39-(Data_2017!AO39-$K39)/$M39),0),IF(ISNUMBER(Data_2017!AO39),100*ABS($G39-(Data_2017!AO39-$K39)/$M39),0)))</f>
        <v>25</v>
      </c>
      <c r="AV39" s="100">
        <f>IF($H39=0,0,CHOOSE($H39,SUMPRODUCT($O40:$O$67*AV40:AV$67*($E40:$E$67=$D39)),IF(ISNUMBER(Data_2017!AP39),100*ABS($G39-(Data_2017!AP39-$K39)/$M39),0),IF(ISNUMBER(Data_2017!AP39),100*ABS($G39-(Data_2017!AP39-$K39)/$M39),0)))</f>
        <v>100</v>
      </c>
      <c r="AW39" s="100">
        <f>IF($H39=0,0,CHOOSE($H39,SUMPRODUCT($O40:$O$67*AW40:AW$67*($E40:$E$67=$D39)),IF(ISNUMBER(Data_2017!AQ39),100*ABS($G39-(Data_2017!AQ39-$K39)/$M39),0),IF(ISNUMBER(Data_2017!AQ39),100*ABS($G39-(Data_2017!AQ39-$K39)/$M39),0)))</f>
        <v>75</v>
      </c>
      <c r="AX39" s="100">
        <f>IF($H39=0,0,CHOOSE($H39,SUMPRODUCT($O40:$O$67*AX40:AX$67*($E40:$E$67=$D39)),IF(ISNUMBER(Data_2017!AR39),100*ABS($G39-(Data_2017!AR39-$K39)/$M39),0),IF(ISNUMBER(Data_2017!AR39),100*ABS($G39-(Data_2017!AR39-$K39)/$M39),0)))</f>
        <v>100</v>
      </c>
      <c r="AY39" s="100">
        <f>IF($H39=0,0,CHOOSE($H39,SUMPRODUCT($O40:$O$67*AY40:AY$67*($E40:$E$67=$D39)),IF(ISNUMBER(Data_2017!AS39),100*ABS($G39-(Data_2017!AS39-$K39)/$M39),0),IF(ISNUMBER(Data_2017!AS39),100*ABS($G39-(Data_2017!AS39-$K39)/$M39),0)))</f>
        <v>75</v>
      </c>
      <c r="AZ39" s="100">
        <f>IF($H39=0,0,CHOOSE($H39,SUMPRODUCT($O40:$O$67*AZ40:AZ$67*($E40:$E$67=$D39)),IF(ISNUMBER(Data_2017!AT39),100*ABS($G39-(Data_2017!AT39-$K39)/$M39),0),IF(ISNUMBER(Data_2017!AT39),100*ABS($G39-(Data_2017!AT39-$K39)/$M39),0)))</f>
        <v>50</v>
      </c>
      <c r="BA39" s="100">
        <f>IF($H39=0,0,CHOOSE($H39,SUMPRODUCT($O40:$O$67*BA40:BA$67*($E40:$E$67=$D39)),IF(ISNUMBER(Data_2017!AU39),100*ABS($G39-(Data_2017!AU39-$K39)/$M39),0),IF(ISNUMBER(Data_2017!AU39),100*ABS($G39-(Data_2017!AU39-$K39)/$M39),0)))</f>
        <v>100</v>
      </c>
      <c r="BB39" s="100">
        <f>IF($H39=0,0,CHOOSE($H39,SUMPRODUCT($O40:$O$67*BB40:BB$67*($E40:$E$67=$D39)),IF(ISNUMBER(Data_2017!AV39),100*ABS($G39-(Data_2017!AV39-$K39)/$M39),0),IF(ISNUMBER(Data_2017!AV39),100*ABS($G39-(Data_2017!AV39-$K39)/$M39),0)))</f>
        <v>100</v>
      </c>
      <c r="BC39" s="100">
        <f>IF($H39=0,0,CHOOSE($H39,SUMPRODUCT($O40:$O$67*BC40:BC$67*($E40:$E$67=$D39)),IF(ISNUMBER(Data_2017!AW39),100*ABS($G39-(Data_2017!AW39-$K39)/$M39),0),IF(ISNUMBER(Data_2017!AW39),100*ABS($G39-(Data_2017!AW39-$K39)/$M39),0)))</f>
        <v>100</v>
      </c>
      <c r="BD39" s="100">
        <f>IF($H39=0,0,CHOOSE($H39,SUMPRODUCT($O40:$O$67*BD40:BD$67*($E40:$E$67=$D39)),IF(ISNUMBER(Data_2017!AX39),100*ABS($G39-(Data_2017!AX39-$K39)/$M39),0),IF(ISNUMBER(Data_2017!AX39),100*ABS($G39-(Data_2017!AX39-$K39)/$M39),0)))</f>
        <v>25</v>
      </c>
      <c r="BE39" s="100">
        <f>IF($H39=0,0,CHOOSE($H39,SUMPRODUCT($O40:$O$67*BE40:BE$67*($E40:$E$67=$D39)),IF(ISNUMBER(Data_2017!AY39),100*ABS($G39-(Data_2017!AY39-$K39)/$M39),0),IF(ISNUMBER(Data_2017!AY39),100*ABS($G39-(Data_2017!AY39-$K39)/$M39),0)))</f>
        <v>75</v>
      </c>
      <c r="BF39" s="100">
        <f>IF($H39=0,0,CHOOSE($H39,SUMPRODUCT($O40:$O$67*BF40:BF$67*($E40:$E$67=$D39)),IF(ISNUMBER(Data_2017!AZ39),100*ABS($G39-(Data_2017!AZ39-$K39)/$M39),0),IF(ISNUMBER(Data_2017!AZ39),100*ABS($G39-(Data_2017!AZ39-$K39)/$M39),0)))</f>
        <v>0</v>
      </c>
      <c r="BG39" s="100">
        <f>IF($H39=0,0,CHOOSE($H39,SUMPRODUCT($O40:$O$67*BG40:BG$67*($E40:$E$67=$D39)),IF(ISNUMBER(Data_2017!BA39),100*ABS($G39-(Data_2017!BA39-$K39)/$M39),0),IF(ISNUMBER(Data_2017!BA39),100*ABS($G39-(Data_2017!BA39-$K39)/$M39),0)))</f>
        <v>100</v>
      </c>
      <c r="BH39" s="100">
        <f>IF($H39=0,0,CHOOSE($H39,SUMPRODUCT($O40:$O$67*BH40:BH$67*($E40:$E$67=$D39)),IF(ISNUMBER(Data_2017!BB39),100*ABS($G39-(Data_2017!BB39-$K39)/$M39),0),IF(ISNUMBER(Data_2017!BB39),100*ABS($G39-(Data_2017!BB39-$K39)/$M39),0)))</f>
        <v>100</v>
      </c>
      <c r="BI39" s="100">
        <f>IF($H39=0,0,CHOOSE($H39,SUMPRODUCT($O40:$O$67*BI40:BI$67*($E40:$E$67=$D39)),IF(ISNUMBER(Data_2017!BC39),100*ABS($G39-(Data_2017!BC39-$K39)/$M39),0),IF(ISNUMBER(Data_2017!BC39),100*ABS($G39-(Data_2017!BC39-$K39)/$M39),0)))</f>
        <v>100</v>
      </c>
      <c r="BJ39" s="100">
        <f>IF($H39=0,0,CHOOSE($H39,SUMPRODUCT($O40:$O$67*BJ40:BJ$67*($E40:$E$67=$D39)),IF(ISNUMBER(Data_2017!BD39),100*ABS($G39-(Data_2017!BD39-$K39)/$M39),0),IF(ISNUMBER(Data_2017!BD39),100*ABS($G39-(Data_2017!BD39-$K39)/$M39),0)))</f>
        <v>75</v>
      </c>
      <c r="BK39" s="100">
        <f>IF($H39=0,0,CHOOSE($H39,SUMPRODUCT($O40:$O$67*BK40:BK$67*($E40:$E$67=$D39)),IF(ISNUMBER(Data_2017!BE39),100*ABS($G39-(Data_2017!BE39-$K39)/$M39),0),IF(ISNUMBER(Data_2017!BE39),100*ABS($G39-(Data_2017!BE39-$K39)/$M39),0)))</f>
        <v>100</v>
      </c>
      <c r="BL39" s="100">
        <f>IF($H39=0,0,CHOOSE($H39,SUMPRODUCT($O40:$O$67*BL40:BL$67*($E40:$E$67=$D39)),IF(ISNUMBER(Data_2017!BF39),100*ABS($G39-(Data_2017!BF39-$K39)/$M39),0),IF(ISNUMBER(Data_2017!BF39),100*ABS($G39-(Data_2017!BF39-$K39)/$M39),0)))</f>
        <v>50</v>
      </c>
      <c r="BM39" s="100">
        <f>IF($H39=0,0,CHOOSE($H39,SUMPRODUCT($O40:$O$67*BM40:BM$67*($E40:$E$67=$D39)),IF(ISNUMBER(Data_2017!BG39),100*ABS($G39-(Data_2017!BG39-$K39)/$M39),0),IF(ISNUMBER(Data_2017!BG39),100*ABS($G39-(Data_2017!BG39-$K39)/$M39),0)))</f>
        <v>100</v>
      </c>
      <c r="BN39" s="100">
        <f>IF($H39=0,0,CHOOSE($H39,SUMPRODUCT($O40:$O$67*BN40:BN$67*($E40:$E$67=$D39)),IF(ISNUMBER(Data_2017!BH39),100*ABS($G39-(Data_2017!BH39-$K39)/$M39),0),IF(ISNUMBER(Data_2017!BH39),100*ABS($G39-(Data_2017!BH39-$K39)/$M39),0)))</f>
        <v>100</v>
      </c>
      <c r="BO39" s="100">
        <f>IF($H39=0,0,CHOOSE($H39,SUMPRODUCT($O40:$O$67*BO40:BO$67*($E40:$E$67=$D39)),IF(ISNUMBER(Data_2017!BI39),100*ABS($G39-(Data_2017!BI39-$K39)/$M39),0),IF(ISNUMBER(Data_2017!BI39),100*ABS($G39-(Data_2017!BI39-$K39)/$M39),0)))</f>
        <v>100</v>
      </c>
      <c r="BP39" s="100">
        <f>IF($H39=0,0,CHOOSE($H39,SUMPRODUCT($O40:$O$67*BP40:BP$67*($E40:$E$67=$D39)),IF(ISNUMBER(Data_2017!BJ39),100*ABS($G39-(Data_2017!BJ39-$K39)/$M39),0),IF(ISNUMBER(Data_2017!BJ39),100*ABS($G39-(Data_2017!BJ39-$K39)/$M39),0)))</f>
        <v>75</v>
      </c>
      <c r="BQ39" s="100">
        <f>IF($H39=0,0,CHOOSE($H39,SUMPRODUCT($O40:$O$67*BQ40:BQ$67*($E40:$E$67=$D39)),IF(ISNUMBER(Data_2017!BK39),100*ABS($G39-(Data_2017!BK39-$K39)/$M39),0),IF(ISNUMBER(Data_2017!BK39),100*ABS($G39-(Data_2017!BK39-$K39)/$M39),0)))</f>
        <v>75</v>
      </c>
      <c r="BR39" s="100">
        <f>IF($H39=0,0,CHOOSE($H39,SUMPRODUCT($O40:$O$67*BR40:BR$67*($E40:$E$67=$D39)),IF(ISNUMBER(Data_2017!BL39),100*ABS($G39-(Data_2017!BL39-$K39)/$M39),0),IF(ISNUMBER(Data_2017!BL39),100*ABS($G39-(Data_2017!BL39-$K39)/$M39),0)))</f>
        <v>100</v>
      </c>
      <c r="BS39" s="100">
        <f>IF($H39=0,0,CHOOSE($H39,SUMPRODUCT($O40:$O$67*BS40:BS$67*($E40:$E$67=$D39)),IF(ISNUMBER(Data_2017!BM39),100*ABS($G39-(Data_2017!BM39-$K39)/$M39),0),IF(ISNUMBER(Data_2017!BM39),100*ABS($G39-(Data_2017!BM39-$K39)/$M39),0)))</f>
        <v>100</v>
      </c>
      <c r="BT39" s="100">
        <f>IF($H39=0,0,CHOOSE($H39,SUMPRODUCT($O40:$O$67*BT40:BT$67*($E40:$E$67=$D39)),IF(ISNUMBER(Data_2017!BN39),100*ABS($G39-(Data_2017!BN39-$K39)/$M39),0),IF(ISNUMBER(Data_2017!BN39),100*ABS($G39-(Data_2017!BN39-$K39)/$M39),0)))</f>
        <v>100</v>
      </c>
      <c r="BU39" s="100">
        <f>IF($H39=0,0,CHOOSE($H39,SUMPRODUCT($O40:$O$67*BU40:BU$67*($E40:$E$67=$D39)),IF(ISNUMBER(Data_2017!BO39),100*ABS($G39-(Data_2017!BO39-$K39)/$M39),0),IF(ISNUMBER(Data_2017!BO39),100*ABS($G39-(Data_2017!BO39-$K39)/$M39),0)))</f>
        <v>100</v>
      </c>
      <c r="BV39" s="100">
        <f>IF($H39=0,0,CHOOSE($H39,SUMPRODUCT($O40:$O$67*BV40:BV$67*($E40:$E$67=$D39)),IF(ISNUMBER(Data_2017!BP39),100*ABS($G39-(Data_2017!BP39-$K39)/$M39),0),IF(ISNUMBER(Data_2017!BP39),100*ABS($G39-(Data_2017!BP39-$K39)/$M39),0)))</f>
        <v>25</v>
      </c>
      <c r="BW39" s="100">
        <f>IF($H39=0,0,CHOOSE($H39,SUMPRODUCT($O40:$O$67*BW40:BW$67*($E40:$E$67=$D39)),IF(ISNUMBER(Data_2017!BQ39),100*ABS($G39-(Data_2017!BQ39-$K39)/$M39),0),IF(ISNUMBER(Data_2017!BQ39),100*ABS($G39-(Data_2017!BQ39-$K39)/$M39),0)))</f>
        <v>100</v>
      </c>
      <c r="BX39" s="100">
        <f>IF($H39=0,0,CHOOSE($H39,SUMPRODUCT($O40:$O$67*BX40:BX$67*($E40:$E$67=$D39)),IF(ISNUMBER(Data_2017!BR39),100*ABS($G39-(Data_2017!BR39-$K39)/$M39),0),IF(ISNUMBER(Data_2017!BR39),100*ABS($G39-(Data_2017!BR39-$K39)/$M39),0)))</f>
        <v>100</v>
      </c>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row>
    <row r="40" s="69" customFormat="1" ht="24.95" customHeight="1" spans="1:130">
      <c r="A40" s="92"/>
      <c r="B40" s="92">
        <f>tblIndicators!A36</f>
        <v>35</v>
      </c>
      <c r="C40" s="92">
        <f>tblIndicators!B36</f>
        <v>0</v>
      </c>
      <c r="D40" s="92" t="str">
        <f>tblIndicators!D36</f>
        <v>INSE3.2</v>
      </c>
      <c r="E40" s="92" t="str">
        <f>tblIndicators!E36</f>
        <v>INSE</v>
      </c>
      <c r="F40" s="92">
        <f>tblIndicators!F36</f>
        <v>2</v>
      </c>
      <c r="G40" s="92" t="str">
        <f>tblIndicators!Y36</f>
        <v/>
      </c>
      <c r="H40" s="92">
        <f>tblIndicators!Z36</f>
        <v>1</v>
      </c>
      <c r="I40" s="104">
        <f>tblIndicators!AA36</f>
        <v>0</v>
      </c>
      <c r="J40" s="92">
        <f>tblIndicators!AB36</f>
        <v>0</v>
      </c>
      <c r="K40" s="89" t="str">
        <f>IF(uxb_works!$B$66=1,CHOOSE(H40,"-",MIN(Data_2017!J40:BR40),I40),CHOOSE(H40,"-",MIN(Data_2017!J40:BQ40),I40))</f>
        <v>-</v>
      </c>
      <c r="L40" s="97" t="str">
        <f>IF(uxb_works!$B$66=1,CHOOSE(H40,"-",MAX(Data_2017!J40:BR40),J40),CHOOSE(H40,"-",MAX(Data_2017!J40:BQ40),J40))</f>
        <v>-</v>
      </c>
      <c r="M40" s="92" t="str">
        <f t="shared" si="1"/>
        <v>-</v>
      </c>
      <c r="N40" s="105" t="str">
        <f>REPT(" ",F40)&amp;tblIndicators!AE36</f>
        <v>  3.2) Infrastructure security (Outputs)</v>
      </c>
      <c r="O40" s="106">
        <f>tblIndicators!AD36</f>
        <v>0.5</v>
      </c>
      <c r="P40" s="100">
        <f>IF($H40=0,0,CHOOSE($H40,SUMPRODUCT($O41:$O$67*P41:P$67*($E41:$E$67=$D40)),IF(ISNUMBER(Data_2017!J40),100*ABS($G40-(Data_2017!J40-$K40)/$M40),0),IF(ISNUMBER(Data_2017!J40),100*ABS($G40-(Data_2017!J40-$K40)/$M40),0)))</f>
        <v>92.728320479609</v>
      </c>
      <c r="Q40" s="100">
        <f>IF($H40=0,0,CHOOSE($H40,SUMPRODUCT($O41:$O$67*Q41:Q$67*($E41:$E$67=$D40)),IF(ISNUMBER(Data_2017!K40),100*ABS($G40-(Data_2017!K40-$K40)/$M40),0),IF(ISNUMBER(Data_2017!K40),100*ABS($G40-(Data_2017!K40-$K40)/$M40),0)))</f>
        <v>98.0974041929841</v>
      </c>
      <c r="R40" s="100">
        <f>IF($H40=0,0,CHOOSE($H40,SUMPRODUCT($O41:$O$67*R41:R$67*($E41:$E$67=$D40)),IF(ISNUMBER(Data_2017!L40),100*ABS($G40-(Data_2017!L40-$K40)/$M40),0),IF(ISNUMBER(Data_2017!L40),100*ABS($G40-(Data_2017!L40-$K40)/$M40),0)))</f>
        <v>92.0901455341645</v>
      </c>
      <c r="S40" s="100">
        <f>IF($H40=0,0,CHOOSE($H40,SUMPRODUCT($O41:$O$67*S41:S$67*($E41:$E$67=$D40)),IF(ISNUMBER(Data_2017!M40),100*ABS($G40-(Data_2017!M40-$K40)/$M40),0),IF(ISNUMBER(Data_2017!M40),100*ABS($G40-(Data_2017!M40-$K40)/$M40),0)))</f>
        <v>76.1644621952138</v>
      </c>
      <c r="T40" s="100">
        <f>IF($H40=0,0,CHOOSE($H40,SUMPRODUCT($O41:$O$67*T41:T$67*($E41:$E$67=$D40)),IF(ISNUMBER(Data_2017!N40),100*ABS($G40-(Data_2017!N40-$K40)/$M40),0),IF(ISNUMBER(Data_2017!N40),100*ABS($G40-(Data_2017!N40-$K40)/$M40),0)))</f>
        <v>96.6865863543474</v>
      </c>
      <c r="U40" s="100">
        <f>IF($H40=0,0,CHOOSE($H40,SUMPRODUCT($O41:$O$67*U41:U$67*($E41:$E$67=$D40)),IF(ISNUMBER(Data_2017!O40),100*ABS($G40-(Data_2017!O40-$K40)/$M40),0),IF(ISNUMBER(Data_2017!O40),100*ABS($G40-(Data_2017!O40-$K40)/$M40),0)))</f>
        <v>78.479071433431</v>
      </c>
      <c r="V40" s="100">
        <f>IF($H40=0,0,CHOOSE($H40,SUMPRODUCT($O41:$O$67*V41:V$67*($E41:$E$67=$D40)),IF(ISNUMBER(Data_2017!P40),100*ABS($G40-(Data_2017!P40-$K40)/$M40),0),IF(ISNUMBER(Data_2017!P40),100*ABS($G40-(Data_2017!P40-$K40)/$M40),0)))</f>
        <v>76.5700514752331</v>
      </c>
      <c r="W40" s="100">
        <f>IF($H40=0,0,CHOOSE($H40,SUMPRODUCT($O41:$O$67*W41:W$67*($E41:$E$67=$D40)),IF(ISNUMBER(Data_2017!Q40),100*ABS($G40-(Data_2017!Q40-$K40)/$M40),0),IF(ISNUMBER(Data_2017!Q40),100*ABS($G40-(Data_2017!Q40-$K40)/$M40),0)))</f>
        <v>88.6237620157022</v>
      </c>
      <c r="X40" s="100">
        <f>IF($H40=0,0,CHOOSE($H40,SUMPRODUCT($O41:$O$67*X41:X$67*($E41:$E$67=$D40)),IF(ISNUMBER(Data_2017!R40),100*ABS($G40-(Data_2017!R40-$K40)/$M40),0),IF(ISNUMBER(Data_2017!R40),100*ABS($G40-(Data_2017!R40-$K40)/$M40),0)))</f>
        <v>88.4844347000419</v>
      </c>
      <c r="Y40" s="100">
        <f>IF($H40=0,0,CHOOSE($H40,SUMPRODUCT($O41:$O$67*Y41:Y$67*($E41:$E$67=$D40)),IF(ISNUMBER(Data_2017!S40),100*ABS($G40-(Data_2017!S40-$K40)/$M40),0),IF(ISNUMBER(Data_2017!S40),100*ABS($G40-(Data_2017!S40-$K40)/$M40),0)))</f>
        <v>79.0037048761712</v>
      </c>
      <c r="Z40" s="100">
        <f>IF($H40=0,0,CHOOSE($H40,SUMPRODUCT($O41:$O$67*Z41:Z$67*($E41:$E$67=$D40)),IF(ISNUMBER(Data_2017!T40),100*ABS($G40-(Data_2017!T40-$K40)/$M40),0),IF(ISNUMBER(Data_2017!T40),100*ABS($G40-(Data_2017!T40-$K40)/$M40),0)))</f>
        <v>78.8345757769841</v>
      </c>
      <c r="AA40" s="100">
        <f>IF($H40=0,0,CHOOSE($H40,SUMPRODUCT($O41:$O$67*AA41:AA$67*($E41:$E$67=$D40)),IF(ISNUMBER(Data_2017!U40),100*ABS($G40-(Data_2017!U40-$K40)/$M40),0),IF(ISNUMBER(Data_2017!U40),100*ABS($G40-(Data_2017!U40-$K40)/$M40),0)))</f>
        <v>81.0431405309914</v>
      </c>
      <c r="AB40" s="100">
        <f>IF($H40=0,0,CHOOSE($H40,SUMPRODUCT($O41:$O$67*AB41:AB$67*($E41:$E$67=$D40)),IF(ISNUMBER(Data_2017!V40),100*ABS($G40-(Data_2017!V40-$K40)/$M40),0),IF(ISNUMBER(Data_2017!V40),100*ABS($G40-(Data_2017!V40-$K40)/$M40),0)))</f>
        <v>84.4324062290751</v>
      </c>
      <c r="AC40" s="100">
        <f>IF($H40=0,0,CHOOSE($H40,SUMPRODUCT($O41:$O$67*AC41:AC$67*($E41:$E$67=$D40)),IF(ISNUMBER(Data_2017!W40),100*ABS($G40-(Data_2017!W40-$K40)/$M40),0),IF(ISNUMBER(Data_2017!W40),100*ABS($G40-(Data_2017!W40-$K40)/$M40),0)))</f>
        <v>77.9562816100348</v>
      </c>
      <c r="AD40" s="100">
        <f>IF($H40=0,0,CHOOSE($H40,SUMPRODUCT($O41:$O$67*AD41:AD$67*($E41:$E$67=$D40)),IF(ISNUMBER(Data_2017!X40),100*ABS($G40-(Data_2017!X40-$K40)/$M40),0),IF(ISNUMBER(Data_2017!X40),100*ABS($G40-(Data_2017!X40-$K40)/$M40),0)))</f>
        <v>79.4725072189882</v>
      </c>
      <c r="AE40" s="100">
        <f>IF($H40=0,0,CHOOSE($H40,SUMPRODUCT($O41:$O$67*AE41:AE$67*($E41:$E$67=$D40)),IF(ISNUMBER(Data_2017!Y40),100*ABS($G40-(Data_2017!Y40-$K40)/$M40),0),IF(ISNUMBER(Data_2017!Y40),100*ABS($G40-(Data_2017!Y40-$K40)/$M40),0)))</f>
        <v>55.8377668207307</v>
      </c>
      <c r="AF40" s="100">
        <f>IF($H40=0,0,CHOOSE($H40,SUMPRODUCT($O41:$O$67*AF41:AF$67*($E41:$E$67=$D40)),IF(ISNUMBER(Data_2017!Z40),100*ABS($G40-(Data_2017!Z40-$K40)/$M40),0),IF(ISNUMBER(Data_2017!Z40),100*ABS($G40-(Data_2017!Z40-$K40)/$M40),0)))</f>
        <v>87.9408066756454</v>
      </c>
      <c r="AG40" s="100">
        <f>IF($H40=0,0,CHOOSE($H40,SUMPRODUCT($O41:$O$67*AG41:AG$67*($E41:$E$67=$D40)),IF(ISNUMBER(Data_2017!AA40),100*ABS($G40-(Data_2017!AA40-$K40)/$M40),0),IF(ISNUMBER(Data_2017!AA40),100*ABS($G40-(Data_2017!AA40-$K40)/$M40),0)))</f>
        <v>81.3169539807002</v>
      </c>
      <c r="AH40" s="100">
        <f>IF($H40=0,0,CHOOSE($H40,SUMPRODUCT($O41:$O$67*AH41:AH$67*($E41:$E$67=$D40)),IF(ISNUMBER(Data_2017!AB40),100*ABS($G40-(Data_2017!AB40-$K40)/$M40),0),IF(ISNUMBER(Data_2017!AB40),100*ABS($G40-(Data_2017!AB40-$K40)/$M40),0)))</f>
        <v>88.4552399174901</v>
      </c>
      <c r="AI40" s="100">
        <f>IF($H40=0,0,CHOOSE($H40,SUMPRODUCT($O41:$O$67*AI41:AI$67*($E41:$E$67=$D40)),IF(ISNUMBER(Data_2017!AC40),100*ABS($G40-(Data_2017!AC40-$K40)/$M40),0),IF(ISNUMBER(Data_2017!AC40),100*ABS($G40-(Data_2017!AC40-$K40)/$M40),0)))</f>
        <v>96.5803341486398</v>
      </c>
      <c r="AJ40" s="100">
        <f>IF($H40=0,0,CHOOSE($H40,SUMPRODUCT($O41:$O$67*AJ41:AJ$67*($E41:$E$67=$D40)),IF(ISNUMBER(Data_2017!AD40),100*ABS($G40-(Data_2017!AD40-$K40)/$M40),0),IF(ISNUMBER(Data_2017!AD40),100*ABS($G40-(Data_2017!AD40-$K40)/$M40),0)))</f>
        <v>75.5825925891299</v>
      </c>
      <c r="AK40" s="100">
        <f>IF($H40=0,0,CHOOSE($H40,SUMPRODUCT($O41:$O$67*AK41:AK$67*($E41:$E$67=$D40)),IF(ISNUMBER(Data_2017!AE40),100*ABS($G40-(Data_2017!AE40-$K40)/$M40),0),IF(ISNUMBER(Data_2017!AE40),100*ABS($G40-(Data_2017!AE40-$K40)/$M40),0)))</f>
        <v>83.6379909388761</v>
      </c>
      <c r="AL40" s="100">
        <f>IF($H40=0,0,CHOOSE($H40,SUMPRODUCT($O41:$O$67*AL41:AL$67*($E41:$E$67=$D40)),IF(ISNUMBER(Data_2017!AF40),100*ABS($G40-(Data_2017!AF40-$K40)/$M40),0),IF(ISNUMBER(Data_2017!AF40),100*ABS($G40-(Data_2017!AF40-$K40)/$M40),0)))</f>
        <v>76.4844159911773</v>
      </c>
      <c r="AM40" s="100">
        <f>IF($H40=0,0,CHOOSE($H40,SUMPRODUCT($O41:$O$67*AM41:AM$67*($E41:$E$67=$D40)),IF(ISNUMBER(Data_2017!AG40),100*ABS($G40-(Data_2017!AG40-$K40)/$M40),0),IF(ISNUMBER(Data_2017!AG40),100*ABS($G40-(Data_2017!AG40-$K40)/$M40),0)))</f>
        <v>58.117772066576</v>
      </c>
      <c r="AN40" s="100">
        <f>IF($H40=0,0,CHOOSE($H40,SUMPRODUCT($O41:$O$67*AN41:AN$67*($E41:$E$67=$D40)),IF(ISNUMBER(Data_2017!AH40),100*ABS($G40-(Data_2017!AH40-$K40)/$M40),0),IF(ISNUMBER(Data_2017!AH40),100*ABS($G40-(Data_2017!AH40-$K40)/$M40),0)))</f>
        <v>54.2224213818006</v>
      </c>
      <c r="AO40" s="100">
        <f>IF($H40=0,0,CHOOSE($H40,SUMPRODUCT($O41:$O$67*AO41:AO$67*($E41:$E$67=$D40)),IF(ISNUMBER(Data_2017!AI40),100*ABS($G40-(Data_2017!AI40-$K40)/$M40),0),IF(ISNUMBER(Data_2017!AI40),100*ABS($G40-(Data_2017!AI40-$K40)/$M40),0)))</f>
        <v>86.2381519672056</v>
      </c>
      <c r="AP40" s="100">
        <f>IF($H40=0,0,CHOOSE($H40,SUMPRODUCT($O41:$O$67*AP41:AP$67*($E41:$E$67=$D40)),IF(ISNUMBER(Data_2017!AJ40),100*ABS($G40-(Data_2017!AJ40-$K40)/$M40),0),IF(ISNUMBER(Data_2017!AJ40),100*ABS($G40-(Data_2017!AJ40-$K40)/$M40),0)))</f>
        <v>70.8170696821966</v>
      </c>
      <c r="AQ40" s="100">
        <f>IF($H40=0,0,CHOOSE($H40,SUMPRODUCT($O41:$O$67*AQ41:AQ$67*($E41:$E$67=$D40)),IF(ISNUMBER(Data_2017!AK40),100*ABS($G40-(Data_2017!AK40-$K40)/$M40),0),IF(ISNUMBER(Data_2017!AK40),100*ABS($G40-(Data_2017!AK40-$K40)/$M40),0)))</f>
        <v>71.4373356512661</v>
      </c>
      <c r="AR40" s="100">
        <f>IF($H40=0,0,CHOOSE($H40,SUMPRODUCT($O41:$O$67*AR41:AR$67*($E41:$E$67=$D40)),IF(ISNUMBER(Data_2017!AL40),100*ABS($G40-(Data_2017!AL40-$K40)/$M40),0),IF(ISNUMBER(Data_2017!AL40),100*ABS($G40-(Data_2017!AL40-$K40)/$M40),0)))</f>
        <v>94.3788117743126</v>
      </c>
      <c r="AS40" s="100">
        <f>IF($H40=0,0,CHOOSE($H40,SUMPRODUCT($O41:$O$67*AS41:AS$67*($E41:$E$67=$D40)),IF(ISNUMBER(Data_2017!AM40),100*ABS($G40-(Data_2017!AM40-$K40)/$M40),0),IF(ISNUMBER(Data_2017!AM40),100*ABS($G40-(Data_2017!AM40-$K40)/$M40),0)))</f>
        <v>86.0307882451631</v>
      </c>
      <c r="AT40" s="100">
        <f>IF($H40=0,0,CHOOSE($H40,SUMPRODUCT($O41:$O$67*AT41:AT$67*($E41:$E$67=$D40)),IF(ISNUMBER(Data_2017!AN40),100*ABS($G40-(Data_2017!AN40-$K40)/$M40),0),IF(ISNUMBER(Data_2017!AN40),100*ABS($G40-(Data_2017!AN40-$K40)/$M40),0)))</f>
        <v>97.0282743162295</v>
      </c>
      <c r="AU40" s="100">
        <f>IF($H40=0,0,CHOOSE($H40,SUMPRODUCT($O41:$O$67*AU41:AU$67*($E41:$E$67=$D40)),IF(ISNUMBER(Data_2017!AO40),100*ABS($G40-(Data_2017!AO40-$K40)/$M40),0),IF(ISNUMBER(Data_2017!AO40),100*ABS($G40-(Data_2017!AO40-$K40)/$M40),0)))</f>
        <v>57.2798219422398</v>
      </c>
      <c r="AV40" s="100">
        <f>IF($H40=0,0,CHOOSE($H40,SUMPRODUCT($O41:$O$67*AV41:AV$67*($E41:$E$67=$D40)),IF(ISNUMBER(Data_2017!AP40),100*ABS($G40-(Data_2017!AP40-$K40)/$M40),0),IF(ISNUMBER(Data_2017!AP40),100*ABS($G40-(Data_2017!AP40-$K40)/$M40),0)))</f>
        <v>96.570067142473</v>
      </c>
      <c r="AW40" s="100">
        <f>IF($H40=0,0,CHOOSE($H40,SUMPRODUCT($O41:$O$67*AW41:AW$67*($E41:$E$67=$D40)),IF(ISNUMBER(Data_2017!AQ40),100*ABS($G40-(Data_2017!AQ40-$K40)/$M40),0),IF(ISNUMBER(Data_2017!AQ40),100*ABS($G40-(Data_2017!AQ40-$K40)/$M40),0)))</f>
        <v>82.4537020281811</v>
      </c>
      <c r="AX40" s="100">
        <f>IF($H40=0,0,CHOOSE($H40,SUMPRODUCT($O41:$O$67*AX41:AX$67*($E41:$E$67=$D40)),IF(ISNUMBER(Data_2017!AR40),100*ABS($G40-(Data_2017!AR40-$K40)/$M40),0),IF(ISNUMBER(Data_2017!AR40),100*ABS($G40-(Data_2017!AR40-$K40)/$M40),0)))</f>
        <v>91.2154353018258</v>
      </c>
      <c r="AY40" s="100">
        <f>IF($H40=0,0,CHOOSE($H40,SUMPRODUCT($O41:$O$67*AY41:AY$67*($E41:$E$67=$D40)),IF(ISNUMBER(Data_2017!AS40),100*ABS($G40-(Data_2017!AS40-$K40)/$M40),0),IF(ISNUMBER(Data_2017!AS40),100*ABS($G40-(Data_2017!AS40-$K40)/$M40),0)))</f>
        <v>69.2133011658664</v>
      </c>
      <c r="AZ40" s="100">
        <f>IF($H40=0,0,CHOOSE($H40,SUMPRODUCT($O41:$O$67*AZ41:AZ$67*($E41:$E$67=$D40)),IF(ISNUMBER(Data_2017!AT40),100*ABS($G40-(Data_2017!AT40-$K40)/$M40),0),IF(ISNUMBER(Data_2017!AT40),100*ABS($G40-(Data_2017!AT40-$K40)/$M40),0)))</f>
        <v>85.7340151471951</v>
      </c>
      <c r="BA40" s="100">
        <f>IF($H40=0,0,CHOOSE($H40,SUMPRODUCT($O41:$O$67*BA41:BA$67*($E41:$E$67=$D40)),IF(ISNUMBER(Data_2017!AU40),100*ABS($G40-(Data_2017!AU40-$K40)/$M40),0),IF(ISNUMBER(Data_2017!AU40),100*ABS($G40-(Data_2017!AU40-$K40)/$M40),0)))</f>
        <v>86.2811081834508</v>
      </c>
      <c r="BB40" s="100">
        <f>IF($H40=0,0,CHOOSE($H40,SUMPRODUCT($O41:$O$67*BB41:BB$67*($E41:$E$67=$D40)),IF(ISNUMBER(Data_2017!AV40),100*ABS($G40-(Data_2017!AV40-$K40)/$M40),0),IF(ISNUMBER(Data_2017!AV40),100*ABS($G40-(Data_2017!AV40-$K40)/$M40),0)))</f>
        <v>92.7244258061557</v>
      </c>
      <c r="BC40" s="100">
        <f>IF($H40=0,0,CHOOSE($H40,SUMPRODUCT($O41:$O$67*BC41:BC$67*($E41:$E$67=$D40)),IF(ISNUMBER(Data_2017!AW40),100*ABS($G40-(Data_2017!AW40-$K40)/$M40),0),IF(ISNUMBER(Data_2017!AW40),100*ABS($G40-(Data_2017!AW40-$K40)/$M40),0)))</f>
        <v>87.3032068900721</v>
      </c>
      <c r="BD40" s="100">
        <f>IF($H40=0,0,CHOOSE($H40,SUMPRODUCT($O41:$O$67*BD41:BD$67*($E41:$E$67=$D40)),IF(ISNUMBER(Data_2017!AX40),100*ABS($G40-(Data_2017!AX40-$K40)/$M40),0),IF(ISNUMBER(Data_2017!AX40),100*ABS($G40-(Data_2017!AX40-$K40)/$M40),0)))</f>
        <v>63.0550976398439</v>
      </c>
      <c r="BE40" s="100">
        <f>IF($H40=0,0,CHOOSE($H40,SUMPRODUCT($O41:$O$67*BE41:BE$67*($E41:$E$67=$D40)),IF(ISNUMBER(Data_2017!AY40),100*ABS($G40-(Data_2017!AY40-$K40)/$M40),0),IF(ISNUMBER(Data_2017!AY40),100*ABS($G40-(Data_2017!AY40-$K40)/$M40),0)))</f>
        <v>80.0680340737054</v>
      </c>
      <c r="BF40" s="100">
        <f>IF($H40=0,0,CHOOSE($H40,SUMPRODUCT($O41:$O$67*BF41:BF$67*($E41:$E$67=$D40)),IF(ISNUMBER(Data_2017!AZ40),100*ABS($G40-(Data_2017!AZ40-$K40)/$M40),0),IF(ISNUMBER(Data_2017!AZ40),100*ABS($G40-(Data_2017!AZ40-$K40)/$M40),0)))</f>
        <v>76.7550683215412</v>
      </c>
      <c r="BG40" s="100">
        <f>IF($H40=0,0,CHOOSE($H40,SUMPRODUCT($O41:$O$67*BG41:BG$67*($E41:$E$67=$D40)),IF(ISNUMBER(Data_2017!BA40),100*ABS($G40-(Data_2017!BA40-$K40)/$M40),0),IF(ISNUMBER(Data_2017!BA40),100*ABS($G40-(Data_2017!BA40-$K40)/$M40),0)))</f>
        <v>90.110439163155</v>
      </c>
      <c r="BH40" s="100">
        <f>IF($H40=0,0,CHOOSE($H40,SUMPRODUCT($O41:$O$67*BH41:BH$67*($E41:$E$67=$D40)),IF(ISNUMBER(Data_2017!BB40),100*ABS($G40-(Data_2017!BB40-$K40)/$M40),0),IF(ISNUMBER(Data_2017!BB40),100*ABS($G40-(Data_2017!BB40-$K40)/$M40),0)))</f>
        <v>91.9170987179069</v>
      </c>
      <c r="BI40" s="100">
        <f>IF($H40=0,0,CHOOSE($H40,SUMPRODUCT($O41:$O$67*BI41:BI$67*($E41:$E$67=$D40)),IF(ISNUMBER(Data_2017!BC40),100*ABS($G40-(Data_2017!BC40-$K40)/$M40),0),IF(ISNUMBER(Data_2017!BC40),100*ABS($G40-(Data_2017!BC40-$K40)/$M40),0)))</f>
        <v>78.6991539608217</v>
      </c>
      <c r="BJ40" s="100">
        <f>IF($H40=0,0,CHOOSE($H40,SUMPRODUCT($O41:$O$67*BJ41:BJ$67*($E41:$E$67=$D40)),IF(ISNUMBER(Data_2017!BD40),100*ABS($G40-(Data_2017!BD40-$K40)/$M40),0),IF(ISNUMBER(Data_2017!BD40),100*ABS($G40-(Data_2017!BD40-$K40)/$M40),0)))</f>
        <v>79.8725770406825</v>
      </c>
      <c r="BK40" s="100">
        <f>IF($H40=0,0,CHOOSE($H40,SUMPRODUCT($O41:$O$67*BK41:BK$67*($E41:$E$67=$D40)),IF(ISNUMBER(Data_2017!BE40),100*ABS($G40-(Data_2017!BE40-$K40)/$M40),0),IF(ISNUMBER(Data_2017!BE40),100*ABS($G40-(Data_2017!BE40-$K40)/$M40),0)))</f>
        <v>86.3673130473819</v>
      </c>
      <c r="BL40" s="100">
        <f>IF($H40=0,0,CHOOSE($H40,SUMPRODUCT($O41:$O$67*BL41:BL$67*($E41:$E$67=$D40)),IF(ISNUMBER(Data_2017!BF40),100*ABS($G40-(Data_2017!BF40-$K40)/$M40),0),IF(ISNUMBER(Data_2017!BF40),100*ABS($G40-(Data_2017!BF40-$K40)/$M40),0)))</f>
        <v>78.1040736976377</v>
      </c>
      <c r="BM40" s="100">
        <f>IF($H40=0,0,CHOOSE($H40,SUMPRODUCT($O41:$O$67*BM41:BM$67*($E41:$E$67=$D40)),IF(ISNUMBER(Data_2017!BG40),100*ABS($G40-(Data_2017!BG40-$K40)/$M40),0),IF(ISNUMBER(Data_2017!BG40),100*ABS($G40-(Data_2017!BG40-$K40)/$M40),0)))</f>
        <v>97.5937094660064</v>
      </c>
      <c r="BN40" s="100">
        <f>IF($H40=0,0,CHOOSE($H40,SUMPRODUCT($O41:$O$67*BN41:BN$67*($E41:$E$67=$D40)),IF(ISNUMBER(Data_2017!BH40),100*ABS($G40-(Data_2017!BH40-$K40)/$M40),0),IF(ISNUMBER(Data_2017!BH40),100*ABS($G40-(Data_2017!BH40-$K40)/$M40),0)))</f>
        <v>97.3649316417229</v>
      </c>
      <c r="BO40" s="100">
        <f>IF($H40=0,0,CHOOSE($H40,SUMPRODUCT($O41:$O$67*BO41:BO$67*($E41:$E$67=$D40)),IF(ISNUMBER(Data_2017!BI40),100*ABS($G40-(Data_2017!BI40-$K40)/$M40),0),IF(ISNUMBER(Data_2017!BI40),100*ABS($G40-(Data_2017!BI40-$K40)/$M40),0)))</f>
        <v>95.9517535685341</v>
      </c>
      <c r="BP40" s="100">
        <f>IF($H40=0,0,CHOOSE($H40,SUMPRODUCT($O41:$O$67*BP41:BP$67*($E41:$E$67=$D40)),IF(ISNUMBER(Data_2017!BJ40),100*ABS($G40-(Data_2017!BJ40-$K40)/$M40),0),IF(ISNUMBER(Data_2017!BJ40),100*ABS($G40-(Data_2017!BJ40-$K40)/$M40),0)))</f>
        <v>94.6723609134681</v>
      </c>
      <c r="BQ40" s="100">
        <f>IF($H40=0,0,CHOOSE($H40,SUMPRODUCT($O41:$O$67*BQ41:BQ$67*($E41:$E$67=$D40)),IF(ISNUMBER(Data_2017!BK40),100*ABS($G40-(Data_2017!BK40-$K40)/$M40),0),IF(ISNUMBER(Data_2017!BK40),100*ABS($G40-(Data_2017!BK40-$K40)/$M40),0)))</f>
        <v>59.3994521377138</v>
      </c>
      <c r="BR40" s="100">
        <f>IF($H40=0,0,CHOOSE($H40,SUMPRODUCT($O41:$O$67*BR41:BR$67*($E41:$E$67=$D40)),IF(ISNUMBER(Data_2017!BL40),100*ABS($G40-(Data_2017!BL40-$K40)/$M40),0),IF(ISNUMBER(Data_2017!BL40),100*ABS($G40-(Data_2017!BL40-$K40)/$M40),0)))</f>
        <v>90.6840285102396</v>
      </c>
      <c r="BS40" s="100">
        <f>IF($H40=0,0,CHOOSE($H40,SUMPRODUCT($O41:$O$67*BS41:BS$67*($E41:$E$67=$D40)),IF(ISNUMBER(Data_2017!BM40),100*ABS($G40-(Data_2017!BM40-$K40)/$M40),0),IF(ISNUMBER(Data_2017!BM40),100*ABS($G40-(Data_2017!BM40-$K40)/$M40),0)))</f>
        <v>95.0085738067526</v>
      </c>
      <c r="BT40" s="100">
        <f>IF($H40=0,0,CHOOSE($H40,SUMPRODUCT($O41:$O$67*BT41:BT$67*($E41:$E$67=$D40)),IF(ISNUMBER(Data_2017!BN40),100*ABS($G40-(Data_2017!BN40-$K40)/$M40),0),IF(ISNUMBER(Data_2017!BN40),100*ABS($G40-(Data_2017!BN40-$K40)/$M40),0)))</f>
        <v>74.2598018371689</v>
      </c>
      <c r="BU40" s="100">
        <f>IF($H40=0,0,CHOOSE($H40,SUMPRODUCT($O41:$O$67*BU41:BU$67*($E41:$E$67=$D40)),IF(ISNUMBER(Data_2017!BO40),100*ABS($G40-(Data_2017!BO40-$K40)/$M40),0),IF(ISNUMBER(Data_2017!BO40),100*ABS($G40-(Data_2017!BO40-$K40)/$M40),0)))</f>
        <v>94.7652006357239</v>
      </c>
      <c r="BV40" s="100">
        <f>IF($H40=0,0,CHOOSE($H40,SUMPRODUCT($O41:$O$67*BV41:BV$67*($E41:$E$67=$D40)),IF(ISNUMBER(Data_2017!BP40),100*ABS($G40-(Data_2017!BP40-$K40)/$M40),0),IF(ISNUMBER(Data_2017!BP40),100*ABS($G40-(Data_2017!BP40-$K40)/$M40),0)))</f>
        <v>67.156618192149</v>
      </c>
      <c r="BW40" s="100">
        <f>IF($H40=0,0,CHOOSE($H40,SUMPRODUCT($O41:$O$67*BW41:BW$67*($E41:$E$67=$D40)),IF(ISNUMBER(Data_2017!BQ40),100*ABS($G40-(Data_2017!BQ40-$K40)/$M40),0),IF(ISNUMBER(Data_2017!BQ40),100*ABS($G40-(Data_2017!BQ40-$K40)/$M40),0)))</f>
        <v>96.4236900269744</v>
      </c>
      <c r="BX40" s="100">
        <f>IF($H40=0,0,CHOOSE($H40,SUMPRODUCT($O41:$O$67*BX41:BX$67*($E41:$E$67=$D40)),IF(ISNUMBER(Data_2017!BR40),100*ABS($G40-(Data_2017!BR40-$K40)/$M40),0),IF(ISNUMBER(Data_2017!BR40),100*ABS($G40-(Data_2017!BR40-$K40)/$M40),0)))</f>
        <v>92.8268457854259</v>
      </c>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row>
    <row r="41" s="69" customFormat="1" ht="24.95" customHeight="1" spans="1:130">
      <c r="A41" s="92"/>
      <c r="B41" s="92">
        <f>tblIndicators!A37</f>
        <v>36</v>
      </c>
      <c r="C41" s="92">
        <f>tblIndicators!B37</f>
        <v>0</v>
      </c>
      <c r="D41" s="92" t="str">
        <f>tblIndicators!D37</f>
        <v>INSE3.2.1</v>
      </c>
      <c r="E41" s="92" t="str">
        <f>tblIndicators!E37</f>
        <v>INSE3.2</v>
      </c>
      <c r="F41" s="92">
        <f>tblIndicators!F37</f>
        <v>3</v>
      </c>
      <c r="G41" s="92">
        <f>tblIndicators!Y37</f>
        <v>1</v>
      </c>
      <c r="H41" s="92">
        <f>tblIndicators!Z37</f>
        <v>2</v>
      </c>
      <c r="I41" s="104">
        <f>tblIndicators!AA37</f>
        <v>0</v>
      </c>
      <c r="J41" s="92">
        <f>tblIndicators!AB37</f>
        <v>0</v>
      </c>
      <c r="K41" s="89">
        <f>IF(uxb_works!$B$66=1,CHOOSE(H41,"-",MIN(Data_2017!J41:BR41),I41),CHOOSE(H41,"-",MIN(Data_2017!J41:BQ41),I41))</f>
        <v>0</v>
      </c>
      <c r="L41" s="97">
        <f>IF(uxb_works!$B$66=1,CHOOSE(H41,"-",MAX(Data_2017!J41:BR41),J41),CHOOSE(H41,"-",MAX(Data_2017!J41:BQ41),J41))</f>
        <v>22.1160303046084</v>
      </c>
      <c r="M41" s="92">
        <f t="shared" si="1"/>
        <v>22.1160303046084</v>
      </c>
      <c r="N41" s="105" t="str">
        <f>REPT(" ",F41)&amp;tblIndicators!AE37</f>
        <v>   3.2.1) Deaths from natural disaster</v>
      </c>
      <c r="O41" s="106">
        <f>tblIndicators!AD37</f>
        <v>0.2</v>
      </c>
      <c r="P41" s="100">
        <f>IF($H41=0,0,CHOOSE($H41,SUMPRODUCT($O42:$O$67*P42:P$67*($E42:$E$67=$D41)),IF(ISNUMBER(Data_2017!J41),100*ABS($G41-(Data_2017!J41-$K41)/$M41),0),IF(ISNUMBER(Data_2017!J41),100*ABS($G41-(Data_2017!J41-$K41)/$M41),0)))</f>
        <v>100</v>
      </c>
      <c r="Q41" s="100">
        <f>IF($H41=0,0,CHOOSE($H41,SUMPRODUCT($O42:$O$67*Q42:Q$67*($E42:$E$67=$D41)),IF(ISNUMBER(Data_2017!K41),100*ABS($G41-(Data_2017!K41-$K41)/$M41),0),IF(ISNUMBER(Data_2017!K41),100*ABS($G41-(Data_2017!K41-$K41)/$M41),0)))</f>
        <v>99.7302674847486</v>
      </c>
      <c r="R41" s="100">
        <f>IF($H41=0,0,CHOOSE($H41,SUMPRODUCT($O42:$O$67*R42:R$67*($E42:$E$67=$D41)),IF(ISNUMBER(Data_2017!L41),100*ABS($G41-(Data_2017!L41-$K41)/$M41),0),IF(ISNUMBER(Data_2017!L41),100*ABS($G41-(Data_2017!L41-$K41)/$M41),0)))</f>
        <v>98.357662523222</v>
      </c>
      <c r="S41" s="100">
        <f>IF($H41=0,0,CHOOSE($H41,SUMPRODUCT($O42:$O$67*S42:S$67*($E42:$E$67=$D41)),IF(ISNUMBER(Data_2017!M41),100*ABS($G41-(Data_2017!M41-$K41)/$M41),0),IF(ISNUMBER(Data_2017!M41),100*ABS($G41-(Data_2017!M41-$K41)/$M41),0)))</f>
        <v>97.1675529390353</v>
      </c>
      <c r="T41" s="100">
        <f>IF($H41=0,0,CHOOSE($H41,SUMPRODUCT($O42:$O$67*T42:T$67*($E42:$E$67=$D41)),IF(ISNUMBER(Data_2017!N41),100*ABS($G41-(Data_2017!N41-$K41)/$M41),0),IF(ISNUMBER(Data_2017!N41),100*ABS($G41-(Data_2017!N41-$K41)/$M41),0)))</f>
        <v>99.4148749916032</v>
      </c>
      <c r="U41" s="100">
        <f>IF($H41=0,0,CHOOSE($H41,SUMPRODUCT($O42:$O$67*U42:U$67*($E42:$E$67=$D41)),IF(ISNUMBER(Data_2017!O41),100*ABS($G41-(Data_2017!O41-$K41)/$M41),0),IF(ISNUMBER(Data_2017!O41),100*ABS($G41-(Data_2017!O41-$K41)/$M41),0)))</f>
        <v>96.3506309098203</v>
      </c>
      <c r="V41" s="100">
        <f>IF($H41=0,0,CHOOSE($H41,SUMPRODUCT($O42:$O$67*V42:V$67*($E42:$E$67=$D41)),IF(ISNUMBER(Data_2017!P41),100*ABS($G41-(Data_2017!P41-$K41)/$M41),0),IF(ISNUMBER(Data_2017!P41),100*ABS($G41-(Data_2017!P41-$K41)/$M41),0)))</f>
        <v>93.1593832146824</v>
      </c>
      <c r="W41" s="100">
        <f>IF($H41=0,0,CHOOSE($H41,SUMPRODUCT($O42:$O$67*W42:W$67*($E42:$E$67=$D41)),IF(ISNUMBER(Data_2017!Q41),100*ABS($G41-(Data_2017!Q41-$K41)/$M41),0),IF(ISNUMBER(Data_2017!Q41),100*ABS($G41-(Data_2017!Q41-$K41)/$M41),0)))</f>
        <v>66.7843976527765</v>
      </c>
      <c r="X41" s="100">
        <f>IF($H41=0,0,CHOOSE($H41,SUMPRODUCT($O42:$O$67*X42:X$67*($E42:$E$67=$D41)),IF(ISNUMBER(Data_2017!R41),100*ABS($G41-(Data_2017!R41-$K41)/$M41),0),IF(ISNUMBER(Data_2017!R41),100*ABS($G41-(Data_2017!R41-$K41)/$M41),0)))</f>
        <v>97.3087114738437</v>
      </c>
      <c r="Y41" s="100">
        <f>IF($H41=0,0,CHOOSE($H41,SUMPRODUCT($O42:$O$67*Y42:Y$67*($E42:$E$67=$D41)),IF(ISNUMBER(Data_2017!S41),100*ABS($G41-(Data_2017!S41-$K41)/$M41),0),IF(ISNUMBER(Data_2017!S41),100*ABS($G41-(Data_2017!S41-$K41)/$M41),0)))</f>
        <v>95.888585586473</v>
      </c>
      <c r="Z41" s="100">
        <f>IF($H41=0,0,CHOOSE($H41,SUMPRODUCT($O42:$O$67*Z42:Z$67*($E42:$E$67=$D41)),IF(ISNUMBER(Data_2017!T41),100*ABS($G41-(Data_2017!T41-$K41)/$M41),0),IF(ISNUMBER(Data_2017!T41),100*ABS($G41-(Data_2017!T41-$K41)/$M41),0)))</f>
        <v>100</v>
      </c>
      <c r="AA41" s="100">
        <f>IF($H41=0,0,CHOOSE($H41,SUMPRODUCT($O42:$O$67*AA42:AA$67*($E42:$E$67=$D41)),IF(ISNUMBER(Data_2017!U41),100*ABS($G41-(Data_2017!U41-$K41)/$M41),0),IF(ISNUMBER(Data_2017!U41),100*ABS($G41-(Data_2017!U41-$K41)/$M41),0)))</f>
        <v>97.3340366640931</v>
      </c>
      <c r="AB41" s="100">
        <f>IF($H41=0,0,CHOOSE($H41,SUMPRODUCT($O42:$O$67*AB42:AB$67*($E42:$E$67=$D41)),IF(ISNUMBER(Data_2017!V41),100*ABS($G41-(Data_2017!V41-$K41)/$M41),0),IF(ISNUMBER(Data_2017!V41),100*ABS($G41-(Data_2017!V41-$K41)/$M41),0)))</f>
        <v>96.2868219565054</v>
      </c>
      <c r="AC41" s="100">
        <f>IF($H41=0,0,CHOOSE($H41,SUMPRODUCT($O42:$O$67*AC42:AC$67*($E42:$E$67=$D41)),IF(ISNUMBER(Data_2017!W41),100*ABS($G41-(Data_2017!W41-$K41)/$M41),0),IF(ISNUMBER(Data_2017!W41),100*ABS($G41-(Data_2017!W41-$K41)/$M41),0)))</f>
        <v>96.2868219565054</v>
      </c>
      <c r="AD41" s="100">
        <f>IF($H41=0,0,CHOOSE($H41,SUMPRODUCT($O42:$O$67*AD42:AD$67*($E42:$E$67=$D41)),IF(ISNUMBER(Data_2017!X41),100*ABS($G41-(Data_2017!X41-$K41)/$M41),0),IF(ISNUMBER(Data_2017!X41),100*ABS($G41-(Data_2017!X41-$K41)/$M41),0)))</f>
        <v>90.6631138175658</v>
      </c>
      <c r="AE41" s="100">
        <f>IF($H41=0,0,CHOOSE($H41,SUMPRODUCT($O42:$O$67*AE42:AE$67*($E42:$E$67=$D41)),IF(ISNUMBER(Data_2017!Y41),100*ABS($G41-(Data_2017!Y41-$K41)/$M41),0),IF(ISNUMBER(Data_2017!Y41),100*ABS($G41-(Data_2017!Y41-$K41)/$M41),0)))</f>
        <v>95.2672919568047</v>
      </c>
      <c r="AF41" s="100">
        <f>IF($H41=0,0,CHOOSE($H41,SUMPRODUCT($O42:$O$67*AF42:AF$67*($E42:$E$67=$D41)),IF(ISNUMBER(Data_2017!Z41),100*ABS($G41-(Data_2017!Z41-$K41)/$M41),0),IF(ISNUMBER(Data_2017!Z41),100*ABS($G41-(Data_2017!Z41-$K41)/$M41),0)))</f>
        <v>100</v>
      </c>
      <c r="AG41" s="100">
        <f>IF($H41=0,0,CHOOSE($H41,SUMPRODUCT($O42:$O$67*AG42:AG$67*($E42:$E$67=$D41)),IF(ISNUMBER(Data_2017!AA41),100*ABS($G41-(Data_2017!AA41-$K41)/$M41),0),IF(ISNUMBER(Data_2017!AA41),100*ABS($G41-(Data_2017!AA41-$K41)/$M41),0)))</f>
        <v>99.5543106992791</v>
      </c>
      <c r="AH41" s="100">
        <f>IF($H41=0,0,CHOOSE($H41,SUMPRODUCT($O42:$O$67*AH42:AH$67*($E42:$E$67=$D41)),IF(ISNUMBER(Data_2017!AB41),100*ABS($G41-(Data_2017!AB41-$K41)/$M41),0),IF(ISNUMBER(Data_2017!AB41),100*ABS($G41-(Data_2017!AB41-$K41)/$M41),0)))</f>
        <v>94.2269004175957</v>
      </c>
      <c r="AI41" s="100">
        <f>IF($H41=0,0,CHOOSE($H41,SUMPRODUCT($O42:$O$67*AI42:AI$67*($E42:$E$67=$D41)),IF(ISNUMBER(Data_2017!AC41),100*ABS($G41-(Data_2017!AC41-$K41)/$M41),0),IF(ISNUMBER(Data_2017!AC41),100*ABS($G41-(Data_2017!AC41-$K41)/$M41),0)))</f>
        <v>100</v>
      </c>
      <c r="AJ41" s="100">
        <f>IF($H41=0,0,CHOOSE($H41,SUMPRODUCT($O42:$O$67*AJ42:AJ$67*($E42:$E$67=$D41)),IF(ISNUMBER(Data_2017!AD41),100*ABS($G41-(Data_2017!AD41-$K41)/$M41),0),IF(ISNUMBER(Data_2017!AD41),100*ABS($G41-(Data_2017!AD41-$K41)/$M41),0)))</f>
        <v>99.455581703272</v>
      </c>
      <c r="AK41" s="100">
        <f>IF($H41=0,0,CHOOSE($H41,SUMPRODUCT($O42:$O$67*AK42:AK$67*($E42:$E$67=$D41)),IF(ISNUMBER(Data_2017!AE41),100*ABS($G41-(Data_2017!AE41-$K41)/$M41),0),IF(ISNUMBER(Data_2017!AE41),100*ABS($G41-(Data_2017!AE41-$K41)/$M41),0)))</f>
        <v>96.87602773261</v>
      </c>
      <c r="AL41" s="100">
        <f>IF($H41=0,0,CHOOSE($H41,SUMPRODUCT($O42:$O$67*AL42:AL$67*($E42:$E$67=$D41)),IF(ISNUMBER(Data_2017!AF41),100*ABS($G41-(Data_2017!AF41-$K41)/$M41),0),IF(ISNUMBER(Data_2017!AF41),100*ABS($G41-(Data_2017!AF41-$K41)/$M41),0)))</f>
        <v>96.1754124251418</v>
      </c>
      <c r="AM41" s="100">
        <f>IF($H41=0,0,CHOOSE($H41,SUMPRODUCT($O42:$O$67*AM42:AM$67*($E42:$E$67=$D41)),IF(ISNUMBER(Data_2017!AG41),100*ABS($G41-(Data_2017!AG41-$K41)/$M41),0),IF(ISNUMBER(Data_2017!AG41),100*ABS($G41-(Data_2017!AG41-$K41)/$M41),0)))</f>
        <v>98.7790019859775</v>
      </c>
      <c r="AN41" s="100">
        <f>IF($H41=0,0,CHOOSE($H41,SUMPRODUCT($O42:$O$67*AN42:AN$67*($E42:$E$67=$D41)),IF(ISNUMBER(Data_2017!AH41),100*ABS($G41-(Data_2017!AH41-$K41)/$M41),0),IF(ISNUMBER(Data_2017!AH41),100*ABS($G41-(Data_2017!AH41-$K41)/$M41),0)))</f>
        <v>79.6716685712646</v>
      </c>
      <c r="AO41" s="100">
        <f>IF($H41=0,0,CHOOSE($H41,SUMPRODUCT($O42:$O$67*AO42:AO$67*($E42:$E$67=$D41)),IF(ISNUMBER(Data_2017!AI41),100*ABS($G41-(Data_2017!AI41-$K41)/$M41),0),IF(ISNUMBER(Data_2017!AI41),100*ABS($G41-(Data_2017!AI41-$K41)/$M41),0)))</f>
        <v>98.2722082616957</v>
      </c>
      <c r="AP41" s="100">
        <f>IF($H41=0,0,CHOOSE($H41,SUMPRODUCT($O42:$O$67*AP42:AP$67*($E42:$E$67=$D41)),IF(ISNUMBER(Data_2017!AJ41),100*ABS($G41-(Data_2017!AJ41-$K41)/$M41),0),IF(ISNUMBER(Data_2017!AJ41),100*ABS($G41-(Data_2017!AJ41-$K41)/$M41),0)))</f>
        <v>100</v>
      </c>
      <c r="AQ41" s="100">
        <f>IF($H41=0,0,CHOOSE($H41,SUMPRODUCT($O42:$O$67*AQ42:AQ$67*($E42:$E$67=$D41)),IF(ISNUMBER(Data_2017!AK41),100*ABS($G41-(Data_2017!AK41-$K41)/$M41),0),IF(ISNUMBER(Data_2017!AK41),100*ABS($G41-(Data_2017!AK41-$K41)/$M41),0)))</f>
        <v>70.8995467063249</v>
      </c>
      <c r="AR41" s="100">
        <f>IF($H41=0,0,CHOOSE($H41,SUMPRODUCT($O42:$O$67*AR42:AR$67*($E42:$E$67=$D41)),IF(ISNUMBER(Data_2017!AL41),100*ABS($G41-(Data_2017!AL41-$K41)/$M41),0),IF(ISNUMBER(Data_2017!AL41),100*ABS($G41-(Data_2017!AL41-$K41)/$M41),0)))</f>
        <v>86.0549597307171</v>
      </c>
      <c r="AS41" s="100">
        <f>IF($H41=0,0,CHOOSE($H41,SUMPRODUCT($O42:$O$67*AS42:AS$67*($E42:$E$67=$D41)),IF(ISNUMBER(Data_2017!AM41),100*ABS($G41-(Data_2017!AM41-$K41)/$M41),0),IF(ISNUMBER(Data_2017!AM41),100*ABS($G41-(Data_2017!AM41-$K41)/$M41),0)))</f>
        <v>96.2868219565054</v>
      </c>
      <c r="AT41" s="100">
        <f>IF($H41=0,0,CHOOSE($H41,SUMPRODUCT($O42:$O$67*AT42:AT$67*($E42:$E$67=$D41)),IF(ISNUMBER(Data_2017!AN41),100*ABS($G41-(Data_2017!AN41-$K41)/$M41),0),IF(ISNUMBER(Data_2017!AN41),100*ABS($G41-(Data_2017!AN41-$K41)/$M41),0)))</f>
        <v>99.4148749916032</v>
      </c>
      <c r="AU41" s="100">
        <f>IF($H41=0,0,CHOOSE($H41,SUMPRODUCT($O42:$O$67*AU42:AU$67*($E42:$E$67=$D41)),IF(ISNUMBER(Data_2017!AO41),100*ABS($G41-(Data_2017!AO41-$K41)/$M41),0),IF(ISNUMBER(Data_2017!AO41),100*ABS($G41-(Data_2017!AO41-$K41)/$M41),0)))</f>
        <v>0</v>
      </c>
      <c r="AV41" s="100">
        <f>IF($H41=0,0,CHOOSE($H41,SUMPRODUCT($O42:$O$67*AV42:AV$67*($E42:$E$67=$D41)),IF(ISNUMBER(Data_2017!AP41),100*ABS($G41-(Data_2017!AP41-$K41)/$M41),0),IF(ISNUMBER(Data_2017!AP41),100*ABS($G41-(Data_2017!AP41-$K41)/$M41),0)))</f>
        <v>93.1931819184446</v>
      </c>
      <c r="AW41" s="100">
        <f>IF($H41=0,0,CHOOSE($H41,SUMPRODUCT($O42:$O$67*AW42:AW$67*($E42:$E$67=$D41)),IF(ISNUMBER(Data_2017!AQ41),100*ABS($G41-(Data_2017!AQ41-$K41)/$M41),0),IF(ISNUMBER(Data_2017!AQ41),100*ABS($G41-(Data_2017!AQ41-$K41)/$M41),0)))</f>
        <v>97.1454473622814</v>
      </c>
      <c r="AX41" s="100">
        <f>IF($H41=0,0,CHOOSE($H41,SUMPRODUCT($O42:$O$67*AX42:AX$67*($E42:$E$67=$D41)),IF(ISNUMBER(Data_2017!AR41),100*ABS($G41-(Data_2017!AR41-$K41)/$M41),0),IF(ISNUMBER(Data_2017!AR41),100*ABS($G41-(Data_2017!AR41-$K41)/$M41),0)))</f>
        <v>93.7379891309623</v>
      </c>
      <c r="AY41" s="100">
        <f>IF($H41=0,0,CHOOSE($H41,SUMPRODUCT($O42:$O$67*AY42:AY$67*($E42:$E$67=$D41)),IF(ISNUMBER(Data_2017!AS41),100*ABS($G41-(Data_2017!AS41-$K41)/$M41),0),IF(ISNUMBER(Data_2017!AS41),100*ABS($G41-(Data_2017!AS41-$K41)/$M41),0)))</f>
        <v>97.1271905538822</v>
      </c>
      <c r="AZ41" s="100">
        <f>IF($H41=0,0,CHOOSE($H41,SUMPRODUCT($O42:$O$67*AZ42:AZ$67*($E42:$E$67=$D41)),IF(ISNUMBER(Data_2017!AT41),100*ABS($G41-(Data_2017!AT41-$K41)/$M41),0),IF(ISNUMBER(Data_2017!AT41),100*ABS($G41-(Data_2017!AT41-$K41)/$M41),0)))</f>
        <v>90.6631138175658</v>
      </c>
      <c r="BA41" s="100">
        <f>IF($H41=0,0,CHOOSE($H41,SUMPRODUCT($O42:$O$67*BA42:BA$67*($E42:$E$67=$D41)),IF(ISNUMBER(Data_2017!AU41),100*ABS($G41-(Data_2017!AU41-$K41)/$M41),0),IF(ISNUMBER(Data_2017!AU41),100*ABS($G41-(Data_2017!AU41-$K41)/$M41),0)))</f>
        <v>96.2868219565054</v>
      </c>
      <c r="BB41" s="100">
        <f>IF($H41=0,0,CHOOSE($H41,SUMPRODUCT($O42:$O$67*BB42:BB$67*($E42:$E$67=$D41)),IF(ISNUMBER(Data_2017!AV41),100*ABS($G41-(Data_2017!AV41-$K41)/$M41),0),IF(ISNUMBER(Data_2017!AV41),100*ABS($G41-(Data_2017!AV41-$K41)/$M41),0)))</f>
        <v>92.5796077347922</v>
      </c>
      <c r="BC41" s="100">
        <f>IF($H41=0,0,CHOOSE($H41,SUMPRODUCT($O42:$O$67*BC42:BC$67*($E42:$E$67=$D41)),IF(ISNUMBER(Data_2017!AW41),100*ABS($G41-(Data_2017!AW41-$K41)/$M41),0),IF(ISNUMBER(Data_2017!AW41),100*ABS($G41-(Data_2017!AW41-$K41)/$M41),0)))</f>
        <v>53.0774654227666</v>
      </c>
      <c r="BD41" s="100">
        <f>IF($H41=0,0,CHOOSE($H41,SUMPRODUCT($O42:$O$67*BD42:BD$67*($E42:$E$67=$D41)),IF(ISNUMBER(Data_2017!AX41),100*ABS($G41-(Data_2017!AX41-$K41)/$M41),0),IF(ISNUMBER(Data_2017!AX41),100*ABS($G41-(Data_2017!AX41-$K41)/$M41),0)))</f>
        <v>57.590937426768</v>
      </c>
      <c r="BE41" s="100">
        <f>IF($H41=0,0,CHOOSE($H41,SUMPRODUCT($O42:$O$67*BE42:BE$67*($E42:$E$67=$D41)),IF(ISNUMBER(Data_2017!AY41),100*ABS($G41-(Data_2017!AY41-$K41)/$M41),0),IF(ISNUMBER(Data_2017!AY41),100*ABS($G41-(Data_2017!AY41-$K41)/$M41),0)))</f>
        <v>98.4113269962634</v>
      </c>
      <c r="BF41" s="100">
        <f>IF($H41=0,0,CHOOSE($H41,SUMPRODUCT($O42:$O$67*BF42:BF$67*($E42:$E$67=$D41)),IF(ISNUMBER(Data_2017!AZ41),100*ABS($G41-(Data_2017!AZ41-$K41)/$M41),0),IF(ISNUMBER(Data_2017!AZ41),100*ABS($G41-(Data_2017!AZ41-$K41)/$M41),0)))</f>
        <v>96.1754124251418</v>
      </c>
      <c r="BG41" s="100">
        <f>IF($H41=0,0,CHOOSE($H41,SUMPRODUCT($O42:$O$67*BG42:BG$67*($E42:$E$67=$D41)),IF(ISNUMBER(Data_2017!BA41),100*ABS($G41-(Data_2017!BA41-$K41)/$M41),0),IF(ISNUMBER(Data_2017!BA41),100*ABS($G41-(Data_2017!BA41-$K41)/$M41),0)))</f>
        <v>93.7379891309623</v>
      </c>
      <c r="BH41" s="100">
        <f>IF($H41=0,0,CHOOSE($H41,SUMPRODUCT($O42:$O$67*BH42:BH$67*($E42:$E$67=$D41)),IF(ISNUMBER(Data_2017!BB41),100*ABS($G41-(Data_2017!BB41-$K41)/$M41),0),IF(ISNUMBER(Data_2017!BB41),100*ABS($G41-(Data_2017!BB41-$K41)/$M41),0)))</f>
        <v>96.2868219565054</v>
      </c>
      <c r="BI41" s="100">
        <f>IF($H41=0,0,CHOOSE($H41,SUMPRODUCT($O42:$O$67*BI42:BI$67*($E42:$E$67=$D41)),IF(ISNUMBER(Data_2017!BC41),100*ABS($G41-(Data_2017!BC41-$K41)/$M41),0),IF(ISNUMBER(Data_2017!BC41),100*ABS($G41-(Data_2017!BC41-$K41)/$M41),0)))</f>
        <v>87.7903178100997</v>
      </c>
      <c r="BJ41" s="100">
        <f>IF($H41=0,0,CHOOSE($H41,SUMPRODUCT($O42:$O$67*BJ42:BJ$67*($E42:$E$67=$D41)),IF(ISNUMBER(Data_2017!BD41),100*ABS($G41-(Data_2017!BD41-$K41)/$M41),0),IF(ISNUMBER(Data_2017!BD41),100*ABS($G41-(Data_2017!BD41-$K41)/$M41),0)))</f>
        <v>98.4113269962634</v>
      </c>
      <c r="BK41" s="100">
        <f>IF($H41=0,0,CHOOSE($H41,SUMPRODUCT($O42:$O$67*BK42:BK$67*($E42:$E$67=$D41)),IF(ISNUMBER(Data_2017!BE41),100*ABS($G41-(Data_2017!BE41-$K41)/$M41),0),IF(ISNUMBER(Data_2017!BE41),100*ABS($G41-(Data_2017!BE41-$K41)/$M41),0)))</f>
        <v>97.4058385658779</v>
      </c>
      <c r="BL41" s="100">
        <f>IF($H41=0,0,CHOOSE($H41,SUMPRODUCT($O42:$O$67*BL42:BL$67*($E42:$E$67=$D41)),IF(ISNUMBER(Data_2017!BF41),100*ABS($G41-(Data_2017!BF41-$K41)/$M41),0),IF(ISNUMBER(Data_2017!BF41),100*ABS($G41-(Data_2017!BF41-$K41)/$M41),0)))</f>
        <v>96.3506309098203</v>
      </c>
      <c r="BM41" s="100">
        <f>IF($H41=0,0,CHOOSE($H41,SUMPRODUCT($O42:$O$67*BM42:BM$67*($E42:$E$67=$D41)),IF(ISNUMBER(Data_2017!BG41),100*ABS($G41-(Data_2017!BG41-$K41)/$M41),0),IF(ISNUMBER(Data_2017!BG41),100*ABS($G41-(Data_2017!BG41-$K41)/$M41),0)))</f>
        <v>100</v>
      </c>
      <c r="BN41" s="100">
        <f>IF($H41=0,0,CHOOSE($H41,SUMPRODUCT($O42:$O$67*BN42:BN$67*($E42:$E$67=$D41)),IF(ISNUMBER(Data_2017!BH41),100*ABS($G41-(Data_2017!BH41-$K41)/$M41),0),IF(ISNUMBER(Data_2017!BH41),100*ABS($G41-(Data_2017!BH41-$K41)/$M41),0)))</f>
        <v>96.7183433927719</v>
      </c>
      <c r="BO41" s="100">
        <f>IF($H41=0,0,CHOOSE($H41,SUMPRODUCT($O42:$O$67*BO42:BO$67*($E42:$E$67=$D41)),IF(ISNUMBER(Data_2017!BI41),100*ABS($G41-(Data_2017!BI41-$K41)/$M41),0),IF(ISNUMBER(Data_2017!BI41),100*ABS($G41-(Data_2017!BI41-$K41)/$M41),0)))</f>
        <v>93.1931819184446</v>
      </c>
      <c r="BP41" s="100">
        <f>IF($H41=0,0,CHOOSE($H41,SUMPRODUCT($O42:$O$67*BP42:BP$67*($E42:$E$67=$D41)),IF(ISNUMBER(Data_2017!BJ41),100*ABS($G41-(Data_2017!BJ41-$K41)/$M41),0),IF(ISNUMBER(Data_2017!BJ41),100*ABS($G41-(Data_2017!BJ41-$K41)/$M41),0)))</f>
        <v>90.3466741772839</v>
      </c>
      <c r="BQ41" s="100">
        <f>IF($H41=0,0,CHOOSE($H41,SUMPRODUCT($O42:$O$67*BQ42:BQ$67*($E42:$E$67=$D41)),IF(ISNUMBER(Data_2017!BK41),100*ABS($G41-(Data_2017!BK41-$K41)/$M41),0),IF(ISNUMBER(Data_2017!BK41),100*ABS($G41-(Data_2017!BK41-$K41)/$M41),0)))</f>
        <v>94.650419736209</v>
      </c>
      <c r="BR41" s="100">
        <f>IF($H41=0,0,CHOOSE($H41,SUMPRODUCT($O42:$O$67*BR42:BR$67*($E42:$E$67=$D41)),IF(ISNUMBER(Data_2017!BL41),100*ABS($G41-(Data_2017!BL41-$K41)/$M41),0),IF(ISNUMBER(Data_2017!BL41),100*ABS($G41-(Data_2017!BL41-$K41)/$M41),0)))</f>
        <v>92.5796077347922</v>
      </c>
      <c r="BS41" s="100">
        <f>IF($H41=0,0,CHOOSE($H41,SUMPRODUCT($O42:$O$67*BS42:BS$67*($E42:$E$67=$D41)),IF(ISNUMBER(Data_2017!BM41),100*ABS($G41-(Data_2017!BM41-$K41)/$M41),0),IF(ISNUMBER(Data_2017!BM41),100*ABS($G41-(Data_2017!BM41-$K41)/$M41),0)))</f>
        <v>99.6406431857052</v>
      </c>
      <c r="BT41" s="100">
        <f>IF($H41=0,0,CHOOSE($H41,SUMPRODUCT($O42:$O$67*BT42:BT$67*($E42:$E$67=$D41)),IF(ISNUMBER(Data_2017!BN41),100*ABS($G41-(Data_2017!BN41-$K41)/$M41),0),IF(ISNUMBER(Data_2017!BN41),100*ABS($G41-(Data_2017!BN41-$K41)/$M41),0)))</f>
        <v>96.2868219565054</v>
      </c>
      <c r="BU41" s="100">
        <f>IF($H41=0,0,CHOOSE($H41,SUMPRODUCT($O42:$O$67*BU42:BU$67*($E42:$E$67=$D41)),IF(ISNUMBER(Data_2017!BO41),100*ABS($G41-(Data_2017!BO41-$K41)/$M41),0),IF(ISNUMBER(Data_2017!BO41),100*ABS($G41-(Data_2017!BO41-$K41)/$M41),0)))</f>
        <v>98.5033680396479</v>
      </c>
      <c r="BV41" s="100">
        <f>IF($H41=0,0,CHOOSE($H41,SUMPRODUCT($O42:$O$67*BV42:BV$67*($E42:$E$67=$D41)),IF(ISNUMBER(Data_2017!BP41),100*ABS($G41-(Data_2017!BP41-$K41)/$M41),0),IF(ISNUMBER(Data_2017!BP41),100*ABS($G41-(Data_2017!BP41-$K41)/$M41),0)))</f>
        <v>93.1659799301712</v>
      </c>
      <c r="BW41" s="100">
        <f>IF($H41=0,0,CHOOSE($H41,SUMPRODUCT($O42:$O$67*BW42:BW$67*($E42:$E$67=$D41)),IF(ISNUMBER(Data_2017!BQ41),100*ABS($G41-(Data_2017!BQ41-$K41)/$M41),0),IF(ISNUMBER(Data_2017!BQ41),100*ABS($G41-(Data_2017!BQ41-$K41)/$M41),0)))</f>
        <v>97.5454567357917</v>
      </c>
      <c r="BX41" s="100">
        <f>IF($H41=0,0,CHOOSE($H41,SUMPRODUCT($O42:$O$67*BX42:BX$67*($E42:$E$67=$D41)),IF(ISNUMBER(Data_2017!BR41),100*ABS($G41-(Data_2017!BR41-$K41)/$M41),0),IF(ISNUMBER(Data_2017!BR41),100*ABS($G41-(Data_2017!BR41-$K41)/$M41),0)))</f>
        <v>92.5796077347922</v>
      </c>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row>
    <row r="42" s="69" customFormat="1" ht="24.95" customHeight="1" spans="1:130">
      <c r="A42" s="92"/>
      <c r="B42" s="92">
        <f>tblIndicators!A38</f>
        <v>37</v>
      </c>
      <c r="C42" s="92">
        <f>tblIndicators!B38</f>
        <v>0</v>
      </c>
      <c r="D42" s="92" t="str">
        <f>tblIndicators!D38</f>
        <v>INSE3.2.2</v>
      </c>
      <c r="E42" s="92" t="str">
        <f>tblIndicators!E38</f>
        <v>INSE3.2</v>
      </c>
      <c r="F42" s="92">
        <f>tblIndicators!F38</f>
        <v>3</v>
      </c>
      <c r="G42" s="92">
        <f>tblIndicators!Y38</f>
        <v>1</v>
      </c>
      <c r="H42" s="92">
        <f>tblIndicators!Z38</f>
        <v>2</v>
      </c>
      <c r="I42" s="104">
        <f>tblIndicators!AA38</f>
        <v>0</v>
      </c>
      <c r="J42" s="92">
        <f>tblIndicators!AB38</f>
        <v>0</v>
      </c>
      <c r="K42" s="89">
        <f>IF(uxb_works!$B$66=1,CHOOSE(H42,"-",MIN(Data_2017!J42:BR42),I42),CHOOSE(H42,"-",MIN(Data_2017!J42:BQ42),I42))</f>
        <v>14.8695652173913</v>
      </c>
      <c r="L42" s="97">
        <f>IF(uxb_works!$B$66=1,CHOOSE(H42,"-",MAX(Data_2017!J42:BR42),J42),CHOOSE(H42,"-",MAX(Data_2017!J42:BQ42),J42))</f>
        <v>36216.4179104478</v>
      </c>
      <c r="M42" s="92">
        <f t="shared" si="1"/>
        <v>36201.5483452304</v>
      </c>
      <c r="N42" s="105" t="str">
        <f>REPT(" ",F42)&amp;tblIndicators!AE38</f>
        <v>   3.2.2) Frequency of vehicular accidents</v>
      </c>
      <c r="O42" s="106">
        <f>tblIndicators!AD38</f>
        <v>0.2</v>
      </c>
      <c r="P42" s="100">
        <f>IF($H42=0,0,CHOOSE($H42,SUMPRODUCT($O43:$O$67*P43:P$67*($E43:$E$67=$D42)),IF(ISNUMBER(Data_2017!J42),100*ABS($G42-(Data_2017!J42-$K42)/$M42),0),IF(ISNUMBER(Data_2017!J42),100*ABS($G42-(Data_2017!J42-$K42)/$M42),0)))</f>
        <v>95.6913364340366</v>
      </c>
      <c r="Q42" s="100">
        <f>IF($H42=0,0,CHOOSE($H42,SUMPRODUCT($O43:$O$67*Q43:Q$67*($E43:$E$67=$D42)),IF(ISNUMBER(Data_2017!K42),100*ABS($G42-(Data_2017!K42-$K42)/$M42),0),IF(ISNUMBER(Data_2017!K42),100*ABS($G42-(Data_2017!K42-$K42)/$M42),0)))</f>
        <v>96.5643759847093</v>
      </c>
      <c r="R42" s="100">
        <f>IF($H42=0,0,CHOOSE($H42,SUMPRODUCT($O43:$O$67*R43:R$67*($E43:$E$67=$D42)),IF(ISNUMBER(Data_2017!L42),100*ABS($G42-(Data_2017!L42-$K42)/$M42),0),IF(ISNUMBER(Data_2017!L42),100*ABS($G42-(Data_2017!L42-$K42)/$M42),0)))</f>
        <v>97.163918193314</v>
      </c>
      <c r="S42" s="100">
        <f>IF($H42=0,0,CHOOSE($H42,SUMPRODUCT($O43:$O$67*S43:S$67*($E43:$E$67=$D42)),IF(ISNUMBER(Data_2017!M42),100*ABS($G42-(Data_2017!M42-$K42)/$M42),0),IF(ISNUMBER(Data_2017!M42),100*ABS($G42-(Data_2017!M42-$K42)/$M42),0)))</f>
        <v>90.5594357396239</v>
      </c>
      <c r="T42" s="100">
        <f>IF($H42=0,0,CHOOSE($H42,SUMPRODUCT($O43:$O$67*T43:T$67*($E43:$E$67=$D42)),IF(ISNUMBER(Data_2017!N42),100*ABS($G42-(Data_2017!N42-$K42)/$M42),0),IF(ISNUMBER(Data_2017!N42),100*ABS($G42-(Data_2017!N42-$K42)/$M42),0)))</f>
        <v>90.1846401179341</v>
      </c>
      <c r="U42" s="100">
        <f>IF($H42=0,0,CHOOSE($H42,SUMPRODUCT($O43:$O$67*U43:U$67*($E43:$E$67=$D42)),IF(ISNUMBER(Data_2017!O42),100*ABS($G42-(Data_2017!O42-$K42)/$M42),0),IF(ISNUMBER(Data_2017!O42),100*ABS($G42-(Data_2017!O42-$K42)/$M42),0)))</f>
        <v>99.6562767765283</v>
      </c>
      <c r="V42" s="100">
        <f>IF($H42=0,0,CHOOSE($H42,SUMPRODUCT($O43:$O$67*V43:V$67*($E43:$E$67=$D42)),IF(ISNUMBER(Data_2017!P42),100*ABS($G42-(Data_2017!P42-$K42)/$M42),0),IF(ISNUMBER(Data_2017!P42),100*ABS($G42-(Data_2017!P42-$K42)/$M42),0)))</f>
        <v>96.4367230305149</v>
      </c>
      <c r="W42" s="100">
        <f>IF($H42=0,0,CHOOSE($H42,SUMPRODUCT($O43:$O$67*W43:W$67*($E43:$E$67=$D42)),IF(ISNUMBER(Data_2017!Q42),100*ABS($G42-(Data_2017!Q42-$K42)/$M42),0),IF(ISNUMBER(Data_2017!Q42),100*ABS($G42-(Data_2017!Q42-$K42)/$M42),0)))</f>
        <v>89.0383804637213</v>
      </c>
      <c r="X42" s="100">
        <f>IF($H42=0,0,CHOOSE($H42,SUMPRODUCT($O43:$O$67*X43:X$67*($E43:$E$67=$D42)),IF(ISNUMBER(Data_2017!R42),100*ABS($G42-(Data_2017!R42-$K42)/$M42),0),IF(ISNUMBER(Data_2017!R42),100*ABS($G42-(Data_2017!R42-$K42)/$M42),0)))</f>
        <v>91.9307429044317</v>
      </c>
      <c r="Y42" s="100">
        <f>IF($H42=0,0,CHOOSE($H42,SUMPRODUCT($O43:$O$67*Y43:Y$67*($E43:$E$67=$D42)),IF(ISNUMBER(Data_2017!S42),100*ABS($G42-(Data_2017!S42-$K42)/$M42),0),IF(ISNUMBER(Data_2017!S42),100*ABS($G42-(Data_2017!S42-$K42)/$M42),0)))</f>
        <v>99.6008430523494</v>
      </c>
      <c r="Z42" s="100">
        <f>IF($H42=0,0,CHOOSE($H42,SUMPRODUCT($O43:$O$67*Z43:Z$67*($E43:$E$67=$D42)),IF(ISNUMBER(Data_2017!T42),100*ABS($G42-(Data_2017!T42-$K42)/$M42),0),IF(ISNUMBER(Data_2017!T42),100*ABS($G42-(Data_2017!T42-$K42)/$M42),0)))</f>
        <v>97.1180955277288</v>
      </c>
      <c r="AA42" s="100">
        <f>IF($H42=0,0,CHOOSE($H42,SUMPRODUCT($O43:$O$67*AA43:AA$67*($E43:$E$67=$D42)),IF(ISNUMBER(Data_2017!U42),100*ABS($G42-(Data_2017!U42-$K42)/$M42),0),IF(ISNUMBER(Data_2017!U42),100*ABS($G42-(Data_2017!U42-$K42)/$M42),0)))</f>
        <v>93.549639334445</v>
      </c>
      <c r="AB42" s="100">
        <f>IF($H42=0,0,CHOOSE($H42,SUMPRODUCT($O43:$O$67*AB43:AB$67*($E43:$E$67=$D42)),IF(ISNUMBER(Data_2017!V42),100*ABS($G42-(Data_2017!V42-$K42)/$M42),0),IF(ISNUMBER(Data_2017!V42),100*ABS($G42-(Data_2017!V42-$K42)/$M42),0)))</f>
        <v>38.443657237333</v>
      </c>
      <c r="AC42" s="100">
        <f>IF($H42=0,0,CHOOSE($H42,SUMPRODUCT($O43:$O$67*AC43:AC$67*($E43:$E$67=$D42)),IF(ISNUMBER(Data_2017!W42),100*ABS($G42-(Data_2017!W42-$K42)/$M42),0),IF(ISNUMBER(Data_2017!W42),100*ABS($G42-(Data_2017!W42-$K42)/$M42),0)))</f>
        <v>24.756379863568</v>
      </c>
      <c r="AD42" s="100">
        <f>IF($H42=0,0,CHOOSE($H42,SUMPRODUCT($O43:$O$67*AD43:AD$67*($E43:$E$67=$D42)),IF(ISNUMBER(Data_2017!X42),100*ABS($G42-(Data_2017!X42-$K42)/$M42),0),IF(ISNUMBER(Data_2017!X42),100*ABS($G42-(Data_2017!X42-$K42)/$M42),0)))</f>
        <v>98.8643990000553</v>
      </c>
      <c r="AE42" s="100">
        <f>IF($H42=0,0,CHOOSE($H42,SUMPRODUCT($O43:$O$67*AE43:AE$67*($E43:$E$67=$D42)),IF(ISNUMBER(Data_2017!Y42),100*ABS($G42-(Data_2017!Y42-$K42)/$M42),0),IF(ISNUMBER(Data_2017!Y42),100*ABS($G42-(Data_2017!Y42-$K42)/$M42),0)))</f>
        <v>100</v>
      </c>
      <c r="AF42" s="100">
        <f>IF($H42=0,0,CHOOSE($H42,SUMPRODUCT($O43:$O$67*AF43:AF$67*($E43:$E$67=$D42)),IF(ISNUMBER(Data_2017!Z42),100*ABS($G42-(Data_2017!Z42-$K42)/$M42),0),IF(ISNUMBER(Data_2017!Z42),100*ABS($G42-(Data_2017!Z42-$K42)/$M42),0)))</f>
        <v>92.6322861132457</v>
      </c>
      <c r="AG42" s="100">
        <f>IF($H42=0,0,CHOOSE($H42,SUMPRODUCT($O43:$O$67*AG43:AG$67*($E43:$E$67=$D42)),IF(ISNUMBER(Data_2017!AA42),100*ABS($G42-(Data_2017!AA42-$K42)/$M42),0),IF(ISNUMBER(Data_2017!AA42),100*ABS($G42-(Data_2017!AA42-$K42)/$M42),0)))</f>
        <v>15.1640818282697</v>
      </c>
      <c r="AH42" s="100">
        <f>IF($H42=0,0,CHOOSE($H42,SUMPRODUCT($O43:$O$67*AH43:AH$67*($E43:$E$67=$D42)),IF(ISNUMBER(Data_2017!AB42),100*ABS($G42-(Data_2017!AB42-$K42)/$M42),0),IF(ISNUMBER(Data_2017!AB42),100*ABS($G42-(Data_2017!AB42-$K42)/$M42),0)))</f>
        <v>99.3656453131942</v>
      </c>
      <c r="AI42" s="100">
        <f>IF($H42=0,0,CHOOSE($H42,SUMPRODUCT($O43:$O$67*AI43:AI$67*($E43:$E$67=$D42)),IF(ISNUMBER(Data_2017!AC42),100*ABS($G42-(Data_2017!AC42-$K42)/$M42),0),IF(ISNUMBER(Data_2017!AC42),100*ABS($G42-(Data_2017!AC42-$K42)/$M42),0)))</f>
        <v>93.9906698186194</v>
      </c>
      <c r="AJ42" s="100">
        <f>IF($H42=0,0,CHOOSE($H42,SUMPRODUCT($O43:$O$67*AJ43:AJ$67*($E43:$E$67=$D42)),IF(ISNUMBER(Data_2017!AD42),100*ABS($G42-(Data_2017!AD42-$K42)/$M42),0),IF(ISNUMBER(Data_2017!AD42),100*ABS($G42-(Data_2017!AD42-$K42)/$M42),0)))</f>
        <v>53.9255492454926</v>
      </c>
      <c r="AK42" s="100">
        <f>IF($H42=0,0,CHOOSE($H42,SUMPRODUCT($O43:$O$67*AK43:AK$67*($E43:$E$67=$D42)),IF(ISNUMBER(Data_2017!AE42),100*ABS($G42-(Data_2017!AE42-$K42)/$M42),0),IF(ISNUMBER(Data_2017!AE42),100*ABS($G42-(Data_2017!AE42-$K42)/$M42),0)))</f>
        <v>99.4806314144651</v>
      </c>
      <c r="AL42" s="100">
        <f>IF($H42=0,0,CHOOSE($H42,SUMPRODUCT($O43:$O$67*AL43:AL$67*($E43:$E$67=$D42)),IF(ISNUMBER(Data_2017!AF42),100*ABS($G42-(Data_2017!AF42-$K42)/$M42),0),IF(ISNUMBER(Data_2017!AF42),100*ABS($G42-(Data_2017!AF42-$K42)/$M42),0)))</f>
        <v>49.1511535531711</v>
      </c>
      <c r="AM42" s="100">
        <f>IF($H42=0,0,CHOOSE($H42,SUMPRODUCT($O43:$O$67*AM43:AM$67*($E43:$E$67=$D42)),IF(ISNUMBER(Data_2017!AG42),100*ABS($G42-(Data_2017!AG42-$K42)/$M42),0),IF(ISNUMBER(Data_2017!AG42),100*ABS($G42-(Data_2017!AG42-$K42)/$M42),0)))</f>
        <v>33.5521450982635</v>
      </c>
      <c r="AN42" s="100">
        <f>IF($H42=0,0,CHOOSE($H42,SUMPRODUCT($O43:$O$67*AN43:AN$67*($E43:$E$67=$D42)),IF(ISNUMBER(Data_2017!AH42),100*ABS($G42-(Data_2017!AH42-$K42)/$M42),0),IF(ISNUMBER(Data_2017!AH42),100*ABS($G42-(Data_2017!AH42-$K42)/$M42),0)))</f>
        <v>99.9028828212598</v>
      </c>
      <c r="AO42" s="100">
        <f>IF($H42=0,0,CHOOSE($H42,SUMPRODUCT($O43:$O$67*AO43:AO$67*($E43:$E$67=$D42)),IF(ISNUMBER(Data_2017!AI42),100*ABS($G42-(Data_2017!AI42-$K42)/$M42),0),IF(ISNUMBER(Data_2017!AI42),100*ABS($G42-(Data_2017!AI42-$K42)/$M42),0)))</f>
        <v>52.0260010175206</v>
      </c>
      <c r="AP42" s="100">
        <f>IF($H42=0,0,CHOOSE($H42,SUMPRODUCT($O43:$O$67*AP43:AP$67*($E43:$E$67=$D42)),IF(ISNUMBER(Data_2017!AJ42),100*ABS($G42-(Data_2017!AJ42-$K42)/$M42),0),IF(ISNUMBER(Data_2017!AJ42),100*ABS($G42-(Data_2017!AJ42-$K42)/$M42),0)))</f>
        <v>22.882789787549</v>
      </c>
      <c r="AQ42" s="100">
        <f>IF($H42=0,0,CHOOSE($H42,SUMPRODUCT($O43:$O$67*AQ43:AQ$67*($E43:$E$67=$D42)),IF(ISNUMBER(Data_2017!AK42),100*ABS($G42-(Data_2017!AK42-$K42)/$M42),0),IF(ISNUMBER(Data_2017!AK42),100*ABS($G42-(Data_2017!AK42-$K42)/$M42),0)))</f>
        <v>86.5298571498947</v>
      </c>
      <c r="AR42" s="100">
        <f>IF($H42=0,0,CHOOSE($H42,SUMPRODUCT($O43:$O$67*AR43:AR$67*($E43:$E$67=$D42)),IF(ISNUMBER(Data_2017!AL42),100*ABS($G42-(Data_2017!AL42-$K42)/$M42),0),IF(ISNUMBER(Data_2017!AL42),100*ABS($G42-(Data_2017!AL42-$K42)/$M42),0)))</f>
        <v>94.642242263704</v>
      </c>
      <c r="AS42" s="100">
        <f>IF($H42=0,0,CHOOSE($H42,SUMPRODUCT($O43:$O$67*AS43:AS$67*($E43:$E$67=$D42)),IF(ISNUMBER(Data_2017!AM42),100*ABS($G42-(Data_2017!AM42-$K42)/$M42),0),IF(ISNUMBER(Data_2017!AM42),100*ABS($G42-(Data_2017!AM42-$K42)/$M42),0)))</f>
        <v>61.5899597902004</v>
      </c>
      <c r="AT42" s="100">
        <f>IF($H42=0,0,CHOOSE($H42,SUMPRODUCT($O43:$O$67*AT43:AT$67*($E43:$E$67=$D42)),IF(ISNUMBER(Data_2017!AN42),100*ABS($G42-(Data_2017!AN42-$K42)/$M42),0),IF(ISNUMBER(Data_2017!AN42),100*ABS($G42-(Data_2017!AN42-$K42)/$M42),0)))</f>
        <v>93.3847637898114</v>
      </c>
      <c r="AU42" s="100">
        <f>IF($H42=0,0,CHOOSE($H42,SUMPRODUCT($O43:$O$67*AU43:AU$67*($E43:$E$67=$D42)),IF(ISNUMBER(Data_2017!AO42),100*ABS($G42-(Data_2017!AO42-$K42)/$M42),0),IF(ISNUMBER(Data_2017!AO42),100*ABS($G42-(Data_2017!AO42-$K42)/$M42),0)))</f>
        <v>76.5902996952442</v>
      </c>
      <c r="AV42" s="100">
        <f>IF($H42=0,0,CHOOSE($H42,SUMPRODUCT($O43:$O$67*AV43:AV$67*($E43:$E$67=$D42)),IF(ISNUMBER(Data_2017!AP42),100*ABS($G42-(Data_2017!AP42-$K42)/$M42),0),IF(ISNUMBER(Data_2017!AP42),100*ABS($G42-(Data_2017!AP42-$K42)/$M42),0)))</f>
        <v>93.4170483205407</v>
      </c>
      <c r="AW42" s="100">
        <f>IF($H42=0,0,CHOOSE($H42,SUMPRODUCT($O43:$O$67*AW43:AW$67*($E43:$E$67=$D42)),IF(ISNUMBER(Data_2017!AQ42),100*ABS($G42-(Data_2017!AQ42-$K42)/$M42),0),IF(ISNUMBER(Data_2017!AQ42),100*ABS($G42-(Data_2017!AQ42-$K42)/$M42),0)))</f>
        <v>96.1685001985635</v>
      </c>
      <c r="AX42" s="100">
        <f>IF($H42=0,0,CHOOSE($H42,SUMPRODUCT($O43:$O$67*AX43:AX$67*($E43:$E$67=$D42)),IF(ISNUMBER(Data_2017!AR42),100*ABS($G42-(Data_2017!AR42-$K42)/$M42),0),IF(ISNUMBER(Data_2017!AR42),100*ABS($G42-(Data_2017!AR42-$K42)/$M42),0)))</f>
        <v>87.9171109117521</v>
      </c>
      <c r="AY42" s="100">
        <f>IF($H42=0,0,CHOOSE($H42,SUMPRODUCT($O43:$O$67*AY43:AY$67*($E43:$E$67=$D42)),IF(ISNUMBER(Data_2017!AS42),100*ABS($G42-(Data_2017!AS42-$K42)/$M42),0),IF(ISNUMBER(Data_2017!AS42),100*ABS($G42-(Data_2017!AS42-$K42)/$M42),0)))</f>
        <v>25.9741707387946</v>
      </c>
      <c r="AZ42" s="100">
        <f>IF($H42=0,0,CHOOSE($H42,SUMPRODUCT($O43:$O$67*AZ43:AZ$67*($E43:$E$67=$D42)),IF(ISNUMBER(Data_2017!AT42),100*ABS($G42-(Data_2017!AT42-$K42)/$M42),0),IF(ISNUMBER(Data_2017!AT42),100*ABS($G42-(Data_2017!AT42-$K42)/$M42),0)))</f>
        <v>96.5198382930531</v>
      </c>
      <c r="BA42" s="100">
        <f>IF($H42=0,0,CHOOSE($H42,SUMPRODUCT($O43:$O$67*BA43:BA$67*($E43:$E$67=$D42)),IF(ISNUMBER(Data_2017!AU42),100*ABS($G42-(Data_2017!AU42-$K42)/$M42),0),IF(ISNUMBER(Data_2017!AU42),100*ABS($G42-(Data_2017!AU42-$K42)/$M42),0)))</f>
        <v>58.826321550456</v>
      </c>
      <c r="BB42" s="100">
        <f>IF($H42=0,0,CHOOSE($H42,SUMPRODUCT($O43:$O$67*BB43:BB$67*($E43:$E$67=$D42)),IF(ISNUMBER(Data_2017!AV42),100*ABS($G42-(Data_2017!AV42-$K42)/$M42),0),IF(ISNUMBER(Data_2017!AV42),100*ABS($G42-(Data_2017!AV42-$K42)/$M42),0)))</f>
        <v>88.3235822951882</v>
      </c>
      <c r="BC42" s="100">
        <f>IF($H42=0,0,CHOOSE($H42,SUMPRODUCT($O43:$O$67*BC43:BC$67*($E43:$E$67=$D42)),IF(ISNUMBER(Data_2017!AW42),100*ABS($G42-(Data_2017!AW42-$K42)/$M42),0),IF(ISNUMBER(Data_2017!AW42),100*ABS($G42-(Data_2017!AW42-$K42)/$M42),0)))</f>
        <v>92.417091090679</v>
      </c>
      <c r="BD42" s="100">
        <f>IF($H42=0,0,CHOOSE($H42,SUMPRODUCT($O43:$O$67*BD43:BD$67*($E43:$E$67=$D42)),IF(ISNUMBER(Data_2017!AX42),100*ABS($G42-(Data_2017!AX42-$K42)/$M42),0),IF(ISNUMBER(Data_2017!AX42),100*ABS($G42-(Data_2017!AX42-$K42)/$M42),0)))</f>
        <v>93.9309548811824</v>
      </c>
      <c r="BE42" s="100">
        <f>IF($H42=0,0,CHOOSE($H42,SUMPRODUCT($O43:$O$67*BE43:BE$67*($E43:$E$67=$D42)),IF(ISNUMBER(Data_2017!AY42),100*ABS($G42-(Data_2017!AY42-$K42)/$M42),0),IF(ISNUMBER(Data_2017!AY42),100*ABS($G42-(Data_2017!AY42-$K42)/$M42),0)))</f>
        <v>95.2179885669381</v>
      </c>
      <c r="BF42" s="100">
        <f>IF($H42=0,0,CHOOSE($H42,SUMPRODUCT($O43:$O$67*BF43:BF$67*($E43:$E$67=$D42)),IF(ISNUMBER(Data_2017!AZ42),100*ABS($G42-(Data_2017!AZ42-$K42)/$M42),0),IF(ISNUMBER(Data_2017!AZ42),100*ABS($G42-(Data_2017!AZ42-$K42)/$M42),0)))</f>
        <v>50.5044152049906</v>
      </c>
      <c r="BG42" s="100">
        <f>IF($H42=0,0,CHOOSE($H42,SUMPRODUCT($O43:$O$67*BG43:BG$67*($E43:$E$67=$D42)),IF(ISNUMBER(Data_2017!BA42),100*ABS($G42-(Data_2017!BA42-$K42)/$M42),0),IF(ISNUMBER(Data_2017!BA42),100*ABS($G42-(Data_2017!BA42-$K42)/$M42),0)))</f>
        <v>89.494640536517</v>
      </c>
      <c r="BH42" s="100">
        <f>IF($H42=0,0,CHOOSE($H42,SUMPRODUCT($O43:$O$67*BH43:BH$67*($E43:$E$67=$D42)),IF(ISNUMBER(Data_2017!BB42),100*ABS($G42-(Data_2017!BB42-$K42)/$M42),0),IF(ISNUMBER(Data_2017!BB42),100*ABS($G42-(Data_2017!BB42-$K42)/$M42),0)))</f>
        <v>89.9316422983457</v>
      </c>
      <c r="BI42" s="100">
        <f>IF($H42=0,0,CHOOSE($H42,SUMPRODUCT($O43:$O$67*BI43:BI$67*($E43:$E$67=$D42)),IF(ISNUMBER(Data_2017!BC42),100*ABS($G42-(Data_2017!BC42-$K42)/$M42),0),IF(ISNUMBER(Data_2017!BC42),100*ABS($G42-(Data_2017!BC42-$K42)/$M42),0)))</f>
        <v>87.7273585980597</v>
      </c>
      <c r="BJ42" s="100">
        <f>IF($H42=0,0,CHOOSE($H42,SUMPRODUCT($O43:$O$67*BJ43:BJ$67*($E43:$E$67=$D42)),IF(ISNUMBER(Data_2017!BD42),100*ABS($G42-(Data_2017!BD42-$K42)/$M42),0),IF(ISNUMBER(Data_2017!BD42),100*ABS($G42-(Data_2017!BD42-$K42)/$M42),0)))</f>
        <v>96.3683629762919</v>
      </c>
      <c r="BK42" s="100">
        <f>IF($H42=0,0,CHOOSE($H42,SUMPRODUCT($O43:$O$67*BK43:BK$67*($E43:$E$67=$D42)),IF(ISNUMBER(Data_2017!BE42),100*ABS($G42-(Data_2017!BE42-$K42)/$M42),0),IF(ISNUMBER(Data_2017!BE42),100*ABS($G42-(Data_2017!BE42-$K42)/$M42),0)))</f>
        <v>87.1221960171285</v>
      </c>
      <c r="BL42" s="100">
        <f>IF($H42=0,0,CHOOSE($H42,SUMPRODUCT($O43:$O$67*BL43:BL$67*($E43:$E$67=$D42)),IF(ISNUMBER(Data_2017!BF42),100*ABS($G42-(Data_2017!BF42-$K42)/$M42),0),IF(ISNUMBER(Data_2017!BF42),100*ABS($G42-(Data_2017!BF42-$K42)/$M42),0)))</f>
        <v>99.9089476720298</v>
      </c>
      <c r="BM42" s="100">
        <f>IF($H42=0,0,CHOOSE($H42,SUMPRODUCT($O43:$O$67*BM43:BM$67*($E43:$E$67=$D42)),IF(ISNUMBER(Data_2017!BG42),100*ABS($G42-(Data_2017!BG42-$K42)/$M42),0),IF(ISNUMBER(Data_2017!BG42),100*ABS($G42-(Data_2017!BG42-$K42)/$M42),0)))</f>
        <v>95.896620423924</v>
      </c>
      <c r="BN42" s="100">
        <f>IF($H42=0,0,CHOOSE($H42,SUMPRODUCT($O43:$O$67*BN43:BN$67*($E43:$E$67=$D42)),IF(ISNUMBER(Data_2017!BH42),100*ABS($G42-(Data_2017!BH42-$K42)/$M42),0),IF(ISNUMBER(Data_2017!BH42),100*ABS($G42-(Data_2017!BH42-$K42)/$M42),0)))</f>
        <v>95.2281882453205</v>
      </c>
      <c r="BO42" s="100">
        <f>IF($H42=0,0,CHOOSE($H42,SUMPRODUCT($O43:$O$67*BO43:BO$67*($E43:$E$67=$D42)),IF(ISNUMBER(Data_2017!BI42),100*ABS($G42-(Data_2017!BI42-$K42)/$M42),0),IF(ISNUMBER(Data_2017!BI42),100*ABS($G42-(Data_2017!BI42-$K42)/$M42),0)))</f>
        <v>93.3988025176405</v>
      </c>
      <c r="BP42" s="100">
        <f>IF($H42=0,0,CHOOSE($H42,SUMPRODUCT($O43:$O$67*BP43:BP$67*($E43:$E$67=$D42)),IF(ISNUMBER(Data_2017!BJ42),100*ABS($G42-(Data_2017!BJ42-$K42)/$M42),0),IF(ISNUMBER(Data_2017!BJ42),100*ABS($G42-(Data_2017!BJ42-$K42)/$M42),0)))</f>
        <v>91.9733237828274</v>
      </c>
      <c r="BQ42" s="100">
        <f>IF($H42=0,0,CHOOSE($H42,SUMPRODUCT($O43:$O$67*BQ43:BQ$67*($E43:$E$67=$D42)),IF(ISNUMBER(Data_2017!BK42),100*ABS($G42-(Data_2017!BK42-$K42)/$M42),0),IF(ISNUMBER(Data_2017!BK42),100*ABS($G42-(Data_2017!BK42-$K42)/$M42),0)))</f>
        <v>83.0999649471558</v>
      </c>
      <c r="BR42" s="100">
        <f>IF($H42=0,0,CHOOSE($H42,SUMPRODUCT($O43:$O$67*BR43:BR$67*($E43:$E$67=$D42)),IF(ISNUMBER(Data_2017!BL42),100*ABS($G42-(Data_2017!BL42-$K42)/$M42),0),IF(ISNUMBER(Data_2017!BL42),100*ABS($G42-(Data_2017!BL42-$K42)/$M42),0)))</f>
        <v>88.3235822951882</v>
      </c>
      <c r="BS42" s="100">
        <f>IF($H42=0,0,CHOOSE($H42,SUMPRODUCT($O43:$O$67*BS43:BS$67*($E43:$E$67=$D42)),IF(ISNUMBER(Data_2017!BM42),100*ABS($G42-(Data_2017!BM42-$K42)/$M42),0),IF(ISNUMBER(Data_2017!BM42),100*ABS($G42-(Data_2017!BM42-$K42)/$M42),0)))</f>
        <v>86.5058645167161</v>
      </c>
      <c r="BT42" s="100">
        <f>IF($H42=0,0,CHOOSE($H42,SUMPRODUCT($O43:$O$67*BT43:BT$67*($E43:$E$67=$D42)),IF(ISNUMBER(Data_2017!BN42),100*ABS($G42-(Data_2017!BN42-$K42)/$M42),0),IF(ISNUMBER(Data_2017!BN42),100*ABS($G42-(Data_2017!BN42-$K42)/$M42),0)))</f>
        <v>0</v>
      </c>
      <c r="BU42" s="100">
        <f>IF($H42=0,0,CHOOSE($H42,SUMPRODUCT($O43:$O$67*BU43:BU$67*($E43:$E$67=$D42)),IF(ISNUMBER(Data_2017!BO42),100*ABS($G42-(Data_2017!BO42-$K42)/$M42),0),IF(ISNUMBER(Data_2017!BO42),100*ABS($G42-(Data_2017!BO42-$K42)/$M42),0)))</f>
        <v>81.3352044145541</v>
      </c>
      <c r="BV42" s="100">
        <f>IF($H42=0,0,CHOOSE($H42,SUMPRODUCT($O43:$O$67*BV43:BV$67*($E43:$E$67=$D42)),IF(ISNUMBER(Data_2017!BP42),100*ABS($G42-(Data_2017!BP42-$K42)/$M42),0),IF(ISNUMBER(Data_2017!BP42),100*ABS($G42-(Data_2017!BP42-$K42)/$M42),0)))</f>
        <v>90.1951439859809</v>
      </c>
      <c r="BW42" s="100">
        <f>IF($H42=0,0,CHOOSE($H42,SUMPRODUCT($O43:$O$67*BW43:BW$67*($E43:$E$67=$D42)),IF(ISNUMBER(Data_2017!BQ42),100*ABS($G42-(Data_2017!BQ42-$K42)/$M42),0),IF(ISNUMBER(Data_2017!BQ42),100*ABS($G42-(Data_2017!BQ42-$K42)/$M42),0)))</f>
        <v>94.0953972496863</v>
      </c>
      <c r="BX42" s="100">
        <f>IF($H42=0,0,CHOOSE($H42,SUMPRODUCT($O43:$O$67*BX43:BX$67*($E43:$E$67=$D42)),IF(ISNUMBER(Data_2017!BR42),100*ABS($G42-(Data_2017!BR42-$K42)/$M42),0),IF(ISNUMBER(Data_2017!BR42),100*ABS($G42-(Data_2017!BR42-$K42)/$M42),0)))</f>
        <v>88.3235822951882</v>
      </c>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row>
    <row r="43" s="69" customFormat="1" ht="24.95" customHeight="1" spans="1:130">
      <c r="A43" s="92"/>
      <c r="B43" s="92">
        <f>tblIndicators!A39</f>
        <v>38</v>
      </c>
      <c r="C43" s="92">
        <f>tblIndicators!B39</f>
        <v>0</v>
      </c>
      <c r="D43" s="92" t="str">
        <f>tblIndicators!D39</f>
        <v>INSE3.2.3</v>
      </c>
      <c r="E43" s="92" t="str">
        <f>tblIndicators!E39</f>
        <v>INSE3.2</v>
      </c>
      <c r="F43" s="92">
        <f>tblIndicators!F39</f>
        <v>3</v>
      </c>
      <c r="G43" s="92">
        <f>tblIndicators!Y39</f>
        <v>1</v>
      </c>
      <c r="H43" s="92">
        <f>tblIndicators!Z39</f>
        <v>2</v>
      </c>
      <c r="I43" s="104">
        <f>tblIndicators!AA39</f>
        <v>0</v>
      </c>
      <c r="J43" s="92">
        <f>tblIndicators!AB39</f>
        <v>0</v>
      </c>
      <c r="K43" s="89">
        <f>IF(uxb_works!$B$66=1,CHOOSE(H43,"-",MIN(Data_2017!J43:BR43),I43),CHOOSE(H43,"-",MIN(Data_2017!J43:BQ43),I43))</f>
        <v>3.3523241954708</v>
      </c>
      <c r="L43" s="97">
        <f>IF(uxb_works!$B$66=1,CHOOSE(H43,"-",MAX(Data_2017!J43:BR43),J43),CHOOSE(H43,"-",MAX(Data_2017!J43:BQ43),J43))</f>
        <v>84.8683283559231</v>
      </c>
      <c r="M43" s="92">
        <f t="shared" si="1"/>
        <v>81.5160041604523</v>
      </c>
      <c r="N43" s="105" t="str">
        <f>REPT(" ",F43)&amp;tblIndicators!AE39</f>
        <v>   3.2.3) Frequency of pedestrian deaths</v>
      </c>
      <c r="O43" s="106">
        <f>tblIndicators!AD39</f>
        <v>0.2</v>
      </c>
      <c r="P43" s="100">
        <f>IF($H43=0,0,CHOOSE($H43,SUMPRODUCT($O44:$O$67*P44:P$67*($E44:$E$67=$D43)),IF(ISNUMBER(Data_2017!J43),100*ABS($G43-(Data_2017!J43-$K43)/$M43),0),IF(ISNUMBER(Data_2017!J43),100*ABS($G43-(Data_2017!J43-$K43)/$M43),0)))</f>
        <v>67.9502659640083</v>
      </c>
      <c r="Q43" s="100">
        <f>IF($H43=0,0,CHOOSE($H43,SUMPRODUCT($O44:$O$67*Q44:Q$67*($E44:$E$67=$D43)),IF(ISNUMBER(Data_2017!K43),100*ABS($G43-(Data_2017!K43-$K43)/$M43),0),IF(ISNUMBER(Data_2017!K43),100*ABS($G43-(Data_2017!K43-$K43)/$M43),0)))</f>
        <v>100</v>
      </c>
      <c r="R43" s="100">
        <f>IF($H43=0,0,CHOOSE($H43,SUMPRODUCT($O44:$O$67*R44:R$67*($E44:$E$67=$D43)),IF(ISNUMBER(Data_2017!L43),100*ABS($G43-(Data_2017!L43-$K43)/$M43),0),IF(ISNUMBER(Data_2017!L43),100*ABS($G43-(Data_2017!L43-$K43)/$M43),0)))</f>
        <v>84.8735420579663</v>
      </c>
      <c r="S43" s="100">
        <f>IF($H43=0,0,CHOOSE($H43,SUMPRODUCT($O44:$O$67*S44:S$67*($E44:$E$67=$D43)),IF(ISNUMBER(Data_2017!M43),100*ABS($G43-(Data_2017!M43-$K43)/$M43),0),IF(ISNUMBER(Data_2017!M43),100*ABS($G43-(Data_2017!M43-$K43)/$M43),0)))</f>
        <v>68.2546071566599</v>
      </c>
      <c r="T43" s="100">
        <f>IF($H43=0,0,CHOOSE($H43,SUMPRODUCT($O44:$O$67*T44:T$67*($E44:$E$67=$D43)),IF(ISNUMBER(Data_2017!N43),100*ABS($G43-(Data_2017!N43-$K43)/$M43),0),IF(ISNUMBER(Data_2017!N43),100*ABS($G43-(Data_2017!N43-$K43)/$M43),0)))</f>
        <v>93.8334166621995</v>
      </c>
      <c r="U43" s="100">
        <f>IF($H43=0,0,CHOOSE($H43,SUMPRODUCT($O44:$O$67*U44:U$67*($E44:$E$67=$D43)),IF(ISNUMBER(Data_2017!O43),100*ABS($G43-(Data_2017!O43-$K43)/$M43),0),IF(ISNUMBER(Data_2017!O43),100*ABS($G43-(Data_2017!O43-$K43)/$M43),0)))</f>
        <v>42.1234767040368</v>
      </c>
      <c r="V43" s="100">
        <f>IF($H43=0,0,CHOOSE($H43,SUMPRODUCT($O44:$O$67*V44:V$67*($E44:$E$67=$D43)),IF(ISNUMBER(Data_2017!P43),100*ABS($G43-(Data_2017!P43-$K43)/$M43),0),IF(ISNUMBER(Data_2017!P43),100*ABS($G43-(Data_2017!P43-$K43)/$M43),0)))</f>
        <v>42.5610206525344</v>
      </c>
      <c r="W43" s="100">
        <f>IF($H43=0,0,CHOOSE($H43,SUMPRODUCT($O44:$O$67*W44:W$67*($E44:$E$67=$D43)),IF(ISNUMBER(Data_2017!Q43),100*ABS($G43-(Data_2017!Q43-$K43)/$M43),0),IF(ISNUMBER(Data_2017!Q43),100*ABS($G43-(Data_2017!Q43-$K43)/$M43),0)))</f>
        <v>92.8719673985503</v>
      </c>
      <c r="X43" s="100">
        <f>IF($H43=0,0,CHOOSE($H43,SUMPRODUCT($O44:$O$67*X44:X$67*($E44:$E$67=$D43)),IF(ISNUMBER(Data_2017!R43),100*ABS($G43-(Data_2017!R43-$K43)/$M43),0),IF(ISNUMBER(Data_2017!R43),100*ABS($G43-(Data_2017!R43-$K43)/$M43),0)))</f>
        <v>87.7465682164238</v>
      </c>
      <c r="Y43" s="100">
        <f>IF($H43=0,0,CHOOSE($H43,SUMPRODUCT($O44:$O$67*Y44:Y$67*($E44:$E$67=$D43)),IF(ISNUMBER(Data_2017!S43),100*ABS($G43-(Data_2017!S43-$K43)/$M43),0),IF(ISNUMBER(Data_2017!S43),100*ABS($G43-(Data_2017!S43-$K43)/$M43),0)))</f>
        <v>61.3200367776748</v>
      </c>
      <c r="Z43" s="100">
        <f>IF($H43=0,0,CHOOSE($H43,SUMPRODUCT($O44:$O$67*Z44:Z$67*($E44:$E$67=$D43)),IF(ISNUMBER(Data_2017!T43),100*ABS($G43-(Data_2017!T43-$K43)/$M43),0),IF(ISNUMBER(Data_2017!T43),100*ABS($G43-(Data_2017!T43-$K43)/$M43),0)))</f>
        <v>55.1310084025636</v>
      </c>
      <c r="AA43" s="100">
        <f>IF($H43=0,0,CHOOSE($H43,SUMPRODUCT($O44:$O$67*AA44:AA$67*($E44:$E$67=$D43)),IF(ISNUMBER(Data_2017!U43),100*ABS($G43-(Data_2017!U43-$K43)/$M43),0),IF(ISNUMBER(Data_2017!U43),100*ABS($G43-(Data_2017!U43-$K43)/$M43),0)))</f>
        <v>38.1069812843681</v>
      </c>
      <c r="AB43" s="100">
        <f>IF($H43=0,0,CHOOSE($H43,SUMPRODUCT($O44:$O$67*AB44:AB$67*($E44:$E$67=$D43)),IF(ISNUMBER(Data_2017!V43),100*ABS($G43-(Data_2017!V43-$K43)/$M43),0),IF(ISNUMBER(Data_2017!V43),100*ABS($G43-(Data_2017!V43-$K43)/$M43),0)))</f>
        <v>89.7594639353298</v>
      </c>
      <c r="AC43" s="100">
        <f>IF($H43=0,0,CHOOSE($H43,SUMPRODUCT($O44:$O$67*AC44:AC$67*($E44:$E$67=$D43)),IF(ISNUMBER(Data_2017!W43),100*ABS($G43-(Data_2017!W43-$K43)/$M43),0),IF(ISNUMBER(Data_2017!W43),100*ABS($G43-(Data_2017!W43-$K43)/$M43),0)))</f>
        <v>70.0087411590888</v>
      </c>
      <c r="AD43" s="100">
        <f>IF($H43=0,0,CHOOSE($H43,SUMPRODUCT($O44:$O$67*AD44:AD$67*($E44:$E$67=$D43)),IF(ISNUMBER(Data_2017!X43),100*ABS($G43-(Data_2017!X43-$K43)/$M43),0),IF(ISNUMBER(Data_2017!X43),100*ABS($G43-(Data_2017!X43-$K43)/$M43),0)))</f>
        <v>59.9028303592212</v>
      </c>
      <c r="AE43" s="100">
        <f>IF($H43=0,0,CHOOSE($H43,SUMPRODUCT($O44:$O$67*AE44:AE$67*($E44:$E$67=$D43)),IF(ISNUMBER(Data_2017!Y43),100*ABS($G43-(Data_2017!Y43-$K43)/$M43),0),IF(ISNUMBER(Data_2017!Y43),100*ABS($G43-(Data_2017!Y43-$K43)/$M43),0)))</f>
        <v>49.8789889553594</v>
      </c>
      <c r="AF43" s="100">
        <f>IF($H43=0,0,CHOOSE($H43,SUMPRODUCT($O44:$O$67*AF44:AF$67*($E44:$E$67=$D43)),IF(ISNUMBER(Data_2017!Z43),100*ABS($G43-(Data_2017!Z43-$K43)/$M43),0),IF(ISNUMBER(Data_2017!Z43),100*ABS($G43-(Data_2017!Z43-$K43)/$M43),0)))</f>
        <v>47.0717472649813</v>
      </c>
      <c r="AG43" s="100">
        <f>IF($H43=0,0,CHOOSE($H43,SUMPRODUCT($O44:$O$67*AG44:AG$67*($E44:$E$67=$D43)),IF(ISNUMBER(Data_2017!AA43),100*ABS($G43-(Data_2017!AA43-$K43)/$M43),0),IF(ISNUMBER(Data_2017!AA43),100*ABS($G43-(Data_2017!AA43-$K43)/$M43),0)))</f>
        <v>95.1331650347542</v>
      </c>
      <c r="AH43" s="100">
        <f>IF($H43=0,0,CHOOSE($H43,SUMPRODUCT($O44:$O$67*AH44:AH$67*($E44:$E$67=$D43)),IF(ISNUMBER(Data_2017!AB43),100*ABS($G43-(Data_2017!AB43-$K43)/$M43),0),IF(ISNUMBER(Data_2017!AB43),100*ABS($G43-(Data_2017!AB43-$K43)/$M43),0)))</f>
        <v>98.048445145227</v>
      </c>
      <c r="AI43" s="100">
        <f>IF($H43=0,0,CHOOSE($H43,SUMPRODUCT($O44:$O$67*AI44:AI$67*($E44:$E$67=$D43)),IF(ISNUMBER(Data_2017!AC43),100*ABS($G43-(Data_2017!AC43-$K43)/$M43),0),IF(ISNUMBER(Data_2017!AC43),100*ABS($G43-(Data_2017!AC43-$K43)/$M43),0)))</f>
        <v>90.0661521771969</v>
      </c>
      <c r="AJ43" s="100">
        <f>IF($H43=0,0,CHOOSE($H43,SUMPRODUCT($O44:$O$67*AJ44:AJ$67*($E44:$E$67=$D43)),IF(ISNUMBER(Data_2017!AD43),100*ABS($G43-(Data_2017!AD43-$K43)/$M43),0),IF(ISNUMBER(Data_2017!AD43),100*ABS($G43-(Data_2017!AD43-$K43)/$M43),0)))</f>
        <v>75.9161622281857</v>
      </c>
      <c r="AK43" s="100">
        <f>IF($H43=0,0,CHOOSE($H43,SUMPRODUCT($O44:$O$67*AK44:AK$67*($E44:$E$67=$D43)),IF(ISNUMBER(Data_2017!AE43),100*ABS($G43-(Data_2017!AE43-$K43)/$M43),0),IF(ISNUMBER(Data_2017!AE43),100*ABS($G43-(Data_2017!AE43-$K43)/$M43),0)))</f>
        <v>63.5253834339332</v>
      </c>
      <c r="AL43" s="100">
        <f>IF($H43=0,0,CHOOSE($H43,SUMPRODUCT($O44:$O$67*AL44:AL$67*($E44:$E$67=$D43)),IF(ISNUMBER(Data_2017!AF43),100*ABS($G43-(Data_2017!AF43-$K43)/$M43),0),IF(ISNUMBER(Data_2017!AF43),100*ABS($G43-(Data_2017!AF43-$K43)/$M43),0)))</f>
        <v>69.7633905655951</v>
      </c>
      <c r="AM43" s="100">
        <f>IF($H43=0,0,CHOOSE($H43,SUMPRODUCT($O44:$O$67*AM44:AM$67*($E44:$E$67=$D43)),IF(ISNUMBER(Data_2017!AG43),100*ABS($G43-(Data_2017!AG43-$K43)/$M43),0),IF(ISNUMBER(Data_2017!AG43),100*ABS($G43-(Data_2017!AG43-$K43)/$M43),0)))</f>
        <v>0</v>
      </c>
      <c r="AN43" s="100">
        <f>IF($H43=0,0,CHOOSE($H43,SUMPRODUCT($O44:$O$67*AN44:AN$67*($E44:$E$67=$D43)),IF(ISNUMBER(Data_2017!AH43),100*ABS($G43-(Data_2017!AH43-$K43)/$M43),0),IF(ISNUMBER(Data_2017!AH43),100*ABS($G43-(Data_2017!AH43-$K43)/$M43),0)))</f>
        <v>74.1146880028668</v>
      </c>
      <c r="AO43" s="100">
        <f>IF($H43=0,0,CHOOSE($H43,SUMPRODUCT($O44:$O$67*AO44:AO$67*($E44:$E$67=$D43)),IF(ISNUMBER(Data_2017!AI43),100*ABS($G43-(Data_2017!AI43-$K43)/$M43),0),IF(ISNUMBER(Data_2017!AI43),100*ABS($G43-(Data_2017!AI43-$K43)/$M43),0)))</f>
        <v>84.5223146221474</v>
      </c>
      <c r="AP43" s="100">
        <f>IF($H43=0,0,CHOOSE($H43,SUMPRODUCT($O44:$O$67*AP44:AP$67*($E44:$E$67=$D43)),IF(ISNUMBER(Data_2017!AJ43),100*ABS($G43-(Data_2017!AJ43-$K43)/$M43),0),IF(ISNUMBER(Data_2017!AJ43),100*ABS($G43-(Data_2017!AJ43-$K43)/$M43),0)))</f>
        <v>31.202558623434</v>
      </c>
      <c r="AQ43" s="100">
        <f>IF($H43=0,0,CHOOSE($H43,SUMPRODUCT($O44:$O$67*AQ44:AQ$67*($E44:$E$67=$D43)),IF(ISNUMBER(Data_2017!AK43),100*ABS($G43-(Data_2017!AK43-$K43)/$M43),0),IF(ISNUMBER(Data_2017!AK43),100*ABS($G43-(Data_2017!AK43-$K43)/$M43),0)))</f>
        <v>63.9538994918201</v>
      </c>
      <c r="AR43" s="100">
        <f>IF($H43=0,0,CHOOSE($H43,SUMPRODUCT($O44:$O$67*AR44:AR$67*($E44:$E$67=$D43)),IF(ISNUMBER(Data_2017!AL43),100*ABS($G43-(Data_2017!AL43-$K43)/$M43),0),IF(ISNUMBER(Data_2017!AL43),100*ABS($G43-(Data_2017!AL43-$K43)/$M43),0)))</f>
        <v>96.0873847375117</v>
      </c>
      <c r="AS43" s="100">
        <f>IF($H43=0,0,CHOOSE($H43,SUMPRODUCT($O44:$O$67*AS44:AS$67*($E44:$E$67=$D43)),IF(ISNUMBER(Data_2017!AM43),100*ABS($G43-(Data_2017!AM43-$K43)/$M43),0),IF(ISNUMBER(Data_2017!AM43),100*ABS($G43-(Data_2017!AM43-$K43)/$M43),0)))</f>
        <v>77.3692589638991</v>
      </c>
      <c r="AT43" s="100">
        <f>IF($H43=0,0,CHOOSE($H43,SUMPRODUCT($O44:$O$67*AT44:AT$67*($E44:$E$67=$D43)),IF(ISNUMBER(Data_2017!AN43),100*ABS($G43-(Data_2017!AN43-$K43)/$M43),0),IF(ISNUMBER(Data_2017!AN43),100*ABS($G43-(Data_2017!AN43-$K43)/$M43),0)))</f>
        <v>93.8334166621995</v>
      </c>
      <c r="AU43" s="100">
        <f>IF($H43=0,0,CHOOSE($H43,SUMPRODUCT($O44:$O$67*AU44:AU$67*($E44:$E$67=$D43)),IF(ISNUMBER(Data_2017!AO43),100*ABS($G43-(Data_2017!AO43-$K43)/$M43),0),IF(ISNUMBER(Data_2017!AO43),100*ABS($G43-(Data_2017!AO43-$K43)/$M43),0)))</f>
        <v>79.3187918671343</v>
      </c>
      <c r="AV43" s="100">
        <f>IF($H43=0,0,CHOOSE($H43,SUMPRODUCT($O44:$O$67*AV44:AV$67*($E44:$E$67=$D43)),IF(ISNUMBER(Data_2017!AP43),100*ABS($G43-(Data_2017!AP43-$K43)/$M43),0),IF(ISNUMBER(Data_2017!AP43),100*ABS($G43-(Data_2017!AP43-$K43)/$M43),0)))</f>
        <v>97.3653323336338</v>
      </c>
      <c r="AW43" s="100">
        <f>IF($H43=0,0,CHOOSE($H43,SUMPRODUCT($O44:$O$67*AW44:AW$67*($E44:$E$67=$D43)),IF(ISNUMBER(Data_2017!AQ43),100*ABS($G43-(Data_2017!AQ43-$K43)/$M43),0),IF(ISNUMBER(Data_2017!AQ43),100*ABS($G43-(Data_2017!AQ43-$K43)/$M43),0)))</f>
        <v>58.2486893128869</v>
      </c>
      <c r="AX43" s="100">
        <f>IF($H43=0,0,CHOOSE($H43,SUMPRODUCT($O44:$O$67*AX44:AX$67*($E44:$E$67=$D43)),IF(ISNUMBER(Data_2017!AR43),100*ABS($G43-(Data_2017!AR43-$K43)/$M43),0),IF(ISNUMBER(Data_2017!AR43),100*ABS($G43-(Data_2017!AR43-$K43)/$M43),0)))</f>
        <v>91.844943980026</v>
      </c>
      <c r="AY43" s="100">
        <f>IF($H43=0,0,CHOOSE($H43,SUMPRODUCT($O44:$O$67*AY44:AY$67*($E44:$E$67=$D43)),IF(ISNUMBER(Data_2017!AS43),100*ABS($G43-(Data_2017!AS43-$K43)/$M43),0),IF(ISNUMBER(Data_2017!AS43),100*ABS($G43-(Data_2017!AS43-$K43)/$M43),0)))</f>
        <v>37.2834053390645</v>
      </c>
      <c r="AZ43" s="100">
        <f>IF($H43=0,0,CHOOSE($H43,SUMPRODUCT($O44:$O$67*AZ44:AZ$67*($E44:$E$67=$D43)),IF(ISNUMBER(Data_2017!AT43),100*ABS($G43-(Data_2017!AT43-$K43)/$M43),0),IF(ISNUMBER(Data_2017!AT43),100*ABS($G43-(Data_2017!AT43-$K43)/$M43),0)))</f>
        <v>91.4272711327897</v>
      </c>
      <c r="BA43" s="100">
        <f>IF($H43=0,0,CHOOSE($H43,SUMPRODUCT($O44:$O$67*BA44:BA$67*($E44:$E$67=$D43)),IF(ISNUMBER(Data_2017!AU43),100*ABS($G43-(Data_2017!AU43-$K43)/$M43),0),IF(ISNUMBER(Data_2017!AU43),100*ABS($G43-(Data_2017!AU43-$K43)/$M43),0)))</f>
        <v>84.239075581722</v>
      </c>
      <c r="BB43" s="100">
        <f>IF($H43=0,0,CHOOSE($H43,SUMPRODUCT($O44:$O$67*BB44:BB$67*($E44:$E$67=$D43)),IF(ISNUMBER(Data_2017!AV43),100*ABS($G43-(Data_2017!AV43-$K43)/$M43),0),IF(ISNUMBER(Data_2017!AV43),100*ABS($G43-(Data_2017!AV43-$K43)/$M43),0)))</f>
        <v>83.2310388971492</v>
      </c>
      <c r="BC43" s="100">
        <f>IF($H43=0,0,CHOOSE($H43,SUMPRODUCT($O44:$O$67*BC44:BC$67*($E44:$E$67=$D43)),IF(ISNUMBER(Data_2017!AW43),100*ABS($G43-(Data_2017!AW43-$K43)/$M43),0),IF(ISNUMBER(Data_2017!AW43),100*ABS($G43-(Data_2017!AW43-$K43)/$M43),0)))</f>
        <v>95.1957066120511</v>
      </c>
      <c r="BD43" s="100">
        <f>IF($H43=0,0,CHOOSE($H43,SUMPRODUCT($O44:$O$67*BD44:BD$67*($E44:$E$67=$D43)),IF(ISNUMBER(Data_2017!AX43),100*ABS($G43-(Data_2017!AX43-$K43)/$M43),0),IF(ISNUMBER(Data_2017!AX43),100*ABS($G43-(Data_2017!AX43-$K43)/$M43),0)))</f>
        <v>29.0893490673128</v>
      </c>
      <c r="BE43" s="100">
        <f>IF($H43=0,0,CHOOSE($H43,SUMPRODUCT($O44:$O$67*BE44:BE$67*($E44:$E$67=$D43)),IF(ISNUMBER(Data_2017!AY43),100*ABS($G43-(Data_2017!AY43-$K43)/$M43),0),IF(ISNUMBER(Data_2017!AY43),100*ABS($G43-(Data_2017!AY43-$K43)/$M43),0)))</f>
        <v>47.182724133819</v>
      </c>
      <c r="BF43" s="100">
        <f>IF($H43=0,0,CHOOSE($H43,SUMPRODUCT($O44:$O$67*BF44:BF$67*($E44:$E$67=$D43)),IF(ISNUMBER(Data_2017!AZ43),100*ABS($G43-(Data_2017!AZ43-$K43)/$M43),0),IF(ISNUMBER(Data_2017!AZ43),100*ABS($G43-(Data_2017!AZ43-$K43)/$M43),0)))</f>
        <v>69.7633905655951</v>
      </c>
      <c r="BG43" s="100">
        <f>IF($H43=0,0,CHOOSE($H43,SUMPRODUCT($O44:$O$67*BG44:BG$67*($E44:$E$67=$D43)),IF(ISNUMBER(Data_2017!BA43),100*ABS($G43-(Data_2017!BA43-$K43)/$M43),0),IF(ISNUMBER(Data_2017!BA43),100*ABS($G43-(Data_2017!BA43-$K43)/$M43),0)))</f>
        <v>86.8700932363754</v>
      </c>
      <c r="BH43" s="100">
        <f>IF($H43=0,0,CHOOSE($H43,SUMPRODUCT($O44:$O$67*BH44:BH$67*($E44:$E$67=$D43)),IF(ISNUMBER(Data_2017!BB43),100*ABS($G43-(Data_2017!BB43-$K43)/$M43),0),IF(ISNUMBER(Data_2017!BB43),100*ABS($G43-(Data_2017!BB43-$K43)/$M43),0)))</f>
        <v>77.3692589638991</v>
      </c>
      <c r="BI43" s="100">
        <f>IF($H43=0,0,CHOOSE($H43,SUMPRODUCT($O44:$O$67*BI44:BI$67*($E44:$E$67=$D43)),IF(ISNUMBER(Data_2017!BC43),100*ABS($G43-(Data_2017!BC43-$K43)/$M43),0),IF(ISNUMBER(Data_2017!BC43),100*ABS($G43-(Data_2017!BC43-$K43)/$M43),0)))</f>
        <v>44.9503295623001</v>
      </c>
      <c r="BJ43" s="100">
        <f>IF($H43=0,0,CHOOSE($H43,SUMPRODUCT($O44:$O$67*BJ44:BJ$67*($E44:$E$67=$D43)),IF(ISNUMBER(Data_2017!BD43),100*ABS($G43-(Data_2017!BD43-$K43)/$M43),0),IF(ISNUMBER(Data_2017!BD43),100*ABS($G43-(Data_2017!BD43-$K43)/$M43),0)))</f>
        <v>47.182724133819</v>
      </c>
      <c r="BK43" s="100">
        <f>IF($H43=0,0,CHOOSE($H43,SUMPRODUCT($O44:$O$67*BK44:BK$67*($E44:$E$67=$D43)),IF(ISNUMBER(Data_2017!BE43),100*ABS($G43-(Data_2017!BE43-$K43)/$M43),0),IF(ISNUMBER(Data_2017!BE43),100*ABS($G43-(Data_2017!BE43-$K43)/$M43),0)))</f>
        <v>47.3324437698344</v>
      </c>
      <c r="BL43" s="100">
        <f>IF($H43=0,0,CHOOSE($H43,SUMPRODUCT($O44:$O$67*BL44:BL$67*($E44:$E$67=$D43)),IF(ISNUMBER(Data_2017!BF43),100*ABS($G43-(Data_2017!BF43-$K43)/$M43),0),IF(ISNUMBER(Data_2017!BF43),100*ABS($G43-(Data_2017!BF43-$K43)/$M43),0)))</f>
        <v>42.1234767040368</v>
      </c>
      <c r="BM43" s="100">
        <f>IF($H43=0,0,CHOOSE($H43,SUMPRODUCT($O44:$O$67*BM44:BM$67*($E44:$E$67=$D43)),IF(ISNUMBER(Data_2017!BG43),100*ABS($G43-(Data_2017!BG43-$K43)/$M43),0),IF(ISNUMBER(Data_2017!BG43),100*ABS($G43-(Data_2017!BG43-$K43)/$M43),0)))</f>
        <v>92.0719269061078</v>
      </c>
      <c r="BN43" s="100">
        <f>IF($H43=0,0,CHOOSE($H43,SUMPRODUCT($O44:$O$67*BN44:BN$67*($E44:$E$67=$D43)),IF(ISNUMBER(Data_2017!BH43),100*ABS($G43-(Data_2017!BH43-$K43)/$M43),0),IF(ISNUMBER(Data_2017!BH43),100*ABS($G43-(Data_2017!BH43-$K43)/$M43),0)))</f>
        <v>98.5078906358577</v>
      </c>
      <c r="BO43" s="100">
        <f>IF($H43=0,0,CHOOSE($H43,SUMPRODUCT($O44:$O$67*BO44:BO$67*($E44:$E$67=$D43)),IF(ISNUMBER(Data_2017!BI43),100*ABS($G43-(Data_2017!BI43-$K43)/$M43),0),IF(ISNUMBER(Data_2017!BI43),100*ABS($G43-(Data_2017!BI43-$K43)/$M43),0)))</f>
        <v>94.2920102668396</v>
      </c>
      <c r="BP43" s="100">
        <f>IF($H43=0,0,CHOOSE($H43,SUMPRODUCT($O44:$O$67*BP44:BP$67*($E44:$E$67=$D43)),IF(ISNUMBER(Data_2017!BJ43),100*ABS($G43-(Data_2017!BJ43-$K43)/$M43),0),IF(ISNUMBER(Data_2017!BJ43),100*ABS($G43-(Data_2017!BJ43-$K43)/$M43),0)))</f>
        <v>91.041806607229</v>
      </c>
      <c r="BQ43" s="100">
        <f>IF($H43=0,0,CHOOSE($H43,SUMPRODUCT($O44:$O$67*BQ44:BQ$67*($E44:$E$67=$D43)),IF(ISNUMBER(Data_2017!BK43),100*ABS($G43-(Data_2017!BK43-$K43)/$M43),0),IF(ISNUMBER(Data_2017!BK43),100*ABS($G43-(Data_2017!BK43-$K43)/$M43),0)))</f>
        <v>13.4392535006667</v>
      </c>
      <c r="BR43" s="100">
        <f>IF($H43=0,0,CHOOSE($H43,SUMPRODUCT($O44:$O$67*BR44:BR$67*($E44:$E$67=$D43)),IF(ISNUMBER(Data_2017!BL43),100*ABS($G43-(Data_2017!BL43-$K43)/$M43),0),IF(ISNUMBER(Data_2017!BL43),100*ABS($G43-(Data_2017!BL43-$K43)/$M43),0)))</f>
        <v>83.2310388971492</v>
      </c>
      <c r="BS43" s="100">
        <f>IF($H43=0,0,CHOOSE($H43,SUMPRODUCT($O44:$O$67*BS44:BS$67*($E44:$E$67=$D43)),IF(ISNUMBER(Data_2017!BM43),100*ABS($G43-(Data_2017!BM43-$K43)/$M43),0),IF(ISNUMBER(Data_2017!BM43),100*ABS($G43-(Data_2017!BM43-$K43)/$M43),0)))</f>
        <v>92.4353812950442</v>
      </c>
      <c r="BT43" s="100">
        <f>IF($H43=0,0,CHOOSE($H43,SUMPRODUCT($O44:$O$67*BT44:BT$67*($E44:$E$67=$D43)),IF(ISNUMBER(Data_2017!BN43),100*ABS($G43-(Data_2017!BN43-$K43)/$M43),0),IF(ISNUMBER(Data_2017!BN43),100*ABS($G43-(Data_2017!BN43-$K43)/$M43),0)))</f>
        <v>76.7558824801649</v>
      </c>
      <c r="BU43" s="100">
        <f>IF($H43=0,0,CHOOSE($H43,SUMPRODUCT($O44:$O$67*BU44:BU$67*($E44:$E$67=$D43)),IF(ISNUMBER(Data_2017!BO43),100*ABS($G43-(Data_2017!BO43-$K43)/$M43),0),IF(ISNUMBER(Data_2017!BO43),100*ABS($G43-(Data_2017!BO43-$K43)/$M43),0)))</f>
        <v>95.2578481472852</v>
      </c>
      <c r="BV43" s="100">
        <f>IF($H43=0,0,CHOOSE($H43,SUMPRODUCT($O44:$O$67*BV44:BV$67*($E44:$E$67=$D43)),IF(ISNUMBER(Data_2017!BP43),100*ABS($G43-(Data_2017!BP43-$K43)/$M43),0),IF(ISNUMBER(Data_2017!BP43),100*ABS($G43-(Data_2017!BP43-$K43)/$M43),0)))</f>
        <v>37.4704282563162</v>
      </c>
      <c r="BW43" s="100">
        <f>IF($H43=0,0,CHOOSE($H43,SUMPRODUCT($O44:$O$67*BW44:BW$67*($E44:$E$67=$D43)),IF(ISNUMBER(Data_2017!BQ43),100*ABS($G43-(Data_2017!BQ43-$K43)/$M43),0),IF(ISNUMBER(Data_2017!BQ43),100*ABS($G43-(Data_2017!BQ43-$K43)/$M43),0)))</f>
        <v>93.5628956049292</v>
      </c>
      <c r="BX43" s="100">
        <f>IF($H43=0,0,CHOOSE($H43,SUMPRODUCT($O44:$O$67*BX44:BX$67*($E44:$E$67=$D43)),IF(ISNUMBER(Data_2017!BR43),100*ABS($G43-(Data_2017!BR43-$K43)/$M43),0),IF(ISNUMBER(Data_2017!BR43),100*ABS($G43-(Data_2017!BR43-$K43)/$M43),0)))</f>
        <v>83.2310388971492</v>
      </c>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row>
    <row r="44" s="69" customFormat="1" ht="24.95" customHeight="1" spans="1:130">
      <c r="A44" s="92"/>
      <c r="B44" s="92">
        <f>tblIndicators!A40</f>
        <v>39</v>
      </c>
      <c r="C44" s="92">
        <f>tblIndicators!B40</f>
        <v>0</v>
      </c>
      <c r="D44" s="92" t="str">
        <f>tblIndicators!D40</f>
        <v>INSE3.2.4</v>
      </c>
      <c r="E44" s="92" t="str">
        <f>tblIndicators!E40</f>
        <v>INSE3.2</v>
      </c>
      <c r="F44" s="92">
        <f>tblIndicators!F40</f>
        <v>3</v>
      </c>
      <c r="G44" s="92">
        <f>tblIndicators!Y40</f>
        <v>1</v>
      </c>
      <c r="H44" s="92">
        <f>tblIndicators!Z40</f>
        <v>2</v>
      </c>
      <c r="I44" s="104">
        <f>tblIndicators!AA40</f>
        <v>0</v>
      </c>
      <c r="J44" s="92">
        <f>tblIndicators!AB40</f>
        <v>0</v>
      </c>
      <c r="K44" s="89">
        <f>IF(uxb_works!$B$66=1,CHOOSE(H44,"-",MIN(Data_2017!J44:BR44),I44),CHOOSE(H44,"-",MIN(Data_2017!J44:BQ44),I44))</f>
        <v>0</v>
      </c>
      <c r="L44" s="97">
        <f>IF(uxb_works!$B$66=1,CHOOSE(H44,"-",MAX(Data_2017!J44:BR44),J44),CHOOSE(H44,"-",MAX(Data_2017!J44:BQ44),J44))</f>
        <v>0.551</v>
      </c>
      <c r="M44" s="92">
        <f t="shared" si="1"/>
        <v>0.551</v>
      </c>
      <c r="N44" s="105" t="str">
        <f>REPT(" ",F44)&amp;tblIndicators!AE40</f>
        <v>   3.2.4) Percentage living in slums</v>
      </c>
      <c r="O44" s="106">
        <f>tblIndicators!AD40</f>
        <v>0.2</v>
      </c>
      <c r="P44" s="100">
        <f>IF($H44=0,0,CHOOSE($H44,SUMPRODUCT($O45:$O$67*P45:P$67*($E45:$E$67=$D44)),IF(ISNUMBER(Data_2017!J44),100*ABS($G44-(Data_2017!J44-$K44)/$M44),0),IF(ISNUMBER(Data_2017!J44),100*ABS($G44-(Data_2017!J44-$K44)/$M44),0)))</f>
        <v>100</v>
      </c>
      <c r="Q44" s="100">
        <f>IF($H44=0,0,CHOOSE($H44,SUMPRODUCT($O45:$O$67*Q45:Q$67*($E45:$E$67=$D44)),IF(ISNUMBER(Data_2017!K44),100*ABS($G44-(Data_2017!K44-$K44)/$M44),0),IF(ISNUMBER(Data_2017!K44),100*ABS($G44-(Data_2017!K44-$K44)/$M44),0)))</f>
        <v>94.1923774954628</v>
      </c>
      <c r="R44" s="100">
        <f>IF($H44=0,0,CHOOSE($H44,SUMPRODUCT($O45:$O$67*R45:R$67*($E45:$E$67=$D44)),IF(ISNUMBER(Data_2017!L44),100*ABS($G44-(Data_2017!L44-$K44)/$M44),0),IF(ISNUMBER(Data_2017!L44),100*ABS($G44-(Data_2017!L44-$K44)/$M44),0)))</f>
        <v>88.5662431941924</v>
      </c>
      <c r="S44" s="100">
        <f>IF($H44=0,0,CHOOSE($H44,SUMPRODUCT($O45:$O$67*S45:S$67*($E45:$E$67=$D44)),IF(ISNUMBER(Data_2017!M44),100*ABS($G44-(Data_2017!M44-$K44)/$M44),0),IF(ISNUMBER(Data_2017!M44),100*ABS($G44-(Data_2017!M44-$K44)/$M44),0)))</f>
        <v>54.6279491833031</v>
      </c>
      <c r="T44" s="100">
        <f>IF($H44=0,0,CHOOSE($H44,SUMPRODUCT($O45:$O$67*T45:T$67*($E45:$E$67=$D44)),IF(ISNUMBER(Data_2017!N44),100*ABS($G44-(Data_2017!N44-$K44)/$M44),0),IF(ISNUMBER(Data_2017!N44),100*ABS($G44-(Data_2017!N44-$K44)/$M44),0)))</f>
        <v>100</v>
      </c>
      <c r="U44" s="100">
        <f>IF($H44=0,0,CHOOSE($H44,SUMPRODUCT($O45:$O$67*U45:U$67*($E45:$E$67=$D44)),IF(ISNUMBER(Data_2017!O44),100*ABS($G44-(Data_2017!O44-$K44)/$M44),0),IF(ISNUMBER(Data_2017!O44),100*ABS($G44-(Data_2017!O44-$K44)/$M44),0)))</f>
        <v>54.2649727767695</v>
      </c>
      <c r="V44" s="100">
        <f>IF($H44=0,0,CHOOSE($H44,SUMPRODUCT($O45:$O$67*V45:V$67*($E45:$E$67=$D44)),IF(ISNUMBER(Data_2017!P44),100*ABS($G44-(Data_2017!P44-$K44)/$M44),0),IF(ISNUMBER(Data_2017!P44),100*ABS($G44-(Data_2017!P44-$K44)/$M44),0)))</f>
        <v>76.2250453720508</v>
      </c>
      <c r="W44" s="100">
        <f>IF($H44=0,0,CHOOSE($H44,SUMPRODUCT($O45:$O$67*W45:W$67*($E45:$E$67=$D44)),IF(ISNUMBER(Data_2017!Q44),100*ABS($G44-(Data_2017!Q44-$K44)/$M44),0),IF(ISNUMBER(Data_2017!Q44),100*ABS($G44-(Data_2017!Q44-$K44)/$M44),0)))</f>
        <v>96.551724137931</v>
      </c>
      <c r="X44" s="100">
        <f>IF($H44=0,0,CHOOSE($H44,SUMPRODUCT($O45:$O$67*X45:X$67*($E45:$E$67=$D44)),IF(ISNUMBER(Data_2017!R44),100*ABS($G44-(Data_2017!R44-$K44)/$M44),0),IF(ISNUMBER(Data_2017!R44),100*ABS($G44-(Data_2017!R44-$K44)/$M44),0)))</f>
        <v>69.6914700544465</v>
      </c>
      <c r="Y44" s="100">
        <f>IF($H44=0,0,CHOOSE($H44,SUMPRODUCT($O45:$O$67*Y45:Y$67*($E45:$E$67=$D44)),IF(ISNUMBER(Data_2017!S44),100*ABS($G44-(Data_2017!S44-$K44)/$M44),0),IF(ISNUMBER(Data_2017!S44),100*ABS($G44-(Data_2017!S44-$K44)/$M44),0)))</f>
        <v>80.7622504537205</v>
      </c>
      <c r="Z44" s="100">
        <f>IF($H44=0,0,CHOOSE($H44,SUMPRODUCT($O45:$O$67*Z45:Z$67*($E45:$E$67=$D44)),IF(ISNUMBER(Data_2017!T44),100*ABS($G44-(Data_2017!T44-$K44)/$M44),0),IF(ISNUMBER(Data_2017!T44),100*ABS($G44-(Data_2017!T44-$K44)/$M44),0)))</f>
        <v>41.923774954628</v>
      </c>
      <c r="AA44" s="100">
        <f>IF($H44=0,0,CHOOSE($H44,SUMPRODUCT($O45:$O$67*AA45:AA$67*($E45:$E$67=$D44)),IF(ISNUMBER(Data_2017!U44),100*ABS($G44-(Data_2017!U44-$K44)/$M44),0),IF(ISNUMBER(Data_2017!U44),100*ABS($G44-(Data_2017!U44-$K44)/$M44),0)))</f>
        <v>76.2250453720508</v>
      </c>
      <c r="AB44" s="100">
        <f>IF($H44=0,0,CHOOSE($H44,SUMPRODUCT($O45:$O$67*AB45:AB$67*($E45:$E$67=$D44)),IF(ISNUMBER(Data_2017!V44),100*ABS($G44-(Data_2017!V44-$K44)/$M44),0),IF(ISNUMBER(Data_2017!V44),100*ABS($G44-(Data_2017!V44-$K44)/$M44),0)))</f>
        <v>97.6720880162073</v>
      </c>
      <c r="AC44" s="100">
        <f>IF($H44=0,0,CHOOSE($H44,SUMPRODUCT($O45:$O$67*AC45:AC$67*($E45:$E$67=$D44)),IF(ISNUMBER(Data_2017!W44),100*ABS($G44-(Data_2017!W44-$K44)/$M44),0),IF(ISNUMBER(Data_2017!W44),100*ABS($G44-(Data_2017!W44-$K44)/$M44),0)))</f>
        <v>98.7294650710119</v>
      </c>
      <c r="AD44" s="100">
        <f>IF($H44=0,0,CHOOSE($H44,SUMPRODUCT($O45:$O$67*AD45:AD$67*($E45:$E$67=$D44)),IF(ISNUMBER(Data_2017!X44),100*ABS($G44-(Data_2017!X44-$K44)/$M44),0),IF(ISNUMBER(Data_2017!X44),100*ABS($G44-(Data_2017!X44-$K44)/$M44),0)))</f>
        <v>56.442831215971</v>
      </c>
      <c r="AE44" s="100">
        <f>IF($H44=0,0,CHOOSE($H44,SUMPRODUCT($O45:$O$67*AE45:AE$67*($E45:$E$67=$D44)),IF(ISNUMBER(Data_2017!Y44),100*ABS($G44-(Data_2017!Y44-$K44)/$M44),0),IF(ISNUMBER(Data_2017!Y44),100*ABS($G44-(Data_2017!Y44-$K44)/$M44),0)))</f>
        <v>0</v>
      </c>
      <c r="AF44" s="100">
        <f>IF($H44=0,0,CHOOSE($H44,SUMPRODUCT($O45:$O$67*AF45:AF$67*($E45:$E$67=$D44)),IF(ISNUMBER(Data_2017!Z44),100*ABS($G44-(Data_2017!Z44-$K44)/$M44),0),IF(ISNUMBER(Data_2017!Z44),100*ABS($G44-(Data_2017!Z44-$K44)/$M44),0)))</f>
        <v>100</v>
      </c>
      <c r="AG44" s="100">
        <f>IF($H44=0,0,CHOOSE($H44,SUMPRODUCT($O45:$O$67*AG45:AG$67*($E45:$E$67=$D44)),IF(ISNUMBER(Data_2017!AA44),100*ABS($G44-(Data_2017!AA44-$K44)/$M44),0),IF(ISNUMBER(Data_2017!AA44),100*ABS($G44-(Data_2017!AA44-$K44)/$M44),0)))</f>
        <v>96.7332123411978</v>
      </c>
      <c r="AH44" s="100">
        <f>IF($H44=0,0,CHOOSE($H44,SUMPRODUCT($O45:$O$67*AH45:AH$67*($E45:$E$67=$D44)),IF(ISNUMBER(Data_2017!AB44),100*ABS($G44-(Data_2017!AB44-$K44)/$M44),0),IF(ISNUMBER(Data_2017!AB44),100*ABS($G44-(Data_2017!AB44-$K44)/$M44),0)))</f>
        <v>50.6352087114338</v>
      </c>
      <c r="AI44" s="100">
        <f>IF($H44=0,0,CHOOSE($H44,SUMPRODUCT($O45:$O$67*AI45:AI$67*($E45:$E$67=$D44)),IF(ISNUMBER(Data_2017!AC44),100*ABS($G44-(Data_2017!AC44-$K44)/$M44),0),IF(ISNUMBER(Data_2017!AC44),100*ABS($G44-(Data_2017!AC44-$K44)/$M44),0)))</f>
        <v>98.8448487473829</v>
      </c>
      <c r="AJ44" s="100">
        <f>IF($H44=0,0,CHOOSE($H44,SUMPRODUCT($O45:$O$67*AJ45:AJ$67*($E45:$E$67=$D44)),IF(ISNUMBER(Data_2017!AD44),100*ABS($G44-(Data_2017!AD44-$K44)/$M44),0),IF(ISNUMBER(Data_2017!AD44),100*ABS($G44-(Data_2017!AD44-$K44)/$M44),0)))</f>
        <v>78.4029038112523</v>
      </c>
      <c r="AK44" s="100">
        <f>IF($H44=0,0,CHOOSE($H44,SUMPRODUCT($O45:$O$67*AK45:AK$67*($E45:$E$67=$D44)),IF(ISNUMBER(Data_2017!AE44),100*ABS($G44-(Data_2017!AE44-$K44)/$M44),0),IF(ISNUMBER(Data_2017!AE44),100*ABS($G44-(Data_2017!AE44-$K44)/$M44),0)))</f>
        <v>60.4355716878403</v>
      </c>
      <c r="AL44" s="100">
        <f>IF($H44=0,0,CHOOSE($H44,SUMPRODUCT($O45:$O$67*AL45:AL$67*($E45:$E$67=$D44)),IF(ISNUMBER(Data_2017!AF44),100*ABS($G44-(Data_2017!AF44-$K44)/$M44),0),IF(ISNUMBER(Data_2017!AF44),100*ABS($G44-(Data_2017!AF44-$K44)/$M44),0)))</f>
        <v>67.3321234119782</v>
      </c>
      <c r="AM44" s="100">
        <f>IF($H44=0,0,CHOOSE($H44,SUMPRODUCT($O45:$O$67*AM45:AM$67*($E45:$E$67=$D44)),IF(ISNUMBER(Data_2017!AG44),100*ABS($G44-(Data_2017!AG44-$K44)/$M44),0),IF(ISNUMBER(Data_2017!AG44),100*ABS($G44-(Data_2017!AG44-$K44)/$M44),0)))</f>
        <v>58.2577132486388</v>
      </c>
      <c r="AN44" s="100">
        <f>IF($H44=0,0,CHOOSE($H44,SUMPRODUCT($O45:$O$67*AN45:AN$67*($E45:$E$67=$D44)),IF(ISNUMBER(Data_2017!AH44),100*ABS($G44-(Data_2017!AH44-$K44)/$M44),0),IF(ISNUMBER(Data_2017!AH44),100*ABS($G44-(Data_2017!AH44-$K44)/$M44),0)))</f>
        <v>17.4228675136116</v>
      </c>
      <c r="AO44" s="100">
        <f>IF($H44=0,0,CHOOSE($H44,SUMPRODUCT($O45:$O$67*AO45:AO$67*($E45:$E$67=$D44)),IF(ISNUMBER(Data_2017!AI44),100*ABS($G44-(Data_2017!AI44-$K44)/$M44),0),IF(ISNUMBER(Data_2017!AI44),100*ABS($G44-(Data_2017!AI44-$K44)/$M44),0)))</f>
        <v>96.3702359346643</v>
      </c>
      <c r="AP44" s="100">
        <f>IF($H44=0,0,CHOOSE($H44,SUMPRODUCT($O45:$O$67*AP45:AP$67*($E45:$E$67=$D44)),IF(ISNUMBER(Data_2017!AJ44),100*ABS($G44-(Data_2017!AJ44-$K44)/$M44),0),IF(ISNUMBER(Data_2017!AJ44),100*ABS($G44-(Data_2017!AJ44-$K44)/$M44),0)))</f>
        <v>100</v>
      </c>
      <c r="AQ44" s="100">
        <f>IF($H44=0,0,CHOOSE($H44,SUMPRODUCT($O45:$O$67*AQ45:AQ$67*($E45:$E$67=$D44)),IF(ISNUMBER(Data_2017!AK44),100*ABS($G44-(Data_2017!AK44-$K44)/$M44),0),IF(ISNUMBER(Data_2017!AK44),100*ABS($G44-(Data_2017!AK44-$K44)/$M44),0)))</f>
        <v>37.9310344827586</v>
      </c>
      <c r="AR44" s="100">
        <f>IF($H44=0,0,CHOOSE($H44,SUMPRODUCT($O45:$O$67*AR45:AR$67*($E45:$E$67=$D44)),IF(ISNUMBER(Data_2017!AL44),100*ABS($G44-(Data_2017!AL44-$K44)/$M44),0),IF(ISNUMBER(Data_2017!AL44),100*ABS($G44-(Data_2017!AL44-$K44)/$M44),0)))</f>
        <v>99.3647912885663</v>
      </c>
      <c r="AS44" s="100">
        <f>IF($H44=0,0,CHOOSE($H44,SUMPRODUCT($O45:$O$67*AS45:AS$67*($E45:$E$67=$D44)),IF(ISNUMBER(Data_2017!AM44),100*ABS($G44-(Data_2017!AM44-$K44)/$M44),0),IF(ISNUMBER(Data_2017!AM44),100*ABS($G44-(Data_2017!AM44-$K44)/$M44),0)))</f>
        <v>97.0355600896785</v>
      </c>
      <c r="AT44" s="100">
        <f>IF($H44=0,0,CHOOSE($H44,SUMPRODUCT($O45:$O$67*AT45:AT$67*($E45:$E$67=$D44)),IF(ISNUMBER(Data_2017!AN44),100*ABS($G44-(Data_2017!AN44-$K44)/$M44),0),IF(ISNUMBER(Data_2017!AN44),100*ABS($G44-(Data_2017!AN44-$K44)/$M44),0)))</f>
        <v>98.5083161375332</v>
      </c>
      <c r="AU44" s="100">
        <f>IF($H44=0,0,CHOOSE($H44,SUMPRODUCT($O45:$O$67*AU45:AU$67*($E45:$E$67=$D44)),IF(ISNUMBER(Data_2017!AO44),100*ABS($G44-(Data_2017!AO44-$K44)/$M44),0),IF(ISNUMBER(Data_2017!AO44),100*ABS($G44-(Data_2017!AO44-$K44)/$M44),0)))</f>
        <v>30.4900181488203</v>
      </c>
      <c r="AV44" s="100">
        <f>IF($H44=0,0,CHOOSE($H44,SUMPRODUCT($O45:$O$67*AV45:AV$67*($E45:$E$67=$D44)),IF(ISNUMBER(Data_2017!AP44),100*ABS($G44-(Data_2017!AP44-$K44)/$M44),0),IF(ISNUMBER(Data_2017!AP44),100*ABS($G44-(Data_2017!AP44-$K44)/$M44),0)))</f>
        <v>98.8747731397459</v>
      </c>
      <c r="AW44" s="100">
        <f>IF($H44=0,0,CHOOSE($H44,SUMPRODUCT($O45:$O$67*AW45:AW$67*($E45:$E$67=$D44)),IF(ISNUMBER(Data_2017!AQ44),100*ABS($G44-(Data_2017!AQ44-$K44)/$M44),0),IF(ISNUMBER(Data_2017!AQ44),100*ABS($G44-(Data_2017!AQ44-$K44)/$M44),0)))</f>
        <v>79.8548094373866</v>
      </c>
      <c r="AX44" s="100">
        <f>IF($H44=0,0,CHOOSE($H44,SUMPRODUCT($O45:$O$67*AX45:AX$67*($E45:$E$67=$D44)),IF(ISNUMBER(Data_2017!AR44),100*ABS($G44-(Data_2017!AR44-$K44)/$M44),0),IF(ISNUMBER(Data_2017!AR44),100*ABS($G44-(Data_2017!AR44-$K44)/$M44),0)))</f>
        <v>82.5771324863884</v>
      </c>
      <c r="AY44" s="100">
        <f>IF($H44=0,0,CHOOSE($H44,SUMPRODUCT($O45:$O$67*AY45:AY$67*($E45:$E$67=$D44)),IF(ISNUMBER(Data_2017!AS44),100*ABS($G44-(Data_2017!AS44-$K44)/$M44),0),IF(ISNUMBER(Data_2017!AS44),100*ABS($G44-(Data_2017!AS44-$K44)/$M44),0)))</f>
        <v>94.1923774954628</v>
      </c>
      <c r="AZ44" s="100">
        <f>IF($H44=0,0,CHOOSE($H44,SUMPRODUCT($O45:$O$67*AZ45:AZ$67*($E45:$E$67=$D44)),IF(ISNUMBER(Data_2017!AT44),100*ABS($G44-(Data_2017!AT44-$K44)/$M44),0),IF(ISNUMBER(Data_2017!AT44),100*ABS($G44-(Data_2017!AT44-$K44)/$M44),0)))</f>
        <v>56.442831215971</v>
      </c>
      <c r="BA44" s="100">
        <f>IF($H44=0,0,CHOOSE($H44,SUMPRODUCT($O45:$O$67*BA45:BA$67*($E45:$E$67=$D44)),IF(ISNUMBER(Data_2017!AU44),100*ABS($G44-(Data_2017!AU44-$K44)/$M44),0),IF(ISNUMBER(Data_2017!AU44),100*ABS($G44-(Data_2017!AU44-$K44)/$M44),0)))</f>
        <v>94.1809814030387</v>
      </c>
      <c r="BB44" s="100">
        <f>IF($H44=0,0,CHOOSE($H44,SUMPRODUCT($O45:$O$67*BB45:BB$67*($E45:$E$67=$D44)),IF(ISNUMBER(Data_2017!AV44),100*ABS($G44-(Data_2017!AV44-$K44)/$M44),0),IF(ISNUMBER(Data_2017!AV44),100*ABS($G44-(Data_2017!AV44-$K44)/$M44),0)))</f>
        <v>99.487900103649</v>
      </c>
      <c r="BC44" s="100">
        <f>IF($H44=0,0,CHOOSE($H44,SUMPRODUCT($O45:$O$67*BC45:BC$67*($E45:$E$67=$D44)),IF(ISNUMBER(Data_2017!AW44),100*ABS($G44-(Data_2017!AW44-$K44)/$M44),0),IF(ISNUMBER(Data_2017!AW44),100*ABS($G44-(Data_2017!AW44-$K44)/$M44),0)))</f>
        <v>95.8257713248639</v>
      </c>
      <c r="BD44" s="100">
        <f>IF($H44=0,0,CHOOSE($H44,SUMPRODUCT($O45:$O$67*BD45:BD$67*($E45:$E$67=$D44)),IF(ISNUMBER(Data_2017!AX44),100*ABS($G44-(Data_2017!AX44-$K44)/$M44),0),IF(ISNUMBER(Data_2017!AX44),100*ABS($G44-(Data_2017!AX44-$K44)/$M44),0)))</f>
        <v>34.6642468239564</v>
      </c>
      <c r="BE44" s="100">
        <f>IF($H44=0,0,CHOOSE($H44,SUMPRODUCT($O45:$O$67*BE45:BE$67*($E45:$E$67=$D44)),IF(ISNUMBER(Data_2017!AY44),100*ABS($G44-(Data_2017!AY44-$K44)/$M44),0),IF(ISNUMBER(Data_2017!AY44),100*ABS($G44-(Data_2017!AY44-$K44)/$M44),0)))</f>
        <v>59.5281306715064</v>
      </c>
      <c r="BF44" s="100">
        <f>IF($H44=0,0,CHOOSE($H44,SUMPRODUCT($O45:$O$67*BF45:BF$67*($E45:$E$67=$D44)),IF(ISNUMBER(Data_2017!AZ44),100*ABS($G44-(Data_2017!AZ44-$K44)/$M44),0),IF(ISNUMBER(Data_2017!AZ44),100*ABS($G44-(Data_2017!AZ44-$K44)/$M44),0)))</f>
        <v>67.3321234119782</v>
      </c>
      <c r="BG44" s="100">
        <f>IF($H44=0,0,CHOOSE($H44,SUMPRODUCT($O45:$O$67*BG45:BG$67*($E45:$E$67=$D44)),IF(ISNUMBER(Data_2017!BA44),100*ABS($G44-(Data_2017!BA44-$K44)/$M44),0),IF(ISNUMBER(Data_2017!BA44),100*ABS($G44-(Data_2017!BA44-$K44)/$M44),0)))</f>
        <v>82.5771324863884</v>
      </c>
      <c r="BH44" s="100">
        <f>IF($H44=0,0,CHOOSE($H44,SUMPRODUCT($O45:$O$67*BH45:BH$67*($E45:$E$67=$D44)),IF(ISNUMBER(Data_2017!BB44),100*ABS($G44-(Data_2017!BB44-$K44)/$M44),0),IF(ISNUMBER(Data_2017!BB44),100*ABS($G44-(Data_2017!BB44-$K44)/$M44),0)))</f>
        <v>95.997770370784</v>
      </c>
      <c r="BI44" s="100">
        <f>IF($H44=0,0,CHOOSE($H44,SUMPRODUCT($O45:$O$67*BI45:BI$67*($E45:$E$67=$D44)),IF(ISNUMBER(Data_2017!BC44),100*ABS($G44-(Data_2017!BC44-$K44)/$M44),0),IF(ISNUMBER(Data_2017!BC44),100*ABS($G44-(Data_2017!BC44-$K44)/$M44),0)))</f>
        <v>83.6660617059891</v>
      </c>
      <c r="BJ44" s="100">
        <f>IF($H44=0,0,CHOOSE($H44,SUMPRODUCT($O45:$O$67*BJ45:BJ$67*($E45:$E$67=$D44)),IF(ISNUMBER(Data_2017!BD44),100*ABS($G44-(Data_2017!BD44-$K44)/$M44),0),IF(ISNUMBER(Data_2017!BD44),100*ABS($G44-(Data_2017!BD44-$K44)/$M44),0)))</f>
        <v>59.5281306715064</v>
      </c>
      <c r="BK44" s="100">
        <f>IF($H44=0,0,CHOOSE($H44,SUMPRODUCT($O45:$O$67*BK45:BK$67*($E45:$E$67=$D44)),IF(ISNUMBER(Data_2017!BE44),100*ABS($G44-(Data_2017!BE44-$K44)/$M44),0),IF(ISNUMBER(Data_2017!BE44),100*ABS($G44-(Data_2017!BE44-$K44)/$M44),0)))</f>
        <v>99.9760868840687</v>
      </c>
      <c r="BL44" s="100">
        <f>IF($H44=0,0,CHOOSE($H44,SUMPRODUCT($O45:$O$67*BL45:BL$67*($E45:$E$67=$D44)),IF(ISNUMBER(Data_2017!BF44),100*ABS($G44-(Data_2017!BF44-$K44)/$M44),0),IF(ISNUMBER(Data_2017!BF44),100*ABS($G44-(Data_2017!BF44-$K44)/$M44),0)))</f>
        <v>54.2649727767695</v>
      </c>
      <c r="BM44" s="100">
        <f>IF($H44=0,0,CHOOSE($H44,SUMPRODUCT($O45:$O$67*BM45:BM$67*($E45:$E$67=$D44)),IF(ISNUMBER(Data_2017!BG44),100*ABS($G44-(Data_2017!BG44-$K44)/$M44),0),IF(ISNUMBER(Data_2017!BG44),100*ABS($G44-(Data_2017!BG44-$K44)/$M44),0)))</f>
        <v>100</v>
      </c>
      <c r="BN44" s="100">
        <f>IF($H44=0,0,CHOOSE($H44,SUMPRODUCT($O45:$O$67*BN45:BN$67*($E45:$E$67=$D44)),IF(ISNUMBER(Data_2017!BH44),100*ABS($G44-(Data_2017!BH44-$K44)/$M44),0),IF(ISNUMBER(Data_2017!BH44),100*ABS($G44-(Data_2017!BH44-$K44)/$M44),0)))</f>
        <v>96.3702359346643</v>
      </c>
      <c r="BO44" s="100">
        <f>IF($H44=0,0,CHOOSE($H44,SUMPRODUCT($O45:$O$67*BO45:BO$67*($E45:$E$67=$D44)),IF(ISNUMBER(Data_2017!BI44),100*ABS($G44-(Data_2017!BI44-$K44)/$M44),0),IF(ISNUMBER(Data_2017!BI44),100*ABS($G44-(Data_2017!BI44-$K44)/$M44),0)))</f>
        <v>98.8747731397459</v>
      </c>
      <c r="BP44" s="100">
        <f>IF($H44=0,0,CHOOSE($H44,SUMPRODUCT($O45:$O$67*BP45:BP$67*($E45:$E$67=$D44)),IF(ISNUMBER(Data_2017!BJ44),100*ABS($G44-(Data_2017!BJ44-$K44)/$M44),0),IF(ISNUMBER(Data_2017!BJ44),100*ABS($G44-(Data_2017!BJ44-$K44)/$M44),0)))</f>
        <v>100</v>
      </c>
      <c r="BQ44" s="100">
        <f>IF($H44=0,0,CHOOSE($H44,SUMPRODUCT($O45:$O$67*BQ45:BQ$67*($E45:$E$67=$D44)),IF(ISNUMBER(Data_2017!BK44),100*ABS($G44-(Data_2017!BK44-$K44)/$M44),0),IF(ISNUMBER(Data_2017!BK44),100*ABS($G44-(Data_2017!BK44-$K44)/$M44),0)))</f>
        <v>5.80762250453721</v>
      </c>
      <c r="BR44" s="100">
        <f>IF($H44=0,0,CHOOSE($H44,SUMPRODUCT($O45:$O$67*BR45:BR$67*($E45:$E$67=$D44)),IF(ISNUMBER(Data_2017!BL44),100*ABS($G44-(Data_2017!BL44-$K44)/$M44),0),IF(ISNUMBER(Data_2017!BL44),100*ABS($G44-(Data_2017!BL44-$K44)/$M44),0)))</f>
        <v>99.9242114964086</v>
      </c>
      <c r="BS44" s="100">
        <f>IF($H44=0,0,CHOOSE($H44,SUMPRODUCT($O45:$O$67*BS45:BS$67*($E45:$E$67=$D44)),IF(ISNUMBER(Data_2017!BM44),100*ABS($G44-(Data_2017!BM44-$K44)/$M44),0),IF(ISNUMBER(Data_2017!BM44),100*ABS($G44-(Data_2017!BM44-$K44)/$M44),0)))</f>
        <v>96.4609800362976</v>
      </c>
      <c r="BT44" s="100">
        <f>IF($H44=0,0,CHOOSE($H44,SUMPRODUCT($O45:$O$67*BT45:BT$67*($E45:$E$67=$D44)),IF(ISNUMBER(Data_2017!BN44),100*ABS($G44-(Data_2017!BN44-$K44)/$M44),0),IF(ISNUMBER(Data_2017!BN44),100*ABS($G44-(Data_2017!BN44-$K44)/$M44),0)))</f>
        <v>98.2563047491741</v>
      </c>
      <c r="BU44" s="100">
        <f>IF($H44=0,0,CHOOSE($H44,SUMPRODUCT($O45:$O$67*BU45:BU$67*($E45:$E$67=$D44)),IF(ISNUMBER(Data_2017!BO44),100*ABS($G44-(Data_2017!BO44-$K44)/$M44),0),IF(ISNUMBER(Data_2017!BO44),100*ABS($G44-(Data_2017!BO44-$K44)/$M44),0)))</f>
        <v>98.7295825771325</v>
      </c>
      <c r="BV44" s="100">
        <f>IF($H44=0,0,CHOOSE($H44,SUMPRODUCT($O45:$O$67*BV45:BV$67*($E45:$E$67=$D44)),IF(ISNUMBER(Data_2017!BP44),100*ABS($G44-(Data_2017!BP44-$K44)/$M44),0),IF(ISNUMBER(Data_2017!BP44),100*ABS($G44-(Data_2017!BP44-$K44)/$M44),0)))</f>
        <v>25.5898366606171</v>
      </c>
      <c r="BW44" s="100">
        <f>IF($H44=0,0,CHOOSE($H44,SUMPRODUCT($O45:$O$67*BW45:BW$67*($E45:$E$67=$D44)),IF(ISNUMBER(Data_2017!BQ44),100*ABS($G44-(Data_2017!BQ44-$K44)/$M44),0),IF(ISNUMBER(Data_2017!BQ44),100*ABS($G44-(Data_2017!BQ44-$K44)/$M44),0)))</f>
        <v>96.9147005444646</v>
      </c>
      <c r="BX44" s="100">
        <f>IF($H44=0,0,CHOOSE($H44,SUMPRODUCT($O45:$O$67*BX45:BX$67*($E45:$E$67=$D44)),IF(ISNUMBER(Data_2017!BR44),100*ABS($G44-(Data_2017!BR44-$K44)/$M44),0),IF(ISNUMBER(Data_2017!BR44),100*ABS($G44-(Data_2017!BR44-$K44)/$M44),0)))</f>
        <v>100</v>
      </c>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row>
    <row r="45" s="69" customFormat="1" ht="24.95" customHeight="1" spans="1:130">
      <c r="A45" s="92"/>
      <c r="B45" s="92">
        <f>tblIndicators!A41</f>
        <v>40</v>
      </c>
      <c r="C45" s="92">
        <f>tblIndicators!B41</f>
        <v>0</v>
      </c>
      <c r="D45" s="92" t="str">
        <f>tblIndicators!D41</f>
        <v>INSE3.2.5</v>
      </c>
      <c r="E45" s="92" t="str">
        <f>tblIndicators!E41</f>
        <v>INSE3.2</v>
      </c>
      <c r="F45" s="92">
        <f>tblIndicators!F41</f>
        <v>3</v>
      </c>
      <c r="G45" s="92">
        <f>tblIndicators!Y41</f>
        <v>1</v>
      </c>
      <c r="H45" s="92">
        <f>tblIndicators!Z41</f>
        <v>2</v>
      </c>
      <c r="I45" s="104">
        <f>tblIndicators!AA41</f>
        <v>0</v>
      </c>
      <c r="J45" s="92">
        <f>tblIndicators!AB41</f>
        <v>0</v>
      </c>
      <c r="K45" s="89">
        <f>IF(uxb_works!$B$66=1,CHOOSE(H45,"-",MIN(Data_2017!J45:BR45),I45),CHOOSE(H45,"-",MIN(Data_2017!J45:BQ45),I45))</f>
        <v>0</v>
      </c>
      <c r="L45" s="97">
        <f>IF(uxb_works!$B$66=1,CHOOSE(H45,"-",MAX(Data_2017!J45:BR45),J45),CHOOSE(H45,"-",MAX(Data_2017!J45:BQ45),J45))</f>
        <v>4.7</v>
      </c>
      <c r="M45" s="92">
        <f t="shared" si="1"/>
        <v>4.7</v>
      </c>
      <c r="N45" s="105" t="str">
        <f>REPT(" ",F45)&amp;tblIndicators!AE41</f>
        <v>   3.2.5) Number of attacks on facilities/infrastructure</v>
      </c>
      <c r="O45" s="106">
        <f>tblIndicators!AD41</f>
        <v>0.2</v>
      </c>
      <c r="P45" s="100">
        <f>IF($H45=0,0,CHOOSE($H45,SUMPRODUCT($O46:$O$67*P46:P$67*($E46:$E$67=$D45)),IF(ISNUMBER(Data_2017!J45),100*ABS($G45-(Data_2017!J45-$K45)/$M45),0),IF(ISNUMBER(Data_2017!J45),100*ABS($G45-(Data_2017!J45-$K45)/$M45),0)))</f>
        <v>100</v>
      </c>
      <c r="Q45" s="100">
        <f>IF($H45=0,0,CHOOSE($H45,SUMPRODUCT($O46:$O$67*Q46:Q$67*($E46:$E$67=$D45)),IF(ISNUMBER(Data_2017!K45),100*ABS($G45-(Data_2017!K45-$K45)/$M45),0),IF(ISNUMBER(Data_2017!K45),100*ABS($G45-(Data_2017!K45-$K45)/$M45),0)))</f>
        <v>100</v>
      </c>
      <c r="R45" s="100">
        <f>IF($H45=0,0,CHOOSE($H45,SUMPRODUCT($O46:$O$67*R46:R$67*($E46:$E$67=$D45)),IF(ISNUMBER(Data_2017!L45),100*ABS($G45-(Data_2017!L45-$K45)/$M45),0),IF(ISNUMBER(Data_2017!L45),100*ABS($G45-(Data_2017!L45-$K45)/$M45),0)))</f>
        <v>91.4893617021277</v>
      </c>
      <c r="S45" s="100">
        <f>IF($H45=0,0,CHOOSE($H45,SUMPRODUCT($O46:$O$67*S46:S$67*($E46:$E$67=$D45)),IF(ISNUMBER(Data_2017!M45),100*ABS($G45-(Data_2017!M45-$K45)/$M45),0),IF(ISNUMBER(Data_2017!M45),100*ABS($G45-(Data_2017!M45-$K45)/$M45),0)))</f>
        <v>70.2127659574468</v>
      </c>
      <c r="T45" s="100">
        <f>IF($H45=0,0,CHOOSE($H45,SUMPRODUCT($O46:$O$67*T46:T$67*($E46:$E$67=$D45)),IF(ISNUMBER(Data_2017!N45),100*ABS($G45-(Data_2017!N45-$K45)/$M45),0),IF(ISNUMBER(Data_2017!N45),100*ABS($G45-(Data_2017!N45-$K45)/$M45),0)))</f>
        <v>100</v>
      </c>
      <c r="U45" s="100">
        <f>IF($H45=0,0,CHOOSE($H45,SUMPRODUCT($O46:$O$67*U46:U$67*($E46:$E$67=$D45)),IF(ISNUMBER(Data_2017!O45),100*ABS($G45-(Data_2017!O45-$K45)/$M45),0),IF(ISNUMBER(Data_2017!O45),100*ABS($G45-(Data_2017!O45-$K45)/$M45),0)))</f>
        <v>100</v>
      </c>
      <c r="V45" s="100">
        <f>IF($H45=0,0,CHOOSE($H45,SUMPRODUCT($O46:$O$67*V46:V$67*($E46:$E$67=$D45)),IF(ISNUMBER(Data_2017!P45),100*ABS($G45-(Data_2017!P45-$K45)/$M45),0),IF(ISNUMBER(Data_2017!P45),100*ABS($G45-(Data_2017!P45-$K45)/$M45),0)))</f>
        <v>74.468085106383</v>
      </c>
      <c r="W45" s="100">
        <f>IF($H45=0,0,CHOOSE($H45,SUMPRODUCT($O46:$O$67*W46:W$67*($E46:$E$67=$D45)),IF(ISNUMBER(Data_2017!Q45),100*ABS($G45-(Data_2017!Q45-$K45)/$M45),0),IF(ISNUMBER(Data_2017!Q45),100*ABS($G45-(Data_2017!Q45-$K45)/$M45),0)))</f>
        <v>97.8723404255319</v>
      </c>
      <c r="X45" s="100">
        <f>IF($H45=0,0,CHOOSE($H45,SUMPRODUCT($O46:$O$67*X46:X$67*($E46:$E$67=$D45)),IF(ISNUMBER(Data_2017!R45),100*ABS($G45-(Data_2017!R45-$K45)/$M45),0),IF(ISNUMBER(Data_2017!R45),100*ABS($G45-(Data_2017!R45-$K45)/$M45),0)))</f>
        <v>95.7446808510638</v>
      </c>
      <c r="Y45" s="100">
        <f>IF($H45=0,0,CHOOSE($H45,SUMPRODUCT($O46:$O$67*Y46:Y$67*($E46:$E$67=$D45)),IF(ISNUMBER(Data_2017!S45),100*ABS($G45-(Data_2017!S45-$K45)/$M45),0),IF(ISNUMBER(Data_2017!S45),100*ABS($G45-(Data_2017!S45-$K45)/$M45),0)))</f>
        <v>57.4468085106383</v>
      </c>
      <c r="Z45" s="100">
        <f>IF($H45=0,0,CHOOSE($H45,SUMPRODUCT($O46:$O$67*Z46:Z$67*($E46:$E$67=$D45)),IF(ISNUMBER(Data_2017!T45),100*ABS($G45-(Data_2017!T45-$K45)/$M45),0),IF(ISNUMBER(Data_2017!T45),100*ABS($G45-(Data_2017!T45-$K45)/$M45),0)))</f>
        <v>100</v>
      </c>
      <c r="AA45" s="100">
        <f>IF($H45=0,0,CHOOSE($H45,SUMPRODUCT($O46:$O$67*AA46:AA$67*($E46:$E$67=$D45)),IF(ISNUMBER(Data_2017!U45),100*ABS($G45-(Data_2017!U45-$K45)/$M45),0),IF(ISNUMBER(Data_2017!U45),100*ABS($G45-(Data_2017!U45-$K45)/$M45),0)))</f>
        <v>100</v>
      </c>
      <c r="AB45" s="100">
        <f>IF($H45=0,0,CHOOSE($H45,SUMPRODUCT($O46:$O$67*AB46:AB$67*($E46:$E$67=$D45)),IF(ISNUMBER(Data_2017!V45),100*ABS($G45-(Data_2017!V45-$K45)/$M45),0),IF(ISNUMBER(Data_2017!V45),100*ABS($G45-(Data_2017!V45-$K45)/$M45),0)))</f>
        <v>100</v>
      </c>
      <c r="AC45" s="100">
        <f>IF($H45=0,0,CHOOSE($H45,SUMPRODUCT($O46:$O$67*AC46:AC$67*($E46:$E$67=$D45)),IF(ISNUMBER(Data_2017!W45),100*ABS($G45-(Data_2017!W45-$K45)/$M45),0),IF(ISNUMBER(Data_2017!W45),100*ABS($G45-(Data_2017!W45-$K45)/$M45),0)))</f>
        <v>100</v>
      </c>
      <c r="AD45" s="100">
        <f>IF($H45=0,0,CHOOSE($H45,SUMPRODUCT($O46:$O$67*AD46:AD$67*($E46:$E$67=$D45)),IF(ISNUMBER(Data_2017!X45),100*ABS($G45-(Data_2017!X45-$K45)/$M45),0),IF(ISNUMBER(Data_2017!X45),100*ABS($G45-(Data_2017!X45-$K45)/$M45),0)))</f>
        <v>91.4893617021277</v>
      </c>
      <c r="AE45" s="100">
        <f>IF($H45=0,0,CHOOSE($H45,SUMPRODUCT($O46:$O$67*AE46:AE$67*($E46:$E$67=$D45)),IF(ISNUMBER(Data_2017!Y45),100*ABS($G45-(Data_2017!Y45-$K45)/$M45),0),IF(ISNUMBER(Data_2017!Y45),100*ABS($G45-(Data_2017!Y45-$K45)/$M45),0)))</f>
        <v>34.0425531914894</v>
      </c>
      <c r="AF45" s="100">
        <f>IF($H45=0,0,CHOOSE($H45,SUMPRODUCT($O46:$O$67*AF46:AF$67*($E46:$E$67=$D45)),IF(ISNUMBER(Data_2017!Z45),100*ABS($G45-(Data_2017!Z45-$K45)/$M45),0),IF(ISNUMBER(Data_2017!Z45),100*ABS($G45-(Data_2017!Z45-$K45)/$M45),0)))</f>
        <v>100</v>
      </c>
      <c r="AG45" s="100">
        <f>IF($H45=0,0,CHOOSE($H45,SUMPRODUCT($O46:$O$67*AG46:AG$67*($E46:$E$67=$D45)),IF(ISNUMBER(Data_2017!AA45),100*ABS($G45-(Data_2017!AA45-$K45)/$M45),0),IF(ISNUMBER(Data_2017!AA45),100*ABS($G45-(Data_2017!AA45-$K45)/$M45),0)))</f>
        <v>100</v>
      </c>
      <c r="AH45" s="100">
        <f>IF($H45=0,0,CHOOSE($H45,SUMPRODUCT($O46:$O$67*AH46:AH$67*($E46:$E$67=$D45)),IF(ISNUMBER(Data_2017!AB45),100*ABS($G45-(Data_2017!AB45-$K45)/$M45),0),IF(ISNUMBER(Data_2017!AB45),100*ABS($G45-(Data_2017!AB45-$K45)/$M45),0)))</f>
        <v>100</v>
      </c>
      <c r="AI45" s="100">
        <f>IF($H45=0,0,CHOOSE($H45,SUMPRODUCT($O46:$O$67*AI46:AI$67*($E46:$E$67=$D45)),IF(ISNUMBER(Data_2017!AC45),100*ABS($G45-(Data_2017!AC45-$K45)/$M45),0),IF(ISNUMBER(Data_2017!AC45),100*ABS($G45-(Data_2017!AC45-$K45)/$M45),0)))</f>
        <v>100</v>
      </c>
      <c r="AJ45" s="100">
        <f>IF($H45=0,0,CHOOSE($H45,SUMPRODUCT($O46:$O$67*AJ46:AJ$67*($E46:$E$67=$D45)),IF(ISNUMBER(Data_2017!AD45),100*ABS($G45-(Data_2017!AD45-$K45)/$M45),0),IF(ISNUMBER(Data_2017!AD45),100*ABS($G45-(Data_2017!AD45-$K45)/$M45),0)))</f>
        <v>70.2127659574468</v>
      </c>
      <c r="AK45" s="100">
        <f>IF($H45=0,0,CHOOSE($H45,SUMPRODUCT($O46:$O$67*AK46:AK$67*($E46:$E$67=$D45)),IF(ISNUMBER(Data_2017!AE45),100*ABS($G45-(Data_2017!AE45-$K45)/$M45),0),IF(ISNUMBER(Data_2017!AE45),100*ABS($G45-(Data_2017!AE45-$K45)/$M45),0)))</f>
        <v>97.8723404255319</v>
      </c>
      <c r="AL45" s="100">
        <f>IF($H45=0,0,CHOOSE($H45,SUMPRODUCT($O46:$O$67*AL46:AL$67*($E46:$E$67=$D45)),IF(ISNUMBER(Data_2017!AF45),100*ABS($G45-(Data_2017!AF45-$K45)/$M45),0),IF(ISNUMBER(Data_2017!AF45),100*ABS($G45-(Data_2017!AF45-$K45)/$M45),0)))</f>
        <v>100</v>
      </c>
      <c r="AM45" s="100">
        <f>IF($H45=0,0,CHOOSE($H45,SUMPRODUCT($O46:$O$67*AM46:AM$67*($E46:$E$67=$D45)),IF(ISNUMBER(Data_2017!AG45),100*ABS($G45-(Data_2017!AG45-$K45)/$M45),0),IF(ISNUMBER(Data_2017!AG45),100*ABS($G45-(Data_2017!AG45-$K45)/$M45),0)))</f>
        <v>100</v>
      </c>
      <c r="AN45" s="100">
        <f>IF($H45=0,0,CHOOSE($H45,SUMPRODUCT($O46:$O$67*AN46:AN$67*($E46:$E$67=$D45)),IF(ISNUMBER(Data_2017!AH45),100*ABS($G45-(Data_2017!AH45-$K45)/$M45),0),IF(ISNUMBER(Data_2017!AH45),100*ABS($G45-(Data_2017!AH45-$K45)/$M45),0)))</f>
        <v>0</v>
      </c>
      <c r="AO45" s="100">
        <f>IF($H45=0,0,CHOOSE($H45,SUMPRODUCT($O46:$O$67*AO46:AO$67*($E46:$E$67=$D45)),IF(ISNUMBER(Data_2017!AI45),100*ABS($G45-(Data_2017!AI45-$K45)/$M45),0),IF(ISNUMBER(Data_2017!AI45),100*ABS($G45-(Data_2017!AI45-$K45)/$M45),0)))</f>
        <v>100</v>
      </c>
      <c r="AP45" s="100">
        <f>IF($H45=0,0,CHOOSE($H45,SUMPRODUCT($O46:$O$67*AP46:AP$67*($E46:$E$67=$D45)),IF(ISNUMBER(Data_2017!AJ45),100*ABS($G45-(Data_2017!AJ45-$K45)/$M45),0),IF(ISNUMBER(Data_2017!AJ45),100*ABS($G45-(Data_2017!AJ45-$K45)/$M45),0)))</f>
        <v>100</v>
      </c>
      <c r="AQ45" s="100">
        <f>IF($H45=0,0,CHOOSE($H45,SUMPRODUCT($O46:$O$67*AQ46:AQ$67*($E46:$E$67=$D45)),IF(ISNUMBER(Data_2017!AK45),100*ABS($G45-(Data_2017!AK45-$K45)/$M45),0),IF(ISNUMBER(Data_2017!AK45),100*ABS($G45-(Data_2017!AK45-$K45)/$M45),0)))</f>
        <v>97.8723404255319</v>
      </c>
      <c r="AR45" s="100">
        <f>IF($H45=0,0,CHOOSE($H45,SUMPRODUCT($O46:$O$67*AR46:AR$67*($E46:$E$67=$D45)),IF(ISNUMBER(Data_2017!AL45),100*ABS($G45-(Data_2017!AL45-$K45)/$M45),0),IF(ISNUMBER(Data_2017!AL45),100*ABS($G45-(Data_2017!AL45-$K45)/$M45),0)))</f>
        <v>95.7446808510638</v>
      </c>
      <c r="AS45" s="100">
        <f>IF($H45=0,0,CHOOSE($H45,SUMPRODUCT($O46:$O$67*AS46:AS$67*($E46:$E$67=$D45)),IF(ISNUMBER(Data_2017!AM45),100*ABS($G45-(Data_2017!AM45-$K45)/$M45),0),IF(ISNUMBER(Data_2017!AM45),100*ABS($G45-(Data_2017!AM45-$K45)/$M45),0)))</f>
        <v>97.8723404255319</v>
      </c>
      <c r="AT45" s="100">
        <f>IF($H45=0,0,CHOOSE($H45,SUMPRODUCT($O46:$O$67*AT46:AT$67*($E46:$E$67=$D45)),IF(ISNUMBER(Data_2017!AN45),100*ABS($G45-(Data_2017!AN45-$K45)/$M45),0),IF(ISNUMBER(Data_2017!AN45),100*ABS($G45-(Data_2017!AN45-$K45)/$M45),0)))</f>
        <v>100</v>
      </c>
      <c r="AU45" s="100">
        <f>IF($H45=0,0,CHOOSE($H45,SUMPRODUCT($O46:$O$67*AU46:AU$67*($E46:$E$67=$D45)),IF(ISNUMBER(Data_2017!AO45),100*ABS($G45-(Data_2017!AO45-$K45)/$M45),0),IF(ISNUMBER(Data_2017!AO45),100*ABS($G45-(Data_2017!AO45-$K45)/$M45),0)))</f>
        <v>100</v>
      </c>
      <c r="AV45" s="100">
        <f>IF($H45=0,0,CHOOSE($H45,SUMPRODUCT($O46:$O$67*AV46:AV$67*($E46:$E$67=$D45)),IF(ISNUMBER(Data_2017!AP45),100*ABS($G45-(Data_2017!AP45-$K45)/$M45),0),IF(ISNUMBER(Data_2017!AP45),100*ABS($G45-(Data_2017!AP45-$K45)/$M45),0)))</f>
        <v>100</v>
      </c>
      <c r="AW45" s="100">
        <f>IF($H45=0,0,CHOOSE($H45,SUMPRODUCT($O46:$O$67*AW46:AW$67*($E46:$E$67=$D45)),IF(ISNUMBER(Data_2017!AQ45),100*ABS($G45-(Data_2017!AQ45-$K45)/$M45),0),IF(ISNUMBER(Data_2017!AQ45),100*ABS($G45-(Data_2017!AQ45-$K45)/$M45),0)))</f>
        <v>80.8510638297872</v>
      </c>
      <c r="AX45" s="100">
        <f>IF($H45=0,0,CHOOSE($H45,SUMPRODUCT($O46:$O$67*AX46:AX$67*($E46:$E$67=$D45)),IF(ISNUMBER(Data_2017!AR45),100*ABS($G45-(Data_2017!AR45-$K45)/$M45),0),IF(ISNUMBER(Data_2017!AR45),100*ABS($G45-(Data_2017!AR45-$K45)/$M45),0)))</f>
        <v>100</v>
      </c>
      <c r="AY45" s="100">
        <f>IF($H45=0,0,CHOOSE($H45,SUMPRODUCT($O46:$O$67*AY46:AY$67*($E46:$E$67=$D45)),IF(ISNUMBER(Data_2017!AS45),100*ABS($G45-(Data_2017!AS45-$K45)/$M45),0),IF(ISNUMBER(Data_2017!AS45),100*ABS($G45-(Data_2017!AS45-$K45)/$M45),0)))</f>
        <v>91.4893617021277</v>
      </c>
      <c r="AZ45" s="100">
        <f>IF($H45=0,0,CHOOSE($H45,SUMPRODUCT($O46:$O$67*AZ46:AZ$67*($E46:$E$67=$D45)),IF(ISNUMBER(Data_2017!AT45),100*ABS($G45-(Data_2017!AT45-$K45)/$M45),0),IF(ISNUMBER(Data_2017!AT45),100*ABS($G45-(Data_2017!AT45-$K45)/$M45),0)))</f>
        <v>93.6170212765958</v>
      </c>
      <c r="BA45" s="100">
        <f>IF($H45=0,0,CHOOSE($H45,SUMPRODUCT($O46:$O$67*BA46:BA$67*($E46:$E$67=$D45)),IF(ISNUMBER(Data_2017!AU45),100*ABS($G45-(Data_2017!AU45-$K45)/$M45),0),IF(ISNUMBER(Data_2017!AU45),100*ABS($G45-(Data_2017!AU45-$K45)/$M45),0)))</f>
        <v>97.8723404255319</v>
      </c>
      <c r="BB45" s="100">
        <f>IF($H45=0,0,CHOOSE($H45,SUMPRODUCT($O46:$O$67*BB46:BB$67*($E46:$E$67=$D45)),IF(ISNUMBER(Data_2017!AV45),100*ABS($G45-(Data_2017!AV45-$K45)/$M45),0),IF(ISNUMBER(Data_2017!AV45),100*ABS($G45-(Data_2017!AV45-$K45)/$M45),0)))</f>
        <v>100</v>
      </c>
      <c r="BC45" s="100">
        <f>IF($H45=0,0,CHOOSE($H45,SUMPRODUCT($O46:$O$67*BC46:BC$67*($E46:$E$67=$D45)),IF(ISNUMBER(Data_2017!AW45),100*ABS($G45-(Data_2017!AW45-$K45)/$M45),0),IF(ISNUMBER(Data_2017!AW45),100*ABS($G45-(Data_2017!AW45-$K45)/$M45),0)))</f>
        <v>100</v>
      </c>
      <c r="BD45" s="100">
        <f>IF($H45=0,0,CHOOSE($H45,SUMPRODUCT($O46:$O$67*BD46:BD$67*($E46:$E$67=$D45)),IF(ISNUMBER(Data_2017!AX45),100*ABS($G45-(Data_2017!AX45-$K45)/$M45),0),IF(ISNUMBER(Data_2017!AX45),100*ABS($G45-(Data_2017!AX45-$K45)/$M45),0)))</f>
        <v>100</v>
      </c>
      <c r="BE45" s="100">
        <f>IF($H45=0,0,CHOOSE($H45,SUMPRODUCT($O46:$O$67*BE46:BE$67*($E46:$E$67=$D45)),IF(ISNUMBER(Data_2017!AY45),100*ABS($G45-(Data_2017!AY45-$K45)/$M45),0),IF(ISNUMBER(Data_2017!AY45),100*ABS($G45-(Data_2017!AY45-$K45)/$M45),0)))</f>
        <v>100</v>
      </c>
      <c r="BF45" s="100">
        <f>IF($H45=0,0,CHOOSE($H45,SUMPRODUCT($O46:$O$67*BF46:BF$67*($E46:$E$67=$D45)),IF(ISNUMBER(Data_2017!AZ45),100*ABS($G45-(Data_2017!AZ45-$K45)/$M45),0),IF(ISNUMBER(Data_2017!AZ45),100*ABS($G45-(Data_2017!AZ45-$K45)/$M45),0)))</f>
        <v>100</v>
      </c>
      <c r="BG45" s="100">
        <f>IF($H45=0,0,CHOOSE($H45,SUMPRODUCT($O46:$O$67*BG46:BG$67*($E46:$E$67=$D45)),IF(ISNUMBER(Data_2017!BA45),100*ABS($G45-(Data_2017!BA45-$K45)/$M45),0),IF(ISNUMBER(Data_2017!BA45),100*ABS($G45-(Data_2017!BA45-$K45)/$M45),0)))</f>
        <v>97.8723404255319</v>
      </c>
      <c r="BH45" s="100">
        <f>IF($H45=0,0,CHOOSE($H45,SUMPRODUCT($O46:$O$67*BH46:BH$67*($E46:$E$67=$D45)),IF(ISNUMBER(Data_2017!BB45),100*ABS($G45-(Data_2017!BB45-$K45)/$M45),0),IF(ISNUMBER(Data_2017!BB45),100*ABS($G45-(Data_2017!BB45-$K45)/$M45),0)))</f>
        <v>100</v>
      </c>
      <c r="BI45" s="100">
        <f>IF($H45=0,0,CHOOSE($H45,SUMPRODUCT($O46:$O$67*BI46:BI$67*($E46:$E$67=$D45)),IF(ISNUMBER(Data_2017!BC45),100*ABS($G45-(Data_2017!BC45-$K45)/$M45),0),IF(ISNUMBER(Data_2017!BC45),100*ABS($G45-(Data_2017!BC45-$K45)/$M45),0)))</f>
        <v>89.3617021276596</v>
      </c>
      <c r="BJ45" s="100">
        <f>IF($H45=0,0,CHOOSE($H45,SUMPRODUCT($O46:$O$67*BJ46:BJ$67*($E46:$E$67=$D45)),IF(ISNUMBER(Data_2017!BD45),100*ABS($G45-(Data_2017!BD45-$K45)/$M45),0),IF(ISNUMBER(Data_2017!BD45),100*ABS($G45-(Data_2017!BD45-$K45)/$M45),0)))</f>
        <v>97.8723404255319</v>
      </c>
      <c r="BK45" s="100">
        <f>IF($H45=0,0,CHOOSE($H45,SUMPRODUCT($O46:$O$67*BK46:BK$67*($E46:$E$67=$D45)),IF(ISNUMBER(Data_2017!BE45),100*ABS($G45-(Data_2017!BE45-$K45)/$M45),0),IF(ISNUMBER(Data_2017!BE45),100*ABS($G45-(Data_2017!BE45-$K45)/$M45),0)))</f>
        <v>100</v>
      </c>
      <c r="BL45" s="100">
        <f>IF($H45=0,0,CHOOSE($H45,SUMPRODUCT($O46:$O$67*BL46:BL$67*($E46:$E$67=$D45)),IF(ISNUMBER(Data_2017!BF45),100*ABS($G45-(Data_2017!BF45-$K45)/$M45),0),IF(ISNUMBER(Data_2017!BF45),100*ABS($G45-(Data_2017!BF45-$K45)/$M45),0)))</f>
        <v>97.8723404255319</v>
      </c>
      <c r="BM45" s="100">
        <f>IF($H45=0,0,CHOOSE($H45,SUMPRODUCT($O46:$O$67*BM46:BM$67*($E46:$E$67=$D45)),IF(ISNUMBER(Data_2017!BG45),100*ABS($G45-(Data_2017!BG45-$K45)/$M45),0),IF(ISNUMBER(Data_2017!BG45),100*ABS($G45-(Data_2017!BG45-$K45)/$M45),0)))</f>
        <v>100</v>
      </c>
      <c r="BN45" s="100">
        <f>IF($H45=0,0,CHOOSE($H45,SUMPRODUCT($O46:$O$67*BN46:BN$67*($E46:$E$67=$D45)),IF(ISNUMBER(Data_2017!BH45),100*ABS($G45-(Data_2017!BH45-$K45)/$M45),0),IF(ISNUMBER(Data_2017!BH45),100*ABS($G45-(Data_2017!BH45-$K45)/$M45),0)))</f>
        <v>100</v>
      </c>
      <c r="BO45" s="100">
        <f>IF($H45=0,0,CHOOSE($H45,SUMPRODUCT($O46:$O$67*BO46:BO$67*($E46:$E$67=$D45)),IF(ISNUMBER(Data_2017!BI45),100*ABS($G45-(Data_2017!BI45-$K45)/$M45),0),IF(ISNUMBER(Data_2017!BI45),100*ABS($G45-(Data_2017!BI45-$K45)/$M45),0)))</f>
        <v>100</v>
      </c>
      <c r="BP45" s="100">
        <f>IF($H45=0,0,CHOOSE($H45,SUMPRODUCT($O46:$O$67*BP46:BP$67*($E46:$E$67=$D45)),IF(ISNUMBER(Data_2017!BJ45),100*ABS($G45-(Data_2017!BJ45-$K45)/$M45),0),IF(ISNUMBER(Data_2017!BJ45),100*ABS($G45-(Data_2017!BJ45-$K45)/$M45),0)))</f>
        <v>100</v>
      </c>
      <c r="BQ45" s="100">
        <f>IF($H45=0,0,CHOOSE($H45,SUMPRODUCT($O46:$O$67*BQ46:BQ$67*($E46:$E$67=$D45)),IF(ISNUMBER(Data_2017!BK45),100*ABS($G45-(Data_2017!BK45-$K45)/$M45),0),IF(ISNUMBER(Data_2017!BK45),100*ABS($G45-(Data_2017!BK45-$K45)/$M45),0)))</f>
        <v>100</v>
      </c>
      <c r="BR45" s="100">
        <f>IF($H45=0,0,CHOOSE($H45,SUMPRODUCT($O46:$O$67*BR46:BR$67*($E46:$E$67=$D45)),IF(ISNUMBER(Data_2017!BL45),100*ABS($G45-(Data_2017!BL45-$K45)/$M45),0),IF(ISNUMBER(Data_2017!BL45),100*ABS($G45-(Data_2017!BL45-$K45)/$M45),0)))</f>
        <v>89.3617021276596</v>
      </c>
      <c r="BS45" s="100">
        <f>IF($H45=0,0,CHOOSE($H45,SUMPRODUCT($O46:$O$67*BS46:BS$67*($E46:$E$67=$D45)),IF(ISNUMBER(Data_2017!BM45),100*ABS($G45-(Data_2017!BM45-$K45)/$M45),0),IF(ISNUMBER(Data_2017!BM45),100*ABS($G45-(Data_2017!BM45-$K45)/$M45),0)))</f>
        <v>100</v>
      </c>
      <c r="BT45" s="100">
        <f>IF($H45=0,0,CHOOSE($H45,SUMPRODUCT($O46:$O$67*BT46:BT$67*($E46:$E$67=$D45)),IF(ISNUMBER(Data_2017!BN45),100*ABS($G45-(Data_2017!BN45-$K45)/$M45),0),IF(ISNUMBER(Data_2017!BN45),100*ABS($G45-(Data_2017!BN45-$K45)/$M45),0)))</f>
        <v>100</v>
      </c>
      <c r="BU45" s="100">
        <f>IF($H45=0,0,CHOOSE($H45,SUMPRODUCT($O46:$O$67*BU46:BU$67*($E46:$E$67=$D45)),IF(ISNUMBER(Data_2017!BO45),100*ABS($G45-(Data_2017!BO45-$K45)/$M45),0),IF(ISNUMBER(Data_2017!BO45),100*ABS($G45-(Data_2017!BO45-$K45)/$M45),0)))</f>
        <v>100</v>
      </c>
      <c r="BV45" s="100">
        <f>IF($H45=0,0,CHOOSE($H45,SUMPRODUCT($O46:$O$67*BV46:BV$67*($E46:$E$67=$D45)),IF(ISNUMBER(Data_2017!BP45),100*ABS($G45-(Data_2017!BP45-$K45)/$M45),0),IF(ISNUMBER(Data_2017!BP45),100*ABS($G45-(Data_2017!BP45-$K45)/$M45),0)))</f>
        <v>89.3617021276596</v>
      </c>
      <c r="BW45" s="100">
        <f>IF($H45=0,0,CHOOSE($H45,SUMPRODUCT($O46:$O$67*BW46:BW$67*($E46:$E$67=$D45)),IF(ISNUMBER(Data_2017!BQ45),100*ABS($G45-(Data_2017!BQ45-$K45)/$M45),0),IF(ISNUMBER(Data_2017!BQ45),100*ABS($G45-(Data_2017!BQ45-$K45)/$M45),0)))</f>
        <v>100</v>
      </c>
      <c r="BX45" s="100">
        <f>IF($H45=0,0,CHOOSE($H45,SUMPRODUCT($O46:$O$67*BX46:BX$67*($E46:$E$67=$D45)),IF(ISNUMBER(Data_2017!BR45),100*ABS($G45-(Data_2017!BR45-$K45)/$M45),0),IF(ISNUMBER(Data_2017!BR45),100*ABS($G45-(Data_2017!BR45-$K45)/$M45),0)))</f>
        <v>100</v>
      </c>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row>
    <row r="46" s="69" customFormat="1" ht="24.95" customHeight="1" spans="1:130">
      <c r="A46" s="92"/>
      <c r="B46" s="92">
        <f>tblIndicators!A42</f>
        <v>41</v>
      </c>
      <c r="C46" s="92">
        <f>tblIndicators!B42</f>
        <v>0</v>
      </c>
      <c r="D46" s="92" t="str">
        <f>tblIndicators!D42</f>
        <v>PESE</v>
      </c>
      <c r="E46" s="92" t="str">
        <f>tblIndicators!E42</f>
        <v>OVERALL</v>
      </c>
      <c r="F46" s="92">
        <f>tblIndicators!F42</f>
        <v>1</v>
      </c>
      <c r="G46" s="92" t="str">
        <f>tblIndicators!Y42</f>
        <v/>
      </c>
      <c r="H46" s="92">
        <f>tblIndicators!Z42</f>
        <v>1</v>
      </c>
      <c r="I46" s="104">
        <f>tblIndicators!AA42</f>
        <v>0</v>
      </c>
      <c r="J46" s="92">
        <f>tblIndicators!AB42</f>
        <v>0</v>
      </c>
      <c r="K46" s="89" t="str">
        <f>IF(uxb_works!$B$66=1,CHOOSE(H46,"-",MIN(Data_2017!J46:BR46),I46),CHOOSE(H46,"-",MIN(Data_2017!J46:BQ46),I46))</f>
        <v>-</v>
      </c>
      <c r="L46" s="97" t="str">
        <f>IF(uxb_works!$B$66=1,CHOOSE(H46,"-",MAX(Data_2017!J46:BR46),J46),CHOOSE(H46,"-",MAX(Data_2017!J46:BQ46),J46))</f>
        <v>-</v>
      </c>
      <c r="M46" s="92" t="str">
        <f t="shared" si="1"/>
        <v>-</v>
      </c>
      <c r="N46" s="105" t="str">
        <f>REPT(" ",F46)&amp;tblIndicators!AE42</f>
        <v> 4) PERSONAL SECURITY</v>
      </c>
      <c r="O46" s="106">
        <f>tblIndicators!AD42</f>
        <v>0.25</v>
      </c>
      <c r="P46" s="100">
        <f>IF($H46=0,0,CHOOSE($H46,SUMPRODUCT($O47:$O$67*P47:P$67*($E47:$E$67=$D46)),IF(ISNUMBER(Data_2017!J46),100*ABS($G46-(Data_2017!J46-$K46)/$M46),0),IF(ISNUMBER(Data_2017!J46),100*ABS($G46-(Data_2017!J46-$K46)/$M46),0)))</f>
        <v>78.9514458295227</v>
      </c>
      <c r="Q46" s="100">
        <f>IF($H46=0,0,CHOOSE($H46,SUMPRODUCT($O47:$O$67*Q47:Q$67*($E47:$E$67=$D46)),IF(ISNUMBER(Data_2017!K46),100*ABS($G46-(Data_2017!K46-$K46)/$M46),0),IF(ISNUMBER(Data_2017!K46),100*ABS($G46-(Data_2017!K46-$K46)/$M46),0)))</f>
        <v>87.4219698337159</v>
      </c>
      <c r="R46" s="100">
        <f>IF($H46=0,0,CHOOSE($H46,SUMPRODUCT($O47:$O$67*R47:R$67*($E47:$E$67=$D46)),IF(ISNUMBER(Data_2017!L46),100*ABS($G46-(Data_2017!L46-$K46)/$M46),0),IF(ISNUMBER(Data_2017!L46),100*ABS($G46-(Data_2017!L46-$K46)/$M46),0)))</f>
        <v>69.0324345967662</v>
      </c>
      <c r="S46" s="100">
        <f>IF($H46=0,0,CHOOSE($H46,SUMPRODUCT($O47:$O$67*S47:S$67*($E47:$E$67=$D46)),IF(ISNUMBER(Data_2017!M46),100*ABS($G46-(Data_2017!M46-$K46)/$M46),0),IF(ISNUMBER(Data_2017!M46),100*ABS($G46-(Data_2017!M46-$K46)/$M46),0)))</f>
        <v>60.7978490994858</v>
      </c>
      <c r="T46" s="100">
        <f>IF($H46=0,0,CHOOSE($H46,SUMPRODUCT($O47:$O$67*T47:T$67*($E47:$E$67=$D46)),IF(ISNUMBER(Data_2017!N46),100*ABS($G46-(Data_2017!N46-$K46)/$M46),0),IF(ISNUMBER(Data_2017!N46),100*ABS($G46-(Data_2017!N46-$K46)/$M46),0)))</f>
        <v>85.2825410714879</v>
      </c>
      <c r="U46" s="100">
        <f>IF($H46=0,0,CHOOSE($H46,SUMPRODUCT($O47:$O$67*U47:U$67*($E47:$E$67=$D46)),IF(ISNUMBER(Data_2017!O46),100*ABS($G46-(Data_2017!O46-$K46)/$M46),0),IF(ISNUMBER(Data_2017!O46),100*ABS($G46-(Data_2017!O46-$K46)/$M46),0)))</f>
        <v>80.7642850729642</v>
      </c>
      <c r="V46" s="100">
        <f>IF($H46=0,0,CHOOSE($H46,SUMPRODUCT($O47:$O$67*V47:V$67*($E47:$E$67=$D46)),IF(ISNUMBER(Data_2017!P46),100*ABS($G46-(Data_2017!P46-$K46)/$M46),0),IF(ISNUMBER(Data_2017!P46),100*ABS($G46-(Data_2017!P46-$K46)/$M46),0)))</f>
        <v>55.6565121114598</v>
      </c>
      <c r="W46" s="100">
        <f>IF($H46=0,0,CHOOSE($H46,SUMPRODUCT($O47:$O$67*W47:W$67*($E47:$E$67=$D46)),IF(ISNUMBER(Data_2017!Q46),100*ABS($G46-(Data_2017!Q46-$K46)/$M46),0),IF(ISNUMBER(Data_2017!Q46),100*ABS($G46-(Data_2017!Q46-$K46)/$M46),0)))</f>
        <v>82.0869189978028</v>
      </c>
      <c r="X46" s="100">
        <f>IF($H46=0,0,CHOOSE($H46,SUMPRODUCT($O47:$O$67*X47:X$67*($E47:$E$67=$D46)),IF(ISNUMBER(Data_2017!R46),100*ABS($G46-(Data_2017!R46-$K46)/$M46),0),IF(ISNUMBER(Data_2017!R46),100*ABS($G46-(Data_2017!R46-$K46)/$M46),0)))</f>
        <v>68.413704828011</v>
      </c>
      <c r="Y46" s="100">
        <f>IF($H46=0,0,CHOOSE($H46,SUMPRODUCT($O47:$O$67*Y47:Y$67*($E47:$E$67=$D46)),IF(ISNUMBER(Data_2017!S46),100*ABS($G46-(Data_2017!S46-$K46)/$M46),0),IF(ISNUMBER(Data_2017!S46),100*ABS($G46-(Data_2017!S46-$K46)/$M46),0)))</f>
        <v>69.7518485764992</v>
      </c>
      <c r="Z46" s="100">
        <f>IF($H46=0,0,CHOOSE($H46,SUMPRODUCT($O47:$O$67*Z47:Z$67*($E47:$E$67=$D46)),IF(ISNUMBER(Data_2017!T46),100*ABS($G46-(Data_2017!T46-$K46)/$M46),0),IF(ISNUMBER(Data_2017!T46),100*ABS($G46-(Data_2017!T46-$K46)/$M46),0)))</f>
        <v>47.3562104802896</v>
      </c>
      <c r="AA46" s="100">
        <f>IF($H46=0,0,CHOOSE($H46,SUMPRODUCT($O47:$O$67*AA47:AA$67*($E47:$E$67=$D46)),IF(ISNUMBER(Data_2017!U46),100*ABS($G46-(Data_2017!U46-$K46)/$M46),0),IF(ISNUMBER(Data_2017!U46),100*ABS($G46-(Data_2017!U46-$K46)/$M46),0)))</f>
        <v>62.6278293401172</v>
      </c>
      <c r="AB46" s="100">
        <f>IF($H46=0,0,CHOOSE($H46,SUMPRODUCT($O47:$O$67*AB47:AB$67*($E47:$E$67=$D46)),IF(ISNUMBER(Data_2017!V46),100*ABS($G46-(Data_2017!V46-$K46)/$M46),0),IF(ISNUMBER(Data_2017!V46),100*ABS($G46-(Data_2017!V46-$K46)/$M46),0)))</f>
        <v>82.8362864960522</v>
      </c>
      <c r="AC46" s="100">
        <f>IF($H46=0,0,CHOOSE($H46,SUMPRODUCT($O47:$O$67*AC47:AC$67*($E47:$E$67=$D46)),IF(ISNUMBER(Data_2017!W46),100*ABS($G46-(Data_2017!W46-$K46)/$M46),0),IF(ISNUMBER(Data_2017!W46),100*ABS($G46-(Data_2017!W46-$K46)/$M46),0)))</f>
        <v>80.7564464888033</v>
      </c>
      <c r="AD46" s="100">
        <f>IF($H46=0,0,CHOOSE($H46,SUMPRODUCT($O47:$O$67*AD47:AD$67*($E47:$E$67=$D46)),IF(ISNUMBER(Data_2017!X46),100*ABS($G46-(Data_2017!X46-$K46)/$M46),0),IF(ISNUMBER(Data_2017!X46),100*ABS($G46-(Data_2017!X46-$K46)/$M46),0)))</f>
        <v>76.6095069933926</v>
      </c>
      <c r="AE46" s="100">
        <f>IF($H46=0,0,CHOOSE($H46,SUMPRODUCT($O47:$O$67*AE47:AE$67*($E47:$E$67=$D46)),IF(ISNUMBER(Data_2017!Y46),100*ABS($G46-(Data_2017!Y46-$K46)/$M46),0),IF(ISNUMBER(Data_2017!Y46),100*ABS($G46-(Data_2017!Y46-$K46)/$M46),0)))</f>
        <v>67.1520713436624</v>
      </c>
      <c r="AF46" s="100">
        <f>IF($H46=0,0,CHOOSE($H46,SUMPRODUCT($O47:$O$67*AF47:AF$67*($E47:$E$67=$D46)),IF(ISNUMBER(Data_2017!Z46),100*ABS($G46-(Data_2017!Z46-$K46)/$M46),0),IF(ISNUMBER(Data_2017!Z46),100*ABS($G46-(Data_2017!Z46-$K46)/$M46),0)))</f>
        <v>86.0356161890541</v>
      </c>
      <c r="AG46" s="100">
        <f>IF($H46=0,0,CHOOSE($H46,SUMPRODUCT($O47:$O$67*AG47:AG$67*($E47:$E$67=$D46)),IF(ISNUMBER(Data_2017!AA46),100*ABS($G46-(Data_2017!AA46-$K46)/$M46),0),IF(ISNUMBER(Data_2017!AA46),100*ABS($G46-(Data_2017!AA46-$K46)/$M46),0)))</f>
        <v>86.7032473723624</v>
      </c>
      <c r="AH46" s="100">
        <f>IF($H46=0,0,CHOOSE($H46,SUMPRODUCT($O47:$O$67*AH47:AH$67*($E47:$E$67=$D46)),IF(ISNUMBER(Data_2017!AB46),100*ABS($G46-(Data_2017!AB46-$K46)/$M46),0),IF(ISNUMBER(Data_2017!AB46),100*ABS($G46-(Data_2017!AB46-$K46)/$M46),0)))</f>
        <v>50.5319757552615</v>
      </c>
      <c r="AI46" s="100">
        <f>IF($H46=0,0,CHOOSE($H46,SUMPRODUCT($O47:$O$67*AI47:AI$67*($E47:$E$67=$D46)),IF(ISNUMBER(Data_2017!AC46),100*ABS($G46-(Data_2017!AC46-$K46)/$M46),0),IF(ISNUMBER(Data_2017!AC46),100*ABS($G46-(Data_2017!AC46-$K46)/$M46),0)))</f>
        <v>89.7543433349765</v>
      </c>
      <c r="AJ46" s="100">
        <f>IF($H46=0,0,CHOOSE($H46,SUMPRODUCT($O47:$O$67*AJ47:AJ$67*($E47:$E$67=$D46)),IF(ISNUMBER(Data_2017!AD46),100*ABS($G46-(Data_2017!AD46-$K46)/$M46),0),IF(ISNUMBER(Data_2017!AD46),100*ABS($G46-(Data_2017!AD46-$K46)/$M46),0)))</f>
        <v>65.8383242580421</v>
      </c>
      <c r="AK46" s="100">
        <f>IF($H46=0,0,CHOOSE($H46,SUMPRODUCT($O47:$O$67*AK47:AK$67*($E47:$E$67=$D46)),IF(ISNUMBER(Data_2017!AE46),100*ABS($G46-(Data_2017!AE46-$K46)/$M46),0),IF(ISNUMBER(Data_2017!AE46),100*ABS($G46-(Data_2017!AE46-$K46)/$M46),0)))</f>
        <v>59.2421578146951</v>
      </c>
      <c r="AL46" s="100">
        <f>IF($H46=0,0,CHOOSE($H46,SUMPRODUCT($O47:$O$67*AL47:AL$67*($E47:$E$67=$D46)),IF(ISNUMBER(Data_2017!AF46),100*ABS($G46-(Data_2017!AF46-$K46)/$M46),0),IF(ISNUMBER(Data_2017!AF46),100*ABS($G46-(Data_2017!AF46-$K46)/$M46),0)))</f>
        <v>60.0487308886517</v>
      </c>
      <c r="AM46" s="100">
        <f>IF($H46=0,0,CHOOSE($H46,SUMPRODUCT($O47:$O$67*AM47:AM$67*($E47:$E$67=$D46)),IF(ISNUMBER(Data_2017!AG46),100*ABS($G46-(Data_2017!AG46-$K46)/$M46),0),IF(ISNUMBER(Data_2017!AG46),100*ABS($G46-(Data_2017!AG46-$K46)/$M46),0)))</f>
        <v>57.6516857047917</v>
      </c>
      <c r="AN46" s="100">
        <f>IF($H46=0,0,CHOOSE($H46,SUMPRODUCT($O47:$O$67*AN47:AN$67*($E47:$E$67=$D46)),IF(ISNUMBER(Data_2017!AH46),100*ABS($G46-(Data_2017!AH46-$K46)/$M46),0),IF(ISNUMBER(Data_2017!AH46),100*ABS($G46-(Data_2017!AH46-$K46)/$M46),0)))</f>
        <v>31.8451369753181</v>
      </c>
      <c r="AO46" s="100">
        <f>IF($H46=0,0,CHOOSE($H46,SUMPRODUCT($O47:$O$67*AO47:AO$67*($E47:$E$67=$D46)),IF(ISNUMBER(Data_2017!AI46),100*ABS($G46-(Data_2017!AI46-$K46)/$M46),0),IF(ISNUMBER(Data_2017!AI46),100*ABS($G46-(Data_2017!AI46-$K46)/$M46),0)))</f>
        <v>81.0154673430812</v>
      </c>
      <c r="AP46" s="100">
        <f>IF($H46=0,0,CHOOSE($H46,SUMPRODUCT($O47:$O$67*AP47:AP$67*($E47:$E$67=$D46)),IF(ISNUMBER(Data_2017!AJ46),100*ABS($G46-(Data_2017!AJ46-$K46)/$M46),0),IF(ISNUMBER(Data_2017!AJ46),100*ABS($G46-(Data_2017!AJ46-$K46)/$M46),0)))</f>
        <v>74.8195711402502</v>
      </c>
      <c r="AQ46" s="100">
        <f>IF($H46=0,0,CHOOSE($H46,SUMPRODUCT($O47:$O$67*AQ47:AQ$67*($E47:$E$67=$D46)),IF(ISNUMBER(Data_2017!AK46),100*ABS($G46-(Data_2017!AK46-$K46)/$M46),0),IF(ISNUMBER(Data_2017!AK46),100*ABS($G46-(Data_2017!AK46-$K46)/$M46),0)))</f>
        <v>60.8659369620119</v>
      </c>
      <c r="AR46" s="100">
        <f>IF($H46=0,0,CHOOSE($H46,SUMPRODUCT($O47:$O$67*AR47:AR$67*($E47:$E$67=$D46)),IF(ISNUMBER(Data_2017!AL46),100*ABS($G46-(Data_2017!AL46-$K46)/$M46),0),IF(ISNUMBER(Data_2017!AL46),100*ABS($G46-(Data_2017!AL46-$K46)/$M46),0)))</f>
        <v>85.5168446899291</v>
      </c>
      <c r="AS46" s="100">
        <f>IF($H46=0,0,CHOOSE($H46,SUMPRODUCT($O47:$O$67*AS47:AS$67*($E47:$E$67=$D46)),IF(ISNUMBER(Data_2017!AM46),100*ABS($G46-(Data_2017!AM46-$K46)/$M46),0),IF(ISNUMBER(Data_2017!AM46),100*ABS($G46-(Data_2017!AM46-$K46)/$M46),0)))</f>
        <v>83.4035386605523</v>
      </c>
      <c r="AT46" s="100">
        <f>IF($H46=0,0,CHOOSE($H46,SUMPRODUCT($O47:$O$67*AT47:AT$67*($E47:$E$67=$D46)),IF(ISNUMBER(Data_2017!AN46),100*ABS($G46-(Data_2017!AN46-$K46)/$M46),0),IF(ISNUMBER(Data_2017!AN46),100*ABS($G46-(Data_2017!AN46-$K46)/$M46),0)))</f>
        <v>85.608093035832</v>
      </c>
      <c r="AU46" s="100">
        <f>IF($H46=0,0,CHOOSE($H46,SUMPRODUCT($O47:$O$67*AU47:AU$67*($E47:$E$67=$D46)),IF(ISNUMBER(Data_2017!AO46),100*ABS($G46-(Data_2017!AO46-$K46)/$M46),0),IF(ISNUMBER(Data_2017!AO46),100*ABS($G46-(Data_2017!AO46-$K46)/$M46),0)))</f>
        <v>69.8266992823552</v>
      </c>
      <c r="AV46" s="100">
        <f>IF($H46=0,0,CHOOSE($H46,SUMPRODUCT($O47:$O$67*AV47:AV$67*($E47:$E$67=$D46)),IF(ISNUMBER(Data_2017!AP46),100*ABS($G46-(Data_2017!AP46-$K46)/$M46),0),IF(ISNUMBER(Data_2017!AP46),100*ABS($G46-(Data_2017!AP46-$K46)/$M46),0)))</f>
        <v>88.5224801709794</v>
      </c>
      <c r="AW46" s="100">
        <f>IF($H46=0,0,CHOOSE($H46,SUMPRODUCT($O47:$O$67*AW47:AW$67*($E47:$E$67=$D46)),IF(ISNUMBER(Data_2017!AQ46),100*ABS($G46-(Data_2017!AQ46-$K46)/$M46),0),IF(ISNUMBER(Data_2017!AQ46),100*ABS($G46-(Data_2017!AQ46-$K46)/$M46),0)))</f>
        <v>64.6211674740388</v>
      </c>
      <c r="AX46" s="100">
        <f>IF($H46=0,0,CHOOSE($H46,SUMPRODUCT($O47:$O$67*AX47:AX$67*($E47:$E$67=$D46)),IF(ISNUMBER(Data_2017!AR46),100*ABS($G46-(Data_2017!AR46-$K46)/$M46),0),IF(ISNUMBER(Data_2017!AR46),100*ABS($G46-(Data_2017!AR46-$K46)/$M46),0)))</f>
        <v>76.8316474990319</v>
      </c>
      <c r="AY46" s="100">
        <f>IF($H46=0,0,CHOOSE($H46,SUMPRODUCT($O47:$O$67*AY47:AY$67*($E47:$E$67=$D46)),IF(ISNUMBER(Data_2017!AS46),100*ABS($G46-(Data_2017!AS46-$K46)/$M46),0),IF(ISNUMBER(Data_2017!AS46),100*ABS($G46-(Data_2017!AS46-$K46)/$M46),0)))</f>
        <v>57.9993977184282</v>
      </c>
      <c r="AZ46" s="100">
        <f>IF($H46=0,0,CHOOSE($H46,SUMPRODUCT($O47:$O$67*AZ47:AZ$67*($E47:$E$67=$D46)),IF(ISNUMBER(Data_2017!AT46),100*ABS($G46-(Data_2017!AT46-$K46)/$M46),0),IF(ISNUMBER(Data_2017!AT46),100*ABS($G46-(Data_2017!AT46-$K46)/$M46),0)))</f>
        <v>77.8949584013347</v>
      </c>
      <c r="BA46" s="100">
        <f>IF($H46=0,0,CHOOSE($H46,SUMPRODUCT($O47:$O$67*BA47:BA$67*($E47:$E$67=$D46)),IF(ISNUMBER(Data_2017!AU46),100*ABS($G46-(Data_2017!AU46-$K46)/$M46),0),IF(ISNUMBER(Data_2017!AU46),100*ABS($G46-(Data_2017!AU46-$K46)/$M46),0)))</f>
        <v>80.9777990897082</v>
      </c>
      <c r="BB46" s="100">
        <f>IF($H46=0,0,CHOOSE($H46,SUMPRODUCT($O47:$O$67*BB47:BB$67*($E47:$E$67=$D46)),IF(ISNUMBER(Data_2017!AV46),100*ABS($G46-(Data_2017!AV46-$K46)/$M46),0),IF(ISNUMBER(Data_2017!AV46),100*ABS($G46-(Data_2017!AV46-$K46)/$M46),0)))</f>
        <v>91.5887978729324</v>
      </c>
      <c r="BC46" s="100">
        <f>IF($H46=0,0,CHOOSE($H46,SUMPRODUCT($O47:$O$67*BC47:BC$67*($E47:$E$67=$D46)),IF(ISNUMBER(Data_2017!AW46),100*ABS($G46-(Data_2017!AW46-$K46)/$M46),0),IF(ISNUMBER(Data_2017!AW46),100*ABS($G46-(Data_2017!AW46-$K46)/$M46),0)))</f>
        <v>77.226721931029</v>
      </c>
      <c r="BD46" s="100">
        <f>IF($H46=0,0,CHOOSE($H46,SUMPRODUCT($O47:$O$67*BD47:BD$67*($E47:$E$67=$D46)),IF(ISNUMBER(Data_2017!AX46),100*ABS($G46-(Data_2017!AX46-$K46)/$M46),0),IF(ISNUMBER(Data_2017!AX46),100*ABS($G46-(Data_2017!AX46-$K46)/$M46),0)))</f>
        <v>55.4102267732664</v>
      </c>
      <c r="BE46" s="100">
        <f>IF($H46=0,0,CHOOSE($H46,SUMPRODUCT($O47:$O$67*BE47:BE$67*($E47:$E$67=$D46)),IF(ISNUMBER(Data_2017!AY46),100*ABS($G46-(Data_2017!AY46-$K46)/$M46),0),IF(ISNUMBER(Data_2017!AY46),100*ABS($G46-(Data_2017!AY46-$K46)/$M46),0)))</f>
        <v>69.8503800052639</v>
      </c>
      <c r="BF46" s="100">
        <f>IF($H46=0,0,CHOOSE($H46,SUMPRODUCT($O47:$O$67*BF47:BF$67*($E47:$E$67=$D46)),IF(ISNUMBER(Data_2017!AZ46),100*ABS($G46-(Data_2017!AZ46-$K46)/$M46),0),IF(ISNUMBER(Data_2017!AZ46),100*ABS($G46-(Data_2017!AZ46-$K46)/$M46),0)))</f>
        <v>61.0368360065409</v>
      </c>
      <c r="BG46" s="100">
        <f>IF($H46=0,0,CHOOSE($H46,SUMPRODUCT($O47:$O$67*BG47:BG$67*($E47:$E$67=$D46)),IF(ISNUMBER(Data_2017!BA46),100*ABS($G46-(Data_2017!BA46-$K46)/$M46),0),IF(ISNUMBER(Data_2017!BA46),100*ABS($G46-(Data_2017!BA46-$K46)/$M46),0)))</f>
        <v>74.3914179011257</v>
      </c>
      <c r="BH46" s="100">
        <f>IF($H46=0,0,CHOOSE($H46,SUMPRODUCT($O47:$O$67*BH47:BH$67*($E47:$E$67=$D46)),IF(ISNUMBER(Data_2017!BB46),100*ABS($G46-(Data_2017!BB46-$K46)/$M46),0),IF(ISNUMBER(Data_2017!BB46),100*ABS($G46-(Data_2017!BB46-$K46)/$M46),0)))</f>
        <v>83.7365662265586</v>
      </c>
      <c r="BI46" s="100">
        <f>IF($H46=0,0,CHOOSE($H46,SUMPRODUCT($O47:$O$67*BI47:BI$67*($E47:$E$67=$D46)),IF(ISNUMBER(Data_2017!BC46),100*ABS($G46-(Data_2017!BC46-$K46)/$M46),0),IF(ISNUMBER(Data_2017!BC46),100*ABS($G46-(Data_2017!BC46-$K46)/$M46),0)))</f>
        <v>71.0191127102526</v>
      </c>
      <c r="BJ46" s="100">
        <f>IF($H46=0,0,CHOOSE($H46,SUMPRODUCT($O47:$O$67*BJ47:BJ$67*($E47:$E$67=$D46)),IF(ISNUMBER(Data_2017!BD46),100*ABS($G46-(Data_2017!BD46-$K46)/$M46),0),IF(ISNUMBER(Data_2017!BD46),100*ABS($G46-(Data_2017!BD46-$K46)/$M46),0)))</f>
        <v>70.0810985396441</v>
      </c>
      <c r="BK46" s="100">
        <f>IF($H46=0,0,CHOOSE($H46,SUMPRODUCT($O47:$O$67*BK47:BK$67*($E47:$E$67=$D46)),IF(ISNUMBER(Data_2017!BE46),100*ABS($G46-(Data_2017!BE46-$K46)/$M46),0),IF(ISNUMBER(Data_2017!BE46),100*ABS($G46-(Data_2017!BE46-$K46)/$M46),0)))</f>
        <v>85.3400282792049</v>
      </c>
      <c r="BL46" s="100">
        <f>IF($H46=0,0,CHOOSE($H46,SUMPRODUCT($O47:$O$67*BL47:BL$67*($E47:$E$67=$D46)),IF(ISNUMBER(Data_2017!BF46),100*ABS($G46-(Data_2017!BF46-$K46)/$M46),0),IF(ISNUMBER(Data_2017!BF46),100*ABS($G46-(Data_2017!BF46-$K46)/$M46),0)))</f>
        <v>80.0666015670571</v>
      </c>
      <c r="BM46" s="100">
        <f>IF($H46=0,0,CHOOSE($H46,SUMPRODUCT($O47:$O$67*BM47:BM$67*($E47:$E$67=$D46)),IF(ISNUMBER(Data_2017!BG46),100*ABS($G46-(Data_2017!BG46-$K46)/$M46),0),IF(ISNUMBER(Data_2017!BG46),100*ABS($G46-(Data_2017!BG46-$K46)/$M46),0)))</f>
        <v>94.9449789045779</v>
      </c>
      <c r="BN46" s="100">
        <f>IF($H46=0,0,CHOOSE($H46,SUMPRODUCT($O47:$O$67*BN47:BN$67*($E47:$E$67=$D46)),IF(ISNUMBER(Data_2017!BH46),100*ABS($G46-(Data_2017!BH46-$K46)/$M46),0),IF(ISNUMBER(Data_2017!BH46),100*ABS($G46-(Data_2017!BH46-$K46)/$M46),0)))</f>
        <v>87.9337670897564</v>
      </c>
      <c r="BO46" s="100">
        <f>IF($H46=0,0,CHOOSE($H46,SUMPRODUCT($O47:$O$67*BO47:BO$67*($E47:$E$67=$D46)),IF(ISNUMBER(Data_2017!BI46),100*ABS($G46-(Data_2017!BI46-$K46)/$M46),0),IF(ISNUMBER(Data_2017!BI46),100*ABS($G46-(Data_2017!BI46-$K46)/$M46),0)))</f>
        <v>86.4623878856006</v>
      </c>
      <c r="BP46" s="100">
        <f>IF($H46=0,0,CHOOSE($H46,SUMPRODUCT($O47:$O$67*BP47:BP$67*($E47:$E$67=$D46)),IF(ISNUMBER(Data_2017!BJ46),100*ABS($G46-(Data_2017!BJ46-$K46)/$M46),0),IF(ISNUMBER(Data_2017!BJ46),100*ABS($G46-(Data_2017!BJ46-$K46)/$M46),0)))</f>
        <v>90.0185041025186</v>
      </c>
      <c r="BQ46" s="100">
        <f>IF($H46=0,0,CHOOSE($H46,SUMPRODUCT($O47:$O$67*BQ47:BQ$67*($E47:$E$67=$D46)),IF(ISNUMBER(Data_2017!BK46),100*ABS($G46-(Data_2017!BK46-$K46)/$M46),0),IF(ISNUMBER(Data_2017!BK46),100*ABS($G46-(Data_2017!BK46-$K46)/$M46),0)))</f>
        <v>59.1768197555451</v>
      </c>
      <c r="BR46" s="100">
        <f>IF($H46=0,0,CHOOSE($H46,SUMPRODUCT($O47:$O$67*BR47:BR$67*($E47:$E$67=$D46)),IF(ISNUMBER(Data_2017!BL46),100*ABS($G46-(Data_2017!BL46-$K46)/$M46),0),IF(ISNUMBER(Data_2017!BL46),100*ABS($G46-(Data_2017!BL46-$K46)/$M46),0)))</f>
        <v>91.5679794099298</v>
      </c>
      <c r="BS46" s="100">
        <f>IF($H46=0,0,CHOOSE($H46,SUMPRODUCT($O47:$O$67*BS47:BS$67*($E47:$E$67=$D46)),IF(ISNUMBER(Data_2017!BM46),100*ABS($G46-(Data_2017!BM46-$K46)/$M46),0),IF(ISNUMBER(Data_2017!BM46),100*ABS($G46-(Data_2017!BM46-$K46)/$M46),0)))</f>
        <v>91.5173595952457</v>
      </c>
      <c r="BT46" s="100">
        <f>IF($H46=0,0,CHOOSE($H46,SUMPRODUCT($O47:$O$67*BT47:BT$67*($E47:$E$67=$D46)),IF(ISNUMBER(Data_2017!BN46),100*ABS($G46-(Data_2017!BN46-$K46)/$M46),0),IF(ISNUMBER(Data_2017!BN46),100*ABS($G46-(Data_2017!BN46-$K46)/$M46),0)))</f>
        <v>84.8243759199369</v>
      </c>
      <c r="BU46" s="100">
        <f>IF($H46=0,0,CHOOSE($H46,SUMPRODUCT($O47:$O$67*BU47:BU$67*($E47:$E$67=$D46)),IF(ISNUMBER(Data_2017!BO46),100*ABS($G46-(Data_2017!BO46-$K46)/$M46),0),IF(ISNUMBER(Data_2017!BO46),100*ABS($G46-(Data_2017!BO46-$K46)/$M46),0)))</f>
        <v>92.2774938567438</v>
      </c>
      <c r="BV46" s="100">
        <f>IF($H46=0,0,CHOOSE($H46,SUMPRODUCT($O47:$O$67*BV47:BV$67*($E47:$E$67=$D46)),IF(ISNUMBER(Data_2017!BP46),100*ABS($G46-(Data_2017!BP46-$K46)/$M46),0),IF(ISNUMBER(Data_2017!BP46),100*ABS($G46-(Data_2017!BP46-$K46)/$M46),0)))</f>
        <v>52.4301152025482</v>
      </c>
      <c r="BW46" s="100">
        <f>IF($H46=0,0,CHOOSE($H46,SUMPRODUCT($O47:$O$67*BW47:BW$67*($E47:$E$67=$D46)),IF(ISNUMBER(Data_2017!BQ46),100*ABS($G46-(Data_2017!BQ46-$K46)/$M46),0),IF(ISNUMBER(Data_2017!BQ46),100*ABS($G46-(Data_2017!BQ46-$K46)/$M46),0)))</f>
        <v>83.7196008601868</v>
      </c>
      <c r="BX46" s="100">
        <f>IF($H46=0,0,CHOOSE($H46,SUMPRODUCT($O47:$O$67*BX47:BX$67*($E47:$E$67=$D46)),IF(ISNUMBER(Data_2017!BR46),100*ABS($G46-(Data_2017!BR46-$K46)/$M46),0),IF(ISNUMBER(Data_2017!BR46),100*ABS($G46-(Data_2017!BR46-$K46)/$M46),0)))</f>
        <v>91.5887978729324</v>
      </c>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row>
    <row r="47" s="69" customFormat="1" ht="24.95" customHeight="1" spans="1:130">
      <c r="A47" s="92"/>
      <c r="B47" s="92">
        <f>tblIndicators!A43</f>
        <v>42</v>
      </c>
      <c r="C47" s="92">
        <f>tblIndicators!B43</f>
        <v>0</v>
      </c>
      <c r="D47" s="92" t="str">
        <f>tblIndicators!D43</f>
        <v>PESE4.1</v>
      </c>
      <c r="E47" s="92" t="str">
        <f>tblIndicators!E43</f>
        <v>PESE</v>
      </c>
      <c r="F47" s="92">
        <f>tblIndicators!F43</f>
        <v>2</v>
      </c>
      <c r="G47" s="92" t="str">
        <f>tblIndicators!Y43</f>
        <v/>
      </c>
      <c r="H47" s="92">
        <f>tblIndicators!Z43</f>
        <v>1</v>
      </c>
      <c r="I47" s="104">
        <f>tblIndicators!AA43</f>
        <v>0</v>
      </c>
      <c r="J47" s="92">
        <f>tblIndicators!AB43</f>
        <v>0</v>
      </c>
      <c r="K47" s="89" t="str">
        <f>IF(uxb_works!$B$66=1,CHOOSE(H47,"-",MIN(Data_2017!J47:BR47),I47),CHOOSE(H47,"-",MIN(Data_2017!J47:BQ47),I47))</f>
        <v>-</v>
      </c>
      <c r="L47" s="97" t="str">
        <f>IF(uxb_works!$B$66=1,CHOOSE(H47,"-",MAX(Data_2017!J47:BR47),J47),CHOOSE(H47,"-",MAX(Data_2017!J47:BQ47),J47))</f>
        <v>-</v>
      </c>
      <c r="M47" s="92" t="str">
        <f t="shared" si="1"/>
        <v>-</v>
      </c>
      <c r="N47" s="105" t="str">
        <f>REPT(" ",F47)&amp;tblIndicators!AE43</f>
        <v>  4.1) Personal security (Inputs)</v>
      </c>
      <c r="O47" s="106">
        <f>tblIndicators!AD43</f>
        <v>0.5</v>
      </c>
      <c r="P47" s="100">
        <f>IF($H47=0,0,CHOOSE($H47,SUMPRODUCT($O48:$O$67*P48:P$67*($E48:$E$67=$D47)),IF(ISNUMBER(Data_2017!J47),100*ABS($G47-(Data_2017!J47-$K47)/$M47),0),IF(ISNUMBER(Data_2017!J47),100*ABS($G47-(Data_2017!J47-$K47)/$M47),0)))</f>
        <v>71.8027210884354</v>
      </c>
      <c r="Q47" s="100">
        <f>IF($H47=0,0,CHOOSE($H47,SUMPRODUCT($O48:$O$67*Q48:Q$67*($E48:$E$67=$D47)),IF(ISNUMBER(Data_2017!K47),100*ABS($G47-(Data_2017!K47-$K47)/$M47),0),IF(ISNUMBER(Data_2017!K47),100*ABS($G47-(Data_2017!K47-$K47)/$M47),0)))</f>
        <v>92.6077097505669</v>
      </c>
      <c r="R47" s="100">
        <f>IF($H47=0,0,CHOOSE($H47,SUMPRODUCT($O48:$O$67*R48:R$67*($E48:$E$67=$D47)),IF(ISNUMBER(Data_2017!L47),100*ABS($G47-(Data_2017!L47-$K47)/$M47),0),IF(ISNUMBER(Data_2017!L47),100*ABS($G47-(Data_2017!L47-$K47)/$M47),0)))</f>
        <v>64.5351473922903</v>
      </c>
      <c r="S47" s="100">
        <f>IF($H47=0,0,CHOOSE($H47,SUMPRODUCT($O48:$O$67*S48:S$67*($E48:$E$67=$D47)),IF(ISNUMBER(Data_2017!M47),100*ABS($G47-(Data_2017!M47-$K47)/$M47),0),IF(ISNUMBER(Data_2017!M47),100*ABS($G47-(Data_2017!M47-$K47)/$M47),0)))</f>
        <v>61.6099773242631</v>
      </c>
      <c r="T47" s="100">
        <f>IF($H47=0,0,CHOOSE($H47,SUMPRODUCT($O48:$O$67*T48:T$67*($E48:$E$67=$D47)),IF(ISNUMBER(Data_2017!N47),100*ABS($G47-(Data_2017!N47-$K47)/$M47),0),IF(ISNUMBER(Data_2017!N47),100*ABS($G47-(Data_2017!N47-$K47)/$M47),0)))</f>
        <v>90.952380952381</v>
      </c>
      <c r="U47" s="100">
        <f>IF($H47=0,0,CHOOSE($H47,SUMPRODUCT($O48:$O$67*U48:U$67*($E48:$E$67=$D47)),IF(ISNUMBER(Data_2017!O47),100*ABS($G47-(Data_2017!O47-$K47)/$M47),0),IF(ISNUMBER(Data_2017!O47),100*ABS($G47-(Data_2017!O47-$K47)/$M47),0)))</f>
        <v>85</v>
      </c>
      <c r="V47" s="100">
        <f>IF($H47=0,0,CHOOSE($H47,SUMPRODUCT($O48:$O$67*V48:V$67*($E48:$E$67=$D47)),IF(ISNUMBER(Data_2017!P47),100*ABS($G47-(Data_2017!P47-$K47)/$M47),0),IF(ISNUMBER(Data_2017!P47),100*ABS($G47-(Data_2017!P47-$K47)/$M47),0)))</f>
        <v>65.1814058956916</v>
      </c>
      <c r="W47" s="100">
        <f>IF($H47=0,0,CHOOSE($H47,SUMPRODUCT($O48:$O$67*W48:W$67*($E48:$E$67=$D47)),IF(ISNUMBER(Data_2017!Q47),100*ABS($G47-(Data_2017!Q47-$K47)/$M47),0),IF(ISNUMBER(Data_2017!Q47),100*ABS($G47-(Data_2017!Q47-$K47)/$M47),0)))</f>
        <v>83.390022675737</v>
      </c>
      <c r="X47" s="100">
        <f>IF($H47=0,0,CHOOSE($H47,SUMPRODUCT($O48:$O$67*X48:X$67*($E48:$E$67=$D47)),IF(ISNUMBER(Data_2017!R47),100*ABS($G47-(Data_2017!R47-$K47)/$M47),0),IF(ISNUMBER(Data_2017!R47),100*ABS($G47-(Data_2017!R47-$K47)/$M47),0)))</f>
        <v>68.3219954648526</v>
      </c>
      <c r="Y47" s="100">
        <f>IF($H47=0,0,CHOOSE($H47,SUMPRODUCT($O48:$O$67*Y48:Y$67*($E48:$E$67=$D47)),IF(ISNUMBER(Data_2017!S47),100*ABS($G47-(Data_2017!S47-$K47)/$M47),0),IF(ISNUMBER(Data_2017!S47),100*ABS($G47-(Data_2017!S47-$K47)/$M47),0)))</f>
        <v>77.3242630385488</v>
      </c>
      <c r="Z47" s="100">
        <f>IF($H47=0,0,CHOOSE($H47,SUMPRODUCT($O48:$O$67*Z48:Z$67*($E48:$E$67=$D47)),IF(ISNUMBER(Data_2017!T47),100*ABS($G47-(Data_2017!T47-$K47)/$M47),0),IF(ISNUMBER(Data_2017!T47),100*ABS($G47-(Data_2017!T47-$K47)/$M47),0)))</f>
        <v>52.2108843537415</v>
      </c>
      <c r="AA47" s="100">
        <f>IF($H47=0,0,CHOOSE($H47,SUMPRODUCT($O48:$O$67*AA48:AA$67*($E48:$E$67=$D47)),IF(ISNUMBER(Data_2017!U47),100*ABS($G47-(Data_2017!U47-$K47)/$M47),0),IF(ISNUMBER(Data_2017!U47),100*ABS($G47-(Data_2017!U47-$K47)/$M47),0)))</f>
        <v>57.1882086167801</v>
      </c>
      <c r="AB47" s="100">
        <f>IF($H47=0,0,CHOOSE($H47,SUMPRODUCT($O48:$O$67*AB48:AB$67*($E48:$E$67=$D47)),IF(ISNUMBER(Data_2017!V47),100*ABS($G47-(Data_2017!V47-$K47)/$M47),0),IF(ISNUMBER(Data_2017!V47),100*ABS($G47-(Data_2017!V47-$K47)/$M47),0)))</f>
        <v>88.7528344671202</v>
      </c>
      <c r="AC47" s="100">
        <f>IF($H47=0,0,CHOOSE($H47,SUMPRODUCT($O48:$O$67*AC48:AC$67*($E48:$E$67=$D47)),IF(ISNUMBER(Data_2017!W47),100*ABS($G47-(Data_2017!W47-$K47)/$M47),0),IF(ISNUMBER(Data_2017!W47),100*ABS($G47-(Data_2017!W47-$K47)/$M47),0)))</f>
        <v>82.8571428571429</v>
      </c>
      <c r="AD47" s="100">
        <f>IF($H47=0,0,CHOOSE($H47,SUMPRODUCT($O48:$O$67*AD48:AD$67*($E48:$E$67=$D47)),IF(ISNUMBER(Data_2017!X47),100*ABS($G47-(Data_2017!X47-$K47)/$M47),0),IF(ISNUMBER(Data_2017!X47),100*ABS($G47-(Data_2017!X47-$K47)/$M47),0)))</f>
        <v>89.172335600907</v>
      </c>
      <c r="AE47" s="100">
        <f>IF($H47=0,0,CHOOSE($H47,SUMPRODUCT($O48:$O$67*AE48:AE$67*($E48:$E$67=$D47)),IF(ISNUMBER(Data_2017!Y47),100*ABS($G47-(Data_2017!Y47-$K47)/$M47),0),IF(ISNUMBER(Data_2017!Y47),100*ABS($G47-(Data_2017!Y47-$K47)/$M47),0)))</f>
        <v>74.4557823129252</v>
      </c>
      <c r="AF47" s="100">
        <f>IF($H47=0,0,CHOOSE($H47,SUMPRODUCT($O48:$O$67*AF48:AF$67*($E48:$E$67=$D47)),IF(ISNUMBER(Data_2017!Z47),100*ABS($G47-(Data_2017!Z47-$K47)/$M47),0),IF(ISNUMBER(Data_2017!Z47),100*ABS($G47-(Data_2017!Z47-$K47)/$M47),0)))</f>
        <v>88.6167800453515</v>
      </c>
      <c r="AG47" s="100">
        <f>IF($H47=0,0,CHOOSE($H47,SUMPRODUCT($O48:$O$67*AG48:AG$67*($E48:$E$67=$D47)),IF(ISNUMBER(Data_2017!AA47),100*ABS($G47-(Data_2017!AA47-$K47)/$M47),0),IF(ISNUMBER(Data_2017!AA47),100*ABS($G47-(Data_2017!AA47-$K47)/$M47),0)))</f>
        <v>91.734693877551</v>
      </c>
      <c r="AH47" s="100">
        <f>IF($H47=0,0,CHOOSE($H47,SUMPRODUCT($O48:$O$67*AH48:AH$67*($E48:$E$67=$D47)),IF(ISNUMBER(Data_2017!AB47),100*ABS($G47-(Data_2017!AB47-$K47)/$M47),0),IF(ISNUMBER(Data_2017!AB47),100*ABS($G47-(Data_2017!AB47-$K47)/$M47),0)))</f>
        <v>35</v>
      </c>
      <c r="AI47" s="100">
        <f>IF($H47=0,0,CHOOSE($H47,SUMPRODUCT($O48:$O$67*AI48:AI$67*($E48:$E$67=$D47)),IF(ISNUMBER(Data_2017!AC47),100*ABS($G47-(Data_2017!AC47-$K47)/$M47),0),IF(ISNUMBER(Data_2017!AC47),100*ABS($G47-(Data_2017!AC47-$K47)/$M47),0)))</f>
        <v>92.0181405895692</v>
      </c>
      <c r="AJ47" s="100">
        <f>IF($H47=0,0,CHOOSE($H47,SUMPRODUCT($O48:$O$67*AJ48:AJ$67*($E48:$E$67=$D47)),IF(ISNUMBER(Data_2017!AD47),100*ABS($G47-(Data_2017!AD47-$K47)/$M47),0),IF(ISNUMBER(Data_2017!AD47),100*ABS($G47-(Data_2017!AD47-$K47)/$M47),0)))</f>
        <v>71.7800453514739</v>
      </c>
      <c r="AK47" s="100">
        <f>IF($H47=0,0,CHOOSE($H47,SUMPRODUCT($O48:$O$67*AK48:AK$67*($E48:$E$67=$D47)),IF(ISNUMBER(Data_2017!AE47),100*ABS($G47-(Data_2017!AE47-$K47)/$M47),0),IF(ISNUMBER(Data_2017!AE47),100*ABS($G47-(Data_2017!AE47-$K47)/$M47),0)))</f>
        <v>54.9433106575964</v>
      </c>
      <c r="AL47" s="100">
        <f>IF($H47=0,0,CHOOSE($H47,SUMPRODUCT($O48:$O$67*AL48:AL$67*($E48:$E$67=$D47)),IF(ISNUMBER(Data_2017!AF47),100*ABS($G47-(Data_2017!AF47-$K47)/$M47),0),IF(ISNUMBER(Data_2017!AF47),100*ABS($G47-(Data_2017!AF47-$K47)/$M47),0)))</f>
        <v>42.8231292517007</v>
      </c>
      <c r="AM47" s="100">
        <f>IF($H47=0,0,CHOOSE($H47,SUMPRODUCT($O48:$O$67*AM48:AM$67*($E48:$E$67=$D47)),IF(ISNUMBER(Data_2017!AG47),100*ABS($G47-(Data_2017!AG47-$K47)/$M47),0),IF(ISNUMBER(Data_2017!AG47),100*ABS($G47-(Data_2017!AG47-$K47)/$M47),0)))</f>
        <v>61.0997732426304</v>
      </c>
      <c r="AN47" s="100">
        <f>IF($H47=0,0,CHOOSE($H47,SUMPRODUCT($O48:$O$67*AN48:AN$67*($E48:$E$67=$D47)),IF(ISNUMBER(Data_2017!AH47),100*ABS($G47-(Data_2017!AH47-$K47)/$M47),0),IF(ISNUMBER(Data_2017!AH47),100*ABS($G47-(Data_2017!AH47-$K47)/$M47),0)))</f>
        <v>37.0068027210884</v>
      </c>
      <c r="AO47" s="100">
        <f>IF($H47=0,0,CHOOSE($H47,SUMPRODUCT($O48:$O$67*AO48:AO$67*($E48:$E$67=$D47)),IF(ISNUMBER(Data_2017!AI47),100*ABS($G47-(Data_2017!AI47-$K47)/$M47),0),IF(ISNUMBER(Data_2017!AI47),100*ABS($G47-(Data_2017!AI47-$K47)/$M47),0)))</f>
        <v>84.4557823129252</v>
      </c>
      <c r="AP47" s="100">
        <f>IF($H47=0,0,CHOOSE($H47,SUMPRODUCT($O48:$O$67*AP48:AP$67*($E48:$E$67=$D47)),IF(ISNUMBER(Data_2017!AJ47),100*ABS($G47-(Data_2017!AJ47-$K47)/$M47),0),IF(ISNUMBER(Data_2017!AJ47),100*ABS($G47-(Data_2017!AJ47-$K47)/$M47),0)))</f>
        <v>69.4331065759637</v>
      </c>
      <c r="AQ47" s="100">
        <f>IF($H47=0,0,CHOOSE($H47,SUMPRODUCT($O48:$O$67*AQ48:AQ$67*($E48:$E$67=$D47)),IF(ISNUMBER(Data_2017!AK47),100*ABS($G47-(Data_2017!AK47-$K47)/$M47),0),IF(ISNUMBER(Data_2017!AK47),100*ABS($G47-(Data_2017!AK47-$K47)/$M47),0)))</f>
        <v>61.0997732426304</v>
      </c>
      <c r="AR47" s="100">
        <f>IF($H47=0,0,CHOOSE($H47,SUMPRODUCT($O48:$O$67*AR48:AR$67*($E48:$E$67=$D47)),IF(ISNUMBER(Data_2017!AL47),100*ABS($G47-(Data_2017!AL47-$K47)/$M47),0),IF(ISNUMBER(Data_2017!AL47),100*ABS($G47-(Data_2017!AL47-$K47)/$M47),0)))</f>
        <v>94.1609977324263</v>
      </c>
      <c r="AS47" s="100">
        <f>IF($H47=0,0,CHOOSE($H47,SUMPRODUCT($O48:$O$67*AS48:AS$67*($E48:$E$67=$D47)),IF(ISNUMBER(Data_2017!AM47),100*ABS($G47-(Data_2017!AM47-$K47)/$M47),0),IF(ISNUMBER(Data_2017!AM47),100*ABS($G47-(Data_2017!AM47-$K47)/$M47),0)))</f>
        <v>89.546485260771</v>
      </c>
      <c r="AT47" s="100">
        <f>IF($H47=0,0,CHOOSE($H47,SUMPRODUCT($O48:$O$67*AT48:AT$67*($E48:$E$67=$D47)),IF(ISNUMBER(Data_2017!AN47),100*ABS($G47-(Data_2017!AN47-$K47)/$M47),0),IF(ISNUMBER(Data_2017!AN47),100*ABS($G47-(Data_2017!AN47-$K47)/$M47),0)))</f>
        <v>90.952380952381</v>
      </c>
      <c r="AU47" s="100">
        <f>IF($H47=0,0,CHOOSE($H47,SUMPRODUCT($O48:$O$67*AU48:AU$67*($E48:$E$67=$D47)),IF(ISNUMBER(Data_2017!AO47),100*ABS($G47-(Data_2017!AO47-$K47)/$M47),0),IF(ISNUMBER(Data_2017!AO47),100*ABS($G47-(Data_2017!AO47-$K47)/$M47),0)))</f>
        <v>75.9637188208617</v>
      </c>
      <c r="AV47" s="100">
        <f>IF($H47=0,0,CHOOSE($H47,SUMPRODUCT($O48:$O$67*AV48:AV$67*($E48:$E$67=$D47)),IF(ISNUMBER(Data_2017!AP47),100*ABS($G47-(Data_2017!AP47-$K47)/$M47),0),IF(ISNUMBER(Data_2017!AP47),100*ABS($G47-(Data_2017!AP47-$K47)/$M47),0)))</f>
        <v>95.1700680272109</v>
      </c>
      <c r="AW47" s="100">
        <f>IF($H47=0,0,CHOOSE($H47,SUMPRODUCT($O48:$O$67*AW48:AW$67*($E48:$E$67=$D47)),IF(ISNUMBER(Data_2017!AQ47),100*ABS($G47-(Data_2017!AQ47-$K47)/$M47),0),IF(ISNUMBER(Data_2017!AQ47),100*ABS($G47-(Data_2017!AQ47-$K47)/$M47),0)))</f>
        <v>78.0045351473923</v>
      </c>
      <c r="AX47" s="100">
        <f>IF($H47=0,0,CHOOSE($H47,SUMPRODUCT($O48:$O$67*AX48:AX$67*($E48:$E$67=$D47)),IF(ISNUMBER(Data_2017!AR47),100*ABS($G47-(Data_2017!AR47-$K47)/$M47),0),IF(ISNUMBER(Data_2017!AR47),100*ABS($G47-(Data_2017!AR47-$K47)/$M47),0)))</f>
        <v>80.1133786848073</v>
      </c>
      <c r="AY47" s="100">
        <f>IF($H47=0,0,CHOOSE($H47,SUMPRODUCT($O48:$O$67*AY48:AY$67*($E48:$E$67=$D47)),IF(ISNUMBER(Data_2017!AS47),100*ABS($G47-(Data_2017!AS47-$K47)/$M47),0),IF(ISNUMBER(Data_2017!AS47),100*ABS($G47-(Data_2017!AS47-$K47)/$M47),0)))</f>
        <v>56.9614512471655</v>
      </c>
      <c r="AZ47" s="100">
        <f>IF($H47=0,0,CHOOSE($H47,SUMPRODUCT($O48:$O$67*AZ48:AZ$67*($E48:$E$67=$D47)),IF(ISNUMBER(Data_2017!AT47),100*ABS($G47-(Data_2017!AT47-$K47)/$M47),0),IF(ISNUMBER(Data_2017!AT47),100*ABS($G47-(Data_2017!AT47-$K47)/$M47),0)))</f>
        <v>89.172335600907</v>
      </c>
      <c r="BA47" s="100">
        <f>IF($H47=0,0,CHOOSE($H47,SUMPRODUCT($O48:$O$67*BA48:BA$67*($E48:$E$67=$D47)),IF(ISNUMBER(Data_2017!AU47),100*ABS($G47-(Data_2017!AU47-$K47)/$M47),0),IF(ISNUMBER(Data_2017!AU47),100*ABS($G47-(Data_2017!AU47-$K47)/$M47),0)))</f>
        <v>87.8458049886622</v>
      </c>
      <c r="BB47" s="100">
        <f>IF($H47=0,0,CHOOSE($H47,SUMPRODUCT($O48:$O$67*BB48:BB$67*($E48:$E$67=$D47)),IF(ISNUMBER(Data_2017!AV47),100*ABS($G47-(Data_2017!AV47-$K47)/$M47),0),IF(ISNUMBER(Data_2017!AV47),100*ABS($G47-(Data_2017!AV47-$K47)/$M47),0)))</f>
        <v>95.5895691609977</v>
      </c>
      <c r="BC47" s="100">
        <f>IF($H47=0,0,CHOOSE($H47,SUMPRODUCT($O48:$O$67*BC48:BC$67*($E48:$E$67=$D47)),IF(ISNUMBER(Data_2017!AW47),100*ABS($G47-(Data_2017!AW47-$K47)/$M47),0),IF(ISNUMBER(Data_2017!AW47),100*ABS($G47-(Data_2017!AW47-$K47)/$M47),0)))</f>
        <v>79.920634920635</v>
      </c>
      <c r="BD47" s="100">
        <f>IF($H47=0,0,CHOOSE($H47,SUMPRODUCT($O48:$O$67*BD48:BD$67*($E48:$E$67=$D47)),IF(ISNUMBER(Data_2017!AX47),100*ABS($G47-(Data_2017!AX47-$K47)/$M47),0),IF(ISNUMBER(Data_2017!AX47),100*ABS($G47-(Data_2017!AX47-$K47)/$M47),0)))</f>
        <v>48.7528344671202</v>
      </c>
      <c r="BE47" s="100">
        <f>IF($H47=0,0,CHOOSE($H47,SUMPRODUCT($O48:$O$67*BE48:BE$67*($E48:$E$67=$D47)),IF(ISNUMBER(Data_2017!AY47),100*ABS($G47-(Data_2017!AY47-$K47)/$M47),0),IF(ISNUMBER(Data_2017!AY47),100*ABS($G47-(Data_2017!AY47-$K47)/$M47),0)))</f>
        <v>80.3401360544218</v>
      </c>
      <c r="BF47" s="100">
        <f>IF($H47=0,0,CHOOSE($H47,SUMPRODUCT($O48:$O$67*BF48:BF$67*($E48:$E$67=$D47)),IF(ISNUMBER(Data_2017!AZ47),100*ABS($G47-(Data_2017!AZ47-$K47)/$M47),0),IF(ISNUMBER(Data_2017!AZ47),100*ABS($G47-(Data_2017!AZ47-$K47)/$M47),0)))</f>
        <v>42.8231292517007</v>
      </c>
      <c r="BG47" s="100">
        <f>IF($H47=0,0,CHOOSE($H47,SUMPRODUCT($O48:$O$67*BG48:BG$67*($E48:$E$67=$D47)),IF(ISNUMBER(Data_2017!BA47),100*ABS($G47-(Data_2017!BA47-$K47)/$M47),0),IF(ISNUMBER(Data_2017!BA47),100*ABS($G47-(Data_2017!BA47-$K47)/$M47),0)))</f>
        <v>80.1133786848073</v>
      </c>
      <c r="BH47" s="100">
        <f>IF($H47=0,0,CHOOSE($H47,SUMPRODUCT($O48:$O$67*BH48:BH$67*($E48:$E$67=$D47)),IF(ISNUMBER(Data_2017!BB47),100*ABS($G47-(Data_2017!BB47-$K47)/$M47),0),IF(ISNUMBER(Data_2017!BB47),100*ABS($G47-(Data_2017!BB47-$K47)/$M47),0)))</f>
        <v>89.546485260771</v>
      </c>
      <c r="BI47" s="100">
        <f>IF($H47=0,0,CHOOSE($H47,SUMPRODUCT($O48:$O$67*BI48:BI$67*($E48:$E$67=$D47)),IF(ISNUMBER(Data_2017!BC47),100*ABS($G47-(Data_2017!BC47-$K47)/$M47),0),IF(ISNUMBER(Data_2017!BC47),100*ABS($G47-(Data_2017!BC47-$K47)/$M47),0)))</f>
        <v>66.1904761904762</v>
      </c>
      <c r="BJ47" s="100">
        <f>IF($H47=0,0,CHOOSE($H47,SUMPRODUCT($O48:$O$67*BJ48:BJ$67*($E48:$E$67=$D47)),IF(ISNUMBER(Data_2017!BD47),100*ABS($G47-(Data_2017!BD47-$K47)/$M47),0),IF(ISNUMBER(Data_2017!BD47),100*ABS($G47-(Data_2017!BD47-$K47)/$M47),0)))</f>
        <v>80.3401360544218</v>
      </c>
      <c r="BK47" s="100">
        <f>IF($H47=0,0,CHOOSE($H47,SUMPRODUCT($O48:$O$67*BK48:BK$67*($E48:$E$67=$D47)),IF(ISNUMBER(Data_2017!BE47),100*ABS($G47-(Data_2017!BE47-$K47)/$M47),0),IF(ISNUMBER(Data_2017!BE47),100*ABS($G47-(Data_2017!BE47-$K47)/$M47),0)))</f>
        <v>90.1700680272109</v>
      </c>
      <c r="BL47" s="100">
        <f>IF($H47=0,0,CHOOSE($H47,SUMPRODUCT($O48:$O$67*BL48:BL$67*($E48:$E$67=$D47)),IF(ISNUMBER(Data_2017!BF47),100*ABS($G47-(Data_2017!BF47-$K47)/$M47),0),IF(ISNUMBER(Data_2017!BF47),100*ABS($G47-(Data_2017!BF47-$K47)/$M47),0)))</f>
        <v>85</v>
      </c>
      <c r="BM47" s="100">
        <f>IF($H47=0,0,CHOOSE($H47,SUMPRODUCT($O48:$O$67*BM48:BM$67*($E48:$E$67=$D47)),IF(ISNUMBER(Data_2017!BG47),100*ABS($G47-(Data_2017!BG47-$K47)/$M47),0),IF(ISNUMBER(Data_2017!BG47),100*ABS($G47-(Data_2017!BG47-$K47)/$M47),0)))</f>
        <v>94.875283446712</v>
      </c>
      <c r="BN47" s="100">
        <f>IF($H47=0,0,CHOOSE($H47,SUMPRODUCT($O48:$O$67*BN48:BN$67*($E48:$E$67=$D47)),IF(ISNUMBER(Data_2017!BH47),100*ABS($G47-(Data_2017!BH47-$K47)/$M47),0),IF(ISNUMBER(Data_2017!BH47),100*ABS($G47-(Data_2017!BH47-$K47)/$M47),0)))</f>
        <v>84.5918367346939</v>
      </c>
      <c r="BO47" s="100">
        <f>IF($H47=0,0,CHOOSE($H47,SUMPRODUCT($O48:$O$67*BO48:BO$67*($E48:$E$67=$D47)),IF(ISNUMBER(Data_2017!BI47),100*ABS($G47-(Data_2017!BI47-$K47)/$M47),0),IF(ISNUMBER(Data_2017!BI47),100*ABS($G47-(Data_2017!BI47-$K47)/$M47),0)))</f>
        <v>95.1700680272109</v>
      </c>
      <c r="BP47" s="100">
        <f>IF($H47=0,0,CHOOSE($H47,SUMPRODUCT($O48:$O$67*BP48:BP$67*($E48:$E$67=$D47)),IF(ISNUMBER(Data_2017!BJ47),100*ABS($G47-(Data_2017!BJ47-$K47)/$M47),0),IF(ISNUMBER(Data_2017!BJ47),100*ABS($G47-(Data_2017!BJ47-$K47)/$M47),0)))</f>
        <v>93.8662131519275</v>
      </c>
      <c r="BQ47" s="100">
        <f>IF($H47=0,0,CHOOSE($H47,SUMPRODUCT($O48:$O$67*BQ48:BQ$67*($E48:$E$67=$D47)),IF(ISNUMBER(Data_2017!BK47),100*ABS($G47-(Data_2017!BK47-$K47)/$M47),0),IF(ISNUMBER(Data_2017!BK47),100*ABS($G47-(Data_2017!BK47-$K47)/$M47),0)))</f>
        <v>47.2562358276644</v>
      </c>
      <c r="BR47" s="100">
        <f>IF($H47=0,0,CHOOSE($H47,SUMPRODUCT($O48:$O$67*BR48:BR$67*($E48:$E$67=$D47)),IF(ISNUMBER(Data_2017!BL47),100*ABS($G47-(Data_2017!BL47-$K47)/$M47),0),IF(ISNUMBER(Data_2017!BL47),100*ABS($G47-(Data_2017!BL47-$K47)/$M47),0)))</f>
        <v>95.5895691609977</v>
      </c>
      <c r="BS47" s="100">
        <f>IF($H47=0,0,CHOOSE($H47,SUMPRODUCT($O48:$O$67*BS48:BS$67*($E48:$E$67=$D47)),IF(ISNUMBER(Data_2017!BM47),100*ABS($G47-(Data_2017!BM47-$K47)/$M47),0),IF(ISNUMBER(Data_2017!BM47),100*ABS($G47-(Data_2017!BM47-$K47)/$M47),0)))</f>
        <v>93.6167800453515</v>
      </c>
      <c r="BT47" s="100">
        <f>IF($H47=0,0,CHOOSE($H47,SUMPRODUCT($O48:$O$67*BT48:BT$67*($E48:$E$67=$D47)),IF(ISNUMBER(Data_2017!BN47),100*ABS($G47-(Data_2017!BN47-$K47)/$M47),0),IF(ISNUMBER(Data_2017!BN47),100*ABS($G47-(Data_2017!BN47-$K47)/$M47),0)))</f>
        <v>93.7414965986395</v>
      </c>
      <c r="BU47" s="100">
        <f>IF($H47=0,0,CHOOSE($H47,SUMPRODUCT($O48:$O$67*BU48:BU$67*($E48:$E$67=$D47)),IF(ISNUMBER(Data_2017!BO47),100*ABS($G47-(Data_2017!BO47-$K47)/$M47),0),IF(ISNUMBER(Data_2017!BO47),100*ABS($G47-(Data_2017!BO47-$K47)/$M47),0)))</f>
        <v>94.4557823129252</v>
      </c>
      <c r="BV47" s="100">
        <f>IF($H47=0,0,CHOOSE($H47,SUMPRODUCT($O48:$O$67*BV48:BV$67*($E48:$E$67=$D47)),IF(ISNUMBER(Data_2017!BP47),100*ABS($G47-(Data_2017!BP47-$K47)/$M47),0),IF(ISNUMBER(Data_2017!BP47),100*ABS($G47-(Data_2017!BP47-$K47)/$M47),0)))</f>
        <v>38.3219954648526</v>
      </c>
      <c r="BW47" s="100">
        <f>IF($H47=0,0,CHOOSE($H47,SUMPRODUCT($O48:$O$67*BW48:BW$67*($E48:$E$67=$D47)),IF(ISNUMBER(Data_2017!BQ47),100*ABS($G47-(Data_2017!BQ47-$K47)/$M47),0),IF(ISNUMBER(Data_2017!BQ47),100*ABS($G47-(Data_2017!BQ47-$K47)/$M47),0)))</f>
        <v>78.3560090702948</v>
      </c>
      <c r="BX47" s="100">
        <f>IF($H47=0,0,CHOOSE($H47,SUMPRODUCT($O48:$O$67*BX48:BX$67*($E48:$E$67=$D47)),IF(ISNUMBER(Data_2017!BR47),100*ABS($G47-(Data_2017!BR47-$K47)/$M47),0),IF(ISNUMBER(Data_2017!BR47),100*ABS($G47-(Data_2017!BR47-$K47)/$M47),0)))</f>
        <v>95.5895691609977</v>
      </c>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row>
    <row r="48" s="69" customFormat="1" ht="24.95" customHeight="1" spans="1:130">
      <c r="A48" s="92"/>
      <c r="B48" s="92">
        <f>tblIndicators!A44</f>
        <v>43</v>
      </c>
      <c r="C48" s="92">
        <f>tblIndicators!B44</f>
        <v>0</v>
      </c>
      <c r="D48" s="92" t="str">
        <f>tblIndicators!D44</f>
        <v>PESE4.1.1</v>
      </c>
      <c r="E48" s="92" t="str">
        <f>tblIndicators!E44</f>
        <v>PESE4.1</v>
      </c>
      <c r="F48" s="92">
        <f>tblIndicators!F44</f>
        <v>3</v>
      </c>
      <c r="G48" s="92">
        <f>tblIndicators!Y44</f>
        <v>0</v>
      </c>
      <c r="H48" s="92">
        <f>tblIndicators!Z44</f>
        <v>3</v>
      </c>
      <c r="I48" s="104">
        <f>tblIndicators!AA44</f>
        <v>0</v>
      </c>
      <c r="J48" s="92">
        <f>tblIndicators!AB44</f>
        <v>1</v>
      </c>
      <c r="K48" s="89">
        <f>IF(uxb_works!$B$66=1,CHOOSE(H48,"-",MIN(Data_2017!J48:BR48),I48),CHOOSE(H48,"-",MIN(Data_2017!J48:BQ48),I48))</f>
        <v>0</v>
      </c>
      <c r="L48" s="97">
        <f>IF(uxb_works!$B$66=1,CHOOSE(H48,"-",MAX(Data_2017!J48:BR48),J48),CHOOSE(H48,"-",MAX(Data_2017!J48:BQ48),J48))</f>
        <v>1</v>
      </c>
      <c r="M48" s="92">
        <f t="shared" si="1"/>
        <v>1</v>
      </c>
      <c r="N48" s="105" t="str">
        <f>REPT(" ",F48)&amp;tblIndicators!AE44</f>
        <v>   4.1.1) Level of police engagement</v>
      </c>
      <c r="O48" s="106">
        <f>tblIndicators!AD44</f>
        <v>0.142857142857143</v>
      </c>
      <c r="P48" s="100">
        <f>IF($H48=0,0,CHOOSE($H48,SUMPRODUCT($O49:$O$67*P49:P$67*($E49:$E$67=$D48)),IF(ISNUMBER(Data_2017!J48),100*ABS($G48-(Data_2017!J48-$K48)/$M48),0),IF(ISNUMBER(Data_2017!J48),100*ABS($G48-(Data_2017!J48-$K48)/$M48),0)))</f>
        <v>100</v>
      </c>
      <c r="Q48" s="100">
        <f>IF($H48=0,0,CHOOSE($H48,SUMPRODUCT($O49:$O$67*Q49:Q$67*($E49:$E$67=$D48)),IF(ISNUMBER(Data_2017!K48),100*ABS($G48-(Data_2017!K48-$K48)/$M48),0),IF(ISNUMBER(Data_2017!K48),100*ABS($G48-(Data_2017!K48-$K48)/$M48),0)))</f>
        <v>100</v>
      </c>
      <c r="R48" s="100">
        <f>IF($H48=0,0,CHOOSE($H48,SUMPRODUCT($O49:$O$67*R49:R$67*($E49:$E$67=$D48)),IF(ISNUMBER(Data_2017!L48),100*ABS($G48-(Data_2017!L48-$K48)/$M48),0),IF(ISNUMBER(Data_2017!L48),100*ABS($G48-(Data_2017!L48-$K48)/$M48),0)))</f>
        <v>50</v>
      </c>
      <c r="S48" s="100">
        <f>IF($H48=0,0,CHOOSE($H48,SUMPRODUCT($O49:$O$67*S49:S$67*($E49:$E$67=$D48)),IF(ISNUMBER(Data_2017!M48),100*ABS($G48-(Data_2017!M48-$K48)/$M48),0),IF(ISNUMBER(Data_2017!M48),100*ABS($G48-(Data_2017!M48-$K48)/$M48),0)))</f>
        <v>50</v>
      </c>
      <c r="T48" s="100">
        <f>IF($H48=0,0,CHOOSE($H48,SUMPRODUCT($O49:$O$67*T49:T$67*($E49:$E$67=$D48)),IF(ISNUMBER(Data_2017!N48),100*ABS($G48-(Data_2017!N48-$K48)/$M48),0),IF(ISNUMBER(Data_2017!N48),100*ABS($G48-(Data_2017!N48-$K48)/$M48),0)))</f>
        <v>100</v>
      </c>
      <c r="U48" s="100">
        <f>IF($H48=0,0,CHOOSE($H48,SUMPRODUCT($O49:$O$67*U49:U$67*($E49:$E$67=$D48)),IF(ISNUMBER(Data_2017!O48),100*ABS($G48-(Data_2017!O48-$K48)/$M48),0),IF(ISNUMBER(Data_2017!O48),100*ABS($G48-(Data_2017!O48-$K48)/$M48),0)))</f>
        <v>50</v>
      </c>
      <c r="V48" s="100">
        <f>IF($H48=0,0,CHOOSE($H48,SUMPRODUCT($O49:$O$67*V49:V$67*($E49:$E$67=$D48)),IF(ISNUMBER(Data_2017!P48),100*ABS($G48-(Data_2017!P48-$K48)/$M48),0),IF(ISNUMBER(Data_2017!P48),100*ABS($G48-(Data_2017!P48-$K48)/$M48),0)))</f>
        <v>50</v>
      </c>
      <c r="W48" s="100">
        <f>IF($H48=0,0,CHOOSE($H48,SUMPRODUCT($O49:$O$67*W49:W$67*($E49:$E$67=$D48)),IF(ISNUMBER(Data_2017!Q48),100*ABS($G48-(Data_2017!Q48-$K48)/$M48),0),IF(ISNUMBER(Data_2017!Q48),100*ABS($G48-(Data_2017!Q48-$K48)/$M48),0)))</f>
        <v>50</v>
      </c>
      <c r="X48" s="100">
        <f>IF($H48=0,0,CHOOSE($H48,SUMPRODUCT($O49:$O$67*X49:X$67*($E49:$E$67=$D48)),IF(ISNUMBER(Data_2017!R48),100*ABS($G48-(Data_2017!R48-$K48)/$M48),0),IF(ISNUMBER(Data_2017!R48),100*ABS($G48-(Data_2017!R48-$K48)/$M48),0)))</f>
        <v>50</v>
      </c>
      <c r="Y48" s="100">
        <f>IF($H48=0,0,CHOOSE($H48,SUMPRODUCT($O49:$O$67*Y49:Y$67*($E49:$E$67=$D48)),IF(ISNUMBER(Data_2017!S48),100*ABS($G48-(Data_2017!S48-$K48)/$M48),0),IF(ISNUMBER(Data_2017!S48),100*ABS($G48-(Data_2017!S48-$K48)/$M48),0)))</f>
        <v>50</v>
      </c>
      <c r="Z48" s="100">
        <f>IF($H48=0,0,CHOOSE($H48,SUMPRODUCT($O49:$O$67*Z49:Z$67*($E49:$E$67=$D48)),IF(ISNUMBER(Data_2017!T48),100*ABS($G48-(Data_2017!T48-$K48)/$M48),0),IF(ISNUMBER(Data_2017!T48),100*ABS($G48-(Data_2017!T48-$K48)/$M48),0)))</f>
        <v>50</v>
      </c>
      <c r="AA48" s="100">
        <f>IF($H48=0,0,CHOOSE($H48,SUMPRODUCT($O49:$O$67*AA49:AA$67*($E49:$E$67=$D48)),IF(ISNUMBER(Data_2017!U48),100*ABS($G48-(Data_2017!U48-$K48)/$M48),0),IF(ISNUMBER(Data_2017!U48),100*ABS($G48-(Data_2017!U48-$K48)/$M48),0)))</f>
        <v>100</v>
      </c>
      <c r="AB48" s="100">
        <f>IF($H48=0,0,CHOOSE($H48,SUMPRODUCT($O49:$O$67*AB49:AB$67*($E49:$E$67=$D48)),IF(ISNUMBER(Data_2017!V48),100*ABS($G48-(Data_2017!V48-$K48)/$M48),0),IF(ISNUMBER(Data_2017!V48),100*ABS($G48-(Data_2017!V48-$K48)/$M48),0)))</f>
        <v>100</v>
      </c>
      <c r="AC48" s="100">
        <f>IF($H48=0,0,CHOOSE($H48,SUMPRODUCT($O49:$O$67*AC49:AC$67*($E49:$E$67=$D48)),IF(ISNUMBER(Data_2017!W48),100*ABS($G48-(Data_2017!W48-$K48)/$M48),0),IF(ISNUMBER(Data_2017!W48),100*ABS($G48-(Data_2017!W48-$K48)/$M48),0)))</f>
        <v>100</v>
      </c>
      <c r="AD48" s="100">
        <f>IF($H48=0,0,CHOOSE($H48,SUMPRODUCT($O49:$O$67*AD49:AD$67*($E49:$E$67=$D48)),IF(ISNUMBER(Data_2017!X48),100*ABS($G48-(Data_2017!X48-$K48)/$M48),0),IF(ISNUMBER(Data_2017!X48),100*ABS($G48-(Data_2017!X48-$K48)/$M48),0)))</f>
        <v>100</v>
      </c>
      <c r="AE48" s="100">
        <f>IF($H48=0,0,CHOOSE($H48,SUMPRODUCT($O49:$O$67*AE49:AE$67*($E49:$E$67=$D48)),IF(ISNUMBER(Data_2017!Y48),100*ABS($G48-(Data_2017!Y48-$K48)/$M48),0),IF(ISNUMBER(Data_2017!Y48),100*ABS($G48-(Data_2017!Y48-$K48)/$M48),0)))</f>
        <v>100</v>
      </c>
      <c r="AF48" s="100">
        <f>IF($H48=0,0,CHOOSE($H48,SUMPRODUCT($O49:$O$67*AF49:AF$67*($E49:$E$67=$D48)),IF(ISNUMBER(Data_2017!Z48),100*ABS($G48-(Data_2017!Z48-$K48)/$M48),0),IF(ISNUMBER(Data_2017!Z48),100*ABS($G48-(Data_2017!Z48-$K48)/$M48),0)))</f>
        <v>100</v>
      </c>
      <c r="AG48" s="100">
        <f>IF($H48=0,0,CHOOSE($H48,SUMPRODUCT($O49:$O$67*AG49:AG$67*($E49:$E$67=$D48)),IF(ISNUMBER(Data_2017!AA48),100*ABS($G48-(Data_2017!AA48-$K48)/$M48),0),IF(ISNUMBER(Data_2017!AA48),100*ABS($G48-(Data_2017!AA48-$K48)/$M48),0)))</f>
        <v>100</v>
      </c>
      <c r="AH48" s="100">
        <f>IF($H48=0,0,CHOOSE($H48,SUMPRODUCT($O49:$O$67*AH49:AH$67*($E49:$E$67=$D48)),IF(ISNUMBER(Data_2017!AB48),100*ABS($G48-(Data_2017!AB48-$K48)/$M48),0),IF(ISNUMBER(Data_2017!AB48),100*ABS($G48-(Data_2017!AB48-$K48)/$M48),0)))</f>
        <v>0</v>
      </c>
      <c r="AI48" s="100">
        <f>IF($H48=0,0,CHOOSE($H48,SUMPRODUCT($O49:$O$67*AI49:AI$67*($E49:$E$67=$D48)),IF(ISNUMBER(Data_2017!AC48),100*ABS($G48-(Data_2017!AC48-$K48)/$M48),0),IF(ISNUMBER(Data_2017!AC48),100*ABS($G48-(Data_2017!AC48-$K48)/$M48),0)))</f>
        <v>100</v>
      </c>
      <c r="AJ48" s="100">
        <f>IF($H48=0,0,CHOOSE($H48,SUMPRODUCT($O49:$O$67*AJ49:AJ$67*($E49:$E$67=$D48)),IF(ISNUMBER(Data_2017!AD48),100*ABS($G48-(Data_2017!AD48-$K48)/$M48),0),IF(ISNUMBER(Data_2017!AD48),100*ABS($G48-(Data_2017!AD48-$K48)/$M48),0)))</f>
        <v>50</v>
      </c>
      <c r="AK48" s="100">
        <f>IF($H48=0,0,CHOOSE($H48,SUMPRODUCT($O49:$O$67*AK49:AK$67*($E49:$E$67=$D48)),IF(ISNUMBER(Data_2017!AE48),100*ABS($G48-(Data_2017!AE48-$K48)/$M48),0),IF(ISNUMBER(Data_2017!AE48),100*ABS($G48-(Data_2017!AE48-$K48)/$M48),0)))</f>
        <v>50</v>
      </c>
      <c r="AL48" s="100">
        <f>IF($H48=0,0,CHOOSE($H48,SUMPRODUCT($O49:$O$67*AL49:AL$67*($E49:$E$67=$D48)),IF(ISNUMBER(Data_2017!AF48),100*ABS($G48-(Data_2017!AF48-$K48)/$M48),0),IF(ISNUMBER(Data_2017!AF48),100*ABS($G48-(Data_2017!AF48-$K48)/$M48),0)))</f>
        <v>50</v>
      </c>
      <c r="AM48" s="100">
        <f>IF($H48=0,0,CHOOSE($H48,SUMPRODUCT($O49:$O$67*AM49:AM$67*($E49:$E$67=$D48)),IF(ISNUMBER(Data_2017!AG48),100*ABS($G48-(Data_2017!AG48-$K48)/$M48),0),IF(ISNUMBER(Data_2017!AG48),100*ABS($G48-(Data_2017!AG48-$K48)/$M48),0)))</f>
        <v>50</v>
      </c>
      <c r="AN48" s="100">
        <f>IF($H48=0,0,CHOOSE($H48,SUMPRODUCT($O49:$O$67*AN49:AN$67*($E49:$E$67=$D48)),IF(ISNUMBER(Data_2017!AH48),100*ABS($G48-(Data_2017!AH48-$K48)/$M48),0),IF(ISNUMBER(Data_2017!AH48),100*ABS($G48-(Data_2017!AH48-$K48)/$M48),0)))</f>
        <v>100</v>
      </c>
      <c r="AO48" s="100">
        <f>IF($H48=0,0,CHOOSE($H48,SUMPRODUCT($O49:$O$67*AO49:AO$67*($E49:$E$67=$D48)),IF(ISNUMBER(Data_2017!AI48),100*ABS($G48-(Data_2017!AI48-$K48)/$M48),0),IF(ISNUMBER(Data_2017!AI48),100*ABS($G48-(Data_2017!AI48-$K48)/$M48),0)))</f>
        <v>50</v>
      </c>
      <c r="AP48" s="100">
        <f>IF($H48=0,0,CHOOSE($H48,SUMPRODUCT($O49:$O$67*AP49:AP$67*($E49:$E$67=$D48)),IF(ISNUMBER(Data_2017!AJ48),100*ABS($G48-(Data_2017!AJ48-$K48)/$M48),0),IF(ISNUMBER(Data_2017!AJ48),100*ABS($G48-(Data_2017!AJ48-$K48)/$M48),0)))</f>
        <v>50</v>
      </c>
      <c r="AQ48" s="100">
        <f>IF($H48=0,0,CHOOSE($H48,SUMPRODUCT($O49:$O$67*AQ49:AQ$67*($E49:$E$67=$D48)),IF(ISNUMBER(Data_2017!AK48),100*ABS($G48-(Data_2017!AK48-$K48)/$M48),0),IF(ISNUMBER(Data_2017!AK48),100*ABS($G48-(Data_2017!AK48-$K48)/$M48),0)))</f>
        <v>50</v>
      </c>
      <c r="AR48" s="100">
        <f>IF($H48=0,0,CHOOSE($H48,SUMPRODUCT($O49:$O$67*AR49:AR$67*($E49:$E$67=$D48)),IF(ISNUMBER(Data_2017!AL48),100*ABS($G48-(Data_2017!AL48-$K48)/$M48),0),IF(ISNUMBER(Data_2017!AL48),100*ABS($G48-(Data_2017!AL48-$K48)/$M48),0)))</f>
        <v>100</v>
      </c>
      <c r="AS48" s="100">
        <f>IF($H48=0,0,CHOOSE($H48,SUMPRODUCT($O49:$O$67*AS49:AS$67*($E49:$E$67=$D48)),IF(ISNUMBER(Data_2017!AM48),100*ABS($G48-(Data_2017!AM48-$K48)/$M48),0),IF(ISNUMBER(Data_2017!AM48),100*ABS($G48-(Data_2017!AM48-$K48)/$M48),0)))</f>
        <v>100</v>
      </c>
      <c r="AT48" s="100">
        <f>IF($H48=0,0,CHOOSE($H48,SUMPRODUCT($O49:$O$67*AT49:AT$67*($E49:$E$67=$D48)),IF(ISNUMBER(Data_2017!AN48),100*ABS($G48-(Data_2017!AN48-$K48)/$M48),0),IF(ISNUMBER(Data_2017!AN48),100*ABS($G48-(Data_2017!AN48-$K48)/$M48),0)))</f>
        <v>100</v>
      </c>
      <c r="AU48" s="100">
        <f>IF($H48=0,0,CHOOSE($H48,SUMPRODUCT($O49:$O$67*AU49:AU$67*($E49:$E$67=$D48)),IF(ISNUMBER(Data_2017!AO48),100*ABS($G48-(Data_2017!AO48-$K48)/$M48),0),IF(ISNUMBER(Data_2017!AO48),100*ABS($G48-(Data_2017!AO48-$K48)/$M48),0)))</f>
        <v>50</v>
      </c>
      <c r="AV48" s="100">
        <f>IF($H48=0,0,CHOOSE($H48,SUMPRODUCT($O49:$O$67*AV49:AV$67*($E49:$E$67=$D48)),IF(ISNUMBER(Data_2017!AP48),100*ABS($G48-(Data_2017!AP48-$K48)/$M48),0),IF(ISNUMBER(Data_2017!AP48),100*ABS($G48-(Data_2017!AP48-$K48)/$M48),0)))</f>
        <v>100</v>
      </c>
      <c r="AW48" s="100">
        <f>IF($H48=0,0,CHOOSE($H48,SUMPRODUCT($O49:$O$67*AW49:AW$67*($E49:$E$67=$D48)),IF(ISNUMBER(Data_2017!AQ48),100*ABS($G48-(Data_2017!AQ48-$K48)/$M48),0),IF(ISNUMBER(Data_2017!AQ48),100*ABS($G48-(Data_2017!AQ48-$K48)/$M48),0)))</f>
        <v>50</v>
      </c>
      <c r="AX48" s="100">
        <f>IF($H48=0,0,CHOOSE($H48,SUMPRODUCT($O49:$O$67*AX49:AX$67*($E49:$E$67=$D48)),IF(ISNUMBER(Data_2017!AR48),100*ABS($G48-(Data_2017!AR48-$K48)/$M48),0),IF(ISNUMBER(Data_2017!AR48),100*ABS($G48-(Data_2017!AR48-$K48)/$M48),0)))</f>
        <v>50</v>
      </c>
      <c r="AY48" s="100">
        <f>IF($H48=0,0,CHOOSE($H48,SUMPRODUCT($O49:$O$67*AY49:AY$67*($E49:$E$67=$D48)),IF(ISNUMBER(Data_2017!AS48),100*ABS($G48-(Data_2017!AS48-$K48)/$M48),0),IF(ISNUMBER(Data_2017!AS48),100*ABS($G48-(Data_2017!AS48-$K48)/$M48),0)))</f>
        <v>0</v>
      </c>
      <c r="AZ48" s="100">
        <f>IF($H48=0,0,CHOOSE($H48,SUMPRODUCT($O49:$O$67*AZ49:AZ$67*($E49:$E$67=$D48)),IF(ISNUMBER(Data_2017!AT48),100*ABS($G48-(Data_2017!AT48-$K48)/$M48),0),IF(ISNUMBER(Data_2017!AT48),100*ABS($G48-(Data_2017!AT48-$K48)/$M48),0)))</f>
        <v>100</v>
      </c>
      <c r="BA48" s="100">
        <f>IF($H48=0,0,CHOOSE($H48,SUMPRODUCT($O49:$O$67*BA49:BA$67*($E49:$E$67=$D48)),IF(ISNUMBER(Data_2017!AU48),100*ABS($G48-(Data_2017!AU48-$K48)/$M48),0),IF(ISNUMBER(Data_2017!AU48),100*ABS($G48-(Data_2017!AU48-$K48)/$M48),0)))</f>
        <v>100</v>
      </c>
      <c r="BB48" s="100">
        <f>IF($H48=0,0,CHOOSE($H48,SUMPRODUCT($O49:$O$67*BB49:BB$67*($E49:$E$67=$D48)),IF(ISNUMBER(Data_2017!AV48),100*ABS($G48-(Data_2017!AV48-$K48)/$M48),0),IF(ISNUMBER(Data_2017!AV48),100*ABS($G48-(Data_2017!AV48-$K48)/$M48),0)))</f>
        <v>100</v>
      </c>
      <c r="BC48" s="100">
        <f>IF($H48=0,0,CHOOSE($H48,SUMPRODUCT($O49:$O$67*BC49:BC$67*($E49:$E$67=$D48)),IF(ISNUMBER(Data_2017!AW48),100*ABS($G48-(Data_2017!AW48-$K48)/$M48),0),IF(ISNUMBER(Data_2017!AW48),100*ABS($G48-(Data_2017!AW48-$K48)/$M48),0)))</f>
        <v>50</v>
      </c>
      <c r="BD48" s="100">
        <f>IF($H48=0,0,CHOOSE($H48,SUMPRODUCT($O49:$O$67*BD49:BD$67*($E49:$E$67=$D48)),IF(ISNUMBER(Data_2017!AX48),100*ABS($G48-(Data_2017!AX48-$K48)/$M48),0),IF(ISNUMBER(Data_2017!AX48),100*ABS($G48-(Data_2017!AX48-$K48)/$M48),0)))</f>
        <v>50</v>
      </c>
      <c r="BE48" s="100">
        <f>IF($H48=0,0,CHOOSE($H48,SUMPRODUCT($O49:$O$67*BE49:BE$67*($E49:$E$67=$D48)),IF(ISNUMBER(Data_2017!AY48),100*ABS($G48-(Data_2017!AY48-$K48)/$M48),0),IF(ISNUMBER(Data_2017!AY48),100*ABS($G48-(Data_2017!AY48-$K48)/$M48),0)))</f>
        <v>50</v>
      </c>
      <c r="BF48" s="100">
        <f>IF($H48=0,0,CHOOSE($H48,SUMPRODUCT($O49:$O$67*BF49:BF$67*($E49:$E$67=$D48)),IF(ISNUMBER(Data_2017!AZ48),100*ABS($G48-(Data_2017!AZ48-$K48)/$M48),0),IF(ISNUMBER(Data_2017!AZ48),100*ABS($G48-(Data_2017!AZ48-$K48)/$M48),0)))</f>
        <v>50</v>
      </c>
      <c r="BG48" s="100">
        <f>IF($H48=0,0,CHOOSE($H48,SUMPRODUCT($O49:$O$67*BG49:BG$67*($E49:$E$67=$D48)),IF(ISNUMBER(Data_2017!BA48),100*ABS($G48-(Data_2017!BA48-$K48)/$M48),0),IF(ISNUMBER(Data_2017!BA48),100*ABS($G48-(Data_2017!BA48-$K48)/$M48),0)))</f>
        <v>50</v>
      </c>
      <c r="BH48" s="100">
        <f>IF($H48=0,0,CHOOSE($H48,SUMPRODUCT($O49:$O$67*BH49:BH$67*($E49:$E$67=$D48)),IF(ISNUMBER(Data_2017!BB48),100*ABS($G48-(Data_2017!BB48-$K48)/$M48),0),IF(ISNUMBER(Data_2017!BB48),100*ABS($G48-(Data_2017!BB48-$K48)/$M48),0)))</f>
        <v>100</v>
      </c>
      <c r="BI48" s="100">
        <f>IF($H48=0,0,CHOOSE($H48,SUMPRODUCT($O49:$O$67*BI49:BI$67*($E49:$E$67=$D48)),IF(ISNUMBER(Data_2017!BC48),100*ABS($G48-(Data_2017!BC48-$K48)/$M48),0),IF(ISNUMBER(Data_2017!BC48),100*ABS($G48-(Data_2017!BC48-$K48)/$M48),0)))</f>
        <v>50</v>
      </c>
      <c r="BJ48" s="100">
        <f>IF($H48=0,0,CHOOSE($H48,SUMPRODUCT($O49:$O$67*BJ49:BJ$67*($E49:$E$67=$D48)),IF(ISNUMBER(Data_2017!BD48),100*ABS($G48-(Data_2017!BD48-$K48)/$M48),0),IF(ISNUMBER(Data_2017!BD48),100*ABS($G48-(Data_2017!BD48-$K48)/$M48),0)))</f>
        <v>50</v>
      </c>
      <c r="BK48" s="100">
        <f>IF($H48=0,0,CHOOSE($H48,SUMPRODUCT($O49:$O$67*BK49:BK$67*($E49:$E$67=$D48)),IF(ISNUMBER(Data_2017!BE48),100*ABS($G48-(Data_2017!BE48-$K48)/$M48),0),IF(ISNUMBER(Data_2017!BE48),100*ABS($G48-(Data_2017!BE48-$K48)/$M48),0)))</f>
        <v>100</v>
      </c>
      <c r="BL48" s="100">
        <f>IF($H48=0,0,CHOOSE($H48,SUMPRODUCT($O49:$O$67*BL49:BL$67*($E49:$E$67=$D48)),IF(ISNUMBER(Data_2017!BF48),100*ABS($G48-(Data_2017!BF48-$K48)/$M48),0),IF(ISNUMBER(Data_2017!BF48),100*ABS($G48-(Data_2017!BF48-$K48)/$M48),0)))</f>
        <v>50</v>
      </c>
      <c r="BM48" s="100">
        <f>IF($H48=0,0,CHOOSE($H48,SUMPRODUCT($O49:$O$67*BM49:BM$67*($E49:$E$67=$D48)),IF(ISNUMBER(Data_2017!BG48),100*ABS($G48-(Data_2017!BG48-$K48)/$M48),0),IF(ISNUMBER(Data_2017!BG48),100*ABS($G48-(Data_2017!BG48-$K48)/$M48),0)))</f>
        <v>100</v>
      </c>
      <c r="BN48" s="100">
        <f>IF($H48=0,0,CHOOSE($H48,SUMPRODUCT($O49:$O$67*BN49:BN$67*($E49:$E$67=$D48)),IF(ISNUMBER(Data_2017!BH48),100*ABS($G48-(Data_2017!BH48-$K48)/$M48),0),IF(ISNUMBER(Data_2017!BH48),100*ABS($G48-(Data_2017!BH48-$K48)/$M48),0)))</f>
        <v>50</v>
      </c>
      <c r="BO48" s="100">
        <f>IF($H48=0,0,CHOOSE($H48,SUMPRODUCT($O49:$O$67*BO49:BO$67*($E49:$E$67=$D48)),IF(ISNUMBER(Data_2017!BI48),100*ABS($G48-(Data_2017!BI48-$K48)/$M48),0),IF(ISNUMBER(Data_2017!BI48),100*ABS($G48-(Data_2017!BI48-$K48)/$M48),0)))</f>
        <v>100</v>
      </c>
      <c r="BP48" s="100">
        <f>IF($H48=0,0,CHOOSE($H48,SUMPRODUCT($O49:$O$67*BP49:BP$67*($E49:$E$67=$D48)),IF(ISNUMBER(Data_2017!BJ48),100*ABS($G48-(Data_2017!BJ48-$K48)/$M48),0),IF(ISNUMBER(Data_2017!BJ48),100*ABS($G48-(Data_2017!BJ48-$K48)/$M48),0)))</f>
        <v>100</v>
      </c>
      <c r="BQ48" s="100">
        <f>IF($H48=0,0,CHOOSE($H48,SUMPRODUCT($O49:$O$67*BQ49:BQ$67*($E49:$E$67=$D48)),IF(ISNUMBER(Data_2017!BK48),100*ABS($G48-(Data_2017!BK48-$K48)/$M48),0),IF(ISNUMBER(Data_2017!BK48),100*ABS($G48-(Data_2017!BK48-$K48)/$M48),0)))</f>
        <v>50</v>
      </c>
      <c r="BR48" s="100">
        <f>IF($H48=0,0,CHOOSE($H48,SUMPRODUCT($O49:$O$67*BR49:BR$67*($E49:$E$67=$D48)),IF(ISNUMBER(Data_2017!BL48),100*ABS($G48-(Data_2017!BL48-$K48)/$M48),0),IF(ISNUMBER(Data_2017!BL48),100*ABS($G48-(Data_2017!BL48-$K48)/$M48),0)))</f>
        <v>100</v>
      </c>
      <c r="BS48" s="100">
        <f>IF($H48=0,0,CHOOSE($H48,SUMPRODUCT($O49:$O$67*BS49:BS$67*($E49:$E$67=$D48)),IF(ISNUMBER(Data_2017!BM48),100*ABS($G48-(Data_2017!BM48-$K48)/$M48),0),IF(ISNUMBER(Data_2017!BM48),100*ABS($G48-(Data_2017!BM48-$K48)/$M48),0)))</f>
        <v>100</v>
      </c>
      <c r="BT48" s="100">
        <f>IF($H48=0,0,CHOOSE($H48,SUMPRODUCT($O49:$O$67*BT49:BT$67*($E49:$E$67=$D48)),IF(ISNUMBER(Data_2017!BN48),100*ABS($G48-(Data_2017!BN48-$K48)/$M48),0),IF(ISNUMBER(Data_2017!BN48),100*ABS($G48-(Data_2017!BN48-$K48)/$M48),0)))</f>
        <v>100</v>
      </c>
      <c r="BU48" s="100">
        <f>IF($H48=0,0,CHOOSE($H48,SUMPRODUCT($O49:$O$67*BU49:BU$67*($E49:$E$67=$D48)),IF(ISNUMBER(Data_2017!BO48),100*ABS($G48-(Data_2017!BO48-$K48)/$M48),0),IF(ISNUMBER(Data_2017!BO48),100*ABS($G48-(Data_2017!BO48-$K48)/$M48),0)))</f>
        <v>100</v>
      </c>
      <c r="BV48" s="100">
        <f>IF($H48=0,0,CHOOSE($H48,SUMPRODUCT($O49:$O$67*BV49:BV$67*($E49:$E$67=$D48)),IF(ISNUMBER(Data_2017!BP48),100*ABS($G48-(Data_2017!BP48-$K48)/$M48),0),IF(ISNUMBER(Data_2017!BP48),100*ABS($G48-(Data_2017!BP48-$K48)/$M48),0)))</f>
        <v>50</v>
      </c>
      <c r="BW48" s="100">
        <f>IF($H48=0,0,CHOOSE($H48,SUMPRODUCT($O49:$O$67*BW49:BW$67*($E49:$E$67=$D48)),IF(ISNUMBER(Data_2017!BQ48),100*ABS($G48-(Data_2017!BQ48-$K48)/$M48),0),IF(ISNUMBER(Data_2017!BQ48),100*ABS($G48-(Data_2017!BQ48-$K48)/$M48),0)))</f>
        <v>50</v>
      </c>
      <c r="BX48" s="100">
        <f>IF($H48=0,0,CHOOSE($H48,SUMPRODUCT($O49:$O$67*BX49:BX$67*($E49:$E$67=$D48)),IF(ISNUMBER(Data_2017!BR48),100*ABS($G48-(Data_2017!BR48-$K48)/$M48),0),IF(ISNUMBER(Data_2017!BR48),100*ABS($G48-(Data_2017!BR48-$K48)/$M48),0)))</f>
        <v>100</v>
      </c>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row>
    <row r="49" s="69" customFormat="1" ht="24.95" customHeight="1" spans="1:130">
      <c r="A49" s="92"/>
      <c r="B49" s="92">
        <f>tblIndicators!A45</f>
        <v>44</v>
      </c>
      <c r="C49" s="92">
        <f>tblIndicators!B45</f>
        <v>0</v>
      </c>
      <c r="D49" s="92" t="str">
        <f>tblIndicators!D45</f>
        <v>PESE4.1.2</v>
      </c>
      <c r="E49" s="92" t="str">
        <f>tblIndicators!E45</f>
        <v>PESE4.1</v>
      </c>
      <c r="F49" s="92">
        <f>tblIndicators!F45</f>
        <v>3</v>
      </c>
      <c r="G49" s="92">
        <f>tblIndicators!Y45</f>
        <v>0</v>
      </c>
      <c r="H49" s="92">
        <f>tblIndicators!Z45</f>
        <v>2</v>
      </c>
      <c r="I49" s="104">
        <f>tblIndicators!AA45</f>
        <v>0</v>
      </c>
      <c r="J49" s="92">
        <f>tblIndicators!AB45</f>
        <v>1</v>
      </c>
      <c r="K49" s="89">
        <f>IF(uxb_works!$B$66=1,CHOOSE(H49,"-",MIN(Data_2017!J49:BR49),I49),CHOOSE(H49,"-",MIN(Data_2017!J49:BQ49),I49))</f>
        <v>0</v>
      </c>
      <c r="L49" s="97">
        <f>IF(uxb_works!$B$66=1,CHOOSE(H49,"-",MAX(Data_2017!J49:BR49),J49),CHOOSE(H49,"-",MAX(Data_2017!J49:BQ49),J49))</f>
        <v>1</v>
      </c>
      <c r="M49" s="92">
        <f t="shared" si="1"/>
        <v>1</v>
      </c>
      <c r="N49" s="105" t="str">
        <f>REPT(" ",F49)&amp;tblIndicators!AE45</f>
        <v>   4.1.2) Community-based patrolling</v>
      </c>
      <c r="O49" s="106">
        <f>tblIndicators!AD45</f>
        <v>0.142857142857143</v>
      </c>
      <c r="P49" s="100">
        <f>IF($H49=0,0,CHOOSE($H49,SUMPRODUCT($O50:$O$67*P50:P$67*($E50:$E$67=$D49)),IF(ISNUMBER(Data_2017!J49),100*ABS($G49-(Data_2017!J49-$K49)/$M49),0),IF(ISNUMBER(Data_2017!J49),100*ABS($G49-(Data_2017!J49-$K49)/$M49),0)))</f>
        <v>100</v>
      </c>
      <c r="Q49" s="100">
        <f>IF($H49=0,0,CHOOSE($H49,SUMPRODUCT($O50:$O$67*Q50:Q$67*($E50:$E$67=$D49)),IF(ISNUMBER(Data_2017!K49),100*ABS($G49-(Data_2017!K49-$K49)/$M49),0),IF(ISNUMBER(Data_2017!K49),100*ABS($G49-(Data_2017!K49-$K49)/$M49),0)))</f>
        <v>100</v>
      </c>
      <c r="R49" s="100">
        <f>IF($H49=0,0,CHOOSE($H49,SUMPRODUCT($O50:$O$67*R50:R$67*($E50:$E$67=$D49)),IF(ISNUMBER(Data_2017!L49),100*ABS($G49-(Data_2017!L49-$K49)/$M49),0),IF(ISNUMBER(Data_2017!L49),100*ABS($G49-(Data_2017!L49-$K49)/$M49),0)))</f>
        <v>0</v>
      </c>
      <c r="S49" s="100">
        <f>IF($H49=0,0,CHOOSE($H49,SUMPRODUCT($O50:$O$67*S50:S$67*($E50:$E$67=$D49)),IF(ISNUMBER(Data_2017!M49),100*ABS($G49-(Data_2017!M49-$K49)/$M49),0),IF(ISNUMBER(Data_2017!M49),100*ABS($G49-(Data_2017!M49-$K49)/$M49),0)))</f>
        <v>100</v>
      </c>
      <c r="T49" s="100">
        <f>IF($H49=0,0,CHOOSE($H49,SUMPRODUCT($O50:$O$67*T50:T$67*($E50:$E$67=$D49)),IF(ISNUMBER(Data_2017!N49),100*ABS($G49-(Data_2017!N49-$K49)/$M49),0),IF(ISNUMBER(Data_2017!N49),100*ABS($G49-(Data_2017!N49-$K49)/$M49),0)))</f>
        <v>100</v>
      </c>
      <c r="U49" s="100">
        <f>IF($H49=0,0,CHOOSE($H49,SUMPRODUCT($O50:$O$67*U50:U$67*($E50:$E$67=$D49)),IF(ISNUMBER(Data_2017!O49),100*ABS($G49-(Data_2017!O49-$K49)/$M49),0),IF(ISNUMBER(Data_2017!O49),100*ABS($G49-(Data_2017!O49-$K49)/$M49),0)))</f>
        <v>100</v>
      </c>
      <c r="V49" s="100">
        <f>IF($H49=0,0,CHOOSE($H49,SUMPRODUCT($O50:$O$67*V50:V$67*($E50:$E$67=$D49)),IF(ISNUMBER(Data_2017!P49),100*ABS($G49-(Data_2017!P49-$K49)/$M49),0),IF(ISNUMBER(Data_2017!P49),100*ABS($G49-(Data_2017!P49-$K49)/$M49),0)))</f>
        <v>100</v>
      </c>
      <c r="W49" s="100">
        <f>IF($H49=0,0,CHOOSE($H49,SUMPRODUCT($O50:$O$67*W50:W$67*($E50:$E$67=$D49)),IF(ISNUMBER(Data_2017!Q49),100*ABS($G49-(Data_2017!Q49-$K49)/$M49),0),IF(ISNUMBER(Data_2017!Q49),100*ABS($G49-(Data_2017!Q49-$K49)/$M49),0)))</f>
        <v>100</v>
      </c>
      <c r="X49" s="100">
        <f>IF($H49=0,0,CHOOSE($H49,SUMPRODUCT($O50:$O$67*X50:X$67*($E50:$E$67=$D49)),IF(ISNUMBER(Data_2017!R49),100*ABS($G49-(Data_2017!R49-$K49)/$M49),0),IF(ISNUMBER(Data_2017!R49),100*ABS($G49-(Data_2017!R49-$K49)/$M49),0)))</f>
        <v>0</v>
      </c>
      <c r="Y49" s="100">
        <f>IF($H49=0,0,CHOOSE($H49,SUMPRODUCT($O50:$O$67*Y50:Y$67*($E50:$E$67=$D49)),IF(ISNUMBER(Data_2017!S49),100*ABS($G49-(Data_2017!S49-$K49)/$M49),0),IF(ISNUMBER(Data_2017!S49),100*ABS($G49-(Data_2017!S49-$K49)/$M49),0)))</f>
        <v>100</v>
      </c>
      <c r="Z49" s="100">
        <f>IF($H49=0,0,CHOOSE($H49,SUMPRODUCT($O50:$O$67*Z50:Z$67*($E50:$E$67=$D49)),IF(ISNUMBER(Data_2017!T49),100*ABS($G49-(Data_2017!T49-$K49)/$M49),0),IF(ISNUMBER(Data_2017!T49),100*ABS($G49-(Data_2017!T49-$K49)/$M49),0)))</f>
        <v>100</v>
      </c>
      <c r="AA49" s="100">
        <f>IF($H49=0,0,CHOOSE($H49,SUMPRODUCT($O50:$O$67*AA50:AA$67*($E50:$E$67=$D49)),IF(ISNUMBER(Data_2017!U49),100*ABS($G49-(Data_2017!U49-$K49)/$M49),0),IF(ISNUMBER(Data_2017!U49),100*ABS($G49-(Data_2017!U49-$K49)/$M49),0)))</f>
        <v>0</v>
      </c>
      <c r="AB49" s="100">
        <f>IF($H49=0,0,CHOOSE($H49,SUMPRODUCT($O50:$O$67*AB50:AB$67*($E50:$E$67=$D49)),IF(ISNUMBER(Data_2017!V49),100*ABS($G49-(Data_2017!V49-$K49)/$M49),0),IF(ISNUMBER(Data_2017!V49),100*ABS($G49-(Data_2017!V49-$K49)/$M49),0)))</f>
        <v>100</v>
      </c>
      <c r="AC49" s="100">
        <f>IF($H49=0,0,CHOOSE($H49,SUMPRODUCT($O50:$O$67*AC50:AC$67*($E50:$E$67=$D49)),IF(ISNUMBER(Data_2017!W49),100*ABS($G49-(Data_2017!W49-$K49)/$M49),0),IF(ISNUMBER(Data_2017!W49),100*ABS($G49-(Data_2017!W49-$K49)/$M49),0)))</f>
        <v>100</v>
      </c>
      <c r="AD49" s="100">
        <f>IF($H49=0,0,CHOOSE($H49,SUMPRODUCT($O50:$O$67*AD50:AD$67*($E50:$E$67=$D49)),IF(ISNUMBER(Data_2017!X49),100*ABS($G49-(Data_2017!X49-$K49)/$M49),0),IF(ISNUMBER(Data_2017!X49),100*ABS($G49-(Data_2017!X49-$K49)/$M49),0)))</f>
        <v>100</v>
      </c>
      <c r="AE49" s="100">
        <f>IF($H49=0,0,CHOOSE($H49,SUMPRODUCT($O50:$O$67*AE50:AE$67*($E50:$E$67=$D49)),IF(ISNUMBER(Data_2017!Y49),100*ABS($G49-(Data_2017!Y49-$K49)/$M49),0),IF(ISNUMBER(Data_2017!Y49),100*ABS($G49-(Data_2017!Y49-$K49)/$M49),0)))</f>
        <v>100</v>
      </c>
      <c r="AF49" s="100">
        <f>IF($H49=0,0,CHOOSE($H49,SUMPRODUCT($O50:$O$67*AF50:AF$67*($E50:$E$67=$D49)),IF(ISNUMBER(Data_2017!Z49),100*ABS($G49-(Data_2017!Z49-$K49)/$M49),0),IF(ISNUMBER(Data_2017!Z49),100*ABS($G49-(Data_2017!Z49-$K49)/$M49),0)))</f>
        <v>100</v>
      </c>
      <c r="AG49" s="100">
        <f>IF($H49=0,0,CHOOSE($H49,SUMPRODUCT($O50:$O$67*AG50:AG$67*($E50:$E$67=$D49)),IF(ISNUMBER(Data_2017!AA49),100*ABS($G49-(Data_2017!AA49-$K49)/$M49),0),IF(ISNUMBER(Data_2017!AA49),100*ABS($G49-(Data_2017!AA49-$K49)/$M49),0)))</f>
        <v>100</v>
      </c>
      <c r="AH49" s="100">
        <f>IF($H49=0,0,CHOOSE($H49,SUMPRODUCT($O50:$O$67*AH50:AH$67*($E50:$E$67=$D49)),IF(ISNUMBER(Data_2017!AB49),100*ABS($G49-(Data_2017!AB49-$K49)/$M49),0),IF(ISNUMBER(Data_2017!AB49),100*ABS($G49-(Data_2017!AB49-$K49)/$M49),0)))</f>
        <v>0</v>
      </c>
      <c r="AI49" s="100">
        <f>IF($H49=0,0,CHOOSE($H49,SUMPRODUCT($O50:$O$67*AI50:AI$67*($E50:$E$67=$D49)),IF(ISNUMBER(Data_2017!AC49),100*ABS($G49-(Data_2017!AC49-$K49)/$M49),0),IF(ISNUMBER(Data_2017!AC49),100*ABS($G49-(Data_2017!AC49-$K49)/$M49),0)))</f>
        <v>100</v>
      </c>
      <c r="AJ49" s="100">
        <f>IF($H49=0,0,CHOOSE($H49,SUMPRODUCT($O50:$O$67*AJ50:AJ$67*($E50:$E$67=$D49)),IF(ISNUMBER(Data_2017!AD49),100*ABS($G49-(Data_2017!AD49-$K49)/$M49),0),IF(ISNUMBER(Data_2017!AD49),100*ABS($G49-(Data_2017!AD49-$K49)/$M49),0)))</f>
        <v>100</v>
      </c>
      <c r="AK49" s="100">
        <f>IF($H49=0,0,CHOOSE($H49,SUMPRODUCT($O50:$O$67*AK50:AK$67*($E50:$E$67=$D49)),IF(ISNUMBER(Data_2017!AE49),100*ABS($G49-(Data_2017!AE49-$K49)/$M49),0),IF(ISNUMBER(Data_2017!AE49),100*ABS($G49-(Data_2017!AE49-$K49)/$M49),0)))</f>
        <v>100</v>
      </c>
      <c r="AL49" s="100">
        <f>IF($H49=0,0,CHOOSE($H49,SUMPRODUCT($O50:$O$67*AL50:AL$67*($E50:$E$67=$D49)),IF(ISNUMBER(Data_2017!AF49),100*ABS($G49-(Data_2017!AF49-$K49)/$M49),0),IF(ISNUMBER(Data_2017!AF49),100*ABS($G49-(Data_2017!AF49-$K49)/$M49),0)))</f>
        <v>100</v>
      </c>
      <c r="AM49" s="100">
        <f>IF($H49=0,0,CHOOSE($H49,SUMPRODUCT($O50:$O$67*AM50:AM$67*($E50:$E$67=$D49)),IF(ISNUMBER(Data_2017!AG49),100*ABS($G49-(Data_2017!AG49-$K49)/$M49),0),IF(ISNUMBER(Data_2017!AG49),100*ABS($G49-(Data_2017!AG49-$K49)/$M49),0)))</f>
        <v>100</v>
      </c>
      <c r="AN49" s="100">
        <f>IF($H49=0,0,CHOOSE($H49,SUMPRODUCT($O50:$O$67*AN50:AN$67*($E50:$E$67=$D49)),IF(ISNUMBER(Data_2017!AH49),100*ABS($G49-(Data_2017!AH49-$K49)/$M49),0),IF(ISNUMBER(Data_2017!AH49),100*ABS($G49-(Data_2017!AH49-$K49)/$M49),0)))</f>
        <v>100</v>
      </c>
      <c r="AO49" s="100">
        <f>IF($H49=0,0,CHOOSE($H49,SUMPRODUCT($O50:$O$67*AO50:AO$67*($E50:$E$67=$D49)),IF(ISNUMBER(Data_2017!AI49),100*ABS($G49-(Data_2017!AI49-$K49)/$M49),0),IF(ISNUMBER(Data_2017!AI49),100*ABS($G49-(Data_2017!AI49-$K49)/$M49),0)))</f>
        <v>100</v>
      </c>
      <c r="AP49" s="100">
        <f>IF($H49=0,0,CHOOSE($H49,SUMPRODUCT($O50:$O$67*AP50:AP$67*($E50:$E$67=$D49)),IF(ISNUMBER(Data_2017!AJ49),100*ABS($G49-(Data_2017!AJ49-$K49)/$M49),0),IF(ISNUMBER(Data_2017!AJ49),100*ABS($G49-(Data_2017!AJ49-$K49)/$M49),0)))</f>
        <v>100</v>
      </c>
      <c r="AQ49" s="100">
        <f>IF($H49=0,0,CHOOSE($H49,SUMPRODUCT($O50:$O$67*AQ50:AQ$67*($E50:$E$67=$D49)),IF(ISNUMBER(Data_2017!AK49),100*ABS($G49-(Data_2017!AK49-$K49)/$M49),0),IF(ISNUMBER(Data_2017!AK49),100*ABS($G49-(Data_2017!AK49-$K49)/$M49),0)))</f>
        <v>100</v>
      </c>
      <c r="AR49" s="100">
        <f>IF($H49=0,0,CHOOSE($H49,SUMPRODUCT($O50:$O$67*AR50:AR$67*($E50:$E$67=$D49)),IF(ISNUMBER(Data_2017!AL49),100*ABS($G49-(Data_2017!AL49-$K49)/$M49),0),IF(ISNUMBER(Data_2017!AL49),100*ABS($G49-(Data_2017!AL49-$K49)/$M49),0)))</f>
        <v>100</v>
      </c>
      <c r="AS49" s="100">
        <f>IF($H49=0,0,CHOOSE($H49,SUMPRODUCT($O50:$O$67*AS50:AS$67*($E50:$E$67=$D49)),IF(ISNUMBER(Data_2017!AM49),100*ABS($G49-(Data_2017!AM49-$K49)/$M49),0),IF(ISNUMBER(Data_2017!AM49),100*ABS($G49-(Data_2017!AM49-$K49)/$M49),0)))</f>
        <v>100</v>
      </c>
      <c r="AT49" s="100">
        <f>IF($H49=0,0,CHOOSE($H49,SUMPRODUCT($O50:$O$67*AT50:AT$67*($E50:$E$67=$D49)),IF(ISNUMBER(Data_2017!AN49),100*ABS($G49-(Data_2017!AN49-$K49)/$M49),0),IF(ISNUMBER(Data_2017!AN49),100*ABS($G49-(Data_2017!AN49-$K49)/$M49),0)))</f>
        <v>100</v>
      </c>
      <c r="AU49" s="100">
        <f>IF($H49=0,0,CHOOSE($H49,SUMPRODUCT($O50:$O$67*AU50:AU$67*($E50:$E$67=$D49)),IF(ISNUMBER(Data_2017!AO49),100*ABS($G49-(Data_2017!AO49-$K49)/$M49),0),IF(ISNUMBER(Data_2017!AO49),100*ABS($G49-(Data_2017!AO49-$K49)/$M49),0)))</f>
        <v>100</v>
      </c>
      <c r="AV49" s="100">
        <f>IF($H49=0,0,CHOOSE($H49,SUMPRODUCT($O50:$O$67*AV50:AV$67*($E50:$E$67=$D49)),IF(ISNUMBER(Data_2017!AP49),100*ABS($G49-(Data_2017!AP49-$K49)/$M49),0),IF(ISNUMBER(Data_2017!AP49),100*ABS($G49-(Data_2017!AP49-$K49)/$M49),0)))</f>
        <v>100</v>
      </c>
      <c r="AW49" s="100">
        <f>IF($H49=0,0,CHOOSE($H49,SUMPRODUCT($O50:$O$67*AW50:AW$67*($E50:$E$67=$D49)),IF(ISNUMBER(Data_2017!AQ49),100*ABS($G49-(Data_2017!AQ49-$K49)/$M49),0),IF(ISNUMBER(Data_2017!AQ49),100*ABS($G49-(Data_2017!AQ49-$K49)/$M49),0)))</f>
        <v>100</v>
      </c>
      <c r="AX49" s="100">
        <f>IF($H49=0,0,CHOOSE($H49,SUMPRODUCT($O50:$O$67*AX50:AX$67*($E50:$E$67=$D49)),IF(ISNUMBER(Data_2017!AR49),100*ABS($G49-(Data_2017!AR49-$K49)/$M49),0),IF(ISNUMBER(Data_2017!AR49),100*ABS($G49-(Data_2017!AR49-$K49)/$M49),0)))</f>
        <v>100</v>
      </c>
      <c r="AY49" s="100">
        <f>IF($H49=0,0,CHOOSE($H49,SUMPRODUCT($O50:$O$67*AY50:AY$67*($E50:$E$67=$D49)),IF(ISNUMBER(Data_2017!AS49),100*ABS($G49-(Data_2017!AS49-$K49)/$M49),0),IF(ISNUMBER(Data_2017!AS49),100*ABS($G49-(Data_2017!AS49-$K49)/$M49),0)))</f>
        <v>100</v>
      </c>
      <c r="AZ49" s="100">
        <f>IF($H49=0,0,CHOOSE($H49,SUMPRODUCT($O50:$O$67*AZ50:AZ$67*($E50:$E$67=$D49)),IF(ISNUMBER(Data_2017!AT49),100*ABS($G49-(Data_2017!AT49-$K49)/$M49),0),IF(ISNUMBER(Data_2017!AT49),100*ABS($G49-(Data_2017!AT49-$K49)/$M49),0)))</f>
        <v>100</v>
      </c>
      <c r="BA49" s="100">
        <f>IF($H49=0,0,CHOOSE($H49,SUMPRODUCT($O50:$O$67*BA50:BA$67*($E50:$E$67=$D49)),IF(ISNUMBER(Data_2017!AU49),100*ABS($G49-(Data_2017!AU49-$K49)/$M49),0),IF(ISNUMBER(Data_2017!AU49),100*ABS($G49-(Data_2017!AU49-$K49)/$M49),0)))</f>
        <v>100</v>
      </c>
      <c r="BB49" s="100">
        <f>IF($H49=0,0,CHOOSE($H49,SUMPRODUCT($O50:$O$67*BB50:BB$67*($E50:$E$67=$D49)),IF(ISNUMBER(Data_2017!AV49),100*ABS($G49-(Data_2017!AV49-$K49)/$M49),0),IF(ISNUMBER(Data_2017!AV49),100*ABS($G49-(Data_2017!AV49-$K49)/$M49),0)))</f>
        <v>100</v>
      </c>
      <c r="BC49" s="100">
        <f>IF($H49=0,0,CHOOSE($H49,SUMPRODUCT($O50:$O$67*BC50:BC$67*($E50:$E$67=$D49)),IF(ISNUMBER(Data_2017!AW49),100*ABS($G49-(Data_2017!AW49-$K49)/$M49),0),IF(ISNUMBER(Data_2017!AW49),100*ABS($G49-(Data_2017!AW49-$K49)/$M49),0)))</f>
        <v>100</v>
      </c>
      <c r="BD49" s="100">
        <f>IF($H49=0,0,CHOOSE($H49,SUMPRODUCT($O50:$O$67*BD50:BD$67*($E50:$E$67=$D49)),IF(ISNUMBER(Data_2017!AX49),100*ABS($G49-(Data_2017!AX49-$K49)/$M49),0),IF(ISNUMBER(Data_2017!AX49),100*ABS($G49-(Data_2017!AX49-$K49)/$M49),0)))</f>
        <v>0</v>
      </c>
      <c r="BE49" s="100">
        <f>IF($H49=0,0,CHOOSE($H49,SUMPRODUCT($O50:$O$67*BE50:BE$67*($E50:$E$67=$D49)),IF(ISNUMBER(Data_2017!AY49),100*ABS($G49-(Data_2017!AY49-$K49)/$M49),0),IF(ISNUMBER(Data_2017!AY49),100*ABS($G49-(Data_2017!AY49-$K49)/$M49),0)))</f>
        <v>100</v>
      </c>
      <c r="BF49" s="100">
        <f>IF($H49=0,0,CHOOSE($H49,SUMPRODUCT($O50:$O$67*BF50:BF$67*($E50:$E$67=$D49)),IF(ISNUMBER(Data_2017!AZ49),100*ABS($G49-(Data_2017!AZ49-$K49)/$M49),0),IF(ISNUMBER(Data_2017!AZ49),100*ABS($G49-(Data_2017!AZ49-$K49)/$M49),0)))</f>
        <v>100</v>
      </c>
      <c r="BG49" s="100">
        <f>IF($H49=0,0,CHOOSE($H49,SUMPRODUCT($O50:$O$67*BG50:BG$67*($E50:$E$67=$D49)),IF(ISNUMBER(Data_2017!BA49),100*ABS($G49-(Data_2017!BA49-$K49)/$M49),0),IF(ISNUMBER(Data_2017!BA49),100*ABS($G49-(Data_2017!BA49-$K49)/$M49),0)))</f>
        <v>100</v>
      </c>
      <c r="BH49" s="100">
        <f>IF($H49=0,0,CHOOSE($H49,SUMPRODUCT($O50:$O$67*BH50:BH$67*($E50:$E$67=$D49)),IF(ISNUMBER(Data_2017!BB49),100*ABS($G49-(Data_2017!BB49-$K49)/$M49),0),IF(ISNUMBER(Data_2017!BB49),100*ABS($G49-(Data_2017!BB49-$K49)/$M49),0)))</f>
        <v>100</v>
      </c>
      <c r="BI49" s="100">
        <f>IF($H49=0,0,CHOOSE($H49,SUMPRODUCT($O50:$O$67*BI50:BI$67*($E50:$E$67=$D49)),IF(ISNUMBER(Data_2017!BC49),100*ABS($G49-(Data_2017!BC49-$K49)/$M49),0),IF(ISNUMBER(Data_2017!BC49),100*ABS($G49-(Data_2017!BC49-$K49)/$M49),0)))</f>
        <v>0</v>
      </c>
      <c r="BJ49" s="100">
        <f>IF($H49=0,0,CHOOSE($H49,SUMPRODUCT($O50:$O$67*BJ50:BJ$67*($E50:$E$67=$D49)),IF(ISNUMBER(Data_2017!BD49),100*ABS($G49-(Data_2017!BD49-$K49)/$M49),0),IF(ISNUMBER(Data_2017!BD49),100*ABS($G49-(Data_2017!BD49-$K49)/$M49),0)))</f>
        <v>100</v>
      </c>
      <c r="BK49" s="100">
        <f>IF($H49=0,0,CHOOSE($H49,SUMPRODUCT($O50:$O$67*BK50:BK$67*($E50:$E$67=$D49)),IF(ISNUMBER(Data_2017!BE49),100*ABS($G49-(Data_2017!BE49-$K49)/$M49),0),IF(ISNUMBER(Data_2017!BE49),100*ABS($G49-(Data_2017!BE49-$K49)/$M49),0)))</f>
        <v>100</v>
      </c>
      <c r="BL49" s="100">
        <f>IF($H49=0,0,CHOOSE($H49,SUMPRODUCT($O50:$O$67*BL50:BL$67*($E50:$E$67=$D49)),IF(ISNUMBER(Data_2017!BF49),100*ABS($G49-(Data_2017!BF49-$K49)/$M49),0),IF(ISNUMBER(Data_2017!BF49),100*ABS($G49-(Data_2017!BF49-$K49)/$M49),0)))</f>
        <v>100</v>
      </c>
      <c r="BM49" s="100">
        <f>IF($H49=0,0,CHOOSE($H49,SUMPRODUCT($O50:$O$67*BM50:BM$67*($E50:$E$67=$D49)),IF(ISNUMBER(Data_2017!BG49),100*ABS($G49-(Data_2017!BG49-$K49)/$M49),0),IF(ISNUMBER(Data_2017!BG49),100*ABS($G49-(Data_2017!BG49-$K49)/$M49),0)))</f>
        <v>100</v>
      </c>
      <c r="BN49" s="100">
        <f>IF($H49=0,0,CHOOSE($H49,SUMPRODUCT($O50:$O$67*BN50:BN$67*($E50:$E$67=$D49)),IF(ISNUMBER(Data_2017!BH49),100*ABS($G49-(Data_2017!BH49-$K49)/$M49),0),IF(ISNUMBER(Data_2017!BH49),100*ABS($G49-(Data_2017!BH49-$K49)/$M49),0)))</f>
        <v>100</v>
      </c>
      <c r="BO49" s="100">
        <f>IF($H49=0,0,CHOOSE($H49,SUMPRODUCT($O50:$O$67*BO50:BO$67*($E50:$E$67=$D49)),IF(ISNUMBER(Data_2017!BI49),100*ABS($G49-(Data_2017!BI49-$K49)/$M49),0),IF(ISNUMBER(Data_2017!BI49),100*ABS($G49-(Data_2017!BI49-$K49)/$M49),0)))</f>
        <v>100</v>
      </c>
      <c r="BP49" s="100">
        <f>IF($H49=0,0,CHOOSE($H49,SUMPRODUCT($O50:$O$67*BP50:BP$67*($E50:$E$67=$D49)),IF(ISNUMBER(Data_2017!BJ49),100*ABS($G49-(Data_2017!BJ49-$K49)/$M49),0),IF(ISNUMBER(Data_2017!BJ49),100*ABS($G49-(Data_2017!BJ49-$K49)/$M49),0)))</f>
        <v>100</v>
      </c>
      <c r="BQ49" s="100">
        <f>IF($H49=0,0,CHOOSE($H49,SUMPRODUCT($O50:$O$67*BQ50:BQ$67*($E50:$E$67=$D49)),IF(ISNUMBER(Data_2017!BK49),100*ABS($G49-(Data_2017!BK49-$K49)/$M49),0),IF(ISNUMBER(Data_2017!BK49),100*ABS($G49-(Data_2017!BK49-$K49)/$M49),0)))</f>
        <v>0</v>
      </c>
      <c r="BR49" s="100">
        <f>IF($H49=0,0,CHOOSE($H49,SUMPRODUCT($O50:$O$67*BR50:BR$67*($E50:$E$67=$D49)),IF(ISNUMBER(Data_2017!BL49),100*ABS($G49-(Data_2017!BL49-$K49)/$M49),0),IF(ISNUMBER(Data_2017!BL49),100*ABS($G49-(Data_2017!BL49-$K49)/$M49),0)))</f>
        <v>100</v>
      </c>
      <c r="BS49" s="100">
        <f>IF($H49=0,0,CHOOSE($H49,SUMPRODUCT($O50:$O$67*BS50:BS$67*($E50:$E$67=$D49)),IF(ISNUMBER(Data_2017!BM49),100*ABS($G49-(Data_2017!BM49-$K49)/$M49),0),IF(ISNUMBER(Data_2017!BM49),100*ABS($G49-(Data_2017!BM49-$K49)/$M49),0)))</f>
        <v>100</v>
      </c>
      <c r="BT49" s="100">
        <f>IF($H49=0,0,CHOOSE($H49,SUMPRODUCT($O50:$O$67*BT50:BT$67*($E50:$E$67=$D49)),IF(ISNUMBER(Data_2017!BN49),100*ABS($G49-(Data_2017!BN49-$K49)/$M49),0),IF(ISNUMBER(Data_2017!BN49),100*ABS($G49-(Data_2017!BN49-$K49)/$M49),0)))</f>
        <v>100</v>
      </c>
      <c r="BU49" s="100">
        <f>IF($H49=0,0,CHOOSE($H49,SUMPRODUCT($O50:$O$67*BU50:BU$67*($E50:$E$67=$D49)),IF(ISNUMBER(Data_2017!BO49),100*ABS($G49-(Data_2017!BO49-$K49)/$M49),0),IF(ISNUMBER(Data_2017!BO49),100*ABS($G49-(Data_2017!BO49-$K49)/$M49),0)))</f>
        <v>100</v>
      </c>
      <c r="BV49" s="100">
        <f>IF($H49=0,0,CHOOSE($H49,SUMPRODUCT($O50:$O$67*BV50:BV$67*($E50:$E$67=$D49)),IF(ISNUMBER(Data_2017!BP49),100*ABS($G49-(Data_2017!BP49-$K49)/$M49),0),IF(ISNUMBER(Data_2017!BP49),100*ABS($G49-(Data_2017!BP49-$K49)/$M49),0)))</f>
        <v>100</v>
      </c>
      <c r="BW49" s="100">
        <f>IF($H49=0,0,CHOOSE($H49,SUMPRODUCT($O50:$O$67*BW50:BW$67*($E50:$E$67=$D49)),IF(ISNUMBER(Data_2017!BQ49),100*ABS($G49-(Data_2017!BQ49-$K49)/$M49),0),IF(ISNUMBER(Data_2017!BQ49),100*ABS($G49-(Data_2017!BQ49-$K49)/$M49),0)))</f>
        <v>100</v>
      </c>
      <c r="BX49" s="100">
        <f>IF($H49=0,0,CHOOSE($H49,SUMPRODUCT($O50:$O$67*BX50:BX$67*($E50:$E$67=$D49)),IF(ISNUMBER(Data_2017!BR49),100*ABS($G49-(Data_2017!BR49-$K49)/$M49),0),IF(ISNUMBER(Data_2017!BR49),100*ABS($G49-(Data_2017!BR49-$K49)/$M49),0)))</f>
        <v>100</v>
      </c>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row>
    <row r="50" s="69" customFormat="1" ht="24.95" customHeight="1" spans="1:130">
      <c r="A50" s="92"/>
      <c r="B50" s="92">
        <f>tblIndicators!A46</f>
        <v>45</v>
      </c>
      <c r="C50" s="92">
        <f>tblIndicators!B46</f>
        <v>0</v>
      </c>
      <c r="D50" s="92" t="str">
        <f>tblIndicators!D46</f>
        <v>PESE4.1.3</v>
      </c>
      <c r="E50" s="92" t="str">
        <f>tblIndicators!E46</f>
        <v>PESE4.1</v>
      </c>
      <c r="F50" s="92">
        <f>tblIndicators!F46</f>
        <v>3</v>
      </c>
      <c r="G50" s="92">
        <f>tblIndicators!Y46</f>
        <v>0</v>
      </c>
      <c r="H50" s="92">
        <f>tblIndicators!Z46</f>
        <v>2</v>
      </c>
      <c r="I50" s="104">
        <f>tblIndicators!AA46</f>
        <v>0</v>
      </c>
      <c r="J50" s="92">
        <f>tblIndicators!AB46</f>
        <v>1</v>
      </c>
      <c r="K50" s="89">
        <f>IF(uxb_works!$B$66=1,CHOOSE(H50,"-",MIN(Data_2017!J50:BR50),I50),CHOOSE(H50,"-",MIN(Data_2017!J50:BQ50),I50))</f>
        <v>0</v>
      </c>
      <c r="L50" s="97">
        <f>IF(uxb_works!$B$66=1,CHOOSE(H50,"-",MAX(Data_2017!J50:BR50),J50),CHOOSE(H50,"-",MAX(Data_2017!J50:BQ50),J50))</f>
        <v>1</v>
      </c>
      <c r="M50" s="92">
        <f t="shared" si="1"/>
        <v>1</v>
      </c>
      <c r="N50" s="105" t="str">
        <f>REPT(" ",F50)&amp;tblIndicators!AE46</f>
        <v>   4.1.3) Available street-level crime data</v>
      </c>
      <c r="O50" s="106">
        <f>tblIndicators!AD46</f>
        <v>0.142857142857143</v>
      </c>
      <c r="P50" s="100">
        <f>IF($H50=0,0,CHOOSE($H50,SUMPRODUCT($O51:$O$67*P51:P$67*($E51:$E$67=$D50)),IF(ISNUMBER(Data_2017!J50),100*ABS($G50-(Data_2017!J50-$K50)/$M50),0),IF(ISNUMBER(Data_2017!J50),100*ABS($G50-(Data_2017!J50-$K50)/$M50),0)))</f>
        <v>100</v>
      </c>
      <c r="Q50" s="100">
        <f>IF($H50=0,0,CHOOSE($H50,SUMPRODUCT($O51:$O$67*Q51:Q$67*($E51:$E$67=$D50)),IF(ISNUMBER(Data_2017!K50),100*ABS($G50-(Data_2017!K50-$K50)/$M50),0),IF(ISNUMBER(Data_2017!K50),100*ABS($G50-(Data_2017!K50-$K50)/$M50),0)))</f>
        <v>100</v>
      </c>
      <c r="R50" s="100">
        <f>IF($H50=0,0,CHOOSE($H50,SUMPRODUCT($O51:$O$67*R51:R$67*($E51:$E$67=$D50)),IF(ISNUMBER(Data_2017!L50),100*ABS($G50-(Data_2017!L50-$K50)/$M50),0),IF(ISNUMBER(Data_2017!L50),100*ABS($G50-(Data_2017!L50-$K50)/$M50),0)))</f>
        <v>100</v>
      </c>
      <c r="S50" s="100">
        <f>IF($H50=0,0,CHOOSE($H50,SUMPRODUCT($O51:$O$67*S51:S$67*($E51:$E$67=$D50)),IF(ISNUMBER(Data_2017!M50),100*ABS($G50-(Data_2017!M50-$K50)/$M50),0),IF(ISNUMBER(Data_2017!M50),100*ABS($G50-(Data_2017!M50-$K50)/$M50),0)))</f>
        <v>0</v>
      </c>
      <c r="T50" s="100">
        <f>IF($H50=0,0,CHOOSE($H50,SUMPRODUCT($O51:$O$67*T51:T$67*($E51:$E$67=$D50)),IF(ISNUMBER(Data_2017!N50),100*ABS($G50-(Data_2017!N50-$K50)/$M50),0),IF(ISNUMBER(Data_2017!N50),100*ABS($G50-(Data_2017!N50-$K50)/$M50),0)))</f>
        <v>100</v>
      </c>
      <c r="U50" s="100">
        <f>IF($H50=0,0,CHOOSE($H50,SUMPRODUCT($O51:$O$67*U51:U$67*($E51:$E$67=$D50)),IF(ISNUMBER(Data_2017!O50),100*ABS($G50-(Data_2017!O50-$K50)/$M50),0),IF(ISNUMBER(Data_2017!O50),100*ABS($G50-(Data_2017!O50-$K50)/$M50),0)))</f>
        <v>100</v>
      </c>
      <c r="V50" s="100">
        <f>IF($H50=0,0,CHOOSE($H50,SUMPRODUCT($O51:$O$67*V51:V$67*($E51:$E$67=$D50)),IF(ISNUMBER(Data_2017!P50),100*ABS($G50-(Data_2017!P50-$K50)/$M50),0),IF(ISNUMBER(Data_2017!P50),100*ABS($G50-(Data_2017!P50-$K50)/$M50),0)))</f>
        <v>0</v>
      </c>
      <c r="W50" s="100">
        <f>IF($H50=0,0,CHOOSE($H50,SUMPRODUCT($O51:$O$67*W51:W$67*($E51:$E$67=$D50)),IF(ISNUMBER(Data_2017!Q50),100*ABS($G50-(Data_2017!Q50-$K50)/$M50),0),IF(ISNUMBER(Data_2017!Q50),100*ABS($G50-(Data_2017!Q50-$K50)/$M50),0)))</f>
        <v>100</v>
      </c>
      <c r="X50" s="100">
        <f>IF($H50=0,0,CHOOSE($H50,SUMPRODUCT($O51:$O$67*X51:X$67*($E51:$E$67=$D50)),IF(ISNUMBER(Data_2017!R50),100*ABS($G50-(Data_2017!R50-$K50)/$M50),0),IF(ISNUMBER(Data_2017!R50),100*ABS($G50-(Data_2017!R50-$K50)/$M50),0)))</f>
        <v>100</v>
      </c>
      <c r="Y50" s="100">
        <f>IF($H50=0,0,CHOOSE($H50,SUMPRODUCT($O51:$O$67*Y51:Y$67*($E51:$E$67=$D50)),IF(ISNUMBER(Data_2017!S50),100*ABS($G50-(Data_2017!S50-$K50)/$M50),0),IF(ISNUMBER(Data_2017!S50),100*ABS($G50-(Data_2017!S50-$K50)/$M50),0)))</f>
        <v>100</v>
      </c>
      <c r="Z50" s="100">
        <f>IF($H50=0,0,CHOOSE($H50,SUMPRODUCT($O51:$O$67*Z51:Z$67*($E51:$E$67=$D50)),IF(ISNUMBER(Data_2017!T50),100*ABS($G50-(Data_2017!T50-$K50)/$M50),0),IF(ISNUMBER(Data_2017!T50),100*ABS($G50-(Data_2017!T50-$K50)/$M50),0)))</f>
        <v>0</v>
      </c>
      <c r="AA50" s="100">
        <f>IF($H50=0,0,CHOOSE($H50,SUMPRODUCT($O51:$O$67*AA51:AA$67*($E51:$E$67=$D50)),IF(ISNUMBER(Data_2017!U50),100*ABS($G50-(Data_2017!U50-$K50)/$M50),0),IF(ISNUMBER(Data_2017!U50),100*ABS($G50-(Data_2017!U50-$K50)/$M50),0)))</f>
        <v>100</v>
      </c>
      <c r="AB50" s="100">
        <f>IF($H50=0,0,CHOOSE($H50,SUMPRODUCT($O51:$O$67*AB51:AB$67*($E51:$E$67=$D50)),IF(ISNUMBER(Data_2017!V50),100*ABS($G50-(Data_2017!V50-$K50)/$M50),0),IF(ISNUMBER(Data_2017!V50),100*ABS($G50-(Data_2017!V50-$K50)/$M50),0)))</f>
        <v>100</v>
      </c>
      <c r="AC50" s="100">
        <f>IF($H50=0,0,CHOOSE($H50,SUMPRODUCT($O51:$O$67*AC51:AC$67*($E51:$E$67=$D50)),IF(ISNUMBER(Data_2017!W50),100*ABS($G50-(Data_2017!W50-$K50)/$M50),0),IF(ISNUMBER(Data_2017!W50),100*ABS($G50-(Data_2017!W50-$K50)/$M50),0)))</f>
        <v>100</v>
      </c>
      <c r="AD50" s="100">
        <f>IF($H50=0,0,CHOOSE($H50,SUMPRODUCT($O51:$O$67*AD51:AD$67*($E51:$E$67=$D50)),IF(ISNUMBER(Data_2017!X50),100*ABS($G50-(Data_2017!X50-$K50)/$M50),0),IF(ISNUMBER(Data_2017!X50),100*ABS($G50-(Data_2017!X50-$K50)/$M50),0)))</f>
        <v>100</v>
      </c>
      <c r="AE50" s="100">
        <f>IF($H50=0,0,CHOOSE($H50,SUMPRODUCT($O51:$O$67*AE51:AE$67*($E51:$E$67=$D50)),IF(ISNUMBER(Data_2017!Y50),100*ABS($G50-(Data_2017!Y50-$K50)/$M50),0),IF(ISNUMBER(Data_2017!Y50),100*ABS($G50-(Data_2017!Y50-$K50)/$M50),0)))</f>
        <v>0</v>
      </c>
      <c r="AF50" s="100">
        <f>IF($H50=0,0,CHOOSE($H50,SUMPRODUCT($O51:$O$67*AF51:AF$67*($E51:$E$67=$D50)),IF(ISNUMBER(Data_2017!Z50),100*ABS($G50-(Data_2017!Z50-$K50)/$M50),0),IF(ISNUMBER(Data_2017!Z50),100*ABS($G50-(Data_2017!Z50-$K50)/$M50),0)))</f>
        <v>100</v>
      </c>
      <c r="AG50" s="100">
        <f>IF($H50=0,0,CHOOSE($H50,SUMPRODUCT($O51:$O$67*AG51:AG$67*($E51:$E$67=$D50)),IF(ISNUMBER(Data_2017!AA50),100*ABS($G50-(Data_2017!AA50-$K50)/$M50),0),IF(ISNUMBER(Data_2017!AA50),100*ABS($G50-(Data_2017!AA50-$K50)/$M50),0)))</f>
        <v>100</v>
      </c>
      <c r="AH50" s="100">
        <f>IF($H50=0,0,CHOOSE($H50,SUMPRODUCT($O51:$O$67*AH51:AH$67*($E51:$E$67=$D50)),IF(ISNUMBER(Data_2017!AB50),100*ABS($G50-(Data_2017!AB50-$K50)/$M50),0),IF(ISNUMBER(Data_2017!AB50),100*ABS($G50-(Data_2017!AB50-$K50)/$M50),0)))</f>
        <v>0</v>
      </c>
      <c r="AI50" s="100">
        <f>IF($H50=0,0,CHOOSE($H50,SUMPRODUCT($O51:$O$67*AI51:AI$67*($E51:$E$67=$D50)),IF(ISNUMBER(Data_2017!AC50),100*ABS($G50-(Data_2017!AC50-$K50)/$M50),0),IF(ISNUMBER(Data_2017!AC50),100*ABS($G50-(Data_2017!AC50-$K50)/$M50),0)))</f>
        <v>100</v>
      </c>
      <c r="AJ50" s="100">
        <f>IF($H50=0,0,CHOOSE($H50,SUMPRODUCT($O51:$O$67*AJ51:AJ$67*($E51:$E$67=$D50)),IF(ISNUMBER(Data_2017!AD50),100*ABS($G50-(Data_2017!AD50-$K50)/$M50),0),IF(ISNUMBER(Data_2017!AD50),100*ABS($G50-(Data_2017!AD50-$K50)/$M50),0)))</f>
        <v>100</v>
      </c>
      <c r="AK50" s="100">
        <f>IF($H50=0,0,CHOOSE($H50,SUMPRODUCT($O51:$O$67*AK51:AK$67*($E51:$E$67=$D50)),IF(ISNUMBER(Data_2017!AE50),100*ABS($G50-(Data_2017!AE50-$K50)/$M50),0),IF(ISNUMBER(Data_2017!AE50),100*ABS($G50-(Data_2017!AE50-$K50)/$M50),0)))</f>
        <v>100</v>
      </c>
      <c r="AL50" s="100">
        <f>IF($H50=0,0,CHOOSE($H50,SUMPRODUCT($O51:$O$67*AL51:AL$67*($E51:$E$67=$D50)),IF(ISNUMBER(Data_2017!AF50),100*ABS($G50-(Data_2017!AF50-$K50)/$M50),0),IF(ISNUMBER(Data_2017!AF50),100*ABS($G50-(Data_2017!AF50-$K50)/$M50),0)))</f>
        <v>0</v>
      </c>
      <c r="AM50" s="100">
        <f>IF($H50=0,0,CHOOSE($H50,SUMPRODUCT($O51:$O$67*AM51:AM$67*($E51:$E$67=$D50)),IF(ISNUMBER(Data_2017!AG50),100*ABS($G50-(Data_2017!AG50-$K50)/$M50),0),IF(ISNUMBER(Data_2017!AG50),100*ABS($G50-(Data_2017!AG50-$K50)/$M50),0)))</f>
        <v>100</v>
      </c>
      <c r="AN50" s="100">
        <f>IF($H50=0,0,CHOOSE($H50,SUMPRODUCT($O51:$O$67*AN51:AN$67*($E51:$E$67=$D50)),IF(ISNUMBER(Data_2017!AH50),100*ABS($G50-(Data_2017!AH50-$K50)/$M50),0),IF(ISNUMBER(Data_2017!AH50),100*ABS($G50-(Data_2017!AH50-$K50)/$M50),0)))</f>
        <v>0</v>
      </c>
      <c r="AO50" s="100">
        <f>IF($H50=0,0,CHOOSE($H50,SUMPRODUCT($O51:$O$67*AO51:AO$67*($E51:$E$67=$D50)),IF(ISNUMBER(Data_2017!AI50),100*ABS($G50-(Data_2017!AI50-$K50)/$M50),0),IF(ISNUMBER(Data_2017!AI50),100*ABS($G50-(Data_2017!AI50-$K50)/$M50),0)))</f>
        <v>100</v>
      </c>
      <c r="AP50" s="100">
        <f>IF($H50=0,0,CHOOSE($H50,SUMPRODUCT($O51:$O$67*AP51:AP$67*($E51:$E$67=$D50)),IF(ISNUMBER(Data_2017!AJ50),100*ABS($G50-(Data_2017!AJ50-$K50)/$M50),0),IF(ISNUMBER(Data_2017!AJ50),100*ABS($G50-(Data_2017!AJ50-$K50)/$M50),0)))</f>
        <v>100</v>
      </c>
      <c r="AQ50" s="100">
        <f>IF($H50=0,0,CHOOSE($H50,SUMPRODUCT($O51:$O$67*AQ51:AQ$67*($E51:$E$67=$D50)),IF(ISNUMBER(Data_2017!AK50),100*ABS($G50-(Data_2017!AK50-$K50)/$M50),0),IF(ISNUMBER(Data_2017!AK50),100*ABS($G50-(Data_2017!AK50-$K50)/$M50),0)))</f>
        <v>100</v>
      </c>
      <c r="AR50" s="100">
        <f>IF($H50=0,0,CHOOSE($H50,SUMPRODUCT($O51:$O$67*AR51:AR$67*($E51:$E$67=$D50)),IF(ISNUMBER(Data_2017!AL50),100*ABS($G50-(Data_2017!AL50-$K50)/$M50),0),IF(ISNUMBER(Data_2017!AL50),100*ABS($G50-(Data_2017!AL50-$K50)/$M50),0)))</f>
        <v>100</v>
      </c>
      <c r="AS50" s="100">
        <f>IF($H50=0,0,CHOOSE($H50,SUMPRODUCT($O51:$O$67*AS51:AS$67*($E51:$E$67=$D50)),IF(ISNUMBER(Data_2017!AM50),100*ABS($G50-(Data_2017!AM50-$K50)/$M50),0),IF(ISNUMBER(Data_2017!AM50),100*ABS($G50-(Data_2017!AM50-$K50)/$M50),0)))</f>
        <v>100</v>
      </c>
      <c r="AT50" s="100">
        <f>IF($H50=0,0,CHOOSE($H50,SUMPRODUCT($O51:$O$67*AT51:AT$67*($E51:$E$67=$D50)),IF(ISNUMBER(Data_2017!AN50),100*ABS($G50-(Data_2017!AN50-$K50)/$M50),0),IF(ISNUMBER(Data_2017!AN50),100*ABS($G50-(Data_2017!AN50-$K50)/$M50),0)))</f>
        <v>100</v>
      </c>
      <c r="AU50" s="100">
        <f>IF($H50=0,0,CHOOSE($H50,SUMPRODUCT($O51:$O$67*AU51:AU$67*($E51:$E$67=$D50)),IF(ISNUMBER(Data_2017!AO50),100*ABS($G50-(Data_2017!AO50-$K50)/$M50),0),IF(ISNUMBER(Data_2017!AO50),100*ABS($G50-(Data_2017!AO50-$K50)/$M50),0)))</f>
        <v>100</v>
      </c>
      <c r="AV50" s="100">
        <f>IF($H50=0,0,CHOOSE($H50,SUMPRODUCT($O51:$O$67*AV51:AV$67*($E51:$E$67=$D50)),IF(ISNUMBER(Data_2017!AP50),100*ABS($G50-(Data_2017!AP50-$K50)/$M50),0),IF(ISNUMBER(Data_2017!AP50),100*ABS($G50-(Data_2017!AP50-$K50)/$M50),0)))</f>
        <v>100</v>
      </c>
      <c r="AW50" s="100">
        <f>IF($H50=0,0,CHOOSE($H50,SUMPRODUCT($O51:$O$67*AW51:AW$67*($E51:$E$67=$D50)),IF(ISNUMBER(Data_2017!AQ50),100*ABS($G50-(Data_2017!AQ50-$K50)/$M50),0),IF(ISNUMBER(Data_2017!AQ50),100*ABS($G50-(Data_2017!AQ50-$K50)/$M50),0)))</f>
        <v>100</v>
      </c>
      <c r="AX50" s="100">
        <f>IF($H50=0,0,CHOOSE($H50,SUMPRODUCT($O51:$O$67*AX51:AX$67*($E51:$E$67=$D50)),IF(ISNUMBER(Data_2017!AR50),100*ABS($G50-(Data_2017!AR50-$K50)/$M50),0),IF(ISNUMBER(Data_2017!AR50),100*ABS($G50-(Data_2017!AR50-$K50)/$M50),0)))</f>
        <v>100</v>
      </c>
      <c r="AY50" s="100">
        <f>IF($H50=0,0,CHOOSE($H50,SUMPRODUCT($O51:$O$67*AY51:AY$67*($E51:$E$67=$D50)),IF(ISNUMBER(Data_2017!AS50),100*ABS($G50-(Data_2017!AS50-$K50)/$M50),0),IF(ISNUMBER(Data_2017!AS50),100*ABS($G50-(Data_2017!AS50-$K50)/$M50),0)))</f>
        <v>100</v>
      </c>
      <c r="AZ50" s="100">
        <f>IF($H50=0,0,CHOOSE($H50,SUMPRODUCT($O51:$O$67*AZ51:AZ$67*($E51:$E$67=$D50)),IF(ISNUMBER(Data_2017!AT50),100*ABS($G50-(Data_2017!AT50-$K50)/$M50),0),IF(ISNUMBER(Data_2017!AT50),100*ABS($G50-(Data_2017!AT50-$K50)/$M50),0)))</f>
        <v>100</v>
      </c>
      <c r="BA50" s="100">
        <f>IF($H50=0,0,CHOOSE($H50,SUMPRODUCT($O51:$O$67*BA51:BA$67*($E51:$E$67=$D50)),IF(ISNUMBER(Data_2017!AU50),100*ABS($G50-(Data_2017!AU50-$K50)/$M50),0),IF(ISNUMBER(Data_2017!AU50),100*ABS($G50-(Data_2017!AU50-$K50)/$M50),0)))</f>
        <v>100</v>
      </c>
      <c r="BB50" s="100">
        <f>IF($H50=0,0,CHOOSE($H50,SUMPRODUCT($O51:$O$67*BB51:BB$67*($E51:$E$67=$D50)),IF(ISNUMBER(Data_2017!AV50),100*ABS($G50-(Data_2017!AV50-$K50)/$M50),0),IF(ISNUMBER(Data_2017!AV50),100*ABS($G50-(Data_2017!AV50-$K50)/$M50),0)))</f>
        <v>100</v>
      </c>
      <c r="BC50" s="100">
        <f>IF($H50=0,0,CHOOSE($H50,SUMPRODUCT($O51:$O$67*BC51:BC$67*($E51:$E$67=$D50)),IF(ISNUMBER(Data_2017!AW50),100*ABS($G50-(Data_2017!AW50-$K50)/$M50),0),IF(ISNUMBER(Data_2017!AW50),100*ABS($G50-(Data_2017!AW50-$K50)/$M50),0)))</f>
        <v>100</v>
      </c>
      <c r="BD50" s="100">
        <f>IF($H50=0,0,CHOOSE($H50,SUMPRODUCT($O51:$O$67*BD51:BD$67*($E51:$E$67=$D50)),IF(ISNUMBER(Data_2017!AX50),100*ABS($G50-(Data_2017!AX50-$K50)/$M50),0),IF(ISNUMBER(Data_2017!AX50),100*ABS($G50-(Data_2017!AX50-$K50)/$M50),0)))</f>
        <v>0</v>
      </c>
      <c r="BE50" s="100">
        <f>IF($H50=0,0,CHOOSE($H50,SUMPRODUCT($O51:$O$67*BE51:BE$67*($E51:$E$67=$D50)),IF(ISNUMBER(Data_2017!AY50),100*ABS($G50-(Data_2017!AY50-$K50)/$M50),0),IF(ISNUMBER(Data_2017!AY50),100*ABS($G50-(Data_2017!AY50-$K50)/$M50),0)))</f>
        <v>100</v>
      </c>
      <c r="BF50" s="100">
        <f>IF($H50=0,0,CHOOSE($H50,SUMPRODUCT($O51:$O$67*BF51:BF$67*($E51:$E$67=$D50)),IF(ISNUMBER(Data_2017!AZ50),100*ABS($G50-(Data_2017!AZ50-$K50)/$M50),0),IF(ISNUMBER(Data_2017!AZ50),100*ABS($G50-(Data_2017!AZ50-$K50)/$M50),0)))</f>
        <v>0</v>
      </c>
      <c r="BG50" s="100">
        <f>IF($H50=0,0,CHOOSE($H50,SUMPRODUCT($O51:$O$67*BG51:BG$67*($E51:$E$67=$D50)),IF(ISNUMBER(Data_2017!BA50),100*ABS($G50-(Data_2017!BA50-$K50)/$M50),0),IF(ISNUMBER(Data_2017!BA50),100*ABS($G50-(Data_2017!BA50-$K50)/$M50),0)))</f>
        <v>100</v>
      </c>
      <c r="BH50" s="100">
        <f>IF($H50=0,0,CHOOSE($H50,SUMPRODUCT($O51:$O$67*BH51:BH$67*($E51:$E$67=$D50)),IF(ISNUMBER(Data_2017!BB50),100*ABS($G50-(Data_2017!BB50-$K50)/$M50),0),IF(ISNUMBER(Data_2017!BB50),100*ABS($G50-(Data_2017!BB50-$K50)/$M50),0)))</f>
        <v>100</v>
      </c>
      <c r="BI50" s="100">
        <f>IF($H50=0,0,CHOOSE($H50,SUMPRODUCT($O51:$O$67*BI51:BI$67*($E51:$E$67=$D50)),IF(ISNUMBER(Data_2017!BC50),100*ABS($G50-(Data_2017!BC50-$K50)/$M50),0),IF(ISNUMBER(Data_2017!BC50),100*ABS($G50-(Data_2017!BC50-$K50)/$M50),0)))</f>
        <v>100</v>
      </c>
      <c r="BJ50" s="100">
        <f>IF($H50=0,0,CHOOSE($H50,SUMPRODUCT($O51:$O$67*BJ51:BJ$67*($E51:$E$67=$D50)),IF(ISNUMBER(Data_2017!BD50),100*ABS($G50-(Data_2017!BD50-$K50)/$M50),0),IF(ISNUMBER(Data_2017!BD50),100*ABS($G50-(Data_2017!BD50-$K50)/$M50),0)))</f>
        <v>100</v>
      </c>
      <c r="BK50" s="100">
        <f>IF($H50=0,0,CHOOSE($H50,SUMPRODUCT($O51:$O$67*BK51:BK$67*($E51:$E$67=$D50)),IF(ISNUMBER(Data_2017!BE50),100*ABS($G50-(Data_2017!BE50-$K50)/$M50),0),IF(ISNUMBER(Data_2017!BE50),100*ABS($G50-(Data_2017!BE50-$K50)/$M50),0)))</f>
        <v>100</v>
      </c>
      <c r="BL50" s="100">
        <f>IF($H50=0,0,CHOOSE($H50,SUMPRODUCT($O51:$O$67*BL51:BL$67*($E51:$E$67=$D50)),IF(ISNUMBER(Data_2017!BF50),100*ABS($G50-(Data_2017!BF50-$K50)/$M50),0),IF(ISNUMBER(Data_2017!BF50),100*ABS($G50-(Data_2017!BF50-$K50)/$M50),0)))</f>
        <v>100</v>
      </c>
      <c r="BM50" s="100">
        <f>IF($H50=0,0,CHOOSE($H50,SUMPRODUCT($O51:$O$67*BM51:BM$67*($E51:$E$67=$D50)),IF(ISNUMBER(Data_2017!BG50),100*ABS($G50-(Data_2017!BG50-$K50)/$M50),0),IF(ISNUMBER(Data_2017!BG50),100*ABS($G50-(Data_2017!BG50-$K50)/$M50),0)))</f>
        <v>100</v>
      </c>
      <c r="BN50" s="100">
        <f>IF($H50=0,0,CHOOSE($H50,SUMPRODUCT($O51:$O$67*BN51:BN$67*($E51:$E$67=$D50)),IF(ISNUMBER(Data_2017!BH50),100*ABS($G50-(Data_2017!BH50-$K50)/$M50),0),IF(ISNUMBER(Data_2017!BH50),100*ABS($G50-(Data_2017!BH50-$K50)/$M50),0)))</f>
        <v>100</v>
      </c>
      <c r="BO50" s="100">
        <f>IF($H50=0,0,CHOOSE($H50,SUMPRODUCT($O51:$O$67*BO51:BO$67*($E51:$E$67=$D50)),IF(ISNUMBER(Data_2017!BI50),100*ABS($G50-(Data_2017!BI50-$K50)/$M50),0),IF(ISNUMBER(Data_2017!BI50),100*ABS($G50-(Data_2017!BI50-$K50)/$M50),0)))</f>
        <v>100</v>
      </c>
      <c r="BP50" s="100">
        <f>IF($H50=0,0,CHOOSE($H50,SUMPRODUCT($O51:$O$67*BP51:BP$67*($E51:$E$67=$D50)),IF(ISNUMBER(Data_2017!BJ50),100*ABS($G50-(Data_2017!BJ50-$K50)/$M50),0),IF(ISNUMBER(Data_2017!BJ50),100*ABS($G50-(Data_2017!BJ50-$K50)/$M50),0)))</f>
        <v>100</v>
      </c>
      <c r="BQ50" s="100">
        <f>IF($H50=0,0,CHOOSE($H50,SUMPRODUCT($O51:$O$67*BQ51:BQ$67*($E51:$E$67=$D50)),IF(ISNUMBER(Data_2017!BK50),100*ABS($G50-(Data_2017!BK50-$K50)/$M50),0),IF(ISNUMBER(Data_2017!BK50),100*ABS($G50-(Data_2017!BK50-$K50)/$M50),0)))</f>
        <v>100</v>
      </c>
      <c r="BR50" s="100">
        <f>IF($H50=0,0,CHOOSE($H50,SUMPRODUCT($O51:$O$67*BR51:BR$67*($E51:$E$67=$D50)),IF(ISNUMBER(Data_2017!BL50),100*ABS($G50-(Data_2017!BL50-$K50)/$M50),0),IF(ISNUMBER(Data_2017!BL50),100*ABS($G50-(Data_2017!BL50-$K50)/$M50),0)))</f>
        <v>100</v>
      </c>
      <c r="BS50" s="100">
        <f>IF($H50=0,0,CHOOSE($H50,SUMPRODUCT($O51:$O$67*BS51:BS$67*($E51:$E$67=$D50)),IF(ISNUMBER(Data_2017!BM50),100*ABS($G50-(Data_2017!BM50-$K50)/$M50),0),IF(ISNUMBER(Data_2017!BM50),100*ABS($G50-(Data_2017!BM50-$K50)/$M50),0)))</f>
        <v>100</v>
      </c>
      <c r="BT50" s="100">
        <f>IF($H50=0,0,CHOOSE($H50,SUMPRODUCT($O51:$O$67*BT51:BT$67*($E51:$E$67=$D50)),IF(ISNUMBER(Data_2017!BN50),100*ABS($G50-(Data_2017!BN50-$K50)/$M50),0),IF(ISNUMBER(Data_2017!BN50),100*ABS($G50-(Data_2017!BN50-$K50)/$M50),0)))</f>
        <v>100</v>
      </c>
      <c r="BU50" s="100">
        <f>IF($H50=0,0,CHOOSE($H50,SUMPRODUCT($O51:$O$67*BU51:BU$67*($E51:$E$67=$D50)),IF(ISNUMBER(Data_2017!BO50),100*ABS($G50-(Data_2017!BO50-$K50)/$M50),0),IF(ISNUMBER(Data_2017!BO50),100*ABS($G50-(Data_2017!BO50-$K50)/$M50),0)))</f>
        <v>100</v>
      </c>
      <c r="BV50" s="100">
        <f>IF($H50=0,0,CHOOSE($H50,SUMPRODUCT($O51:$O$67*BV51:BV$67*($E51:$E$67=$D50)),IF(ISNUMBER(Data_2017!BP50),100*ABS($G50-(Data_2017!BP50-$K50)/$M50),0),IF(ISNUMBER(Data_2017!BP50),100*ABS($G50-(Data_2017!BP50-$K50)/$M50),0)))</f>
        <v>0</v>
      </c>
      <c r="BW50" s="100">
        <f>IF($H50=0,0,CHOOSE($H50,SUMPRODUCT($O51:$O$67*BW51:BW$67*($E51:$E$67=$D50)),IF(ISNUMBER(Data_2017!BQ50),100*ABS($G50-(Data_2017!BQ50-$K50)/$M50),0),IF(ISNUMBER(Data_2017!BQ50),100*ABS($G50-(Data_2017!BQ50-$K50)/$M50),0)))</f>
        <v>100</v>
      </c>
      <c r="BX50" s="100">
        <f>IF($H50=0,0,CHOOSE($H50,SUMPRODUCT($O51:$O$67*BX51:BX$67*($E51:$E$67=$D50)),IF(ISNUMBER(Data_2017!BR50),100*ABS($G50-(Data_2017!BR50-$K50)/$M50),0),IF(ISNUMBER(Data_2017!BR50),100*ABS($G50-(Data_2017!BR50-$K50)/$M50),0)))</f>
        <v>100</v>
      </c>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row>
    <row r="51" s="69" customFormat="1" ht="24.95" customHeight="1" spans="1:130">
      <c r="A51" s="92"/>
      <c r="B51" s="92">
        <f>tblIndicators!A47</f>
        <v>46</v>
      </c>
      <c r="C51" s="92">
        <f>tblIndicators!B47</f>
        <v>0</v>
      </c>
      <c r="D51" s="92" t="str">
        <f>tblIndicators!D47</f>
        <v>PESE4.1.4</v>
      </c>
      <c r="E51" s="92" t="str">
        <f>tblIndicators!E47</f>
        <v>PESE4.1</v>
      </c>
      <c r="F51" s="92">
        <f>tblIndicators!F47</f>
        <v>3</v>
      </c>
      <c r="G51" s="92">
        <f>tblIndicators!Y47</f>
        <v>0</v>
      </c>
      <c r="H51" s="92">
        <f>tblIndicators!Z47</f>
        <v>2</v>
      </c>
      <c r="I51" s="104">
        <f>tblIndicators!AA47</f>
        <v>0</v>
      </c>
      <c r="J51" s="92">
        <f>tblIndicators!AB47</f>
        <v>1</v>
      </c>
      <c r="K51" s="89">
        <f>IF(uxb_works!$B$66=1,CHOOSE(H51,"-",MIN(Data_2017!J51:BR51),I51),CHOOSE(H51,"-",MIN(Data_2017!J51:BQ51),I51))</f>
        <v>0</v>
      </c>
      <c r="L51" s="97">
        <f>IF(uxb_works!$B$66=1,CHOOSE(H51,"-",MAX(Data_2017!J51:BR51),J51),CHOOSE(H51,"-",MAX(Data_2017!J51:BQ51),J51))</f>
        <v>1</v>
      </c>
      <c r="M51" s="92">
        <f t="shared" si="1"/>
        <v>1</v>
      </c>
      <c r="N51" s="105" t="str">
        <f>REPT(" ",F51)&amp;tblIndicators!AE47</f>
        <v>   4.1.4) Use of data-driven techniques for crime</v>
      </c>
      <c r="O51" s="106">
        <f>tblIndicators!AD47</f>
        <v>0.142857142857143</v>
      </c>
      <c r="P51" s="100">
        <f>IF($H51=0,0,CHOOSE($H51,SUMPRODUCT($O52:$O$67*P52:P$67*($E52:$E$67=$D51)),IF(ISNUMBER(Data_2017!J51),100*ABS($G51-(Data_2017!J51-$K51)/$M51),0),IF(ISNUMBER(Data_2017!J51),100*ABS($G51-(Data_2017!J51-$K51)/$M51),0)))</f>
        <v>0</v>
      </c>
      <c r="Q51" s="100">
        <f>IF($H51=0,0,CHOOSE($H51,SUMPRODUCT($O52:$O$67*Q52:Q$67*($E52:$E$67=$D51)),IF(ISNUMBER(Data_2017!K51),100*ABS($G51-(Data_2017!K51-$K51)/$M51),0),IF(ISNUMBER(Data_2017!K51),100*ABS($G51-(Data_2017!K51-$K51)/$M51),0)))</f>
        <v>100</v>
      </c>
      <c r="R51" s="100">
        <f>IF($H51=0,0,CHOOSE($H51,SUMPRODUCT($O52:$O$67*R52:R$67*($E52:$E$67=$D51)),IF(ISNUMBER(Data_2017!L51),100*ABS($G51-(Data_2017!L51-$K51)/$M51),0),IF(ISNUMBER(Data_2017!L51),100*ABS($G51-(Data_2017!L51-$K51)/$M51),0)))</f>
        <v>100</v>
      </c>
      <c r="S51" s="100">
        <f>IF($H51=0,0,CHOOSE($H51,SUMPRODUCT($O52:$O$67*S52:S$67*($E52:$E$67=$D51)),IF(ISNUMBER(Data_2017!M51),100*ABS($G51-(Data_2017!M51-$K51)/$M51),0),IF(ISNUMBER(Data_2017!M51),100*ABS($G51-(Data_2017!M51-$K51)/$M51),0)))</f>
        <v>100</v>
      </c>
      <c r="T51" s="100">
        <f>IF($H51=0,0,CHOOSE($H51,SUMPRODUCT($O52:$O$67*T52:T$67*($E52:$E$67=$D51)),IF(ISNUMBER(Data_2017!N51),100*ABS($G51-(Data_2017!N51-$K51)/$M51),0),IF(ISNUMBER(Data_2017!N51),100*ABS($G51-(Data_2017!N51-$K51)/$M51),0)))</f>
        <v>100</v>
      </c>
      <c r="U51" s="100">
        <f>IF($H51=0,0,CHOOSE($H51,SUMPRODUCT($O52:$O$67*U52:U$67*($E52:$E$67=$D51)),IF(ISNUMBER(Data_2017!O51),100*ABS($G51-(Data_2017!O51-$K51)/$M51),0),IF(ISNUMBER(Data_2017!O51),100*ABS($G51-(Data_2017!O51-$K51)/$M51),0)))</f>
        <v>100</v>
      </c>
      <c r="V51" s="100">
        <f>IF($H51=0,0,CHOOSE($H51,SUMPRODUCT($O52:$O$67*V52:V$67*($E52:$E$67=$D51)),IF(ISNUMBER(Data_2017!P51),100*ABS($G51-(Data_2017!P51-$K51)/$M51),0),IF(ISNUMBER(Data_2017!P51),100*ABS($G51-(Data_2017!P51-$K51)/$M51),0)))</f>
        <v>100</v>
      </c>
      <c r="W51" s="100">
        <f>IF($H51=0,0,CHOOSE($H51,SUMPRODUCT($O52:$O$67*W52:W$67*($E52:$E$67=$D51)),IF(ISNUMBER(Data_2017!Q51),100*ABS($G51-(Data_2017!Q51-$K51)/$M51),0),IF(ISNUMBER(Data_2017!Q51),100*ABS($G51-(Data_2017!Q51-$K51)/$M51),0)))</f>
        <v>100</v>
      </c>
      <c r="X51" s="100">
        <f>IF($H51=0,0,CHOOSE($H51,SUMPRODUCT($O52:$O$67*X52:X$67*($E52:$E$67=$D51)),IF(ISNUMBER(Data_2017!R51),100*ABS($G51-(Data_2017!R51-$K51)/$M51),0),IF(ISNUMBER(Data_2017!R51),100*ABS($G51-(Data_2017!R51-$K51)/$M51),0)))</f>
        <v>100</v>
      </c>
      <c r="Y51" s="100">
        <f>IF($H51=0,0,CHOOSE($H51,SUMPRODUCT($O52:$O$67*Y52:Y$67*($E52:$E$67=$D51)),IF(ISNUMBER(Data_2017!S51),100*ABS($G51-(Data_2017!S51-$K51)/$M51),0),IF(ISNUMBER(Data_2017!S51),100*ABS($G51-(Data_2017!S51-$K51)/$M51),0)))</f>
        <v>100</v>
      </c>
      <c r="Z51" s="100">
        <f>IF($H51=0,0,CHOOSE($H51,SUMPRODUCT($O52:$O$67*Z52:Z$67*($E52:$E$67=$D51)),IF(ISNUMBER(Data_2017!T51),100*ABS($G51-(Data_2017!T51-$K51)/$M51),0),IF(ISNUMBER(Data_2017!T51),100*ABS($G51-(Data_2017!T51-$K51)/$M51),0)))</f>
        <v>0</v>
      </c>
      <c r="AA51" s="100">
        <f>IF($H51=0,0,CHOOSE($H51,SUMPRODUCT($O52:$O$67*AA52:AA$67*($E52:$E$67=$D51)),IF(ISNUMBER(Data_2017!U51),100*ABS($G51-(Data_2017!U51-$K51)/$M51),0),IF(ISNUMBER(Data_2017!U51),100*ABS($G51-(Data_2017!U51-$K51)/$M51),0)))</f>
        <v>0</v>
      </c>
      <c r="AB51" s="100">
        <f>IF($H51=0,0,CHOOSE($H51,SUMPRODUCT($O52:$O$67*AB52:AB$67*($E52:$E$67=$D51)),IF(ISNUMBER(Data_2017!V51),100*ABS($G51-(Data_2017!V51-$K51)/$M51),0),IF(ISNUMBER(Data_2017!V51),100*ABS($G51-(Data_2017!V51-$K51)/$M51),0)))</f>
        <v>100</v>
      </c>
      <c r="AC51" s="100">
        <f>IF($H51=0,0,CHOOSE($H51,SUMPRODUCT($O52:$O$67*AC52:AC$67*($E52:$E$67=$D51)),IF(ISNUMBER(Data_2017!W51),100*ABS($G51-(Data_2017!W51-$K51)/$M51),0),IF(ISNUMBER(Data_2017!W51),100*ABS($G51-(Data_2017!W51-$K51)/$M51),0)))</f>
        <v>100</v>
      </c>
      <c r="AD51" s="100">
        <f>IF($H51=0,0,CHOOSE($H51,SUMPRODUCT($O52:$O$67*AD52:AD$67*($E52:$E$67=$D51)),IF(ISNUMBER(Data_2017!X51),100*ABS($G51-(Data_2017!X51-$K51)/$M51),0),IF(ISNUMBER(Data_2017!X51),100*ABS($G51-(Data_2017!X51-$K51)/$M51),0)))</f>
        <v>100</v>
      </c>
      <c r="AE51" s="100">
        <f>IF($H51=0,0,CHOOSE($H51,SUMPRODUCT($O52:$O$67*AE52:AE$67*($E52:$E$67=$D51)),IF(ISNUMBER(Data_2017!Y51),100*ABS($G51-(Data_2017!Y51-$K51)/$M51),0),IF(ISNUMBER(Data_2017!Y51),100*ABS($G51-(Data_2017!Y51-$K51)/$M51),0)))</f>
        <v>100</v>
      </c>
      <c r="AF51" s="100">
        <f>IF($H51=0,0,CHOOSE($H51,SUMPRODUCT($O52:$O$67*AF52:AF$67*($E52:$E$67=$D51)),IF(ISNUMBER(Data_2017!Z51),100*ABS($G51-(Data_2017!Z51-$K51)/$M51),0),IF(ISNUMBER(Data_2017!Z51),100*ABS($G51-(Data_2017!Z51-$K51)/$M51),0)))</f>
        <v>100</v>
      </c>
      <c r="AG51" s="100">
        <f>IF($H51=0,0,CHOOSE($H51,SUMPRODUCT($O52:$O$67*AG52:AG$67*($E52:$E$67=$D51)),IF(ISNUMBER(Data_2017!AA51),100*ABS($G51-(Data_2017!AA51-$K51)/$M51),0),IF(ISNUMBER(Data_2017!AA51),100*ABS($G51-(Data_2017!AA51-$K51)/$M51),0)))</f>
        <v>100</v>
      </c>
      <c r="AH51" s="100">
        <f>IF($H51=0,0,CHOOSE($H51,SUMPRODUCT($O52:$O$67*AH52:AH$67*($E52:$E$67=$D51)),IF(ISNUMBER(Data_2017!AB51),100*ABS($G51-(Data_2017!AB51-$K51)/$M51),0),IF(ISNUMBER(Data_2017!AB51),100*ABS($G51-(Data_2017!AB51-$K51)/$M51),0)))</f>
        <v>0</v>
      </c>
      <c r="AI51" s="100">
        <f>IF($H51=0,0,CHOOSE($H51,SUMPRODUCT($O52:$O$67*AI52:AI$67*($E52:$E$67=$D51)),IF(ISNUMBER(Data_2017!AC51),100*ABS($G51-(Data_2017!AC51-$K51)/$M51),0),IF(ISNUMBER(Data_2017!AC51),100*ABS($G51-(Data_2017!AC51-$K51)/$M51),0)))</f>
        <v>100</v>
      </c>
      <c r="AJ51" s="100">
        <f>IF($H51=0,0,CHOOSE($H51,SUMPRODUCT($O52:$O$67*AJ52:AJ$67*($E52:$E$67=$D51)),IF(ISNUMBER(Data_2017!AD51),100*ABS($G51-(Data_2017!AD51-$K51)/$M51),0),IF(ISNUMBER(Data_2017!AD51),100*ABS($G51-(Data_2017!AD51-$K51)/$M51),0)))</f>
        <v>100</v>
      </c>
      <c r="AK51" s="100">
        <f>IF($H51=0,0,CHOOSE($H51,SUMPRODUCT($O52:$O$67*AK52:AK$67*($E52:$E$67=$D51)),IF(ISNUMBER(Data_2017!AE51),100*ABS($G51-(Data_2017!AE51-$K51)/$M51),0),IF(ISNUMBER(Data_2017!AE51),100*ABS($G51-(Data_2017!AE51-$K51)/$M51),0)))</f>
        <v>0</v>
      </c>
      <c r="AL51" s="100">
        <f>IF($H51=0,0,CHOOSE($H51,SUMPRODUCT($O52:$O$67*AL52:AL$67*($E52:$E$67=$D51)),IF(ISNUMBER(Data_2017!AF51),100*ABS($G51-(Data_2017!AF51-$K51)/$M51),0),IF(ISNUMBER(Data_2017!AF51),100*ABS($G51-(Data_2017!AF51-$K51)/$M51),0)))</f>
        <v>100</v>
      </c>
      <c r="AM51" s="100">
        <f>IF($H51=0,0,CHOOSE($H51,SUMPRODUCT($O52:$O$67*AM52:AM$67*($E52:$E$67=$D51)),IF(ISNUMBER(Data_2017!AG51),100*ABS($G51-(Data_2017!AG51-$K51)/$M51),0),IF(ISNUMBER(Data_2017!AG51),100*ABS($G51-(Data_2017!AG51-$K51)/$M51),0)))</f>
        <v>0</v>
      </c>
      <c r="AN51" s="100">
        <f>IF($H51=0,0,CHOOSE($H51,SUMPRODUCT($O52:$O$67*AN52:AN$67*($E52:$E$67=$D51)),IF(ISNUMBER(Data_2017!AH51),100*ABS($G51-(Data_2017!AH51-$K51)/$M51),0),IF(ISNUMBER(Data_2017!AH51),100*ABS($G51-(Data_2017!AH51-$K51)/$M51),0)))</f>
        <v>0</v>
      </c>
      <c r="AO51" s="100">
        <f>IF($H51=0,0,CHOOSE($H51,SUMPRODUCT($O52:$O$67*AO52:AO$67*($E52:$E$67=$D51)),IF(ISNUMBER(Data_2017!AI51),100*ABS($G51-(Data_2017!AI51-$K51)/$M51),0),IF(ISNUMBER(Data_2017!AI51),100*ABS($G51-(Data_2017!AI51-$K51)/$M51),0)))</f>
        <v>100</v>
      </c>
      <c r="AP51" s="100">
        <f>IF($H51=0,0,CHOOSE($H51,SUMPRODUCT($O52:$O$67*AP52:AP$67*($E52:$E$67=$D51)),IF(ISNUMBER(Data_2017!AJ51),100*ABS($G51-(Data_2017!AJ51-$K51)/$M51),0),IF(ISNUMBER(Data_2017!AJ51),100*ABS($G51-(Data_2017!AJ51-$K51)/$M51),0)))</f>
        <v>0</v>
      </c>
      <c r="AQ51" s="100">
        <f>IF($H51=0,0,CHOOSE($H51,SUMPRODUCT($O52:$O$67*AQ52:AQ$67*($E52:$E$67=$D51)),IF(ISNUMBER(Data_2017!AK51),100*ABS($G51-(Data_2017!AK51-$K51)/$M51),0),IF(ISNUMBER(Data_2017!AK51),100*ABS($G51-(Data_2017!AK51-$K51)/$M51),0)))</f>
        <v>0</v>
      </c>
      <c r="AR51" s="100">
        <f>IF($H51=0,0,CHOOSE($H51,SUMPRODUCT($O52:$O$67*AR52:AR$67*($E52:$E$67=$D51)),IF(ISNUMBER(Data_2017!AL51),100*ABS($G51-(Data_2017!AL51-$K51)/$M51),0),IF(ISNUMBER(Data_2017!AL51),100*ABS($G51-(Data_2017!AL51-$K51)/$M51),0)))</f>
        <v>100</v>
      </c>
      <c r="AS51" s="100">
        <f>IF($H51=0,0,CHOOSE($H51,SUMPRODUCT($O52:$O$67*AS52:AS$67*($E52:$E$67=$D51)),IF(ISNUMBER(Data_2017!AM51),100*ABS($G51-(Data_2017!AM51-$K51)/$M51),0),IF(ISNUMBER(Data_2017!AM51),100*ABS($G51-(Data_2017!AM51-$K51)/$M51),0)))</f>
        <v>100</v>
      </c>
      <c r="AT51" s="100">
        <f>IF($H51=0,0,CHOOSE($H51,SUMPRODUCT($O52:$O$67*AT52:AT$67*($E52:$E$67=$D51)),IF(ISNUMBER(Data_2017!AN51),100*ABS($G51-(Data_2017!AN51-$K51)/$M51),0),IF(ISNUMBER(Data_2017!AN51),100*ABS($G51-(Data_2017!AN51-$K51)/$M51),0)))</f>
        <v>100</v>
      </c>
      <c r="AU51" s="100">
        <f>IF($H51=0,0,CHOOSE($H51,SUMPRODUCT($O52:$O$67*AU52:AU$67*($E52:$E$67=$D51)),IF(ISNUMBER(Data_2017!AO51),100*ABS($G51-(Data_2017!AO51-$K51)/$M51),0),IF(ISNUMBER(Data_2017!AO51),100*ABS($G51-(Data_2017!AO51-$K51)/$M51),0)))</f>
        <v>100</v>
      </c>
      <c r="AV51" s="100">
        <f>IF($H51=0,0,CHOOSE($H51,SUMPRODUCT($O52:$O$67*AV52:AV$67*($E52:$E$67=$D51)),IF(ISNUMBER(Data_2017!AP51),100*ABS($G51-(Data_2017!AP51-$K51)/$M51),0),IF(ISNUMBER(Data_2017!AP51),100*ABS($G51-(Data_2017!AP51-$K51)/$M51),0)))</f>
        <v>100</v>
      </c>
      <c r="AW51" s="100">
        <f>IF($H51=0,0,CHOOSE($H51,SUMPRODUCT($O52:$O$67*AW52:AW$67*($E52:$E$67=$D51)),IF(ISNUMBER(Data_2017!AQ51),100*ABS($G51-(Data_2017!AQ51-$K51)/$M51),0),IF(ISNUMBER(Data_2017!AQ51),100*ABS($G51-(Data_2017!AQ51-$K51)/$M51),0)))</f>
        <v>100</v>
      </c>
      <c r="AX51" s="100">
        <f>IF($H51=0,0,CHOOSE($H51,SUMPRODUCT($O52:$O$67*AX52:AX$67*($E52:$E$67=$D51)),IF(ISNUMBER(Data_2017!AR51),100*ABS($G51-(Data_2017!AR51-$K51)/$M51),0),IF(ISNUMBER(Data_2017!AR51),100*ABS($G51-(Data_2017!AR51-$K51)/$M51),0)))</f>
        <v>100</v>
      </c>
      <c r="AY51" s="100">
        <f>IF($H51=0,0,CHOOSE($H51,SUMPRODUCT($O52:$O$67*AY52:AY$67*($E52:$E$67=$D51)),IF(ISNUMBER(Data_2017!AS51),100*ABS($G51-(Data_2017!AS51-$K51)/$M51),0),IF(ISNUMBER(Data_2017!AS51),100*ABS($G51-(Data_2017!AS51-$K51)/$M51),0)))</f>
        <v>0</v>
      </c>
      <c r="AZ51" s="100">
        <f>IF($H51=0,0,CHOOSE($H51,SUMPRODUCT($O52:$O$67*AZ52:AZ$67*($E52:$E$67=$D51)),IF(ISNUMBER(Data_2017!AT51),100*ABS($G51-(Data_2017!AT51-$K51)/$M51),0),IF(ISNUMBER(Data_2017!AT51),100*ABS($G51-(Data_2017!AT51-$K51)/$M51),0)))</f>
        <v>100</v>
      </c>
      <c r="BA51" s="100">
        <f>IF($H51=0,0,CHOOSE($H51,SUMPRODUCT($O52:$O$67*BA52:BA$67*($E52:$E$67=$D51)),IF(ISNUMBER(Data_2017!AU51),100*ABS($G51-(Data_2017!AU51-$K51)/$M51),0),IF(ISNUMBER(Data_2017!AU51),100*ABS($G51-(Data_2017!AU51-$K51)/$M51),0)))</f>
        <v>100</v>
      </c>
      <c r="BB51" s="100">
        <f>IF($H51=0,0,CHOOSE($H51,SUMPRODUCT($O52:$O$67*BB52:BB$67*($E52:$E$67=$D51)),IF(ISNUMBER(Data_2017!AV51),100*ABS($G51-(Data_2017!AV51-$K51)/$M51),0),IF(ISNUMBER(Data_2017!AV51),100*ABS($G51-(Data_2017!AV51-$K51)/$M51),0)))</f>
        <v>100</v>
      </c>
      <c r="BC51" s="100">
        <f>IF($H51=0,0,CHOOSE($H51,SUMPRODUCT($O52:$O$67*BC52:BC$67*($E52:$E$67=$D51)),IF(ISNUMBER(Data_2017!AW51),100*ABS($G51-(Data_2017!AW51-$K51)/$M51),0),IF(ISNUMBER(Data_2017!AW51),100*ABS($G51-(Data_2017!AW51-$K51)/$M51),0)))</f>
        <v>100</v>
      </c>
      <c r="BD51" s="100">
        <f>IF($H51=0,0,CHOOSE($H51,SUMPRODUCT($O52:$O$67*BD52:BD$67*($E52:$E$67=$D51)),IF(ISNUMBER(Data_2017!AX51),100*ABS($G51-(Data_2017!AX51-$K51)/$M51),0),IF(ISNUMBER(Data_2017!AX51),100*ABS($G51-(Data_2017!AX51-$K51)/$M51),0)))</f>
        <v>100</v>
      </c>
      <c r="BE51" s="100">
        <f>IF($H51=0,0,CHOOSE($H51,SUMPRODUCT($O52:$O$67*BE52:BE$67*($E52:$E$67=$D51)),IF(ISNUMBER(Data_2017!AY51),100*ABS($G51-(Data_2017!AY51-$K51)/$M51),0),IF(ISNUMBER(Data_2017!AY51),100*ABS($G51-(Data_2017!AY51-$K51)/$M51),0)))</f>
        <v>100</v>
      </c>
      <c r="BF51" s="100">
        <f>IF($H51=0,0,CHOOSE($H51,SUMPRODUCT($O52:$O$67*BF52:BF$67*($E52:$E$67=$D51)),IF(ISNUMBER(Data_2017!AZ51),100*ABS($G51-(Data_2017!AZ51-$K51)/$M51),0),IF(ISNUMBER(Data_2017!AZ51),100*ABS($G51-(Data_2017!AZ51-$K51)/$M51),0)))</f>
        <v>100</v>
      </c>
      <c r="BG51" s="100">
        <f>IF($H51=0,0,CHOOSE($H51,SUMPRODUCT($O52:$O$67*BG52:BG$67*($E52:$E$67=$D51)),IF(ISNUMBER(Data_2017!BA51),100*ABS($G51-(Data_2017!BA51-$K51)/$M51),0),IF(ISNUMBER(Data_2017!BA51),100*ABS($G51-(Data_2017!BA51-$K51)/$M51),0)))</f>
        <v>100</v>
      </c>
      <c r="BH51" s="100">
        <f>IF($H51=0,0,CHOOSE($H51,SUMPRODUCT($O52:$O$67*BH52:BH$67*($E52:$E$67=$D51)),IF(ISNUMBER(Data_2017!BB51),100*ABS($G51-(Data_2017!BB51-$K51)/$M51),0),IF(ISNUMBER(Data_2017!BB51),100*ABS($G51-(Data_2017!BB51-$K51)/$M51),0)))</f>
        <v>100</v>
      </c>
      <c r="BI51" s="100">
        <f>IF($H51=0,0,CHOOSE($H51,SUMPRODUCT($O52:$O$67*BI52:BI$67*($E52:$E$67=$D51)),IF(ISNUMBER(Data_2017!BC51),100*ABS($G51-(Data_2017!BC51-$K51)/$M51),0),IF(ISNUMBER(Data_2017!BC51),100*ABS($G51-(Data_2017!BC51-$K51)/$M51),0)))</f>
        <v>100</v>
      </c>
      <c r="BJ51" s="100">
        <f>IF($H51=0,0,CHOOSE($H51,SUMPRODUCT($O52:$O$67*BJ52:BJ$67*($E52:$E$67=$D51)),IF(ISNUMBER(Data_2017!BD51),100*ABS($G51-(Data_2017!BD51-$K51)/$M51),0),IF(ISNUMBER(Data_2017!BD51),100*ABS($G51-(Data_2017!BD51-$K51)/$M51),0)))</f>
        <v>100</v>
      </c>
      <c r="BK51" s="100">
        <f>IF($H51=0,0,CHOOSE($H51,SUMPRODUCT($O52:$O$67*BK52:BK$67*($E52:$E$67=$D51)),IF(ISNUMBER(Data_2017!BE51),100*ABS($G51-(Data_2017!BE51-$K51)/$M51),0),IF(ISNUMBER(Data_2017!BE51),100*ABS($G51-(Data_2017!BE51-$K51)/$M51),0)))</f>
        <v>100</v>
      </c>
      <c r="BL51" s="100">
        <f>IF($H51=0,0,CHOOSE($H51,SUMPRODUCT($O52:$O$67*BL52:BL$67*($E52:$E$67=$D51)),IF(ISNUMBER(Data_2017!BF51),100*ABS($G51-(Data_2017!BF51-$K51)/$M51),0),IF(ISNUMBER(Data_2017!BF51),100*ABS($G51-(Data_2017!BF51-$K51)/$M51),0)))</f>
        <v>100</v>
      </c>
      <c r="BM51" s="100">
        <f>IF($H51=0,0,CHOOSE($H51,SUMPRODUCT($O52:$O$67*BM52:BM$67*($E52:$E$67=$D51)),IF(ISNUMBER(Data_2017!BG51),100*ABS($G51-(Data_2017!BG51-$K51)/$M51),0),IF(ISNUMBER(Data_2017!BG51),100*ABS($G51-(Data_2017!BG51-$K51)/$M51),0)))</f>
        <v>100</v>
      </c>
      <c r="BN51" s="100">
        <f>IF($H51=0,0,CHOOSE($H51,SUMPRODUCT($O52:$O$67*BN52:BN$67*($E52:$E$67=$D51)),IF(ISNUMBER(Data_2017!BH51),100*ABS($G51-(Data_2017!BH51-$K51)/$M51),0),IF(ISNUMBER(Data_2017!BH51),100*ABS($G51-(Data_2017!BH51-$K51)/$M51),0)))</f>
        <v>100</v>
      </c>
      <c r="BO51" s="100">
        <f>IF($H51=0,0,CHOOSE($H51,SUMPRODUCT($O52:$O$67*BO52:BO$67*($E52:$E$67=$D51)),IF(ISNUMBER(Data_2017!BI51),100*ABS($G51-(Data_2017!BI51-$K51)/$M51),0),IF(ISNUMBER(Data_2017!BI51),100*ABS($G51-(Data_2017!BI51-$K51)/$M51),0)))</f>
        <v>100</v>
      </c>
      <c r="BP51" s="100">
        <f>IF($H51=0,0,CHOOSE($H51,SUMPRODUCT($O52:$O$67*BP52:BP$67*($E52:$E$67=$D51)),IF(ISNUMBER(Data_2017!BJ51),100*ABS($G51-(Data_2017!BJ51-$K51)/$M51),0),IF(ISNUMBER(Data_2017!BJ51),100*ABS($G51-(Data_2017!BJ51-$K51)/$M51),0)))</f>
        <v>100</v>
      </c>
      <c r="BQ51" s="100">
        <f>IF($H51=0,0,CHOOSE($H51,SUMPRODUCT($O52:$O$67*BQ52:BQ$67*($E52:$E$67=$D51)),IF(ISNUMBER(Data_2017!BK51),100*ABS($G51-(Data_2017!BK51-$K51)/$M51),0),IF(ISNUMBER(Data_2017!BK51),100*ABS($G51-(Data_2017!BK51-$K51)/$M51),0)))</f>
        <v>0</v>
      </c>
      <c r="BR51" s="100">
        <f>IF($H51=0,0,CHOOSE($H51,SUMPRODUCT($O52:$O$67*BR52:BR$67*($E52:$E$67=$D51)),IF(ISNUMBER(Data_2017!BL51),100*ABS($G51-(Data_2017!BL51-$K51)/$M51),0),IF(ISNUMBER(Data_2017!BL51),100*ABS($G51-(Data_2017!BL51-$K51)/$M51),0)))</f>
        <v>100</v>
      </c>
      <c r="BS51" s="100">
        <f>IF($H51=0,0,CHOOSE($H51,SUMPRODUCT($O52:$O$67*BS52:BS$67*($E52:$E$67=$D51)),IF(ISNUMBER(Data_2017!BM51),100*ABS($G51-(Data_2017!BM51-$K51)/$M51),0),IF(ISNUMBER(Data_2017!BM51),100*ABS($G51-(Data_2017!BM51-$K51)/$M51),0)))</f>
        <v>100</v>
      </c>
      <c r="BT51" s="100">
        <f>IF($H51=0,0,CHOOSE($H51,SUMPRODUCT($O52:$O$67*BT52:BT$67*($E52:$E$67=$D51)),IF(ISNUMBER(Data_2017!BN51),100*ABS($G51-(Data_2017!BN51-$K51)/$M51),0),IF(ISNUMBER(Data_2017!BN51),100*ABS($G51-(Data_2017!BN51-$K51)/$M51),0)))</f>
        <v>100</v>
      </c>
      <c r="BU51" s="100">
        <f>IF($H51=0,0,CHOOSE($H51,SUMPRODUCT($O52:$O$67*BU52:BU$67*($E52:$E$67=$D51)),IF(ISNUMBER(Data_2017!BO51),100*ABS($G51-(Data_2017!BO51-$K51)/$M51),0),IF(ISNUMBER(Data_2017!BO51),100*ABS($G51-(Data_2017!BO51-$K51)/$M51),0)))</f>
        <v>100</v>
      </c>
      <c r="BV51" s="100">
        <f>IF($H51=0,0,CHOOSE($H51,SUMPRODUCT($O52:$O$67*BV52:BV$67*($E52:$E$67=$D51)),IF(ISNUMBER(Data_2017!BP51),100*ABS($G51-(Data_2017!BP51-$K51)/$M51),0),IF(ISNUMBER(Data_2017!BP51),100*ABS($G51-(Data_2017!BP51-$K51)/$M51),0)))</f>
        <v>0</v>
      </c>
      <c r="BW51" s="100">
        <f>IF($H51=0,0,CHOOSE($H51,SUMPRODUCT($O52:$O$67*BW52:BW$67*($E52:$E$67=$D51)),IF(ISNUMBER(Data_2017!BQ51),100*ABS($G51-(Data_2017!BQ51-$K51)/$M51),0),IF(ISNUMBER(Data_2017!BQ51),100*ABS($G51-(Data_2017!BQ51-$K51)/$M51),0)))</f>
        <v>100</v>
      </c>
      <c r="BX51" s="100">
        <f>IF($H51=0,0,CHOOSE($H51,SUMPRODUCT($O52:$O$67*BX52:BX$67*($E52:$E$67=$D51)),IF(ISNUMBER(Data_2017!BR51),100*ABS($G51-(Data_2017!BR51-$K51)/$M51),0),IF(ISNUMBER(Data_2017!BR51),100*ABS($G51-(Data_2017!BR51-$K51)/$M51),0)))</f>
        <v>100</v>
      </c>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row>
    <row r="52" s="69" customFormat="1" ht="24.95" customHeight="1" spans="1:130">
      <c r="A52" s="92"/>
      <c r="B52" s="92">
        <f>tblIndicators!A48</f>
        <v>47</v>
      </c>
      <c r="C52" s="92">
        <f>tblIndicators!B48</f>
        <v>0</v>
      </c>
      <c r="D52" s="92" t="str">
        <f>tblIndicators!D48</f>
        <v>PESE4.1.5</v>
      </c>
      <c r="E52" s="92" t="str">
        <f>tblIndicators!E48</f>
        <v>PESE4.1</v>
      </c>
      <c r="F52" s="92">
        <f>tblIndicators!F48</f>
        <v>3</v>
      </c>
      <c r="G52" s="92">
        <f>tblIndicators!Y48</f>
        <v>0</v>
      </c>
      <c r="H52" s="92">
        <f>tblIndicators!Z48</f>
        <v>2</v>
      </c>
      <c r="I52" s="104">
        <f>tblIndicators!AA48</f>
        <v>0</v>
      </c>
      <c r="J52" s="92">
        <f>tblIndicators!AB48</f>
        <v>1</v>
      </c>
      <c r="K52" s="89">
        <f>IF(uxb_works!$B$66=1,CHOOSE(H52,"-",MIN(Data_2017!J52:BR52),I52),CHOOSE(H52,"-",MIN(Data_2017!J52:BQ52),I52))</f>
        <v>0</v>
      </c>
      <c r="L52" s="97">
        <f>IF(uxb_works!$B$66=1,CHOOSE(H52,"-",MAX(Data_2017!J52:BR52),J52),CHOOSE(H52,"-",MAX(Data_2017!J52:BQ52),J52))</f>
        <v>1</v>
      </c>
      <c r="M52" s="92">
        <f t="shared" si="1"/>
        <v>1</v>
      </c>
      <c r="N52" s="105" t="str">
        <f>REPT(" ",F52)&amp;tblIndicators!AE48</f>
        <v>   4.1.5) Private security measures</v>
      </c>
      <c r="O52" s="106">
        <f>tblIndicators!AD48</f>
        <v>0.142857142857143</v>
      </c>
      <c r="P52" s="100">
        <f>IF($H52=0,0,CHOOSE($H52,SUMPRODUCT($O53:$O$67*P53:P$67*($E53:$E$67=$D52)),IF(ISNUMBER(Data_2017!J52),100*ABS($G52-(Data_2017!J52-$K52)/$M52),0),IF(ISNUMBER(Data_2017!J52),100*ABS($G52-(Data_2017!J52-$K52)/$M52),0)))</f>
        <v>100</v>
      </c>
      <c r="Q52" s="100">
        <f>IF($H52=0,0,CHOOSE($H52,SUMPRODUCT($O53:$O$67*Q53:Q$67*($E53:$E$67=$D52)),IF(ISNUMBER(Data_2017!K52),100*ABS($G52-(Data_2017!K52-$K52)/$M52),0),IF(ISNUMBER(Data_2017!K52),100*ABS($G52-(Data_2017!K52-$K52)/$M52),0)))</f>
        <v>100</v>
      </c>
      <c r="R52" s="100">
        <f>IF($H52=0,0,CHOOSE($H52,SUMPRODUCT($O53:$O$67*R53:R$67*($E53:$E$67=$D52)),IF(ISNUMBER(Data_2017!L52),100*ABS($G52-(Data_2017!L52-$K52)/$M52),0),IF(ISNUMBER(Data_2017!L52),100*ABS($G52-(Data_2017!L52-$K52)/$M52),0)))</f>
        <v>100</v>
      </c>
      <c r="S52" s="100">
        <f>IF($H52=0,0,CHOOSE($H52,SUMPRODUCT($O53:$O$67*S53:S$67*($E53:$E$67=$D52)),IF(ISNUMBER(Data_2017!M52),100*ABS($G52-(Data_2017!M52-$K52)/$M52),0),IF(ISNUMBER(Data_2017!M52),100*ABS($G52-(Data_2017!M52-$K52)/$M52),0)))</f>
        <v>100</v>
      </c>
      <c r="T52" s="100">
        <f>IF($H52=0,0,CHOOSE($H52,SUMPRODUCT($O53:$O$67*T53:T$67*($E53:$E$67=$D52)),IF(ISNUMBER(Data_2017!N52),100*ABS($G52-(Data_2017!N52-$K52)/$M52),0),IF(ISNUMBER(Data_2017!N52),100*ABS($G52-(Data_2017!N52-$K52)/$M52),0)))</f>
        <v>100</v>
      </c>
      <c r="U52" s="100">
        <f>IF($H52=0,0,CHOOSE($H52,SUMPRODUCT($O53:$O$67*U53:U$67*($E53:$E$67=$D52)),IF(ISNUMBER(Data_2017!O52),100*ABS($G52-(Data_2017!O52-$K52)/$M52),0),IF(ISNUMBER(Data_2017!O52),100*ABS($G52-(Data_2017!O52-$K52)/$M52),0)))</f>
        <v>100</v>
      </c>
      <c r="V52" s="100">
        <f>IF($H52=0,0,CHOOSE($H52,SUMPRODUCT($O53:$O$67*V53:V$67*($E53:$E$67=$D52)),IF(ISNUMBER(Data_2017!P52),100*ABS($G52-(Data_2017!P52-$K52)/$M52),0),IF(ISNUMBER(Data_2017!P52),100*ABS($G52-(Data_2017!P52-$K52)/$M52),0)))</f>
        <v>100</v>
      </c>
      <c r="W52" s="100">
        <f>IF($H52=0,0,CHOOSE($H52,SUMPRODUCT($O53:$O$67*W53:W$67*($E53:$E$67=$D52)),IF(ISNUMBER(Data_2017!Q52),100*ABS($G52-(Data_2017!Q52-$K52)/$M52),0),IF(ISNUMBER(Data_2017!Q52),100*ABS($G52-(Data_2017!Q52-$K52)/$M52),0)))</f>
        <v>100</v>
      </c>
      <c r="X52" s="100">
        <f>IF($H52=0,0,CHOOSE($H52,SUMPRODUCT($O53:$O$67*X53:X$67*($E53:$E$67=$D52)),IF(ISNUMBER(Data_2017!R52),100*ABS($G52-(Data_2017!R52-$K52)/$M52),0),IF(ISNUMBER(Data_2017!R52),100*ABS($G52-(Data_2017!R52-$K52)/$M52),0)))</f>
        <v>100</v>
      </c>
      <c r="Y52" s="100">
        <f>IF($H52=0,0,CHOOSE($H52,SUMPRODUCT($O53:$O$67*Y53:Y$67*($E53:$E$67=$D52)),IF(ISNUMBER(Data_2017!S52),100*ABS($G52-(Data_2017!S52-$K52)/$M52),0),IF(ISNUMBER(Data_2017!S52),100*ABS($G52-(Data_2017!S52-$K52)/$M52),0)))</f>
        <v>100</v>
      </c>
      <c r="Z52" s="100">
        <f>IF($H52=0,0,CHOOSE($H52,SUMPRODUCT($O53:$O$67*Z53:Z$67*($E53:$E$67=$D52)),IF(ISNUMBER(Data_2017!T52),100*ABS($G52-(Data_2017!T52-$K52)/$M52),0),IF(ISNUMBER(Data_2017!T52),100*ABS($G52-(Data_2017!T52-$K52)/$M52),0)))</f>
        <v>100</v>
      </c>
      <c r="AA52" s="100">
        <f>IF($H52=0,0,CHOOSE($H52,SUMPRODUCT($O53:$O$67*AA53:AA$67*($E53:$E$67=$D52)),IF(ISNUMBER(Data_2017!U52),100*ABS($G52-(Data_2017!U52-$K52)/$M52),0),IF(ISNUMBER(Data_2017!U52),100*ABS($G52-(Data_2017!U52-$K52)/$M52),0)))</f>
        <v>100</v>
      </c>
      <c r="AB52" s="100">
        <f>IF($H52=0,0,CHOOSE($H52,SUMPRODUCT($O53:$O$67*AB53:AB$67*($E53:$E$67=$D52)),IF(ISNUMBER(Data_2017!V52),100*ABS($G52-(Data_2017!V52-$K52)/$M52),0),IF(ISNUMBER(Data_2017!V52),100*ABS($G52-(Data_2017!V52-$K52)/$M52),0)))</f>
        <v>100</v>
      </c>
      <c r="AC52" s="100">
        <f>IF($H52=0,0,CHOOSE($H52,SUMPRODUCT($O53:$O$67*AC53:AC$67*($E53:$E$67=$D52)),IF(ISNUMBER(Data_2017!W52),100*ABS($G52-(Data_2017!W52-$K52)/$M52),0),IF(ISNUMBER(Data_2017!W52),100*ABS($G52-(Data_2017!W52-$K52)/$M52),0)))</f>
        <v>100</v>
      </c>
      <c r="AD52" s="100">
        <f>IF($H52=0,0,CHOOSE($H52,SUMPRODUCT($O53:$O$67*AD53:AD$67*($E53:$E$67=$D52)),IF(ISNUMBER(Data_2017!X52),100*ABS($G52-(Data_2017!X52-$K52)/$M52),0),IF(ISNUMBER(Data_2017!X52),100*ABS($G52-(Data_2017!X52-$K52)/$M52),0)))</f>
        <v>100</v>
      </c>
      <c r="AE52" s="100">
        <f>IF($H52=0,0,CHOOSE($H52,SUMPRODUCT($O53:$O$67*AE53:AE$67*($E53:$E$67=$D52)),IF(ISNUMBER(Data_2017!Y52),100*ABS($G52-(Data_2017!Y52-$K52)/$M52),0),IF(ISNUMBER(Data_2017!Y52),100*ABS($G52-(Data_2017!Y52-$K52)/$M52),0)))</f>
        <v>100</v>
      </c>
      <c r="AF52" s="100">
        <f>IF($H52=0,0,CHOOSE($H52,SUMPRODUCT($O53:$O$67*AF53:AF$67*($E53:$E$67=$D52)),IF(ISNUMBER(Data_2017!Z52),100*ABS($G52-(Data_2017!Z52-$K52)/$M52),0),IF(ISNUMBER(Data_2017!Z52),100*ABS($G52-(Data_2017!Z52-$K52)/$M52),0)))</f>
        <v>100</v>
      </c>
      <c r="AG52" s="100">
        <f>IF($H52=0,0,CHOOSE($H52,SUMPRODUCT($O53:$O$67*AG53:AG$67*($E53:$E$67=$D52)),IF(ISNUMBER(Data_2017!AA52),100*ABS($G52-(Data_2017!AA52-$K52)/$M52),0),IF(ISNUMBER(Data_2017!AA52),100*ABS($G52-(Data_2017!AA52-$K52)/$M52),0)))</f>
        <v>100</v>
      </c>
      <c r="AH52" s="100">
        <f>IF($H52=0,0,CHOOSE($H52,SUMPRODUCT($O53:$O$67*AH53:AH$67*($E53:$E$67=$D52)),IF(ISNUMBER(Data_2017!AB52),100*ABS($G52-(Data_2017!AB52-$K52)/$M52),0),IF(ISNUMBER(Data_2017!AB52),100*ABS($G52-(Data_2017!AB52-$K52)/$M52),0)))</f>
        <v>100</v>
      </c>
      <c r="AI52" s="100">
        <f>IF($H52=0,0,CHOOSE($H52,SUMPRODUCT($O53:$O$67*AI53:AI$67*($E53:$E$67=$D52)),IF(ISNUMBER(Data_2017!AC52),100*ABS($G52-(Data_2017!AC52-$K52)/$M52),0),IF(ISNUMBER(Data_2017!AC52),100*ABS($G52-(Data_2017!AC52-$K52)/$M52),0)))</f>
        <v>100</v>
      </c>
      <c r="AJ52" s="100">
        <f>IF($H52=0,0,CHOOSE($H52,SUMPRODUCT($O53:$O$67*AJ53:AJ$67*($E53:$E$67=$D52)),IF(ISNUMBER(Data_2017!AD52),100*ABS($G52-(Data_2017!AD52-$K52)/$M52),0),IF(ISNUMBER(Data_2017!AD52),100*ABS($G52-(Data_2017!AD52-$K52)/$M52),0)))</f>
        <v>100</v>
      </c>
      <c r="AK52" s="100">
        <f>IF($H52=0,0,CHOOSE($H52,SUMPRODUCT($O53:$O$67*AK53:AK$67*($E53:$E$67=$D52)),IF(ISNUMBER(Data_2017!AE52),100*ABS($G52-(Data_2017!AE52-$K52)/$M52),0),IF(ISNUMBER(Data_2017!AE52),100*ABS($G52-(Data_2017!AE52-$K52)/$M52),0)))</f>
        <v>0</v>
      </c>
      <c r="AL52" s="100">
        <f>IF($H52=0,0,CHOOSE($H52,SUMPRODUCT($O53:$O$67*AL53:AL$67*($E53:$E$67=$D52)),IF(ISNUMBER(Data_2017!AF52),100*ABS($G52-(Data_2017!AF52-$K52)/$M52),0),IF(ISNUMBER(Data_2017!AF52),100*ABS($G52-(Data_2017!AF52-$K52)/$M52),0)))</f>
        <v>0</v>
      </c>
      <c r="AM52" s="100">
        <f>IF($H52=0,0,CHOOSE($H52,SUMPRODUCT($O53:$O$67*AM53:AM$67*($E53:$E$67=$D52)),IF(ISNUMBER(Data_2017!AG52),100*ABS($G52-(Data_2017!AG52-$K52)/$M52),0),IF(ISNUMBER(Data_2017!AG52),100*ABS($G52-(Data_2017!AG52-$K52)/$M52),0)))</f>
        <v>100</v>
      </c>
      <c r="AN52" s="100">
        <f>IF($H52=0,0,CHOOSE($H52,SUMPRODUCT($O53:$O$67*AN53:AN$67*($E53:$E$67=$D52)),IF(ISNUMBER(Data_2017!AH52),100*ABS($G52-(Data_2017!AH52-$K52)/$M52),0),IF(ISNUMBER(Data_2017!AH52),100*ABS($G52-(Data_2017!AH52-$K52)/$M52),0)))</f>
        <v>0</v>
      </c>
      <c r="AO52" s="100">
        <f>IF($H52=0,0,CHOOSE($H52,SUMPRODUCT($O53:$O$67*AO53:AO$67*($E53:$E$67=$D52)),IF(ISNUMBER(Data_2017!AI52),100*ABS($G52-(Data_2017!AI52-$K52)/$M52),0),IF(ISNUMBER(Data_2017!AI52),100*ABS($G52-(Data_2017!AI52-$K52)/$M52),0)))</f>
        <v>100</v>
      </c>
      <c r="AP52" s="100">
        <f>IF($H52=0,0,CHOOSE($H52,SUMPRODUCT($O53:$O$67*AP53:AP$67*($E53:$E$67=$D52)),IF(ISNUMBER(Data_2017!AJ52),100*ABS($G52-(Data_2017!AJ52-$K52)/$M52),0),IF(ISNUMBER(Data_2017!AJ52),100*ABS($G52-(Data_2017!AJ52-$K52)/$M52),0)))</f>
        <v>100</v>
      </c>
      <c r="AQ52" s="100">
        <f>IF($H52=0,0,CHOOSE($H52,SUMPRODUCT($O53:$O$67*AQ53:AQ$67*($E53:$E$67=$D52)),IF(ISNUMBER(Data_2017!AK52),100*ABS($G52-(Data_2017!AK52-$K52)/$M52),0),IF(ISNUMBER(Data_2017!AK52),100*ABS($G52-(Data_2017!AK52-$K52)/$M52),0)))</f>
        <v>100</v>
      </c>
      <c r="AR52" s="100">
        <f>IF($H52=0,0,CHOOSE($H52,SUMPRODUCT($O53:$O$67*AR53:AR$67*($E53:$E$67=$D52)),IF(ISNUMBER(Data_2017!AL52),100*ABS($G52-(Data_2017!AL52-$K52)/$M52),0),IF(ISNUMBER(Data_2017!AL52),100*ABS($G52-(Data_2017!AL52-$K52)/$M52),0)))</f>
        <v>100</v>
      </c>
      <c r="AS52" s="100">
        <f>IF($H52=0,0,CHOOSE($H52,SUMPRODUCT($O53:$O$67*AS53:AS$67*($E53:$E$67=$D52)),IF(ISNUMBER(Data_2017!AM52),100*ABS($G52-(Data_2017!AM52-$K52)/$M52),0),IF(ISNUMBER(Data_2017!AM52),100*ABS($G52-(Data_2017!AM52-$K52)/$M52),0)))</f>
        <v>100</v>
      </c>
      <c r="AT52" s="100">
        <f>IF($H52=0,0,CHOOSE($H52,SUMPRODUCT($O53:$O$67*AT53:AT$67*($E53:$E$67=$D52)),IF(ISNUMBER(Data_2017!AN52),100*ABS($G52-(Data_2017!AN52-$K52)/$M52),0),IF(ISNUMBER(Data_2017!AN52),100*ABS($G52-(Data_2017!AN52-$K52)/$M52),0)))</f>
        <v>100</v>
      </c>
      <c r="AU52" s="100">
        <f>IF($H52=0,0,CHOOSE($H52,SUMPRODUCT($O53:$O$67*AU53:AU$67*($E53:$E$67=$D52)),IF(ISNUMBER(Data_2017!AO52),100*ABS($G52-(Data_2017!AO52-$K52)/$M52),0),IF(ISNUMBER(Data_2017!AO52),100*ABS($G52-(Data_2017!AO52-$K52)/$M52),0)))</f>
        <v>100</v>
      </c>
      <c r="AV52" s="100">
        <f>IF($H52=0,0,CHOOSE($H52,SUMPRODUCT($O53:$O$67*AV53:AV$67*($E53:$E$67=$D52)),IF(ISNUMBER(Data_2017!AP52),100*ABS($G52-(Data_2017!AP52-$K52)/$M52),0),IF(ISNUMBER(Data_2017!AP52),100*ABS($G52-(Data_2017!AP52-$K52)/$M52),0)))</f>
        <v>100</v>
      </c>
      <c r="AW52" s="100">
        <f>IF($H52=0,0,CHOOSE($H52,SUMPRODUCT($O53:$O$67*AW53:AW$67*($E53:$E$67=$D52)),IF(ISNUMBER(Data_2017!AQ52),100*ABS($G52-(Data_2017!AQ52-$K52)/$M52),0),IF(ISNUMBER(Data_2017!AQ52),100*ABS($G52-(Data_2017!AQ52-$K52)/$M52),0)))</f>
        <v>100</v>
      </c>
      <c r="AX52" s="100">
        <f>IF($H52=0,0,CHOOSE($H52,SUMPRODUCT($O53:$O$67*AX53:AX$67*($E53:$E$67=$D52)),IF(ISNUMBER(Data_2017!AR52),100*ABS($G52-(Data_2017!AR52-$K52)/$M52),0),IF(ISNUMBER(Data_2017!AR52),100*ABS($G52-(Data_2017!AR52-$K52)/$M52),0)))</f>
        <v>100</v>
      </c>
      <c r="AY52" s="100">
        <f>IF($H52=0,0,CHOOSE($H52,SUMPRODUCT($O53:$O$67*AY53:AY$67*($E53:$E$67=$D52)),IF(ISNUMBER(Data_2017!AS52),100*ABS($G52-(Data_2017!AS52-$K52)/$M52),0),IF(ISNUMBER(Data_2017!AS52),100*ABS($G52-(Data_2017!AS52-$K52)/$M52),0)))</f>
        <v>100</v>
      </c>
      <c r="AZ52" s="100">
        <f>IF($H52=0,0,CHOOSE($H52,SUMPRODUCT($O53:$O$67*AZ53:AZ$67*($E53:$E$67=$D52)),IF(ISNUMBER(Data_2017!AT52),100*ABS($G52-(Data_2017!AT52-$K52)/$M52),0),IF(ISNUMBER(Data_2017!AT52),100*ABS($G52-(Data_2017!AT52-$K52)/$M52),0)))</f>
        <v>100</v>
      </c>
      <c r="BA52" s="100">
        <f>IF($H52=0,0,CHOOSE($H52,SUMPRODUCT($O53:$O$67*BA53:BA$67*($E53:$E$67=$D52)),IF(ISNUMBER(Data_2017!AU52),100*ABS($G52-(Data_2017!AU52-$K52)/$M52),0),IF(ISNUMBER(Data_2017!AU52),100*ABS($G52-(Data_2017!AU52-$K52)/$M52),0)))</f>
        <v>100</v>
      </c>
      <c r="BB52" s="100">
        <f>IF($H52=0,0,CHOOSE($H52,SUMPRODUCT($O53:$O$67*BB53:BB$67*($E53:$E$67=$D52)),IF(ISNUMBER(Data_2017!AV52),100*ABS($G52-(Data_2017!AV52-$K52)/$M52),0),IF(ISNUMBER(Data_2017!AV52),100*ABS($G52-(Data_2017!AV52-$K52)/$M52),0)))</f>
        <v>100</v>
      </c>
      <c r="BC52" s="100">
        <f>IF($H52=0,0,CHOOSE($H52,SUMPRODUCT($O53:$O$67*BC53:BC$67*($E53:$E$67=$D52)),IF(ISNUMBER(Data_2017!AW52),100*ABS($G52-(Data_2017!AW52-$K52)/$M52),0),IF(ISNUMBER(Data_2017!AW52),100*ABS($G52-(Data_2017!AW52-$K52)/$M52),0)))</f>
        <v>100</v>
      </c>
      <c r="BD52" s="100">
        <f>IF($H52=0,0,CHOOSE($H52,SUMPRODUCT($O53:$O$67*BD53:BD$67*($E53:$E$67=$D52)),IF(ISNUMBER(Data_2017!AX52),100*ABS($G52-(Data_2017!AX52-$K52)/$M52),0),IF(ISNUMBER(Data_2017!AX52),100*ABS($G52-(Data_2017!AX52-$K52)/$M52),0)))</f>
        <v>100</v>
      </c>
      <c r="BE52" s="100">
        <f>IF($H52=0,0,CHOOSE($H52,SUMPRODUCT($O53:$O$67*BE53:BE$67*($E53:$E$67=$D52)),IF(ISNUMBER(Data_2017!AY52),100*ABS($G52-(Data_2017!AY52-$K52)/$M52),0),IF(ISNUMBER(Data_2017!AY52),100*ABS($G52-(Data_2017!AY52-$K52)/$M52),0)))</f>
        <v>100</v>
      </c>
      <c r="BF52" s="100">
        <f>IF($H52=0,0,CHOOSE($H52,SUMPRODUCT($O53:$O$67*BF53:BF$67*($E53:$E$67=$D52)),IF(ISNUMBER(Data_2017!AZ52),100*ABS($G52-(Data_2017!AZ52-$K52)/$M52),0),IF(ISNUMBER(Data_2017!AZ52),100*ABS($G52-(Data_2017!AZ52-$K52)/$M52),0)))</f>
        <v>0</v>
      </c>
      <c r="BG52" s="100">
        <f>IF($H52=0,0,CHOOSE($H52,SUMPRODUCT($O53:$O$67*BG53:BG$67*($E53:$E$67=$D52)),IF(ISNUMBER(Data_2017!BA52),100*ABS($G52-(Data_2017!BA52-$K52)/$M52),0),IF(ISNUMBER(Data_2017!BA52),100*ABS($G52-(Data_2017!BA52-$K52)/$M52),0)))</f>
        <v>100</v>
      </c>
      <c r="BH52" s="100">
        <f>IF($H52=0,0,CHOOSE($H52,SUMPRODUCT($O53:$O$67*BH53:BH$67*($E53:$E$67=$D52)),IF(ISNUMBER(Data_2017!BB52),100*ABS($G52-(Data_2017!BB52-$K52)/$M52),0),IF(ISNUMBER(Data_2017!BB52),100*ABS($G52-(Data_2017!BB52-$K52)/$M52),0)))</f>
        <v>100</v>
      </c>
      <c r="BI52" s="100">
        <f>IF($H52=0,0,CHOOSE($H52,SUMPRODUCT($O53:$O$67*BI53:BI$67*($E53:$E$67=$D52)),IF(ISNUMBER(Data_2017!BC52),100*ABS($G52-(Data_2017!BC52-$K52)/$M52),0),IF(ISNUMBER(Data_2017!BC52),100*ABS($G52-(Data_2017!BC52-$K52)/$M52),0)))</f>
        <v>100</v>
      </c>
      <c r="BJ52" s="100">
        <f>IF($H52=0,0,CHOOSE($H52,SUMPRODUCT($O53:$O$67*BJ53:BJ$67*($E53:$E$67=$D52)),IF(ISNUMBER(Data_2017!BD52),100*ABS($G52-(Data_2017!BD52-$K52)/$M52),0),IF(ISNUMBER(Data_2017!BD52),100*ABS($G52-(Data_2017!BD52-$K52)/$M52),0)))</f>
        <v>100</v>
      </c>
      <c r="BK52" s="100">
        <f>IF($H52=0,0,CHOOSE($H52,SUMPRODUCT($O53:$O$67*BK53:BK$67*($E53:$E$67=$D52)),IF(ISNUMBER(Data_2017!BE52),100*ABS($G52-(Data_2017!BE52-$K52)/$M52),0),IF(ISNUMBER(Data_2017!BE52),100*ABS($G52-(Data_2017!BE52-$K52)/$M52),0)))</f>
        <v>100</v>
      </c>
      <c r="BL52" s="100">
        <f>IF($H52=0,0,CHOOSE($H52,SUMPRODUCT($O53:$O$67*BL53:BL$67*($E53:$E$67=$D52)),IF(ISNUMBER(Data_2017!BF52),100*ABS($G52-(Data_2017!BF52-$K52)/$M52),0),IF(ISNUMBER(Data_2017!BF52),100*ABS($G52-(Data_2017!BF52-$K52)/$M52),0)))</f>
        <v>100</v>
      </c>
      <c r="BM52" s="100">
        <f>IF($H52=0,0,CHOOSE($H52,SUMPRODUCT($O53:$O$67*BM53:BM$67*($E53:$E$67=$D52)),IF(ISNUMBER(Data_2017!BG52),100*ABS($G52-(Data_2017!BG52-$K52)/$M52),0),IF(ISNUMBER(Data_2017!BG52),100*ABS($G52-(Data_2017!BG52-$K52)/$M52),0)))</f>
        <v>100</v>
      </c>
      <c r="BN52" s="100">
        <f>IF($H52=0,0,CHOOSE($H52,SUMPRODUCT($O53:$O$67*BN53:BN$67*($E53:$E$67=$D52)),IF(ISNUMBER(Data_2017!BH52),100*ABS($G52-(Data_2017!BH52-$K52)/$M52),0),IF(ISNUMBER(Data_2017!BH52),100*ABS($G52-(Data_2017!BH52-$K52)/$M52),0)))</f>
        <v>100</v>
      </c>
      <c r="BO52" s="100">
        <f>IF($H52=0,0,CHOOSE($H52,SUMPRODUCT($O53:$O$67*BO53:BO$67*($E53:$E$67=$D52)),IF(ISNUMBER(Data_2017!BI52),100*ABS($G52-(Data_2017!BI52-$K52)/$M52),0),IF(ISNUMBER(Data_2017!BI52),100*ABS($G52-(Data_2017!BI52-$K52)/$M52),0)))</f>
        <v>100</v>
      </c>
      <c r="BP52" s="100">
        <f>IF($H52=0,0,CHOOSE($H52,SUMPRODUCT($O53:$O$67*BP53:BP$67*($E53:$E$67=$D52)),IF(ISNUMBER(Data_2017!BJ52),100*ABS($G52-(Data_2017!BJ52-$K52)/$M52),0),IF(ISNUMBER(Data_2017!BJ52),100*ABS($G52-(Data_2017!BJ52-$K52)/$M52),0)))</f>
        <v>100</v>
      </c>
      <c r="BQ52" s="100">
        <f>IF($H52=0,0,CHOOSE($H52,SUMPRODUCT($O53:$O$67*BQ53:BQ$67*($E53:$E$67=$D52)),IF(ISNUMBER(Data_2017!BK52),100*ABS($G52-(Data_2017!BK52-$K52)/$M52),0),IF(ISNUMBER(Data_2017!BK52),100*ABS($G52-(Data_2017!BK52-$K52)/$M52),0)))</f>
        <v>100</v>
      </c>
      <c r="BR52" s="100">
        <f>IF($H52=0,0,CHOOSE($H52,SUMPRODUCT($O53:$O$67*BR53:BR$67*($E53:$E$67=$D52)),IF(ISNUMBER(Data_2017!BL52),100*ABS($G52-(Data_2017!BL52-$K52)/$M52),0),IF(ISNUMBER(Data_2017!BL52),100*ABS($G52-(Data_2017!BL52-$K52)/$M52),0)))</f>
        <v>100</v>
      </c>
      <c r="BS52" s="100">
        <f>IF($H52=0,0,CHOOSE($H52,SUMPRODUCT($O53:$O$67*BS53:BS$67*($E53:$E$67=$D52)),IF(ISNUMBER(Data_2017!BM52),100*ABS($G52-(Data_2017!BM52-$K52)/$M52),0),IF(ISNUMBER(Data_2017!BM52),100*ABS($G52-(Data_2017!BM52-$K52)/$M52),0)))</f>
        <v>100</v>
      </c>
      <c r="BT52" s="100">
        <f>IF($H52=0,0,CHOOSE($H52,SUMPRODUCT($O53:$O$67*BT53:BT$67*($E53:$E$67=$D52)),IF(ISNUMBER(Data_2017!BN52),100*ABS($G52-(Data_2017!BN52-$K52)/$M52),0),IF(ISNUMBER(Data_2017!BN52),100*ABS($G52-(Data_2017!BN52-$K52)/$M52),0)))</f>
        <v>100</v>
      </c>
      <c r="BU52" s="100">
        <f>IF($H52=0,0,CHOOSE($H52,SUMPRODUCT($O53:$O$67*BU53:BU$67*($E53:$E$67=$D52)),IF(ISNUMBER(Data_2017!BO52),100*ABS($G52-(Data_2017!BO52-$K52)/$M52),0),IF(ISNUMBER(Data_2017!BO52),100*ABS($G52-(Data_2017!BO52-$K52)/$M52),0)))</f>
        <v>100</v>
      </c>
      <c r="BV52" s="100">
        <f>IF($H52=0,0,CHOOSE($H52,SUMPRODUCT($O53:$O$67*BV53:BV$67*($E53:$E$67=$D52)),IF(ISNUMBER(Data_2017!BP52),100*ABS($G52-(Data_2017!BP52-$K52)/$M52),0),IF(ISNUMBER(Data_2017!BP52),100*ABS($G52-(Data_2017!BP52-$K52)/$M52),0)))</f>
        <v>0</v>
      </c>
      <c r="BW52" s="100">
        <f>IF($H52=0,0,CHOOSE($H52,SUMPRODUCT($O53:$O$67*BW53:BW$67*($E53:$E$67=$D52)),IF(ISNUMBER(Data_2017!BQ52),100*ABS($G52-(Data_2017!BQ52-$K52)/$M52),0),IF(ISNUMBER(Data_2017!BQ52),100*ABS($G52-(Data_2017!BQ52-$K52)/$M52),0)))</f>
        <v>100</v>
      </c>
      <c r="BX52" s="100">
        <f>IF($H52=0,0,CHOOSE($H52,SUMPRODUCT($O53:$O$67*BX53:BX$67*($E53:$E$67=$D52)),IF(ISNUMBER(Data_2017!BR52),100*ABS($G52-(Data_2017!BR52-$K52)/$M52),0),IF(ISNUMBER(Data_2017!BR52),100*ABS($G52-(Data_2017!BR52-$K52)/$M52),0)))</f>
        <v>100</v>
      </c>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row>
    <row r="53" s="69" customFormat="1" ht="24.95" customHeight="1" spans="1:130">
      <c r="A53" s="92"/>
      <c r="B53" s="92">
        <f>tblIndicators!A49</f>
        <v>48</v>
      </c>
      <c r="C53" s="92">
        <f>tblIndicators!B49</f>
        <v>0</v>
      </c>
      <c r="D53" s="92" t="str">
        <f>tblIndicators!D49</f>
        <v>PESE4.1.6</v>
      </c>
      <c r="E53" s="92" t="str">
        <f>tblIndicators!E49</f>
        <v>PESE4.1</v>
      </c>
      <c r="F53" s="92">
        <f>tblIndicators!F49</f>
        <v>3</v>
      </c>
      <c r="G53" s="92">
        <f>tblIndicators!Y49</f>
        <v>1</v>
      </c>
      <c r="H53" s="92">
        <f>tblIndicators!Z49</f>
        <v>2</v>
      </c>
      <c r="I53" s="104">
        <f>tblIndicators!AA49</f>
        <v>0</v>
      </c>
      <c r="J53" s="92">
        <f>tblIndicators!AB49</f>
        <v>10</v>
      </c>
      <c r="K53" s="89">
        <f>IF(uxb_works!$B$66=1,CHOOSE(H53,"-",MIN(Data_2017!J53:BR53),I53),CHOOSE(H53,"-",MIN(Data_2017!J53:BQ53),I53))</f>
        <v>0.5</v>
      </c>
      <c r="L53" s="97">
        <f>IF(uxb_works!$B$66=1,CHOOSE(H53,"-",MAX(Data_2017!J53:BR53),J53),CHOOSE(H53,"-",MAX(Data_2017!J53:BQ53),J53))</f>
        <v>6.8</v>
      </c>
      <c r="M53" s="92">
        <f t="shared" si="1"/>
        <v>6.3</v>
      </c>
      <c r="N53" s="105" t="str">
        <f>REPT(" ",F53)&amp;tblIndicators!AE49</f>
        <v>   4.1.6) Gun regulation and enforcement</v>
      </c>
      <c r="O53" s="106">
        <f>tblIndicators!AD49</f>
        <v>0.142857142857143</v>
      </c>
      <c r="P53" s="100">
        <f>IF($H53=0,0,CHOOSE($H53,SUMPRODUCT($O54:$O$67*P54:P$67*($E54:$E$67=$D53)),IF(ISNUMBER(Data_2017!J53),100*ABS($G53-(Data_2017!J53-$K53)/$M53),0),IF(ISNUMBER(Data_2017!J53),100*ABS($G53-(Data_2017!J53-$K53)/$M53),0)))</f>
        <v>47.6190476190476</v>
      </c>
      <c r="Q53" s="100">
        <f>IF($H53=0,0,CHOOSE($H53,SUMPRODUCT($O54:$O$67*Q54:Q$67*($E54:$E$67=$D53)),IF(ISNUMBER(Data_2017!K53),100*ABS($G53-(Data_2017!K53-$K53)/$M53),0),IF(ISNUMBER(Data_2017!K53),100*ABS($G53-(Data_2017!K53-$K53)/$M53),0)))</f>
        <v>68.2539682539683</v>
      </c>
      <c r="R53" s="100">
        <f>IF($H53=0,0,CHOOSE($H53,SUMPRODUCT($O54:$O$67*R54:R$67*($E54:$E$67=$D53)),IF(ISNUMBER(Data_2017!L53),100*ABS($G53-(Data_2017!L53-$K53)/$M53),0),IF(ISNUMBER(Data_2017!L53),100*ABS($G53-(Data_2017!L53-$K53)/$M53),0)))</f>
        <v>31.7460317460317</v>
      </c>
      <c r="S53" s="100">
        <f>IF($H53=0,0,CHOOSE($H53,SUMPRODUCT($O54:$O$67*S54:S$67*($E54:$E$67=$D53)),IF(ISNUMBER(Data_2017!M53),100*ABS($G53-(Data_2017!M53-$K53)/$M53),0),IF(ISNUMBER(Data_2017!M53),100*ABS($G53-(Data_2017!M53-$K53)/$M53),0)))</f>
        <v>41.2698412698413</v>
      </c>
      <c r="T53" s="100">
        <f>IF($H53=0,0,CHOOSE($H53,SUMPRODUCT($O54:$O$67*T54:T$67*($E54:$E$67=$D53)),IF(ISNUMBER(Data_2017!N53),100*ABS($G53-(Data_2017!N53-$K53)/$M53),0),IF(ISNUMBER(Data_2017!N53),100*ABS($G53-(Data_2017!N53-$K53)/$M53),0)))</f>
        <v>66.6666666666667</v>
      </c>
      <c r="U53" s="100">
        <f>IF($H53=0,0,CHOOSE($H53,SUMPRODUCT($O54:$O$67*U54:U$67*($E54:$E$67=$D53)),IF(ISNUMBER(Data_2017!O53),100*ABS($G53-(Data_2017!O53-$K53)/$M53),0),IF(ISNUMBER(Data_2017!O53),100*ABS($G53-(Data_2017!O53-$K53)/$M53),0)))</f>
        <v>100</v>
      </c>
      <c r="V53" s="100">
        <f>IF($H53=0,0,CHOOSE($H53,SUMPRODUCT($O54:$O$67*V54:V$67*($E54:$E$67=$D53)),IF(ISNUMBER(Data_2017!P53),100*ABS($G53-(Data_2017!P53-$K53)/$M53),0),IF(ISNUMBER(Data_2017!P53),100*ABS($G53-(Data_2017!P53-$K53)/$M53),0)))</f>
        <v>41.2698412698413</v>
      </c>
      <c r="W53" s="100">
        <f>IF($H53=0,0,CHOOSE($H53,SUMPRODUCT($O54:$O$67*W54:W$67*($E54:$E$67=$D53)),IF(ISNUMBER(Data_2017!Q53),100*ABS($G53-(Data_2017!Q53-$K53)/$M53),0),IF(ISNUMBER(Data_2017!Q53),100*ABS($G53-(Data_2017!Q53-$K53)/$M53),0)))</f>
        <v>58.7301587301587</v>
      </c>
      <c r="X53" s="100">
        <f>IF($H53=0,0,CHOOSE($H53,SUMPRODUCT($O54:$O$67*X54:X$67*($E54:$E$67=$D53)),IF(ISNUMBER(Data_2017!R53),100*ABS($G53-(Data_2017!R53-$K53)/$M53),0),IF(ISNUMBER(Data_2017!R53),100*ABS($G53-(Data_2017!R53-$K53)/$M53),0)))</f>
        <v>68.2539682539683</v>
      </c>
      <c r="Y53" s="100">
        <f>IF($H53=0,0,CHOOSE($H53,SUMPRODUCT($O54:$O$67*Y54:Y$67*($E54:$E$67=$D53)),IF(ISNUMBER(Data_2017!S53),100*ABS($G53-(Data_2017!S53-$K53)/$M53),0),IF(ISNUMBER(Data_2017!S53),100*ABS($G53-(Data_2017!S53-$K53)/$M53),0)))</f>
        <v>41.2698412698413</v>
      </c>
      <c r="Z53" s="100">
        <f>IF($H53=0,0,CHOOSE($H53,SUMPRODUCT($O54:$O$67*Z54:Z$67*($E54:$E$67=$D53)),IF(ISNUMBER(Data_2017!T53),100*ABS($G53-(Data_2017!T53-$K53)/$M53),0),IF(ISNUMBER(Data_2017!T53),100*ABS($G53-(Data_2017!T53-$K53)/$M53),0)))</f>
        <v>90.4761904761905</v>
      </c>
      <c r="AA53" s="100">
        <f>IF($H53=0,0,CHOOSE($H53,SUMPRODUCT($O54:$O$67*AA54:AA$67*($E54:$E$67=$D53)),IF(ISNUMBER(Data_2017!U53),100*ABS($G53-(Data_2017!U53-$K53)/$M53),0),IF(ISNUMBER(Data_2017!U53),100*ABS($G53-(Data_2017!U53-$K53)/$M53),0)))</f>
        <v>60.3174603174603</v>
      </c>
      <c r="AB53" s="100">
        <f>IF($H53=0,0,CHOOSE($H53,SUMPRODUCT($O54:$O$67*AB54:AB$67*($E54:$E$67=$D53)),IF(ISNUMBER(Data_2017!V53),100*ABS($G53-(Data_2017!V53-$K53)/$M53),0),IF(ISNUMBER(Data_2017!V53),100*ABS($G53-(Data_2017!V53-$K53)/$M53),0)))</f>
        <v>41.2698412698413</v>
      </c>
      <c r="AC53" s="100">
        <f>IF($H53=0,0,CHOOSE($H53,SUMPRODUCT($O54:$O$67*AC54:AC$67*($E54:$E$67=$D53)),IF(ISNUMBER(Data_2017!W53),100*ABS($G53-(Data_2017!W53-$K53)/$M53),0),IF(ISNUMBER(Data_2017!W53),100*ABS($G53-(Data_2017!W53-$K53)/$M53),0)))</f>
        <v>0</v>
      </c>
      <c r="AD53" s="100">
        <f>IF($H53=0,0,CHOOSE($H53,SUMPRODUCT($O54:$O$67*AD54:AD$67*($E54:$E$67=$D53)),IF(ISNUMBER(Data_2017!X53),100*ABS($G53-(Data_2017!X53-$K53)/$M53),0),IF(ISNUMBER(Data_2017!X53),100*ABS($G53-(Data_2017!X53-$K53)/$M53),0)))</f>
        <v>49.2063492063492</v>
      </c>
      <c r="AE53" s="100">
        <f>IF($H53=0,0,CHOOSE($H53,SUMPRODUCT($O54:$O$67*AE54:AE$67*($E54:$E$67=$D53)),IF(ISNUMBER(Data_2017!Y53),100*ABS($G53-(Data_2017!Y53-$K53)/$M53),0),IF(ISNUMBER(Data_2017!Y53),100*ABS($G53-(Data_2017!Y53-$K53)/$M53),0)))</f>
        <v>76.1904761904762</v>
      </c>
      <c r="AF53" s="100">
        <f>IF($H53=0,0,CHOOSE($H53,SUMPRODUCT($O54:$O$67*AF54:AF$67*($E54:$E$67=$D53)),IF(ISNUMBER(Data_2017!Z53),100*ABS($G53-(Data_2017!Z53-$K53)/$M53),0),IF(ISNUMBER(Data_2017!Z53),100*ABS($G53-(Data_2017!Z53-$K53)/$M53),0)))</f>
        <v>60.3174603174603</v>
      </c>
      <c r="AG53" s="100">
        <f>IF($H53=0,0,CHOOSE($H53,SUMPRODUCT($O54:$O$67*AG54:AG$67*($E54:$E$67=$D53)),IF(ISNUMBER(Data_2017!AA53),100*ABS($G53-(Data_2017!AA53-$K53)/$M53),0),IF(ISNUMBER(Data_2017!AA53),100*ABS($G53-(Data_2017!AA53-$K53)/$M53),0)))</f>
        <v>57.1428571428571</v>
      </c>
      <c r="AH53" s="100">
        <f>IF($H53=0,0,CHOOSE($H53,SUMPRODUCT($O54:$O$67*AH54:AH$67*($E54:$E$67=$D53)),IF(ISNUMBER(Data_2017!AB53),100*ABS($G53-(Data_2017!AB53-$K53)/$M53),0),IF(ISNUMBER(Data_2017!AB53),100*ABS($G53-(Data_2017!AB53-$K53)/$M53),0)))</f>
        <v>100</v>
      </c>
      <c r="AI53" s="100">
        <f>IF($H53=0,0,CHOOSE($H53,SUMPRODUCT($O54:$O$67*AI54:AI$67*($E54:$E$67=$D53)),IF(ISNUMBER(Data_2017!AC53),100*ABS($G53-(Data_2017!AC53-$K53)/$M53),0),IF(ISNUMBER(Data_2017!AC53),100*ABS($G53-(Data_2017!AC53-$K53)/$M53),0)))</f>
        <v>84.1269841269841</v>
      </c>
      <c r="AJ53" s="100">
        <f>IF($H53=0,0,CHOOSE($H53,SUMPRODUCT($O54:$O$67*AJ54:AJ$67*($E54:$E$67=$D53)),IF(ISNUMBER(Data_2017!AD53),100*ABS($G53-(Data_2017!AD53-$K53)/$M53),0),IF(ISNUMBER(Data_2017!AD53),100*ABS($G53-(Data_2017!AD53-$K53)/$M53),0)))</f>
        <v>17.4603174603175</v>
      </c>
      <c r="AK53" s="100">
        <f>IF($H53=0,0,CHOOSE($H53,SUMPRODUCT($O54:$O$67*AK54:AK$67*($E54:$E$67=$D53)),IF(ISNUMBER(Data_2017!AE53),100*ABS($G53-(Data_2017!AE53-$K53)/$M53),0),IF(ISNUMBER(Data_2017!AE53),100*ABS($G53-(Data_2017!AE53-$K53)/$M53),0)))</f>
        <v>74.6031746031746</v>
      </c>
      <c r="AL53" s="100">
        <f>IF($H53=0,0,CHOOSE($H53,SUMPRODUCT($O54:$O$67*AL54:AL$67*($E54:$E$67=$D53)),IF(ISNUMBER(Data_2017!AF53),100*ABS($G53-(Data_2017!AF53-$K53)/$M53),0),IF(ISNUMBER(Data_2017!AF53),100*ABS($G53-(Data_2017!AF53-$K53)/$M53),0)))</f>
        <v>4.76190476190476</v>
      </c>
      <c r="AM53" s="100">
        <f>IF($H53=0,0,CHOOSE($H53,SUMPRODUCT($O54:$O$67*AM54:AM$67*($E54:$E$67=$D53)),IF(ISNUMBER(Data_2017!AG53),100*ABS($G53-(Data_2017!AG53-$K53)/$M53),0),IF(ISNUMBER(Data_2017!AG53),100*ABS($G53-(Data_2017!AG53-$K53)/$M53),0)))</f>
        <v>12.6984126984127</v>
      </c>
      <c r="AN53" s="100">
        <f>IF($H53=0,0,CHOOSE($H53,SUMPRODUCT($O54:$O$67*AN54:AN$67*($E54:$E$67=$D53)),IF(ISNUMBER(Data_2017!AH53),100*ABS($G53-(Data_2017!AH53-$K53)/$M53),0),IF(ISNUMBER(Data_2017!AH53),100*ABS($G53-(Data_2017!AH53-$K53)/$M53),0)))</f>
        <v>19.047619047619</v>
      </c>
      <c r="AO53" s="100">
        <f>IF($H53=0,0,CHOOSE($H53,SUMPRODUCT($O54:$O$67*AO54:AO$67*($E54:$E$67=$D53)),IF(ISNUMBER(Data_2017!AI53),100*ABS($G53-(Data_2017!AI53-$K53)/$M53),0),IF(ISNUMBER(Data_2017!AI53),100*ABS($G53-(Data_2017!AI53-$K53)/$M53),0)))</f>
        <v>76.1904761904762</v>
      </c>
      <c r="AP53" s="100">
        <f>IF($H53=0,0,CHOOSE($H53,SUMPRODUCT($O54:$O$67*AP54:AP$67*($E54:$E$67=$D53)),IF(ISNUMBER(Data_2017!AJ53),100*ABS($G53-(Data_2017!AJ53-$K53)/$M53),0),IF(ISNUMBER(Data_2017!AJ53),100*ABS($G53-(Data_2017!AJ53-$K53)/$M53),0)))</f>
        <v>96.031746031746</v>
      </c>
      <c r="AQ53" s="100">
        <f>IF($H53=0,0,CHOOSE($H53,SUMPRODUCT($O54:$O$67*AQ54:AQ$67*($E54:$E$67=$D53)),IF(ISNUMBER(Data_2017!AK53),100*ABS($G53-(Data_2017!AK53-$K53)/$M53),0),IF(ISNUMBER(Data_2017!AK53),100*ABS($G53-(Data_2017!AK53-$K53)/$M53),0)))</f>
        <v>12.6984126984127</v>
      </c>
      <c r="AR53" s="100">
        <f>IF($H53=0,0,CHOOSE($H53,SUMPRODUCT($O54:$O$67*AR54:AR$67*($E54:$E$67=$D53)),IF(ISNUMBER(Data_2017!AL53),100*ABS($G53-(Data_2017!AL53-$K53)/$M53),0),IF(ISNUMBER(Data_2017!AL53),100*ABS($G53-(Data_2017!AL53-$K53)/$M53),0)))</f>
        <v>84.1269841269841</v>
      </c>
      <c r="AS53" s="100">
        <f>IF($H53=0,0,CHOOSE($H53,SUMPRODUCT($O54:$O$67*AS54:AS$67*($E54:$E$67=$D53)),IF(ISNUMBER(Data_2017!AM53),100*ABS($G53-(Data_2017!AM53-$K53)/$M53),0),IF(ISNUMBER(Data_2017!AM53),100*ABS($G53-(Data_2017!AM53-$K53)/$M53),0)))</f>
        <v>46.8253968253968</v>
      </c>
      <c r="AT53" s="100">
        <f>IF($H53=0,0,CHOOSE($H53,SUMPRODUCT($O54:$O$67*AT54:AT$67*($E54:$E$67=$D53)),IF(ISNUMBER(Data_2017!AN53),100*ABS($G53-(Data_2017!AN53-$K53)/$M53),0),IF(ISNUMBER(Data_2017!AN53),100*ABS($G53-(Data_2017!AN53-$K53)/$M53),0)))</f>
        <v>66.6666666666667</v>
      </c>
      <c r="AU53" s="100">
        <f>IF($H53=0,0,CHOOSE($H53,SUMPRODUCT($O54:$O$67*AU54:AU$67*($E54:$E$67=$D53)),IF(ISNUMBER(Data_2017!AO53),100*ABS($G53-(Data_2017!AO53-$K53)/$M53),0),IF(ISNUMBER(Data_2017!AO53),100*ABS($G53-(Data_2017!AO53-$K53)/$M53),0)))</f>
        <v>31.7460317460317</v>
      </c>
      <c r="AV53" s="100">
        <f>IF($H53=0,0,CHOOSE($H53,SUMPRODUCT($O54:$O$67*AV54:AV$67*($E54:$E$67=$D53)),IF(ISNUMBER(Data_2017!AP53),100*ABS($G53-(Data_2017!AP53-$K53)/$M53),0),IF(ISNUMBER(Data_2017!AP53),100*ABS($G53-(Data_2017!AP53-$K53)/$M53),0)))</f>
        <v>76.1904761904762</v>
      </c>
      <c r="AW53" s="100">
        <f>IF($H53=0,0,CHOOSE($H53,SUMPRODUCT($O54:$O$67*AW54:AW$67*($E54:$E$67=$D53)),IF(ISNUMBER(Data_2017!AQ53),100*ABS($G53-(Data_2017!AQ53-$K53)/$M53),0),IF(ISNUMBER(Data_2017!AQ53),100*ABS($G53-(Data_2017!AQ53-$K53)/$M53),0)))</f>
        <v>46.031746031746</v>
      </c>
      <c r="AX53" s="100">
        <f>IF($H53=0,0,CHOOSE($H53,SUMPRODUCT($O54:$O$67*AX54:AX$67*($E54:$E$67=$D53)),IF(ISNUMBER(Data_2017!AR53),100*ABS($G53-(Data_2017!AR53-$K53)/$M53),0),IF(ISNUMBER(Data_2017!AR53),100*ABS($G53-(Data_2017!AR53-$K53)/$M53),0)))</f>
        <v>50.7936507936508</v>
      </c>
      <c r="AY53" s="100">
        <f>IF($H53=0,0,CHOOSE($H53,SUMPRODUCT($O54:$O$67*AY54:AY$67*($E54:$E$67=$D53)),IF(ISNUMBER(Data_2017!AS53),100*ABS($G53-(Data_2017!AS53-$K53)/$M53),0),IF(ISNUMBER(Data_2017!AS53),100*ABS($G53-(Data_2017!AS53-$K53)/$M53),0)))</f>
        <v>58.7301587301587</v>
      </c>
      <c r="AZ53" s="100">
        <f>IF($H53=0,0,CHOOSE($H53,SUMPRODUCT($O54:$O$67*AZ54:AZ$67*($E54:$E$67=$D53)),IF(ISNUMBER(Data_2017!AT53),100*ABS($G53-(Data_2017!AT53-$K53)/$M53),0),IF(ISNUMBER(Data_2017!AT53),100*ABS($G53-(Data_2017!AT53-$K53)/$M53),0)))</f>
        <v>49.2063492063492</v>
      </c>
      <c r="BA53" s="100">
        <f>IF($H53=0,0,CHOOSE($H53,SUMPRODUCT($O54:$O$67*BA54:BA$67*($E54:$E$67=$D53)),IF(ISNUMBER(Data_2017!AU53),100*ABS($G53-(Data_2017!AU53-$K53)/$M53),0),IF(ISNUMBER(Data_2017!AU53),100*ABS($G53-(Data_2017!AU53-$K53)/$M53),0)))</f>
        <v>34.9206349206349</v>
      </c>
      <c r="BB53" s="100">
        <f>IF($H53=0,0,CHOOSE($H53,SUMPRODUCT($O54:$O$67*BB54:BB$67*($E54:$E$67=$D53)),IF(ISNUMBER(Data_2017!AV53),100*ABS($G53-(Data_2017!AV53-$K53)/$M53),0),IF(ISNUMBER(Data_2017!AV53),100*ABS($G53-(Data_2017!AV53-$K53)/$M53),0)))</f>
        <v>84.1269841269841</v>
      </c>
      <c r="BC53" s="100">
        <f>IF($H53=0,0,CHOOSE($H53,SUMPRODUCT($O54:$O$67*BC54:BC$67*($E54:$E$67=$D53)),IF(ISNUMBER(Data_2017!AW53),100*ABS($G53-(Data_2017!AW53-$K53)/$M53),0),IF(ISNUMBER(Data_2017!AW53),100*ABS($G53-(Data_2017!AW53-$K53)/$M53),0)))</f>
        <v>44.4444444444444</v>
      </c>
      <c r="BD53" s="100">
        <f>IF($H53=0,0,CHOOSE($H53,SUMPRODUCT($O54:$O$67*BD54:BD$67*($E54:$E$67=$D53)),IF(ISNUMBER(Data_2017!AX53),100*ABS($G53-(Data_2017!AX53-$K53)/$M53),0),IF(ISNUMBER(Data_2017!AX53),100*ABS($G53-(Data_2017!AX53-$K53)/$M53),0)))</f>
        <v>41.2698412698413</v>
      </c>
      <c r="BE53" s="100">
        <f>IF($H53=0,0,CHOOSE($H53,SUMPRODUCT($O54:$O$67*BE54:BE$67*($E54:$E$67=$D53)),IF(ISNUMBER(Data_2017!AY53),100*ABS($G53-(Data_2017!AY53-$K53)/$M53),0),IF(ISNUMBER(Data_2017!AY53),100*ABS($G53-(Data_2017!AY53-$K53)/$M53),0)))</f>
        <v>52.3809523809524</v>
      </c>
      <c r="BF53" s="100">
        <f>IF($H53=0,0,CHOOSE($H53,SUMPRODUCT($O54:$O$67*BF54:BF$67*($E54:$E$67=$D53)),IF(ISNUMBER(Data_2017!AZ53),100*ABS($G53-(Data_2017!AZ53-$K53)/$M53),0),IF(ISNUMBER(Data_2017!AZ53),100*ABS($G53-(Data_2017!AZ53-$K53)/$M53),0)))</f>
        <v>4.76190476190476</v>
      </c>
      <c r="BG53" s="100">
        <f>IF($H53=0,0,CHOOSE($H53,SUMPRODUCT($O54:$O$67*BG54:BG$67*($E54:$E$67=$D53)),IF(ISNUMBER(Data_2017!BA53),100*ABS($G53-(Data_2017!BA53-$K53)/$M53),0),IF(ISNUMBER(Data_2017!BA53),100*ABS($G53-(Data_2017!BA53-$K53)/$M53),0)))</f>
        <v>50.7936507936508</v>
      </c>
      <c r="BH53" s="100">
        <f>IF($H53=0,0,CHOOSE($H53,SUMPRODUCT($O54:$O$67*BH54:BH$67*($E54:$E$67=$D53)),IF(ISNUMBER(Data_2017!BB53),100*ABS($G53-(Data_2017!BB53-$K53)/$M53),0),IF(ISNUMBER(Data_2017!BB53),100*ABS($G53-(Data_2017!BB53-$K53)/$M53),0)))</f>
        <v>46.8253968253968</v>
      </c>
      <c r="BI53" s="100">
        <f>IF($H53=0,0,CHOOSE($H53,SUMPRODUCT($O54:$O$67*BI54:BI$67*($E54:$E$67=$D53)),IF(ISNUMBER(Data_2017!BC53),100*ABS($G53-(Data_2017!BC53-$K53)/$M53),0),IF(ISNUMBER(Data_2017!BC53),100*ABS($G53-(Data_2017!BC53-$K53)/$M53),0)))</f>
        <v>33.3333333333333</v>
      </c>
      <c r="BJ53" s="100">
        <f>IF($H53=0,0,CHOOSE($H53,SUMPRODUCT($O54:$O$67*BJ54:BJ$67*($E54:$E$67=$D53)),IF(ISNUMBER(Data_2017!BD53),100*ABS($G53-(Data_2017!BD53-$K53)/$M53),0),IF(ISNUMBER(Data_2017!BD53),100*ABS($G53-(Data_2017!BD53-$K53)/$M53),0)))</f>
        <v>52.3809523809524</v>
      </c>
      <c r="BK53" s="100">
        <f>IF($H53=0,0,CHOOSE($H53,SUMPRODUCT($O54:$O$67*BK54:BK$67*($E54:$E$67=$D53)),IF(ISNUMBER(Data_2017!BE53),100*ABS($G53-(Data_2017!BE53-$K53)/$M53),0),IF(ISNUMBER(Data_2017!BE53),100*ABS($G53-(Data_2017!BE53-$K53)/$M53),0)))</f>
        <v>76.1904761904762</v>
      </c>
      <c r="BL53" s="100">
        <f>IF($H53=0,0,CHOOSE($H53,SUMPRODUCT($O54:$O$67*BL54:BL$67*($E54:$E$67=$D53)),IF(ISNUMBER(Data_2017!BF53),100*ABS($G53-(Data_2017!BF53-$K53)/$M53),0),IF(ISNUMBER(Data_2017!BF53),100*ABS($G53-(Data_2017!BF53-$K53)/$M53),0)))</f>
        <v>100</v>
      </c>
      <c r="BM53" s="100">
        <f>IF($H53=0,0,CHOOSE($H53,SUMPRODUCT($O54:$O$67*BM54:BM$67*($E54:$E$67=$D53)),IF(ISNUMBER(Data_2017!BG53),100*ABS($G53-(Data_2017!BG53-$K53)/$M53),0),IF(ISNUMBER(Data_2017!BG53),100*ABS($G53-(Data_2017!BG53-$K53)/$M53),0)))</f>
        <v>84.1269841269841</v>
      </c>
      <c r="BN53" s="100">
        <f>IF($H53=0,0,CHOOSE($H53,SUMPRODUCT($O54:$O$67*BN54:BN$67*($E54:$E$67=$D53)),IF(ISNUMBER(Data_2017!BH53),100*ABS($G53-(Data_2017!BH53-$K53)/$M53),0),IF(ISNUMBER(Data_2017!BH53),100*ABS($G53-(Data_2017!BH53-$K53)/$M53),0)))</f>
        <v>57.1428571428571</v>
      </c>
      <c r="BO53" s="100">
        <f>IF($H53=0,0,CHOOSE($H53,SUMPRODUCT($O54:$O$67*BO54:BO$67*($E54:$E$67=$D53)),IF(ISNUMBER(Data_2017!BI53),100*ABS($G53-(Data_2017!BI53-$K53)/$M53),0),IF(ISNUMBER(Data_2017!BI53),100*ABS($G53-(Data_2017!BI53-$K53)/$M53),0)))</f>
        <v>76.1904761904762</v>
      </c>
      <c r="BP53" s="100">
        <f>IF($H53=0,0,CHOOSE($H53,SUMPRODUCT($O54:$O$67*BP54:BP$67*($E54:$E$67=$D53)),IF(ISNUMBER(Data_2017!BJ53),100*ABS($G53-(Data_2017!BJ53-$K53)/$M53),0),IF(ISNUMBER(Data_2017!BJ53),100*ABS($G53-(Data_2017!BJ53-$K53)/$M53),0)))</f>
        <v>92.0634920634921</v>
      </c>
      <c r="BQ53" s="100">
        <f>IF($H53=0,0,CHOOSE($H53,SUMPRODUCT($O54:$O$67*BQ54:BQ$67*($E54:$E$67=$D53)),IF(ISNUMBER(Data_2017!BK53),100*ABS($G53-(Data_2017!BK53-$K53)/$M53),0),IF(ISNUMBER(Data_2017!BK53),100*ABS($G53-(Data_2017!BK53-$K53)/$M53),0)))</f>
        <v>50.7936507936508</v>
      </c>
      <c r="BR53" s="100">
        <f>IF($H53=0,0,CHOOSE($H53,SUMPRODUCT($O54:$O$67*BR54:BR$67*($E54:$E$67=$D53)),IF(ISNUMBER(Data_2017!BL53),100*ABS($G53-(Data_2017!BL53-$K53)/$M53),0),IF(ISNUMBER(Data_2017!BL53),100*ABS($G53-(Data_2017!BL53-$K53)/$M53),0)))</f>
        <v>84.1269841269841</v>
      </c>
      <c r="BS53" s="100">
        <f>IF($H53=0,0,CHOOSE($H53,SUMPRODUCT($O54:$O$67*BS54:BS$67*($E54:$E$67=$D53)),IF(ISNUMBER(Data_2017!BM53),100*ABS($G53-(Data_2017!BM53-$K53)/$M53),0),IF(ISNUMBER(Data_2017!BM53),100*ABS($G53-(Data_2017!BM53-$K53)/$M53),0)))</f>
        <v>60.3174603174603</v>
      </c>
      <c r="BT53" s="100">
        <f>IF($H53=0,0,CHOOSE($H53,SUMPRODUCT($O54:$O$67*BT54:BT$67*($E54:$E$67=$D53)),IF(ISNUMBER(Data_2017!BN53),100*ABS($G53-(Data_2017!BN53-$K53)/$M53),0),IF(ISNUMBER(Data_2017!BN53),100*ABS($G53-(Data_2017!BN53-$K53)/$M53),0)))</f>
        <v>76.1904761904762</v>
      </c>
      <c r="BU53" s="100">
        <f>IF($H53=0,0,CHOOSE($H53,SUMPRODUCT($O54:$O$67*BU54:BU$67*($E54:$E$67=$D53)),IF(ISNUMBER(Data_2017!BO53),100*ABS($G53-(Data_2017!BO53-$K53)/$M53),0),IF(ISNUMBER(Data_2017!BO53),100*ABS($G53-(Data_2017!BO53-$K53)/$M53),0)))</f>
        <v>76.1904761904762</v>
      </c>
      <c r="BV53" s="100">
        <f>IF($H53=0,0,CHOOSE($H53,SUMPRODUCT($O54:$O$67*BV54:BV$67*($E54:$E$67=$D53)),IF(ISNUMBER(Data_2017!BP53),100*ABS($G53-(Data_2017!BP53-$K53)/$M53),0),IF(ISNUMBER(Data_2017!BP53),100*ABS($G53-(Data_2017!BP53-$K53)/$M53),0)))</f>
        <v>68.2539682539683</v>
      </c>
      <c r="BW53" s="100">
        <f>IF($H53=0,0,CHOOSE($H53,SUMPRODUCT($O54:$O$67*BW54:BW$67*($E54:$E$67=$D53)),IF(ISNUMBER(Data_2017!BQ53),100*ABS($G53-(Data_2017!BQ53-$K53)/$M53),0),IF(ISNUMBER(Data_2017!BQ53),100*ABS($G53-(Data_2017!BQ53-$K53)/$M53),0)))</f>
        <v>13.4920634920635</v>
      </c>
      <c r="BX53" s="100">
        <f>IF($H53=0,0,CHOOSE($H53,SUMPRODUCT($O54:$O$67*BX54:BX$67*($E54:$E$67=$D53)),IF(ISNUMBER(Data_2017!BR53),100*ABS($G53-(Data_2017!BR53-$K53)/$M53),0),IF(ISNUMBER(Data_2017!BR53),100*ABS($G53-(Data_2017!BR53-$K53)/$M53),0)))</f>
        <v>84.1269841269841</v>
      </c>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row>
    <row r="54" s="69" customFormat="1" ht="24.95" customHeight="1" spans="1:130">
      <c r="A54" s="92"/>
      <c r="B54" s="92">
        <f>tblIndicators!A50</f>
        <v>49</v>
      </c>
      <c r="C54" s="92">
        <f>tblIndicators!B50</f>
        <v>0</v>
      </c>
      <c r="D54" s="92" t="str">
        <f>tblIndicators!D50</f>
        <v>PESE4.1.7</v>
      </c>
      <c r="E54" s="92" t="str">
        <f>tblIndicators!E50</f>
        <v>PESE4.1</v>
      </c>
      <c r="F54" s="92">
        <f>tblIndicators!F50</f>
        <v>3</v>
      </c>
      <c r="G54" s="92">
        <f>tblIndicators!Y50</f>
        <v>1</v>
      </c>
      <c r="H54" s="92">
        <f>tblIndicators!Z50</f>
        <v>3</v>
      </c>
      <c r="I54" s="104">
        <f>tblIndicators!AA50</f>
        <v>0</v>
      </c>
      <c r="J54" s="92">
        <f>tblIndicators!AB50</f>
        <v>100</v>
      </c>
      <c r="K54" s="89">
        <f>IF(uxb_works!$B$66=1,CHOOSE(H54,"-",MIN(Data_2017!J54:BR54),I54),CHOOSE(H54,"-",MIN(Data_2017!J54:BQ54),I54))</f>
        <v>0</v>
      </c>
      <c r="L54" s="97">
        <f>IF(uxb_works!$B$66=1,CHOOSE(H54,"-",MAX(Data_2017!J54:BR54),J54),CHOOSE(H54,"-",MAX(Data_2017!J54:BQ54),J54))</f>
        <v>100</v>
      </c>
      <c r="M54" s="92">
        <f t="shared" si="1"/>
        <v>100</v>
      </c>
      <c r="N54" s="105" t="str">
        <f>REPT(" ",F54)&amp;tblIndicators!AE50</f>
        <v>   4.1.7) Political stability risk</v>
      </c>
      <c r="O54" s="106">
        <f>tblIndicators!AD50</f>
        <v>0.142857142857143</v>
      </c>
      <c r="P54" s="100">
        <f>IF($H54=0,0,CHOOSE($H54,SUMPRODUCT($O55:$O$67*P55:P$67*($E55:$E$67=$D54)),IF(ISNUMBER(Data_2017!J54),100*ABS($G54-(Data_2017!J54-$K54)/$M54),0),IF(ISNUMBER(Data_2017!J54),100*ABS($G54-(Data_2017!J54-$K54)/$M54),0)))</f>
        <v>55</v>
      </c>
      <c r="Q54" s="100">
        <f>IF($H54=0,0,CHOOSE($H54,SUMPRODUCT($O55:$O$67*Q55:Q$67*($E55:$E$67=$D54)),IF(ISNUMBER(Data_2017!K54),100*ABS($G54-(Data_2017!K54-$K54)/$M54),0),IF(ISNUMBER(Data_2017!K54),100*ABS($G54-(Data_2017!K54-$K54)/$M54),0)))</f>
        <v>80</v>
      </c>
      <c r="R54" s="100">
        <f>IF($H54=0,0,CHOOSE($H54,SUMPRODUCT($O55:$O$67*R55:R$67*($E55:$E$67=$D54)),IF(ISNUMBER(Data_2017!L54),100*ABS($G54-(Data_2017!L54-$K54)/$M54),0),IF(ISNUMBER(Data_2017!L54),100*ABS($G54-(Data_2017!L54-$K54)/$M54),0)))</f>
        <v>70</v>
      </c>
      <c r="S54" s="100">
        <f>IF($H54=0,0,CHOOSE($H54,SUMPRODUCT($O55:$O$67*S55:S$67*($E55:$E$67=$D54)),IF(ISNUMBER(Data_2017!M54),100*ABS($G54-(Data_2017!M54-$K54)/$M54),0),IF(ISNUMBER(Data_2017!M54),100*ABS($G54-(Data_2017!M54-$K54)/$M54),0)))</f>
        <v>40</v>
      </c>
      <c r="T54" s="100">
        <f>IF($H54=0,0,CHOOSE($H54,SUMPRODUCT($O55:$O$67*T55:T$67*($E55:$E$67=$D54)),IF(ISNUMBER(Data_2017!N54),100*ABS($G54-(Data_2017!N54-$K54)/$M54),0),IF(ISNUMBER(Data_2017!N54),100*ABS($G54-(Data_2017!N54-$K54)/$M54),0)))</f>
        <v>70</v>
      </c>
      <c r="U54" s="100">
        <f>IF($H54=0,0,CHOOSE($H54,SUMPRODUCT($O55:$O$67*U55:U$67*($E55:$E$67=$D54)),IF(ISNUMBER(Data_2017!O54),100*ABS($G54-(Data_2017!O54-$K54)/$M54),0),IF(ISNUMBER(Data_2017!O54),100*ABS($G54-(Data_2017!O54-$K54)/$M54),0)))</f>
        <v>45</v>
      </c>
      <c r="V54" s="100">
        <f>IF($H54=0,0,CHOOSE($H54,SUMPRODUCT($O55:$O$67*V55:V$67*($E55:$E$67=$D54)),IF(ISNUMBER(Data_2017!P54),100*ABS($G54-(Data_2017!P54-$K54)/$M54),0),IF(ISNUMBER(Data_2017!P54),100*ABS($G54-(Data_2017!P54-$K54)/$M54),0)))</f>
        <v>65</v>
      </c>
      <c r="W54" s="100">
        <f>IF($H54=0,0,CHOOSE($H54,SUMPRODUCT($O55:$O$67*W55:W$67*($E55:$E$67=$D54)),IF(ISNUMBER(Data_2017!Q54),100*ABS($G54-(Data_2017!Q54-$K54)/$M54),0),IF(ISNUMBER(Data_2017!Q54),100*ABS($G54-(Data_2017!Q54-$K54)/$M54),0)))</f>
        <v>75</v>
      </c>
      <c r="X54" s="100">
        <f>IF($H54=0,0,CHOOSE($H54,SUMPRODUCT($O55:$O$67*X55:X$67*($E55:$E$67=$D54)),IF(ISNUMBER(Data_2017!R54),100*ABS($G54-(Data_2017!R54-$K54)/$M54),0),IF(ISNUMBER(Data_2017!R54),100*ABS($G54-(Data_2017!R54-$K54)/$M54),0)))</f>
        <v>60</v>
      </c>
      <c r="Y54" s="100">
        <f>IF($H54=0,0,CHOOSE($H54,SUMPRODUCT($O55:$O$67*Y55:Y$67*($E55:$E$67=$D54)),IF(ISNUMBER(Data_2017!S54),100*ABS($G54-(Data_2017!S54-$K54)/$M54),0),IF(ISNUMBER(Data_2017!S54),100*ABS($G54-(Data_2017!S54-$K54)/$M54),0)))</f>
        <v>50</v>
      </c>
      <c r="Z54" s="100">
        <f>IF($H54=0,0,CHOOSE($H54,SUMPRODUCT($O55:$O$67*Z55:Z$67*($E55:$E$67=$D54)),IF(ISNUMBER(Data_2017!T54),100*ABS($G54-(Data_2017!T54-$K54)/$M54),0),IF(ISNUMBER(Data_2017!T54),100*ABS($G54-(Data_2017!T54-$K54)/$M54),0)))</f>
        <v>25</v>
      </c>
      <c r="AA54" s="100">
        <f>IF($H54=0,0,CHOOSE($H54,SUMPRODUCT($O55:$O$67*AA55:AA$67*($E55:$E$67=$D54)),IF(ISNUMBER(Data_2017!U54),100*ABS($G54-(Data_2017!U54-$K54)/$M54),0),IF(ISNUMBER(Data_2017!U54),100*ABS($G54-(Data_2017!U54-$K54)/$M54),0)))</f>
        <v>40</v>
      </c>
      <c r="AB54" s="100">
        <f>IF($H54=0,0,CHOOSE($H54,SUMPRODUCT($O55:$O$67*AB55:AB$67*($E55:$E$67=$D54)),IF(ISNUMBER(Data_2017!V54),100*ABS($G54-(Data_2017!V54-$K54)/$M54),0),IF(ISNUMBER(Data_2017!V54),100*ABS($G54-(Data_2017!V54-$K54)/$M54),0)))</f>
        <v>80</v>
      </c>
      <c r="AC54" s="100">
        <f>IF($H54=0,0,CHOOSE($H54,SUMPRODUCT($O55:$O$67*AC55:AC$67*($E55:$E$67=$D54)),IF(ISNUMBER(Data_2017!W54),100*ABS($G54-(Data_2017!W54-$K54)/$M54),0),IF(ISNUMBER(Data_2017!W54),100*ABS($G54-(Data_2017!W54-$K54)/$M54),0)))</f>
        <v>80</v>
      </c>
      <c r="AD54" s="100">
        <f>IF($H54=0,0,CHOOSE($H54,SUMPRODUCT($O55:$O$67*AD55:AD$67*($E55:$E$67=$D54)),IF(ISNUMBER(Data_2017!X54),100*ABS($G54-(Data_2017!X54-$K54)/$M54),0),IF(ISNUMBER(Data_2017!X54),100*ABS($G54-(Data_2017!X54-$K54)/$M54),0)))</f>
        <v>75</v>
      </c>
      <c r="AE54" s="100">
        <f>IF($H54=0,0,CHOOSE($H54,SUMPRODUCT($O55:$O$67*AE55:AE$67*($E55:$E$67=$D54)),IF(ISNUMBER(Data_2017!Y54),100*ABS($G54-(Data_2017!Y54-$K54)/$M54),0),IF(ISNUMBER(Data_2017!Y54),100*ABS($G54-(Data_2017!Y54-$K54)/$M54),0)))</f>
        <v>45</v>
      </c>
      <c r="AF54" s="100">
        <f>IF($H54=0,0,CHOOSE($H54,SUMPRODUCT($O55:$O$67*AF55:AF$67*($E55:$E$67=$D54)),IF(ISNUMBER(Data_2017!Z54),100*ABS($G54-(Data_2017!Z54-$K54)/$M54),0),IF(ISNUMBER(Data_2017!Z54),100*ABS($G54-(Data_2017!Z54-$K54)/$M54),0)))</f>
        <v>60</v>
      </c>
      <c r="AG54" s="100">
        <f>IF($H54=0,0,CHOOSE($H54,SUMPRODUCT($O55:$O$67*AG55:AG$67*($E55:$E$67=$D54)),IF(ISNUMBER(Data_2017!AA54),100*ABS($G54-(Data_2017!AA54-$K54)/$M54),0),IF(ISNUMBER(Data_2017!AA54),100*ABS($G54-(Data_2017!AA54-$K54)/$M54),0)))</f>
        <v>85</v>
      </c>
      <c r="AH54" s="100">
        <f>IF($H54=0,0,CHOOSE($H54,SUMPRODUCT($O55:$O$67*AH55:AH$67*($E55:$E$67=$D54)),IF(ISNUMBER(Data_2017!AB54),100*ABS($G54-(Data_2017!AB54-$K54)/$M54),0),IF(ISNUMBER(Data_2017!AB54),100*ABS($G54-(Data_2017!AB54-$K54)/$M54),0)))</f>
        <v>45</v>
      </c>
      <c r="AI54" s="100">
        <f>IF($H54=0,0,CHOOSE($H54,SUMPRODUCT($O55:$O$67*AI55:AI$67*($E55:$E$67=$D54)),IF(ISNUMBER(Data_2017!AC54),100*ABS($G54-(Data_2017!AC54-$K54)/$M54),0),IF(ISNUMBER(Data_2017!AC54),100*ABS($G54-(Data_2017!AC54-$K54)/$M54),0)))</f>
        <v>60</v>
      </c>
      <c r="AJ54" s="100">
        <f>IF($H54=0,0,CHOOSE($H54,SUMPRODUCT($O55:$O$67*AJ55:AJ$67*($E55:$E$67=$D54)),IF(ISNUMBER(Data_2017!AD54),100*ABS($G54-(Data_2017!AD54-$K54)/$M54),0),IF(ISNUMBER(Data_2017!AD54),100*ABS($G54-(Data_2017!AD54-$K54)/$M54),0)))</f>
        <v>35</v>
      </c>
      <c r="AK54" s="100">
        <f>IF($H54=0,0,CHOOSE($H54,SUMPRODUCT($O55:$O$67*AK55:AK$67*($E55:$E$67=$D54)),IF(ISNUMBER(Data_2017!AE54),100*ABS($G54-(Data_2017!AE54-$K54)/$M54),0),IF(ISNUMBER(Data_2017!AE54),100*ABS($G54-(Data_2017!AE54-$K54)/$M54),0)))</f>
        <v>60</v>
      </c>
      <c r="AL54" s="100">
        <f>IF($H54=0,0,CHOOSE($H54,SUMPRODUCT($O55:$O$67*AL55:AL$67*($E55:$E$67=$D54)),IF(ISNUMBER(Data_2017!AF54),100*ABS($G54-(Data_2017!AF54-$K54)/$M54),0),IF(ISNUMBER(Data_2017!AF54),100*ABS($G54-(Data_2017!AF54-$K54)/$M54),0)))</f>
        <v>45</v>
      </c>
      <c r="AM54" s="100">
        <f>IF($H54=0,0,CHOOSE($H54,SUMPRODUCT($O55:$O$67*AM55:AM$67*($E55:$E$67=$D54)),IF(ISNUMBER(Data_2017!AG54),100*ABS($G54-(Data_2017!AG54-$K54)/$M54),0),IF(ISNUMBER(Data_2017!AG54),100*ABS($G54-(Data_2017!AG54-$K54)/$M54),0)))</f>
        <v>65</v>
      </c>
      <c r="AN54" s="100">
        <f>IF($H54=0,0,CHOOSE($H54,SUMPRODUCT($O55:$O$67*AN55:AN$67*($E55:$E$67=$D54)),IF(ISNUMBER(Data_2017!AH54),100*ABS($G54-(Data_2017!AH54-$K54)/$M54),0),IF(ISNUMBER(Data_2017!AH54),100*ABS($G54-(Data_2017!AH54-$K54)/$M54),0)))</f>
        <v>40</v>
      </c>
      <c r="AO54" s="100">
        <f>IF($H54=0,0,CHOOSE($H54,SUMPRODUCT($O55:$O$67*AO55:AO$67*($E55:$E$67=$D54)),IF(ISNUMBER(Data_2017!AI54),100*ABS($G54-(Data_2017!AI54-$K54)/$M54),0),IF(ISNUMBER(Data_2017!AI54),100*ABS($G54-(Data_2017!AI54-$K54)/$M54),0)))</f>
        <v>65</v>
      </c>
      <c r="AP54" s="100">
        <f>IF($H54=0,0,CHOOSE($H54,SUMPRODUCT($O55:$O$67*AP55:AP$67*($E55:$E$67=$D54)),IF(ISNUMBER(Data_2017!AJ54),100*ABS($G54-(Data_2017!AJ54-$K54)/$M54),0),IF(ISNUMBER(Data_2017!AJ54),100*ABS($G54-(Data_2017!AJ54-$K54)/$M54),0)))</f>
        <v>40</v>
      </c>
      <c r="AQ54" s="100">
        <f>IF($H54=0,0,CHOOSE($H54,SUMPRODUCT($O55:$O$67*AQ55:AQ$67*($E55:$E$67=$D54)),IF(ISNUMBER(Data_2017!AK54),100*ABS($G54-(Data_2017!AK54-$K54)/$M54),0),IF(ISNUMBER(Data_2017!AK54),100*ABS($G54-(Data_2017!AK54-$K54)/$M54),0)))</f>
        <v>65</v>
      </c>
      <c r="AR54" s="100">
        <f>IF($H54=0,0,CHOOSE($H54,SUMPRODUCT($O55:$O$67*AR55:AR$67*($E55:$E$67=$D54)),IF(ISNUMBER(Data_2017!AL54),100*ABS($G54-(Data_2017!AL54-$K54)/$M54),0),IF(ISNUMBER(Data_2017!AL54),100*ABS($G54-(Data_2017!AL54-$K54)/$M54),0)))</f>
        <v>75</v>
      </c>
      <c r="AS54" s="100">
        <f>IF($H54=0,0,CHOOSE($H54,SUMPRODUCT($O55:$O$67*AS55:AS$67*($E55:$E$67=$D54)),IF(ISNUMBER(Data_2017!AM54),100*ABS($G54-(Data_2017!AM54-$K54)/$M54),0),IF(ISNUMBER(Data_2017!AM54),100*ABS($G54-(Data_2017!AM54-$K54)/$M54),0)))</f>
        <v>80</v>
      </c>
      <c r="AT54" s="100">
        <f>IF($H54=0,0,CHOOSE($H54,SUMPRODUCT($O55:$O$67*AT55:AT$67*($E55:$E$67=$D54)),IF(ISNUMBER(Data_2017!AN54),100*ABS($G54-(Data_2017!AN54-$K54)/$M54),0),IF(ISNUMBER(Data_2017!AN54),100*ABS($G54-(Data_2017!AN54-$K54)/$M54),0)))</f>
        <v>70</v>
      </c>
      <c r="AU54" s="100">
        <f>IF($H54=0,0,CHOOSE($H54,SUMPRODUCT($O55:$O$67*AU55:AU$67*($E55:$E$67=$D54)),IF(ISNUMBER(Data_2017!AO54),100*ABS($G54-(Data_2017!AO54-$K54)/$M54),0),IF(ISNUMBER(Data_2017!AO54),100*ABS($G54-(Data_2017!AO54-$K54)/$M54),0)))</f>
        <v>50</v>
      </c>
      <c r="AV54" s="100">
        <f>IF($H54=0,0,CHOOSE($H54,SUMPRODUCT($O55:$O$67*AV55:AV$67*($E55:$E$67=$D54)),IF(ISNUMBER(Data_2017!AP54),100*ABS($G54-(Data_2017!AP54-$K54)/$M54),0),IF(ISNUMBER(Data_2017!AP54),100*ABS($G54-(Data_2017!AP54-$K54)/$M54),0)))</f>
        <v>90</v>
      </c>
      <c r="AW54" s="100">
        <f>IF($H54=0,0,CHOOSE($H54,SUMPRODUCT($O55:$O$67*AW55:AW$67*($E55:$E$67=$D54)),IF(ISNUMBER(Data_2017!AQ54),100*ABS($G54-(Data_2017!AQ54-$K54)/$M54),0),IF(ISNUMBER(Data_2017!AQ54),100*ABS($G54-(Data_2017!AQ54-$K54)/$M54),0)))</f>
        <v>50</v>
      </c>
      <c r="AX54" s="100">
        <f>IF($H54=0,0,CHOOSE($H54,SUMPRODUCT($O55:$O$67*AX55:AX$67*($E55:$E$67=$D54)),IF(ISNUMBER(Data_2017!AR54),100*ABS($G54-(Data_2017!AR54-$K54)/$M54),0),IF(ISNUMBER(Data_2017!AR54),100*ABS($G54-(Data_2017!AR54-$K54)/$M54),0)))</f>
        <v>60</v>
      </c>
      <c r="AY54" s="100">
        <f>IF($H54=0,0,CHOOSE($H54,SUMPRODUCT($O55:$O$67*AY55:AY$67*($E55:$E$67=$D54)),IF(ISNUMBER(Data_2017!AS54),100*ABS($G54-(Data_2017!AS54-$K54)/$M54),0),IF(ISNUMBER(Data_2017!AS54),100*ABS($G54-(Data_2017!AS54-$K54)/$M54),0)))</f>
        <v>40</v>
      </c>
      <c r="AZ54" s="100">
        <f>IF($H54=0,0,CHOOSE($H54,SUMPRODUCT($O55:$O$67*AZ55:AZ$67*($E55:$E$67=$D54)),IF(ISNUMBER(Data_2017!AT54),100*ABS($G54-(Data_2017!AT54-$K54)/$M54),0),IF(ISNUMBER(Data_2017!AT54),100*ABS($G54-(Data_2017!AT54-$K54)/$M54),0)))</f>
        <v>75</v>
      </c>
      <c r="BA54" s="100">
        <f>IF($H54=0,0,CHOOSE($H54,SUMPRODUCT($O55:$O$67*BA55:BA$67*($E55:$E$67=$D54)),IF(ISNUMBER(Data_2017!AU54),100*ABS($G54-(Data_2017!AU54-$K54)/$M54),0),IF(ISNUMBER(Data_2017!AU54),100*ABS($G54-(Data_2017!AU54-$K54)/$M54),0)))</f>
        <v>80</v>
      </c>
      <c r="BB54" s="100">
        <f>IF($H54=0,0,CHOOSE($H54,SUMPRODUCT($O55:$O$67*BB55:BB$67*($E55:$E$67=$D54)),IF(ISNUMBER(Data_2017!AV54),100*ABS($G54-(Data_2017!AV54-$K54)/$M54),0),IF(ISNUMBER(Data_2017!AV54),100*ABS($G54-(Data_2017!AV54-$K54)/$M54),0)))</f>
        <v>85</v>
      </c>
      <c r="BC54" s="100">
        <f>IF($H54=0,0,CHOOSE($H54,SUMPRODUCT($O55:$O$67*BC55:BC$67*($E55:$E$67=$D54)),IF(ISNUMBER(Data_2017!AW54),100*ABS($G54-(Data_2017!AW54-$K54)/$M54),0),IF(ISNUMBER(Data_2017!AW54),100*ABS($G54-(Data_2017!AW54-$K54)/$M54),0)))</f>
        <v>65</v>
      </c>
      <c r="BD54" s="100">
        <f>IF($H54=0,0,CHOOSE($H54,SUMPRODUCT($O55:$O$67*BD55:BD$67*($E55:$E$67=$D54)),IF(ISNUMBER(Data_2017!AX54),100*ABS($G54-(Data_2017!AX54-$K54)/$M54),0),IF(ISNUMBER(Data_2017!AX54),100*ABS($G54-(Data_2017!AX54-$K54)/$M54),0)))</f>
        <v>50</v>
      </c>
      <c r="BE54" s="100">
        <f>IF($H54=0,0,CHOOSE($H54,SUMPRODUCT($O55:$O$67*BE55:BE$67*($E55:$E$67=$D54)),IF(ISNUMBER(Data_2017!AY54),100*ABS($G54-(Data_2017!AY54-$K54)/$M54),0),IF(ISNUMBER(Data_2017!AY54),100*ABS($G54-(Data_2017!AY54-$K54)/$M54),0)))</f>
        <v>60</v>
      </c>
      <c r="BF54" s="100">
        <f>IF($H54=0,0,CHOOSE($H54,SUMPRODUCT($O55:$O$67*BF55:BF$67*($E55:$E$67=$D54)),IF(ISNUMBER(Data_2017!AZ54),100*ABS($G54-(Data_2017!AZ54-$K54)/$M54),0),IF(ISNUMBER(Data_2017!AZ54),100*ABS($G54-(Data_2017!AZ54-$K54)/$M54),0)))</f>
        <v>45</v>
      </c>
      <c r="BG54" s="100">
        <f>IF($H54=0,0,CHOOSE($H54,SUMPRODUCT($O55:$O$67*BG55:BG$67*($E55:$E$67=$D54)),IF(ISNUMBER(Data_2017!BA54),100*ABS($G54-(Data_2017!BA54-$K54)/$M54),0),IF(ISNUMBER(Data_2017!BA54),100*ABS($G54-(Data_2017!BA54-$K54)/$M54),0)))</f>
        <v>60</v>
      </c>
      <c r="BH54" s="100">
        <f>IF($H54=0,0,CHOOSE($H54,SUMPRODUCT($O55:$O$67*BH55:BH$67*($E55:$E$67=$D54)),IF(ISNUMBER(Data_2017!BB54),100*ABS($G54-(Data_2017!BB54-$K54)/$M54),0),IF(ISNUMBER(Data_2017!BB54),100*ABS($G54-(Data_2017!BB54-$K54)/$M54),0)))</f>
        <v>80</v>
      </c>
      <c r="BI54" s="100">
        <f>IF($H54=0,0,CHOOSE($H54,SUMPRODUCT($O55:$O$67*BI55:BI$67*($E55:$E$67=$D54)),IF(ISNUMBER(Data_2017!BC54),100*ABS($G54-(Data_2017!BC54-$K54)/$M54),0),IF(ISNUMBER(Data_2017!BC54),100*ABS($G54-(Data_2017!BC54-$K54)/$M54),0)))</f>
        <v>80</v>
      </c>
      <c r="BJ54" s="100">
        <f>IF($H54=0,0,CHOOSE($H54,SUMPRODUCT($O55:$O$67*BJ55:BJ$67*($E55:$E$67=$D54)),IF(ISNUMBER(Data_2017!BD54),100*ABS($G54-(Data_2017!BD54-$K54)/$M54),0),IF(ISNUMBER(Data_2017!BD54),100*ABS($G54-(Data_2017!BD54-$K54)/$M54),0)))</f>
        <v>60</v>
      </c>
      <c r="BK54" s="100">
        <f>IF($H54=0,0,CHOOSE($H54,SUMPRODUCT($O55:$O$67*BK55:BK$67*($E55:$E$67=$D54)),IF(ISNUMBER(Data_2017!BE54),100*ABS($G54-(Data_2017!BE54-$K54)/$M54),0),IF(ISNUMBER(Data_2017!BE54),100*ABS($G54-(Data_2017!BE54-$K54)/$M54),0)))</f>
        <v>55</v>
      </c>
      <c r="BL54" s="100">
        <f>IF($H54=0,0,CHOOSE($H54,SUMPRODUCT($O55:$O$67*BL55:BL$67*($E55:$E$67=$D54)),IF(ISNUMBER(Data_2017!BF54),100*ABS($G54-(Data_2017!BF54-$K54)/$M54),0),IF(ISNUMBER(Data_2017!BF54),100*ABS($G54-(Data_2017!BF54-$K54)/$M54),0)))</f>
        <v>45</v>
      </c>
      <c r="BM54" s="100">
        <f>IF($H54=0,0,CHOOSE($H54,SUMPRODUCT($O55:$O$67*BM55:BM$67*($E55:$E$67=$D54)),IF(ISNUMBER(Data_2017!BG54),100*ABS($G54-(Data_2017!BG54-$K54)/$M54),0),IF(ISNUMBER(Data_2017!BG54),100*ABS($G54-(Data_2017!BG54-$K54)/$M54),0)))</f>
        <v>80</v>
      </c>
      <c r="BN54" s="100">
        <f>IF($H54=0,0,CHOOSE($H54,SUMPRODUCT($O55:$O$67*BN55:BN$67*($E55:$E$67=$D54)),IF(ISNUMBER(Data_2017!BH54),100*ABS($G54-(Data_2017!BH54-$K54)/$M54),0),IF(ISNUMBER(Data_2017!BH54),100*ABS($G54-(Data_2017!BH54-$K54)/$M54),0)))</f>
        <v>85</v>
      </c>
      <c r="BO54" s="100">
        <f>IF($H54=0,0,CHOOSE($H54,SUMPRODUCT($O55:$O$67*BO55:BO$67*($E55:$E$67=$D54)),IF(ISNUMBER(Data_2017!BI54),100*ABS($G54-(Data_2017!BI54-$K54)/$M54),0),IF(ISNUMBER(Data_2017!BI54),100*ABS($G54-(Data_2017!BI54-$K54)/$M54),0)))</f>
        <v>90</v>
      </c>
      <c r="BP54" s="100">
        <f>IF($H54=0,0,CHOOSE($H54,SUMPRODUCT($O55:$O$67*BP55:BP$67*($E55:$E$67=$D54)),IF(ISNUMBER(Data_2017!BJ54),100*ABS($G54-(Data_2017!BJ54-$K54)/$M54),0),IF(ISNUMBER(Data_2017!BJ54),100*ABS($G54-(Data_2017!BJ54-$K54)/$M54),0)))</f>
        <v>65</v>
      </c>
      <c r="BQ54" s="100">
        <f>IF($H54=0,0,CHOOSE($H54,SUMPRODUCT($O55:$O$67*BQ55:BQ$67*($E55:$E$67=$D54)),IF(ISNUMBER(Data_2017!BK54),100*ABS($G54-(Data_2017!BK54-$K54)/$M54),0),IF(ISNUMBER(Data_2017!BK54),100*ABS($G54-(Data_2017!BK54-$K54)/$M54),0)))</f>
        <v>30</v>
      </c>
      <c r="BR54" s="100">
        <f>IF($H54=0,0,CHOOSE($H54,SUMPRODUCT($O55:$O$67*BR55:BR$67*($E55:$E$67=$D54)),IF(ISNUMBER(Data_2017!BL54),100*ABS($G54-(Data_2017!BL54-$K54)/$M54),0),IF(ISNUMBER(Data_2017!BL54),100*ABS($G54-(Data_2017!BL54-$K54)/$M54),0)))</f>
        <v>85</v>
      </c>
      <c r="BS54" s="100">
        <f>IF($H54=0,0,CHOOSE($H54,SUMPRODUCT($O55:$O$67*BS55:BS$67*($E55:$E$67=$D54)),IF(ISNUMBER(Data_2017!BM54),100*ABS($G54-(Data_2017!BM54-$K54)/$M54),0),IF(ISNUMBER(Data_2017!BM54),100*ABS($G54-(Data_2017!BM54-$K54)/$M54),0)))</f>
        <v>95</v>
      </c>
      <c r="BT54" s="100">
        <f>IF($H54=0,0,CHOOSE($H54,SUMPRODUCT($O55:$O$67*BT55:BT$67*($E55:$E$67=$D54)),IF(ISNUMBER(Data_2017!BN54),100*ABS($G54-(Data_2017!BN54-$K54)/$M54),0),IF(ISNUMBER(Data_2017!BN54),100*ABS($G54-(Data_2017!BN54-$K54)/$M54),0)))</f>
        <v>80</v>
      </c>
      <c r="BU54" s="100">
        <f>IF($H54=0,0,CHOOSE($H54,SUMPRODUCT($O55:$O$67*BU55:BU$67*($E55:$E$67=$D54)),IF(ISNUMBER(Data_2017!BO54),100*ABS($G54-(Data_2017!BO54-$K54)/$M54),0),IF(ISNUMBER(Data_2017!BO54),100*ABS($G54-(Data_2017!BO54-$K54)/$M54),0)))</f>
        <v>85</v>
      </c>
      <c r="BV54" s="100">
        <f>IF($H54=0,0,CHOOSE($H54,SUMPRODUCT($O55:$O$67*BV55:BV$67*($E55:$E$67=$D54)),IF(ISNUMBER(Data_2017!BP54),100*ABS($G54-(Data_2017!BP54-$K54)/$M54),0),IF(ISNUMBER(Data_2017!BP54),100*ABS($G54-(Data_2017!BP54-$K54)/$M54),0)))</f>
        <v>50</v>
      </c>
      <c r="BW54" s="100">
        <f>IF($H54=0,0,CHOOSE($H54,SUMPRODUCT($O55:$O$67*BW55:BW$67*($E55:$E$67=$D54)),IF(ISNUMBER(Data_2017!BQ54),100*ABS($G54-(Data_2017!BQ54-$K54)/$M54),0),IF(ISNUMBER(Data_2017!BQ54),100*ABS($G54-(Data_2017!BQ54-$K54)/$M54),0)))</f>
        <v>85</v>
      </c>
      <c r="BX54" s="100">
        <f>IF($H54=0,0,CHOOSE($H54,SUMPRODUCT($O55:$O$67*BX55:BX$67*($E55:$E$67=$D54)),IF(ISNUMBER(Data_2017!BR54),100*ABS($G54-(Data_2017!BR54-$K54)/$M54),0),IF(ISNUMBER(Data_2017!BR54),100*ABS($G54-(Data_2017!BR54-$K54)/$M54),0)))</f>
        <v>85</v>
      </c>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row>
    <row r="55" s="69" customFormat="1" ht="24.95" customHeight="1" spans="1:130">
      <c r="A55" s="92"/>
      <c r="B55" s="92">
        <f>tblIndicators!A51</f>
        <v>50</v>
      </c>
      <c r="C55" s="92">
        <f>tblIndicators!B51</f>
        <v>0</v>
      </c>
      <c r="D55" s="92" t="str">
        <f>tblIndicators!D51</f>
        <v>PESE4.2</v>
      </c>
      <c r="E55" s="92" t="str">
        <f>tblIndicators!E51</f>
        <v>PESE</v>
      </c>
      <c r="F55" s="92">
        <f>tblIndicators!F51</f>
        <v>2</v>
      </c>
      <c r="G55" s="92" t="str">
        <f>tblIndicators!Y51</f>
        <v/>
      </c>
      <c r="H55" s="92">
        <f>tblIndicators!Z51</f>
        <v>1</v>
      </c>
      <c r="I55" s="104">
        <f>tblIndicators!AA51</f>
        <v>0</v>
      </c>
      <c r="J55" s="92">
        <f>tblIndicators!AB51</f>
        <v>0</v>
      </c>
      <c r="K55" s="89" t="str">
        <f>IF(uxb_works!$B$66=1,CHOOSE(H55,"-",MIN(Data_2017!J55:BR55),I55),CHOOSE(H55,"-",MIN(Data_2017!J55:BQ55),I55))</f>
        <v>-</v>
      </c>
      <c r="L55" s="97" t="str">
        <f>IF(uxb_works!$B$66=1,CHOOSE(H55,"-",MAX(Data_2017!J55:BR55),J55),CHOOSE(H55,"-",MAX(Data_2017!J55:BQ55),J55))</f>
        <v>-</v>
      </c>
      <c r="M55" s="92" t="str">
        <f t="shared" si="1"/>
        <v>-</v>
      </c>
      <c r="N55" s="105" t="str">
        <f>REPT(" ",F55)&amp;tblIndicators!AE51</f>
        <v>  4.2) Personal security (Outputs)</v>
      </c>
      <c r="O55" s="106">
        <f>tblIndicators!AD51</f>
        <v>0.5</v>
      </c>
      <c r="P55" s="100">
        <f>IF($H55=0,0,CHOOSE($H55,SUMPRODUCT($O56:$O$67*P56:P$67*($E56:$E$67=$D55)),IF(ISNUMBER(Data_2017!J55),100*ABS($G55-(Data_2017!J55-$K55)/$M55),0),IF(ISNUMBER(Data_2017!J55),100*ABS($G55-(Data_2017!J55-$K55)/$M55),0)))</f>
        <v>86.10017057061</v>
      </c>
      <c r="Q55" s="100">
        <f>IF($H55=0,0,CHOOSE($H55,SUMPRODUCT($O56:$O$67*Q56:Q$67*($E56:$E$67=$D55)),IF(ISNUMBER(Data_2017!K55),100*ABS($G55-(Data_2017!K55-$K55)/$M55),0),IF(ISNUMBER(Data_2017!K55),100*ABS($G55-(Data_2017!K55-$K55)/$M55),0)))</f>
        <v>82.2362299168649</v>
      </c>
      <c r="R55" s="100">
        <f>IF($H55=0,0,CHOOSE($H55,SUMPRODUCT($O56:$O$67*R56:R$67*($E56:$E$67=$D55)),IF(ISNUMBER(Data_2017!L55),100*ABS($G55-(Data_2017!L55-$K55)/$M55),0),IF(ISNUMBER(Data_2017!L55),100*ABS($G55-(Data_2017!L55-$K55)/$M55),0)))</f>
        <v>73.5297218012422</v>
      </c>
      <c r="S55" s="100">
        <f>IF($H55=0,0,CHOOSE($H55,SUMPRODUCT($O56:$O$67*S56:S$67*($E56:$E$67=$D55)),IF(ISNUMBER(Data_2017!M55),100*ABS($G55-(Data_2017!M55-$K55)/$M55),0),IF(ISNUMBER(Data_2017!M55),100*ABS($G55-(Data_2017!M55-$K55)/$M55),0)))</f>
        <v>59.9857208747085</v>
      </c>
      <c r="T55" s="100">
        <f>IF($H55=0,0,CHOOSE($H55,SUMPRODUCT($O56:$O$67*T56:T$67*($E56:$E$67=$D55)),IF(ISNUMBER(Data_2017!N55),100*ABS($G55-(Data_2017!N55-$K55)/$M55),0),IF(ISNUMBER(Data_2017!N55),100*ABS($G55-(Data_2017!N55-$K55)/$M55),0)))</f>
        <v>79.6127011905947</v>
      </c>
      <c r="U55" s="100">
        <f>IF($H55=0,0,CHOOSE($H55,SUMPRODUCT($O56:$O$67*U56:U$67*($E56:$E$67=$D55)),IF(ISNUMBER(Data_2017!O55),100*ABS($G55-(Data_2017!O55-$K55)/$M55),0),IF(ISNUMBER(Data_2017!O55),100*ABS($G55-(Data_2017!O55-$K55)/$M55),0)))</f>
        <v>76.5285701459284</v>
      </c>
      <c r="V55" s="100">
        <f>IF($H55=0,0,CHOOSE($H55,SUMPRODUCT($O56:$O$67*V56:V$67*($E56:$E$67=$D55)),IF(ISNUMBER(Data_2017!P55),100*ABS($G55-(Data_2017!P55-$K55)/$M55),0),IF(ISNUMBER(Data_2017!P55),100*ABS($G55-(Data_2017!P55-$K55)/$M55),0)))</f>
        <v>46.1316183272281</v>
      </c>
      <c r="W55" s="100">
        <f>IF($H55=0,0,CHOOSE($H55,SUMPRODUCT($O56:$O$67*W56:W$67*($E56:$E$67=$D55)),IF(ISNUMBER(Data_2017!Q55),100*ABS($G55-(Data_2017!Q55-$K55)/$M55),0),IF(ISNUMBER(Data_2017!Q55),100*ABS($G55-(Data_2017!Q55-$K55)/$M55),0)))</f>
        <v>80.7838153198686</v>
      </c>
      <c r="X55" s="100">
        <f>IF($H55=0,0,CHOOSE($H55,SUMPRODUCT($O56:$O$67*X56:X$67*($E56:$E$67=$D55)),IF(ISNUMBER(Data_2017!R55),100*ABS($G55-(Data_2017!R55-$K55)/$M55),0),IF(ISNUMBER(Data_2017!R55),100*ABS($G55-(Data_2017!R55-$K55)/$M55),0)))</f>
        <v>68.5054141911695</v>
      </c>
      <c r="Y55" s="100">
        <f>IF($H55=0,0,CHOOSE($H55,SUMPRODUCT($O56:$O$67*Y56:Y$67*($E56:$E$67=$D55)),IF(ISNUMBER(Data_2017!S55),100*ABS($G55-(Data_2017!S55-$K55)/$M55),0),IF(ISNUMBER(Data_2017!S55),100*ABS($G55-(Data_2017!S55-$K55)/$M55),0)))</f>
        <v>62.1794341144497</v>
      </c>
      <c r="Z55" s="100">
        <f>IF($H55=0,0,CHOOSE($H55,SUMPRODUCT($O56:$O$67*Z56:Z$67*($E56:$E$67=$D55)),IF(ISNUMBER(Data_2017!T55),100*ABS($G55-(Data_2017!T55-$K55)/$M55),0),IF(ISNUMBER(Data_2017!T55),100*ABS($G55-(Data_2017!T55-$K55)/$M55),0)))</f>
        <v>42.5015366068378</v>
      </c>
      <c r="AA55" s="100">
        <f>IF($H55=0,0,CHOOSE($H55,SUMPRODUCT($O56:$O$67*AA56:AA$67*($E56:$E$67=$D55)),IF(ISNUMBER(Data_2017!U55),100*ABS($G55-(Data_2017!U55-$K55)/$M55),0),IF(ISNUMBER(Data_2017!U55),100*ABS($G55-(Data_2017!U55-$K55)/$M55),0)))</f>
        <v>68.0674500634544</v>
      </c>
      <c r="AB55" s="100">
        <f>IF($H55=0,0,CHOOSE($H55,SUMPRODUCT($O56:$O$67*AB56:AB$67*($E56:$E$67=$D55)),IF(ISNUMBER(Data_2017!V55),100*ABS($G55-(Data_2017!V55-$K55)/$M55),0),IF(ISNUMBER(Data_2017!V55),100*ABS($G55-(Data_2017!V55-$K55)/$M55),0)))</f>
        <v>76.9197385249842</v>
      </c>
      <c r="AC55" s="100">
        <f>IF($H55=0,0,CHOOSE($H55,SUMPRODUCT($O56:$O$67*AC56:AC$67*($E56:$E$67=$D55)),IF(ISNUMBER(Data_2017!W55),100*ABS($G55-(Data_2017!W55-$K55)/$M55),0),IF(ISNUMBER(Data_2017!W55),100*ABS($G55-(Data_2017!W55-$K55)/$M55),0)))</f>
        <v>78.6557501204637</v>
      </c>
      <c r="AD55" s="100">
        <f>IF($H55=0,0,CHOOSE($H55,SUMPRODUCT($O56:$O$67*AD56:AD$67*($E56:$E$67=$D55)),IF(ISNUMBER(Data_2017!X55),100*ABS($G55-(Data_2017!X55-$K55)/$M55),0),IF(ISNUMBER(Data_2017!X55),100*ABS($G55-(Data_2017!X55-$K55)/$M55),0)))</f>
        <v>64.0466783858782</v>
      </c>
      <c r="AE55" s="100">
        <f>IF($H55=0,0,CHOOSE($H55,SUMPRODUCT($O56:$O$67*AE56:AE$67*($E56:$E$67=$D55)),IF(ISNUMBER(Data_2017!Y55),100*ABS($G55-(Data_2017!Y55-$K55)/$M55),0),IF(ISNUMBER(Data_2017!Y55),100*ABS($G55-(Data_2017!Y55-$K55)/$M55),0)))</f>
        <v>59.8483603743997</v>
      </c>
      <c r="AF55" s="100">
        <f>IF($H55=0,0,CHOOSE($H55,SUMPRODUCT($O56:$O$67*AF56:AF$67*($E56:$E$67=$D55)),IF(ISNUMBER(Data_2017!Z55),100*ABS($G55-(Data_2017!Z55-$K55)/$M55),0),IF(ISNUMBER(Data_2017!Z55),100*ABS($G55-(Data_2017!Z55-$K55)/$M55),0)))</f>
        <v>83.4544523327568</v>
      </c>
      <c r="AG55" s="100">
        <f>IF($H55=0,0,CHOOSE($H55,SUMPRODUCT($O56:$O$67*AG56:AG$67*($E56:$E$67=$D55)),IF(ISNUMBER(Data_2017!AA55),100*ABS($G55-(Data_2017!AA55-$K55)/$M55),0),IF(ISNUMBER(Data_2017!AA55),100*ABS($G55-(Data_2017!AA55-$K55)/$M55),0)))</f>
        <v>81.6718008671738</v>
      </c>
      <c r="AH55" s="100">
        <f>IF($H55=0,0,CHOOSE($H55,SUMPRODUCT($O56:$O$67*AH56:AH$67*($E56:$E$67=$D55)),IF(ISNUMBER(Data_2017!AB55),100*ABS($G55-(Data_2017!AB55-$K55)/$M55),0),IF(ISNUMBER(Data_2017!AB55),100*ABS($G55-(Data_2017!AB55-$K55)/$M55),0)))</f>
        <v>66.063951510523</v>
      </c>
      <c r="AI55" s="100">
        <f>IF($H55=0,0,CHOOSE($H55,SUMPRODUCT($O56:$O$67*AI56:AI$67*($E56:$E$67=$D55)),IF(ISNUMBER(Data_2017!AC55),100*ABS($G55-(Data_2017!AC55-$K55)/$M55),0),IF(ISNUMBER(Data_2017!AC55),100*ABS($G55-(Data_2017!AC55-$K55)/$M55),0)))</f>
        <v>87.4905460803838</v>
      </c>
      <c r="AJ55" s="100">
        <f>IF($H55=0,0,CHOOSE($H55,SUMPRODUCT($O56:$O$67*AJ56:AJ$67*($E56:$E$67=$D55)),IF(ISNUMBER(Data_2017!AD55),100*ABS($G55-(Data_2017!AD55-$K55)/$M55),0),IF(ISNUMBER(Data_2017!AD55),100*ABS($G55-(Data_2017!AD55-$K55)/$M55),0)))</f>
        <v>59.8966031646102</v>
      </c>
      <c r="AK55" s="100">
        <f>IF($H55=0,0,CHOOSE($H55,SUMPRODUCT($O56:$O$67*AK56:AK$67*($E56:$E$67=$D55)),IF(ISNUMBER(Data_2017!AE55),100*ABS($G55-(Data_2017!AE55-$K55)/$M55),0),IF(ISNUMBER(Data_2017!AE55),100*ABS($G55-(Data_2017!AE55-$K55)/$M55),0)))</f>
        <v>63.5410049717938</v>
      </c>
      <c r="AL55" s="100">
        <f>IF($H55=0,0,CHOOSE($H55,SUMPRODUCT($O56:$O$67*AL56:AL$67*($E56:$E$67=$D55)),IF(ISNUMBER(Data_2017!AF55),100*ABS($G55-(Data_2017!AF55-$K55)/$M55),0),IF(ISNUMBER(Data_2017!AF55),100*ABS($G55-(Data_2017!AF55-$K55)/$M55),0)))</f>
        <v>77.2743325256026</v>
      </c>
      <c r="AM55" s="100">
        <f>IF($H55=0,0,CHOOSE($H55,SUMPRODUCT($O56:$O$67*AM56:AM$67*($E56:$E$67=$D55)),IF(ISNUMBER(Data_2017!AG55),100*ABS($G55-(Data_2017!AG55-$K55)/$M55),0),IF(ISNUMBER(Data_2017!AG55),100*ABS($G55-(Data_2017!AG55-$K55)/$M55),0)))</f>
        <v>54.203598166953</v>
      </c>
      <c r="AN55" s="100">
        <f>IF($H55=0,0,CHOOSE($H55,SUMPRODUCT($O56:$O$67*AN56:AN$67*($E56:$E$67=$D55)),IF(ISNUMBER(Data_2017!AH55),100*ABS($G55-(Data_2017!AH55-$K55)/$M55),0),IF(ISNUMBER(Data_2017!AH55),100*ABS($G55-(Data_2017!AH55-$K55)/$M55),0)))</f>
        <v>26.6834712295477</v>
      </c>
      <c r="AO55" s="100">
        <f>IF($H55=0,0,CHOOSE($H55,SUMPRODUCT($O56:$O$67*AO56:AO$67*($E56:$E$67=$D55)),IF(ISNUMBER(Data_2017!AI55),100*ABS($G55-(Data_2017!AI55-$K55)/$M55),0),IF(ISNUMBER(Data_2017!AI55),100*ABS($G55-(Data_2017!AI55-$K55)/$M55),0)))</f>
        <v>77.5751523732371</v>
      </c>
      <c r="AP55" s="100">
        <f>IF($H55=0,0,CHOOSE($H55,SUMPRODUCT($O56:$O$67*AP56:AP$67*($E56:$E$67=$D55)),IF(ISNUMBER(Data_2017!AJ55),100*ABS($G55-(Data_2017!AJ55-$K55)/$M55),0),IF(ISNUMBER(Data_2017!AJ55),100*ABS($G55-(Data_2017!AJ55-$K55)/$M55),0)))</f>
        <v>80.2060357045367</v>
      </c>
      <c r="AQ55" s="100">
        <f>IF($H55=0,0,CHOOSE($H55,SUMPRODUCT($O56:$O$67*AQ56:AQ$67*($E56:$E$67=$D55)),IF(ISNUMBER(Data_2017!AK55),100*ABS($G55-(Data_2017!AK55-$K55)/$M55),0),IF(ISNUMBER(Data_2017!AK55),100*ABS($G55-(Data_2017!AK55-$K55)/$M55),0)))</f>
        <v>60.6321006813934</v>
      </c>
      <c r="AR55" s="100">
        <f>IF($H55=0,0,CHOOSE($H55,SUMPRODUCT($O56:$O$67*AR56:AR$67*($E56:$E$67=$D55)),IF(ISNUMBER(Data_2017!AL55),100*ABS($G55-(Data_2017!AL55-$K55)/$M55),0),IF(ISNUMBER(Data_2017!AL55),100*ABS($G55-(Data_2017!AL55-$K55)/$M55),0)))</f>
        <v>76.872691647432</v>
      </c>
      <c r="AS55" s="100">
        <f>IF($H55=0,0,CHOOSE($H55,SUMPRODUCT($O56:$O$67*AS56:AS$67*($E56:$E$67=$D55)),IF(ISNUMBER(Data_2017!AM55),100*ABS($G55-(Data_2017!AM55-$K55)/$M55),0),IF(ISNUMBER(Data_2017!AM55),100*ABS($G55-(Data_2017!AM55-$K55)/$M55),0)))</f>
        <v>77.2605920603337</v>
      </c>
      <c r="AT55" s="100">
        <f>IF($H55=0,0,CHOOSE($H55,SUMPRODUCT($O56:$O$67*AT56:AT$67*($E56:$E$67=$D55)),IF(ISNUMBER(Data_2017!AN55),100*ABS($G55-(Data_2017!AN55-$K55)/$M55),0),IF(ISNUMBER(Data_2017!AN55),100*ABS($G55-(Data_2017!AN55-$K55)/$M55),0)))</f>
        <v>80.2638051192829</v>
      </c>
      <c r="AU55" s="100">
        <f>IF($H55=0,0,CHOOSE($H55,SUMPRODUCT($O56:$O$67*AU56:AU$67*($E56:$E$67=$D55)),IF(ISNUMBER(Data_2017!AO55),100*ABS($G55-(Data_2017!AO55-$K55)/$M55),0),IF(ISNUMBER(Data_2017!AO55),100*ABS($G55-(Data_2017!AO55-$K55)/$M55),0)))</f>
        <v>63.6896797438487</v>
      </c>
      <c r="AV55" s="100">
        <f>IF($H55=0,0,CHOOSE($H55,SUMPRODUCT($O56:$O$67*AV56:AV$67*($E56:$E$67=$D55)),IF(ISNUMBER(Data_2017!AP55),100*ABS($G55-(Data_2017!AP55-$K55)/$M55),0),IF(ISNUMBER(Data_2017!AP55),100*ABS($G55-(Data_2017!AP55-$K55)/$M55),0)))</f>
        <v>81.8748923147478</v>
      </c>
      <c r="AW55" s="100">
        <f>IF($H55=0,0,CHOOSE($H55,SUMPRODUCT($O56:$O$67*AW56:AW$67*($E56:$E$67=$D55)),IF(ISNUMBER(Data_2017!AQ55),100*ABS($G55-(Data_2017!AQ55-$K55)/$M55),0),IF(ISNUMBER(Data_2017!AQ55),100*ABS($G55-(Data_2017!AQ55-$K55)/$M55),0)))</f>
        <v>51.2377998006852</v>
      </c>
      <c r="AX55" s="100">
        <f>IF($H55=0,0,CHOOSE($H55,SUMPRODUCT($O56:$O$67*AX56:AX$67*($E56:$E$67=$D55)),IF(ISNUMBER(Data_2017!AR55),100*ABS($G55-(Data_2017!AR55-$K55)/$M55),0),IF(ISNUMBER(Data_2017!AR55),100*ABS($G55-(Data_2017!AR55-$K55)/$M55),0)))</f>
        <v>73.5499163132566</v>
      </c>
      <c r="AY55" s="100">
        <f>IF($H55=0,0,CHOOSE($H55,SUMPRODUCT($O56:$O$67*AY56:AY$67*($E56:$E$67=$D55)),IF(ISNUMBER(Data_2017!AS55),100*ABS($G55-(Data_2017!AS55-$K55)/$M55),0),IF(ISNUMBER(Data_2017!AS55),100*ABS($G55-(Data_2017!AS55-$K55)/$M55),0)))</f>
        <v>59.0373441896908</v>
      </c>
      <c r="AZ55" s="100">
        <f>IF($H55=0,0,CHOOSE($H55,SUMPRODUCT($O56:$O$67*AZ56:AZ$67*($E56:$E$67=$D55)),IF(ISNUMBER(Data_2017!AT55),100*ABS($G55-(Data_2017!AT55-$K55)/$M55),0),IF(ISNUMBER(Data_2017!AT55),100*ABS($G55-(Data_2017!AT55-$K55)/$M55),0)))</f>
        <v>66.6175812017623</v>
      </c>
      <c r="BA55" s="100">
        <f>IF($H55=0,0,CHOOSE($H55,SUMPRODUCT($O56:$O$67*BA56:BA$67*($E56:$E$67=$D55)),IF(ISNUMBER(Data_2017!AU55),100*ABS($G55-(Data_2017!AU55-$K55)/$M55),0),IF(ISNUMBER(Data_2017!AU55),100*ABS($G55-(Data_2017!AU55-$K55)/$M55),0)))</f>
        <v>74.1097931907543</v>
      </c>
      <c r="BB55" s="100">
        <f>IF($H55=0,0,CHOOSE($H55,SUMPRODUCT($O56:$O$67*BB56:BB$67*($E56:$E$67=$D55)),IF(ISNUMBER(Data_2017!AV55),100*ABS($G55-(Data_2017!AV55-$K55)/$M55),0),IF(ISNUMBER(Data_2017!AV55),100*ABS($G55-(Data_2017!AV55-$K55)/$M55),0)))</f>
        <v>87.5880265848671</v>
      </c>
      <c r="BC55" s="100">
        <f>IF($H55=0,0,CHOOSE($H55,SUMPRODUCT($O56:$O$67*BC56:BC$67*($E56:$E$67=$D55)),IF(ISNUMBER(Data_2017!AW55),100*ABS($G55-(Data_2017!AW55-$K55)/$M55),0),IF(ISNUMBER(Data_2017!AW55),100*ABS($G55-(Data_2017!AW55-$K55)/$M55),0)))</f>
        <v>74.5328089414231</v>
      </c>
      <c r="BD55" s="100">
        <f>IF($H55=0,0,CHOOSE($H55,SUMPRODUCT($O56:$O$67*BD56:BD$67*($E56:$E$67=$D55)),IF(ISNUMBER(Data_2017!AX55),100*ABS($G55-(Data_2017!AX55-$K55)/$M55),0),IF(ISNUMBER(Data_2017!AX55),100*ABS($G55-(Data_2017!AX55-$K55)/$M55),0)))</f>
        <v>62.0676190794125</v>
      </c>
      <c r="BE55" s="100">
        <f>IF($H55=0,0,CHOOSE($H55,SUMPRODUCT($O56:$O$67*BE56:BE$67*($E56:$E$67=$D55)),IF(ISNUMBER(Data_2017!AY55),100*ABS($G55-(Data_2017!AY55-$K55)/$M55),0),IF(ISNUMBER(Data_2017!AY55),100*ABS($G55-(Data_2017!AY55-$K55)/$M55),0)))</f>
        <v>59.360623956106</v>
      </c>
      <c r="BF55" s="100">
        <f>IF($H55=0,0,CHOOSE($H55,SUMPRODUCT($O56:$O$67*BF56:BF$67*($E56:$E$67=$D55)),IF(ISNUMBER(Data_2017!AZ55),100*ABS($G55-(Data_2017!AZ55-$K55)/$M55),0),IF(ISNUMBER(Data_2017!AZ55),100*ABS($G55-(Data_2017!AZ55-$K55)/$M55),0)))</f>
        <v>79.2505427613812</v>
      </c>
      <c r="BG55" s="100">
        <f>IF($H55=0,0,CHOOSE($H55,SUMPRODUCT($O56:$O$67*BG56:BG$67*($E56:$E$67=$D55)),IF(ISNUMBER(Data_2017!BA55),100*ABS($G55-(Data_2017!BA55-$K55)/$M55),0),IF(ISNUMBER(Data_2017!BA55),100*ABS($G55-(Data_2017!BA55-$K55)/$M55),0)))</f>
        <v>68.6694571174441</v>
      </c>
      <c r="BH55" s="100">
        <f>IF($H55=0,0,CHOOSE($H55,SUMPRODUCT($O56:$O$67*BH56:BH$67*($E56:$E$67=$D55)),IF(ISNUMBER(Data_2017!BB55),100*ABS($G55-(Data_2017!BB55-$K55)/$M55),0),IF(ISNUMBER(Data_2017!BB55),100*ABS($G55-(Data_2017!BB55-$K55)/$M55),0)))</f>
        <v>77.9266471923461</v>
      </c>
      <c r="BI55" s="100">
        <f>IF($H55=0,0,CHOOSE($H55,SUMPRODUCT($O56:$O$67*BI56:BI$67*($E56:$E$67=$D55)),IF(ISNUMBER(Data_2017!BC55),100*ABS($G55-(Data_2017!BC55-$K55)/$M55),0),IF(ISNUMBER(Data_2017!BC55),100*ABS($G55-(Data_2017!BC55-$K55)/$M55),0)))</f>
        <v>75.847749230029</v>
      </c>
      <c r="BJ55" s="100">
        <f>IF($H55=0,0,CHOOSE($H55,SUMPRODUCT($O56:$O$67*BJ56:BJ$67*($E56:$E$67=$D55)),IF(ISNUMBER(Data_2017!BD55),100*ABS($G55-(Data_2017!BD55-$K55)/$M55),0),IF(ISNUMBER(Data_2017!BD55),100*ABS($G55-(Data_2017!BD55-$K55)/$M55),0)))</f>
        <v>59.8220610248664</v>
      </c>
      <c r="BK55" s="100">
        <f>IF($H55=0,0,CHOOSE($H55,SUMPRODUCT($O56:$O$67*BK56:BK$67*($E56:$E$67=$D55)),IF(ISNUMBER(Data_2017!BE55),100*ABS($G55-(Data_2017!BE55-$K55)/$M55),0),IF(ISNUMBER(Data_2017!BE55),100*ABS($G55-(Data_2017!BE55-$K55)/$M55),0)))</f>
        <v>80.5099885311989</v>
      </c>
      <c r="BL55" s="100">
        <f>IF($H55=0,0,CHOOSE($H55,SUMPRODUCT($O56:$O$67*BL56:BL$67*($E56:$E$67=$D55)),IF(ISNUMBER(Data_2017!BF55),100*ABS($G55-(Data_2017!BF55-$K55)/$M55),0),IF(ISNUMBER(Data_2017!BF55),100*ABS($G55-(Data_2017!BF55-$K55)/$M55),0)))</f>
        <v>75.1332031341141</v>
      </c>
      <c r="BM55" s="100">
        <f>IF($H55=0,0,CHOOSE($H55,SUMPRODUCT($O56:$O$67*BM56:BM$67*($E56:$E$67=$D55)),IF(ISNUMBER(Data_2017!BG55),100*ABS($G55-(Data_2017!BG55-$K55)/$M55),0),IF(ISNUMBER(Data_2017!BG55),100*ABS($G55-(Data_2017!BG55-$K55)/$M55),0)))</f>
        <v>95.0146743624438</v>
      </c>
      <c r="BN55" s="100">
        <f>IF($H55=0,0,CHOOSE($H55,SUMPRODUCT($O56:$O$67*BN56:BN$67*($E56:$E$67=$D55)),IF(ISNUMBER(Data_2017!BH55),100*ABS($G55-(Data_2017!BH55-$K55)/$M55),0),IF(ISNUMBER(Data_2017!BH55),100*ABS($G55-(Data_2017!BH55-$K55)/$M55),0)))</f>
        <v>91.2756974448189</v>
      </c>
      <c r="BO55" s="100">
        <f>IF($H55=0,0,CHOOSE($H55,SUMPRODUCT($O56:$O$67*BO56:BO$67*($E56:$E$67=$D55)),IF(ISNUMBER(Data_2017!BI55),100*ABS($G55-(Data_2017!BI55-$K55)/$M55),0),IF(ISNUMBER(Data_2017!BI55),100*ABS($G55-(Data_2017!BI55-$K55)/$M55),0)))</f>
        <v>77.7547077439903</v>
      </c>
      <c r="BP55" s="100">
        <f>IF($H55=0,0,CHOOSE($H55,SUMPRODUCT($O56:$O$67*BP56:BP$67*($E56:$E$67=$D55)),IF(ISNUMBER(Data_2017!BJ55),100*ABS($G55-(Data_2017!BJ55-$K55)/$M55),0),IF(ISNUMBER(Data_2017!BJ55),100*ABS($G55-(Data_2017!BJ55-$K55)/$M55),0)))</f>
        <v>86.1707950531097</v>
      </c>
      <c r="BQ55" s="100">
        <f>IF($H55=0,0,CHOOSE($H55,SUMPRODUCT($O56:$O$67*BQ56:BQ$67*($E56:$E$67=$D55)),IF(ISNUMBER(Data_2017!BK55),100*ABS($G55-(Data_2017!BK55-$K55)/$M55),0),IF(ISNUMBER(Data_2017!BK55),100*ABS($G55-(Data_2017!BK55-$K55)/$M55),0)))</f>
        <v>71.0974036834257</v>
      </c>
      <c r="BR55" s="100">
        <f>IF($H55=0,0,CHOOSE($H55,SUMPRODUCT($O56:$O$67*BR56:BR$67*($E56:$E$67=$D55)),IF(ISNUMBER(Data_2017!BL55),100*ABS($G55-(Data_2017!BL55-$K55)/$M55),0),IF(ISNUMBER(Data_2017!BL55),100*ABS($G55-(Data_2017!BL55-$K55)/$M55),0)))</f>
        <v>87.5463896588618</v>
      </c>
      <c r="BS55" s="100">
        <f>IF($H55=0,0,CHOOSE($H55,SUMPRODUCT($O56:$O$67*BS56:BS$67*($E56:$E$67=$D55)),IF(ISNUMBER(Data_2017!BM55),100*ABS($G55-(Data_2017!BM55-$K55)/$M55),0),IF(ISNUMBER(Data_2017!BM55),100*ABS($G55-(Data_2017!BM55-$K55)/$M55),0)))</f>
        <v>89.4179391451398</v>
      </c>
      <c r="BT55" s="100">
        <f>IF($H55=0,0,CHOOSE($H55,SUMPRODUCT($O56:$O$67*BT56:BT$67*($E56:$E$67=$D55)),IF(ISNUMBER(Data_2017!BN55),100*ABS($G55-(Data_2017!BN55-$K55)/$M55),0),IF(ISNUMBER(Data_2017!BN55),100*ABS($G55-(Data_2017!BN55-$K55)/$M55),0)))</f>
        <v>75.9072552412343</v>
      </c>
      <c r="BU55" s="100">
        <f>IF($H55=0,0,CHOOSE($H55,SUMPRODUCT($O56:$O$67*BU56:BU$67*($E56:$E$67=$D55)),IF(ISNUMBER(Data_2017!BO55),100*ABS($G55-(Data_2017!BO55-$K55)/$M55),0),IF(ISNUMBER(Data_2017!BO55),100*ABS($G55-(Data_2017!BO55-$K55)/$M55),0)))</f>
        <v>90.0992054005624</v>
      </c>
      <c r="BV55" s="100">
        <f>IF($H55=0,0,CHOOSE($H55,SUMPRODUCT($O56:$O$67*BV56:BV$67*($E56:$E$67=$D55)),IF(ISNUMBER(Data_2017!BP55),100*ABS($G55-(Data_2017!BP55-$K55)/$M55),0),IF(ISNUMBER(Data_2017!BP55),100*ABS($G55-(Data_2017!BP55-$K55)/$M55),0)))</f>
        <v>66.5382349402438</v>
      </c>
      <c r="BW55" s="100">
        <f>IF($H55=0,0,CHOOSE($H55,SUMPRODUCT($O56:$O$67*BW56:BW$67*($E56:$E$67=$D55)),IF(ISNUMBER(Data_2017!BQ55),100*ABS($G55-(Data_2017!BQ55-$K55)/$M55),0),IF(ISNUMBER(Data_2017!BQ55),100*ABS($G55-(Data_2017!BQ55-$K55)/$M55),0)))</f>
        <v>89.0831926500788</v>
      </c>
      <c r="BX55" s="100">
        <f>IF($H55=0,0,CHOOSE($H55,SUMPRODUCT($O56:$O$67*BX56:BX$67*($E56:$E$67=$D55)),IF(ISNUMBER(Data_2017!BR55),100*ABS($G55-(Data_2017!BR55-$K55)/$M55),0),IF(ISNUMBER(Data_2017!BR55),100*ABS($G55-(Data_2017!BR55-$K55)/$M55),0)))</f>
        <v>87.5880265848671</v>
      </c>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row>
    <row r="56" s="69" customFormat="1" ht="24.95" customHeight="1" spans="1:130">
      <c r="A56" s="92"/>
      <c r="B56" s="92">
        <f>tblIndicators!A52</f>
        <v>51</v>
      </c>
      <c r="C56" s="92">
        <f>tblIndicators!B52</f>
        <v>0</v>
      </c>
      <c r="D56" s="92" t="str">
        <f>tblIndicators!D52</f>
        <v>PESE4.2.1</v>
      </c>
      <c r="E56" s="92" t="str">
        <f>tblIndicators!E52</f>
        <v>PESE4.2</v>
      </c>
      <c r="F56" s="92">
        <f>tblIndicators!F52</f>
        <v>3</v>
      </c>
      <c r="G56" s="92">
        <f>tblIndicators!Y52</f>
        <v>1</v>
      </c>
      <c r="H56" s="92">
        <f>tblIndicators!Z52</f>
        <v>3</v>
      </c>
      <c r="I56" s="104">
        <f>tblIndicators!AA52</f>
        <v>1</v>
      </c>
      <c r="J56" s="92">
        <f>tblIndicators!AB52</f>
        <v>5</v>
      </c>
      <c r="K56" s="89">
        <f>IF(uxb_works!$B$66=1,CHOOSE(H56,"-",MIN(Data_2017!J56:BR56),I56),CHOOSE(H56,"-",MIN(Data_2017!J56:BQ56),I56))</f>
        <v>1</v>
      </c>
      <c r="L56" s="97">
        <f>IF(uxb_works!$B$66=1,CHOOSE(H56,"-",MAX(Data_2017!J56:BR56),J56),CHOOSE(H56,"-",MAX(Data_2017!J56:BQ56),J56))</f>
        <v>5</v>
      </c>
      <c r="M56" s="92">
        <f t="shared" si="1"/>
        <v>4</v>
      </c>
      <c r="N56" s="105" t="str">
        <f>REPT(" ",F56)&amp;tblIndicators!AE52</f>
        <v>   4.2.1) Prevalence of petty crime</v>
      </c>
      <c r="O56" s="106">
        <f>tblIndicators!AD52</f>
        <v>0.0833333333333333</v>
      </c>
      <c r="P56" s="100">
        <f>IF($H56=0,0,CHOOSE($H56,SUMPRODUCT($O57:$O$67*P57:P$67*($E57:$E$67=$D56)),IF(ISNUMBER(Data_2017!J56),100*ABS($G56-(Data_2017!J56-$K56)/$M56),0),IF(ISNUMBER(Data_2017!J56),100*ABS($G56-(Data_2017!J56-$K56)/$M56),0)))</f>
        <v>75</v>
      </c>
      <c r="Q56" s="100">
        <f>IF($H56=0,0,CHOOSE($H56,SUMPRODUCT($O57:$O$67*Q57:Q$67*($E57:$E$67=$D56)),IF(ISNUMBER(Data_2017!K56),100*ABS($G56-(Data_2017!K56-$K56)/$M56),0),IF(ISNUMBER(Data_2017!K56),100*ABS($G56-(Data_2017!K56-$K56)/$M56),0)))</f>
        <v>50</v>
      </c>
      <c r="R56" s="100">
        <f>IF($H56=0,0,CHOOSE($H56,SUMPRODUCT($O57:$O$67*R57:R$67*($E57:$E$67=$D56)),IF(ISNUMBER(Data_2017!L56),100*ABS($G56-(Data_2017!L56-$K56)/$M56),0),IF(ISNUMBER(Data_2017!L56),100*ABS($G56-(Data_2017!L56-$K56)/$M56),0)))</f>
        <v>75</v>
      </c>
      <c r="S56" s="100">
        <f>IF($H56=0,0,CHOOSE($H56,SUMPRODUCT($O57:$O$67*S57:S$67*($E57:$E$67=$D56)),IF(ISNUMBER(Data_2017!M56),100*ABS($G56-(Data_2017!M56-$K56)/$M56),0),IF(ISNUMBER(Data_2017!M56),100*ABS($G56-(Data_2017!M56-$K56)/$M56),0)))</f>
        <v>50</v>
      </c>
      <c r="T56" s="100">
        <f>IF($H56=0,0,CHOOSE($H56,SUMPRODUCT($O57:$O$67*T57:T$67*($E57:$E$67=$D56)),IF(ISNUMBER(Data_2017!N56),100*ABS($G56-(Data_2017!N56-$K56)/$M56),0),IF(ISNUMBER(Data_2017!N56),100*ABS($G56-(Data_2017!N56-$K56)/$M56),0)))</f>
        <v>75</v>
      </c>
      <c r="U56" s="100">
        <f>IF($H56=0,0,CHOOSE($H56,SUMPRODUCT($O57:$O$67*U57:U$67*($E57:$E$67=$D56)),IF(ISNUMBER(Data_2017!O56),100*ABS($G56-(Data_2017!O56-$K56)/$M56),0),IF(ISNUMBER(Data_2017!O56),100*ABS($G56-(Data_2017!O56-$K56)/$M56),0)))</f>
        <v>50</v>
      </c>
      <c r="V56" s="100">
        <f>IF($H56=0,0,CHOOSE($H56,SUMPRODUCT($O57:$O$67*V57:V$67*($E57:$E$67=$D56)),IF(ISNUMBER(Data_2017!P56),100*ABS($G56-(Data_2017!P56-$K56)/$M56),0),IF(ISNUMBER(Data_2017!P56),100*ABS($G56-(Data_2017!P56-$K56)/$M56),0)))</f>
        <v>0</v>
      </c>
      <c r="W56" s="100">
        <f>IF($H56=0,0,CHOOSE($H56,SUMPRODUCT($O57:$O$67*W57:W$67*($E57:$E$67=$D56)),IF(ISNUMBER(Data_2017!Q56),100*ABS($G56-(Data_2017!Q56-$K56)/$M56),0),IF(ISNUMBER(Data_2017!Q56),100*ABS($G56-(Data_2017!Q56-$K56)/$M56),0)))</f>
        <v>75</v>
      </c>
      <c r="X56" s="100">
        <f>IF($H56=0,0,CHOOSE($H56,SUMPRODUCT($O57:$O$67*X57:X$67*($E57:$E$67=$D56)),IF(ISNUMBER(Data_2017!R56),100*ABS($G56-(Data_2017!R56-$K56)/$M56),0),IF(ISNUMBER(Data_2017!R56),100*ABS($G56-(Data_2017!R56-$K56)/$M56),0)))</f>
        <v>50</v>
      </c>
      <c r="Y56" s="100">
        <f>IF($H56=0,0,CHOOSE($H56,SUMPRODUCT($O57:$O$67*Y57:Y$67*($E57:$E$67=$D56)),IF(ISNUMBER(Data_2017!S56),100*ABS($G56-(Data_2017!S56-$K56)/$M56),0),IF(ISNUMBER(Data_2017!S56),100*ABS($G56-(Data_2017!S56-$K56)/$M56),0)))</f>
        <v>50</v>
      </c>
      <c r="Z56" s="100">
        <f>IF($H56=0,0,CHOOSE($H56,SUMPRODUCT($O57:$O$67*Z57:Z$67*($E57:$E$67=$D56)),IF(ISNUMBER(Data_2017!T56),100*ABS($G56-(Data_2017!T56-$K56)/$M56),0),IF(ISNUMBER(Data_2017!T56),100*ABS($G56-(Data_2017!T56-$K56)/$M56),0)))</f>
        <v>0</v>
      </c>
      <c r="AA56" s="100">
        <f>IF($H56=0,0,CHOOSE($H56,SUMPRODUCT($O57:$O$67*AA57:AA$67*($E57:$E$67=$D56)),IF(ISNUMBER(Data_2017!U56),100*ABS($G56-(Data_2017!U56-$K56)/$M56),0),IF(ISNUMBER(Data_2017!U56),100*ABS($G56-(Data_2017!U56-$K56)/$M56),0)))</f>
        <v>75</v>
      </c>
      <c r="AB56" s="100">
        <f>IF($H56=0,0,CHOOSE($H56,SUMPRODUCT($O57:$O$67*AB57:AB$67*($E57:$E$67=$D56)),IF(ISNUMBER(Data_2017!V56),100*ABS($G56-(Data_2017!V56-$K56)/$M56),0),IF(ISNUMBER(Data_2017!V56),100*ABS($G56-(Data_2017!V56-$K56)/$M56),0)))</f>
        <v>75</v>
      </c>
      <c r="AC56" s="100">
        <f>IF($H56=0,0,CHOOSE($H56,SUMPRODUCT($O57:$O$67*AC57:AC$67*($E57:$E$67=$D56)),IF(ISNUMBER(Data_2017!W56),100*ABS($G56-(Data_2017!W56-$K56)/$M56),0),IF(ISNUMBER(Data_2017!W56),100*ABS($G56-(Data_2017!W56-$K56)/$M56),0)))</f>
        <v>75</v>
      </c>
      <c r="AD56" s="100">
        <f>IF($H56=0,0,CHOOSE($H56,SUMPRODUCT($O57:$O$67*AD57:AD$67*($E57:$E$67=$D56)),IF(ISNUMBER(Data_2017!X56),100*ABS($G56-(Data_2017!X56-$K56)/$M56),0),IF(ISNUMBER(Data_2017!X56),100*ABS($G56-(Data_2017!X56-$K56)/$M56),0)))</f>
        <v>50</v>
      </c>
      <c r="AE56" s="100">
        <f>IF($H56=0,0,CHOOSE($H56,SUMPRODUCT($O57:$O$67*AE57:AE$67*($E57:$E$67=$D56)),IF(ISNUMBER(Data_2017!Y56),100*ABS($G56-(Data_2017!Y56-$K56)/$M56),0),IF(ISNUMBER(Data_2017!Y56),100*ABS($G56-(Data_2017!Y56-$K56)/$M56),0)))</f>
        <v>50</v>
      </c>
      <c r="AF56" s="100">
        <f>IF($H56=0,0,CHOOSE($H56,SUMPRODUCT($O57:$O$67*AF57:AF$67*($E57:$E$67=$D56)),IF(ISNUMBER(Data_2017!Z56),100*ABS($G56-(Data_2017!Z56-$K56)/$M56),0),IF(ISNUMBER(Data_2017!Z56),100*ABS($G56-(Data_2017!Z56-$K56)/$M56),0)))</f>
        <v>75</v>
      </c>
      <c r="AG56" s="100">
        <f>IF($H56=0,0,CHOOSE($H56,SUMPRODUCT($O57:$O$67*AG57:AG$67*($E57:$E$67=$D56)),IF(ISNUMBER(Data_2017!AA56),100*ABS($G56-(Data_2017!AA56-$K56)/$M56),0),IF(ISNUMBER(Data_2017!AA56),100*ABS($G56-(Data_2017!AA56-$K56)/$M56),0)))</f>
        <v>75</v>
      </c>
      <c r="AH56" s="100">
        <f>IF($H56=0,0,CHOOSE($H56,SUMPRODUCT($O57:$O$67*AH57:AH$67*($E57:$E$67=$D56)),IF(ISNUMBER(Data_2017!AB56),100*ABS($G56-(Data_2017!AB56-$K56)/$M56),0),IF(ISNUMBER(Data_2017!AB56),100*ABS($G56-(Data_2017!AB56-$K56)/$M56),0)))</f>
        <v>25</v>
      </c>
      <c r="AI56" s="100">
        <f>IF($H56=0,0,CHOOSE($H56,SUMPRODUCT($O57:$O$67*AI57:AI$67*($E57:$E$67=$D56)),IF(ISNUMBER(Data_2017!AC56),100*ABS($G56-(Data_2017!AC56-$K56)/$M56),0),IF(ISNUMBER(Data_2017!AC56),100*ABS($G56-(Data_2017!AC56-$K56)/$M56),0)))</f>
        <v>75</v>
      </c>
      <c r="AJ56" s="100">
        <f>IF($H56=0,0,CHOOSE($H56,SUMPRODUCT($O57:$O$67*AJ57:AJ$67*($E57:$E$67=$D56)),IF(ISNUMBER(Data_2017!AD56),100*ABS($G56-(Data_2017!AD56-$K56)/$M56),0),IF(ISNUMBER(Data_2017!AD56),100*ABS($G56-(Data_2017!AD56-$K56)/$M56),0)))</f>
        <v>50</v>
      </c>
      <c r="AK56" s="100">
        <f>IF($H56=0,0,CHOOSE($H56,SUMPRODUCT($O57:$O$67*AK57:AK$67*($E57:$E$67=$D56)),IF(ISNUMBER(Data_2017!AE56),100*ABS($G56-(Data_2017!AE56-$K56)/$M56),0),IF(ISNUMBER(Data_2017!AE56),100*ABS($G56-(Data_2017!AE56-$K56)/$M56),0)))</f>
        <v>25</v>
      </c>
      <c r="AL56" s="100">
        <f>IF($H56=0,0,CHOOSE($H56,SUMPRODUCT($O57:$O$67*AL57:AL$67*($E57:$E$67=$D56)),IF(ISNUMBER(Data_2017!AF56),100*ABS($G56-(Data_2017!AF56-$K56)/$M56),0),IF(ISNUMBER(Data_2017!AF56),100*ABS($G56-(Data_2017!AF56-$K56)/$M56),0)))</f>
        <v>75</v>
      </c>
      <c r="AM56" s="100">
        <f>IF($H56=0,0,CHOOSE($H56,SUMPRODUCT($O57:$O$67*AM57:AM$67*($E57:$E$67=$D56)),IF(ISNUMBER(Data_2017!AG56),100*ABS($G56-(Data_2017!AG56-$K56)/$M56),0),IF(ISNUMBER(Data_2017!AG56),100*ABS($G56-(Data_2017!AG56-$K56)/$M56),0)))</f>
        <v>0</v>
      </c>
      <c r="AN56" s="100">
        <f>IF($H56=0,0,CHOOSE($H56,SUMPRODUCT($O57:$O$67*AN57:AN$67*($E57:$E$67=$D56)),IF(ISNUMBER(Data_2017!AH56),100*ABS($G56-(Data_2017!AH56-$K56)/$M56),0),IF(ISNUMBER(Data_2017!AH56),100*ABS($G56-(Data_2017!AH56-$K56)/$M56),0)))</f>
        <v>25</v>
      </c>
      <c r="AO56" s="100">
        <f>IF($H56=0,0,CHOOSE($H56,SUMPRODUCT($O57:$O$67*AO57:AO$67*($E57:$E$67=$D56)),IF(ISNUMBER(Data_2017!AI56),100*ABS($G56-(Data_2017!AI56-$K56)/$M56),0),IF(ISNUMBER(Data_2017!AI56),100*ABS($G56-(Data_2017!AI56-$K56)/$M56),0)))</f>
        <v>50</v>
      </c>
      <c r="AP56" s="100">
        <f>IF($H56=0,0,CHOOSE($H56,SUMPRODUCT($O57:$O$67*AP57:AP$67*($E57:$E$67=$D56)),IF(ISNUMBER(Data_2017!AJ56),100*ABS($G56-(Data_2017!AJ56-$K56)/$M56),0),IF(ISNUMBER(Data_2017!AJ56),100*ABS($G56-(Data_2017!AJ56-$K56)/$M56),0)))</f>
        <v>75</v>
      </c>
      <c r="AQ56" s="100">
        <f>IF($H56=0,0,CHOOSE($H56,SUMPRODUCT($O57:$O$67*AQ57:AQ$67*($E57:$E$67=$D56)),IF(ISNUMBER(Data_2017!AK56),100*ABS($G56-(Data_2017!AK56-$K56)/$M56),0),IF(ISNUMBER(Data_2017!AK56),100*ABS($G56-(Data_2017!AK56-$K56)/$M56),0)))</f>
        <v>50</v>
      </c>
      <c r="AR56" s="100">
        <f>IF($H56=0,0,CHOOSE($H56,SUMPRODUCT($O57:$O$67*AR57:AR$67*($E57:$E$67=$D56)),IF(ISNUMBER(Data_2017!AL56),100*ABS($G56-(Data_2017!AL56-$K56)/$M56),0),IF(ISNUMBER(Data_2017!AL56),100*ABS($G56-(Data_2017!AL56-$K56)/$M56),0)))</f>
        <v>50</v>
      </c>
      <c r="AS56" s="100">
        <f>IF($H56=0,0,CHOOSE($H56,SUMPRODUCT($O57:$O$67*AS57:AS$67*($E57:$E$67=$D56)),IF(ISNUMBER(Data_2017!AM56),100*ABS($G56-(Data_2017!AM56-$K56)/$M56),0),IF(ISNUMBER(Data_2017!AM56),100*ABS($G56-(Data_2017!AM56-$K56)/$M56),0)))</f>
        <v>75</v>
      </c>
      <c r="AT56" s="100">
        <f>IF($H56=0,0,CHOOSE($H56,SUMPRODUCT($O57:$O$67*AT57:AT$67*($E57:$E$67=$D56)),IF(ISNUMBER(Data_2017!AN56),100*ABS($G56-(Data_2017!AN56-$K56)/$M56),0),IF(ISNUMBER(Data_2017!AN56),100*ABS($G56-(Data_2017!AN56-$K56)/$M56),0)))</f>
        <v>75</v>
      </c>
      <c r="AU56" s="100">
        <f>IF($H56=0,0,CHOOSE($H56,SUMPRODUCT($O57:$O$67*AU57:AU$67*($E57:$E$67=$D56)),IF(ISNUMBER(Data_2017!AO56),100*ABS($G56-(Data_2017!AO56-$K56)/$M56),0),IF(ISNUMBER(Data_2017!AO56),100*ABS($G56-(Data_2017!AO56-$K56)/$M56),0)))</f>
        <v>50</v>
      </c>
      <c r="AV56" s="100">
        <f>IF($H56=0,0,CHOOSE($H56,SUMPRODUCT($O57:$O$67*AV57:AV$67*($E57:$E$67=$D56)),IF(ISNUMBER(Data_2017!AP56),100*ABS($G56-(Data_2017!AP56-$K56)/$M56),0),IF(ISNUMBER(Data_2017!AP56),100*ABS($G56-(Data_2017!AP56-$K56)/$M56),0)))</f>
        <v>75</v>
      </c>
      <c r="AW56" s="100">
        <f>IF($H56=0,0,CHOOSE($H56,SUMPRODUCT($O57:$O$67*AW57:AW$67*($E57:$E$67=$D56)),IF(ISNUMBER(Data_2017!AQ56),100*ABS($G56-(Data_2017!AQ56-$K56)/$M56),0),IF(ISNUMBER(Data_2017!AQ56),100*ABS($G56-(Data_2017!AQ56-$K56)/$M56),0)))</f>
        <v>0</v>
      </c>
      <c r="AX56" s="100">
        <f>IF($H56=0,0,CHOOSE($H56,SUMPRODUCT($O57:$O$67*AX57:AX$67*($E57:$E$67=$D56)),IF(ISNUMBER(Data_2017!AR56),100*ABS($G56-(Data_2017!AR56-$K56)/$M56),0),IF(ISNUMBER(Data_2017!AR56),100*ABS($G56-(Data_2017!AR56-$K56)/$M56),0)))</f>
        <v>75</v>
      </c>
      <c r="AY56" s="100">
        <f>IF($H56=0,0,CHOOSE($H56,SUMPRODUCT($O57:$O$67*AY57:AY$67*($E57:$E$67=$D56)),IF(ISNUMBER(Data_2017!AS56),100*ABS($G56-(Data_2017!AS56-$K56)/$M56),0),IF(ISNUMBER(Data_2017!AS56),100*ABS($G56-(Data_2017!AS56-$K56)/$M56),0)))</f>
        <v>50</v>
      </c>
      <c r="AZ56" s="100">
        <f>IF($H56=0,0,CHOOSE($H56,SUMPRODUCT($O57:$O$67*AZ57:AZ$67*($E57:$E$67=$D56)),IF(ISNUMBER(Data_2017!AT56),100*ABS($G56-(Data_2017!AT56-$K56)/$M56),0),IF(ISNUMBER(Data_2017!AT56),100*ABS($G56-(Data_2017!AT56-$K56)/$M56),0)))</f>
        <v>25</v>
      </c>
      <c r="BA56" s="100">
        <f>IF($H56=0,0,CHOOSE($H56,SUMPRODUCT($O57:$O$67*BA57:BA$67*($E57:$E$67=$D56)),IF(ISNUMBER(Data_2017!AU56),100*ABS($G56-(Data_2017!AU56-$K56)/$M56),0),IF(ISNUMBER(Data_2017!AU56),100*ABS($G56-(Data_2017!AU56-$K56)/$M56),0)))</f>
        <v>50</v>
      </c>
      <c r="BB56" s="100">
        <f>IF($H56=0,0,CHOOSE($H56,SUMPRODUCT($O57:$O$67*BB57:BB$67*($E57:$E$67=$D56)),IF(ISNUMBER(Data_2017!AV56),100*ABS($G56-(Data_2017!AV56-$K56)/$M56),0),IF(ISNUMBER(Data_2017!AV56),100*ABS($G56-(Data_2017!AV56-$K56)/$M56),0)))</f>
        <v>75</v>
      </c>
      <c r="BC56" s="100">
        <f>IF($H56=0,0,CHOOSE($H56,SUMPRODUCT($O57:$O$67*BC57:BC$67*($E57:$E$67=$D56)),IF(ISNUMBER(Data_2017!AW56),100*ABS($G56-(Data_2017!AW56-$K56)/$M56),0),IF(ISNUMBER(Data_2017!AW56),100*ABS($G56-(Data_2017!AW56-$K56)/$M56),0)))</f>
        <v>75</v>
      </c>
      <c r="BD56" s="100">
        <f>IF($H56=0,0,CHOOSE($H56,SUMPRODUCT($O57:$O$67*BD57:BD$67*($E57:$E$67=$D56)),IF(ISNUMBER(Data_2017!AX56),100*ABS($G56-(Data_2017!AX56-$K56)/$M56),0),IF(ISNUMBER(Data_2017!AX56),100*ABS($G56-(Data_2017!AX56-$K56)/$M56),0)))</f>
        <v>0</v>
      </c>
      <c r="BE56" s="100">
        <f>IF($H56=0,0,CHOOSE($H56,SUMPRODUCT($O57:$O$67*BE57:BE$67*($E57:$E$67=$D56)),IF(ISNUMBER(Data_2017!AY56),100*ABS($G56-(Data_2017!AY56-$K56)/$M56),0),IF(ISNUMBER(Data_2017!AY56),100*ABS($G56-(Data_2017!AY56-$K56)/$M56),0)))</f>
        <v>25</v>
      </c>
      <c r="BF56" s="100">
        <f>IF($H56=0,0,CHOOSE($H56,SUMPRODUCT($O57:$O$67*BF57:BF$67*($E57:$E$67=$D56)),IF(ISNUMBER(Data_2017!AZ56),100*ABS($G56-(Data_2017!AZ56-$K56)/$M56),0),IF(ISNUMBER(Data_2017!AZ56),100*ABS($G56-(Data_2017!AZ56-$K56)/$M56),0)))</f>
        <v>75</v>
      </c>
      <c r="BG56" s="100">
        <f>IF($H56=0,0,CHOOSE($H56,SUMPRODUCT($O57:$O$67*BG57:BG$67*($E57:$E$67=$D56)),IF(ISNUMBER(Data_2017!BA56),100*ABS($G56-(Data_2017!BA56-$K56)/$M56),0),IF(ISNUMBER(Data_2017!BA56),100*ABS($G56-(Data_2017!BA56-$K56)/$M56),0)))</f>
        <v>50</v>
      </c>
      <c r="BH56" s="100">
        <f>IF($H56=0,0,CHOOSE($H56,SUMPRODUCT($O57:$O$67*BH57:BH$67*($E57:$E$67=$D56)),IF(ISNUMBER(Data_2017!BB56),100*ABS($G56-(Data_2017!BB56-$K56)/$M56),0),IF(ISNUMBER(Data_2017!BB56),100*ABS($G56-(Data_2017!BB56-$K56)/$M56),0)))</f>
        <v>75</v>
      </c>
      <c r="BI56" s="100">
        <f>IF($H56=0,0,CHOOSE($H56,SUMPRODUCT($O57:$O$67*BI57:BI$67*($E57:$E$67=$D56)),IF(ISNUMBER(Data_2017!BC56),100*ABS($G56-(Data_2017!BC56-$K56)/$M56),0),IF(ISNUMBER(Data_2017!BC56),100*ABS($G56-(Data_2017!BC56-$K56)/$M56),0)))</f>
        <v>50</v>
      </c>
      <c r="BJ56" s="100">
        <f>IF($H56=0,0,CHOOSE($H56,SUMPRODUCT($O57:$O$67*BJ57:BJ$67*($E57:$E$67=$D56)),IF(ISNUMBER(Data_2017!BD56),100*ABS($G56-(Data_2017!BD56-$K56)/$M56),0),IF(ISNUMBER(Data_2017!BD56),100*ABS($G56-(Data_2017!BD56-$K56)/$M56),0)))</f>
        <v>25</v>
      </c>
      <c r="BK56" s="100">
        <f>IF($H56=0,0,CHOOSE($H56,SUMPRODUCT($O57:$O$67*BK57:BK$67*($E57:$E$67=$D56)),IF(ISNUMBER(Data_2017!BE56),100*ABS($G56-(Data_2017!BE56-$K56)/$M56),0),IF(ISNUMBER(Data_2017!BE56),100*ABS($G56-(Data_2017!BE56-$K56)/$M56),0)))</f>
        <v>75</v>
      </c>
      <c r="BL56" s="100">
        <f>IF($H56=0,0,CHOOSE($H56,SUMPRODUCT($O57:$O$67*BL57:BL$67*($E57:$E$67=$D56)),IF(ISNUMBER(Data_2017!BF56),100*ABS($G56-(Data_2017!BF56-$K56)/$M56),0),IF(ISNUMBER(Data_2017!BF56),100*ABS($G56-(Data_2017!BF56-$K56)/$M56),0)))</f>
        <v>50</v>
      </c>
      <c r="BM56" s="100">
        <f>IF($H56=0,0,CHOOSE($H56,SUMPRODUCT($O57:$O$67*BM57:BM$67*($E57:$E$67=$D56)),IF(ISNUMBER(Data_2017!BG56),100*ABS($G56-(Data_2017!BG56-$K56)/$M56),0),IF(ISNUMBER(Data_2017!BG56),100*ABS($G56-(Data_2017!BG56-$K56)/$M56),0)))</f>
        <v>100</v>
      </c>
      <c r="BN56" s="100">
        <f>IF($H56=0,0,CHOOSE($H56,SUMPRODUCT($O57:$O$67*BN57:BN$67*($E57:$E$67=$D56)),IF(ISNUMBER(Data_2017!BH56),100*ABS($G56-(Data_2017!BH56-$K56)/$M56),0),IF(ISNUMBER(Data_2017!BH56),100*ABS($G56-(Data_2017!BH56-$K56)/$M56),0)))</f>
        <v>75</v>
      </c>
      <c r="BO56" s="100">
        <f>IF($H56=0,0,CHOOSE($H56,SUMPRODUCT($O57:$O$67*BO57:BO$67*($E57:$E$67=$D56)),IF(ISNUMBER(Data_2017!BI56),100*ABS($G56-(Data_2017!BI56-$K56)/$M56),0),IF(ISNUMBER(Data_2017!BI56),100*ABS($G56-(Data_2017!BI56-$K56)/$M56),0)))</f>
        <v>75</v>
      </c>
      <c r="BP56" s="100">
        <f>IF($H56=0,0,CHOOSE($H56,SUMPRODUCT($O57:$O$67*BP57:BP$67*($E57:$E$67=$D56)),IF(ISNUMBER(Data_2017!BJ56),100*ABS($G56-(Data_2017!BJ56-$K56)/$M56),0),IF(ISNUMBER(Data_2017!BJ56),100*ABS($G56-(Data_2017!BJ56-$K56)/$M56),0)))</f>
        <v>75</v>
      </c>
      <c r="BQ56" s="100">
        <f>IF($H56=0,0,CHOOSE($H56,SUMPRODUCT($O57:$O$67*BQ57:BQ$67*($E57:$E$67=$D56)),IF(ISNUMBER(Data_2017!BK56),100*ABS($G56-(Data_2017!BK56-$K56)/$M56),0),IF(ISNUMBER(Data_2017!BK56),100*ABS($G56-(Data_2017!BK56-$K56)/$M56),0)))</f>
        <v>50</v>
      </c>
      <c r="BR56" s="100">
        <f>IF($H56=0,0,CHOOSE($H56,SUMPRODUCT($O57:$O$67*BR57:BR$67*($E57:$E$67=$D56)),IF(ISNUMBER(Data_2017!BL56),100*ABS($G56-(Data_2017!BL56-$K56)/$M56),0),IF(ISNUMBER(Data_2017!BL56),100*ABS($G56-(Data_2017!BL56-$K56)/$M56),0)))</f>
        <v>75</v>
      </c>
      <c r="BS56" s="100">
        <f>IF($H56=0,0,CHOOSE($H56,SUMPRODUCT($O57:$O$67*BS57:BS$67*($E57:$E$67=$D56)),IF(ISNUMBER(Data_2017!BM56),100*ABS($G56-(Data_2017!BM56-$K56)/$M56),0),IF(ISNUMBER(Data_2017!BM56),100*ABS($G56-(Data_2017!BM56-$K56)/$M56),0)))</f>
        <v>100</v>
      </c>
      <c r="BT56" s="100">
        <f>IF($H56=0,0,CHOOSE($H56,SUMPRODUCT($O57:$O$67*BT57:BT$67*($E57:$E$67=$D56)),IF(ISNUMBER(Data_2017!BN56),100*ABS($G56-(Data_2017!BN56-$K56)/$M56),0),IF(ISNUMBER(Data_2017!BN56),100*ABS($G56-(Data_2017!BN56-$K56)/$M56),0)))</f>
        <v>75</v>
      </c>
      <c r="BU56" s="100">
        <f>IF($H56=0,0,CHOOSE($H56,SUMPRODUCT($O57:$O$67*BU57:BU$67*($E57:$E$67=$D56)),IF(ISNUMBER(Data_2017!BO56),100*ABS($G56-(Data_2017!BO56-$K56)/$M56),0),IF(ISNUMBER(Data_2017!BO56),100*ABS($G56-(Data_2017!BO56-$K56)/$M56),0)))</f>
        <v>75</v>
      </c>
      <c r="BV56" s="100">
        <f>IF($H56=0,0,CHOOSE($H56,SUMPRODUCT($O57:$O$67*BV57:BV$67*($E57:$E$67=$D56)),IF(ISNUMBER(Data_2017!BP56),100*ABS($G56-(Data_2017!BP56-$K56)/$M56),0),IF(ISNUMBER(Data_2017!BP56),100*ABS($G56-(Data_2017!BP56-$K56)/$M56),0)))</f>
        <v>50</v>
      </c>
      <c r="BW56" s="100">
        <f>IF($H56=0,0,CHOOSE($H56,SUMPRODUCT($O57:$O$67*BW57:BW$67*($E57:$E$67=$D56)),IF(ISNUMBER(Data_2017!BQ56),100*ABS($G56-(Data_2017!BQ56-$K56)/$M56),0),IF(ISNUMBER(Data_2017!BQ56),100*ABS($G56-(Data_2017!BQ56-$K56)/$M56),0)))</f>
        <v>75</v>
      </c>
      <c r="BX56" s="100">
        <f>IF($H56=0,0,CHOOSE($H56,SUMPRODUCT($O57:$O$67*BX57:BX$67*($E57:$E$67=$D56)),IF(ISNUMBER(Data_2017!BR56),100*ABS($G56-(Data_2017!BR56-$K56)/$M56),0),IF(ISNUMBER(Data_2017!BR56),100*ABS($G56-(Data_2017!BR56-$K56)/$M56),0)))</f>
        <v>75</v>
      </c>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row>
    <row r="57" s="69" customFormat="1" ht="24.95" customHeight="1" spans="1:130">
      <c r="A57" s="92"/>
      <c r="B57" s="92">
        <f>tblIndicators!A53</f>
        <v>52</v>
      </c>
      <c r="C57" s="92">
        <f>tblIndicators!B53</f>
        <v>0</v>
      </c>
      <c r="D57" s="92" t="str">
        <f>tblIndicators!D53</f>
        <v>PESE4.2.2</v>
      </c>
      <c r="E57" s="92" t="str">
        <f>tblIndicators!E53</f>
        <v>PESE4.2</v>
      </c>
      <c r="F57" s="92">
        <f>tblIndicators!F53</f>
        <v>3</v>
      </c>
      <c r="G57" s="92">
        <f>tblIndicators!Y53</f>
        <v>1</v>
      </c>
      <c r="H57" s="92">
        <f>tblIndicators!Z53</f>
        <v>3</v>
      </c>
      <c r="I57" s="104">
        <f>tblIndicators!AA53</f>
        <v>1</v>
      </c>
      <c r="J57" s="92">
        <f>tblIndicators!AB53</f>
        <v>5</v>
      </c>
      <c r="K57" s="89">
        <f>IF(uxb_works!$B$66=1,CHOOSE(H57,"-",MIN(Data_2017!J57:BR57),I57),CHOOSE(H57,"-",MIN(Data_2017!J57:BQ57),I57))</f>
        <v>1</v>
      </c>
      <c r="L57" s="97">
        <f>IF(uxb_works!$B$66=1,CHOOSE(H57,"-",MAX(Data_2017!J57:BR57),J57),CHOOSE(H57,"-",MAX(Data_2017!J57:BQ57),J57))</f>
        <v>5</v>
      </c>
      <c r="M57" s="92">
        <f t="shared" si="1"/>
        <v>4</v>
      </c>
      <c r="N57" s="105" t="str">
        <f>REPT(" ",F57)&amp;tblIndicators!AE53</f>
        <v>   4.2.2) Prevalence of violent crime</v>
      </c>
      <c r="O57" s="106">
        <f>tblIndicators!AD53</f>
        <v>0.0833333333333333</v>
      </c>
      <c r="P57" s="100">
        <f>IF($H57=0,0,CHOOSE($H57,SUMPRODUCT($O58:$O$67*P58:P$67*($E58:$E$67=$D57)),IF(ISNUMBER(Data_2017!J57),100*ABS($G57-(Data_2017!J57-$K57)/$M57),0),IF(ISNUMBER(Data_2017!J57),100*ABS($G57-(Data_2017!J57-$K57)/$M57),0)))</f>
        <v>100</v>
      </c>
      <c r="Q57" s="100">
        <f>IF($H57=0,0,CHOOSE($H57,SUMPRODUCT($O58:$O$67*Q58:Q$67*($E58:$E$67=$D57)),IF(ISNUMBER(Data_2017!K57),100*ABS($G57-(Data_2017!K57-$K57)/$M57),0),IF(ISNUMBER(Data_2017!K57),100*ABS($G57-(Data_2017!K57-$K57)/$M57),0)))</f>
        <v>75</v>
      </c>
      <c r="R57" s="100">
        <f>IF($H57=0,0,CHOOSE($H57,SUMPRODUCT($O58:$O$67*R58:R$67*($E58:$E$67=$D57)),IF(ISNUMBER(Data_2017!L57),100*ABS($G57-(Data_2017!L57-$K57)/$M57),0),IF(ISNUMBER(Data_2017!L57),100*ABS($G57-(Data_2017!L57-$K57)/$M57),0)))</f>
        <v>100</v>
      </c>
      <c r="S57" s="100">
        <f>IF($H57=0,0,CHOOSE($H57,SUMPRODUCT($O58:$O$67*S58:S$67*($E58:$E$67=$D57)),IF(ISNUMBER(Data_2017!M57),100*ABS($G57-(Data_2017!M57-$K57)/$M57),0),IF(ISNUMBER(Data_2017!M57),100*ABS($G57-(Data_2017!M57-$K57)/$M57),0)))</f>
        <v>75</v>
      </c>
      <c r="T57" s="100">
        <f>IF($H57=0,0,CHOOSE($H57,SUMPRODUCT($O58:$O$67*T58:T$67*($E58:$E$67=$D57)),IF(ISNUMBER(Data_2017!N57),100*ABS($G57-(Data_2017!N57-$K57)/$M57),0),IF(ISNUMBER(Data_2017!N57),100*ABS($G57-(Data_2017!N57-$K57)/$M57),0)))</f>
        <v>75</v>
      </c>
      <c r="U57" s="100">
        <f>IF($H57=0,0,CHOOSE($H57,SUMPRODUCT($O58:$O$67*U58:U$67*($E58:$E$67=$D57)),IF(ISNUMBER(Data_2017!O57),100*ABS($G57-(Data_2017!O57-$K57)/$M57),0),IF(ISNUMBER(Data_2017!O57),100*ABS($G57-(Data_2017!O57-$K57)/$M57),0)))</f>
        <v>75</v>
      </c>
      <c r="V57" s="100">
        <f>IF($H57=0,0,CHOOSE($H57,SUMPRODUCT($O58:$O$67*V58:V$67*($E58:$E$67=$D57)),IF(ISNUMBER(Data_2017!P57),100*ABS($G57-(Data_2017!P57-$K57)/$M57),0),IF(ISNUMBER(Data_2017!P57),100*ABS($G57-(Data_2017!P57-$K57)/$M57),0)))</f>
        <v>25</v>
      </c>
      <c r="W57" s="100">
        <f>IF($H57=0,0,CHOOSE($H57,SUMPRODUCT($O58:$O$67*W58:W$67*($E58:$E$67=$D57)),IF(ISNUMBER(Data_2017!Q57),100*ABS($G57-(Data_2017!Q57-$K57)/$M57),0),IF(ISNUMBER(Data_2017!Q57),100*ABS($G57-(Data_2017!Q57-$K57)/$M57),0)))</f>
        <v>75</v>
      </c>
      <c r="X57" s="100">
        <f>IF($H57=0,0,CHOOSE($H57,SUMPRODUCT($O58:$O$67*X58:X$67*($E58:$E$67=$D57)),IF(ISNUMBER(Data_2017!R57),100*ABS($G57-(Data_2017!R57-$K57)/$M57),0),IF(ISNUMBER(Data_2017!R57),100*ABS($G57-(Data_2017!R57-$K57)/$M57),0)))</f>
        <v>50</v>
      </c>
      <c r="Y57" s="100">
        <f>IF($H57=0,0,CHOOSE($H57,SUMPRODUCT($O58:$O$67*Y58:Y$67*($E58:$E$67=$D57)),IF(ISNUMBER(Data_2017!S57),100*ABS($G57-(Data_2017!S57-$K57)/$M57),0),IF(ISNUMBER(Data_2017!S57),100*ABS($G57-(Data_2017!S57-$K57)/$M57),0)))</f>
        <v>75</v>
      </c>
      <c r="Z57" s="100">
        <f>IF($H57=0,0,CHOOSE($H57,SUMPRODUCT($O58:$O$67*Z58:Z$67*($E58:$E$67=$D57)),IF(ISNUMBER(Data_2017!T57),100*ABS($G57-(Data_2017!T57-$K57)/$M57),0),IF(ISNUMBER(Data_2017!T57),100*ABS($G57-(Data_2017!T57-$K57)/$M57),0)))</f>
        <v>0</v>
      </c>
      <c r="AA57" s="100">
        <f>IF($H57=0,0,CHOOSE($H57,SUMPRODUCT($O58:$O$67*AA58:AA$67*($E58:$E$67=$D57)),IF(ISNUMBER(Data_2017!U57),100*ABS($G57-(Data_2017!U57-$K57)/$M57),0),IF(ISNUMBER(Data_2017!U57),100*ABS($G57-(Data_2017!U57-$K57)/$M57),0)))</f>
        <v>75</v>
      </c>
      <c r="AB57" s="100">
        <f>IF($H57=0,0,CHOOSE($H57,SUMPRODUCT($O58:$O$67*AB58:AB$67*($E58:$E$67=$D57)),IF(ISNUMBER(Data_2017!V57),100*ABS($G57-(Data_2017!V57-$K57)/$M57),0),IF(ISNUMBER(Data_2017!V57),100*ABS($G57-(Data_2017!V57-$K57)/$M57),0)))</f>
        <v>75</v>
      </c>
      <c r="AC57" s="100">
        <f>IF($H57=0,0,CHOOSE($H57,SUMPRODUCT($O58:$O$67*AC58:AC$67*($E58:$E$67=$D57)),IF(ISNUMBER(Data_2017!W57),100*ABS($G57-(Data_2017!W57-$K57)/$M57),0),IF(ISNUMBER(Data_2017!W57),100*ABS($G57-(Data_2017!W57-$K57)/$M57),0)))</f>
        <v>50</v>
      </c>
      <c r="AD57" s="100">
        <f>IF($H57=0,0,CHOOSE($H57,SUMPRODUCT($O58:$O$67*AD58:AD$67*($E58:$E$67=$D57)),IF(ISNUMBER(Data_2017!X57),100*ABS($G57-(Data_2017!X57-$K57)/$M57),0),IF(ISNUMBER(Data_2017!X57),100*ABS($G57-(Data_2017!X57-$K57)/$M57),0)))</f>
        <v>50</v>
      </c>
      <c r="AE57" s="100">
        <f>IF($H57=0,0,CHOOSE($H57,SUMPRODUCT($O58:$O$67*AE58:AE$67*($E58:$E$67=$D57)),IF(ISNUMBER(Data_2017!Y57),100*ABS($G57-(Data_2017!Y57-$K57)/$M57),0),IF(ISNUMBER(Data_2017!Y57),100*ABS($G57-(Data_2017!Y57-$K57)/$M57),0)))</f>
        <v>50</v>
      </c>
      <c r="AF57" s="100">
        <f>IF($H57=0,0,CHOOSE($H57,SUMPRODUCT($O58:$O$67*AF58:AF$67*($E58:$E$67=$D57)),IF(ISNUMBER(Data_2017!Z57),100*ABS($G57-(Data_2017!Z57-$K57)/$M57),0),IF(ISNUMBER(Data_2017!Z57),100*ABS($G57-(Data_2017!Z57-$K57)/$M57),0)))</f>
        <v>100</v>
      </c>
      <c r="AG57" s="100">
        <f>IF($H57=0,0,CHOOSE($H57,SUMPRODUCT($O58:$O$67*AG58:AG$67*($E58:$E$67=$D57)),IF(ISNUMBER(Data_2017!AA57),100*ABS($G57-(Data_2017!AA57-$K57)/$M57),0),IF(ISNUMBER(Data_2017!AA57),100*ABS($G57-(Data_2017!AA57-$K57)/$M57),0)))</f>
        <v>75</v>
      </c>
      <c r="AH57" s="100">
        <f>IF($H57=0,0,CHOOSE($H57,SUMPRODUCT($O58:$O$67*AH58:AH$67*($E58:$E$67=$D57)),IF(ISNUMBER(Data_2017!AB57),100*ABS($G57-(Data_2017!AB57-$K57)/$M57),0),IF(ISNUMBER(Data_2017!AB57),100*ABS($G57-(Data_2017!AB57-$K57)/$M57),0)))</f>
        <v>50</v>
      </c>
      <c r="AI57" s="100">
        <f>IF($H57=0,0,CHOOSE($H57,SUMPRODUCT($O58:$O$67*AI58:AI$67*($E58:$E$67=$D57)),IF(ISNUMBER(Data_2017!AC57),100*ABS($G57-(Data_2017!AC57-$K57)/$M57),0),IF(ISNUMBER(Data_2017!AC57),100*ABS($G57-(Data_2017!AC57-$K57)/$M57),0)))</f>
        <v>100</v>
      </c>
      <c r="AJ57" s="100">
        <f>IF($H57=0,0,CHOOSE($H57,SUMPRODUCT($O58:$O$67*AJ58:AJ$67*($E58:$E$67=$D57)),IF(ISNUMBER(Data_2017!AD57),100*ABS($G57-(Data_2017!AD57-$K57)/$M57),0),IF(ISNUMBER(Data_2017!AD57),100*ABS($G57-(Data_2017!AD57-$K57)/$M57),0)))</f>
        <v>50</v>
      </c>
      <c r="AK57" s="100">
        <f>IF($H57=0,0,CHOOSE($H57,SUMPRODUCT($O58:$O$67*AK58:AK$67*($E58:$E$67=$D57)),IF(ISNUMBER(Data_2017!AE57),100*ABS($G57-(Data_2017!AE57-$K57)/$M57),0),IF(ISNUMBER(Data_2017!AE57),100*ABS($G57-(Data_2017!AE57-$K57)/$M57),0)))</f>
        <v>75</v>
      </c>
      <c r="AL57" s="100">
        <f>IF($H57=0,0,CHOOSE($H57,SUMPRODUCT($O58:$O$67*AL58:AL$67*($E58:$E$67=$D57)),IF(ISNUMBER(Data_2017!AF57),100*ABS($G57-(Data_2017!AF57-$K57)/$M57),0),IF(ISNUMBER(Data_2017!AF57),100*ABS($G57-(Data_2017!AF57-$K57)/$M57),0)))</f>
        <v>100</v>
      </c>
      <c r="AM57" s="100">
        <f>IF($H57=0,0,CHOOSE($H57,SUMPRODUCT($O58:$O$67*AM58:AM$67*($E58:$E$67=$D57)),IF(ISNUMBER(Data_2017!AG57),100*ABS($G57-(Data_2017!AG57-$K57)/$M57),0),IF(ISNUMBER(Data_2017!AG57),100*ABS($G57-(Data_2017!AG57-$K57)/$M57),0)))</f>
        <v>25</v>
      </c>
      <c r="AN57" s="100">
        <f>IF($H57=0,0,CHOOSE($H57,SUMPRODUCT($O58:$O$67*AN58:AN$67*($E58:$E$67=$D57)),IF(ISNUMBER(Data_2017!AH57),100*ABS($G57-(Data_2017!AH57-$K57)/$M57),0),IF(ISNUMBER(Data_2017!AH57),100*ABS($G57-(Data_2017!AH57-$K57)/$M57),0)))</f>
        <v>25</v>
      </c>
      <c r="AO57" s="100">
        <f>IF($H57=0,0,CHOOSE($H57,SUMPRODUCT($O58:$O$67*AO58:AO$67*($E58:$E$67=$D57)),IF(ISNUMBER(Data_2017!AI57),100*ABS($G57-(Data_2017!AI57-$K57)/$M57),0),IF(ISNUMBER(Data_2017!AI57),100*ABS($G57-(Data_2017!AI57-$K57)/$M57),0)))</f>
        <v>75</v>
      </c>
      <c r="AP57" s="100">
        <f>IF($H57=0,0,CHOOSE($H57,SUMPRODUCT($O58:$O$67*AP58:AP$67*($E58:$E$67=$D57)),IF(ISNUMBER(Data_2017!AJ57),100*ABS($G57-(Data_2017!AJ57-$K57)/$M57),0),IF(ISNUMBER(Data_2017!AJ57),100*ABS($G57-(Data_2017!AJ57-$K57)/$M57),0)))</f>
        <v>100</v>
      </c>
      <c r="AQ57" s="100">
        <f>IF($H57=0,0,CHOOSE($H57,SUMPRODUCT($O58:$O$67*AQ58:AQ$67*($E58:$E$67=$D57)),IF(ISNUMBER(Data_2017!AK57),100*ABS($G57-(Data_2017!AK57-$K57)/$M57),0),IF(ISNUMBER(Data_2017!AK57),100*ABS($G57-(Data_2017!AK57-$K57)/$M57),0)))</f>
        <v>50</v>
      </c>
      <c r="AR57" s="100">
        <f>IF($H57=0,0,CHOOSE($H57,SUMPRODUCT($O58:$O$67*AR58:AR$67*($E58:$E$67=$D57)),IF(ISNUMBER(Data_2017!AL57),100*ABS($G57-(Data_2017!AL57-$K57)/$M57),0),IF(ISNUMBER(Data_2017!AL57),100*ABS($G57-(Data_2017!AL57-$K57)/$M57),0)))</f>
        <v>75</v>
      </c>
      <c r="AS57" s="100">
        <f>IF($H57=0,0,CHOOSE($H57,SUMPRODUCT($O58:$O$67*AS58:AS$67*($E58:$E$67=$D57)),IF(ISNUMBER(Data_2017!AM57),100*ABS($G57-(Data_2017!AM57-$K57)/$M57),0),IF(ISNUMBER(Data_2017!AM57),100*ABS($G57-(Data_2017!AM57-$K57)/$M57),0)))</f>
        <v>75</v>
      </c>
      <c r="AT57" s="100">
        <f>IF($H57=0,0,CHOOSE($H57,SUMPRODUCT($O58:$O$67*AT58:AT$67*($E58:$E$67=$D57)),IF(ISNUMBER(Data_2017!AN57),100*ABS($G57-(Data_2017!AN57-$K57)/$M57),0),IF(ISNUMBER(Data_2017!AN57),100*ABS($G57-(Data_2017!AN57-$K57)/$M57),0)))</f>
        <v>75</v>
      </c>
      <c r="AU57" s="100">
        <f>IF($H57=0,0,CHOOSE($H57,SUMPRODUCT($O58:$O$67*AU58:AU$67*($E58:$E$67=$D57)),IF(ISNUMBER(Data_2017!AO57),100*ABS($G57-(Data_2017!AO57-$K57)/$M57),0),IF(ISNUMBER(Data_2017!AO57),100*ABS($G57-(Data_2017!AO57-$K57)/$M57),0)))</f>
        <v>75</v>
      </c>
      <c r="AV57" s="100">
        <f>IF($H57=0,0,CHOOSE($H57,SUMPRODUCT($O58:$O$67*AV58:AV$67*($E58:$E$67=$D57)),IF(ISNUMBER(Data_2017!AP57),100*ABS($G57-(Data_2017!AP57-$K57)/$M57),0),IF(ISNUMBER(Data_2017!AP57),100*ABS($G57-(Data_2017!AP57-$K57)/$M57),0)))</f>
        <v>100</v>
      </c>
      <c r="AW57" s="100">
        <f>IF($H57=0,0,CHOOSE($H57,SUMPRODUCT($O58:$O$67*AW58:AW$67*($E58:$E$67=$D57)),IF(ISNUMBER(Data_2017!AQ57),100*ABS($G57-(Data_2017!AQ57-$K57)/$M57),0),IF(ISNUMBER(Data_2017!AQ57),100*ABS($G57-(Data_2017!AQ57-$K57)/$M57),0)))</f>
        <v>0</v>
      </c>
      <c r="AX57" s="100">
        <f>IF($H57=0,0,CHOOSE($H57,SUMPRODUCT($O58:$O$67*AX58:AX$67*($E58:$E$67=$D57)),IF(ISNUMBER(Data_2017!AR57),100*ABS($G57-(Data_2017!AR57-$K57)/$M57),0),IF(ISNUMBER(Data_2017!AR57),100*ABS($G57-(Data_2017!AR57-$K57)/$M57),0)))</f>
        <v>75</v>
      </c>
      <c r="AY57" s="100">
        <f>IF($H57=0,0,CHOOSE($H57,SUMPRODUCT($O58:$O$67*AY58:AY$67*($E58:$E$67=$D57)),IF(ISNUMBER(Data_2017!AS57),100*ABS($G57-(Data_2017!AS57-$K57)/$M57),0),IF(ISNUMBER(Data_2017!AS57),100*ABS($G57-(Data_2017!AS57-$K57)/$M57),0)))</f>
        <v>75</v>
      </c>
      <c r="AZ57" s="100">
        <f>IF($H57=0,0,CHOOSE($H57,SUMPRODUCT($O58:$O$67*AZ58:AZ$67*($E58:$E$67=$D57)),IF(ISNUMBER(Data_2017!AT57),100*ABS($G57-(Data_2017!AT57-$K57)/$M57),0),IF(ISNUMBER(Data_2017!AT57),100*ABS($G57-(Data_2017!AT57-$K57)/$M57),0)))</f>
        <v>75</v>
      </c>
      <c r="BA57" s="100">
        <f>IF($H57=0,0,CHOOSE($H57,SUMPRODUCT($O58:$O$67*BA58:BA$67*($E58:$E$67=$D57)),IF(ISNUMBER(Data_2017!AU57),100*ABS($G57-(Data_2017!AU57-$K57)/$M57),0),IF(ISNUMBER(Data_2017!AU57),100*ABS($G57-(Data_2017!AU57-$K57)/$M57),0)))</f>
        <v>75</v>
      </c>
      <c r="BB57" s="100">
        <f>IF($H57=0,0,CHOOSE($H57,SUMPRODUCT($O58:$O$67*BB58:BB$67*($E58:$E$67=$D57)),IF(ISNUMBER(Data_2017!AV57),100*ABS($G57-(Data_2017!AV57-$K57)/$M57),0),IF(ISNUMBER(Data_2017!AV57),100*ABS($G57-(Data_2017!AV57-$K57)/$M57),0)))</f>
        <v>100</v>
      </c>
      <c r="BC57" s="100">
        <f>IF($H57=0,0,CHOOSE($H57,SUMPRODUCT($O58:$O$67*BC58:BC$67*($E58:$E$67=$D57)),IF(ISNUMBER(Data_2017!AW57),100*ABS($G57-(Data_2017!AW57-$K57)/$M57),0),IF(ISNUMBER(Data_2017!AW57),100*ABS($G57-(Data_2017!AW57-$K57)/$M57),0)))</f>
        <v>75</v>
      </c>
      <c r="BD57" s="100">
        <f>IF($H57=0,0,CHOOSE($H57,SUMPRODUCT($O58:$O$67*BD58:BD$67*($E58:$E$67=$D57)),IF(ISNUMBER(Data_2017!AX57),100*ABS($G57-(Data_2017!AX57-$K57)/$M57),0),IF(ISNUMBER(Data_2017!AX57),100*ABS($G57-(Data_2017!AX57-$K57)/$M57),0)))</f>
        <v>25</v>
      </c>
      <c r="BE57" s="100">
        <f>IF($H57=0,0,CHOOSE($H57,SUMPRODUCT($O58:$O$67*BE58:BE$67*($E58:$E$67=$D57)),IF(ISNUMBER(Data_2017!AY57),100*ABS($G57-(Data_2017!AY57-$K57)/$M57),0),IF(ISNUMBER(Data_2017!AY57),100*ABS($G57-(Data_2017!AY57-$K57)/$M57),0)))</f>
        <v>25</v>
      </c>
      <c r="BF57" s="100">
        <f>IF($H57=0,0,CHOOSE($H57,SUMPRODUCT($O58:$O$67*BF58:BF$67*($E58:$E$67=$D57)),IF(ISNUMBER(Data_2017!AZ57),100*ABS($G57-(Data_2017!AZ57-$K57)/$M57),0),IF(ISNUMBER(Data_2017!AZ57),100*ABS($G57-(Data_2017!AZ57-$K57)/$M57),0)))</f>
        <v>100</v>
      </c>
      <c r="BG57" s="100">
        <f>IF($H57=0,0,CHOOSE($H57,SUMPRODUCT($O58:$O$67*BG58:BG$67*($E58:$E$67=$D57)),IF(ISNUMBER(Data_2017!BA57),100*ABS($G57-(Data_2017!BA57-$K57)/$M57),0),IF(ISNUMBER(Data_2017!BA57),100*ABS($G57-(Data_2017!BA57-$K57)/$M57),0)))</f>
        <v>75</v>
      </c>
      <c r="BH57" s="100">
        <f>IF($H57=0,0,CHOOSE($H57,SUMPRODUCT($O58:$O$67*BH58:BH$67*($E58:$E$67=$D57)),IF(ISNUMBER(Data_2017!BB57),100*ABS($G57-(Data_2017!BB57-$K57)/$M57),0),IF(ISNUMBER(Data_2017!BB57),100*ABS($G57-(Data_2017!BB57-$K57)/$M57),0)))</f>
        <v>75</v>
      </c>
      <c r="BI57" s="100">
        <f>IF($H57=0,0,CHOOSE($H57,SUMPRODUCT($O58:$O$67*BI58:BI$67*($E58:$E$67=$D57)),IF(ISNUMBER(Data_2017!BC57),100*ABS($G57-(Data_2017!BC57-$K57)/$M57),0),IF(ISNUMBER(Data_2017!BC57),100*ABS($G57-(Data_2017!BC57-$K57)/$M57),0)))</f>
        <v>50</v>
      </c>
      <c r="BJ57" s="100">
        <f>IF($H57=0,0,CHOOSE($H57,SUMPRODUCT($O58:$O$67*BJ58:BJ$67*($E58:$E$67=$D57)),IF(ISNUMBER(Data_2017!BD57),100*ABS($G57-(Data_2017!BD57-$K57)/$M57),0),IF(ISNUMBER(Data_2017!BD57),100*ABS($G57-(Data_2017!BD57-$K57)/$M57),0)))</f>
        <v>25</v>
      </c>
      <c r="BK57" s="100">
        <f>IF($H57=0,0,CHOOSE($H57,SUMPRODUCT($O58:$O$67*BK58:BK$67*($E58:$E$67=$D57)),IF(ISNUMBER(Data_2017!BE57),100*ABS($G57-(Data_2017!BE57-$K57)/$M57),0),IF(ISNUMBER(Data_2017!BE57),100*ABS($G57-(Data_2017!BE57-$K57)/$M57),0)))</f>
        <v>100</v>
      </c>
      <c r="BL57" s="100">
        <f>IF($H57=0,0,CHOOSE($H57,SUMPRODUCT($O58:$O$67*BL58:BL$67*($E58:$E$67=$D57)),IF(ISNUMBER(Data_2017!BF57),100*ABS($G57-(Data_2017!BF57-$K57)/$M57),0),IF(ISNUMBER(Data_2017!BF57),100*ABS($G57-(Data_2017!BF57-$K57)/$M57),0)))</f>
        <v>75</v>
      </c>
      <c r="BM57" s="100">
        <f>IF($H57=0,0,CHOOSE($H57,SUMPRODUCT($O58:$O$67*BM58:BM$67*($E58:$E$67=$D57)),IF(ISNUMBER(Data_2017!BG57),100*ABS($G57-(Data_2017!BG57-$K57)/$M57),0),IF(ISNUMBER(Data_2017!BG57),100*ABS($G57-(Data_2017!BG57-$K57)/$M57),0)))</f>
        <v>100</v>
      </c>
      <c r="BN57" s="100">
        <f>IF($H57=0,0,CHOOSE($H57,SUMPRODUCT($O58:$O$67*BN58:BN$67*($E58:$E$67=$D57)),IF(ISNUMBER(Data_2017!BH57),100*ABS($G57-(Data_2017!BH57-$K57)/$M57),0),IF(ISNUMBER(Data_2017!BH57),100*ABS($G57-(Data_2017!BH57-$K57)/$M57),0)))</f>
        <v>100</v>
      </c>
      <c r="BO57" s="100">
        <f>IF($H57=0,0,CHOOSE($H57,SUMPRODUCT($O58:$O$67*BO58:BO$67*($E58:$E$67=$D57)),IF(ISNUMBER(Data_2017!BI57),100*ABS($G57-(Data_2017!BI57-$K57)/$M57),0),IF(ISNUMBER(Data_2017!BI57),100*ABS($G57-(Data_2017!BI57-$K57)/$M57),0)))</f>
        <v>75</v>
      </c>
      <c r="BP57" s="100">
        <f>IF($H57=0,0,CHOOSE($H57,SUMPRODUCT($O58:$O$67*BP58:BP$67*($E58:$E$67=$D57)),IF(ISNUMBER(Data_2017!BJ57),100*ABS($G57-(Data_2017!BJ57-$K57)/$M57),0),IF(ISNUMBER(Data_2017!BJ57),100*ABS($G57-(Data_2017!BJ57-$K57)/$M57),0)))</f>
        <v>75</v>
      </c>
      <c r="BQ57" s="100">
        <f>IF($H57=0,0,CHOOSE($H57,SUMPRODUCT($O58:$O$67*BQ58:BQ$67*($E58:$E$67=$D57)),IF(ISNUMBER(Data_2017!BK57),100*ABS($G57-(Data_2017!BK57-$K57)/$M57),0),IF(ISNUMBER(Data_2017!BK57),100*ABS($G57-(Data_2017!BK57-$K57)/$M57),0)))</f>
        <v>75</v>
      </c>
      <c r="BR57" s="100">
        <f>IF($H57=0,0,CHOOSE($H57,SUMPRODUCT($O58:$O$67*BR58:BR$67*($E58:$E$67=$D57)),IF(ISNUMBER(Data_2017!BL57),100*ABS($G57-(Data_2017!BL57-$K57)/$M57),0),IF(ISNUMBER(Data_2017!BL57),100*ABS($G57-(Data_2017!BL57-$K57)/$M57),0)))</f>
        <v>100</v>
      </c>
      <c r="BS57" s="100">
        <f>IF($H57=0,0,CHOOSE($H57,SUMPRODUCT($O58:$O$67*BS58:BS$67*($E58:$E$67=$D57)),IF(ISNUMBER(Data_2017!BM57),100*ABS($G57-(Data_2017!BM57-$K57)/$M57),0),IF(ISNUMBER(Data_2017!BM57),100*ABS($G57-(Data_2017!BM57-$K57)/$M57),0)))</f>
        <v>100</v>
      </c>
      <c r="BT57" s="100">
        <f>IF($H57=0,0,CHOOSE($H57,SUMPRODUCT($O58:$O$67*BT58:BT$67*($E58:$E$67=$D57)),IF(ISNUMBER(Data_2017!BN57),100*ABS($G57-(Data_2017!BN57-$K57)/$M57),0),IF(ISNUMBER(Data_2017!BN57),100*ABS($G57-(Data_2017!BN57-$K57)/$M57),0)))</f>
        <v>75</v>
      </c>
      <c r="BU57" s="100">
        <f>IF($H57=0,0,CHOOSE($H57,SUMPRODUCT($O58:$O$67*BU58:BU$67*($E58:$E$67=$D57)),IF(ISNUMBER(Data_2017!BO57),100*ABS($G57-(Data_2017!BO57-$K57)/$M57),0),IF(ISNUMBER(Data_2017!BO57),100*ABS($G57-(Data_2017!BO57-$K57)/$M57),0)))</f>
        <v>100</v>
      </c>
      <c r="BV57" s="100">
        <f>IF($H57=0,0,CHOOSE($H57,SUMPRODUCT($O58:$O$67*BV58:BV$67*($E58:$E$67=$D57)),IF(ISNUMBER(Data_2017!BP57),100*ABS($G57-(Data_2017!BP57-$K57)/$M57),0),IF(ISNUMBER(Data_2017!BP57),100*ABS($G57-(Data_2017!BP57-$K57)/$M57),0)))</f>
        <v>75</v>
      </c>
      <c r="BW57" s="100">
        <f>IF($H57=0,0,CHOOSE($H57,SUMPRODUCT($O58:$O$67*BW58:BW$67*($E58:$E$67=$D57)),IF(ISNUMBER(Data_2017!BQ57),100*ABS($G57-(Data_2017!BQ57-$K57)/$M57),0),IF(ISNUMBER(Data_2017!BQ57),100*ABS($G57-(Data_2017!BQ57-$K57)/$M57),0)))</f>
        <v>100</v>
      </c>
      <c r="BX57" s="100">
        <f>IF($H57=0,0,CHOOSE($H57,SUMPRODUCT($O58:$O$67*BX58:BX$67*($E58:$E$67=$D57)),IF(ISNUMBER(Data_2017!BR57),100*ABS($G57-(Data_2017!BR57-$K57)/$M57),0),IF(ISNUMBER(Data_2017!BR57),100*ABS($G57-(Data_2017!BR57-$K57)/$M57),0)))</f>
        <v>100</v>
      </c>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row>
    <row r="58" s="69" customFormat="1" ht="24.95" customHeight="1" spans="1:130">
      <c r="A58" s="92"/>
      <c r="B58" s="92">
        <f>tblIndicators!A54</f>
        <v>53</v>
      </c>
      <c r="C58" s="92">
        <f>tblIndicators!B54</f>
        <v>0</v>
      </c>
      <c r="D58" s="92" t="str">
        <f>tblIndicators!D54</f>
        <v>PESE4.2.3</v>
      </c>
      <c r="E58" s="92" t="str">
        <f>tblIndicators!E54</f>
        <v>PESE4.2</v>
      </c>
      <c r="F58" s="92">
        <f>tblIndicators!F54</f>
        <v>3</v>
      </c>
      <c r="G58" s="92">
        <f>tblIndicators!Y54</f>
        <v>1</v>
      </c>
      <c r="H58" s="92">
        <f>tblIndicators!Z54</f>
        <v>3</v>
      </c>
      <c r="I58" s="104">
        <f>tblIndicators!AA54</f>
        <v>0</v>
      </c>
      <c r="J58" s="92">
        <f>tblIndicators!AB54</f>
        <v>4</v>
      </c>
      <c r="K58" s="89">
        <f>IF(uxb_works!$B$66=1,CHOOSE(H58,"-",MIN(Data_2017!J58:BR58),I58),CHOOSE(H58,"-",MIN(Data_2017!J58:BQ58),I58))</f>
        <v>0</v>
      </c>
      <c r="L58" s="97">
        <f>IF(uxb_works!$B$66=1,CHOOSE(H58,"-",MAX(Data_2017!J58:BR58),J58),CHOOSE(H58,"-",MAX(Data_2017!J58:BQ58),J58))</f>
        <v>4</v>
      </c>
      <c r="M58" s="92">
        <f t="shared" si="1"/>
        <v>4</v>
      </c>
      <c r="N58" s="105" t="str">
        <f>REPT(" ",F58)&amp;tblIndicators!AE54</f>
        <v>   4.2.3) Organised crime</v>
      </c>
      <c r="O58" s="106">
        <f>tblIndicators!AD54</f>
        <v>0.0833333333333333</v>
      </c>
      <c r="P58" s="100">
        <f>IF($H58=0,0,CHOOSE($H58,SUMPRODUCT($O59:$O$67*P59:P$67*($E59:$E$67=$D58)),IF(ISNUMBER(Data_2017!J58),100*ABS($G58-(Data_2017!J58-$K58)/$M58),0),IF(ISNUMBER(Data_2017!J58),100*ABS($G58-(Data_2017!J58-$K58)/$M58),0)))</f>
        <v>75</v>
      </c>
      <c r="Q58" s="100">
        <f>IF($H58=0,0,CHOOSE($H58,SUMPRODUCT($O59:$O$67*Q59:Q$67*($E59:$E$67=$D58)),IF(ISNUMBER(Data_2017!K58),100*ABS($G58-(Data_2017!K58-$K58)/$M58),0),IF(ISNUMBER(Data_2017!K58),100*ABS($G58-(Data_2017!K58-$K58)/$M58),0)))</f>
        <v>100</v>
      </c>
      <c r="R58" s="100">
        <f>IF($H58=0,0,CHOOSE($H58,SUMPRODUCT($O59:$O$67*R59:R$67*($E59:$E$67=$D58)),IF(ISNUMBER(Data_2017!L58),100*ABS($G58-(Data_2017!L58-$K58)/$M58),0),IF(ISNUMBER(Data_2017!L58),100*ABS($G58-(Data_2017!L58-$K58)/$M58),0)))</f>
        <v>50</v>
      </c>
      <c r="S58" s="100">
        <f>IF($H58=0,0,CHOOSE($H58,SUMPRODUCT($O59:$O$67*S59:S$67*($E59:$E$67=$D58)),IF(ISNUMBER(Data_2017!M58),100*ABS($G58-(Data_2017!M58-$K58)/$M58),0),IF(ISNUMBER(Data_2017!M58),100*ABS($G58-(Data_2017!M58-$K58)/$M58),0)))</f>
        <v>50</v>
      </c>
      <c r="T58" s="100">
        <f>IF($H58=0,0,CHOOSE($H58,SUMPRODUCT($O59:$O$67*T59:T$67*($E59:$E$67=$D58)),IF(ISNUMBER(Data_2017!N58),100*ABS($G58-(Data_2017!N58-$K58)/$M58),0),IF(ISNUMBER(Data_2017!N58),100*ABS($G58-(Data_2017!N58-$K58)/$M58),0)))</f>
        <v>75</v>
      </c>
      <c r="U58" s="100">
        <f>IF($H58=0,0,CHOOSE($H58,SUMPRODUCT($O59:$O$67*U59:U$67*($E59:$E$67=$D58)),IF(ISNUMBER(Data_2017!O58),100*ABS($G58-(Data_2017!O58-$K58)/$M58),0),IF(ISNUMBER(Data_2017!O58),100*ABS($G58-(Data_2017!O58-$K58)/$M58),0)))</f>
        <v>50</v>
      </c>
      <c r="V58" s="100">
        <f>IF($H58=0,0,CHOOSE($H58,SUMPRODUCT($O59:$O$67*V59:V$67*($E59:$E$67=$D58)),IF(ISNUMBER(Data_2017!P58),100*ABS($G58-(Data_2017!P58-$K58)/$M58),0),IF(ISNUMBER(Data_2017!P58),100*ABS($G58-(Data_2017!P58-$K58)/$M58),0)))</f>
        <v>25</v>
      </c>
      <c r="W58" s="100">
        <f>IF($H58=0,0,CHOOSE($H58,SUMPRODUCT($O59:$O$67*W59:W$67*($E59:$E$67=$D58)),IF(ISNUMBER(Data_2017!Q58),100*ABS($G58-(Data_2017!Q58-$K58)/$M58),0),IF(ISNUMBER(Data_2017!Q58),100*ABS($G58-(Data_2017!Q58-$K58)/$M58),0)))</f>
        <v>75</v>
      </c>
      <c r="X58" s="100">
        <f>IF($H58=0,0,CHOOSE($H58,SUMPRODUCT($O59:$O$67*X59:X$67*($E59:$E$67=$D58)),IF(ISNUMBER(Data_2017!R58),100*ABS($G58-(Data_2017!R58-$K58)/$M58),0),IF(ISNUMBER(Data_2017!R58),100*ABS($G58-(Data_2017!R58-$K58)/$M58),0)))</f>
        <v>50</v>
      </c>
      <c r="Y58" s="100">
        <f>IF($H58=0,0,CHOOSE($H58,SUMPRODUCT($O59:$O$67*Y59:Y$67*($E59:$E$67=$D58)),IF(ISNUMBER(Data_2017!S58),100*ABS($G58-(Data_2017!S58-$K58)/$M58),0),IF(ISNUMBER(Data_2017!S58),100*ABS($G58-(Data_2017!S58-$K58)/$M58),0)))</f>
        <v>50</v>
      </c>
      <c r="Z58" s="100">
        <f>IF($H58=0,0,CHOOSE($H58,SUMPRODUCT($O59:$O$67*Z59:Z$67*($E59:$E$67=$D58)),IF(ISNUMBER(Data_2017!T58),100*ABS($G58-(Data_2017!T58-$K58)/$M58),0),IF(ISNUMBER(Data_2017!T58),100*ABS($G58-(Data_2017!T58-$K58)/$M58),0)))</f>
        <v>0</v>
      </c>
      <c r="AA58" s="100">
        <f>IF($H58=0,0,CHOOSE($H58,SUMPRODUCT($O59:$O$67*AA59:AA$67*($E59:$E$67=$D58)),IF(ISNUMBER(Data_2017!U58),100*ABS($G58-(Data_2017!U58-$K58)/$M58),0),IF(ISNUMBER(Data_2017!U58),100*ABS($G58-(Data_2017!U58-$K58)/$M58),0)))</f>
        <v>25</v>
      </c>
      <c r="AB58" s="100">
        <f>IF($H58=0,0,CHOOSE($H58,SUMPRODUCT($O59:$O$67*AB59:AB$67*($E59:$E$67=$D58)),IF(ISNUMBER(Data_2017!V58),100*ABS($G58-(Data_2017!V58-$K58)/$M58),0),IF(ISNUMBER(Data_2017!V58),100*ABS($G58-(Data_2017!V58-$K58)/$M58),0)))</f>
        <v>75</v>
      </c>
      <c r="AC58" s="100">
        <f>IF($H58=0,0,CHOOSE($H58,SUMPRODUCT($O59:$O$67*AC59:AC$67*($E59:$E$67=$D58)),IF(ISNUMBER(Data_2017!W58),100*ABS($G58-(Data_2017!W58-$K58)/$M58),0),IF(ISNUMBER(Data_2017!W58),100*ABS($G58-(Data_2017!W58-$K58)/$M58),0)))</f>
        <v>75</v>
      </c>
      <c r="AD58" s="100">
        <f>IF($H58=0,0,CHOOSE($H58,SUMPRODUCT($O59:$O$67*AD59:AD$67*($E59:$E$67=$D58)),IF(ISNUMBER(Data_2017!X58),100*ABS($G58-(Data_2017!X58-$K58)/$M58),0),IF(ISNUMBER(Data_2017!X58),100*ABS($G58-(Data_2017!X58-$K58)/$M58),0)))</f>
        <v>50</v>
      </c>
      <c r="AE58" s="100">
        <f>IF($H58=0,0,CHOOSE($H58,SUMPRODUCT($O59:$O$67*AE59:AE$67*($E59:$E$67=$D58)),IF(ISNUMBER(Data_2017!Y58),100*ABS($G58-(Data_2017!Y58-$K58)/$M58),0),IF(ISNUMBER(Data_2017!Y58),100*ABS($G58-(Data_2017!Y58-$K58)/$M58),0)))</f>
        <v>75</v>
      </c>
      <c r="AF58" s="100">
        <f>IF($H58=0,0,CHOOSE($H58,SUMPRODUCT($O59:$O$67*AF59:AF$67*($E59:$E$67=$D58)),IF(ISNUMBER(Data_2017!Z58),100*ABS($G58-(Data_2017!Z58-$K58)/$M58),0),IF(ISNUMBER(Data_2017!Z58),100*ABS($G58-(Data_2017!Z58-$K58)/$M58),0)))</f>
        <v>100</v>
      </c>
      <c r="AG58" s="100">
        <f>IF($H58=0,0,CHOOSE($H58,SUMPRODUCT($O59:$O$67*AG59:AG$67*($E59:$E$67=$D58)),IF(ISNUMBER(Data_2017!AA58),100*ABS($G58-(Data_2017!AA58-$K58)/$M58),0),IF(ISNUMBER(Data_2017!AA58),100*ABS($G58-(Data_2017!AA58-$K58)/$M58),0)))</f>
        <v>75</v>
      </c>
      <c r="AH58" s="100">
        <f>IF($H58=0,0,CHOOSE($H58,SUMPRODUCT($O59:$O$67*AH59:AH$67*($E59:$E$67=$D58)),IF(ISNUMBER(Data_2017!AB58),100*ABS($G58-(Data_2017!AB58-$K58)/$M58),0),IF(ISNUMBER(Data_2017!AB58),100*ABS($G58-(Data_2017!AB58-$K58)/$M58),0)))</f>
        <v>50</v>
      </c>
      <c r="AI58" s="100">
        <f>IF($H58=0,0,CHOOSE($H58,SUMPRODUCT($O59:$O$67*AI59:AI$67*($E59:$E$67=$D58)),IF(ISNUMBER(Data_2017!AC58),100*ABS($G58-(Data_2017!AC58-$K58)/$M58),0),IF(ISNUMBER(Data_2017!AC58),100*ABS($G58-(Data_2017!AC58-$K58)/$M58),0)))</f>
        <v>75</v>
      </c>
      <c r="AJ58" s="100">
        <f>IF($H58=0,0,CHOOSE($H58,SUMPRODUCT($O59:$O$67*AJ59:AJ$67*($E59:$E$67=$D58)),IF(ISNUMBER(Data_2017!AD58),100*ABS($G58-(Data_2017!AD58-$K58)/$M58),0),IF(ISNUMBER(Data_2017!AD58),100*ABS($G58-(Data_2017!AD58-$K58)/$M58),0)))</f>
        <v>50</v>
      </c>
      <c r="AK58" s="100">
        <f>IF($H58=0,0,CHOOSE($H58,SUMPRODUCT($O59:$O$67*AK59:AK$67*($E59:$E$67=$D58)),IF(ISNUMBER(Data_2017!AE58),100*ABS($G58-(Data_2017!AE58-$K58)/$M58),0),IF(ISNUMBER(Data_2017!AE58),100*ABS($G58-(Data_2017!AE58-$K58)/$M58),0)))</f>
        <v>50</v>
      </c>
      <c r="AL58" s="100">
        <f>IF($H58=0,0,CHOOSE($H58,SUMPRODUCT($O59:$O$67*AL59:AL$67*($E59:$E$67=$D58)),IF(ISNUMBER(Data_2017!AF58),100*ABS($G58-(Data_2017!AF58-$K58)/$M58),0),IF(ISNUMBER(Data_2017!AF58),100*ABS($G58-(Data_2017!AF58-$K58)/$M58),0)))</f>
        <v>75</v>
      </c>
      <c r="AM58" s="100">
        <f>IF($H58=0,0,CHOOSE($H58,SUMPRODUCT($O59:$O$67*AM59:AM$67*($E59:$E$67=$D58)),IF(ISNUMBER(Data_2017!AG58),100*ABS($G58-(Data_2017!AG58-$K58)/$M58),0),IF(ISNUMBER(Data_2017!AG58),100*ABS($G58-(Data_2017!AG58-$K58)/$M58),0)))</f>
        <v>25</v>
      </c>
      <c r="AN58" s="100">
        <f>IF($H58=0,0,CHOOSE($H58,SUMPRODUCT($O59:$O$67*AN59:AN$67*($E59:$E$67=$D58)),IF(ISNUMBER(Data_2017!AH58),100*ABS($G58-(Data_2017!AH58-$K58)/$M58),0),IF(ISNUMBER(Data_2017!AH58),100*ABS($G58-(Data_2017!AH58-$K58)/$M58),0)))</f>
        <v>25</v>
      </c>
      <c r="AO58" s="100">
        <f>IF($H58=0,0,CHOOSE($H58,SUMPRODUCT($O59:$O$67*AO59:AO$67*($E59:$E$67=$D58)),IF(ISNUMBER(Data_2017!AI58),100*ABS($G58-(Data_2017!AI58-$K58)/$M58),0),IF(ISNUMBER(Data_2017!AI58),100*ABS($G58-(Data_2017!AI58-$K58)/$M58),0)))</f>
        <v>75</v>
      </c>
      <c r="AP58" s="100">
        <f>IF($H58=0,0,CHOOSE($H58,SUMPRODUCT($O59:$O$67*AP59:AP$67*($E59:$E$67=$D58)),IF(ISNUMBER(Data_2017!AJ58),100*ABS($G58-(Data_2017!AJ58-$K58)/$M58),0),IF(ISNUMBER(Data_2017!AJ58),100*ABS($G58-(Data_2017!AJ58-$K58)/$M58),0)))</f>
        <v>75</v>
      </c>
      <c r="AQ58" s="100">
        <f>IF($H58=0,0,CHOOSE($H58,SUMPRODUCT($O59:$O$67*AQ59:AQ$67*($E59:$E$67=$D58)),IF(ISNUMBER(Data_2017!AK58),100*ABS($G58-(Data_2017!AK58-$K58)/$M58),0),IF(ISNUMBER(Data_2017!AK58),100*ABS($G58-(Data_2017!AK58-$K58)/$M58),0)))</f>
        <v>25</v>
      </c>
      <c r="AR58" s="100">
        <f>IF($H58=0,0,CHOOSE($H58,SUMPRODUCT($O59:$O$67*AR59:AR$67*($E59:$E$67=$D58)),IF(ISNUMBER(Data_2017!AL58),100*ABS($G58-(Data_2017!AL58-$K58)/$M58),0),IF(ISNUMBER(Data_2017!AL58),100*ABS($G58-(Data_2017!AL58-$K58)/$M58),0)))</f>
        <v>75</v>
      </c>
      <c r="AS58" s="100">
        <f>IF($H58=0,0,CHOOSE($H58,SUMPRODUCT($O59:$O$67*AS59:AS$67*($E59:$E$67=$D58)),IF(ISNUMBER(Data_2017!AM58),100*ABS($G58-(Data_2017!AM58-$K58)/$M58),0),IF(ISNUMBER(Data_2017!AM58),100*ABS($G58-(Data_2017!AM58-$K58)/$M58),0)))</f>
        <v>75</v>
      </c>
      <c r="AT58" s="100">
        <f>IF($H58=0,0,CHOOSE($H58,SUMPRODUCT($O59:$O$67*AT59:AT$67*($E59:$E$67=$D58)),IF(ISNUMBER(Data_2017!AN58),100*ABS($G58-(Data_2017!AN58-$K58)/$M58),0),IF(ISNUMBER(Data_2017!AN58),100*ABS($G58-(Data_2017!AN58-$K58)/$M58),0)))</f>
        <v>75</v>
      </c>
      <c r="AU58" s="100">
        <f>IF($H58=0,0,CHOOSE($H58,SUMPRODUCT($O59:$O$67*AU59:AU$67*($E59:$E$67=$D58)),IF(ISNUMBER(Data_2017!AO58),100*ABS($G58-(Data_2017!AO58-$K58)/$M58),0),IF(ISNUMBER(Data_2017!AO58),100*ABS($G58-(Data_2017!AO58-$K58)/$M58),0)))</f>
        <v>25</v>
      </c>
      <c r="AV58" s="100">
        <f>IF($H58=0,0,CHOOSE($H58,SUMPRODUCT($O59:$O$67*AV59:AV$67*($E59:$E$67=$D58)),IF(ISNUMBER(Data_2017!AP58),100*ABS($G58-(Data_2017!AP58-$K58)/$M58),0),IF(ISNUMBER(Data_2017!AP58),100*ABS($G58-(Data_2017!AP58-$K58)/$M58),0)))</f>
        <v>75</v>
      </c>
      <c r="AW58" s="100">
        <f>IF($H58=0,0,CHOOSE($H58,SUMPRODUCT($O59:$O$67*AW59:AW$67*($E59:$E$67=$D58)),IF(ISNUMBER(Data_2017!AQ58),100*ABS($G58-(Data_2017!AQ58-$K58)/$M58),0),IF(ISNUMBER(Data_2017!AQ58),100*ABS($G58-(Data_2017!AQ58-$K58)/$M58),0)))</f>
        <v>0</v>
      </c>
      <c r="AX58" s="100">
        <f>IF($H58=0,0,CHOOSE($H58,SUMPRODUCT($O59:$O$67*AX59:AX$67*($E59:$E$67=$D58)),IF(ISNUMBER(Data_2017!AR58),100*ABS($G58-(Data_2017!AR58-$K58)/$M58),0),IF(ISNUMBER(Data_2017!AR58),100*ABS($G58-(Data_2017!AR58-$K58)/$M58),0)))</f>
        <v>25</v>
      </c>
      <c r="AY58" s="100">
        <f>IF($H58=0,0,CHOOSE($H58,SUMPRODUCT($O59:$O$67*AY59:AY$67*($E59:$E$67=$D58)),IF(ISNUMBER(Data_2017!AS58),100*ABS($G58-(Data_2017!AS58-$K58)/$M58),0),IF(ISNUMBER(Data_2017!AS58),100*ABS($G58-(Data_2017!AS58-$K58)/$M58),0)))</f>
        <v>25</v>
      </c>
      <c r="AZ58" s="100">
        <f>IF($H58=0,0,CHOOSE($H58,SUMPRODUCT($O59:$O$67*AZ59:AZ$67*($E59:$E$67=$D58)),IF(ISNUMBER(Data_2017!AT58),100*ABS($G58-(Data_2017!AT58-$K58)/$M58),0),IF(ISNUMBER(Data_2017!AT58),100*ABS($G58-(Data_2017!AT58-$K58)/$M58),0)))</f>
        <v>50</v>
      </c>
      <c r="BA58" s="100">
        <f>IF($H58=0,0,CHOOSE($H58,SUMPRODUCT($O59:$O$67*BA59:BA$67*($E59:$E$67=$D58)),IF(ISNUMBER(Data_2017!AU58),100*ABS($G58-(Data_2017!AU58-$K58)/$M58),0),IF(ISNUMBER(Data_2017!AU58),100*ABS($G58-(Data_2017!AU58-$K58)/$M58),0)))</f>
        <v>75</v>
      </c>
      <c r="BB58" s="100">
        <f>IF($H58=0,0,CHOOSE($H58,SUMPRODUCT($O59:$O$67*BB59:BB$67*($E59:$E$67=$D58)),IF(ISNUMBER(Data_2017!AV58),100*ABS($G58-(Data_2017!AV58-$K58)/$M58),0),IF(ISNUMBER(Data_2017!AV58),100*ABS($G58-(Data_2017!AV58-$K58)/$M58),0)))</f>
        <v>50</v>
      </c>
      <c r="BC58" s="100">
        <f>IF($H58=0,0,CHOOSE($H58,SUMPRODUCT($O59:$O$67*BC59:BC$67*($E59:$E$67=$D58)),IF(ISNUMBER(Data_2017!AW58),100*ABS($G58-(Data_2017!AW58-$K58)/$M58),0),IF(ISNUMBER(Data_2017!AW58),100*ABS($G58-(Data_2017!AW58-$K58)/$M58),0)))</f>
        <v>75</v>
      </c>
      <c r="BD58" s="100">
        <f>IF($H58=0,0,CHOOSE($H58,SUMPRODUCT($O59:$O$67*BD59:BD$67*($E59:$E$67=$D58)),IF(ISNUMBER(Data_2017!AX58),100*ABS($G58-(Data_2017!AX58-$K58)/$M58),0),IF(ISNUMBER(Data_2017!AX58),100*ABS($G58-(Data_2017!AX58-$K58)/$M58),0)))</f>
        <v>50</v>
      </c>
      <c r="BE58" s="100">
        <f>IF($H58=0,0,CHOOSE($H58,SUMPRODUCT($O59:$O$67*BE59:BE$67*($E59:$E$67=$D58)),IF(ISNUMBER(Data_2017!AY58),100*ABS($G58-(Data_2017!AY58-$K58)/$M58),0),IF(ISNUMBER(Data_2017!AY58),100*ABS($G58-(Data_2017!AY58-$K58)/$M58),0)))</f>
        <v>50</v>
      </c>
      <c r="BF58" s="100">
        <f>IF($H58=0,0,CHOOSE($H58,SUMPRODUCT($O59:$O$67*BF59:BF$67*($E59:$E$67=$D58)),IF(ISNUMBER(Data_2017!AZ58),100*ABS($G58-(Data_2017!AZ58-$K58)/$M58),0),IF(ISNUMBER(Data_2017!AZ58),100*ABS($G58-(Data_2017!AZ58-$K58)/$M58),0)))</f>
        <v>75</v>
      </c>
      <c r="BG58" s="100">
        <f>IF($H58=0,0,CHOOSE($H58,SUMPRODUCT($O59:$O$67*BG59:BG$67*($E59:$E$67=$D58)),IF(ISNUMBER(Data_2017!BA58),100*ABS($G58-(Data_2017!BA58-$K58)/$M58),0),IF(ISNUMBER(Data_2017!BA58),100*ABS($G58-(Data_2017!BA58-$K58)/$M58),0)))</f>
        <v>25</v>
      </c>
      <c r="BH58" s="100">
        <f>IF($H58=0,0,CHOOSE($H58,SUMPRODUCT($O59:$O$67*BH59:BH$67*($E59:$E$67=$D58)),IF(ISNUMBER(Data_2017!BB58),100*ABS($G58-(Data_2017!BB58-$K58)/$M58),0),IF(ISNUMBER(Data_2017!BB58),100*ABS($G58-(Data_2017!BB58-$K58)/$M58),0)))</f>
        <v>75</v>
      </c>
      <c r="BI58" s="100">
        <f>IF($H58=0,0,CHOOSE($H58,SUMPRODUCT($O59:$O$67*BI59:BI$67*($E59:$E$67=$D58)),IF(ISNUMBER(Data_2017!BC58),100*ABS($G58-(Data_2017!BC58-$K58)/$M58),0),IF(ISNUMBER(Data_2017!BC58),100*ABS($G58-(Data_2017!BC58-$K58)/$M58),0)))</f>
        <v>75</v>
      </c>
      <c r="BJ58" s="100">
        <f>IF($H58=0,0,CHOOSE($H58,SUMPRODUCT($O59:$O$67*BJ59:BJ$67*($E59:$E$67=$D58)),IF(ISNUMBER(Data_2017!BD58),100*ABS($G58-(Data_2017!BD58-$K58)/$M58),0),IF(ISNUMBER(Data_2017!BD58),100*ABS($G58-(Data_2017!BD58-$K58)/$M58),0)))</f>
        <v>50</v>
      </c>
      <c r="BK58" s="100">
        <f>IF($H58=0,0,CHOOSE($H58,SUMPRODUCT($O59:$O$67*BK59:BK$67*($E59:$E$67=$D58)),IF(ISNUMBER(Data_2017!BE58),100*ABS($G58-(Data_2017!BE58-$K58)/$M58),0),IF(ISNUMBER(Data_2017!BE58),100*ABS($G58-(Data_2017!BE58-$K58)/$M58),0)))</f>
        <v>75</v>
      </c>
      <c r="BL58" s="100">
        <f>IF($H58=0,0,CHOOSE($H58,SUMPRODUCT($O59:$O$67*BL59:BL$67*($E59:$E$67=$D58)),IF(ISNUMBER(Data_2017!BF58),100*ABS($G58-(Data_2017!BF58-$K58)/$M58),0),IF(ISNUMBER(Data_2017!BF58),100*ABS($G58-(Data_2017!BF58-$K58)/$M58),0)))</f>
        <v>50</v>
      </c>
      <c r="BM58" s="100">
        <f>IF($H58=0,0,CHOOSE($H58,SUMPRODUCT($O59:$O$67*BM59:BM$67*($E59:$E$67=$D58)),IF(ISNUMBER(Data_2017!BG58),100*ABS($G58-(Data_2017!BG58-$K58)/$M58),0),IF(ISNUMBER(Data_2017!BG58),100*ABS($G58-(Data_2017!BG58-$K58)/$M58),0)))</f>
        <v>100</v>
      </c>
      <c r="BN58" s="100">
        <f>IF($H58=0,0,CHOOSE($H58,SUMPRODUCT($O59:$O$67*BN59:BN$67*($E59:$E$67=$D58)),IF(ISNUMBER(Data_2017!BH58),100*ABS($G58-(Data_2017!BH58-$K58)/$M58),0),IF(ISNUMBER(Data_2017!BH58),100*ABS($G58-(Data_2017!BH58-$K58)/$M58),0)))</f>
        <v>100</v>
      </c>
      <c r="BO58" s="100">
        <f>IF($H58=0,0,CHOOSE($H58,SUMPRODUCT($O59:$O$67*BO59:BO$67*($E59:$E$67=$D58)),IF(ISNUMBER(Data_2017!BI58),100*ABS($G58-(Data_2017!BI58-$K58)/$M58),0),IF(ISNUMBER(Data_2017!BI58),100*ABS($G58-(Data_2017!BI58-$K58)/$M58),0)))</f>
        <v>75</v>
      </c>
      <c r="BP58" s="100">
        <f>IF($H58=0,0,CHOOSE($H58,SUMPRODUCT($O59:$O$67*BP59:BP$67*($E59:$E$67=$D58)),IF(ISNUMBER(Data_2017!BJ58),100*ABS($G58-(Data_2017!BJ58-$K58)/$M58),0),IF(ISNUMBER(Data_2017!BJ58),100*ABS($G58-(Data_2017!BJ58-$K58)/$M58),0)))</f>
        <v>75</v>
      </c>
      <c r="BQ58" s="100">
        <f>IF($H58=0,0,CHOOSE($H58,SUMPRODUCT($O59:$O$67*BQ59:BQ$67*($E59:$E$67=$D58)),IF(ISNUMBER(Data_2017!BK58),100*ABS($G58-(Data_2017!BK58-$K58)/$M58),0),IF(ISNUMBER(Data_2017!BK58),100*ABS($G58-(Data_2017!BK58-$K58)/$M58),0)))</f>
        <v>75</v>
      </c>
      <c r="BR58" s="100">
        <f>IF($H58=0,0,CHOOSE($H58,SUMPRODUCT($O59:$O$67*BR59:BR$67*($E59:$E$67=$D58)),IF(ISNUMBER(Data_2017!BL58),100*ABS($G58-(Data_2017!BL58-$K58)/$M58),0),IF(ISNUMBER(Data_2017!BL58),100*ABS($G58-(Data_2017!BL58-$K58)/$M58),0)))</f>
        <v>50</v>
      </c>
      <c r="BS58" s="100">
        <f>IF($H58=0,0,CHOOSE($H58,SUMPRODUCT($O59:$O$67*BS59:BS$67*($E59:$E$67=$D58)),IF(ISNUMBER(Data_2017!BM58),100*ABS($G58-(Data_2017!BM58-$K58)/$M58),0),IF(ISNUMBER(Data_2017!BM58),100*ABS($G58-(Data_2017!BM58-$K58)/$M58),0)))</f>
        <v>75</v>
      </c>
      <c r="BT58" s="100">
        <f>IF($H58=0,0,CHOOSE($H58,SUMPRODUCT($O59:$O$67*BT59:BT$67*($E59:$E$67=$D58)),IF(ISNUMBER(Data_2017!BN58),100*ABS($G58-(Data_2017!BN58-$K58)/$M58),0),IF(ISNUMBER(Data_2017!BN58),100*ABS($G58-(Data_2017!BN58-$K58)/$M58),0)))</f>
        <v>75</v>
      </c>
      <c r="BU58" s="100">
        <f>IF($H58=0,0,CHOOSE($H58,SUMPRODUCT($O59:$O$67*BU59:BU$67*($E59:$E$67=$D58)),IF(ISNUMBER(Data_2017!BO58),100*ABS($G58-(Data_2017!BO58-$K58)/$M58),0),IF(ISNUMBER(Data_2017!BO58),100*ABS($G58-(Data_2017!BO58-$K58)/$M58),0)))</f>
        <v>100</v>
      </c>
      <c r="BV58" s="100">
        <f>IF($H58=0,0,CHOOSE($H58,SUMPRODUCT($O59:$O$67*BV59:BV$67*($E59:$E$67=$D58)),IF(ISNUMBER(Data_2017!BP58),100*ABS($G58-(Data_2017!BP58-$K58)/$M58),0),IF(ISNUMBER(Data_2017!BP58),100*ABS($G58-(Data_2017!BP58-$K58)/$M58),0)))</f>
        <v>25</v>
      </c>
      <c r="BW58" s="100">
        <f>IF($H58=0,0,CHOOSE($H58,SUMPRODUCT($O59:$O$67*BW59:BW$67*($E59:$E$67=$D58)),IF(ISNUMBER(Data_2017!BQ58),100*ABS($G58-(Data_2017!BQ58-$K58)/$M58),0),IF(ISNUMBER(Data_2017!BQ58),100*ABS($G58-(Data_2017!BQ58-$K58)/$M58),0)))</f>
        <v>75</v>
      </c>
      <c r="BX58" s="100">
        <f>IF($H58=0,0,CHOOSE($H58,SUMPRODUCT($O59:$O$67*BX59:BX$67*($E59:$E$67=$D58)),IF(ISNUMBER(Data_2017!BR58),100*ABS($G58-(Data_2017!BR58-$K58)/$M58),0),IF(ISNUMBER(Data_2017!BR58),100*ABS($G58-(Data_2017!BR58-$K58)/$M58),0)))</f>
        <v>50</v>
      </c>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row>
    <row r="59" s="69" customFormat="1" ht="24.95" customHeight="1" spans="1:130">
      <c r="A59" s="92"/>
      <c r="B59" s="92">
        <f>tblIndicators!A55</f>
        <v>54</v>
      </c>
      <c r="C59" s="92">
        <f>tblIndicators!B55</f>
        <v>0</v>
      </c>
      <c r="D59" s="92" t="str">
        <f>tblIndicators!D55</f>
        <v>PESE4.2.4</v>
      </c>
      <c r="E59" s="92" t="str">
        <f>tblIndicators!E55</f>
        <v>PESE4.2</v>
      </c>
      <c r="F59" s="92">
        <f>tblIndicators!F55</f>
        <v>3</v>
      </c>
      <c r="G59" s="92">
        <f>tblIndicators!Y55</f>
        <v>0</v>
      </c>
      <c r="H59" s="92">
        <f>tblIndicators!Z55</f>
        <v>3</v>
      </c>
      <c r="I59" s="104">
        <f>tblIndicators!AA55</f>
        <v>0</v>
      </c>
      <c r="J59" s="92">
        <f>tblIndicators!AB55</f>
        <v>100</v>
      </c>
      <c r="K59" s="89">
        <f>IF(uxb_works!$B$66=1,CHOOSE(H59,"-",MIN(Data_2017!J59:BR59),I59),CHOOSE(H59,"-",MIN(Data_2017!J59:BQ59),I59))</f>
        <v>0</v>
      </c>
      <c r="L59" s="97">
        <f>IF(uxb_works!$B$66=1,CHOOSE(H59,"-",MAX(Data_2017!J59:BR59),J59),CHOOSE(H59,"-",MAX(Data_2017!J59:BQ59),J59))</f>
        <v>100</v>
      </c>
      <c r="M59" s="92">
        <f t="shared" si="1"/>
        <v>100</v>
      </c>
      <c r="N59" s="105" t="str">
        <f>REPT(" ",F59)&amp;tblIndicators!AE55</f>
        <v>   4.2.4) Level of corruption</v>
      </c>
      <c r="O59" s="106">
        <f>tblIndicators!AD55</f>
        <v>0.0833333333333333</v>
      </c>
      <c r="P59" s="100">
        <f>IF($H59=0,0,CHOOSE($H59,SUMPRODUCT($O60:$O$67*P60:P$67*($E60:$E$67=$D59)),IF(ISNUMBER(Data_2017!J59),100*ABS($G59-(Data_2017!J59-$K59)/$M59),0),IF(ISNUMBER(Data_2017!J59),100*ABS($G59-(Data_2017!J59-$K59)/$M59),0)))</f>
        <v>66</v>
      </c>
      <c r="Q59" s="100">
        <f>IF($H59=0,0,CHOOSE($H59,SUMPRODUCT($O60:$O$67*Q60:Q$67*($E60:$E$67=$D59)),IF(ISNUMBER(Data_2017!K59),100*ABS($G59-(Data_2017!K59-$K59)/$M59),0),IF(ISNUMBER(Data_2017!K59),100*ABS($G59-(Data_2017!K59-$K59)/$M59),0)))</f>
        <v>83</v>
      </c>
      <c r="R59" s="100">
        <f>IF($H59=0,0,CHOOSE($H59,SUMPRODUCT($O60:$O$67*R60:R$67*($E60:$E$67=$D59)),IF(ISNUMBER(Data_2017!L59),100*ABS($G59-(Data_2017!L59-$K59)/$M59),0),IF(ISNUMBER(Data_2017!L59),100*ABS($G59-(Data_2017!L59-$K59)/$M59),0)))</f>
        <v>44</v>
      </c>
      <c r="S59" s="100">
        <f>IF($H59=0,0,CHOOSE($H59,SUMPRODUCT($O60:$O$67*S60:S$67*($E60:$E$67=$D59)),IF(ISNUMBER(Data_2017!M59),100*ABS($G59-(Data_2017!M59-$K59)/$M59),0),IF(ISNUMBER(Data_2017!M59),100*ABS($G59-(Data_2017!M59-$K59)/$M59),0)))</f>
        <v>35</v>
      </c>
      <c r="T59" s="100">
        <f>IF($H59=0,0,CHOOSE($H59,SUMPRODUCT($O60:$O$67*T60:T$67*($E60:$E$67=$D59)),IF(ISNUMBER(Data_2017!N59),100*ABS($G59-(Data_2017!N59-$K59)/$M59),0),IF(ISNUMBER(Data_2017!N59),100*ABS($G59-(Data_2017!N59-$K59)/$M59),0)))</f>
        <v>58</v>
      </c>
      <c r="U59" s="100">
        <f>IF($H59=0,0,CHOOSE($H59,SUMPRODUCT($O60:$O$67*U60:U$67*($E60:$E$67=$D59)),IF(ISNUMBER(Data_2017!O59),100*ABS($G59-(Data_2017!O59-$K59)/$M59),0),IF(ISNUMBER(Data_2017!O59),100*ABS($G59-(Data_2017!O59-$K59)/$M59),0)))</f>
        <v>40</v>
      </c>
      <c r="V59" s="100">
        <f>IF($H59=0,0,CHOOSE($H59,SUMPRODUCT($O60:$O$67*V60:V$67*($E60:$E$67=$D59)),IF(ISNUMBER(Data_2017!P59),100*ABS($G59-(Data_2017!P59-$K59)/$M59),0),IF(ISNUMBER(Data_2017!P59),100*ABS($G59-(Data_2017!P59-$K59)/$M59),0)))</f>
        <v>37</v>
      </c>
      <c r="W59" s="100">
        <f>IF($H59=0,0,CHOOSE($H59,SUMPRODUCT($O60:$O$67*W60:W$67*($E60:$E$67=$D59)),IF(ISNUMBER(Data_2017!Q59),100*ABS($G59-(Data_2017!Q59-$K59)/$M59),0),IF(ISNUMBER(Data_2017!Q59),100*ABS($G59-(Data_2017!Q59-$K59)/$M59),0)))</f>
        <v>77</v>
      </c>
      <c r="X59" s="100">
        <f>IF($H59=0,0,CHOOSE($H59,SUMPRODUCT($O60:$O$67*X60:X$67*($E60:$E$67=$D59)),IF(ISNUMBER(Data_2017!R59),100*ABS($G59-(Data_2017!R59-$K59)/$M59),0),IF(ISNUMBER(Data_2017!R59),100*ABS($G59-(Data_2017!R59-$K59)/$M59),0)))</f>
        <v>36</v>
      </c>
      <c r="Y59" s="100">
        <f>IF($H59=0,0,CHOOSE($H59,SUMPRODUCT($O60:$O$67*Y60:Y$67*($E60:$E$67=$D59)),IF(ISNUMBER(Data_2017!S59),100*ABS($G59-(Data_2017!S59-$K59)/$M59),0),IF(ISNUMBER(Data_2017!S59),100*ABS($G59-(Data_2017!S59-$K59)/$M59),0)))</f>
        <v>34</v>
      </c>
      <c r="Z59" s="100">
        <f>IF($H59=0,0,CHOOSE($H59,SUMPRODUCT($O60:$O$67*Z60:Z$67*($E60:$E$67=$D59)),IF(ISNUMBER(Data_2017!T59),100*ABS($G59-(Data_2017!T59-$K59)/$M59),0),IF(ISNUMBER(Data_2017!T59),100*ABS($G59-(Data_2017!T59-$K59)/$M59),0)))</f>
        <v>17</v>
      </c>
      <c r="AA59" s="100">
        <f>IF($H59=0,0,CHOOSE($H59,SUMPRODUCT($O60:$O$67*AA60:AA$67*($E60:$E$67=$D59)),IF(ISNUMBER(Data_2017!U59),100*ABS($G59-(Data_2017!U59-$K59)/$M59),0),IF(ISNUMBER(Data_2017!U59),100*ABS($G59-(Data_2017!U59-$K59)/$M59),0)))</f>
        <v>37</v>
      </c>
      <c r="AB59" s="100">
        <f>IF($H59=0,0,CHOOSE($H59,SUMPRODUCT($O60:$O$67*AB60:AB$67*($E60:$E$67=$D59)),IF(ISNUMBER(Data_2017!V59),100*ABS($G59-(Data_2017!V59-$K59)/$M59),0),IF(ISNUMBER(Data_2017!V59),100*ABS($G59-(Data_2017!V59-$K59)/$M59),0)))</f>
        <v>74</v>
      </c>
      <c r="AC59" s="100">
        <f>IF($H59=0,0,CHOOSE($H59,SUMPRODUCT($O60:$O$67*AC60:AC$67*($E60:$E$67=$D59)),IF(ISNUMBER(Data_2017!W59),100*ABS($G59-(Data_2017!W59-$K59)/$M59),0),IF(ISNUMBER(Data_2017!W59),100*ABS($G59-(Data_2017!W59-$K59)/$M59),0)))</f>
        <v>74</v>
      </c>
      <c r="AD59" s="100">
        <f>IF($H59=0,0,CHOOSE($H59,SUMPRODUCT($O60:$O$67*AD60:AD$67*($E60:$E$67=$D59)),IF(ISNUMBER(Data_2017!X59),100*ABS($G59-(Data_2017!X59-$K59)/$M59),0),IF(ISNUMBER(Data_2017!X59),100*ABS($G59-(Data_2017!X59-$K59)/$M59),0)))</f>
        <v>40</v>
      </c>
      <c r="AE59" s="100">
        <f>IF($H59=0,0,CHOOSE($H59,SUMPRODUCT($O60:$O$67*AE60:AE$67*($E60:$E$67=$D59)),IF(ISNUMBER(Data_2017!Y59),100*ABS($G59-(Data_2017!Y59-$K59)/$M59),0),IF(ISNUMBER(Data_2017!Y59),100*ABS($G59-(Data_2017!Y59-$K59)/$M59),0)))</f>
        <v>26</v>
      </c>
      <c r="AF59" s="100">
        <f>IF($H59=0,0,CHOOSE($H59,SUMPRODUCT($O60:$O$67*AF60:AF$67*($E60:$E$67=$D59)),IF(ISNUMBER(Data_2017!Z59),100*ABS($G59-(Data_2017!Z59-$K59)/$M59),0),IF(ISNUMBER(Data_2017!Z59),100*ABS($G59-(Data_2017!Z59-$K59)/$M59),0)))</f>
        <v>61</v>
      </c>
      <c r="AG59" s="100">
        <f>IF($H59=0,0,CHOOSE($H59,SUMPRODUCT($O60:$O$67*AG60:AG$67*($E60:$E$67=$D59)),IF(ISNUMBER(Data_2017!AA59),100*ABS($G59-(Data_2017!AA59-$K59)/$M59),0),IF(ISNUMBER(Data_2017!AA59),100*ABS($G59-(Data_2017!AA59-$K59)/$M59),0)))</f>
        <v>81</v>
      </c>
      <c r="AH59" s="100">
        <f>IF($H59=0,0,CHOOSE($H59,SUMPRODUCT($O60:$O$67*AH60:AH$67*($E60:$E$67=$D59)),IF(ISNUMBER(Data_2017!AB59),100*ABS($G59-(Data_2017!AB59-$K59)/$M59),0),IF(ISNUMBER(Data_2017!AB59),100*ABS($G59-(Data_2017!AB59-$K59)/$M59),0)))</f>
        <v>33</v>
      </c>
      <c r="AI59" s="100">
        <f>IF($H59=0,0,CHOOSE($H59,SUMPRODUCT($O60:$O$67*AI60:AI$67*($E60:$E$67=$D59)),IF(ISNUMBER(Data_2017!AC59),100*ABS($G59-(Data_2017!AC59-$K59)/$M59),0),IF(ISNUMBER(Data_2017!AC59),100*ABS($G59-(Data_2017!AC59-$K59)/$M59),0)))</f>
        <v>77</v>
      </c>
      <c r="AJ59" s="100">
        <f>IF($H59=0,0,CHOOSE($H59,SUMPRODUCT($O60:$O$67*AJ60:AJ$67*($E60:$E$67=$D59)),IF(ISNUMBER(Data_2017!AD59),100*ABS($G59-(Data_2017!AD59-$K59)/$M59),0),IF(ISNUMBER(Data_2017!AD59),100*ABS($G59-(Data_2017!AD59-$K59)/$M59),0)))</f>
        <v>41</v>
      </c>
      <c r="AK59" s="100">
        <f>IF($H59=0,0,CHOOSE($H59,SUMPRODUCT($O60:$O$67*AK60:AK$67*($E60:$E$67=$D59)),IF(ISNUMBER(Data_2017!AE59),100*ABS($G59-(Data_2017!AE59-$K59)/$M59),0),IF(ISNUMBER(Data_2017!AE59),100*ABS($G59-(Data_2017!AE59-$K59)/$M59),0)))</f>
        <v>37</v>
      </c>
      <c r="AL59" s="100">
        <f>IF($H59=0,0,CHOOSE($H59,SUMPRODUCT($O60:$O$67*AL60:AL$67*($E60:$E$67=$D59)),IF(ISNUMBER(Data_2017!AF59),100*ABS($G59-(Data_2017!AF59-$K59)/$M59),0),IF(ISNUMBER(Data_2017!AF59),100*ABS($G59-(Data_2017!AF59-$K59)/$M59),0)))</f>
        <v>46</v>
      </c>
      <c r="AM59" s="100">
        <f>IF($H59=0,0,CHOOSE($H59,SUMPRODUCT($O60:$O$67*AM60:AM$67*($E60:$E$67=$D59)),IF(ISNUMBER(Data_2017!AG59),100*ABS($G59-(Data_2017!AG59-$K59)/$M59),0),IF(ISNUMBER(Data_2017!AG59),100*ABS($G59-(Data_2017!AG59-$K59)/$M59),0)))</f>
        <v>45</v>
      </c>
      <c r="AN59" s="100">
        <f>IF($H59=0,0,CHOOSE($H59,SUMPRODUCT($O60:$O$67*AN60:AN$67*($E60:$E$67=$D59)),IF(ISNUMBER(Data_2017!AH59),100*ABS($G59-(Data_2017!AH59-$K59)/$M59),0),IF(ISNUMBER(Data_2017!AH59),100*ABS($G59-(Data_2017!AH59-$K59)/$M59),0)))</f>
        <v>32</v>
      </c>
      <c r="AO59" s="100">
        <f>IF($H59=0,0,CHOOSE($H59,SUMPRODUCT($O60:$O$67*AO60:AO$67*($E60:$E$67=$D59)),IF(ISNUMBER(Data_2017!AI59),100*ABS($G59-(Data_2017!AI59-$K59)/$M59),0),IF(ISNUMBER(Data_2017!AI59),100*ABS($G59-(Data_2017!AI59-$K59)/$M59),0)))</f>
        <v>49</v>
      </c>
      <c r="AP59" s="100">
        <f>IF($H59=0,0,CHOOSE($H59,SUMPRODUCT($O60:$O$67*AP60:AP$67*($E60:$E$67=$D59)),IF(ISNUMBER(Data_2017!AJ59),100*ABS($G59-(Data_2017!AJ59-$K59)/$M59),0),IF(ISNUMBER(Data_2017!AJ59),100*ABS($G59-(Data_2017!AJ59-$K59)/$M59),0)))</f>
        <v>41</v>
      </c>
      <c r="AQ59" s="100">
        <f>IF($H59=0,0,CHOOSE($H59,SUMPRODUCT($O60:$O$67*AQ60:AQ$67*($E60:$E$67=$D59)),IF(ISNUMBER(Data_2017!AK59),100*ABS($G59-(Data_2017!AK59-$K59)/$M59),0),IF(ISNUMBER(Data_2017!AK59),100*ABS($G59-(Data_2017!AK59-$K59)/$M59),0)))</f>
        <v>35</v>
      </c>
      <c r="AR59" s="100">
        <f>IF($H59=0,0,CHOOSE($H59,SUMPRODUCT($O60:$O$67*AR60:AR$67*($E60:$E$67=$D59)),IF(ISNUMBER(Data_2017!AL59),100*ABS($G59-(Data_2017!AL59-$K59)/$M59),0),IF(ISNUMBER(Data_2017!AL59),100*ABS($G59-(Data_2017!AL59-$K59)/$M59),0)))</f>
        <v>81</v>
      </c>
      <c r="AS59" s="100">
        <f>IF($H59=0,0,CHOOSE($H59,SUMPRODUCT($O60:$O$67*AS60:AS$67*($E60:$E$67=$D59)),IF(ISNUMBER(Data_2017!AM59),100*ABS($G59-(Data_2017!AM59-$K59)/$M59),0),IF(ISNUMBER(Data_2017!AM59),100*ABS($G59-(Data_2017!AM59-$K59)/$M59),0)))</f>
        <v>74</v>
      </c>
      <c r="AT59" s="100">
        <f>IF($H59=0,0,CHOOSE($H59,SUMPRODUCT($O60:$O$67*AT60:AT$67*($E60:$E$67=$D59)),IF(ISNUMBER(Data_2017!AN59),100*ABS($G59-(Data_2017!AN59-$K59)/$M59),0),IF(ISNUMBER(Data_2017!AN59),100*ABS($G59-(Data_2017!AN59-$K59)/$M59),0)))</f>
        <v>58</v>
      </c>
      <c r="AU59" s="100">
        <f>IF($H59=0,0,CHOOSE($H59,SUMPRODUCT($O60:$O$67*AU60:AU$67*($E60:$E$67=$D59)),IF(ISNUMBER(Data_2017!AO59),100*ABS($G59-(Data_2017!AO59-$K59)/$M59),0),IF(ISNUMBER(Data_2017!AO59),100*ABS($G59-(Data_2017!AO59-$K59)/$M59),0)))</f>
        <v>35</v>
      </c>
      <c r="AV59" s="100">
        <f>IF($H59=0,0,CHOOSE($H59,SUMPRODUCT($O60:$O$67*AV60:AV$67*($E60:$E$67=$D59)),IF(ISNUMBER(Data_2017!AP59),100*ABS($G59-(Data_2017!AP59-$K59)/$M59),0),IF(ISNUMBER(Data_2017!AP59),100*ABS($G59-(Data_2017!AP59-$K59)/$M59),0)))</f>
        <v>79</v>
      </c>
      <c r="AW59" s="100">
        <f>IF($H59=0,0,CHOOSE($H59,SUMPRODUCT($O60:$O$67*AW60:AW$67*($E60:$E$67=$D59)),IF(ISNUMBER(Data_2017!AQ59),100*ABS($G59-(Data_2017!AQ59-$K59)/$M59),0),IF(ISNUMBER(Data_2017!AQ59),100*ABS($G59-(Data_2017!AQ59-$K59)/$M59),0)))</f>
        <v>30</v>
      </c>
      <c r="AX59" s="100">
        <f>IF($H59=0,0,CHOOSE($H59,SUMPRODUCT($O60:$O$67*AX60:AX$67*($E60:$E$67=$D59)),IF(ISNUMBER(Data_2017!AR59),100*ABS($G59-(Data_2017!AR59-$K59)/$M59),0),IF(ISNUMBER(Data_2017!AR59),100*ABS($G59-(Data_2017!AR59-$K59)/$M59),0)))</f>
        <v>47</v>
      </c>
      <c r="AY59" s="100">
        <f>IF($H59=0,0,CHOOSE($H59,SUMPRODUCT($O60:$O$67*AY60:AY$67*($E60:$E$67=$D59)),IF(ISNUMBER(Data_2017!AS59),100*ABS($G59-(Data_2017!AS59-$K59)/$M59),0),IF(ISNUMBER(Data_2017!AS59),100*ABS($G59-(Data_2017!AS59-$K59)/$M59),0)))</f>
        <v>29</v>
      </c>
      <c r="AZ59" s="100">
        <f>IF($H59=0,0,CHOOSE($H59,SUMPRODUCT($O60:$O$67*AZ60:AZ$67*($E60:$E$67=$D59)),IF(ISNUMBER(Data_2017!AT59),100*ABS($G59-(Data_2017!AT59-$K59)/$M59),0),IF(ISNUMBER(Data_2017!AT59),100*ABS($G59-(Data_2017!AT59-$K59)/$M59),0)))</f>
        <v>40</v>
      </c>
      <c r="BA59" s="100">
        <f>IF($H59=0,0,CHOOSE($H59,SUMPRODUCT($O60:$O$67*BA60:BA$67*($E60:$E$67=$D59)),IF(ISNUMBER(Data_2017!AU59),100*ABS($G59-(Data_2017!AU59-$K59)/$M59),0),IF(ISNUMBER(Data_2017!AU59),100*ABS($G59-(Data_2017!AU59-$K59)/$M59),0)))</f>
        <v>74</v>
      </c>
      <c r="BB59" s="100">
        <f>IF($H59=0,0,CHOOSE($H59,SUMPRODUCT($O60:$O$67*BB60:BB$67*($E60:$E$67=$D59)),IF(ISNUMBER(Data_2017!AV59),100*ABS($G59-(Data_2017!AV59-$K59)/$M59),0),IF(ISNUMBER(Data_2017!AV59),100*ABS($G59-(Data_2017!AV59-$K59)/$M59),0)))</f>
        <v>72</v>
      </c>
      <c r="BC59" s="100">
        <f>IF($H59=0,0,CHOOSE($H59,SUMPRODUCT($O60:$O$67*BC60:BC$67*($E60:$E$67=$D59)),IF(ISNUMBER(Data_2017!AW59),100*ABS($G59-(Data_2017!AW59-$K59)/$M59),0),IF(ISNUMBER(Data_2017!AW59),100*ABS($G59-(Data_2017!AW59-$K59)/$M59),0)))</f>
        <v>69</v>
      </c>
      <c r="BD59" s="100">
        <f>IF($H59=0,0,CHOOSE($H59,SUMPRODUCT($O60:$O$67*BD60:BD$67*($E60:$E$67=$D59)),IF(ISNUMBER(Data_2017!AX59),100*ABS($G59-(Data_2017!AX59-$K59)/$M59),0),IF(ISNUMBER(Data_2017!AX59),100*ABS($G59-(Data_2017!AX59-$K59)/$M59),0)))</f>
        <v>31</v>
      </c>
      <c r="BE59" s="100">
        <f>IF($H59=0,0,CHOOSE($H59,SUMPRODUCT($O60:$O$67*BE60:BE$67*($E60:$E$67=$D59)),IF(ISNUMBER(Data_2017!AY59),100*ABS($G59-(Data_2017!AY59-$K59)/$M59),0),IF(ISNUMBER(Data_2017!AY59),100*ABS($G59-(Data_2017!AY59-$K59)/$M59),0)))</f>
        <v>40</v>
      </c>
      <c r="BF59" s="100">
        <f>IF($H59=0,0,CHOOSE($H59,SUMPRODUCT($O60:$O$67*BF60:BF$67*($E60:$E$67=$D59)),IF(ISNUMBER(Data_2017!AZ59),100*ABS($G59-(Data_2017!AZ59-$K59)/$M59),0),IF(ISNUMBER(Data_2017!AZ59),100*ABS($G59-(Data_2017!AZ59-$K59)/$M59),0)))</f>
        <v>46</v>
      </c>
      <c r="BG59" s="100">
        <f>IF($H59=0,0,CHOOSE($H59,SUMPRODUCT($O60:$O$67*BG60:BG$67*($E60:$E$67=$D59)),IF(ISNUMBER(Data_2017!BA59),100*ABS($G59-(Data_2017!BA59-$K59)/$M59),0),IF(ISNUMBER(Data_2017!BA59),100*ABS($G59-(Data_2017!BA59-$K59)/$M59),0)))</f>
        <v>47</v>
      </c>
      <c r="BH59" s="100">
        <f>IF($H59=0,0,CHOOSE($H59,SUMPRODUCT($O60:$O$67*BH60:BH$67*($E60:$E$67=$D59)),IF(ISNUMBER(Data_2017!BB59),100*ABS($G59-(Data_2017!BB59-$K59)/$M59),0),IF(ISNUMBER(Data_2017!BB59),100*ABS($G59-(Data_2017!BB59-$K59)/$M59),0)))</f>
        <v>74</v>
      </c>
      <c r="BI59" s="100">
        <f>IF($H59=0,0,CHOOSE($H59,SUMPRODUCT($O60:$O$67*BI60:BI$67*($E60:$E$67=$D59)),IF(ISNUMBER(Data_2017!BC59),100*ABS($G59-(Data_2017!BC59-$K59)/$M59),0),IF(ISNUMBER(Data_2017!BC59),100*ABS($G59-(Data_2017!BC59-$K59)/$M59),0)))</f>
        <v>66</v>
      </c>
      <c r="BJ59" s="100">
        <f>IF($H59=0,0,CHOOSE($H59,SUMPRODUCT($O60:$O$67*BJ60:BJ$67*($E60:$E$67=$D59)),IF(ISNUMBER(Data_2017!BD59),100*ABS($G59-(Data_2017!BD59-$K59)/$M59),0),IF(ISNUMBER(Data_2017!BD59),100*ABS($G59-(Data_2017!BD59-$K59)/$M59),0)))</f>
        <v>40</v>
      </c>
      <c r="BK59" s="100">
        <f>IF($H59=0,0,CHOOSE($H59,SUMPRODUCT($O60:$O$67*BK60:BK$67*($E60:$E$67=$D59)),IF(ISNUMBER(Data_2017!BE59),100*ABS($G59-(Data_2017!BE59-$K59)/$M59),0),IF(ISNUMBER(Data_2017!BE59),100*ABS($G59-(Data_2017!BE59-$K59)/$M59),0)))</f>
        <v>53</v>
      </c>
      <c r="BL59" s="100">
        <f>IF($H59=0,0,CHOOSE($H59,SUMPRODUCT($O60:$O$67*BL60:BL$67*($E60:$E$67=$D59)),IF(ISNUMBER(Data_2017!BF59),100*ABS($G59-(Data_2017!BF59-$K59)/$M59),0),IF(ISNUMBER(Data_2017!BF59),100*ABS($G59-(Data_2017!BF59-$K59)/$M59),0)))</f>
        <v>40</v>
      </c>
      <c r="BM59" s="100">
        <f>IF($H59=0,0,CHOOSE($H59,SUMPRODUCT($O60:$O$67*BM60:BM$67*($E60:$E$67=$D59)),IF(ISNUMBER(Data_2017!BG59),100*ABS($G59-(Data_2017!BG59-$K59)/$M59),0),IF(ISNUMBER(Data_2017!BG59),100*ABS($G59-(Data_2017!BG59-$K59)/$M59),0)))</f>
        <v>84</v>
      </c>
      <c r="BN59" s="100">
        <f>IF($H59=0,0,CHOOSE($H59,SUMPRODUCT($O60:$O$67*BN60:BN$67*($E60:$E$67=$D59)),IF(ISNUMBER(Data_2017!BH59),100*ABS($G59-(Data_2017!BH59-$K59)/$M59),0),IF(ISNUMBER(Data_2017!BH59),100*ABS($G59-(Data_2017!BH59-$K59)/$M59),0)))</f>
        <v>88</v>
      </c>
      <c r="BO59" s="100">
        <f>IF($H59=0,0,CHOOSE($H59,SUMPRODUCT($O60:$O$67*BO60:BO$67*($E60:$E$67=$D59)),IF(ISNUMBER(Data_2017!BI59),100*ABS($G59-(Data_2017!BI59-$K59)/$M59),0),IF(ISNUMBER(Data_2017!BI59),100*ABS($G59-(Data_2017!BI59-$K59)/$M59),0)))</f>
        <v>79</v>
      </c>
      <c r="BP59" s="100">
        <f>IF($H59=0,0,CHOOSE($H59,SUMPRODUCT($O60:$O$67*BP60:BP$67*($E60:$E$67=$D59)),IF(ISNUMBER(Data_2017!BJ59),100*ABS($G59-(Data_2017!BJ59-$K59)/$M59),0),IF(ISNUMBER(Data_2017!BJ59),100*ABS($G59-(Data_2017!BJ59-$K59)/$M59),0)))</f>
        <v>61</v>
      </c>
      <c r="BQ59" s="100">
        <f>IF($H59=0,0,CHOOSE($H59,SUMPRODUCT($O60:$O$67*BQ60:BQ$67*($E60:$E$67=$D59)),IF(ISNUMBER(Data_2017!BK59),100*ABS($G59-(Data_2017!BK59-$K59)/$M59),0),IF(ISNUMBER(Data_2017!BK59),100*ABS($G59-(Data_2017!BK59-$K59)/$M59),0)))</f>
        <v>29</v>
      </c>
      <c r="BR59" s="100">
        <f>IF($H59=0,0,CHOOSE($H59,SUMPRODUCT($O60:$O$67*BR60:BR$67*($E60:$E$67=$D59)),IF(ISNUMBER(Data_2017!BL59),100*ABS($G59-(Data_2017!BL59-$K59)/$M59),0),IF(ISNUMBER(Data_2017!BL59),100*ABS($G59-(Data_2017!BL59-$K59)/$M59),0)))</f>
        <v>72</v>
      </c>
      <c r="BS59" s="100">
        <f>IF($H59=0,0,CHOOSE($H59,SUMPRODUCT($O60:$O$67*BS60:BS$67*($E60:$E$67=$D59)),IF(ISNUMBER(Data_2017!BM59),100*ABS($G59-(Data_2017!BM59-$K59)/$M59),0),IF(ISNUMBER(Data_2017!BM59),100*ABS($G59-(Data_2017!BM59-$K59)/$M59),0)))</f>
        <v>82</v>
      </c>
      <c r="BT59" s="100">
        <f>IF($H59=0,0,CHOOSE($H59,SUMPRODUCT($O60:$O$67*BT60:BT$67*($E60:$E$67=$D59)),IF(ISNUMBER(Data_2017!BN59),100*ABS($G59-(Data_2017!BN59-$K59)/$M59),0),IF(ISNUMBER(Data_2017!BN59),100*ABS($G59-(Data_2017!BN59-$K59)/$M59),0)))</f>
        <v>74</v>
      </c>
      <c r="BU59" s="100">
        <f>IF($H59=0,0,CHOOSE($H59,SUMPRODUCT($O60:$O$67*BU60:BU$67*($E60:$E$67=$D59)),IF(ISNUMBER(Data_2017!BO59),100*ABS($G59-(Data_2017!BO59-$K59)/$M59),0),IF(ISNUMBER(Data_2017!BO59),100*ABS($G59-(Data_2017!BO59-$K59)/$M59),0)))</f>
        <v>90</v>
      </c>
      <c r="BV59" s="100">
        <f>IF($H59=0,0,CHOOSE($H59,SUMPRODUCT($O60:$O$67*BV60:BV$67*($E60:$E$67=$D59)),IF(ISNUMBER(Data_2017!BP59),100*ABS($G59-(Data_2017!BP59-$K59)/$M59),0),IF(ISNUMBER(Data_2017!BP59),100*ABS($G59-(Data_2017!BP59-$K59)/$M59),0)))</f>
        <v>28</v>
      </c>
      <c r="BW59" s="100">
        <f>IF($H59=0,0,CHOOSE($H59,SUMPRODUCT($O60:$O$67*BW60:BW$67*($E60:$E$67=$D59)),IF(ISNUMBER(Data_2017!BQ59),100*ABS($G59-(Data_2017!BQ59-$K59)/$M59),0),IF(ISNUMBER(Data_2017!BQ59),100*ABS($G59-(Data_2017!BQ59-$K59)/$M59),0)))</f>
        <v>86</v>
      </c>
      <c r="BX59" s="100">
        <f>IF($H59=0,0,CHOOSE($H59,SUMPRODUCT($O60:$O$67*BX60:BX$67*($E60:$E$67=$D59)),IF(ISNUMBER(Data_2017!BR59),100*ABS($G59-(Data_2017!BR59-$K59)/$M59),0),IF(ISNUMBER(Data_2017!BR59),100*ABS($G59-(Data_2017!BR59-$K59)/$M59),0)))</f>
        <v>72</v>
      </c>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row>
    <row r="60" s="69" customFormat="1" ht="24.95" customHeight="1" spans="1:130">
      <c r="A60" s="92"/>
      <c r="B60" s="92">
        <f>tblIndicators!A56</f>
        <v>55</v>
      </c>
      <c r="C60" s="92">
        <f>tblIndicators!B56</f>
        <v>0</v>
      </c>
      <c r="D60" s="92" t="str">
        <f>tblIndicators!D56</f>
        <v>PESE4.2.5</v>
      </c>
      <c r="E60" s="92" t="str">
        <f>tblIndicators!E56</f>
        <v>PESE4.2</v>
      </c>
      <c r="F60" s="92">
        <f>tblIndicators!F56</f>
        <v>3</v>
      </c>
      <c r="G60" s="92">
        <f>tblIndicators!Y56</f>
        <v>1</v>
      </c>
      <c r="H60" s="92">
        <f>tblIndicators!Z56</f>
        <v>2</v>
      </c>
      <c r="I60" s="104">
        <f>tblIndicators!AA56</f>
        <v>0</v>
      </c>
      <c r="J60" s="92">
        <f>tblIndicators!AB56</f>
        <v>0</v>
      </c>
      <c r="K60" s="89">
        <f>IF(uxb_works!$B$66=1,CHOOSE(H60,"-",MIN(Data_2017!J60:BR60),I60),CHOOSE(H60,"-",MIN(Data_2017!J60:BQ60),I60))</f>
        <v>0.0019</v>
      </c>
      <c r="L60" s="97">
        <f>IF(uxb_works!$B$66=1,CHOOSE(H60,"-",MAX(Data_2017!J60:BR60),J60),CHOOSE(H60,"-",MAX(Data_2017!J60:BQ60),J60))</f>
        <v>0.3931</v>
      </c>
      <c r="M60" s="92">
        <f t="shared" si="1"/>
        <v>0.3912</v>
      </c>
      <c r="N60" s="105" t="str">
        <f>REPT(" ",F60)&amp;tblIndicators!AE56</f>
        <v>   4.2.5) Rate of drug use </v>
      </c>
      <c r="O60" s="106">
        <f>tblIndicators!AD56</f>
        <v>0.0833333333333333</v>
      </c>
      <c r="P60" s="100">
        <f>IF($H60=0,0,CHOOSE($H60,SUMPRODUCT($O61:$O$67*P61:P$67*($E61:$E$67=$D60)),IF(ISNUMBER(Data_2017!J60),100*ABS($G60-(Data_2017!J60-$K60)/$M60),0),IF(ISNUMBER(Data_2017!J60),100*ABS($G60-(Data_2017!J60-$K60)/$M60),0)))</f>
        <v>86.758691206544</v>
      </c>
      <c r="Q60" s="100">
        <f>IF($H60=0,0,CHOOSE($H60,SUMPRODUCT($O61:$O$67*Q61:Q$67*($E61:$E$67=$D60)),IF(ISNUMBER(Data_2017!K60),100*ABS($G60-(Data_2017!K60-$K60)/$M60),0),IF(ISNUMBER(Data_2017!K60),100*ABS($G60-(Data_2017!K60-$K60)/$M60),0)))</f>
        <v>64.6216768916155</v>
      </c>
      <c r="R60" s="100">
        <f>IF($H60=0,0,CHOOSE($H60,SUMPRODUCT($O61:$O$67*R61:R$67*($E61:$E$67=$D60)),IF(ISNUMBER(Data_2017!L60),100*ABS($G60-(Data_2017!L60-$K60)/$M60),0),IF(ISNUMBER(Data_2017!L60),100*ABS($G60-(Data_2017!L60-$K60)/$M60),0)))</f>
        <v>92.5102249488752</v>
      </c>
      <c r="S60" s="100">
        <f>IF($H60=0,0,CHOOSE($H60,SUMPRODUCT($O61:$O$67*S61:S$67*($E61:$E$67=$D60)),IF(ISNUMBER(Data_2017!M60),100*ABS($G60-(Data_2017!M60-$K60)/$M60),0),IF(ISNUMBER(Data_2017!M60),100*ABS($G60-(Data_2017!M60-$K60)/$M60),0)))</f>
        <v>92.4335378323108</v>
      </c>
      <c r="T60" s="100">
        <f>IF($H60=0,0,CHOOSE($H60,SUMPRODUCT($O61:$O$67*T61:T$67*($E61:$E$67=$D60)),IF(ISNUMBER(Data_2017!N60),100*ABS($G60-(Data_2017!N60-$K60)/$M60),0),IF(ISNUMBER(Data_2017!N60),100*ABS($G60-(Data_2017!N60-$K60)/$M60),0)))</f>
        <v>65.1840490797546</v>
      </c>
      <c r="U60" s="100">
        <f>IF($H60=0,0,CHOOSE($H60,SUMPRODUCT($O61:$O$67*U61:U$67*($E61:$E$67=$D60)),IF(ISNUMBER(Data_2017!O60),100*ABS($G60-(Data_2017!O60-$K60)/$M60),0),IF(ISNUMBER(Data_2017!O60),100*ABS($G60-(Data_2017!O60-$K60)/$M60),0)))</f>
        <v>100</v>
      </c>
      <c r="V60" s="100">
        <f>IF($H60=0,0,CHOOSE($H60,SUMPRODUCT($O61:$O$67*V61:V$67*($E61:$E$67=$D60)),IF(ISNUMBER(Data_2017!P60),100*ABS($G60-(Data_2017!P60-$K60)/$M60),0),IF(ISNUMBER(Data_2017!P60),100*ABS($G60-(Data_2017!P60-$K60)/$M60),0)))</f>
        <v>88.1646216768916</v>
      </c>
      <c r="W60" s="100">
        <f>IF($H60=0,0,CHOOSE($H60,SUMPRODUCT($O61:$O$67*W61:W$67*($E61:$E$67=$D60)),IF(ISNUMBER(Data_2017!Q60),100*ABS($G60-(Data_2017!Q60-$K60)/$M60),0),IF(ISNUMBER(Data_2017!Q60),100*ABS($G60-(Data_2017!Q60-$K60)/$M60),0)))</f>
        <v>83.3588957055215</v>
      </c>
      <c r="X60" s="100">
        <f>IF($H60=0,0,CHOOSE($H60,SUMPRODUCT($O61:$O$67*X61:X$67*($E61:$E$67=$D60)),IF(ISNUMBER(Data_2017!R60),100*ABS($G60-(Data_2017!R60-$K60)/$M60),0),IF(ISNUMBER(Data_2017!R60),100*ABS($G60-(Data_2017!R60-$K60)/$M60),0)))</f>
        <v>85.4038854805726</v>
      </c>
      <c r="Y60" s="100">
        <f>IF($H60=0,0,CHOOSE($H60,SUMPRODUCT($O61:$O$67*Y61:Y$67*($E61:$E$67=$D60)),IF(ISNUMBER(Data_2017!S60),100*ABS($G60-(Data_2017!S60-$K60)/$M60),0),IF(ISNUMBER(Data_2017!S60),100*ABS($G60-(Data_2017!S60-$K60)/$M60),0)))</f>
        <v>82.1319018404908</v>
      </c>
      <c r="Z60" s="100">
        <f>IF($H60=0,0,CHOOSE($H60,SUMPRODUCT($O61:$O$67*Z61:Z$67*($E61:$E$67=$D60)),IF(ISNUMBER(Data_2017!T60),100*ABS($G60-(Data_2017!T60-$K60)/$M60),0),IF(ISNUMBER(Data_2017!T60),100*ABS($G60-(Data_2017!T60-$K60)/$M60),0)))</f>
        <v>86.8609406952965</v>
      </c>
      <c r="AA60" s="100">
        <f>IF($H60=0,0,CHOOSE($H60,SUMPRODUCT($O61:$O$67*AA61:AA$67*($E61:$E$67=$D60)),IF(ISNUMBER(Data_2017!U60),100*ABS($G60-(Data_2017!U60-$K60)/$M60),0),IF(ISNUMBER(Data_2017!U60),100*ABS($G60-(Data_2017!U60-$K60)/$M60),0)))</f>
        <v>88.8548057259714</v>
      </c>
      <c r="AB60" s="100">
        <f>IF($H60=0,0,CHOOSE($H60,SUMPRODUCT($O61:$O$67*AB61:AB$67*($E61:$E$67=$D60)),IF(ISNUMBER(Data_2017!V60),100*ABS($G60-(Data_2017!V60-$K60)/$M60),0),IF(ISNUMBER(Data_2017!V60),100*ABS($G60-(Data_2017!V60-$K60)/$M60),0)))</f>
        <v>73.5102174335378</v>
      </c>
      <c r="AC60" s="100">
        <f>IF($H60=0,0,CHOOSE($H60,SUMPRODUCT($O61:$O$67*AC61:AC$67*($E61:$E$67=$D60)),IF(ISNUMBER(Data_2017!W60),100*ABS($G60-(Data_2017!W60-$K60)/$M60),0),IF(ISNUMBER(Data_2017!W60),100*ABS($G60-(Data_2017!W60-$K60)/$M60),0)))</f>
        <v>82.9577698108384</v>
      </c>
      <c r="AD60" s="100">
        <f>IF($H60=0,0,CHOOSE($H60,SUMPRODUCT($O61:$O$67*AD61:AD$67*($E61:$E$67=$D60)),IF(ISNUMBER(Data_2017!X60),100*ABS($G60-(Data_2017!X60-$K60)/$M60),0),IF(ISNUMBER(Data_2017!X60),100*ABS($G60-(Data_2017!X60-$K60)/$M60),0)))</f>
        <v>86.5947668113634</v>
      </c>
      <c r="AE60" s="100">
        <f>IF($H60=0,0,CHOOSE($H60,SUMPRODUCT($O61:$O$67*AE61:AE$67*($E61:$E$67=$D60)),IF(ISNUMBER(Data_2017!Y60),100*ABS($G60-(Data_2017!Y60-$K60)/$M60),0),IF(ISNUMBER(Data_2017!Y60),100*ABS($G60-(Data_2017!Y60-$K60)/$M60),0)))</f>
        <v>90.0051124744376</v>
      </c>
      <c r="AF60" s="100">
        <f>IF($H60=0,0,CHOOSE($H60,SUMPRODUCT($O61:$O$67*AF61:AF$67*($E61:$E$67=$D60)),IF(ISNUMBER(Data_2017!Z60),100*ABS($G60-(Data_2017!Z60-$K60)/$M60),0),IF(ISNUMBER(Data_2017!Z60),100*ABS($G60-(Data_2017!Z60-$K60)/$M60),0)))</f>
        <v>92.8169734151329</v>
      </c>
      <c r="AG60" s="100">
        <f>IF($H60=0,0,CHOOSE($H60,SUMPRODUCT($O61:$O$67*AG61:AG$67*($E61:$E$67=$D60)),IF(ISNUMBER(Data_2017!AA60),100*ABS($G60-(Data_2017!AA60-$K60)/$M60),0),IF(ISNUMBER(Data_2017!AA60),100*ABS($G60-(Data_2017!AA60-$K60)/$M60),0)))</f>
        <v>67.7914110429448</v>
      </c>
      <c r="AH60" s="100">
        <f>IF($H60=0,0,CHOOSE($H60,SUMPRODUCT($O61:$O$67*AH61:AH$67*($E61:$E$67=$D60)),IF(ISNUMBER(Data_2017!AB60),100*ABS($G60-(Data_2017!AB60-$K60)/$M60),0),IF(ISNUMBER(Data_2017!AB60),100*ABS($G60-(Data_2017!AB60-$K60)/$M60),0)))</f>
        <v>98.0061349693252</v>
      </c>
      <c r="AI60" s="100">
        <f>IF($H60=0,0,CHOOSE($H60,SUMPRODUCT($O61:$O$67*AI61:AI$67*($E61:$E$67=$D60)),IF(ISNUMBER(Data_2017!AC60),100*ABS($G60-(Data_2017!AC60-$K60)/$M60),0),IF(ISNUMBER(Data_2017!AC60),100*ABS($G60-(Data_2017!AC60-$K60)/$M60),0)))</f>
        <v>96.7535787321063</v>
      </c>
      <c r="AJ60" s="100">
        <f>IF($H60=0,0,CHOOSE($H60,SUMPRODUCT($O61:$O$67*AJ61:AJ$67*($E61:$E$67=$D60)),IF(ISNUMBER(Data_2017!AD60),100*ABS($G60-(Data_2017!AD60-$K60)/$M60),0),IF(ISNUMBER(Data_2017!AD60),100*ABS($G60-(Data_2017!AD60-$K60)/$M60),0)))</f>
        <v>85.3271983640082</v>
      </c>
      <c r="AK60" s="100">
        <f>IF($H60=0,0,CHOOSE($H60,SUMPRODUCT($O61:$O$67*AK61:AK$67*($E61:$E$67=$D60)),IF(ISNUMBER(Data_2017!AE60),100*ABS($G60-(Data_2017!AE60-$K60)/$M60),0),IF(ISNUMBER(Data_2017!AE60),100*ABS($G60-(Data_2017!AE60-$K60)/$M60),0)))</f>
        <v>95.8077709611452</v>
      </c>
      <c r="AL60" s="100">
        <f>IF($H60=0,0,CHOOSE($H60,SUMPRODUCT($O61:$O$67*AL61:AL$67*($E61:$E$67=$D60)),IF(ISNUMBER(Data_2017!AF60),100*ABS($G60-(Data_2017!AF60-$K60)/$M60),0),IF(ISNUMBER(Data_2017!AF60),100*ABS($G60-(Data_2017!AF60-$K60)/$M60),0)))</f>
        <v>98.5429447852761</v>
      </c>
      <c r="AM60" s="100">
        <f>IF($H60=0,0,CHOOSE($H60,SUMPRODUCT($O61:$O$67*AM61:AM$67*($E61:$E$67=$D60)),IF(ISNUMBER(Data_2017!AG60),100*ABS($G60-(Data_2017!AG60-$K60)/$M60),0),IF(ISNUMBER(Data_2017!AG60),100*ABS($G60-(Data_2017!AG60-$K60)/$M60),0)))</f>
        <v>82.5920245398773</v>
      </c>
      <c r="AN60" s="100">
        <f>IF($H60=0,0,CHOOSE($H60,SUMPRODUCT($O61:$O$67*AN61:AN$67*($E61:$E$67=$D60)),IF(ISNUMBER(Data_2017!AH60),100*ABS($G60-(Data_2017!AH60-$K60)/$M60),0),IF(ISNUMBER(Data_2017!AH60),100*ABS($G60-(Data_2017!AH60-$K60)/$M60),0)))</f>
        <v>74.5910020449898</v>
      </c>
      <c r="AO60" s="100">
        <f>IF($H60=0,0,CHOOSE($H60,SUMPRODUCT($O61:$O$67*AO61:AO$67*($E61:$E$67=$D60)),IF(ISNUMBER(Data_2017!AI60),100*ABS($G60-(Data_2017!AI60-$K60)/$M60),0),IF(ISNUMBER(Data_2017!AI60),100*ABS($G60-(Data_2017!AI60-$K60)/$M60),0)))</f>
        <v>91.4621676891616</v>
      </c>
      <c r="AP60" s="100">
        <f>IF($H60=0,0,CHOOSE($H60,SUMPRODUCT($O61:$O$67*AP61:AP$67*($E61:$E$67=$D60)),IF(ISNUMBER(Data_2017!AJ60),100*ABS($G60-(Data_2017!AJ60-$K60)/$M60),0),IF(ISNUMBER(Data_2017!AJ60),100*ABS($G60-(Data_2017!AJ60-$K60)/$M60),0)))</f>
        <v>91.3343558282209</v>
      </c>
      <c r="AQ60" s="100">
        <f>IF($H60=0,0,CHOOSE($H60,SUMPRODUCT($O61:$O$67*AQ61:AQ$67*($E61:$E$67=$D60)),IF(ISNUMBER(Data_2017!AK60),100*ABS($G60-(Data_2017!AK60-$K60)/$M60),0),IF(ISNUMBER(Data_2017!AK60),100*ABS($G60-(Data_2017!AK60-$K60)/$M60),0)))</f>
        <v>91.4877300613497</v>
      </c>
      <c r="AR60" s="100">
        <f>IF($H60=0,0,CHOOSE($H60,SUMPRODUCT($O61:$O$67*AR61:AR$67*($E61:$E$67=$D60)),IF(ISNUMBER(Data_2017!AL60),100*ABS($G60-(Data_2017!AL60-$K60)/$M60),0),IF(ISNUMBER(Data_2017!AL60),100*ABS($G60-(Data_2017!AL60-$K60)/$M60),0)))</f>
        <v>70.5095432856169</v>
      </c>
      <c r="AS60" s="100">
        <f>IF($H60=0,0,CHOOSE($H60,SUMPRODUCT($O61:$O$67*AS61:AS$67*($E61:$E$67=$D60)),IF(ISNUMBER(Data_2017!AM60),100*ABS($G60-(Data_2017!AM60-$K60)/$M60),0),IF(ISNUMBER(Data_2017!AM60),100*ABS($G60-(Data_2017!AM60-$K60)/$M60),0)))</f>
        <v>72.5634211400818</v>
      </c>
      <c r="AT60" s="100">
        <f>IF($H60=0,0,CHOOSE($H60,SUMPRODUCT($O61:$O$67*AT61:AT$67*($E61:$E$67=$D60)),IF(ISNUMBER(Data_2017!AN60),100*ABS($G60-(Data_2017!AN60-$K60)/$M60),0),IF(ISNUMBER(Data_2017!AN60),100*ABS($G60-(Data_2017!AN60-$K60)/$M60),0)))</f>
        <v>65.1840490797546</v>
      </c>
      <c r="AU60" s="100">
        <f>IF($H60=0,0,CHOOSE($H60,SUMPRODUCT($O61:$O$67*AU61:AU$67*($E61:$E$67=$D60)),IF(ISNUMBER(Data_2017!AO60),100*ABS($G60-(Data_2017!AO60-$K60)/$M60),0),IF(ISNUMBER(Data_2017!AO60),100*ABS($G60-(Data_2017!AO60-$K60)/$M60),0)))</f>
        <v>92.3824130879346</v>
      </c>
      <c r="AV60" s="100">
        <f>IF($H60=0,0,CHOOSE($H60,SUMPRODUCT($O61:$O$67*AV61:AV$67*($E61:$E$67=$D60)),IF(ISNUMBER(Data_2017!AP60),100*ABS($G60-(Data_2017!AP60-$K60)/$M60),0),IF(ISNUMBER(Data_2017!AP60),100*ABS($G60-(Data_2017!AP60-$K60)/$M60),0)))</f>
        <v>0</v>
      </c>
      <c r="AW60" s="100">
        <f>IF($H60=0,0,CHOOSE($H60,SUMPRODUCT($O61:$O$67*AW61:AW$67*($E61:$E$67=$D60)),IF(ISNUMBER(Data_2017!AQ60),100*ABS($G60-(Data_2017!AQ60-$K60)/$M60),0),IF(ISNUMBER(Data_2017!AQ60),100*ABS($G60-(Data_2017!AQ60-$K60)/$M60),0)))</f>
        <v>93.379345603272</v>
      </c>
      <c r="AX60" s="100">
        <f>IF($H60=0,0,CHOOSE($H60,SUMPRODUCT($O61:$O$67*AX61:AX$67*($E61:$E$67=$D60)),IF(ISNUMBER(Data_2017!AR60),100*ABS($G60-(Data_2017!AR60-$K60)/$M60),0),IF(ISNUMBER(Data_2017!AR60),100*ABS($G60-(Data_2017!AR60-$K60)/$M60),0)))</f>
        <v>35.30163599182</v>
      </c>
      <c r="AY60" s="100">
        <f>IF($H60=0,0,CHOOSE($H60,SUMPRODUCT($O61:$O$67*AY61:AY$67*($E61:$E$67=$D60)),IF(ISNUMBER(Data_2017!AS60),100*ABS($G60-(Data_2017!AS60-$K60)/$M60),0),IF(ISNUMBER(Data_2017!AS60),100*ABS($G60-(Data_2017!AS60-$K60)/$M60),0)))</f>
        <v>78.8087934560327</v>
      </c>
      <c r="AZ60" s="100">
        <f>IF($H60=0,0,CHOOSE($H60,SUMPRODUCT($O61:$O$67*AZ61:AZ$67*($E61:$E$67=$D60)),IF(ISNUMBER(Data_2017!AT60),100*ABS($G60-(Data_2017!AT60-$K60)/$M60),0),IF(ISNUMBER(Data_2017!AT60),100*ABS($G60-(Data_2017!AT60-$K60)/$M60),0)))</f>
        <v>86.5947668113634</v>
      </c>
      <c r="BA60" s="100">
        <f>IF($H60=0,0,CHOOSE($H60,SUMPRODUCT($O61:$O$67*BA61:BA$67*($E61:$E$67=$D60)),IF(ISNUMBER(Data_2017!AU60),100*ABS($G60-(Data_2017!AU60-$K60)/$M60),0),IF(ISNUMBER(Data_2017!AU60),100*ABS($G60-(Data_2017!AU60-$K60)/$M60),0)))</f>
        <v>73.8831925613497</v>
      </c>
      <c r="BB60" s="100">
        <f>IF($H60=0,0,CHOOSE($H60,SUMPRODUCT($O61:$O$67*BB61:BB$67*($E61:$E$67=$D60)),IF(ISNUMBER(Data_2017!AV60),100*ABS($G60-(Data_2017!AV60-$K60)/$M60),0),IF(ISNUMBER(Data_2017!AV60),100*ABS($G60-(Data_2017!AV60-$K60)/$M60),0)))</f>
        <v>98.6963190184049</v>
      </c>
      <c r="BC60" s="100">
        <f>IF($H60=0,0,CHOOSE($H60,SUMPRODUCT($O61:$O$67*BC61:BC$67*($E61:$E$67=$D60)),IF(ISNUMBER(Data_2017!AW60),100*ABS($G60-(Data_2017!AW60-$K60)/$M60),0),IF(ISNUMBER(Data_2017!AW60),100*ABS($G60-(Data_2017!AW60-$K60)/$M60),0)))</f>
        <v>64.9028629856851</v>
      </c>
      <c r="BD60" s="100">
        <f>IF($H60=0,0,CHOOSE($H60,SUMPRODUCT($O61:$O$67*BD61:BD$67*($E61:$E$67=$D60)),IF(ISNUMBER(Data_2017!AX60),100*ABS($G60-(Data_2017!AX60-$K60)/$M60),0),IF(ISNUMBER(Data_2017!AX60),100*ABS($G60-(Data_2017!AX60-$K60)/$M60),0)))</f>
        <v>93.9161554192229</v>
      </c>
      <c r="BE60" s="100">
        <f>IF($H60=0,0,CHOOSE($H60,SUMPRODUCT($O61:$O$67*BE61:BE$67*($E61:$E$67=$D60)),IF(ISNUMBER(Data_2017!AY60),100*ABS($G60-(Data_2017!AY60-$K60)/$M60),0),IF(ISNUMBER(Data_2017!AY60),100*ABS($G60-(Data_2017!AY60-$K60)/$M60),0)))</f>
        <v>79.7987551433046</v>
      </c>
      <c r="BF60" s="100">
        <f>IF($H60=0,0,CHOOSE($H60,SUMPRODUCT($O61:$O$67*BF61:BF$67*($E61:$E$67=$D60)),IF(ISNUMBER(Data_2017!AZ60),100*ABS($G60-(Data_2017!AZ60-$K60)/$M60),0),IF(ISNUMBER(Data_2017!AZ60),100*ABS($G60-(Data_2017!AZ60-$K60)/$M60),0)))</f>
        <v>98.5429447852761</v>
      </c>
      <c r="BG60" s="100">
        <f>IF($H60=0,0,CHOOSE($H60,SUMPRODUCT($O61:$O$67*BG61:BG$67*($E61:$E$67=$D60)),IF(ISNUMBER(Data_2017!BA60),100*ABS($G60-(Data_2017!BA60-$K60)/$M60),0),IF(ISNUMBER(Data_2017!BA60),100*ABS($G60-(Data_2017!BA60-$K60)/$M60),0)))</f>
        <v>35.30163599182</v>
      </c>
      <c r="BH60" s="100">
        <f>IF($H60=0,0,CHOOSE($H60,SUMPRODUCT($O61:$O$67*BH61:BH$67*($E61:$E$67=$D60)),IF(ISNUMBER(Data_2017!BB60),100*ABS($G60-(Data_2017!BB60-$K60)/$M60),0),IF(ISNUMBER(Data_2017!BB60),100*ABS($G60-(Data_2017!BB60-$K60)/$M60),0)))</f>
        <v>50.729870194274</v>
      </c>
      <c r="BI60" s="100">
        <f>IF($H60=0,0,CHOOSE($H60,SUMPRODUCT($O61:$O$67*BI61:BI$67*($E61:$E$67=$D60)),IF(ISNUMBER(Data_2017!BC60),100*ABS($G60-(Data_2017!BC60-$K60)/$M60),0),IF(ISNUMBER(Data_2017!BC60),100*ABS($G60-(Data_2017!BC60-$K60)/$M60),0)))</f>
        <v>59.0746421267894</v>
      </c>
      <c r="BJ60" s="100">
        <f>IF($H60=0,0,CHOOSE($H60,SUMPRODUCT($O61:$O$67*BJ61:BJ$67*($E61:$E$67=$D60)),IF(ISNUMBER(Data_2017!BD60),100*ABS($G60-(Data_2017!BD60-$K60)/$M60),0),IF(ISNUMBER(Data_2017!BD60),100*ABS($G60-(Data_2017!BD60-$K60)/$M60),0)))</f>
        <v>79.7987551433046</v>
      </c>
      <c r="BK60" s="100">
        <f>IF($H60=0,0,CHOOSE($H60,SUMPRODUCT($O61:$O$67*BK61:BK$67*($E61:$E$67=$D60)),IF(ISNUMBER(Data_2017!BE60),100*ABS($G60-(Data_2017!BE60-$K60)/$M60),0),IF(ISNUMBER(Data_2017!BE60),100*ABS($G60-(Data_2017!BE60-$K60)/$M60),0)))</f>
        <v>98.9519427402863</v>
      </c>
      <c r="BL60" s="100">
        <f>IF($H60=0,0,CHOOSE($H60,SUMPRODUCT($O61:$O$67*BL61:BL$67*($E61:$E$67=$D60)),IF(ISNUMBER(Data_2017!BF60),100*ABS($G60-(Data_2017!BF60-$K60)/$M60),0),IF(ISNUMBER(Data_2017!BF60),100*ABS($G60-(Data_2017!BF60-$K60)/$M60),0)))</f>
        <v>100</v>
      </c>
      <c r="BM60" s="100">
        <f>IF($H60=0,0,CHOOSE($H60,SUMPRODUCT($O61:$O$67*BM61:BM$67*($E61:$E$67=$D60)),IF(ISNUMBER(Data_2017!BG60),100*ABS($G60-(Data_2017!BG60-$K60)/$M60),0),IF(ISNUMBER(Data_2017!BG60),100*ABS($G60-(Data_2017!BG60-$K60)/$M60),0)))</f>
        <v>98.8241308793456</v>
      </c>
      <c r="BN60" s="100">
        <f>IF($H60=0,0,CHOOSE($H60,SUMPRODUCT($O61:$O$67*BN61:BN$67*($E61:$E$67=$D60)),IF(ISNUMBER(Data_2017!BH60),100*ABS($G60-(Data_2017!BH60-$K60)/$M60),0),IF(ISNUMBER(Data_2017!BH60),100*ABS($G60-(Data_2017!BH60-$K60)/$M60),0)))</f>
        <v>81.5950920245399</v>
      </c>
      <c r="BO60" s="100">
        <f>IF($H60=0,0,CHOOSE($H60,SUMPRODUCT($O61:$O$67*BO61:BO$67*($E61:$E$67=$D60)),IF(ISNUMBER(Data_2017!BI60),100*ABS($G60-(Data_2017!BI60-$K60)/$M60),0),IF(ISNUMBER(Data_2017!BI60),100*ABS($G60-(Data_2017!BI60-$K60)/$M60),0)))</f>
        <v>0</v>
      </c>
      <c r="BP60" s="100">
        <f>IF($H60=0,0,CHOOSE($H60,SUMPRODUCT($O61:$O$67*BP61:BP$67*($E61:$E$67=$D60)),IF(ISNUMBER(Data_2017!BJ60),100*ABS($G60-(Data_2017!BJ60-$K60)/$M60),0),IF(ISNUMBER(Data_2017!BJ60),100*ABS($G60-(Data_2017!BJ60-$K60)/$M60),0)))</f>
        <v>96.0889570552147</v>
      </c>
      <c r="BQ60" s="100">
        <f>IF($H60=0,0,CHOOSE($H60,SUMPRODUCT($O61:$O$67*BQ61:BQ$67*($E61:$E$67=$D60)),IF(ISNUMBER(Data_2017!BK60),100*ABS($G60-(Data_2017!BK60-$K60)/$M60),0),IF(ISNUMBER(Data_2017!BK60),100*ABS($G60-(Data_2017!BK60-$K60)/$M60),0)))</f>
        <v>94.3251533742331</v>
      </c>
      <c r="BR60" s="100">
        <f>IF($H60=0,0,CHOOSE($H60,SUMPRODUCT($O61:$O$67*BR61:BR$67*($E61:$E$67=$D60)),IF(ISNUMBER(Data_2017!BL60),100*ABS($G60-(Data_2017!BL60-$K60)/$M60),0),IF(ISNUMBER(Data_2017!BL60),100*ABS($G60-(Data_2017!BL60-$K60)/$M60),0)))</f>
        <v>98.6963190184049</v>
      </c>
      <c r="BS60" s="100">
        <f>IF($H60=0,0,CHOOSE($H60,SUMPRODUCT($O61:$O$67*BS61:BS$67*($E61:$E$67=$D60)),IF(ISNUMBER(Data_2017!BM60),100*ABS($G60-(Data_2017!BM60-$K60)/$M60),0),IF(ISNUMBER(Data_2017!BM60),100*ABS($G60-(Data_2017!BM60-$K60)/$M60),0)))</f>
        <v>57.3875255623722</v>
      </c>
      <c r="BT60" s="100">
        <f>IF($H60=0,0,CHOOSE($H60,SUMPRODUCT($O61:$O$67*BT61:BT$67*($E61:$E$67=$D60)),IF(ISNUMBER(Data_2017!BN60),100*ABS($G60-(Data_2017!BN60-$K60)/$M60),0),IF(ISNUMBER(Data_2017!BN60),100*ABS($G60-(Data_2017!BN60-$K60)/$M60),0)))</f>
        <v>62.639115593047</v>
      </c>
      <c r="BU60" s="100">
        <f>IF($H60=0,0,CHOOSE($H60,SUMPRODUCT($O61:$O$67*BU61:BU$67*($E61:$E$67=$D60)),IF(ISNUMBER(Data_2017!BO60),100*ABS($G60-(Data_2017!BO60-$K60)/$M60),0),IF(ISNUMBER(Data_2017!BO60),100*ABS($G60-(Data_2017!BO60-$K60)/$M60),0)))</f>
        <v>52.1728016359918</v>
      </c>
      <c r="BV60" s="100">
        <f>IF($H60=0,0,CHOOSE($H60,SUMPRODUCT($O61:$O$67*BV61:BV$67*($E61:$E$67=$D60)),IF(ISNUMBER(Data_2017!BP60),100*ABS($G60-(Data_2017!BP60-$K60)/$M60),0),IF(ISNUMBER(Data_2017!BP60),100*ABS($G60-(Data_2017!BP60-$K60)/$M60),0)))</f>
        <v>95.1431492842536</v>
      </c>
      <c r="BW60" s="100">
        <f>IF($H60=0,0,CHOOSE($H60,SUMPRODUCT($O61:$O$67*BW61:BW$67*($E61:$E$67=$D60)),IF(ISNUMBER(Data_2017!BQ60),100*ABS($G60-(Data_2017!BQ60-$K60)/$M60),0),IF(ISNUMBER(Data_2017!BQ60),100*ABS($G60-(Data_2017!BQ60-$K60)/$M60),0)))</f>
        <v>80.5725971370143</v>
      </c>
      <c r="BX60" s="100">
        <f>IF($H60=0,0,CHOOSE($H60,SUMPRODUCT($O61:$O$67*BX61:BX$67*($E61:$E$67=$D60)),IF(ISNUMBER(Data_2017!BR60),100*ABS($G60-(Data_2017!BR60-$K60)/$M60),0),IF(ISNUMBER(Data_2017!BR60),100*ABS($G60-(Data_2017!BR60-$K60)/$M60),0)))</f>
        <v>98.6963190184049</v>
      </c>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row>
    <row r="61" s="69" customFormat="1" ht="24.95" customHeight="1" spans="1:130">
      <c r="A61" s="92"/>
      <c r="B61" s="92">
        <f>tblIndicators!A57</f>
        <v>56</v>
      </c>
      <c r="C61" s="92">
        <f>tblIndicators!B57</f>
        <v>0</v>
      </c>
      <c r="D61" s="92" t="str">
        <f>tblIndicators!D57</f>
        <v>PESE4.2.6</v>
      </c>
      <c r="E61" s="92" t="str">
        <f>tblIndicators!E57</f>
        <v>PESE4.2</v>
      </c>
      <c r="F61" s="92">
        <f>tblIndicators!F57</f>
        <v>3</v>
      </c>
      <c r="G61" s="92">
        <f>tblIndicators!Y57</f>
        <v>1</v>
      </c>
      <c r="H61" s="92">
        <f>tblIndicators!Z57</f>
        <v>2</v>
      </c>
      <c r="I61" s="104">
        <f>tblIndicators!AA57</f>
        <v>0</v>
      </c>
      <c r="J61" s="92">
        <f>tblIndicators!AB57</f>
        <v>0</v>
      </c>
      <c r="K61" s="89">
        <f>IF(uxb_works!$B$66=1,CHOOSE(H61,"-",MIN(Data_2017!J61:BR61),I61),CHOOSE(H61,"-",MIN(Data_2017!J61:BQ61),I61))</f>
        <v>0</v>
      </c>
      <c r="L61" s="97">
        <f>IF(uxb_works!$B$66=1,CHOOSE(H61,"-",MAX(Data_2017!J61:BR61),J61),CHOOSE(H61,"-",MAX(Data_2017!J61:BQ61),J61))</f>
        <v>140.1</v>
      </c>
      <c r="M61" s="92">
        <f t="shared" si="1"/>
        <v>140.1</v>
      </c>
      <c r="N61" s="105" t="str">
        <f>REPT(" ",F61)&amp;tblIndicators!AE57</f>
        <v>   4.2.6) Frequency of terrorist attacks </v>
      </c>
      <c r="O61" s="106">
        <f>tblIndicators!AD57</f>
        <v>0.0833333333333333</v>
      </c>
      <c r="P61" s="100">
        <f>IF($H61=0,0,CHOOSE($H61,SUMPRODUCT($O62:$O$67*P62:P$67*($E62:$E$67=$D61)),IF(ISNUMBER(Data_2017!J61),100*ABS($G61-(Data_2017!J61-$K61)/$M61),0),IF(ISNUMBER(Data_2017!J61),100*ABS($G61-(Data_2017!J61-$K61)/$M61),0)))</f>
        <v>99.8572448251249</v>
      </c>
      <c r="Q61" s="100">
        <f>IF($H61=0,0,CHOOSE($H61,SUMPRODUCT($O62:$O$67*Q62:Q$67*($E62:$E$67=$D61)),IF(ISNUMBER(Data_2017!K61),100*ABS($G61-(Data_2017!K61-$K61)/$M61),0),IF(ISNUMBER(Data_2017!K61),100*ABS($G61-(Data_2017!K61-$K61)/$M61),0)))</f>
        <v>99.9286224125624</v>
      </c>
      <c r="R61" s="100">
        <f>IF($H61=0,0,CHOOSE($H61,SUMPRODUCT($O62:$O$67*R62:R$67*($E62:$E$67=$D61)),IF(ISNUMBER(Data_2017!L61),100*ABS($G61-(Data_2017!L61-$K61)/$M61),0),IF(ISNUMBER(Data_2017!L61),100*ABS($G61-(Data_2017!L61-$K61)/$M61),0)))</f>
        <v>79.6573875802998</v>
      </c>
      <c r="S61" s="100">
        <f>IF($H61=0,0,CHOOSE($H61,SUMPRODUCT($O62:$O$67*S62:S$67*($E62:$E$67=$D61)),IF(ISNUMBER(Data_2017!M61),100*ABS($G61-(Data_2017!M61-$K61)/$M61),0),IF(ISNUMBER(Data_2017!M61),100*ABS($G61-(Data_2017!M61-$K61)/$M61),0)))</f>
        <v>89.5074946466809</v>
      </c>
      <c r="T61" s="100">
        <f>IF($H61=0,0,CHOOSE($H61,SUMPRODUCT($O62:$O$67*T62:T$67*($E62:$E$67=$D61)),IF(ISNUMBER(Data_2017!N61),100*ABS($G61-(Data_2017!N61-$K61)/$M61),0),IF(ISNUMBER(Data_2017!N61),100*ABS($G61-(Data_2017!N61-$K61)/$M61),0)))</f>
        <v>100</v>
      </c>
      <c r="U61" s="100">
        <f>IF($H61=0,0,CHOOSE($H61,SUMPRODUCT($O62:$O$67*U62:U$67*($E62:$E$67=$D61)),IF(ISNUMBER(Data_2017!O61),100*ABS($G61-(Data_2017!O61-$K61)/$M61),0),IF(ISNUMBER(Data_2017!O61),100*ABS($G61-(Data_2017!O61-$K61)/$M61),0)))</f>
        <v>99.7858672376874</v>
      </c>
      <c r="V61" s="100">
        <f>IF($H61=0,0,CHOOSE($H61,SUMPRODUCT($O62:$O$67*V62:V$67*($E62:$E$67=$D61)),IF(ISNUMBER(Data_2017!P61),100*ABS($G61-(Data_2017!P61-$K61)/$M61),0),IF(ISNUMBER(Data_2017!P61),100*ABS($G61-(Data_2017!P61-$K61)/$M61),0)))</f>
        <v>95.4318344039971</v>
      </c>
      <c r="W61" s="100">
        <f>IF($H61=0,0,CHOOSE($H61,SUMPRODUCT($O62:$O$67*W62:W$67*($E62:$E$67=$D61)),IF(ISNUMBER(Data_2017!Q61),100*ABS($G61-(Data_2017!Q61-$K61)/$M61),0),IF(ISNUMBER(Data_2017!Q61),100*ABS($G61-(Data_2017!Q61-$K61)/$M61),0)))</f>
        <v>99.4289793004996</v>
      </c>
      <c r="X61" s="100">
        <f>IF($H61=0,0,CHOOSE($H61,SUMPRODUCT($O62:$O$67*X62:X$67*($E62:$E$67=$D61)),IF(ISNUMBER(Data_2017!R61),100*ABS($G61-(Data_2017!R61-$K61)/$M61),0),IF(ISNUMBER(Data_2017!R61),100*ABS($G61-(Data_2017!R61-$K61)/$M61),0)))</f>
        <v>99.4289793004996</v>
      </c>
      <c r="Y61" s="100">
        <f>IF($H61=0,0,CHOOSE($H61,SUMPRODUCT($O62:$O$67*Y62:Y$67*($E62:$E$67=$D61)),IF(ISNUMBER(Data_2017!S61),100*ABS($G61-(Data_2017!S61-$K61)/$M61),0),IF(ISNUMBER(Data_2017!S61),100*ABS($G61-(Data_2017!S61-$K61)/$M61),0)))</f>
        <v>91.1491791577445</v>
      </c>
      <c r="Z61" s="100">
        <f>IF($H61=0,0,CHOOSE($H61,SUMPRODUCT($O62:$O$67*Z62:Z$67*($E62:$E$67=$D61)),IF(ISNUMBER(Data_2017!T61),100*ABS($G61-(Data_2017!T61-$K61)/$M61),0),IF(ISNUMBER(Data_2017!T61),100*ABS($G61-(Data_2017!T61-$K61)/$M61),0)))</f>
        <v>99.3576017130621</v>
      </c>
      <c r="AA61" s="100">
        <f>IF($H61=0,0,CHOOSE($H61,SUMPRODUCT($O62:$O$67*AA62:AA$67*($E62:$E$67=$D61)),IF(ISNUMBER(Data_2017!U61),100*ABS($G61-(Data_2017!U61-$K61)/$M61),0),IF(ISNUMBER(Data_2017!U61),100*ABS($G61-(Data_2017!U61-$K61)/$M61),0)))</f>
        <v>99.5717344753747</v>
      </c>
      <c r="AB61" s="100">
        <f>IF($H61=0,0,CHOOSE($H61,SUMPRODUCT($O62:$O$67*AB62:AB$67*($E62:$E$67=$D61)),IF(ISNUMBER(Data_2017!V61),100*ABS($G61-(Data_2017!V61-$K61)/$M61),0),IF(ISNUMBER(Data_2017!V61),100*ABS($G61-(Data_2017!V61-$K61)/$M61),0)))</f>
        <v>100</v>
      </c>
      <c r="AC61" s="100">
        <f>IF($H61=0,0,CHOOSE($H61,SUMPRODUCT($O62:$O$67*AC62:AC$67*($E62:$E$67=$D61)),IF(ISNUMBER(Data_2017!W61),100*ABS($G61-(Data_2017!W61-$K61)/$M61),0),IF(ISNUMBER(Data_2017!W61),100*ABS($G61-(Data_2017!W61-$K61)/$M61),0)))</f>
        <v>99.8572448251249</v>
      </c>
      <c r="AD61" s="100">
        <f>IF($H61=0,0,CHOOSE($H61,SUMPRODUCT($O62:$O$67*AD62:AD$67*($E62:$E$67=$D61)),IF(ISNUMBER(Data_2017!X61),100*ABS($G61-(Data_2017!X61-$K61)/$M61),0),IF(ISNUMBER(Data_2017!X61),100*ABS($G61-(Data_2017!X61-$K61)/$M61),0)))</f>
        <v>98.3583154889365</v>
      </c>
      <c r="AE61" s="100">
        <f>IF($H61=0,0,CHOOSE($H61,SUMPRODUCT($O62:$O$67*AE62:AE$67*($E62:$E$67=$D61)),IF(ISNUMBER(Data_2017!Y61),100*ABS($G61-(Data_2017!Y61-$K61)/$M61),0),IF(ISNUMBER(Data_2017!Y61),100*ABS($G61-(Data_2017!Y61-$K61)/$M61),0)))</f>
        <v>76.017130620985</v>
      </c>
      <c r="AF61" s="100">
        <f>IF($H61=0,0,CHOOSE($H61,SUMPRODUCT($O62:$O$67*AF62:AF$67*($E62:$E$67=$D61)),IF(ISNUMBER(Data_2017!Z61),100*ABS($G61-(Data_2017!Z61-$K61)/$M61),0),IF(ISNUMBER(Data_2017!Z61),100*ABS($G61-(Data_2017!Z61-$K61)/$M61),0)))</f>
        <v>99.9286224125624</v>
      </c>
      <c r="AG61" s="100">
        <f>IF($H61=0,0,CHOOSE($H61,SUMPRODUCT($O62:$O$67*AG62:AG$67*($E62:$E$67=$D61)),IF(ISNUMBER(Data_2017!AA61),100*ABS($G61-(Data_2017!AA61-$K61)/$M61),0),IF(ISNUMBER(Data_2017!AA61),100*ABS($G61-(Data_2017!AA61-$K61)/$M61),0)))</f>
        <v>99.8572448251249</v>
      </c>
      <c r="AH61" s="100">
        <f>IF($H61=0,0,CHOOSE($H61,SUMPRODUCT($O62:$O$67*AH62:AH$67*($E62:$E$67=$D61)),IF(ISNUMBER(Data_2017!AB61),100*ABS($G61-(Data_2017!AB61-$K61)/$M61),0),IF(ISNUMBER(Data_2017!AB61),100*ABS($G61-(Data_2017!AB61-$K61)/$M61),0)))</f>
        <v>100</v>
      </c>
      <c r="AI61" s="100">
        <f>IF($H61=0,0,CHOOSE($H61,SUMPRODUCT($O62:$O$67*AI62:AI$67*($E62:$E$67=$D61)),IF(ISNUMBER(Data_2017!AC61),100*ABS($G61-(Data_2017!AC61-$K61)/$M61),0),IF(ISNUMBER(Data_2017!AC61),100*ABS($G61-(Data_2017!AC61-$K61)/$M61),0)))</f>
        <v>99.7144896502498</v>
      </c>
      <c r="AJ61" s="100">
        <f>IF($H61=0,0,CHOOSE($H61,SUMPRODUCT($O62:$O$67*AJ62:AJ$67*($E62:$E$67=$D61)),IF(ISNUMBER(Data_2017!AD61),100*ABS($G61-(Data_2017!AD61-$K61)/$M61),0),IF(ISNUMBER(Data_2017!AD61),100*ABS($G61-(Data_2017!AD61-$K61)/$M61),0)))</f>
        <v>91.2919343326196</v>
      </c>
      <c r="AK61" s="100">
        <f>IF($H61=0,0,CHOOSE($H61,SUMPRODUCT($O62:$O$67*AK62:AK$67*($E62:$E$67=$D61)),IF(ISNUMBER(Data_2017!AE61),100*ABS($G61-(Data_2017!AE61-$K61)/$M61),0),IF(ISNUMBER(Data_2017!AE61),100*ABS($G61-(Data_2017!AE61-$K61)/$M61),0)))</f>
        <v>98.5724482512491</v>
      </c>
      <c r="AL61" s="100">
        <f>IF($H61=0,0,CHOOSE($H61,SUMPRODUCT($O62:$O$67*AL62:AL$67*($E62:$E$67=$D61)),IF(ISNUMBER(Data_2017!AF61),100*ABS($G61-(Data_2017!AF61-$K61)/$M61),0),IF(ISNUMBER(Data_2017!AF61),100*ABS($G61-(Data_2017!AF61-$K61)/$M61),0)))</f>
        <v>99.6431120628123</v>
      </c>
      <c r="AM61" s="100">
        <f>IF($H61=0,0,CHOOSE($H61,SUMPRODUCT($O62:$O$67*AM62:AM$67*($E62:$E$67=$D61)),IF(ISNUMBER(Data_2017!AG61),100*ABS($G61-(Data_2017!AG61-$K61)/$M61),0),IF(ISNUMBER(Data_2017!AG61),100*ABS($G61-(Data_2017!AG61-$K61)/$M61),0)))</f>
        <v>99.7858672376874</v>
      </c>
      <c r="AN61" s="100">
        <f>IF($H61=0,0,CHOOSE($H61,SUMPRODUCT($O62:$O$67*AN62:AN$67*($E62:$E$67=$D61)),IF(ISNUMBER(Data_2017!AH61),100*ABS($G61-(Data_2017!AH61-$K61)/$M61),0),IF(ISNUMBER(Data_2017!AH61),100*ABS($G61-(Data_2017!AH61-$K61)/$M61),0)))</f>
        <v>0</v>
      </c>
      <c r="AO61" s="100">
        <f>IF($H61=0,0,CHOOSE($H61,SUMPRODUCT($O62:$O$67*AO62:AO$67*($E62:$E$67=$D61)),IF(ISNUMBER(Data_2017!AI61),100*ABS($G61-(Data_2017!AI61-$K61)/$M61),0),IF(ISNUMBER(Data_2017!AI61),100*ABS($G61-(Data_2017!AI61-$K61)/$M61),0)))</f>
        <v>99.7144896502498</v>
      </c>
      <c r="AP61" s="100">
        <f>IF($H61=0,0,CHOOSE($H61,SUMPRODUCT($O62:$O$67*AP62:AP$67*($E62:$E$67=$D61)),IF(ISNUMBER(Data_2017!AJ61),100*ABS($G61-(Data_2017!AJ61-$K61)/$M61),0),IF(ISNUMBER(Data_2017!AJ61),100*ABS($G61-(Data_2017!AJ61-$K61)/$M61),0)))</f>
        <v>99.9286224125624</v>
      </c>
      <c r="AQ61" s="100">
        <f>IF($H61=0,0,CHOOSE($H61,SUMPRODUCT($O62:$O$67*AQ62:AQ$67*($E62:$E$67=$D61)),IF(ISNUMBER(Data_2017!AK61),100*ABS($G61-(Data_2017!AK61-$K61)/$M61),0),IF(ISNUMBER(Data_2017!AK61),100*ABS($G61-(Data_2017!AK61-$K61)/$M61),0)))</f>
        <v>99.7858672376874</v>
      </c>
      <c r="AR61" s="100">
        <f>IF($H61=0,0,CHOOSE($H61,SUMPRODUCT($O62:$O$67*AR62:AR$67*($E62:$E$67=$D61)),IF(ISNUMBER(Data_2017!AL61),100*ABS($G61-(Data_2017!AL61-$K61)/$M61),0),IF(ISNUMBER(Data_2017!AL61),100*ABS($G61-(Data_2017!AL61-$K61)/$M61),0)))</f>
        <v>98.6438258386867</v>
      </c>
      <c r="AS61" s="100">
        <f>IF($H61=0,0,CHOOSE($H61,SUMPRODUCT($O62:$O$67*AS62:AS$67*($E62:$E$67=$D61)),IF(ISNUMBER(Data_2017!AM61),100*ABS($G61-(Data_2017!AM61-$K61)/$M61),0),IF(ISNUMBER(Data_2017!AM61),100*ABS($G61-(Data_2017!AM61-$K61)/$M61),0)))</f>
        <v>99.5717344753747</v>
      </c>
      <c r="AT61" s="100">
        <f>IF($H61=0,0,CHOOSE($H61,SUMPRODUCT($O62:$O$67*AT62:AT$67*($E62:$E$67=$D61)),IF(ISNUMBER(Data_2017!AN61),100*ABS($G61-(Data_2017!AN61-$K61)/$M61),0),IF(ISNUMBER(Data_2017!AN61),100*ABS($G61-(Data_2017!AN61-$K61)/$M61),0)))</f>
        <v>99.6431120628123</v>
      </c>
      <c r="AU61" s="100">
        <f>IF($H61=0,0,CHOOSE($H61,SUMPRODUCT($O62:$O$67*AU62:AU$67*($E62:$E$67=$D61)),IF(ISNUMBER(Data_2017!AO61),100*ABS($G61-(Data_2017!AO61-$K61)/$M61),0),IF(ISNUMBER(Data_2017!AO61),100*ABS($G61-(Data_2017!AO61-$K61)/$M61),0)))</f>
        <v>97.7872947894361</v>
      </c>
      <c r="AV61" s="100">
        <f>IF($H61=0,0,CHOOSE($H61,SUMPRODUCT($O62:$O$67*AV62:AV$67*($E62:$E$67=$D61)),IF(ISNUMBER(Data_2017!AP61),100*ABS($G61-(Data_2017!AP61-$K61)/$M61),0),IF(ISNUMBER(Data_2017!AP61),100*ABS($G61-(Data_2017!AP61-$K61)/$M61),0)))</f>
        <v>99.8572448251249</v>
      </c>
      <c r="AW61" s="100">
        <f>IF($H61=0,0,CHOOSE($H61,SUMPRODUCT($O62:$O$67*AW62:AW$67*($E62:$E$67=$D61)),IF(ISNUMBER(Data_2017!AQ61),100*ABS($G61-(Data_2017!AQ61-$K61)/$M61),0),IF(ISNUMBER(Data_2017!AQ61),100*ABS($G61-(Data_2017!AQ61-$K61)/$M61),0)))</f>
        <v>98.9293361884368</v>
      </c>
      <c r="AX61" s="100">
        <f>IF($H61=0,0,CHOOSE($H61,SUMPRODUCT($O62:$O$67*AX62:AX$67*($E62:$E$67=$D61)),IF(ISNUMBER(Data_2017!AR61),100*ABS($G61-(Data_2017!AR61-$K61)/$M61),0),IF(ISNUMBER(Data_2017!AR61),100*ABS($G61-(Data_2017!AR61-$K61)/$M61),0)))</f>
        <v>99.4289793004996</v>
      </c>
      <c r="AY61" s="100">
        <f>IF($H61=0,0,CHOOSE($H61,SUMPRODUCT($O62:$O$67*AY62:AY$67*($E62:$E$67=$D61)),IF(ISNUMBER(Data_2017!AS61),100*ABS($G61-(Data_2017!AS61-$K61)/$M61),0),IF(ISNUMBER(Data_2017!AS61),100*ABS($G61-(Data_2017!AS61-$K61)/$M61),0)))</f>
        <v>97.8586723768737</v>
      </c>
      <c r="AZ61" s="100">
        <f>IF($H61=0,0,CHOOSE($H61,SUMPRODUCT($O62:$O$67*AZ62:AZ$67*($E62:$E$67=$D61)),IF(ISNUMBER(Data_2017!AT61),100*ABS($G61-(Data_2017!AT61-$K61)/$M61),0),IF(ISNUMBER(Data_2017!AT61),100*ABS($G61-(Data_2017!AT61-$K61)/$M61),0)))</f>
        <v>99.214846538187</v>
      </c>
      <c r="BA61" s="100">
        <f>IF($H61=0,0,CHOOSE($H61,SUMPRODUCT($O62:$O$67*BA62:BA$67*($E62:$E$67=$D61)),IF(ISNUMBER(Data_2017!AU61),100*ABS($G61-(Data_2017!AU61-$K61)/$M61),0),IF(ISNUMBER(Data_2017!AU61),100*ABS($G61-(Data_2017!AU61-$K61)/$M61),0)))</f>
        <v>98.5724482512491</v>
      </c>
      <c r="BB61" s="100">
        <f>IF($H61=0,0,CHOOSE($H61,SUMPRODUCT($O62:$O$67*BB62:BB$67*($E62:$E$67=$D61)),IF(ISNUMBER(Data_2017!AV61),100*ABS($G61-(Data_2017!AV61-$K61)/$M61),0),IF(ISNUMBER(Data_2017!AV61),100*ABS($G61-(Data_2017!AV61-$K61)/$M61),0)))</f>
        <v>100</v>
      </c>
      <c r="BC61" s="100">
        <f>IF($H61=0,0,CHOOSE($H61,SUMPRODUCT($O62:$O$67*BC62:BC$67*($E62:$E$67=$D61)),IF(ISNUMBER(Data_2017!AW61),100*ABS($G61-(Data_2017!AW61-$K61)/$M61),0),IF(ISNUMBER(Data_2017!AW61),100*ABS($G61-(Data_2017!AW61-$K61)/$M61),0)))</f>
        <v>98.3583154889365</v>
      </c>
      <c r="BD61" s="100">
        <f>IF($H61=0,0,CHOOSE($H61,SUMPRODUCT($O62:$O$67*BD62:BD$67*($E62:$E$67=$D61)),IF(ISNUMBER(Data_2017!AX61),100*ABS($G61-(Data_2017!AX61-$K61)/$M61),0),IF(ISNUMBER(Data_2017!AX61),100*ABS($G61-(Data_2017!AX61-$K61)/$M61),0)))</f>
        <v>99.9286224125624</v>
      </c>
      <c r="BE61" s="100">
        <f>IF($H61=0,0,CHOOSE($H61,SUMPRODUCT($O62:$O$67*BE62:BE$67*($E62:$E$67=$D61)),IF(ISNUMBER(Data_2017!AY61),100*ABS($G61-(Data_2017!AY61-$K61)/$M61),0),IF(ISNUMBER(Data_2017!AY61),100*ABS($G61-(Data_2017!AY61-$K61)/$M61),0)))</f>
        <v>100</v>
      </c>
      <c r="BF61" s="100">
        <f>IF($H61=0,0,CHOOSE($H61,SUMPRODUCT($O62:$O$67*BF62:BF$67*($E62:$E$67=$D61)),IF(ISNUMBER(Data_2017!AZ61),100*ABS($G61-(Data_2017!AZ61-$K61)/$M61),0),IF(ISNUMBER(Data_2017!AZ61),100*ABS($G61-(Data_2017!AZ61-$K61)/$M61),0)))</f>
        <v>98.7152034261242</v>
      </c>
      <c r="BG61" s="100">
        <f>IF($H61=0,0,CHOOSE($H61,SUMPRODUCT($O62:$O$67*BG62:BG$67*($E62:$E$67=$D61)),IF(ISNUMBER(Data_2017!BA61),100*ABS($G61-(Data_2017!BA61-$K61)/$M61),0),IF(ISNUMBER(Data_2017!BA61),100*ABS($G61-(Data_2017!BA61-$K61)/$M61),0)))</f>
        <v>99.1434689507495</v>
      </c>
      <c r="BH61" s="100">
        <f>IF($H61=0,0,CHOOSE($H61,SUMPRODUCT($O62:$O$67*BH62:BH$67*($E62:$E$67=$D61)),IF(ISNUMBER(Data_2017!BB61),100*ABS($G61-(Data_2017!BB61-$K61)/$M61),0),IF(ISNUMBER(Data_2017!BB61),100*ABS($G61-(Data_2017!BB61-$K61)/$M61),0)))</f>
        <v>99.9286224125624</v>
      </c>
      <c r="BI61" s="100">
        <f>IF($H61=0,0,CHOOSE($H61,SUMPRODUCT($O62:$O$67*BI62:BI$67*($E62:$E$67=$D61)),IF(ISNUMBER(Data_2017!BC61),100*ABS($G61-(Data_2017!BC61-$K61)/$M61),0),IF(ISNUMBER(Data_2017!BC61),100*ABS($G61-(Data_2017!BC61-$K61)/$M61),0)))</f>
        <v>97.0021413276231</v>
      </c>
      <c r="BJ61" s="100">
        <f>IF($H61=0,0,CHOOSE($H61,SUMPRODUCT($O62:$O$67*BJ62:BJ$67*($E62:$E$67=$D61)),IF(ISNUMBER(Data_2017!BD61),100*ABS($G61-(Data_2017!BD61-$K61)/$M61),0),IF(ISNUMBER(Data_2017!BD61),100*ABS($G61-(Data_2017!BD61-$K61)/$M61),0)))</f>
        <v>99.8572448251249</v>
      </c>
      <c r="BK61" s="100">
        <f>IF($H61=0,0,CHOOSE($H61,SUMPRODUCT($O62:$O$67*BK62:BK$67*($E62:$E$67=$D61)),IF(ISNUMBER(Data_2017!BE61),100*ABS($G61-(Data_2017!BE61-$K61)/$M61),0),IF(ISNUMBER(Data_2017!BE61),100*ABS($G61-(Data_2017!BE61-$K61)/$M61),0)))</f>
        <v>99.9286224125624</v>
      </c>
      <c r="BL61" s="100">
        <f>IF($H61=0,0,CHOOSE($H61,SUMPRODUCT($O62:$O$67*BL62:BL$67*($E62:$E$67=$D61)),IF(ISNUMBER(Data_2017!BF61),100*ABS($G61-(Data_2017!BF61-$K61)/$M61),0),IF(ISNUMBER(Data_2017!BF61),100*ABS($G61-(Data_2017!BF61-$K61)/$M61),0)))</f>
        <v>99.9286224125624</v>
      </c>
      <c r="BM61" s="100">
        <f>IF($H61=0,0,CHOOSE($H61,SUMPRODUCT($O62:$O$67*BM62:BM$67*($E62:$E$67=$D61)),IF(ISNUMBER(Data_2017!BG61),100*ABS($G61-(Data_2017!BG61-$K61)/$M61),0),IF(ISNUMBER(Data_2017!BG61),100*ABS($G61-(Data_2017!BG61-$K61)/$M61),0)))</f>
        <v>100</v>
      </c>
      <c r="BN61" s="100">
        <f>IF($H61=0,0,CHOOSE($H61,SUMPRODUCT($O62:$O$67*BN62:BN$67*($E62:$E$67=$D61)),IF(ISNUMBER(Data_2017!BH61),100*ABS($G61-(Data_2017!BH61-$K61)/$M61),0),IF(ISNUMBER(Data_2017!BH61),100*ABS($G61-(Data_2017!BH61-$K61)/$M61),0)))</f>
        <v>99.6431120628123</v>
      </c>
      <c r="BO61" s="100">
        <f>IF($H61=0,0,CHOOSE($H61,SUMPRODUCT($O62:$O$67*BO62:BO$67*($E62:$E$67=$D61)),IF(ISNUMBER(Data_2017!BI61),100*ABS($G61-(Data_2017!BI61-$K61)/$M61),0),IF(ISNUMBER(Data_2017!BI61),100*ABS($G61-(Data_2017!BI61-$K61)/$M61),0)))</f>
        <v>99.7144896502498</v>
      </c>
      <c r="BP61" s="100">
        <f>IF($H61=0,0,CHOOSE($H61,SUMPRODUCT($O62:$O$67*BP62:BP$67*($E62:$E$67=$D61)),IF(ISNUMBER(Data_2017!BJ61),100*ABS($G61-(Data_2017!BJ61-$K61)/$M61),0),IF(ISNUMBER(Data_2017!BJ61),100*ABS($G61-(Data_2017!BJ61-$K61)/$M61),0)))</f>
        <v>99.8572448251249</v>
      </c>
      <c r="BQ61" s="100">
        <f>IF($H61=0,0,CHOOSE($H61,SUMPRODUCT($O62:$O$67*BQ62:BQ$67*($E62:$E$67=$D61)),IF(ISNUMBER(Data_2017!BK61),100*ABS($G61-(Data_2017!BK61-$K61)/$M61),0),IF(ISNUMBER(Data_2017!BK61),100*ABS($G61-(Data_2017!BK61-$K61)/$M61),0)))</f>
        <v>99.2862241256246</v>
      </c>
      <c r="BR61" s="100">
        <f>IF($H61=0,0,CHOOSE($H61,SUMPRODUCT($O62:$O$67*BR62:BR$67*($E62:$E$67=$D61)),IF(ISNUMBER(Data_2017!BL61),100*ABS($G61-(Data_2017!BL61-$K61)/$M61),0),IF(ISNUMBER(Data_2017!BL61),100*ABS($G61-(Data_2017!BL61-$K61)/$M61),0)))</f>
        <v>99.5003568879372</v>
      </c>
      <c r="BS61" s="100">
        <f>IF($H61=0,0,CHOOSE($H61,SUMPRODUCT($O62:$O$67*BS62:BS$67*($E62:$E$67=$D61)),IF(ISNUMBER(Data_2017!BM61),100*ABS($G61-(Data_2017!BM61-$K61)/$M61),0),IF(ISNUMBER(Data_2017!BM61),100*ABS($G61-(Data_2017!BM61-$K61)/$M61),0)))</f>
        <v>99.8572448251249</v>
      </c>
      <c r="BT61" s="100">
        <f>IF($H61=0,0,CHOOSE($H61,SUMPRODUCT($O62:$O$67*BT62:BT$67*($E62:$E$67=$D61)),IF(ISNUMBER(Data_2017!BN61),100*ABS($G61-(Data_2017!BN61-$K61)/$M61),0),IF(ISNUMBER(Data_2017!BN61),100*ABS($G61-(Data_2017!BN61-$K61)/$M61),0)))</f>
        <v>99.5717344753747</v>
      </c>
      <c r="BU61" s="100">
        <f>IF($H61=0,0,CHOOSE($H61,SUMPRODUCT($O62:$O$67*BU62:BU$67*($E62:$E$67=$D61)),IF(ISNUMBER(Data_2017!BO61),100*ABS($G61-(Data_2017!BO61-$K61)/$M61),0),IF(ISNUMBER(Data_2017!BO61),100*ABS($G61-(Data_2017!BO61-$K61)/$M61),0)))</f>
        <v>99.6431120628123</v>
      </c>
      <c r="BV61" s="100">
        <f>IF($H61=0,0,CHOOSE($H61,SUMPRODUCT($O62:$O$67*BV62:BV$67*($E62:$E$67=$D61)),IF(ISNUMBER(Data_2017!BP61),100*ABS($G61-(Data_2017!BP61-$K61)/$M61),0),IF(ISNUMBER(Data_2017!BP61),100*ABS($G61-(Data_2017!BP61-$K61)/$M61),0)))</f>
        <v>98.5010706638116</v>
      </c>
      <c r="BW61" s="100">
        <f>IF($H61=0,0,CHOOSE($H61,SUMPRODUCT($O62:$O$67*BW62:BW$67*($E62:$E$67=$D61)),IF(ISNUMBER(Data_2017!BQ61),100*ABS($G61-(Data_2017!BQ61-$K61)/$M61),0),IF(ISNUMBER(Data_2017!BQ61),100*ABS($G61-(Data_2017!BQ61-$K61)/$M61),0)))</f>
        <v>99.8572448251249</v>
      </c>
      <c r="BX61" s="100">
        <f>IF($H61=0,0,CHOOSE($H61,SUMPRODUCT($O62:$O$67*BX62:BX$67*($E62:$E$67=$D61)),IF(ISNUMBER(Data_2017!BR61),100*ABS($G61-(Data_2017!BR61-$K61)/$M61),0),IF(ISNUMBER(Data_2017!BR61),100*ABS($G61-(Data_2017!BR61-$K61)/$M61),0)))</f>
        <v>100</v>
      </c>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row>
    <row r="62" s="69" customFormat="1" ht="24.95" customHeight="1" spans="1:130">
      <c r="A62" s="92"/>
      <c r="B62" s="92">
        <f>tblIndicators!A58</f>
        <v>57</v>
      </c>
      <c r="C62" s="92">
        <f>tblIndicators!B58</f>
        <v>0</v>
      </c>
      <c r="D62" s="92" t="str">
        <f>tblIndicators!D58</f>
        <v>PESE4.2.7</v>
      </c>
      <c r="E62" s="92" t="str">
        <f>tblIndicators!E58</f>
        <v>PESE4.2</v>
      </c>
      <c r="F62" s="92">
        <f>tblIndicators!F58</f>
        <v>3</v>
      </c>
      <c r="G62" s="92">
        <f>tblIndicators!Y58</f>
        <v>1</v>
      </c>
      <c r="H62" s="92">
        <f>tblIndicators!Z58</f>
        <v>2</v>
      </c>
      <c r="I62" s="104">
        <f>tblIndicators!AA58</f>
        <v>0</v>
      </c>
      <c r="J62" s="92">
        <f>tblIndicators!AB58</f>
        <v>0</v>
      </c>
      <c r="K62" s="89">
        <f>IF(uxb_works!$B$66=1,CHOOSE(H62,"-",MIN(Data_2017!J62:BR62),I62),CHOOSE(H62,"-",MIN(Data_2017!J62:BQ62),I62))</f>
        <v>0</v>
      </c>
      <c r="L62" s="97">
        <f>IF(uxb_works!$B$66=1,CHOOSE(H62,"-",MAX(Data_2017!J62:BR62),J62),CHOOSE(H62,"-",MAX(Data_2017!J62:BQ62),J62))</f>
        <v>503.4</v>
      </c>
      <c r="M62" s="92">
        <f t="shared" si="1"/>
        <v>503.4</v>
      </c>
      <c r="N62" s="105" t="str">
        <f>REPT(" ",F62)&amp;tblIndicators!AE58</f>
        <v>   4.2.7) Severity of terrorist attacks</v>
      </c>
      <c r="O62" s="106">
        <f>tblIndicators!AD58</f>
        <v>0.0833333333333333</v>
      </c>
      <c r="P62" s="100">
        <f>IF($H62=0,0,CHOOSE($H62,SUMPRODUCT($O63:$O$67*P63:P$67*($E63:$E$67=$D62)),IF(ISNUMBER(Data_2017!J62),100*ABS($G62-(Data_2017!J62-$K62)/$M62),0),IF(ISNUMBER(Data_2017!J62),100*ABS($G62-(Data_2017!J62-$K62)/$M62),0)))</f>
        <v>99.9801350814462</v>
      </c>
      <c r="Q62" s="100">
        <f>IF($H62=0,0,CHOOSE($H62,SUMPRODUCT($O63:$O$67*Q63:Q$67*($E63:$E$67=$D62)),IF(ISNUMBER(Data_2017!K62),100*ABS($G62-(Data_2017!K62-$K62)/$M62),0),IF(ISNUMBER(Data_2017!K62),100*ABS($G62-(Data_2017!K62-$K62)/$M62),0)))</f>
        <v>100</v>
      </c>
      <c r="R62" s="100">
        <f>IF($H62=0,0,CHOOSE($H62,SUMPRODUCT($O63:$O$67*R63:R$67*($E63:$E$67=$D62)),IF(ISNUMBER(Data_2017!L62),100*ABS($G62-(Data_2017!L62-$K62)/$M62),0),IF(ISNUMBER(Data_2017!L62),100*ABS($G62-(Data_2017!L62-$K62)/$M62),0)))</f>
        <v>99.284862932062</v>
      </c>
      <c r="S62" s="100">
        <f>IF($H62=0,0,CHOOSE($H62,SUMPRODUCT($O63:$O$67*S63:S$67*($E63:$E$67=$D62)),IF(ISNUMBER(Data_2017!M62),100*ABS($G62-(Data_2017!M62-$K62)/$M62),0),IF(ISNUMBER(Data_2017!M62),100*ABS($G62-(Data_2017!M62-$K62)/$M62),0)))</f>
        <v>88.5578069129917</v>
      </c>
      <c r="T62" s="100">
        <f>IF($H62=0,0,CHOOSE($H62,SUMPRODUCT($O63:$O$67*T63:T$67*($E63:$E$67=$D62)),IF(ISNUMBER(Data_2017!N62),100*ABS($G62-(Data_2017!N62-$K62)/$M62),0),IF(ISNUMBER(Data_2017!N62),100*ABS($G62-(Data_2017!N62-$K62)/$M62),0)))</f>
        <v>100</v>
      </c>
      <c r="U62" s="100">
        <f>IF($H62=0,0,CHOOSE($H62,SUMPRODUCT($O63:$O$67*U63:U$67*($E63:$E$67=$D62)),IF(ISNUMBER(Data_2017!O62),100*ABS($G62-(Data_2017!O62-$K62)/$M62),0),IF(ISNUMBER(Data_2017!O62),100*ABS($G62-(Data_2017!O62-$K62)/$M62),0)))</f>
        <v>98.6491855383393</v>
      </c>
      <c r="V62" s="100">
        <f>IF($H62=0,0,CHOOSE($H62,SUMPRODUCT($O63:$O$67*V63:V$67*($E63:$E$67=$D62)),IF(ISNUMBER(Data_2017!P62),100*ABS($G62-(Data_2017!P62-$K62)/$M62),0),IF(ISNUMBER(Data_2017!P62),100*ABS($G62-(Data_2017!P62-$K62)/$M62),0)))</f>
        <v>96.6229638458482</v>
      </c>
      <c r="W62" s="100">
        <f>IF($H62=0,0,CHOOSE($H62,SUMPRODUCT($O63:$O$67*W63:W$67*($E63:$E$67=$D62)),IF(ISNUMBER(Data_2017!Q62),100*ABS($G62-(Data_2017!Q62-$K62)/$M62),0),IF(ISNUMBER(Data_2017!Q62),100*ABS($G62-(Data_2017!Q62-$K62)/$M62),0)))</f>
        <v>96.7222884386174</v>
      </c>
      <c r="X62" s="100">
        <f>IF($H62=0,0,CHOOSE($H62,SUMPRODUCT($O63:$O$67*X63:X$67*($E63:$E$67=$D62)),IF(ISNUMBER(Data_2017!R62),100*ABS($G62-(Data_2017!R62-$K62)/$M62),0),IF(ISNUMBER(Data_2017!R62),100*ABS($G62-(Data_2017!R62-$K62)/$M62),0)))</f>
        <v>99.9602701628923</v>
      </c>
      <c r="Y62" s="100">
        <f>IF($H62=0,0,CHOOSE($H62,SUMPRODUCT($O63:$O$67*Y63:Y$67*($E63:$E$67=$D62)),IF(ISNUMBER(Data_2017!S62),100*ABS($G62-(Data_2017!S62-$K62)/$M62),0),IF(ISNUMBER(Data_2017!S62),100*ABS($G62-(Data_2017!S62-$K62)/$M62),0)))</f>
        <v>90.6833531982519</v>
      </c>
      <c r="Z62" s="100">
        <f>IF($H62=0,0,CHOOSE($H62,SUMPRODUCT($O63:$O$67*Z63:Z$67*($E63:$E$67=$D62)),IF(ISNUMBER(Data_2017!T62),100*ABS($G62-(Data_2017!T62-$K62)/$M62),0),IF(ISNUMBER(Data_2017!T62),100*ABS($G62-(Data_2017!T62-$K62)/$M62),0)))</f>
        <v>99.7814858959078</v>
      </c>
      <c r="AA62" s="100">
        <f>IF($H62=0,0,CHOOSE($H62,SUMPRODUCT($O63:$O$67*AA63:AA$67*($E63:$E$67=$D62)),IF(ISNUMBER(Data_2017!U62),100*ABS($G62-(Data_2017!U62-$K62)/$M62),0),IF(ISNUMBER(Data_2017!U62),100*ABS($G62-(Data_2017!U62-$K62)/$M62),0)))</f>
        <v>99.3444576877235</v>
      </c>
      <c r="AB62" s="100">
        <f>IF($H62=0,0,CHOOSE($H62,SUMPRODUCT($O63:$O$67*AB63:AB$67*($E63:$E$67=$D62)),IF(ISNUMBER(Data_2017!V62),100*ABS($G62-(Data_2017!V62-$K62)/$M62),0),IF(ISNUMBER(Data_2017!V62),100*ABS($G62-(Data_2017!V62-$K62)/$M62),0)))</f>
        <v>100</v>
      </c>
      <c r="AC62" s="100">
        <f>IF($H62=0,0,CHOOSE($H62,SUMPRODUCT($O63:$O$67*AC63:AC$67*($E63:$E$67=$D62)),IF(ISNUMBER(Data_2017!W62),100*ABS($G62-(Data_2017!W62-$K62)/$M62),0),IF(ISNUMBER(Data_2017!W62),100*ABS($G62-(Data_2017!W62-$K62)/$M62),0)))</f>
        <v>99.6821613031387</v>
      </c>
      <c r="AD62" s="100">
        <f>IF($H62=0,0,CHOOSE($H62,SUMPRODUCT($O63:$O$67*AD63:AD$67*($E63:$E$67=$D62)),IF(ISNUMBER(Data_2017!X62),100*ABS($G62-(Data_2017!X62-$K62)/$M62),0),IF(ISNUMBER(Data_2017!X62),100*ABS($G62-(Data_2017!X62-$K62)/$M62),0)))</f>
        <v>96.3249900675407</v>
      </c>
      <c r="AE62" s="100">
        <f>IF($H62=0,0,CHOOSE($H62,SUMPRODUCT($O63:$O$67*AE63:AE$67*($E63:$E$67=$D62)),IF(ISNUMBER(Data_2017!Y62),100*ABS($G62-(Data_2017!Y62-$K62)/$M62),0),IF(ISNUMBER(Data_2017!Y62),100*ABS($G62-(Data_2017!Y62-$K62)/$M62),0)))</f>
        <v>89.2530790623758</v>
      </c>
      <c r="AF62" s="100">
        <f>IF($H62=0,0,CHOOSE($H62,SUMPRODUCT($O63:$O$67*AF63:AF$67*($E63:$E$67=$D62)),IF(ISNUMBER(Data_2017!Z62),100*ABS($G62-(Data_2017!Z62-$K62)/$M62),0),IF(ISNUMBER(Data_2017!Z62),100*ABS($G62-(Data_2017!Z62-$K62)/$M62),0)))</f>
        <v>99.9801350814462</v>
      </c>
      <c r="AG62" s="100">
        <f>IF($H62=0,0,CHOOSE($H62,SUMPRODUCT($O63:$O$67*AG63:AG$67*($E63:$E$67=$D62)),IF(ISNUMBER(Data_2017!AA62),100*ABS($G62-(Data_2017!AA62-$K62)/$M62),0),IF(ISNUMBER(Data_2017!AA62),100*ABS($G62-(Data_2017!AA62-$K62)/$M62),0)))</f>
        <v>99.9205403257847</v>
      </c>
      <c r="AH62" s="100">
        <f>IF($H62=0,0,CHOOSE($H62,SUMPRODUCT($O63:$O$67*AH63:AH$67*($E63:$E$67=$D62)),IF(ISNUMBER(Data_2017!AB62),100*ABS($G62-(Data_2017!AB62-$K62)/$M62),0),IF(ISNUMBER(Data_2017!AB62),100*ABS($G62-(Data_2017!AB62-$K62)/$M62),0)))</f>
        <v>100</v>
      </c>
      <c r="AI62" s="100">
        <f>IF($H62=0,0,CHOOSE($H62,SUMPRODUCT($O63:$O$67*AI63:AI$67*($E63:$E$67=$D62)),IF(ISNUMBER(Data_2017!AC62),100*ABS($G62-(Data_2017!AC62-$K62)/$M62),0),IF(ISNUMBER(Data_2017!AC62),100*ABS($G62-(Data_2017!AC62-$K62)/$M62),0)))</f>
        <v>97.9936432260628</v>
      </c>
      <c r="AJ62" s="100">
        <f>IF($H62=0,0,CHOOSE($H62,SUMPRODUCT($O63:$O$67*AJ63:AJ$67*($E63:$E$67=$D62)),IF(ISNUMBER(Data_2017!AD62),100*ABS($G62-(Data_2017!AD62-$K62)/$M62),0),IF(ISNUMBER(Data_2017!AD62),100*ABS($G62-(Data_2017!AD62-$K62)/$M62),0)))</f>
        <v>80.5721096543504</v>
      </c>
      <c r="AK62" s="100">
        <f>IF($H62=0,0,CHOOSE($H62,SUMPRODUCT($O63:$O$67*AK63:AK$67*($E63:$E$67=$D62)),IF(ISNUMBER(Data_2017!AE62),100*ABS($G62-(Data_2017!AE62-$K62)/$M62),0),IF(ISNUMBER(Data_2017!AE62),100*ABS($G62-(Data_2017!AE62-$K62)/$M62),0)))</f>
        <v>97.9340484704013</v>
      </c>
      <c r="AL62" s="100">
        <f>IF($H62=0,0,CHOOSE($H62,SUMPRODUCT($O63:$O$67*AL63:AL$67*($E63:$E$67=$D62)),IF(ISNUMBER(Data_2017!AF62),100*ABS($G62-(Data_2017!AF62-$K62)/$M62),0),IF(ISNUMBER(Data_2017!AF62),100*ABS($G62-(Data_2017!AF62-$K62)/$M62),0)))</f>
        <v>99.7218911402463</v>
      </c>
      <c r="AM62" s="100">
        <f>IF($H62=0,0,CHOOSE($H62,SUMPRODUCT($O63:$O$67*AM63:AM$67*($E63:$E$67=$D62)),IF(ISNUMBER(Data_2017!AG62),100*ABS($G62-(Data_2017!AG62-$K62)/$M62),0),IF(ISNUMBER(Data_2017!AG62),100*ABS($G62-(Data_2017!AG62-$K62)/$M62),0)))</f>
        <v>99.9006754072308</v>
      </c>
      <c r="AN62" s="100">
        <f>IF($H62=0,0,CHOOSE($H62,SUMPRODUCT($O63:$O$67*AN63:AN$67*($E63:$E$67=$D62)),IF(ISNUMBER(Data_2017!AH62),100*ABS($G62-(Data_2017!AH62-$K62)/$M62),0),IF(ISNUMBER(Data_2017!AH62),100*ABS($G62-(Data_2017!AH62-$K62)/$M62),0)))</f>
        <v>0</v>
      </c>
      <c r="AO62" s="100">
        <f>IF($H62=0,0,CHOOSE($H62,SUMPRODUCT($O63:$O$67*AO63:AO$67*($E63:$E$67=$D62)),IF(ISNUMBER(Data_2017!AI62),100*ABS($G62-(Data_2017!AI62-$K62)/$M62),0),IF(ISNUMBER(Data_2017!AI62),100*ABS($G62-(Data_2017!AI62-$K62)/$M62),0)))</f>
        <v>100</v>
      </c>
      <c r="AP62" s="100">
        <f>IF($H62=0,0,CHOOSE($H62,SUMPRODUCT($O63:$O$67*AP63:AP$67*($E63:$E$67=$D62)),IF(ISNUMBER(Data_2017!AJ62),100*ABS($G62-(Data_2017!AJ62-$K62)/$M62),0),IF(ISNUMBER(Data_2017!AJ62),100*ABS($G62-(Data_2017!AJ62-$K62)/$M62),0)))</f>
        <v>94.9344457687723</v>
      </c>
      <c r="AQ62" s="100">
        <f>IF($H62=0,0,CHOOSE($H62,SUMPRODUCT($O63:$O$67*AQ63:AQ$67*($E63:$E$67=$D62)),IF(ISNUMBER(Data_2017!AK62),100*ABS($G62-(Data_2017!AK62-$K62)/$M62),0),IF(ISNUMBER(Data_2017!AK62),100*ABS($G62-(Data_2017!AK62-$K62)/$M62),0)))</f>
        <v>99.880810488677</v>
      </c>
      <c r="AR62" s="100">
        <f>IF($H62=0,0,CHOOSE($H62,SUMPRODUCT($O63:$O$67*AR63:AR$67*($E63:$E$67=$D62)),IF(ISNUMBER(Data_2017!AL62),100*ABS($G62-(Data_2017!AL62-$K62)/$M62),0),IF(ISNUMBER(Data_2017!AL62),100*ABS($G62-(Data_2017!AL62-$K62)/$M62),0)))</f>
        <v>99.642431466031</v>
      </c>
      <c r="AS62" s="100">
        <f>IF($H62=0,0,CHOOSE($H62,SUMPRODUCT($O63:$O$67*AS63:AS$67*($E63:$E$67=$D62)),IF(ISNUMBER(Data_2017!AM62),100*ABS($G62-(Data_2017!AM62-$K62)/$M62),0),IF(ISNUMBER(Data_2017!AM62),100*ABS($G62-(Data_2017!AM62-$K62)/$M62),0)))</f>
        <v>99.9006754072308</v>
      </c>
      <c r="AT62" s="100">
        <f>IF($H62=0,0,CHOOSE($H62,SUMPRODUCT($O63:$O$67*AT63:AT$67*($E63:$E$67=$D62)),IF(ISNUMBER(Data_2017!AN62),100*ABS($G62-(Data_2017!AN62-$K62)/$M62),0),IF(ISNUMBER(Data_2017!AN62),100*ABS($G62-(Data_2017!AN62-$K62)/$M62),0)))</f>
        <v>99.9801350814462</v>
      </c>
      <c r="AU62" s="100">
        <f>IF($H62=0,0,CHOOSE($H62,SUMPRODUCT($O63:$O$67*AU63:AU$67*($E63:$E$67=$D62)),IF(ISNUMBER(Data_2017!AO62),100*ABS($G62-(Data_2017!AO62-$K62)/$M62),0),IF(ISNUMBER(Data_2017!AO62),100*ABS($G62-(Data_2017!AO62-$K62)/$M62),0)))</f>
        <v>99.0862137465236</v>
      </c>
      <c r="AV62" s="100">
        <f>IF($H62=0,0,CHOOSE($H62,SUMPRODUCT($O63:$O$67*AV63:AV$67*($E63:$E$67=$D62)),IF(ISNUMBER(Data_2017!AP62),100*ABS($G62-(Data_2017!AP62-$K62)/$M62),0),IF(ISNUMBER(Data_2017!AP62),100*ABS($G62-(Data_2017!AP62-$K62)/$M62),0)))</f>
        <v>99.9404052443385</v>
      </c>
      <c r="AW62" s="100">
        <f>IF($H62=0,0,CHOOSE($H62,SUMPRODUCT($O63:$O$67*AW63:AW$67*($E63:$E$67=$D62)),IF(ISNUMBER(Data_2017!AQ62),100*ABS($G62-(Data_2017!AQ62-$K62)/$M62),0),IF(ISNUMBER(Data_2017!AQ62),100*ABS($G62-(Data_2017!AQ62-$K62)/$M62),0)))</f>
        <v>97.1394517282479</v>
      </c>
      <c r="AX62" s="100">
        <f>IF($H62=0,0,CHOOSE($H62,SUMPRODUCT($O63:$O$67*AX63:AX$67*($E63:$E$67=$D62)),IF(ISNUMBER(Data_2017!AR62),100*ABS($G62-(Data_2017!AR62-$K62)/$M62),0),IF(ISNUMBER(Data_2017!AR62),100*ABS($G62-(Data_2017!AR62-$K62)/$M62),0)))</f>
        <v>99.880810488677</v>
      </c>
      <c r="AY62" s="100">
        <f>IF($H62=0,0,CHOOSE($H62,SUMPRODUCT($O63:$O$67*AY63:AY$67*($E63:$E$67=$D62)),IF(ISNUMBER(Data_2017!AS62),100*ABS($G62-(Data_2017!AS62-$K62)/$M62),0),IF(ISNUMBER(Data_2017!AS62),100*ABS($G62-(Data_2017!AS62-$K62)/$M62),0)))</f>
        <v>98.0731029002781</v>
      </c>
      <c r="AZ62" s="100">
        <f>IF($H62=0,0,CHOOSE($H62,SUMPRODUCT($O63:$O$67*AZ63:AZ$67*($E63:$E$67=$D62)),IF(ISNUMBER(Data_2017!AT62),100*ABS($G62-(Data_2017!AT62-$K62)/$M62),0),IF(ISNUMBER(Data_2017!AT62),100*ABS($G62-(Data_2017!AT62-$K62)/$M62),0)))</f>
        <v>88.3392928088995</v>
      </c>
      <c r="BA62" s="100">
        <f>IF($H62=0,0,CHOOSE($H62,SUMPRODUCT($O63:$O$67*BA63:BA$67*($E63:$E$67=$D62)),IF(ISNUMBER(Data_2017!AU62),100*ABS($G62-(Data_2017!AU62-$K62)/$M62),0),IF(ISNUMBER(Data_2017!AU62),100*ABS($G62-(Data_2017!AU62-$K62)/$M62),0)))</f>
        <v>99.1855383392928</v>
      </c>
      <c r="BB62" s="100">
        <f>IF($H62=0,0,CHOOSE($H62,SUMPRODUCT($O63:$O$67*BB63:BB$67*($E63:$E$67=$D62)),IF(ISNUMBER(Data_2017!AV62),100*ABS($G62-(Data_2017!AV62-$K62)/$M62),0),IF(ISNUMBER(Data_2017!AV62),100*ABS($G62-(Data_2017!AV62-$K62)/$M62),0)))</f>
        <v>100</v>
      </c>
      <c r="BC62" s="100">
        <f>IF($H62=0,0,CHOOSE($H62,SUMPRODUCT($O63:$O$67*BC63:BC$67*($E63:$E$67=$D62)),IF(ISNUMBER(Data_2017!AW62),100*ABS($G62-(Data_2017!AW62-$K62)/$M62),0),IF(ISNUMBER(Data_2017!AW62),100*ABS($G62-(Data_2017!AW62-$K62)/$M62),0)))</f>
        <v>93.663090981327</v>
      </c>
      <c r="BD62" s="100">
        <f>IF($H62=0,0,CHOOSE($H62,SUMPRODUCT($O63:$O$67*BD63:BD$67*($E63:$E$67=$D62)),IF(ISNUMBER(Data_2017!AX62),100*ABS($G62-(Data_2017!AX62-$K62)/$M62),0),IF(ISNUMBER(Data_2017!AX62),100*ABS($G62-(Data_2017!AX62-$K62)/$M62),0)))</f>
        <v>100</v>
      </c>
      <c r="BE62" s="100">
        <f>IF($H62=0,0,CHOOSE($H62,SUMPRODUCT($O63:$O$67*BE63:BE$67*($E63:$E$67=$D62)),IF(ISNUMBER(Data_2017!AY62),100*ABS($G62-(Data_2017!AY62-$K62)/$M62),0),IF(ISNUMBER(Data_2017!AY62),100*ABS($G62-(Data_2017!AY62-$K62)/$M62),0)))</f>
        <v>100</v>
      </c>
      <c r="BF62" s="100">
        <f>IF($H62=0,0,CHOOSE($H62,SUMPRODUCT($O63:$O$67*BF63:BF$67*($E63:$E$67=$D62)),IF(ISNUMBER(Data_2017!AZ62),100*ABS($G62-(Data_2017!AZ62-$K62)/$M62),0),IF(ISNUMBER(Data_2017!AZ62),100*ABS($G62-(Data_2017!AZ62-$K62)/$M62),0)))</f>
        <v>99.3643226062773</v>
      </c>
      <c r="BG62" s="100">
        <f>IF($H62=0,0,CHOOSE($H62,SUMPRODUCT($O63:$O$67*BG63:BG$67*($E63:$E$67=$D62)),IF(ISNUMBER(Data_2017!BA62),100*ABS($G62-(Data_2017!BA62-$K62)/$M62),0),IF(ISNUMBER(Data_2017!BA62),100*ABS($G62-(Data_2017!BA62-$K62)/$M62),0)))</f>
        <v>99.880810488677</v>
      </c>
      <c r="BH62" s="100">
        <f>IF($H62=0,0,CHOOSE($H62,SUMPRODUCT($O63:$O$67*BH63:BH$67*($E63:$E$67=$D62)),IF(ISNUMBER(Data_2017!BB62),100*ABS($G62-(Data_2017!BB62-$K62)/$M62),0),IF(ISNUMBER(Data_2017!BB62),100*ABS($G62-(Data_2017!BB62-$K62)/$M62),0)))</f>
        <v>100</v>
      </c>
      <c r="BI62" s="100">
        <f>IF($H62=0,0,CHOOSE($H62,SUMPRODUCT($O63:$O$67*BI63:BI$67*($E63:$E$67=$D62)),IF(ISNUMBER(Data_2017!BC62),100*ABS($G62-(Data_2017!BC62-$K62)/$M62),0),IF(ISNUMBER(Data_2017!BC62),100*ABS($G62-(Data_2017!BC62-$K62)/$M62),0)))</f>
        <v>99.6027016289233</v>
      </c>
      <c r="BJ62" s="100">
        <f>IF($H62=0,0,CHOOSE($H62,SUMPRODUCT($O63:$O$67*BJ63:BJ$67*($E63:$E$67=$D62)),IF(ISNUMBER(Data_2017!BD62),100*ABS($G62-(Data_2017!BD62-$K62)/$M62),0),IF(ISNUMBER(Data_2017!BD62),100*ABS($G62-(Data_2017!BD62-$K62)/$M62),0)))</f>
        <v>100</v>
      </c>
      <c r="BK62" s="100">
        <f>IF($H62=0,0,CHOOSE($H62,SUMPRODUCT($O63:$O$67*BK63:BK$67*($E63:$E$67=$D62)),IF(ISNUMBER(Data_2017!BE62),100*ABS($G62-(Data_2017!BE62-$K62)/$M62),0),IF(ISNUMBER(Data_2017!BE62),100*ABS($G62-(Data_2017!BE62-$K62)/$M62),0)))</f>
        <v>99.9801350814462</v>
      </c>
      <c r="BL62" s="100">
        <f>IF($H62=0,0,CHOOSE($H62,SUMPRODUCT($O63:$O$67*BL63:BL$67*($E63:$E$67=$D62)),IF(ISNUMBER(Data_2017!BF62),100*ABS($G62-(Data_2017!BF62-$K62)/$M62),0),IF(ISNUMBER(Data_2017!BF62),100*ABS($G62-(Data_2017!BF62-$K62)/$M62),0)))</f>
        <v>99.7020262216925</v>
      </c>
      <c r="BM62" s="100">
        <f>IF($H62=0,0,CHOOSE($H62,SUMPRODUCT($O63:$O$67*BM63:BM$67*($E63:$E$67=$D62)),IF(ISNUMBER(Data_2017!BG62),100*ABS($G62-(Data_2017!BG62-$K62)/$M62),0),IF(ISNUMBER(Data_2017!BG62),100*ABS($G62-(Data_2017!BG62-$K62)/$M62),0)))</f>
        <v>100</v>
      </c>
      <c r="BN62" s="100">
        <f>IF($H62=0,0,CHOOSE($H62,SUMPRODUCT($O63:$O$67*BN63:BN$67*($E63:$E$67=$D62)),IF(ISNUMBER(Data_2017!BH62),100*ABS($G62-(Data_2017!BH62-$K62)/$M62),0),IF(ISNUMBER(Data_2017!BH62),100*ABS($G62-(Data_2017!BH62-$K62)/$M62),0)))</f>
        <v>99.9404052443385</v>
      </c>
      <c r="BO62" s="100">
        <f>IF($H62=0,0,CHOOSE($H62,SUMPRODUCT($O63:$O$67*BO63:BO$67*($E63:$E$67=$D62)),IF(ISNUMBER(Data_2017!BI62),100*ABS($G62-(Data_2017!BI62-$K62)/$M62),0),IF(ISNUMBER(Data_2017!BI62),100*ABS($G62-(Data_2017!BI62-$K62)/$M62),0)))</f>
        <v>99.8609455701232</v>
      </c>
      <c r="BP62" s="100">
        <f>IF($H62=0,0,CHOOSE($H62,SUMPRODUCT($O63:$O$67*BP63:BP$67*($E63:$E$67=$D62)),IF(ISNUMBER(Data_2017!BJ62),100*ABS($G62-(Data_2017!BJ62-$K62)/$M62),0),IF(ISNUMBER(Data_2017!BJ62),100*ABS($G62-(Data_2017!BJ62-$K62)/$M62),0)))</f>
        <v>99.9801350814462</v>
      </c>
      <c r="BQ62" s="100">
        <f>IF($H62=0,0,CHOOSE($H62,SUMPRODUCT($O63:$O$67*BQ63:BQ$67*($E63:$E$67=$D62)),IF(ISNUMBER(Data_2017!BK62),100*ABS($G62-(Data_2017!BK62-$K62)/$M62),0),IF(ISNUMBER(Data_2017!BK62),100*ABS($G62-(Data_2017!BK62-$K62)/$M62),0)))</f>
        <v>97.9539133889551</v>
      </c>
      <c r="BR62" s="100">
        <f>IF($H62=0,0,CHOOSE($H62,SUMPRODUCT($O63:$O$67*BR63:BR$67*($E63:$E$67=$D62)),IF(ISNUMBER(Data_2017!BL62),100*ABS($G62-(Data_2017!BL62-$K62)/$M62),0),IF(ISNUMBER(Data_2017!BL62),100*ABS($G62-(Data_2017!BL62-$K62)/$M62),0)))</f>
        <v>100</v>
      </c>
      <c r="BS62" s="100">
        <f>IF($H62=0,0,CHOOSE($H62,SUMPRODUCT($O63:$O$67*BS63:BS$67*($E63:$E$67=$D62)),IF(ISNUMBER(Data_2017!BM62),100*ABS($G62-(Data_2017!BM62-$K62)/$M62),0),IF(ISNUMBER(Data_2017!BM62),100*ABS($G62-(Data_2017!BM62-$K62)/$M62),0)))</f>
        <v>99.9404052443385</v>
      </c>
      <c r="BT62" s="100">
        <f>IF($H62=0,0,CHOOSE($H62,SUMPRODUCT($O63:$O$67*BT63:BT$67*($E63:$E$67=$D62)),IF(ISNUMBER(Data_2017!BN62),100*ABS($G62-(Data_2017!BN62-$K62)/$M62),0),IF(ISNUMBER(Data_2017!BN62),100*ABS($G62-(Data_2017!BN62-$K62)/$M62),0)))</f>
        <v>99.9602701628923</v>
      </c>
      <c r="BU62" s="100">
        <f>IF($H62=0,0,CHOOSE($H62,SUMPRODUCT($O63:$O$67*BU63:BU$67*($E63:$E$67=$D62)),IF(ISNUMBER(Data_2017!BO62),100*ABS($G62-(Data_2017!BO62-$K62)/$M62),0),IF(ISNUMBER(Data_2017!BO62),100*ABS($G62-(Data_2017!BO62-$K62)/$M62),0)))</f>
        <v>100</v>
      </c>
      <c r="BV62" s="100">
        <f>IF($H62=0,0,CHOOSE($H62,SUMPRODUCT($O63:$O$67*BV63:BV$67*($E63:$E$67=$D62)),IF(ISNUMBER(Data_2017!BP62),100*ABS($G62-(Data_2017!BP62-$K62)/$M62),0),IF(ISNUMBER(Data_2017!BP62),100*ABS($G62-(Data_2017!BP62-$K62)/$M62),0)))</f>
        <v>98.212157330155</v>
      </c>
      <c r="BW62" s="100">
        <f>IF($H62=0,0,CHOOSE($H62,SUMPRODUCT($O63:$O$67*BW63:BW$67*($E63:$E$67=$D62)),IF(ISNUMBER(Data_2017!BQ62),100*ABS($G62-(Data_2017!BQ62-$K62)/$M62),0),IF(ISNUMBER(Data_2017!BQ62),100*ABS($G62-(Data_2017!BQ62-$K62)/$M62),0)))</f>
        <v>100</v>
      </c>
      <c r="BX62" s="100">
        <f>IF($H62=0,0,CHOOSE($H62,SUMPRODUCT($O63:$O$67*BX63:BX$67*($E63:$E$67=$D62)),IF(ISNUMBER(Data_2017!BR62),100*ABS($G62-(Data_2017!BR62-$K62)/$M62),0),IF(ISNUMBER(Data_2017!BR62),100*ABS($G62-(Data_2017!BR62-$K62)/$M62),0)))</f>
        <v>100</v>
      </c>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row>
    <row r="63" s="69" customFormat="1" ht="24.95" customHeight="1" spans="1:130">
      <c r="A63" s="92"/>
      <c r="B63" s="92">
        <f>tblIndicators!A59</f>
        <v>58</v>
      </c>
      <c r="C63" s="92">
        <f>tblIndicators!B59</f>
        <v>0</v>
      </c>
      <c r="D63" s="92" t="str">
        <f>tblIndicators!D59</f>
        <v>PESE4.2.8</v>
      </c>
      <c r="E63" s="92" t="str">
        <f>tblIndicators!E59</f>
        <v>PESE4.2</v>
      </c>
      <c r="F63" s="92">
        <f>tblIndicators!F59</f>
        <v>3</v>
      </c>
      <c r="G63" s="92">
        <f>tblIndicators!Y59</f>
        <v>1</v>
      </c>
      <c r="H63" s="92">
        <f>tblIndicators!Z59</f>
        <v>2</v>
      </c>
      <c r="I63" s="104">
        <f>tblIndicators!AA59</f>
        <v>0</v>
      </c>
      <c r="J63" s="92">
        <f>tblIndicators!AB59</f>
        <v>0</v>
      </c>
      <c r="K63" s="89">
        <f>IF(uxb_works!$B$66=1,CHOOSE(H63,"-",MIN(Data_2017!J63:BR63),I63),CHOOSE(H63,"-",MIN(Data_2017!J63:BQ63),I63))</f>
        <v>0.25108056875056</v>
      </c>
      <c r="L63" s="97">
        <f>IF(uxb_works!$B$66=1,CHOOSE(H63,"-",MAX(Data_2017!J63:BR63),J63),CHOOSE(H63,"-",MAX(Data_2017!J63:BQ63),J63))</f>
        <v>9.72467675252015</v>
      </c>
      <c r="M63" s="92">
        <f t="shared" si="1"/>
        <v>9.47359618376959</v>
      </c>
      <c r="N63" s="105" t="str">
        <f>REPT(" ",F63)&amp;tblIndicators!AE59</f>
        <v>   4.2.8) Gender safety</v>
      </c>
      <c r="O63" s="106">
        <f>tblIndicators!AD59</f>
        <v>0.0833333333333333</v>
      </c>
      <c r="P63" s="100">
        <f>IF($H63=0,0,CHOOSE($H63,SUMPRODUCT($O64:$O$67*P64:P$67*($E64:$E$67=$D63)),IF(ISNUMBER(Data_2017!J63),100*ABS($G63-(Data_2017!J63-$K63)/$M63),0),IF(ISNUMBER(Data_2017!J63),100*ABS($G63-(Data_2017!J63-$K63)/$M63),0)))</f>
        <v>96.1159757342053</v>
      </c>
      <c r="Q63" s="100">
        <f>IF($H63=0,0,CHOOSE($H63,SUMPRODUCT($O64:$O$67*Q64:Q$67*($E64:$E$67=$D63)),IF(ISNUMBER(Data_2017!K63),100*ABS($G63-(Data_2017!K63-$K63)/$M63),0),IF(ISNUMBER(Data_2017!K63),100*ABS($G63-(Data_2017!K63-$K63)/$M63),0)))</f>
        <v>96.8844596982008</v>
      </c>
      <c r="R63" s="100">
        <f>IF($H63=0,0,CHOOSE($H63,SUMPRODUCT($O64:$O$67*R64:R$67*($E64:$E$67=$D63)),IF(ISNUMBER(Data_2017!L63),100*ABS($G63-(Data_2017!L63-$K63)/$M63),0),IF(ISNUMBER(Data_2017!L63),100*ABS($G63-(Data_2017!L63-$K63)/$M63),0)))</f>
        <v>92.6241861536689</v>
      </c>
      <c r="S63" s="100">
        <f>IF($H63=0,0,CHOOSE($H63,SUMPRODUCT($O64:$O$67*S64:S$67*($E64:$E$67=$D63)),IF(ISNUMBER(Data_2017!M63),100*ABS($G63-(Data_2017!M63-$K63)/$M63),0),IF(ISNUMBER(Data_2017!M63),100*ABS($G63-(Data_2017!M63-$K63)/$M63),0)))</f>
        <v>87.889811104519</v>
      </c>
      <c r="T63" s="100">
        <f>IF($H63=0,0,CHOOSE($H63,SUMPRODUCT($O64:$O$67*T64:T$67*($E64:$E$67=$D63)),IF(ISNUMBER(Data_2017!N63),100*ABS($G63-(Data_2017!N63-$K63)/$M63),0),IF(ISNUMBER(Data_2017!N63),100*ABS($G63-(Data_2017!N63-$K63)/$M63),0)))</f>
        <v>96.8183652073824</v>
      </c>
      <c r="U63" s="100">
        <f>IF($H63=0,0,CHOOSE($H63,SUMPRODUCT($O64:$O$67*U64:U$67*($E64:$E$67=$D63)),IF(ISNUMBER(Data_2017!O63),100*ABS($G63-(Data_2017!O63-$K63)/$M63),0),IF(ISNUMBER(Data_2017!O63),100*ABS($G63-(Data_2017!O63-$K63)/$M63),0)))</f>
        <v>96.5577889751148</v>
      </c>
      <c r="V63" s="100">
        <f>IF($H63=0,0,CHOOSE($H63,SUMPRODUCT($O64:$O$67*V64:V$67*($E64:$E$67=$D63)),IF(ISNUMBER(Data_2017!P63),100*ABS($G63-(Data_2017!P63-$K63)/$M63),0),IF(ISNUMBER(Data_2017!P63),100*ABS($G63-(Data_2017!P63-$K63)/$M63),0)))</f>
        <v>0</v>
      </c>
      <c r="W63" s="100">
        <f>IF($H63=0,0,CHOOSE($H63,SUMPRODUCT($O64:$O$67*W64:W$67*($E64:$E$67=$D63)),IF(ISNUMBER(Data_2017!Q63),100*ABS($G63-(Data_2017!Q63-$K63)/$M63),0),IF(ISNUMBER(Data_2017!Q63),100*ABS($G63-(Data_2017!Q63-$K63)/$M63),0)))</f>
        <v>92.4156203937852</v>
      </c>
      <c r="X63" s="100">
        <f>IF($H63=0,0,CHOOSE($H63,SUMPRODUCT($O64:$O$67*X64:X$67*($E64:$E$67=$D63)),IF(ISNUMBER(Data_2017!R63),100*ABS($G63-(Data_2017!R63-$K63)/$M63),0),IF(ISNUMBER(Data_2017!R63),100*ABS($G63-(Data_2017!R63-$K63)/$M63),0)))</f>
        <v>87.3818353500693</v>
      </c>
      <c r="Y63" s="100">
        <f>IF($H63=0,0,CHOOSE($H63,SUMPRODUCT($O64:$O$67*Y64:Y$67*($E64:$E$67=$D63)),IF(ISNUMBER(Data_2017!S63),100*ABS($G63-(Data_2017!S63-$K63)/$M63),0),IF(ISNUMBER(Data_2017!S63),100*ABS($G63-(Data_2017!S63-$K63)/$M63),0)))</f>
        <v>79.0987751769094</v>
      </c>
      <c r="Z63" s="100">
        <f>IF($H63=0,0,CHOOSE($H63,SUMPRODUCT($O64:$O$67*Z64:Z$67*($E64:$E$67=$D63)),IF(ISNUMBER(Data_2017!T63),100*ABS($G63-(Data_2017!T63-$K63)/$M63),0),IF(ISNUMBER(Data_2017!T63),100*ABS($G63-(Data_2017!T63-$K63)/$M63),0)))</f>
        <v>18.6284109777866</v>
      </c>
      <c r="AA63" s="100">
        <f>IF($H63=0,0,CHOOSE($H63,SUMPRODUCT($O64:$O$67*AA64:AA$67*($E64:$E$67=$D63)),IF(ISNUMBER(Data_2017!U63),100*ABS($G63-(Data_2017!U63-$K63)/$M63),0),IF(ISNUMBER(Data_2017!U63),100*ABS($G63-(Data_2017!U63-$K63)/$M63),0)))</f>
        <v>96.3184028723827</v>
      </c>
      <c r="AB63" s="100">
        <f>IF($H63=0,0,CHOOSE($H63,SUMPRODUCT($O64:$O$67*AB64:AB$67*($E64:$E$67=$D63)),IF(ISNUMBER(Data_2017!V63),100*ABS($G63-(Data_2017!V63-$K63)/$M63),0),IF(ISNUMBER(Data_2017!V63),100*ABS($G63-(Data_2017!V63-$K63)/$M63),0)))</f>
        <v>65.9166448662725</v>
      </c>
      <c r="AC63" s="100">
        <f>IF($H63=0,0,CHOOSE($H63,SUMPRODUCT($O64:$O$67*AC64:AC$67*($E64:$E$67=$D63)),IF(ISNUMBER(Data_2017!W63),100*ABS($G63-(Data_2017!W63-$K63)/$M63),0),IF(ISNUMBER(Data_2017!W63),100*ABS($G63-(Data_2017!W63-$K63)/$M63),0)))</f>
        <v>80.871825506463</v>
      </c>
      <c r="AD63" s="100">
        <f>IF($H63=0,0,CHOOSE($H63,SUMPRODUCT($O64:$O$67*AD64:AD$67*($E64:$E$67=$D63)),IF(ISNUMBER(Data_2017!X63),100*ABS($G63-(Data_2017!X63-$K63)/$M63),0),IF(ISNUMBER(Data_2017!X63),100*ABS($G63-(Data_2017!X63-$K63)/$M63),0)))</f>
        <v>83.0720682626979</v>
      </c>
      <c r="AE63" s="100">
        <f>IF($H63=0,0,CHOOSE($H63,SUMPRODUCT($O64:$O$67*AE64:AE$67*($E64:$E$67=$D63)),IF(ISNUMBER(Data_2017!Y63),100*ABS($G63-(Data_2017!Y63-$K63)/$M63),0),IF(ISNUMBER(Data_2017!Y63),100*ABS($G63-(Data_2017!Y63-$K63)/$M63),0)))</f>
        <v>81.0150023349975</v>
      </c>
      <c r="AF63" s="100">
        <f>IF($H63=0,0,CHOOSE($H63,SUMPRODUCT($O64:$O$67*AF64:AF$67*($E64:$E$67=$D63)),IF(ISNUMBER(Data_2017!Z63),100*ABS($G63-(Data_2017!Z63-$K63)/$M63),0),IF(ISNUMBER(Data_2017!Z63),100*ABS($G63-(Data_2017!Z63-$K63)/$M63),0)))</f>
        <v>64.2976970839399</v>
      </c>
      <c r="AG63" s="100">
        <f>IF($H63=0,0,CHOOSE($H63,SUMPRODUCT($O64:$O$67*AG64:AG$67*($E64:$E$67=$D63)),IF(ISNUMBER(Data_2017!AA63),100*ABS($G63-(Data_2017!AA63-$K63)/$M63),0),IF(ISNUMBER(Data_2017!AA63),100*ABS($G63-(Data_2017!AA63-$K63)/$M63),0)))</f>
        <v>95.6024142122309</v>
      </c>
      <c r="AH63" s="100">
        <f>IF($H63=0,0,CHOOSE($H63,SUMPRODUCT($O64:$O$67*AH64:AH$67*($E64:$E$67=$D63)),IF(ISNUMBER(Data_2017!AB63),100*ABS($G63-(Data_2017!AB63-$K63)/$M63),0),IF(ISNUMBER(Data_2017!AB63),100*ABS($G63-(Data_2017!AB63-$K63)/$M63),0)))</f>
        <v>94.8712831569513</v>
      </c>
      <c r="AI63" s="100">
        <f>IF($H63=0,0,CHOOSE($H63,SUMPRODUCT($O64:$O$67*AI64:AI$67*($E64:$E$67=$D63)),IF(ISNUMBER(Data_2017!AC63),100*ABS($G63-(Data_2017!AC63-$K63)/$M63),0),IF(ISNUMBER(Data_2017!AC63),100*ABS($G63-(Data_2017!AC63-$K63)/$M63),0)))</f>
        <v>99.1048413561868</v>
      </c>
      <c r="AJ63" s="100">
        <f>IF($H63=0,0,CHOOSE($H63,SUMPRODUCT($O64:$O$67*AJ64:AJ$67*($E64:$E$67=$D63)),IF(ISNUMBER(Data_2017!AD63),100*ABS($G63-(Data_2017!AD63-$K63)/$M63),0),IF(ISNUMBER(Data_2017!AD63),100*ABS($G63-(Data_2017!AD63-$K63)/$M63),0)))</f>
        <v>95.7679956243443</v>
      </c>
      <c r="AK63" s="100">
        <f>IF($H63=0,0,CHOOSE($H63,SUMPRODUCT($O64:$O$67*AK64:AK$67*($E64:$E$67=$D63)),IF(ISNUMBER(Data_2017!AE63),100*ABS($G63-(Data_2017!AE63-$K63)/$M63),0),IF(ISNUMBER(Data_2017!AE63),100*ABS($G63-(Data_2017!AE63-$K63)/$M63),0)))</f>
        <v>85.9577919787296</v>
      </c>
      <c r="AL63" s="100">
        <f>IF($H63=0,0,CHOOSE($H63,SUMPRODUCT($O64:$O$67*AL64:AL$67*($E64:$E$67=$D63)),IF(ISNUMBER(Data_2017!AF63),100*ABS($G63-(Data_2017!AF63-$K63)/$M63),0),IF(ISNUMBER(Data_2017!AF63),100*ABS($G63-(Data_2017!AF63-$K63)/$M63),0)))</f>
        <v>79.1940423188967</v>
      </c>
      <c r="AM63" s="100">
        <f>IF($H63=0,0,CHOOSE($H63,SUMPRODUCT($O64:$O$67*AM64:AM$67*($E64:$E$67=$D63)),IF(ISNUMBER(Data_2017!AG63),100*ABS($G63-(Data_2017!AG63-$K63)/$M63),0),IF(ISNUMBER(Data_2017!AG63),100*ABS($G63-(Data_2017!AG63-$K63)/$M63),0)))</f>
        <v>1.65461081864104</v>
      </c>
      <c r="AN63" s="100">
        <f>IF($H63=0,0,CHOOSE($H63,SUMPRODUCT($O64:$O$67*AN64:AN$67*($E64:$E$67=$D63)),IF(ISNUMBER(Data_2017!AH63),100*ABS($G63-(Data_2017!AH63-$K63)/$M63),0),IF(ISNUMBER(Data_2017!AH63),100*ABS($G63-(Data_2017!AH63-$K63)/$M63),0)))</f>
        <v>52.7906527095825</v>
      </c>
      <c r="AO63" s="100">
        <f>IF($H63=0,0,CHOOSE($H63,SUMPRODUCT($O64:$O$67*AO64:AO$67*($E64:$E$67=$D63)),IF(ISNUMBER(Data_2017!AI63),100*ABS($G63-(Data_2017!AI63-$K63)/$M63),0),IF(ISNUMBER(Data_2017!AI63),100*ABS($G63-(Data_2017!AI63-$K63)/$M63),0)))</f>
        <v>85.3151711394346</v>
      </c>
      <c r="AP63" s="100">
        <f>IF($H63=0,0,CHOOSE($H63,SUMPRODUCT($O64:$O$67*AP64:AP$67*($E64:$E$67=$D63)),IF(ISNUMBER(Data_2017!AJ63),100*ABS($G63-(Data_2017!AJ63-$K63)/$M63),0),IF(ISNUMBER(Data_2017!AJ63),100*ABS($G63-(Data_2017!AJ63-$K63)/$M63),0)))</f>
        <v>92.965004444885</v>
      </c>
      <c r="AQ63" s="100">
        <f>IF($H63=0,0,CHOOSE($H63,SUMPRODUCT($O64:$O$67*AQ64:AQ$67*($E64:$E$67=$D63)),IF(ISNUMBER(Data_2017!AK63),100*ABS($G63-(Data_2017!AK63-$K63)/$M63),0),IF(ISNUMBER(Data_2017!AK63),100*ABS($G63-(Data_2017!AK63-$K63)/$M63),0)))</f>
        <v>44.7008003890065</v>
      </c>
      <c r="AR63" s="100">
        <f>IF($H63=0,0,CHOOSE($H63,SUMPRODUCT($O64:$O$67*AR64:AR$67*($E64:$E$67=$D63)),IF(ISNUMBER(Data_2017!AL63),100*ABS($G63-(Data_2017!AL63-$K63)/$M63),0),IF(ISNUMBER(Data_2017!AL63),100*ABS($G63-(Data_2017!AL63-$K63)/$M63),0)))</f>
        <v>93.8464991788494</v>
      </c>
      <c r="AS63" s="100">
        <f>IF($H63=0,0,CHOOSE($H63,SUMPRODUCT($O64:$O$67*AS64:AS$67*($E64:$E$67=$D63)),IF(ISNUMBER(Data_2017!AM63),100*ABS($G63-(Data_2017!AM63-$K63)/$M63),0),IF(ISNUMBER(Data_2017!AM63),100*ABS($G63-(Data_2017!AM63-$K63)/$M63),0)))</f>
        <v>85.7612737013169</v>
      </c>
      <c r="AT63" s="100">
        <f>IF($H63=0,0,CHOOSE($H63,SUMPRODUCT($O64:$O$67*AT64:AT$67*($E64:$E$67=$D63)),IF(ISNUMBER(Data_2017!AN63),100*ABS($G63-(Data_2017!AN63-$K63)/$M63),0),IF(ISNUMBER(Data_2017!AN63),100*ABS($G63-(Data_2017!AN63-$K63)/$M63),0)))</f>
        <v>96.8183652073824</v>
      </c>
      <c r="AU63" s="100">
        <f>IF($H63=0,0,CHOOSE($H63,SUMPRODUCT($O64:$O$67*AU64:AU$67*($E64:$E$67=$D63)),IF(ISNUMBER(Data_2017!AO63),100*ABS($G63-(Data_2017!AO63-$K63)/$M63),0),IF(ISNUMBER(Data_2017!AO63),100*ABS($G63-(Data_2017!AO63-$K63)/$M63),0)))</f>
        <v>75.9402353022902</v>
      </c>
      <c r="AV63" s="100">
        <f>IF($H63=0,0,CHOOSE($H63,SUMPRODUCT($O64:$O$67*AV64:AV$67*($E64:$E$67=$D63)),IF(ISNUMBER(Data_2017!AP63),100*ABS($G63-(Data_2017!AP63-$K63)/$M63),0),IF(ISNUMBER(Data_2017!AP63),100*ABS($G63-(Data_2017!AP63-$K63)/$M63),0)))</f>
        <v>94.7210577075109</v>
      </c>
      <c r="AW63" s="100">
        <f>IF($H63=0,0,CHOOSE($H63,SUMPRODUCT($O64:$O$67*AW64:AW$67*($E64:$E$67=$D63)),IF(ISNUMBER(Data_2017!AQ63),100*ABS($G63-(Data_2017!AQ63-$K63)/$M63),0),IF(ISNUMBER(Data_2017!AQ63),100*ABS($G63-(Data_2017!AQ63-$K63)/$M63),0)))</f>
        <v>61.5054640882659</v>
      </c>
      <c r="AX63" s="100">
        <f>IF($H63=0,0,CHOOSE($H63,SUMPRODUCT($O64:$O$67*AX64:AX$67*($E64:$E$67=$D63)),IF(ISNUMBER(Data_2017!AR63),100*ABS($G63-(Data_2017!AR63-$K63)/$M63),0),IF(ISNUMBER(Data_2017!AR63),100*ABS($G63-(Data_2017!AR63-$K63)/$M63),0)))</f>
        <v>98.1775699780822</v>
      </c>
      <c r="AY63" s="100">
        <f>IF($H63=0,0,CHOOSE($H63,SUMPRODUCT($O64:$O$67*AY64:AY$67*($E64:$E$67=$D63)),IF(ISNUMBER(Data_2017!AS63),100*ABS($G63-(Data_2017!AS63-$K63)/$M63),0),IF(ISNUMBER(Data_2017!AS63),100*ABS($G63-(Data_2017!AS63-$K63)/$M63),0)))</f>
        <v>50.0275615431055</v>
      </c>
      <c r="AZ63" s="100">
        <f>IF($H63=0,0,CHOOSE($H63,SUMPRODUCT($O64:$O$67*AZ64:AZ$67*($E64:$E$67=$D63)),IF(ISNUMBER(Data_2017!AT63),100*ABS($G63-(Data_2017!AT63-$K63)/$M63),0),IF(ISNUMBER(Data_2017!AT63),100*ABS($G63-(Data_2017!AT63-$K63)/$M63),0)))</f>
        <v>83.0720682626979</v>
      </c>
      <c r="BA63" s="100">
        <f>IF($H63=0,0,CHOOSE($H63,SUMPRODUCT($O64:$O$67*BA64:BA$67*($E64:$E$67=$D63)),IF(ISNUMBER(Data_2017!AU63),100*ABS($G63-(Data_2017!AU63-$K63)/$M63),0),IF(ISNUMBER(Data_2017!AU63),100*ABS($G63-(Data_2017!AU63-$K63)/$M63),0)))</f>
        <v>91.2963391371597</v>
      </c>
      <c r="BB63" s="100">
        <f>IF($H63=0,0,CHOOSE($H63,SUMPRODUCT($O64:$O$67*BB64:BB$67*($E64:$E$67=$D63)),IF(ISNUMBER(Data_2017!AV63),100*ABS($G63-(Data_2017!AV63-$K63)/$M63),0),IF(ISNUMBER(Data_2017!AV63),100*ABS($G63-(Data_2017!AV63-$K63)/$M63),0)))</f>
        <v>100</v>
      </c>
      <c r="BC63" s="100">
        <f>IF($H63=0,0,CHOOSE($H63,SUMPRODUCT($O64:$O$67*BC64:BC$67*($E64:$E$67=$D63)),IF(ISNUMBER(Data_2017!AW63),100*ABS($G63-(Data_2017!AW63-$K63)/$M63),0),IF(ISNUMBER(Data_2017!AW63),100*ABS($G63-(Data_2017!AW63-$K63)/$M63),0)))</f>
        <v>96.2194378411289</v>
      </c>
      <c r="BD63" s="100">
        <f>IF($H63=0,0,CHOOSE($H63,SUMPRODUCT($O64:$O$67*BD64:BD$67*($E64:$E$67=$D63)),IF(ISNUMBER(Data_2017!AX63),100*ABS($G63-(Data_2017!AX63-$K63)/$M63),0),IF(ISNUMBER(Data_2017!AX63),100*ABS($G63-(Data_2017!AX63-$K63)/$M63),0)))</f>
        <v>74.9266511211652</v>
      </c>
      <c r="BE63" s="100">
        <f>IF($H63=0,0,CHOOSE($H63,SUMPRODUCT($O64:$O$67*BE64:BE$67*($E64:$E$67=$D63)),IF(ISNUMBER(Data_2017!AY63),100*ABS($G63-(Data_2017!AY63-$K63)/$M63),0),IF(ISNUMBER(Data_2017!AY63),100*ABS($G63-(Data_2017!AY63-$K63)/$M63),0)))</f>
        <v>45.3987323299679</v>
      </c>
      <c r="BF63" s="100">
        <f>IF($H63=0,0,CHOOSE($H63,SUMPRODUCT($O64:$O$67*BF64:BF$67*($E64:$E$67=$D63)),IF(ISNUMBER(Data_2017!AZ63),100*ABS($G63-(Data_2017!AZ63-$K63)/$M63),0),IF(ISNUMBER(Data_2017!AZ63),100*ABS($G63-(Data_2017!AZ63-$K63)/$M63),0)))</f>
        <v>79.1940423188967</v>
      </c>
      <c r="BG63" s="100">
        <f>IF($H63=0,0,CHOOSE($H63,SUMPRODUCT($O64:$O$67*BG64:BG$67*($E64:$E$67=$D63)),IF(ISNUMBER(Data_2017!BA63),100*ABS($G63-(Data_2017!BA63-$K63)/$M63),0),IF(ISNUMBER(Data_2017!BA63),100*ABS($G63-(Data_2017!BA63-$K63)/$M63),0)))</f>
        <v>98.1775699780822</v>
      </c>
      <c r="BH63" s="100">
        <f>IF($H63=0,0,CHOOSE($H63,SUMPRODUCT($O64:$O$67*BH64:BH$67*($E64:$E$67=$D63)),IF(ISNUMBER(Data_2017!BB63),100*ABS($G63-(Data_2017!BB63-$K63)/$M63),0),IF(ISNUMBER(Data_2017!BB63),100*ABS($G63-(Data_2017!BB63-$K63)/$M63),0)))</f>
        <v>85.7612737013169</v>
      </c>
      <c r="BI63" s="100">
        <f>IF($H63=0,0,CHOOSE($H63,SUMPRODUCT($O64:$O$67*BI64:BI$67*($E64:$E$67=$D63)),IF(ISNUMBER(Data_2017!BC63),100*ABS($G63-(Data_2017!BC63-$K63)/$M63),0),IF(ISNUMBER(Data_2017!BC63),100*ABS($G63-(Data_2017!BC63-$K63)/$M63),0)))</f>
        <v>91.0435056770128</v>
      </c>
      <c r="BJ63" s="100">
        <f>IF($H63=0,0,CHOOSE($H63,SUMPRODUCT($O64:$O$67*BJ64:BJ$67*($E64:$E$67=$D63)),IF(ISNUMBER(Data_2017!BD63),100*ABS($G63-(Data_2017!BD63-$K63)/$M63),0),IF(ISNUMBER(Data_2017!BD63),100*ABS($G63-(Data_2017!BD63-$K63)/$M63),0)))</f>
        <v>45.3987323299679</v>
      </c>
      <c r="BK63" s="100">
        <f>IF($H63=0,0,CHOOSE($H63,SUMPRODUCT($O64:$O$67*BK64:BK$67*($E64:$E$67=$D63)),IF(ISNUMBER(Data_2017!BE63),100*ABS($G63-(Data_2017!BE63-$K63)/$M63),0),IF(ISNUMBER(Data_2017!BE63),100*ABS($G63-(Data_2017!BE63-$K63)/$M63),0)))</f>
        <v>88.059162140092</v>
      </c>
      <c r="BL63" s="100">
        <f>IF($H63=0,0,CHOOSE($H63,SUMPRODUCT($O64:$O$67*BL64:BL$67*($E64:$E$67=$D63)),IF(ISNUMBER(Data_2017!BF63),100*ABS($G63-(Data_2017!BF63-$K63)/$M63),0),IF(ISNUMBER(Data_2017!BF63),100*ABS($G63-(Data_2017!BF63-$K63)/$M63),0)))</f>
        <v>96.5577889751148</v>
      </c>
      <c r="BM63" s="100">
        <f>IF($H63=0,0,CHOOSE($H63,SUMPRODUCT($O64:$O$67*BM64:BM$67*($E64:$E$67=$D63)),IF(ISNUMBER(Data_2017!BG63),100*ABS($G63-(Data_2017!BG63-$K63)/$M63),0),IF(ISNUMBER(Data_2017!BG63),100*ABS($G63-(Data_2017!BG63-$K63)/$M63),0)))</f>
        <v>98.9319614699797</v>
      </c>
      <c r="BN63" s="100">
        <f>IF($H63=0,0,CHOOSE($H63,SUMPRODUCT($O64:$O$67*BN64:BN$67*($E64:$E$67=$D63)),IF(ISNUMBER(Data_2017!BH63),100*ABS($G63-(Data_2017!BH63-$K63)/$M63),0),IF(ISNUMBER(Data_2017!BH63),100*ABS($G63-(Data_2017!BH63-$K63)/$M63),0)))</f>
        <v>96.9097600061368</v>
      </c>
      <c r="BO63" s="100">
        <f>IF($H63=0,0,CHOOSE($H63,SUMPRODUCT($O64:$O$67*BO64:BO$67*($E64:$E$67=$D63)),IF(ISNUMBER(Data_2017!BI63),100*ABS($G63-(Data_2017!BI63-$K63)/$M63),0),IF(ISNUMBER(Data_2017!BI63),100*ABS($G63-(Data_2017!BI63-$K63)/$M63),0)))</f>
        <v>94.7210577075109</v>
      </c>
      <c r="BP63" s="100">
        <f>IF($H63=0,0,CHOOSE($H63,SUMPRODUCT($O64:$O$67*BP64:BP$67*($E64:$E$67=$D63)),IF(ISNUMBER(Data_2017!BJ63),100*ABS($G63-(Data_2017!BJ63-$K63)/$M63),0),IF(ISNUMBER(Data_2017!BJ63),100*ABS($G63-(Data_2017!BJ63-$K63)/$M63),0)))</f>
        <v>92.8832036755309</v>
      </c>
      <c r="BQ63" s="100">
        <f>IF($H63=0,0,CHOOSE($H63,SUMPRODUCT($O64:$O$67*BQ64:BQ$67*($E64:$E$67=$D63)),IF(ISNUMBER(Data_2017!BK63),100*ABS($G63-(Data_2017!BK63-$K63)/$M63),0),IF(ISNUMBER(Data_2017!BK63),100*ABS($G63-(Data_2017!BK63-$K63)/$M63),0)))</f>
        <v>88.0435533122962</v>
      </c>
      <c r="BR63" s="100">
        <f>IF($H63=0,0,CHOOSE($H63,SUMPRODUCT($O64:$O$67*BR64:BR$67*($E64:$E$67=$D63)),IF(ISNUMBER(Data_2017!BL63),100*ABS($G63-(Data_2017!BL63-$K63)/$M63),0),IF(ISNUMBER(Data_2017!BL63),100*ABS($G63-(Data_2017!BL63-$K63)/$M63),0)))</f>
        <v>100</v>
      </c>
      <c r="BS63" s="100">
        <f>IF($H63=0,0,CHOOSE($H63,SUMPRODUCT($O64:$O$67*BS64:BS$67*($E64:$E$67=$D63)),IF(ISNUMBER(Data_2017!BM63),100*ABS($G63-(Data_2017!BM63-$K63)/$M63),0),IF(ISNUMBER(Data_2017!BM63),100*ABS($G63-(Data_2017!BM63-$K63)/$M63),0)))</f>
        <v>93.7700941098423</v>
      </c>
      <c r="BT63" s="100">
        <f>IF($H63=0,0,CHOOSE($H63,SUMPRODUCT($O64:$O$67*BT64:BT$67*($E64:$E$67=$D63)),IF(ISNUMBER(Data_2017!BN63),100*ABS($G63-(Data_2017!BN63-$K63)/$M63),0),IF(ISNUMBER(Data_2017!BN63),100*ABS($G63-(Data_2017!BN63-$K63)/$M63),0)))</f>
        <v>63.9059426634982</v>
      </c>
      <c r="BU63" s="100">
        <f>IF($H63=0,0,CHOOSE($H63,SUMPRODUCT($O64:$O$67*BU64:BU$67*($E64:$E$67=$D63)),IF(ISNUMBER(Data_2017!BO63),100*ABS($G63-(Data_2017!BO63-$K63)/$M63),0),IF(ISNUMBER(Data_2017!BO63),100*ABS($G63-(Data_2017!BO63-$K63)/$M63),0)))</f>
        <v>94.224551107945</v>
      </c>
      <c r="BV63" s="100">
        <f>IF($H63=0,0,CHOOSE($H63,SUMPRODUCT($O64:$O$67*BV64:BV$67*($E64:$E$67=$D63)),IF(ISNUMBER(Data_2017!BP63),100*ABS($G63-(Data_2017!BP63-$K63)/$M63),0),IF(ISNUMBER(Data_2017!BP63),100*ABS($G63-(Data_2017!BP63-$K63)/$M63),0)))</f>
        <v>85.3824420047052</v>
      </c>
      <c r="BW63" s="100">
        <f>IF($H63=0,0,CHOOSE($H63,SUMPRODUCT($O64:$O$67*BW64:BW$67*($E64:$E$67=$D63)),IF(ISNUMBER(Data_2017!BQ63),100*ABS($G63-(Data_2017!BQ63-$K63)/$M63),0),IF(ISNUMBER(Data_2017!BQ63),100*ABS($G63-(Data_2017!BQ63-$K63)/$M63),0)))</f>
        <v>95.7084698388064</v>
      </c>
      <c r="BX63" s="100">
        <f>IF($H63=0,0,CHOOSE($H63,SUMPRODUCT($O64:$O$67*BX64:BX$67*($E64:$E$67=$D63)),IF(ISNUMBER(Data_2017!BR63),100*ABS($G63-(Data_2017!BR63-$K63)/$M63),0),IF(ISNUMBER(Data_2017!BR63),100*ABS($G63-(Data_2017!BR63-$K63)/$M63),0)))</f>
        <v>100</v>
      </c>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row>
    <row r="64" s="69" customFormat="1" ht="24.95" customHeight="1" spans="1:130">
      <c r="A64" s="92"/>
      <c r="B64" s="92">
        <f>tblIndicators!A60</f>
        <v>59</v>
      </c>
      <c r="C64" s="92">
        <f>tblIndicators!B60</f>
        <v>0</v>
      </c>
      <c r="D64" s="92" t="str">
        <f>tblIndicators!D60</f>
        <v>PESE4.2.9</v>
      </c>
      <c r="E64" s="92" t="str">
        <f>tblIndicators!E60</f>
        <v>PESE4.2</v>
      </c>
      <c r="F64" s="92">
        <f>tblIndicators!F60</f>
        <v>3</v>
      </c>
      <c r="G64" s="92">
        <f>tblIndicators!Y60</f>
        <v>0</v>
      </c>
      <c r="H64" s="92">
        <f>tblIndicators!Z60</f>
        <v>3</v>
      </c>
      <c r="I64" s="104">
        <f>tblIndicators!AA60</f>
        <v>0</v>
      </c>
      <c r="J64" s="92">
        <f>tblIndicators!AB60</f>
        <v>100</v>
      </c>
      <c r="K64" s="89">
        <f>IF(uxb_works!$B$66=1,CHOOSE(H64,"-",MIN(Data_2017!J64:BR64),I64),CHOOSE(H64,"-",MIN(Data_2017!J64:BQ64),I64))</f>
        <v>0</v>
      </c>
      <c r="L64" s="97">
        <f>IF(uxb_works!$B$66=1,CHOOSE(H64,"-",MAX(Data_2017!J64:BR64),J64),CHOOSE(H64,"-",MAX(Data_2017!J64:BQ64),J64))</f>
        <v>100</v>
      </c>
      <c r="M64" s="92">
        <f t="shared" si="1"/>
        <v>100</v>
      </c>
      <c r="N64" s="105" t="str">
        <f>REPT(" ",F64)&amp;tblIndicators!AE60</f>
        <v>   4.2.9) Perceptions of safety</v>
      </c>
      <c r="O64" s="106">
        <f>tblIndicators!AD60</f>
        <v>0.0833333333333333</v>
      </c>
      <c r="P64" s="100">
        <f>IF($H64=0,0,CHOOSE($H64,SUMPRODUCT($O65:$O$67*P65:P$67*($E65:$E$67=$D64)),IF(ISNUMBER(Data_2017!J64),100*ABS($G64-(Data_2017!J64-$K64)/$M64),0),IF(ISNUMBER(Data_2017!J64),100*ABS($G64-(Data_2017!J64-$K64)/$M64),0)))</f>
        <v>84.49</v>
      </c>
      <c r="Q64" s="100">
        <f>IF($H64=0,0,CHOOSE($H64,SUMPRODUCT($O65:$O$67*Q65:Q$67*($E65:$E$67=$D64)),IF(ISNUMBER(Data_2017!K64),100*ABS($G64-(Data_2017!K64-$K64)/$M64),0),IF(ISNUMBER(Data_2017!K64),100*ABS($G64-(Data_2017!K64-$K64)/$M64),0)))</f>
        <v>67.4</v>
      </c>
      <c r="R64" s="100">
        <f>IF($H64=0,0,CHOOSE($H64,SUMPRODUCT($O65:$O$67*R65:R$67*($E65:$E$67=$D64)),IF(ISNUMBER(Data_2017!L64),100*ABS($G64-(Data_2017!L64-$K64)/$M64),0),IF(ISNUMBER(Data_2017!L64),100*ABS($G64-(Data_2017!L64-$K64)/$M64),0)))</f>
        <v>49.28</v>
      </c>
      <c r="S64" s="100">
        <f>IF($H64=0,0,CHOOSE($H64,SUMPRODUCT($O65:$O$67*S65:S$67*($E65:$E$67=$D64)),IF(ISNUMBER(Data_2017!M64),100*ABS($G64-(Data_2017!M64-$K64)/$M64),0),IF(ISNUMBER(Data_2017!M64),100*ABS($G64-(Data_2017!M64-$K64)/$M64),0)))</f>
        <v>51.44</v>
      </c>
      <c r="T64" s="100">
        <f>IF($H64=0,0,CHOOSE($H64,SUMPRODUCT($O65:$O$67*T65:T$67*($E65:$E$67=$D64)),IF(ISNUMBER(Data_2017!N64),100*ABS($G64-(Data_2017!N64-$K64)/$M64),0),IF(ISNUMBER(Data_2017!N64),100*ABS($G64-(Data_2017!N64-$K64)/$M64),0)))</f>
        <v>60.35</v>
      </c>
      <c r="U64" s="100">
        <f>IF($H64=0,0,CHOOSE($H64,SUMPRODUCT($O65:$O$67*U65:U$67*($E65:$E$67=$D64)),IF(ISNUMBER(Data_2017!O64),100*ABS($G64-(Data_2017!O64-$K64)/$M64),0),IF(ISNUMBER(Data_2017!O64),100*ABS($G64-(Data_2017!O64-$K64)/$M64),0)))</f>
        <v>58.35</v>
      </c>
      <c r="V64" s="100">
        <f>IF($H64=0,0,CHOOSE($H64,SUMPRODUCT($O65:$O$67*V65:V$67*($E65:$E$67=$D64)),IF(ISNUMBER(Data_2017!P64),100*ABS($G64-(Data_2017!P64-$K64)/$M64),0),IF(ISNUMBER(Data_2017!P64),100*ABS($G64-(Data_2017!P64-$K64)/$M64),0)))</f>
        <v>36.36</v>
      </c>
      <c r="W64" s="100">
        <f>IF($H64=0,0,CHOOSE($H64,SUMPRODUCT($O65:$O$67*W65:W$67*($E65:$E$67=$D64)),IF(ISNUMBER(Data_2017!Q64),100*ABS($G64-(Data_2017!Q64-$K64)/$M64),0),IF(ISNUMBER(Data_2017!Q64),100*ABS($G64-(Data_2017!Q64-$K64)/$M64),0)))</f>
        <v>45.48</v>
      </c>
      <c r="X64" s="100">
        <f>IF($H64=0,0,CHOOSE($H64,SUMPRODUCT($O65:$O$67*X65:X$67*($E65:$E$67=$D64)),IF(ISNUMBER(Data_2017!R64),100*ABS($G64-(Data_2017!R64-$K64)/$M64),0),IF(ISNUMBER(Data_2017!R64),100*ABS($G64-(Data_2017!R64-$K64)/$M64),0)))</f>
        <v>38.89</v>
      </c>
      <c r="Y64" s="100">
        <f>IF($H64=0,0,CHOOSE($H64,SUMPRODUCT($O65:$O$67*Y65:Y$67*($E65:$E$67=$D64)),IF(ISNUMBER(Data_2017!S64),100*ABS($G64-(Data_2017!S64-$K64)/$M64),0),IF(ISNUMBER(Data_2017!S64),100*ABS($G64-(Data_2017!S64-$K64)/$M64),0)))</f>
        <v>44.09</v>
      </c>
      <c r="Z64" s="100">
        <f>IF($H64=0,0,CHOOSE($H64,SUMPRODUCT($O65:$O$67*Z65:Z$67*($E65:$E$67=$D64)),IF(ISNUMBER(Data_2017!T64),100*ABS($G64-(Data_2017!T64-$K64)/$M64),0),IF(ISNUMBER(Data_2017!T64),100*ABS($G64-(Data_2017!T64-$K64)/$M64),0)))</f>
        <v>13.39</v>
      </c>
      <c r="AA64" s="100">
        <f>IF($H64=0,0,CHOOSE($H64,SUMPRODUCT($O65:$O$67*AA65:AA$67*($E65:$E$67=$D64)),IF(ISNUMBER(Data_2017!U64),100*ABS($G64-(Data_2017!U64-$K64)/$M64),0),IF(ISNUMBER(Data_2017!U64),100*ABS($G64-(Data_2017!U64-$K64)/$M64),0)))</f>
        <v>45.72</v>
      </c>
      <c r="AB64" s="100">
        <f>IF($H64=0,0,CHOOSE($H64,SUMPRODUCT($O65:$O$67*AB65:AB$67*($E65:$E$67=$D64)),IF(ISNUMBER(Data_2017!V64),100*ABS($G64-(Data_2017!V64-$K64)/$M64),0),IF(ISNUMBER(Data_2017!V64),100*ABS($G64-(Data_2017!V64-$K64)/$M64),0)))</f>
        <v>34.61</v>
      </c>
      <c r="AC64" s="100">
        <f>IF($H64=0,0,CHOOSE($H64,SUMPRODUCT($O65:$O$67*AC65:AC$67*($E65:$E$67=$D64)),IF(ISNUMBER(Data_2017!W64),100*ABS($G64-(Data_2017!W64-$K64)/$M64),0),IF(ISNUMBER(Data_2017!W64),100*ABS($G64-(Data_2017!W64-$K64)/$M64),0)))</f>
        <v>56.5</v>
      </c>
      <c r="AD64" s="100">
        <f>IF($H64=0,0,CHOOSE($H64,SUMPRODUCT($O65:$O$67*AD65:AD$67*($E65:$E$67=$D64)),IF(ISNUMBER(Data_2017!X64),100*ABS($G64-(Data_2017!X64-$K64)/$M64),0),IF(ISNUMBER(Data_2017!X64),100*ABS($G64-(Data_2017!X64-$K64)/$M64),0)))</f>
        <v>39.21</v>
      </c>
      <c r="AE64" s="100">
        <f>IF($H64=0,0,CHOOSE($H64,SUMPRODUCT($O65:$O$67*AE65:AE$67*($E65:$E$67=$D64)),IF(ISNUMBER(Data_2017!Y64),100*ABS($G64-(Data_2017!Y64-$K64)/$M64),0),IF(ISNUMBER(Data_2017!Y64),100*ABS($G64-(Data_2017!Y64-$K64)/$M64),0)))</f>
        <v>30.89</v>
      </c>
      <c r="AF64" s="100">
        <f>IF($H64=0,0,CHOOSE($H64,SUMPRODUCT($O65:$O$67*AF65:AF$67*($E65:$E$67=$D64)),IF(ISNUMBER(Data_2017!Z64),100*ABS($G64-(Data_2017!Z64-$K64)/$M64),0),IF(ISNUMBER(Data_2017!Z64),100*ABS($G64-(Data_2017!Z64-$K64)/$M64),0)))</f>
        <v>83.43</v>
      </c>
      <c r="AG64" s="100">
        <f>IF($H64=0,0,CHOOSE($H64,SUMPRODUCT($O65:$O$67*AG65:AG$67*($E65:$E$67=$D64)),IF(ISNUMBER(Data_2017!AA64),100*ABS($G64-(Data_2017!AA64-$K64)/$M64),0),IF(ISNUMBER(Data_2017!AA64),100*ABS($G64-(Data_2017!AA64-$K64)/$M64),0)))</f>
        <v>60.89</v>
      </c>
      <c r="AH64" s="100">
        <f>IF($H64=0,0,CHOOSE($H64,SUMPRODUCT($O65:$O$67*AH65:AH$67*($E65:$E$67=$D64)),IF(ISNUMBER(Data_2017!AB64),100*ABS($G64-(Data_2017!AB64-$K64)/$M64),0),IF(ISNUMBER(Data_2017!AB64),100*ABS($G64-(Data_2017!AB64-$K64)/$M64),0)))</f>
        <v>41.89</v>
      </c>
      <c r="AI64" s="100">
        <f>IF($H64=0,0,CHOOSE($H64,SUMPRODUCT($O65:$O$67*AI65:AI$67*($E65:$E$67=$D64)),IF(ISNUMBER(Data_2017!AC64),100*ABS($G64-(Data_2017!AC64-$K64)/$M64),0),IF(ISNUMBER(Data_2017!AC64),100*ABS($G64-(Data_2017!AC64-$K64)/$M64),0)))</f>
        <v>79.32</v>
      </c>
      <c r="AJ64" s="100">
        <f>IF($H64=0,0,CHOOSE($H64,SUMPRODUCT($O65:$O$67*AJ65:AJ$67*($E65:$E$67=$D64)),IF(ISNUMBER(Data_2017!AD64),100*ABS($G64-(Data_2017!AD64-$K64)/$M64),0),IF(ISNUMBER(Data_2017!AD64),100*ABS($G64-(Data_2017!AD64-$K64)/$M64),0)))</f>
        <v>49.8</v>
      </c>
      <c r="AK64" s="100">
        <f>IF($H64=0,0,CHOOSE($H64,SUMPRODUCT($O65:$O$67*AK65:AK$67*($E65:$E$67=$D64)),IF(ISNUMBER(Data_2017!AE64),100*ABS($G64-(Data_2017!AE64-$K64)/$M64),0),IF(ISNUMBER(Data_2017!AE64),100*ABS($G64-(Data_2017!AE64-$K64)/$M64),0)))</f>
        <v>47.22</v>
      </c>
      <c r="AL64" s="100">
        <f>IF($H64=0,0,CHOOSE($H64,SUMPRODUCT($O65:$O$67*AL65:AL$67*($E65:$E$67=$D64)),IF(ISNUMBER(Data_2017!AF64),100*ABS($G64-(Data_2017!AF64-$K64)/$M64),0),IF(ISNUMBER(Data_2017!AF64),100*ABS($G64-(Data_2017!AF64-$K64)/$M64),0)))</f>
        <v>79.19</v>
      </c>
      <c r="AM64" s="100">
        <f>IF($H64=0,0,CHOOSE($H64,SUMPRODUCT($O65:$O$67*AM65:AM$67*($E65:$E$67=$D64)),IF(ISNUMBER(Data_2017!AG64),100*ABS($G64-(Data_2017!AG64-$K64)/$M64),0),IF(ISNUMBER(Data_2017!AG64),100*ABS($G64-(Data_2017!AG64-$K64)/$M64),0)))</f>
        <v>21.51</v>
      </c>
      <c r="AN64" s="100">
        <f>IF($H64=0,0,CHOOSE($H64,SUMPRODUCT($O65:$O$67*AN65:AN$67*($E65:$E$67=$D64)),IF(ISNUMBER(Data_2017!AH64),100*ABS($G64-(Data_2017!AH64-$K64)/$M64),0),IF(ISNUMBER(Data_2017!AH64),100*ABS($G64-(Data_2017!AH64-$K64)/$M64),0)))</f>
        <v>35.82</v>
      </c>
      <c r="AO64" s="100">
        <f>IF($H64=0,0,CHOOSE($H64,SUMPRODUCT($O65:$O$67*AO65:AO$67*($E65:$E$67=$D64)),IF(ISNUMBER(Data_2017!AI64),100*ABS($G64-(Data_2017!AI64-$K64)/$M64),0),IF(ISNUMBER(Data_2017!AI64),100*ABS($G64-(Data_2017!AI64-$K64)/$M64),0)))</f>
        <v>30.41</v>
      </c>
      <c r="AP64" s="100">
        <f>IF($H64=0,0,CHOOSE($H64,SUMPRODUCT($O65:$O$67*AP65:AP$67*($E65:$E$67=$D64)),IF(ISNUMBER(Data_2017!AJ64),100*ABS($G64-(Data_2017!AJ64-$K64)/$M64),0),IF(ISNUMBER(Data_2017!AJ64),100*ABS($G64-(Data_2017!AJ64-$K64)/$M64),0)))</f>
        <v>67.31</v>
      </c>
      <c r="AQ64" s="100">
        <f>IF($H64=0,0,CHOOSE($H64,SUMPRODUCT($O65:$O$67*AQ65:AQ$67*($E65:$E$67=$D64)),IF(ISNUMBER(Data_2017!AK64),100*ABS($G64-(Data_2017!AK64-$K64)/$M64),0),IF(ISNUMBER(Data_2017!AK64),100*ABS($G64-(Data_2017!AK64-$K64)/$M64),0)))</f>
        <v>31.73</v>
      </c>
      <c r="AR64" s="100">
        <f>IF($H64=0,0,CHOOSE($H64,SUMPRODUCT($O65:$O$67*AR65:AR$67*($E65:$E$67=$D64)),IF(ISNUMBER(Data_2017!AL64),100*ABS($G64-(Data_2017!AL64-$K64)/$M64),0),IF(ISNUMBER(Data_2017!AL64),100*ABS($G64-(Data_2017!AL64-$K64)/$M64),0)))</f>
        <v>53.83</v>
      </c>
      <c r="AS64" s="100">
        <f>IF($H64=0,0,CHOOSE($H64,SUMPRODUCT($O65:$O$67*AS65:AS$67*($E65:$E$67=$D64)),IF(ISNUMBER(Data_2017!AM64),100*ABS($G64-(Data_2017!AM64-$K64)/$M64),0),IF(ISNUMBER(Data_2017!AM64),100*ABS($G64-(Data_2017!AM64-$K64)/$M64),0)))</f>
        <v>45.33</v>
      </c>
      <c r="AT64" s="100">
        <f>IF($H64=0,0,CHOOSE($H64,SUMPRODUCT($O65:$O$67*AT65:AT$67*($E65:$E$67=$D64)),IF(ISNUMBER(Data_2017!AN64),100*ABS($G64-(Data_2017!AN64-$K64)/$M64),0),IF(ISNUMBER(Data_2017!AN64),100*ABS($G64-(Data_2017!AN64-$K64)/$M64),0)))</f>
        <v>68.54</v>
      </c>
      <c r="AU64" s="100">
        <f>IF($H64=0,0,CHOOSE($H64,SUMPRODUCT($O65:$O$67*AU65:AU$67*($E65:$E$67=$D64)),IF(ISNUMBER(Data_2017!AO64),100*ABS($G64-(Data_2017!AO64-$K64)/$M64),0),IF(ISNUMBER(Data_2017!AO64),100*ABS($G64-(Data_2017!AO64-$K64)/$M64),0)))</f>
        <v>39.08</v>
      </c>
      <c r="AV64" s="100">
        <f>IF($H64=0,0,CHOOSE($H64,SUMPRODUCT($O65:$O$67*AV65:AV$67*($E65:$E$67=$D64)),IF(ISNUMBER(Data_2017!AP64),100*ABS($G64-(Data_2017!AP64-$K64)/$M64),0),IF(ISNUMBER(Data_2017!AP64),100*ABS($G64-(Data_2017!AP64-$K64)/$M64),0)))</f>
        <v>58.98</v>
      </c>
      <c r="AW64" s="100">
        <f>IF($H64=0,0,CHOOSE($H64,SUMPRODUCT($O65:$O$67*AW65:AW$67*($E65:$E$67=$D64)),IF(ISNUMBER(Data_2017!AQ64),100*ABS($G64-(Data_2017!AQ64-$K64)/$M64),0),IF(ISNUMBER(Data_2017!AQ64),100*ABS($G64-(Data_2017!AQ64-$K64)/$M64),0)))</f>
        <v>33.9</v>
      </c>
      <c r="AX64" s="100">
        <f>IF($H64=0,0,CHOOSE($H64,SUMPRODUCT($O65:$O$67*AX65:AX$67*($E65:$E$67=$D64)),IF(ISNUMBER(Data_2017!AR64),100*ABS($G64-(Data_2017!AR64-$K64)/$M64),0),IF(ISNUMBER(Data_2017!AR64),100*ABS($G64-(Data_2017!AR64-$K64)/$M64),0)))</f>
        <v>52.81</v>
      </c>
      <c r="AY64" s="100">
        <f>IF($H64=0,0,CHOOSE($H64,SUMPRODUCT($O65:$O$67*AY65:AY$67*($E65:$E$67=$D64)),IF(ISNUMBER(Data_2017!AS64),100*ABS($G64-(Data_2017!AS64-$K64)/$M64),0),IF(ISNUMBER(Data_2017!AS64),100*ABS($G64-(Data_2017!AS64-$K64)/$M64),0)))</f>
        <v>54.68</v>
      </c>
      <c r="AZ64" s="100">
        <f>IF($H64=0,0,CHOOSE($H64,SUMPRODUCT($O65:$O$67*AZ65:AZ$67*($E65:$E$67=$D64)),IF(ISNUMBER(Data_2017!AT64),100*ABS($G64-(Data_2017!AT64-$K64)/$M64),0),IF(ISNUMBER(Data_2017!AT64),100*ABS($G64-(Data_2017!AT64-$K64)/$M64),0)))</f>
        <v>52.19</v>
      </c>
      <c r="BA64" s="100">
        <f>IF($H64=0,0,CHOOSE($H64,SUMPRODUCT($O65:$O$67*BA65:BA$67*($E65:$E$67=$D64)),IF(ISNUMBER(Data_2017!AU64),100*ABS($G64-(Data_2017!AU64-$K64)/$M64),0),IF(ISNUMBER(Data_2017!AU64),100*ABS($G64-(Data_2017!AU64-$K64)/$M64),0)))</f>
        <v>52.38</v>
      </c>
      <c r="BB64" s="100">
        <f>IF($H64=0,0,CHOOSE($H64,SUMPRODUCT($O65:$O$67*BB65:BB$67*($E65:$E$67=$D64)),IF(ISNUMBER(Data_2017!AV64),100*ABS($G64-(Data_2017!AV64-$K64)/$M64),0),IF(ISNUMBER(Data_2017!AV64),100*ABS($G64-(Data_2017!AV64-$K64)/$M64),0)))</f>
        <v>80.36</v>
      </c>
      <c r="BC64" s="100">
        <f>IF($H64=0,0,CHOOSE($H64,SUMPRODUCT($O65:$O$67*BC65:BC$67*($E65:$E$67=$D64)),IF(ISNUMBER(Data_2017!AW64),100*ABS($G64-(Data_2017!AW64-$K64)/$M64),0),IF(ISNUMBER(Data_2017!AW64),100*ABS($G64-(Data_2017!AW64-$K64)/$M64),0)))</f>
        <v>47.25</v>
      </c>
      <c r="BD64" s="100">
        <f>IF($H64=0,0,CHOOSE($H64,SUMPRODUCT($O65:$O$67*BD65:BD$67*($E65:$E$67=$D64)),IF(ISNUMBER(Data_2017!AX64),100*ABS($G64-(Data_2017!AX64-$K64)/$M64),0),IF(ISNUMBER(Data_2017!AX64),100*ABS($G64-(Data_2017!AX64-$K64)/$M64),0)))</f>
        <v>45.04</v>
      </c>
      <c r="BE64" s="100">
        <f>IF($H64=0,0,CHOOSE($H64,SUMPRODUCT($O65:$O$67*BE65:BE$67*($E65:$E$67=$D64)),IF(ISNUMBER(Data_2017!AY64),100*ABS($G64-(Data_2017!AY64-$K64)/$M64),0),IF(ISNUMBER(Data_2017!AY64),100*ABS($G64-(Data_2017!AY64-$K64)/$M64),0)))</f>
        <v>22.13</v>
      </c>
      <c r="BF64" s="100">
        <f>IF($H64=0,0,CHOOSE($H64,SUMPRODUCT($O65:$O$67*BF65:BF$67*($E65:$E$67=$D64)),IF(ISNUMBER(Data_2017!AZ64),100*ABS($G64-(Data_2017!AZ64-$K64)/$M64),0),IF(ISNUMBER(Data_2017!AZ64),100*ABS($G64-(Data_2017!AZ64-$K64)/$M64),0)))</f>
        <v>79.19</v>
      </c>
      <c r="BG64" s="100">
        <f>IF($H64=0,0,CHOOSE($H64,SUMPRODUCT($O65:$O$67*BG65:BG$67*($E65:$E$67=$D64)),IF(ISNUMBER(Data_2017!BA64),100*ABS($G64-(Data_2017!BA64-$K64)/$M64),0),IF(ISNUMBER(Data_2017!BA64),100*ABS($G64-(Data_2017!BA64-$K64)/$M64),0)))</f>
        <v>44.53</v>
      </c>
      <c r="BH64" s="100">
        <f>IF($H64=0,0,CHOOSE($H64,SUMPRODUCT($O65:$O$67*BH65:BH$67*($E65:$E$67=$D64)),IF(ISNUMBER(Data_2017!BB64),100*ABS($G64-(Data_2017!BB64-$K64)/$M64),0),IF(ISNUMBER(Data_2017!BB64),100*ABS($G64-(Data_2017!BB64-$K64)/$M64),0)))</f>
        <v>49.7</v>
      </c>
      <c r="BI64" s="100">
        <f>IF($H64=0,0,CHOOSE($H64,SUMPRODUCT($O65:$O$67*BI65:BI$67*($E65:$E$67=$D64)),IF(ISNUMBER(Data_2017!BC64),100*ABS($G64-(Data_2017!BC64-$K64)/$M64),0),IF(ISNUMBER(Data_2017!BC64),100*ABS($G64-(Data_2017!BC64-$K64)/$M64),0)))</f>
        <v>47.45</v>
      </c>
      <c r="BJ64" s="100">
        <f>IF($H64=0,0,CHOOSE($H64,SUMPRODUCT($O65:$O$67*BJ65:BJ$67*($E65:$E$67=$D64)),IF(ISNUMBER(Data_2017!BD64),100*ABS($G64-(Data_2017!BD64-$K64)/$M64),0),IF(ISNUMBER(Data_2017!BD64),100*ABS($G64-(Data_2017!BD64-$K64)/$M64),0)))</f>
        <v>27.81</v>
      </c>
      <c r="BK64" s="100">
        <f>IF($H64=0,0,CHOOSE($H64,SUMPRODUCT($O65:$O$67*BK65:BK$67*($E65:$E$67=$D64)),IF(ISNUMBER(Data_2017!BE64),100*ABS($G64-(Data_2017!BE64-$K64)/$M64),0),IF(ISNUMBER(Data_2017!BE64),100*ABS($G64-(Data_2017!BE64-$K64)/$M64),0)))</f>
        <v>76.2</v>
      </c>
      <c r="BL64" s="100">
        <f>IF($H64=0,0,CHOOSE($H64,SUMPRODUCT($O65:$O$67*BL65:BL$67*($E65:$E$67=$D64)),IF(ISNUMBER(Data_2017!BF64),100*ABS($G64-(Data_2017!BF64-$K64)/$M64),0),IF(ISNUMBER(Data_2017!BF64),100*ABS($G64-(Data_2017!BF64-$K64)/$M64),0)))</f>
        <v>65.41</v>
      </c>
      <c r="BM64" s="100">
        <f>IF($H64=0,0,CHOOSE($H64,SUMPRODUCT($O65:$O$67*BM65:BM$67*($E65:$E$67=$D64)),IF(ISNUMBER(Data_2017!BG64),100*ABS($G64-(Data_2017!BG64-$K64)/$M64),0),IF(ISNUMBER(Data_2017!BG64),100*ABS($G64-(Data_2017!BG64-$K64)/$M64),0)))</f>
        <v>83.42</v>
      </c>
      <c r="BN64" s="100">
        <f>IF($H64=0,0,CHOOSE($H64,SUMPRODUCT($O65:$O$67*BN65:BN$67*($E65:$E$67=$D64)),IF(ISNUMBER(Data_2017!BH64),100*ABS($G64-(Data_2017!BH64-$K64)/$M64),0),IF(ISNUMBER(Data_2017!BH64),100*ABS($G64-(Data_2017!BH64-$K64)/$M64),0)))</f>
        <v>54.22</v>
      </c>
      <c r="BO64" s="100">
        <f>IF($H64=0,0,CHOOSE($H64,SUMPRODUCT($O65:$O$67*BO65:BO$67*($E65:$E$67=$D64)),IF(ISNUMBER(Data_2017!BI64),100*ABS($G64-(Data_2017!BI64-$K64)/$M64),0),IF(ISNUMBER(Data_2017!BI64),100*ABS($G64-(Data_2017!BI64-$K64)/$M64),0)))</f>
        <v>59.76</v>
      </c>
      <c r="BP64" s="100">
        <f>IF($H64=0,0,CHOOSE($H64,SUMPRODUCT($O65:$O$67*BP65:BP$67*($E65:$E$67=$D64)),IF(ISNUMBER(Data_2017!BJ64),100*ABS($G64-(Data_2017!BJ64-$K64)/$M64),0),IF(ISNUMBER(Data_2017!BJ64),100*ABS($G64-(Data_2017!BJ64-$K64)/$M64),0)))</f>
        <v>84.24</v>
      </c>
      <c r="BQ64" s="100">
        <f>IF($H64=0,0,CHOOSE($H64,SUMPRODUCT($O65:$O$67*BQ65:BQ$67*($E65:$E$67=$D64)),IF(ISNUMBER(Data_2017!BK64),100*ABS($G64-(Data_2017!BK64-$K64)/$M64),0),IF(ISNUMBER(Data_2017!BK64),100*ABS($G64-(Data_2017!BK64-$K64)/$M64),0)))</f>
        <v>44.56</v>
      </c>
      <c r="BR64" s="100">
        <f>IF($H64=0,0,CHOOSE($H64,SUMPRODUCT($O65:$O$67*BR65:BR$67*($E65:$E$67=$D64)),IF(ISNUMBER(Data_2017!BL64),100*ABS($G64-(Data_2017!BL64-$K64)/$M64),0),IF(ISNUMBER(Data_2017!BL64),100*ABS($G64-(Data_2017!BL64-$K64)/$M64),0)))</f>
        <v>80.36</v>
      </c>
      <c r="BS64" s="100">
        <f>IF($H64=0,0,CHOOSE($H64,SUMPRODUCT($O65:$O$67*BS65:BS$67*($E65:$E$67=$D64)),IF(ISNUMBER(Data_2017!BM64),100*ABS($G64-(Data_2017!BM64-$K64)/$M64),0),IF(ISNUMBER(Data_2017!BM64),100*ABS($G64-(Data_2017!BM64-$K64)/$M64),0)))</f>
        <v>65.06</v>
      </c>
      <c r="BT64" s="100">
        <f>IF($H64=0,0,CHOOSE($H64,SUMPRODUCT($O65:$O$67*BT65:BT$67*($E65:$E$67=$D64)),IF(ISNUMBER(Data_2017!BN64),100*ABS($G64-(Data_2017!BN64-$K64)/$M64),0),IF(ISNUMBER(Data_2017!BN64),100*ABS($G64-(Data_2017!BN64-$K64)/$M64),0)))</f>
        <v>35.81</v>
      </c>
      <c r="BU64" s="100">
        <f>IF($H64=0,0,CHOOSE($H64,SUMPRODUCT($O65:$O$67*BU65:BU$67*($E65:$E$67=$D64)),IF(ISNUMBER(Data_2017!BO64),100*ABS($G64-(Data_2017!BO64-$K64)/$M64),0),IF(ISNUMBER(Data_2017!BO64),100*ABS($G64-(Data_2017!BO64-$K64)/$M64),0)))</f>
        <v>70.15</v>
      </c>
      <c r="BV64" s="100">
        <f>IF($H64=0,0,CHOOSE($H64,SUMPRODUCT($O65:$O$67*BV65:BV$67*($E65:$E$67=$D64)),IF(ISNUMBER(Data_2017!BP64),100*ABS($G64-(Data_2017!BP64-$K64)/$M64),0),IF(ISNUMBER(Data_2017!BP64),100*ABS($G64-(Data_2017!BP64-$K64)/$M64),0)))</f>
        <v>43.22</v>
      </c>
      <c r="BW64" s="100">
        <f>IF($H64=0,0,CHOOSE($H64,SUMPRODUCT($O65:$O$67*BW65:BW$67*($E65:$E$67=$D64)),IF(ISNUMBER(Data_2017!BQ64),100*ABS($G64-(Data_2017!BQ64-$K64)/$M64),0),IF(ISNUMBER(Data_2017!BQ64),100*ABS($G64-(Data_2017!BQ64-$K64)/$M64),0)))</f>
        <v>81.86</v>
      </c>
      <c r="BX64" s="100">
        <f>IF($H64=0,0,CHOOSE($H64,SUMPRODUCT($O65:$O$67*BX65:BX$67*($E65:$E$67=$D64)),IF(ISNUMBER(Data_2017!BR64),100*ABS($G64-(Data_2017!BR64-$K64)/$M64),0),IF(ISNUMBER(Data_2017!BR64),100*ABS($G64-(Data_2017!BR64-$K64)/$M64),0)))</f>
        <v>80.36</v>
      </c>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row>
    <row r="65" s="69" customFormat="1" ht="24.95" customHeight="1" spans="1:130">
      <c r="A65" s="92"/>
      <c r="B65" s="92">
        <f>tblIndicators!A61</f>
        <v>60</v>
      </c>
      <c r="C65" s="92">
        <f>tblIndicators!B61</f>
        <v>0</v>
      </c>
      <c r="D65" s="92" t="str">
        <f>tblIndicators!D61</f>
        <v>PESE4.2.10</v>
      </c>
      <c r="E65" s="92" t="str">
        <f>tblIndicators!E61</f>
        <v>PESE4.2</v>
      </c>
      <c r="F65" s="92">
        <f>tblIndicators!F61</f>
        <v>3</v>
      </c>
      <c r="G65" s="92">
        <f>tblIndicators!Y61</f>
        <v>0</v>
      </c>
      <c r="H65" s="92">
        <f>tblIndicators!Z61</f>
        <v>3</v>
      </c>
      <c r="I65" s="104">
        <f>tblIndicators!AA61</f>
        <v>0</v>
      </c>
      <c r="J65" s="92">
        <f>tblIndicators!AB61</f>
        <v>4</v>
      </c>
      <c r="K65" s="89">
        <f>IF(uxb_works!$B$66=1,CHOOSE(H65,"-",MIN(Data_2017!J65:BR65),I65),CHOOSE(H65,"-",MIN(Data_2017!J65:BQ65),I65))</f>
        <v>0</v>
      </c>
      <c r="L65" s="97">
        <f>IF(uxb_works!$B$66=1,CHOOSE(H65,"-",MAX(Data_2017!J65:BR65),J65),CHOOSE(H65,"-",MAX(Data_2017!J65:BQ65),J65))</f>
        <v>4</v>
      </c>
      <c r="M65" s="92">
        <f t="shared" si="1"/>
        <v>4</v>
      </c>
      <c r="N65" s="105" t="str">
        <f>REPT(" ",F65)&amp;tblIndicators!AE61</f>
        <v>   4.2.10) Threat of terrorism</v>
      </c>
      <c r="O65" s="106">
        <f>tblIndicators!AD61</f>
        <v>0.0833333333333333</v>
      </c>
      <c r="P65" s="100">
        <f>IF($H65=0,0,CHOOSE($H65,SUMPRODUCT($O66:$O$67*P66:P$67*($E66:$E$67=$D65)),IF(ISNUMBER(Data_2017!J65),100*ABS($G65-(Data_2017!J65-$K65)/$M65),0),IF(ISNUMBER(Data_2017!J65),100*ABS($G65-(Data_2017!J65-$K65)/$M65),0)))</f>
        <v>75</v>
      </c>
      <c r="Q65" s="100">
        <f>IF($H65=0,0,CHOOSE($H65,SUMPRODUCT($O66:$O$67*Q66:Q$67*($E66:$E$67=$D65)),IF(ISNUMBER(Data_2017!K65),100*ABS($G65-(Data_2017!K65-$K65)/$M65),0),IF(ISNUMBER(Data_2017!K65),100*ABS($G65-(Data_2017!K65-$K65)/$M65),0)))</f>
        <v>75</v>
      </c>
      <c r="R65" s="100">
        <f>IF($H65=0,0,CHOOSE($H65,SUMPRODUCT($O66:$O$67*R66:R$67*($E66:$E$67=$D65)),IF(ISNUMBER(Data_2017!L65),100*ABS($G65-(Data_2017!L65-$K65)/$M65),0),IF(ISNUMBER(Data_2017!L65),100*ABS($G65-(Data_2017!L65-$K65)/$M65),0)))</f>
        <v>75</v>
      </c>
      <c r="S65" s="100">
        <f>IF($H65=0,0,CHOOSE($H65,SUMPRODUCT($O66:$O$67*S66:S$67*($E66:$E$67=$D65)),IF(ISNUMBER(Data_2017!M65),100*ABS($G65-(Data_2017!M65-$K65)/$M65),0),IF(ISNUMBER(Data_2017!M65),100*ABS($G65-(Data_2017!M65-$K65)/$M65),0)))</f>
        <v>25</v>
      </c>
      <c r="T65" s="100">
        <f>IF($H65=0,0,CHOOSE($H65,SUMPRODUCT($O66:$O$67*T66:T$67*($E66:$E$67=$D65)),IF(ISNUMBER(Data_2017!N65),100*ABS($G65-(Data_2017!N65-$K65)/$M65),0),IF(ISNUMBER(Data_2017!N65),100*ABS($G65-(Data_2017!N65-$K65)/$M65),0)))</f>
        <v>75</v>
      </c>
      <c r="U65" s="100">
        <f>IF($H65=0,0,CHOOSE($H65,SUMPRODUCT($O66:$O$67*U66:U$67*($E66:$E$67=$D65)),IF(ISNUMBER(Data_2017!O65),100*ABS($G65-(Data_2017!O65-$K65)/$M65),0),IF(ISNUMBER(Data_2017!O65),100*ABS($G65-(Data_2017!O65-$K65)/$M65),0)))</f>
        <v>100</v>
      </c>
      <c r="V65" s="100">
        <f>IF($H65=0,0,CHOOSE($H65,SUMPRODUCT($O66:$O$67*V66:V$67*($E66:$E$67=$D65)),IF(ISNUMBER(Data_2017!P65),100*ABS($G65-(Data_2017!P65-$K65)/$M65),0),IF(ISNUMBER(Data_2017!P65),100*ABS($G65-(Data_2017!P65-$K65)/$M65),0)))</f>
        <v>50</v>
      </c>
      <c r="W65" s="100">
        <f>IF($H65=0,0,CHOOSE($H65,SUMPRODUCT($O66:$O$67*W66:W$67*($E66:$E$67=$D65)),IF(ISNUMBER(Data_2017!Q65),100*ABS($G65-(Data_2017!Q65-$K65)/$M65),0),IF(ISNUMBER(Data_2017!Q65),100*ABS($G65-(Data_2017!Q65-$K65)/$M65),0)))</f>
        <v>50</v>
      </c>
      <c r="X65" s="100">
        <f>IF($H65=0,0,CHOOSE($H65,SUMPRODUCT($O66:$O$67*X66:X$67*($E66:$E$67=$D65)),IF(ISNUMBER(Data_2017!R65),100*ABS($G65-(Data_2017!R65-$K65)/$M65),0),IF(ISNUMBER(Data_2017!R65),100*ABS($G65-(Data_2017!R65-$K65)/$M65),0)))</f>
        <v>75</v>
      </c>
      <c r="Y65" s="100">
        <f>IF($H65=0,0,CHOOSE($H65,SUMPRODUCT($O66:$O$67*Y66:Y$67*($E66:$E$67=$D65)),IF(ISNUMBER(Data_2017!S65),100*ABS($G65-(Data_2017!S65-$K65)/$M65),0),IF(ISNUMBER(Data_2017!S65),100*ABS($G65-(Data_2017!S65-$K65)/$M65),0)))</f>
        <v>50</v>
      </c>
      <c r="Z65" s="100">
        <f>IF($H65=0,0,CHOOSE($H65,SUMPRODUCT($O66:$O$67*Z66:Z$67*($E66:$E$67=$D65)),IF(ISNUMBER(Data_2017!T65),100*ABS($G65-(Data_2017!T65-$K65)/$M65),0),IF(ISNUMBER(Data_2017!T65),100*ABS($G65-(Data_2017!T65-$K65)/$M65),0)))</f>
        <v>75</v>
      </c>
      <c r="AA65" s="100">
        <f>IF($H65=0,0,CHOOSE($H65,SUMPRODUCT($O66:$O$67*AA66:AA$67*($E66:$E$67=$D65)),IF(ISNUMBER(Data_2017!U65),100*ABS($G65-(Data_2017!U65-$K65)/$M65),0),IF(ISNUMBER(Data_2017!U65),100*ABS($G65-(Data_2017!U65-$K65)/$M65),0)))</f>
        <v>50</v>
      </c>
      <c r="AB65" s="100">
        <f>IF($H65=0,0,CHOOSE($H65,SUMPRODUCT($O66:$O$67*AB66:AB$67*($E66:$E$67=$D65)),IF(ISNUMBER(Data_2017!V65),100*ABS($G65-(Data_2017!V65-$K65)/$M65),0),IF(ISNUMBER(Data_2017!V65),100*ABS($G65-(Data_2017!V65-$K65)/$M65),0)))</f>
        <v>75</v>
      </c>
      <c r="AC65" s="100">
        <f>IF($H65=0,0,CHOOSE($H65,SUMPRODUCT($O66:$O$67*AC66:AC$67*($E66:$E$67=$D65)),IF(ISNUMBER(Data_2017!W65),100*ABS($G65-(Data_2017!W65-$K65)/$M65),0),IF(ISNUMBER(Data_2017!W65),100*ABS($G65-(Data_2017!W65-$K65)/$M65),0)))</f>
        <v>75</v>
      </c>
      <c r="AD65" s="100">
        <f>IF($H65=0,0,CHOOSE($H65,SUMPRODUCT($O66:$O$67*AD66:AD$67*($E66:$E$67=$D65)),IF(ISNUMBER(Data_2017!X65),100*ABS($G65-(Data_2017!X65-$K65)/$M65),0),IF(ISNUMBER(Data_2017!X65),100*ABS($G65-(Data_2017!X65-$K65)/$M65),0)))</f>
        <v>50</v>
      </c>
      <c r="AE65" s="100">
        <f>IF($H65=0,0,CHOOSE($H65,SUMPRODUCT($O66:$O$67*AE66:AE$67*($E66:$E$67=$D65)),IF(ISNUMBER(Data_2017!Y65),100*ABS($G65-(Data_2017!Y65-$K65)/$M65),0),IF(ISNUMBER(Data_2017!Y65),100*ABS($G65-(Data_2017!Y65-$K65)/$M65),0)))</f>
        <v>25</v>
      </c>
      <c r="AF65" s="100">
        <f>IF($H65=0,0,CHOOSE($H65,SUMPRODUCT($O66:$O$67*AF66:AF$67*($E66:$E$67=$D65)),IF(ISNUMBER(Data_2017!Z65),100*ABS($G65-(Data_2017!Z65-$K65)/$M65),0),IF(ISNUMBER(Data_2017!Z65),100*ABS($G65-(Data_2017!Z65-$K65)/$M65),0)))</f>
        <v>75</v>
      </c>
      <c r="AG65" s="100">
        <f>IF($H65=0,0,CHOOSE($H65,SUMPRODUCT($O66:$O$67*AG66:AG$67*($E66:$E$67=$D65)),IF(ISNUMBER(Data_2017!AA65),100*ABS($G65-(Data_2017!AA65-$K65)/$M65),0),IF(ISNUMBER(Data_2017!AA65),100*ABS($G65-(Data_2017!AA65-$K65)/$M65),0)))</f>
        <v>75</v>
      </c>
      <c r="AH65" s="100">
        <f>IF($H65=0,0,CHOOSE($H65,SUMPRODUCT($O66:$O$67*AH66:AH$67*($E66:$E$67=$D65)),IF(ISNUMBER(Data_2017!AB65),100*ABS($G65-(Data_2017!AB65-$K65)/$M65),0),IF(ISNUMBER(Data_2017!AB65),100*ABS($G65-(Data_2017!AB65-$K65)/$M65),0)))</f>
        <v>75</v>
      </c>
      <c r="AI65" s="100">
        <f>IF($H65=0,0,CHOOSE($H65,SUMPRODUCT($O66:$O$67*AI66:AI$67*($E66:$E$67=$D65)),IF(ISNUMBER(Data_2017!AC65),100*ABS($G65-(Data_2017!AC65-$K65)/$M65),0),IF(ISNUMBER(Data_2017!AC65),100*ABS($G65-(Data_2017!AC65-$K65)/$M65),0)))</f>
        <v>100</v>
      </c>
      <c r="AJ65" s="100">
        <f>IF($H65=0,0,CHOOSE($H65,SUMPRODUCT($O66:$O$67*AJ66:AJ$67*($E66:$E$67=$D65)),IF(ISNUMBER(Data_2017!AD65),100*ABS($G65-(Data_2017!AD65-$K65)/$M65),0),IF(ISNUMBER(Data_2017!AD65),100*ABS($G65-(Data_2017!AD65-$K65)/$M65),0)))</f>
        <v>25</v>
      </c>
      <c r="AK65" s="100">
        <f>IF($H65=0,0,CHOOSE($H65,SUMPRODUCT($O66:$O$67*AK66:AK$67*($E66:$E$67=$D65)),IF(ISNUMBER(Data_2017!AE65),100*ABS($G65-(Data_2017!AE65-$K65)/$M65),0),IF(ISNUMBER(Data_2017!AE65),100*ABS($G65-(Data_2017!AE65-$K65)/$M65),0)))</f>
        <v>25</v>
      </c>
      <c r="AL65" s="100">
        <f>IF($H65=0,0,CHOOSE($H65,SUMPRODUCT($O66:$O$67*AL66:AL$67*($E66:$E$67=$D65)),IF(ISNUMBER(Data_2017!AF65),100*ABS($G65-(Data_2017!AF65-$K65)/$M65),0),IF(ISNUMBER(Data_2017!AF65),100*ABS($G65-(Data_2017!AF65-$K65)/$M65),0)))</f>
        <v>25</v>
      </c>
      <c r="AM65" s="100">
        <f>IF($H65=0,0,CHOOSE($H65,SUMPRODUCT($O66:$O$67*AM66:AM$67*($E66:$E$67=$D65)),IF(ISNUMBER(Data_2017!AG65),100*ABS($G65-(Data_2017!AG65-$K65)/$M65),0),IF(ISNUMBER(Data_2017!AG65),100*ABS($G65-(Data_2017!AG65-$K65)/$M65),0)))</f>
        <v>75</v>
      </c>
      <c r="AN65" s="100">
        <f>IF($H65=0,0,CHOOSE($H65,SUMPRODUCT($O66:$O$67*AN66:AN$67*($E66:$E$67=$D65)),IF(ISNUMBER(Data_2017!AH65),100*ABS($G65-(Data_2017!AH65-$K65)/$M65),0),IF(ISNUMBER(Data_2017!AH65),100*ABS($G65-(Data_2017!AH65-$K65)/$M65),0)))</f>
        <v>0</v>
      </c>
      <c r="AO65" s="100">
        <f>IF($H65=0,0,CHOOSE($H65,SUMPRODUCT($O66:$O$67*AO66:AO$67*($E66:$E$67=$D65)),IF(ISNUMBER(Data_2017!AI65),100*ABS($G65-(Data_2017!AI65-$K65)/$M65),0),IF(ISNUMBER(Data_2017!AI65),100*ABS($G65-(Data_2017!AI65-$K65)/$M65),0)))</f>
        <v>75</v>
      </c>
      <c r="AP65" s="100">
        <f>IF($H65=0,0,CHOOSE($H65,SUMPRODUCT($O66:$O$67*AP66:AP$67*($E66:$E$67=$D65)),IF(ISNUMBER(Data_2017!AJ65),100*ABS($G65-(Data_2017!AJ65-$K65)/$M65),0),IF(ISNUMBER(Data_2017!AJ65),100*ABS($G65-(Data_2017!AJ65-$K65)/$M65),0)))</f>
        <v>75</v>
      </c>
      <c r="AQ65" s="100">
        <f>IF($H65=0,0,CHOOSE($H65,SUMPRODUCT($O66:$O$67*AQ66:AQ$67*($E66:$E$67=$D65)),IF(ISNUMBER(Data_2017!AK65),100*ABS($G65-(Data_2017!AK65-$K65)/$M65),0),IF(ISNUMBER(Data_2017!AK65),100*ABS($G65-(Data_2017!AK65-$K65)/$M65),0)))</f>
        <v>75</v>
      </c>
      <c r="AR65" s="100">
        <f>IF($H65=0,0,CHOOSE($H65,SUMPRODUCT($O66:$O$67*AR66:AR$67*($E66:$E$67=$D65)),IF(ISNUMBER(Data_2017!AL65),100*ABS($G65-(Data_2017!AL65-$K65)/$M65),0),IF(ISNUMBER(Data_2017!AL65),100*ABS($G65-(Data_2017!AL65-$K65)/$M65),0)))</f>
        <v>50</v>
      </c>
      <c r="AS65" s="100">
        <f>IF($H65=0,0,CHOOSE($H65,SUMPRODUCT($O66:$O$67*AS66:AS$67*($E66:$E$67=$D65)),IF(ISNUMBER(Data_2017!AM65),100*ABS($G65-(Data_2017!AM65-$K65)/$M65),0),IF(ISNUMBER(Data_2017!AM65),100*ABS($G65-(Data_2017!AM65-$K65)/$M65),0)))</f>
        <v>75</v>
      </c>
      <c r="AT65" s="100">
        <f>IF($H65=0,0,CHOOSE($H65,SUMPRODUCT($O66:$O$67*AT66:AT$67*($E66:$E$67=$D65)),IF(ISNUMBER(Data_2017!AN65),100*ABS($G65-(Data_2017!AN65-$K65)/$M65),0),IF(ISNUMBER(Data_2017!AN65),100*ABS($G65-(Data_2017!AN65-$K65)/$M65),0)))</f>
        <v>75</v>
      </c>
      <c r="AU65" s="100">
        <f>IF($H65=0,0,CHOOSE($H65,SUMPRODUCT($O66:$O$67*AU66:AU$67*($E66:$E$67=$D65)),IF(ISNUMBER(Data_2017!AO65),100*ABS($G65-(Data_2017!AO65-$K65)/$M65),0),IF(ISNUMBER(Data_2017!AO65),100*ABS($G65-(Data_2017!AO65-$K65)/$M65),0)))</f>
        <v>50</v>
      </c>
      <c r="AV65" s="100">
        <f>IF($H65=0,0,CHOOSE($H65,SUMPRODUCT($O66:$O$67*AV66:AV$67*($E66:$E$67=$D65)),IF(ISNUMBER(Data_2017!AP65),100*ABS($G65-(Data_2017!AP65-$K65)/$M65),0),IF(ISNUMBER(Data_2017!AP65),100*ABS($G65-(Data_2017!AP65-$K65)/$M65),0)))</f>
        <v>100</v>
      </c>
      <c r="AW65" s="100">
        <f>IF($H65=0,0,CHOOSE($H65,SUMPRODUCT($O66:$O$67*AW66:AW$67*($E66:$E$67=$D65)),IF(ISNUMBER(Data_2017!AQ65),100*ABS($G65-(Data_2017!AQ65-$K65)/$M65),0),IF(ISNUMBER(Data_2017!AQ65),100*ABS($G65-(Data_2017!AQ65-$K65)/$M65),0)))</f>
        <v>50</v>
      </c>
      <c r="AX65" s="100">
        <f>IF($H65=0,0,CHOOSE($H65,SUMPRODUCT($O66:$O$67*AX66:AX$67*($E66:$E$67=$D65)),IF(ISNUMBER(Data_2017!AR65),100*ABS($G65-(Data_2017!AR65-$K65)/$M65),0),IF(ISNUMBER(Data_2017!AR65),100*ABS($G65-(Data_2017!AR65-$K65)/$M65),0)))</f>
        <v>100</v>
      </c>
      <c r="AY65" s="100">
        <f>IF($H65=0,0,CHOOSE($H65,SUMPRODUCT($O66:$O$67*AY66:AY$67*($E66:$E$67=$D65)),IF(ISNUMBER(Data_2017!AS65),100*ABS($G65-(Data_2017!AS65-$K65)/$M65),0),IF(ISNUMBER(Data_2017!AS65),100*ABS($G65-(Data_2017!AS65-$K65)/$M65),0)))</f>
        <v>50</v>
      </c>
      <c r="AZ65" s="100">
        <f>IF($H65=0,0,CHOOSE($H65,SUMPRODUCT($O66:$O$67*AZ66:AZ$67*($E66:$E$67=$D65)),IF(ISNUMBER(Data_2017!AT65),100*ABS($G65-(Data_2017!AT65-$K65)/$M65),0),IF(ISNUMBER(Data_2017!AT65),100*ABS($G65-(Data_2017!AT65-$K65)/$M65),0)))</f>
        <v>50</v>
      </c>
      <c r="BA65" s="100">
        <f>IF($H65=0,0,CHOOSE($H65,SUMPRODUCT($O66:$O$67*BA66:BA$67*($E66:$E$67=$D65)),IF(ISNUMBER(Data_2017!AU65),100*ABS($G65-(Data_2017!AU65-$K65)/$M65),0),IF(ISNUMBER(Data_2017!AU65),100*ABS($G65-(Data_2017!AU65-$K65)/$M65),0)))</f>
        <v>50</v>
      </c>
      <c r="BB65" s="100">
        <f>IF($H65=0,0,CHOOSE($H65,SUMPRODUCT($O66:$O$67*BB66:BB$67*($E66:$E$67=$D65)),IF(ISNUMBER(Data_2017!AV65),100*ABS($G65-(Data_2017!AV65-$K65)/$M65),0),IF(ISNUMBER(Data_2017!AV65),100*ABS($G65-(Data_2017!AV65-$K65)/$M65),0)))</f>
        <v>75</v>
      </c>
      <c r="BC65" s="100">
        <f>IF($H65=0,0,CHOOSE($H65,SUMPRODUCT($O66:$O$67*BC66:BC$67*($E66:$E$67=$D65)),IF(ISNUMBER(Data_2017!AW65),100*ABS($G65-(Data_2017!AW65-$K65)/$M65),0),IF(ISNUMBER(Data_2017!AW65),100*ABS($G65-(Data_2017!AW65-$K65)/$M65),0)))</f>
        <v>25</v>
      </c>
      <c r="BD65" s="100">
        <f>IF($H65=0,0,CHOOSE($H65,SUMPRODUCT($O66:$O$67*BD66:BD$67*($E66:$E$67=$D65)),IF(ISNUMBER(Data_2017!AX65),100*ABS($G65-(Data_2017!AX65-$K65)/$M65),0),IF(ISNUMBER(Data_2017!AX65),100*ABS($G65-(Data_2017!AX65-$K65)/$M65),0)))</f>
        <v>75</v>
      </c>
      <c r="BE65" s="100">
        <f>IF($H65=0,0,CHOOSE($H65,SUMPRODUCT($O66:$O$67*BE66:BE$67*($E66:$E$67=$D65)),IF(ISNUMBER(Data_2017!AY65),100*ABS($G65-(Data_2017!AY65-$K65)/$M65),0),IF(ISNUMBER(Data_2017!AY65),100*ABS($G65-(Data_2017!AY65-$K65)/$M65),0)))</f>
        <v>75</v>
      </c>
      <c r="BF65" s="100">
        <f>IF($H65=0,0,CHOOSE($H65,SUMPRODUCT($O66:$O$67*BF66:BF$67*($E66:$E$67=$D65)),IF(ISNUMBER(Data_2017!AZ65),100*ABS($G65-(Data_2017!AZ65-$K65)/$M65),0),IF(ISNUMBER(Data_2017!AZ65),100*ABS($G65-(Data_2017!AZ65-$K65)/$M65),0)))</f>
        <v>50</v>
      </c>
      <c r="BG65" s="100">
        <f>IF($H65=0,0,CHOOSE($H65,SUMPRODUCT($O66:$O$67*BG66:BG$67*($E66:$E$67=$D65)),IF(ISNUMBER(Data_2017!BA65),100*ABS($G65-(Data_2017!BA65-$K65)/$M65),0),IF(ISNUMBER(Data_2017!BA65),100*ABS($G65-(Data_2017!BA65-$K65)/$M65),0)))</f>
        <v>75</v>
      </c>
      <c r="BH65" s="100">
        <f>IF($H65=0,0,CHOOSE($H65,SUMPRODUCT($O66:$O$67*BH66:BH$67*($E66:$E$67=$D65)),IF(ISNUMBER(Data_2017!BB65),100*ABS($G65-(Data_2017!BB65-$K65)/$M65),0),IF(ISNUMBER(Data_2017!BB65),100*ABS($G65-(Data_2017!BB65-$K65)/$M65),0)))</f>
        <v>75</v>
      </c>
      <c r="BI65" s="100">
        <f>IF($H65=0,0,CHOOSE($H65,SUMPRODUCT($O66:$O$67*BI66:BI$67*($E66:$E$67=$D65)),IF(ISNUMBER(Data_2017!BC65),100*ABS($G65-(Data_2017!BC65-$K65)/$M65),0),IF(ISNUMBER(Data_2017!BC65),100*ABS($G65-(Data_2017!BC65-$K65)/$M65),0)))</f>
        <v>100</v>
      </c>
      <c r="BJ65" s="100">
        <f>IF($H65=0,0,CHOOSE($H65,SUMPRODUCT($O66:$O$67*BJ66:BJ$67*($E66:$E$67=$D65)),IF(ISNUMBER(Data_2017!BD65),100*ABS($G65-(Data_2017!BD65-$K65)/$M65),0),IF(ISNUMBER(Data_2017!BD65),100*ABS($G65-(Data_2017!BD65-$K65)/$M65),0)))</f>
        <v>75</v>
      </c>
      <c r="BK65" s="100">
        <f>IF($H65=0,0,CHOOSE($H65,SUMPRODUCT($O66:$O$67*BK66:BK$67*($E66:$E$67=$D65)),IF(ISNUMBER(Data_2017!BE65),100*ABS($G65-(Data_2017!BE65-$K65)/$M65),0),IF(ISNUMBER(Data_2017!BE65),100*ABS($G65-(Data_2017!BE65-$K65)/$M65),0)))</f>
        <v>75</v>
      </c>
      <c r="BL65" s="100">
        <f>IF($H65=0,0,CHOOSE($H65,SUMPRODUCT($O66:$O$67*BL66:BL$67*($E66:$E$67=$D65)),IF(ISNUMBER(Data_2017!BF65),100*ABS($G65-(Data_2017!BF65-$K65)/$M65),0),IF(ISNUMBER(Data_2017!BF65),100*ABS($G65-(Data_2017!BF65-$K65)/$M65),0)))</f>
        <v>100</v>
      </c>
      <c r="BM65" s="100">
        <f>IF($H65=0,0,CHOOSE($H65,SUMPRODUCT($O66:$O$67*BM66:BM$67*($E66:$E$67=$D65)),IF(ISNUMBER(Data_2017!BG65),100*ABS($G65-(Data_2017!BG65-$K65)/$M65),0),IF(ISNUMBER(Data_2017!BG65),100*ABS($G65-(Data_2017!BG65-$K65)/$M65),0)))</f>
        <v>75</v>
      </c>
      <c r="BN65" s="100">
        <f>IF($H65=0,0,CHOOSE($H65,SUMPRODUCT($O66:$O$67*BN66:BN$67*($E66:$E$67=$D65)),IF(ISNUMBER(Data_2017!BH65),100*ABS($G65-(Data_2017!BH65-$K65)/$M65),0),IF(ISNUMBER(Data_2017!BH65),100*ABS($G65-(Data_2017!BH65-$K65)/$M65),0)))</f>
        <v>100</v>
      </c>
      <c r="BO65" s="100">
        <f>IF($H65=0,0,CHOOSE($H65,SUMPRODUCT($O66:$O$67*BO66:BO$67*($E66:$E$67=$D65)),IF(ISNUMBER(Data_2017!BI65),100*ABS($G65-(Data_2017!BI65-$K65)/$M65),0),IF(ISNUMBER(Data_2017!BI65),100*ABS($G65-(Data_2017!BI65-$K65)/$M65),0)))</f>
        <v>75</v>
      </c>
      <c r="BP65" s="100">
        <f>IF($H65=0,0,CHOOSE($H65,SUMPRODUCT($O66:$O$67*BP66:BP$67*($E66:$E$67=$D65)),IF(ISNUMBER(Data_2017!BJ65),100*ABS($G65-(Data_2017!BJ65-$K65)/$M65),0),IF(ISNUMBER(Data_2017!BJ65),100*ABS($G65-(Data_2017!BJ65-$K65)/$M65),0)))</f>
        <v>100</v>
      </c>
      <c r="BQ65" s="100">
        <f>IF($H65=0,0,CHOOSE($H65,SUMPRODUCT($O66:$O$67*BQ66:BQ$67*($E66:$E$67=$D65)),IF(ISNUMBER(Data_2017!BK65),100*ABS($G65-(Data_2017!BK65-$K65)/$M65),0),IF(ISNUMBER(Data_2017!BK65),100*ABS($G65-(Data_2017!BK65-$K65)/$M65),0)))</f>
        <v>50</v>
      </c>
      <c r="BR65" s="100">
        <f>IF($H65=0,0,CHOOSE($H65,SUMPRODUCT($O66:$O$67*BR66:BR$67*($E66:$E$67=$D65)),IF(ISNUMBER(Data_2017!BL65),100*ABS($G65-(Data_2017!BL65-$K65)/$M65),0),IF(ISNUMBER(Data_2017!BL65),100*ABS($G65-(Data_2017!BL65-$K65)/$M65),0)))</f>
        <v>75</v>
      </c>
      <c r="BS65" s="100">
        <f>IF($H65=0,0,CHOOSE($H65,SUMPRODUCT($O66:$O$67*BS66:BS$67*($E66:$E$67=$D65)),IF(ISNUMBER(Data_2017!BM65),100*ABS($G65-(Data_2017!BM65-$K65)/$M65),0),IF(ISNUMBER(Data_2017!BM65),100*ABS($G65-(Data_2017!BM65-$K65)/$M65),0)))</f>
        <v>100</v>
      </c>
      <c r="BT65" s="100">
        <f>IF($H65=0,0,CHOOSE($H65,SUMPRODUCT($O66:$O$67*BT66:BT$67*($E66:$E$67=$D65)),IF(ISNUMBER(Data_2017!BN65),100*ABS($G65-(Data_2017!BN65-$K65)/$M65),0),IF(ISNUMBER(Data_2017!BN65),100*ABS($G65-(Data_2017!BN65-$K65)/$M65),0)))</f>
        <v>75</v>
      </c>
      <c r="BU65" s="100">
        <f>IF($H65=0,0,CHOOSE($H65,SUMPRODUCT($O66:$O$67*BU66:BU$67*($E66:$E$67=$D65)),IF(ISNUMBER(Data_2017!BO65),100*ABS($G65-(Data_2017!BO65-$K65)/$M65),0),IF(ISNUMBER(Data_2017!BO65),100*ABS($G65-(Data_2017!BO65-$K65)/$M65),0)))</f>
        <v>100</v>
      </c>
      <c r="BV65" s="100">
        <f>IF($H65=0,0,CHOOSE($H65,SUMPRODUCT($O66:$O$67*BV66:BV$67*($E66:$E$67=$D65)),IF(ISNUMBER(Data_2017!BP65),100*ABS($G65-(Data_2017!BP65-$K65)/$M65),0),IF(ISNUMBER(Data_2017!BP65),100*ABS($G65-(Data_2017!BP65-$K65)/$M65),0)))</f>
        <v>75</v>
      </c>
      <c r="BW65" s="100">
        <f>IF($H65=0,0,CHOOSE($H65,SUMPRODUCT($O66:$O$67*BW66:BW$67*($E66:$E$67=$D65)),IF(ISNUMBER(Data_2017!BQ65),100*ABS($G65-(Data_2017!BQ65-$K65)/$M65),0),IF(ISNUMBER(Data_2017!BQ65),100*ABS($G65-(Data_2017!BQ65-$K65)/$M65),0)))</f>
        <v>75</v>
      </c>
      <c r="BX65" s="100">
        <f>IF($H65=0,0,CHOOSE($H65,SUMPRODUCT($O66:$O$67*BX66:BX$67*($E66:$E$67=$D65)),IF(ISNUMBER(Data_2017!BR65),100*ABS($G65-(Data_2017!BR65-$K65)/$M65),0),IF(ISNUMBER(Data_2017!BR65),100*ABS($G65-(Data_2017!BR65-$K65)/$M65),0)))</f>
        <v>75</v>
      </c>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row>
    <row r="66" s="69" customFormat="1" ht="24.95" customHeight="1" spans="1:130">
      <c r="A66" s="92"/>
      <c r="B66" s="92">
        <f>tblIndicators!A62</f>
        <v>61</v>
      </c>
      <c r="C66" s="92">
        <f>tblIndicators!B62</f>
        <v>0</v>
      </c>
      <c r="D66" s="92" t="str">
        <f>tblIndicators!D62</f>
        <v>PESE4.2.11</v>
      </c>
      <c r="E66" s="92" t="str">
        <f>tblIndicators!E62</f>
        <v>PESE4.2</v>
      </c>
      <c r="F66" s="92">
        <f>tblIndicators!F62</f>
        <v>3</v>
      </c>
      <c r="G66" s="92">
        <f>tblIndicators!Y62</f>
        <v>0</v>
      </c>
      <c r="H66" s="92">
        <f>tblIndicators!Z62</f>
        <v>3</v>
      </c>
      <c r="I66" s="104">
        <f>tblIndicators!AA62</f>
        <v>0</v>
      </c>
      <c r="J66" s="92">
        <f>tblIndicators!AB62</f>
        <v>4</v>
      </c>
      <c r="K66" s="89">
        <f>IF(uxb_works!$B$66=1,CHOOSE(H66,"-",MIN(Data_2017!J66:BR66),I66),CHOOSE(H66,"-",MIN(Data_2017!J66:BQ66),I66))</f>
        <v>0</v>
      </c>
      <c r="L66" s="97">
        <f>IF(uxb_works!$B$66=1,CHOOSE(H66,"-",MAX(Data_2017!J66:BR66),J66),CHOOSE(H66,"-",MAX(Data_2017!J66:BQ66),J66))</f>
        <v>4</v>
      </c>
      <c r="M66" s="92">
        <f t="shared" si="1"/>
        <v>4</v>
      </c>
      <c r="N66" s="105" t="str">
        <f>REPT(" ",F66)&amp;tblIndicators!AE62</f>
        <v>   4.2.11) Threat of military conflict</v>
      </c>
      <c r="O66" s="106">
        <f>tblIndicators!AD62</f>
        <v>0.0833333333333333</v>
      </c>
      <c r="P66" s="100">
        <f>IF($H66=0,0,CHOOSE($H66,SUMPRODUCT($O67:$O$67*P67:P$67*($E67:$E$67=$D66)),IF(ISNUMBER(Data_2017!J66),100*ABS($G66-(Data_2017!J66-$K66)/$M66),0),IF(ISNUMBER(Data_2017!J66),100*ABS($G66-(Data_2017!J66-$K66)/$M66),0)))</f>
        <v>100</v>
      </c>
      <c r="Q66" s="100">
        <f>IF($H66=0,0,CHOOSE($H66,SUMPRODUCT($O67:$O$67*Q67:Q$67*($E67:$E$67=$D66)),IF(ISNUMBER(Data_2017!K66),100*ABS($G66-(Data_2017!K66-$K66)/$M66),0),IF(ISNUMBER(Data_2017!K66),100*ABS($G66-(Data_2017!K66-$K66)/$M66),0)))</f>
        <v>100</v>
      </c>
      <c r="R66" s="100">
        <f>IF($H66=0,0,CHOOSE($H66,SUMPRODUCT($O67:$O$67*R67:R$67*($E67:$E$67=$D66)),IF(ISNUMBER(Data_2017!L66),100*ABS($G66-(Data_2017!L66-$K66)/$M66),0),IF(ISNUMBER(Data_2017!L66),100*ABS($G66-(Data_2017!L66-$K66)/$M66),0)))</f>
        <v>75</v>
      </c>
      <c r="S66" s="100">
        <f>IF($H66=0,0,CHOOSE($H66,SUMPRODUCT($O67:$O$67*S67:S$67*($E67:$E$67=$D66)),IF(ISNUMBER(Data_2017!M66),100*ABS($G66-(Data_2017!M66-$K66)/$M66),0),IF(ISNUMBER(Data_2017!M66),100*ABS($G66-(Data_2017!M66-$K66)/$M66),0)))</f>
        <v>50</v>
      </c>
      <c r="T66" s="100">
        <f>IF($H66=0,0,CHOOSE($H66,SUMPRODUCT($O67:$O$67*T67:T$67*($E67:$E$67=$D66)),IF(ISNUMBER(Data_2017!N66),100*ABS($G66-(Data_2017!N66-$K66)/$M66),0),IF(ISNUMBER(Data_2017!N66),100*ABS($G66-(Data_2017!N66-$K66)/$M66),0)))</f>
        <v>100</v>
      </c>
      <c r="U66" s="100">
        <f>IF($H66=0,0,CHOOSE($H66,SUMPRODUCT($O67:$O$67*U67:U$67*($E67:$E$67=$D66)),IF(ISNUMBER(Data_2017!O66),100*ABS($G66-(Data_2017!O66-$K66)/$M66),0),IF(ISNUMBER(Data_2017!O66),100*ABS($G66-(Data_2017!O66-$K66)/$M66),0)))</f>
        <v>75</v>
      </c>
      <c r="V66" s="100">
        <f>IF($H66=0,0,CHOOSE($H66,SUMPRODUCT($O67:$O$67*V67:V$67*($E67:$E$67=$D66)),IF(ISNUMBER(Data_2017!P66),100*ABS($G66-(Data_2017!P66-$K66)/$M66),0),IF(ISNUMBER(Data_2017!P66),100*ABS($G66-(Data_2017!P66-$K66)/$M66),0)))</f>
        <v>50</v>
      </c>
      <c r="W66" s="100">
        <f>IF($H66=0,0,CHOOSE($H66,SUMPRODUCT($O67:$O$67*W67:W$67*($E67:$E$67=$D66)),IF(ISNUMBER(Data_2017!Q66),100*ABS($G66-(Data_2017!Q66-$K66)/$M66),0),IF(ISNUMBER(Data_2017!Q66),100*ABS($G66-(Data_2017!Q66-$K66)/$M66),0)))</f>
        <v>100</v>
      </c>
      <c r="X66" s="100">
        <f>IF($H66=0,0,CHOOSE($H66,SUMPRODUCT($O67:$O$67*X67:X$67*($E67:$E$67=$D66)),IF(ISNUMBER(Data_2017!R66),100*ABS($G66-(Data_2017!R66-$K66)/$M66),0),IF(ISNUMBER(Data_2017!R66),100*ABS($G66-(Data_2017!R66-$K66)/$M66),0)))</f>
        <v>100</v>
      </c>
      <c r="Y66" s="100">
        <f>IF($H66=0,0,CHOOSE($H66,SUMPRODUCT($O67:$O$67*Y67:Y$67*($E67:$E$67=$D66)),IF(ISNUMBER(Data_2017!S66),100*ABS($G66-(Data_2017!S66-$K66)/$M66),0),IF(ISNUMBER(Data_2017!S66),100*ABS($G66-(Data_2017!S66-$K66)/$M66),0)))</f>
        <v>75</v>
      </c>
      <c r="Z66" s="100">
        <f>IF($H66=0,0,CHOOSE($H66,SUMPRODUCT($O67:$O$67*Z67:Z$67*($E67:$E$67=$D66)),IF(ISNUMBER(Data_2017!T66),100*ABS($G66-(Data_2017!T66-$K66)/$M66),0),IF(ISNUMBER(Data_2017!T66),100*ABS($G66-(Data_2017!T66-$K66)/$M66),0)))</f>
        <v>75</v>
      </c>
      <c r="AA66" s="100">
        <f>IF($H66=0,0,CHOOSE($H66,SUMPRODUCT($O67:$O$67*AA67:AA$67*($E67:$E$67=$D66)),IF(ISNUMBER(Data_2017!U66),100*ABS($G66-(Data_2017!U66-$K66)/$M66),0),IF(ISNUMBER(Data_2017!U66),100*ABS($G66-(Data_2017!U66-$K66)/$M66),0)))</f>
        <v>75</v>
      </c>
      <c r="AB66" s="100">
        <f>IF($H66=0,0,CHOOSE($H66,SUMPRODUCT($O67:$O$67*AB67:AB$67*($E67:$E$67=$D66)),IF(ISNUMBER(Data_2017!V66),100*ABS($G66-(Data_2017!V66-$K66)/$M66),0),IF(ISNUMBER(Data_2017!V66),100*ABS($G66-(Data_2017!V66-$K66)/$M66),0)))</f>
        <v>100</v>
      </c>
      <c r="AC66" s="100">
        <f>IF($H66=0,0,CHOOSE($H66,SUMPRODUCT($O67:$O$67*AC67:AC$67*($E67:$E$67=$D66)),IF(ISNUMBER(Data_2017!W66),100*ABS($G66-(Data_2017!W66-$K66)/$M66),0),IF(ISNUMBER(Data_2017!W66),100*ABS($G66-(Data_2017!W66-$K66)/$M66),0)))</f>
        <v>100</v>
      </c>
      <c r="AD66" s="100">
        <f>IF($H66=0,0,CHOOSE($H66,SUMPRODUCT($O67:$O$67*AD67:AD$67*($E67:$E$67=$D66)),IF(ISNUMBER(Data_2017!X66),100*ABS($G66-(Data_2017!X66-$K66)/$M66),0),IF(ISNUMBER(Data_2017!X66),100*ABS($G66-(Data_2017!X66-$K66)/$M66),0)))</f>
        <v>75</v>
      </c>
      <c r="AE66" s="100">
        <f>IF($H66=0,0,CHOOSE($H66,SUMPRODUCT($O67:$O$67*AE67:AE$67*($E67:$E$67=$D66)),IF(ISNUMBER(Data_2017!Y66),100*ABS($G66-(Data_2017!Y66-$K66)/$M66),0),IF(ISNUMBER(Data_2017!Y66),100*ABS($G66-(Data_2017!Y66-$K66)/$M66),0)))</f>
        <v>75</v>
      </c>
      <c r="AF66" s="100">
        <f>IF($H66=0,0,CHOOSE($H66,SUMPRODUCT($O67:$O$67*AF67:AF$67*($E67:$E$67=$D66)),IF(ISNUMBER(Data_2017!Z66),100*ABS($G66-(Data_2017!Z66-$K66)/$M66),0),IF(ISNUMBER(Data_2017!Z66),100*ABS($G66-(Data_2017!Z66-$K66)/$M66),0)))</f>
        <v>75</v>
      </c>
      <c r="AG66" s="100">
        <f>IF($H66=0,0,CHOOSE($H66,SUMPRODUCT($O67:$O$67*AG67:AG$67*($E67:$E$67=$D66)),IF(ISNUMBER(Data_2017!AA66),100*ABS($G66-(Data_2017!AA66-$K66)/$M66),0),IF(ISNUMBER(Data_2017!AA66),100*ABS($G66-(Data_2017!AA66-$K66)/$M66),0)))</f>
        <v>100</v>
      </c>
      <c r="AH66" s="100">
        <f>IF($H66=0,0,CHOOSE($H66,SUMPRODUCT($O67:$O$67*AH67:AH$67*($E67:$E$67=$D66)),IF(ISNUMBER(Data_2017!AB66),100*ABS($G66-(Data_2017!AB66-$K66)/$M66),0),IF(ISNUMBER(Data_2017!AB66),100*ABS($G66-(Data_2017!AB66-$K66)/$M66),0)))</f>
        <v>75</v>
      </c>
      <c r="AI66" s="100">
        <f>IF($H66=0,0,CHOOSE($H66,SUMPRODUCT($O67:$O$67*AI67:AI$67*($E67:$E$67=$D66)),IF(ISNUMBER(Data_2017!AC66),100*ABS($G66-(Data_2017!AC66-$K66)/$M66),0),IF(ISNUMBER(Data_2017!AC66),100*ABS($G66-(Data_2017!AC66-$K66)/$M66),0)))</f>
        <v>100</v>
      </c>
      <c r="AJ66" s="100">
        <f>IF($H66=0,0,CHOOSE($H66,SUMPRODUCT($O67:$O$67*AJ67:AJ$67*($E67:$E$67=$D66)),IF(ISNUMBER(Data_2017!AD66),100*ABS($G66-(Data_2017!AD66-$K66)/$M66),0),IF(ISNUMBER(Data_2017!AD66),100*ABS($G66-(Data_2017!AD66-$K66)/$M66),0)))</f>
        <v>50</v>
      </c>
      <c r="AK66" s="100">
        <f>IF($H66=0,0,CHOOSE($H66,SUMPRODUCT($O67:$O$67*AK67:AK$67*($E67:$E$67=$D66)),IF(ISNUMBER(Data_2017!AE66),100*ABS($G66-(Data_2017!AE66-$K66)/$M66),0),IF(ISNUMBER(Data_2017!AE66),100*ABS($G66-(Data_2017!AE66-$K66)/$M66),0)))</f>
        <v>100</v>
      </c>
      <c r="AL66" s="100">
        <f>IF($H66=0,0,CHOOSE($H66,SUMPRODUCT($O67:$O$67*AL67:AL$67*($E67:$E$67=$D66)),IF(ISNUMBER(Data_2017!AF66),100*ABS($G66-(Data_2017!AF66-$K66)/$M66),0),IF(ISNUMBER(Data_2017!AF66),100*ABS($G66-(Data_2017!AF66-$K66)/$M66),0)))</f>
        <v>75</v>
      </c>
      <c r="AM66" s="100">
        <f>IF($H66=0,0,CHOOSE($H66,SUMPRODUCT($O67:$O$67*AM67:AM$67*($E67:$E$67=$D66)),IF(ISNUMBER(Data_2017!AG66),100*ABS($G66-(Data_2017!AG66-$K66)/$M66),0),IF(ISNUMBER(Data_2017!AG66),100*ABS($G66-(Data_2017!AG66-$K66)/$M66),0)))</f>
        <v>100</v>
      </c>
      <c r="AN66" s="100">
        <f>IF($H66=0,0,CHOOSE($H66,SUMPRODUCT($O67:$O$67*AN67:AN$67*($E67:$E$67=$D66)),IF(ISNUMBER(Data_2017!AH66),100*ABS($G66-(Data_2017!AH66-$K66)/$M66),0),IF(ISNUMBER(Data_2017!AH66),100*ABS($G66-(Data_2017!AH66-$K66)/$M66),0)))</f>
        <v>25</v>
      </c>
      <c r="AO66" s="100">
        <f>IF($H66=0,0,CHOOSE($H66,SUMPRODUCT($O67:$O$67*AO67:AO$67*($E67:$E$67=$D66)),IF(ISNUMBER(Data_2017!AI66),100*ABS($G66-(Data_2017!AI66-$K66)/$M66),0),IF(ISNUMBER(Data_2017!AI66),100*ABS($G66-(Data_2017!AI66-$K66)/$M66),0)))</f>
        <v>100</v>
      </c>
      <c r="AP66" s="100">
        <f>IF($H66=0,0,CHOOSE($H66,SUMPRODUCT($O67:$O$67*AP67:AP$67*($E67:$E$67=$D66)),IF(ISNUMBER(Data_2017!AJ66),100*ABS($G66-(Data_2017!AJ66-$K66)/$M66),0),IF(ISNUMBER(Data_2017!AJ66),100*ABS($G66-(Data_2017!AJ66-$K66)/$M66),0)))</f>
        <v>75</v>
      </c>
      <c r="AQ66" s="100">
        <f>IF($H66=0,0,CHOOSE($H66,SUMPRODUCT($O67:$O$67*AQ67:AQ$67*($E67:$E$67=$D66)),IF(ISNUMBER(Data_2017!AK66),100*ABS($G66-(Data_2017!AK66-$K66)/$M66),0),IF(ISNUMBER(Data_2017!AK66),100*ABS($G66-(Data_2017!AK66-$K66)/$M66),0)))</f>
        <v>75</v>
      </c>
      <c r="AR66" s="100">
        <f>IF($H66=0,0,CHOOSE($H66,SUMPRODUCT($O67:$O$67*AR67:AR$67*($E67:$E$67=$D66)),IF(ISNUMBER(Data_2017!AL66),100*ABS($G66-(Data_2017!AL66-$K66)/$M66),0),IF(ISNUMBER(Data_2017!AL66),100*ABS($G66-(Data_2017!AL66-$K66)/$M66),0)))</f>
        <v>100</v>
      </c>
      <c r="AS66" s="100">
        <f>IF($H66=0,0,CHOOSE($H66,SUMPRODUCT($O67:$O$67*AS67:AS$67*($E67:$E$67=$D66)),IF(ISNUMBER(Data_2017!AM66),100*ABS($G66-(Data_2017!AM66-$K66)/$M66),0),IF(ISNUMBER(Data_2017!AM66),100*ABS($G66-(Data_2017!AM66-$K66)/$M66),0)))</f>
        <v>100</v>
      </c>
      <c r="AT66" s="100">
        <f>IF($H66=0,0,CHOOSE($H66,SUMPRODUCT($O67:$O$67*AT67:AT$67*($E67:$E$67=$D66)),IF(ISNUMBER(Data_2017!AN66),100*ABS($G66-(Data_2017!AN66-$K66)/$M66),0),IF(ISNUMBER(Data_2017!AN66),100*ABS($G66-(Data_2017!AN66-$K66)/$M66),0)))</f>
        <v>100</v>
      </c>
      <c r="AU66" s="100">
        <f>IF($H66=0,0,CHOOSE($H66,SUMPRODUCT($O67:$O$67*AU67:AU$67*($E67:$E$67=$D66)),IF(ISNUMBER(Data_2017!AO66),100*ABS($G66-(Data_2017!AO66-$K66)/$M66),0),IF(ISNUMBER(Data_2017!AO66),100*ABS($G66-(Data_2017!AO66-$K66)/$M66),0)))</f>
        <v>75</v>
      </c>
      <c r="AV66" s="100">
        <f>IF($H66=0,0,CHOOSE($H66,SUMPRODUCT($O67:$O$67*AV67:AV$67*($E67:$E$67=$D66)),IF(ISNUMBER(Data_2017!AP66),100*ABS($G66-(Data_2017!AP66-$K66)/$M66),0),IF(ISNUMBER(Data_2017!AP66),100*ABS($G66-(Data_2017!AP66-$K66)/$M66),0)))</f>
        <v>100</v>
      </c>
      <c r="AW66" s="100">
        <f>IF($H66=0,0,CHOOSE($H66,SUMPRODUCT($O67:$O$67*AW67:AW$67*($E67:$E$67=$D66)),IF(ISNUMBER(Data_2017!AQ66),100*ABS($G66-(Data_2017!AQ66-$K66)/$M66),0),IF(ISNUMBER(Data_2017!AQ66),100*ABS($G66-(Data_2017!AQ66-$K66)/$M66),0)))</f>
        <v>100</v>
      </c>
      <c r="AX66" s="100">
        <f>IF($H66=0,0,CHOOSE($H66,SUMPRODUCT($O67:$O$67*AX67:AX$67*($E67:$E$67=$D66)),IF(ISNUMBER(Data_2017!AR66),100*ABS($G66-(Data_2017!AR66-$K66)/$M66),0),IF(ISNUMBER(Data_2017!AR66),100*ABS($G66-(Data_2017!AR66-$K66)/$M66),0)))</f>
        <v>100</v>
      </c>
      <c r="AY66" s="100">
        <f>IF($H66=0,0,CHOOSE($H66,SUMPRODUCT($O67:$O$67*AY67:AY$67*($E67:$E$67=$D66)),IF(ISNUMBER(Data_2017!AS66),100*ABS($G66-(Data_2017!AS66-$K66)/$M66),0),IF(ISNUMBER(Data_2017!AS66),100*ABS($G66-(Data_2017!AS66-$K66)/$M66),0)))</f>
        <v>50</v>
      </c>
      <c r="AZ66" s="100">
        <f>IF($H66=0,0,CHOOSE($H66,SUMPRODUCT($O67:$O$67*AZ67:AZ$67*($E67:$E$67=$D66)),IF(ISNUMBER(Data_2017!AT66),100*ABS($G66-(Data_2017!AT66-$K66)/$M66),0),IF(ISNUMBER(Data_2017!AT66),100*ABS($G66-(Data_2017!AT66-$K66)/$M66),0)))</f>
        <v>75</v>
      </c>
      <c r="BA66" s="100">
        <f>IF($H66=0,0,CHOOSE($H66,SUMPRODUCT($O67:$O$67*BA67:BA$67*($E67:$E$67=$D66)),IF(ISNUMBER(Data_2017!AU66),100*ABS($G66-(Data_2017!AU66-$K66)/$M66),0),IF(ISNUMBER(Data_2017!AU66),100*ABS($G66-(Data_2017!AU66-$K66)/$M66),0)))</f>
        <v>100</v>
      </c>
      <c r="BB66" s="100">
        <f>IF($H66=0,0,CHOOSE($H66,SUMPRODUCT($O67:$O$67*BB67:BB$67*($E67:$E$67=$D66)),IF(ISNUMBER(Data_2017!AV66),100*ABS($G66-(Data_2017!AV66-$K66)/$M66),0),IF(ISNUMBER(Data_2017!AV66),100*ABS($G66-(Data_2017!AV66-$K66)/$M66),0)))</f>
        <v>100</v>
      </c>
      <c r="BC66" s="100">
        <f>IF($H66=0,0,CHOOSE($H66,SUMPRODUCT($O67:$O$67*BC67:BC$67*($E67:$E$67=$D66)),IF(ISNUMBER(Data_2017!AW66),100*ABS($G66-(Data_2017!AW66-$K66)/$M66),0),IF(ISNUMBER(Data_2017!AW66),100*ABS($G66-(Data_2017!AW66-$K66)/$M66),0)))</f>
        <v>100</v>
      </c>
      <c r="BD66" s="100">
        <f>IF($H66=0,0,CHOOSE($H66,SUMPRODUCT($O67:$O$67*BD67:BD$67*($E67:$E$67=$D66)),IF(ISNUMBER(Data_2017!AX66),100*ABS($G66-(Data_2017!AX66-$K66)/$M66),0),IF(ISNUMBER(Data_2017!AX66),100*ABS($G66-(Data_2017!AX66-$K66)/$M66),0)))</f>
        <v>100</v>
      </c>
      <c r="BE66" s="100">
        <f>IF($H66=0,0,CHOOSE($H66,SUMPRODUCT($O67:$O$67*BE67:BE$67*($E67:$E$67=$D66)),IF(ISNUMBER(Data_2017!AY66),100*ABS($G66-(Data_2017!AY66-$K66)/$M66),0),IF(ISNUMBER(Data_2017!AY66),100*ABS($G66-(Data_2017!AY66-$K66)/$M66),0)))</f>
        <v>100</v>
      </c>
      <c r="BF66" s="100">
        <f>IF($H66=0,0,CHOOSE($H66,SUMPRODUCT($O67:$O$67*BF67:BF$67*($E67:$E$67=$D66)),IF(ISNUMBER(Data_2017!AZ66),100*ABS($G66-(Data_2017!AZ66-$K66)/$M66),0),IF(ISNUMBER(Data_2017!AZ66),100*ABS($G66-(Data_2017!AZ66-$K66)/$M66),0)))</f>
        <v>75</v>
      </c>
      <c r="BG66" s="100">
        <f>IF($H66=0,0,CHOOSE($H66,SUMPRODUCT($O67:$O$67*BG67:BG$67*($E67:$E$67=$D66)),IF(ISNUMBER(Data_2017!BA66),100*ABS($G66-(Data_2017!BA66-$K66)/$M66),0),IF(ISNUMBER(Data_2017!BA66),100*ABS($G66-(Data_2017!BA66-$K66)/$M66),0)))</f>
        <v>100</v>
      </c>
      <c r="BH66" s="100">
        <f>IF($H66=0,0,CHOOSE($H66,SUMPRODUCT($O67:$O$67*BH67:BH$67*($E67:$E$67=$D66)),IF(ISNUMBER(Data_2017!BB66),100*ABS($G66-(Data_2017!BB66-$K66)/$M66),0),IF(ISNUMBER(Data_2017!BB66),100*ABS($G66-(Data_2017!BB66-$K66)/$M66),0)))</f>
        <v>100</v>
      </c>
      <c r="BI66" s="100">
        <f>IF($H66=0,0,CHOOSE($H66,SUMPRODUCT($O67:$O$67*BI67:BI$67*($E67:$E$67=$D66)),IF(ISNUMBER(Data_2017!BC66),100*ABS($G66-(Data_2017!BC66-$K66)/$M66),0),IF(ISNUMBER(Data_2017!BC66),100*ABS($G66-(Data_2017!BC66-$K66)/$M66),0)))</f>
        <v>100</v>
      </c>
      <c r="BJ66" s="100">
        <f>IF($H66=0,0,CHOOSE($H66,SUMPRODUCT($O67:$O$67*BJ67:BJ$67*($E67:$E$67=$D66)),IF(ISNUMBER(Data_2017!BD66),100*ABS($G66-(Data_2017!BD66-$K66)/$M66),0),IF(ISNUMBER(Data_2017!BD66),100*ABS($G66-(Data_2017!BD66-$K66)/$M66),0)))</f>
        <v>100</v>
      </c>
      <c r="BK66" s="100">
        <f>IF($H66=0,0,CHOOSE($H66,SUMPRODUCT($O67:$O$67*BK67:BK$67*($E67:$E$67=$D66)),IF(ISNUMBER(Data_2017!BE66),100*ABS($G66-(Data_2017!BE66-$K66)/$M66),0),IF(ISNUMBER(Data_2017!BE66),100*ABS($G66-(Data_2017!BE66-$K66)/$M66),0)))</f>
        <v>50</v>
      </c>
      <c r="BL66" s="100">
        <f>IF($H66=0,0,CHOOSE($H66,SUMPRODUCT($O67:$O$67*BL67:BL$67*($E67:$E$67=$D66)),IF(ISNUMBER(Data_2017!BF66),100*ABS($G66-(Data_2017!BF66-$K66)/$M66),0),IF(ISNUMBER(Data_2017!BF66),100*ABS($G66-(Data_2017!BF66-$K66)/$M66),0)))</f>
        <v>75</v>
      </c>
      <c r="BM66" s="100">
        <f>IF($H66=0,0,CHOOSE($H66,SUMPRODUCT($O67:$O$67*BM67:BM$67*($E67:$E$67=$D66)),IF(ISNUMBER(Data_2017!BG66),100*ABS($G66-(Data_2017!BG66-$K66)/$M66),0),IF(ISNUMBER(Data_2017!BG66),100*ABS($G66-(Data_2017!BG66-$K66)/$M66),0)))</f>
        <v>100</v>
      </c>
      <c r="BN66" s="100">
        <f>IF($H66=0,0,CHOOSE($H66,SUMPRODUCT($O67:$O$67*BN67:BN$67*($E67:$E$67=$D66)),IF(ISNUMBER(Data_2017!BH66),100*ABS($G66-(Data_2017!BH66-$K66)/$M66),0),IF(ISNUMBER(Data_2017!BH66),100*ABS($G66-(Data_2017!BH66-$K66)/$M66),0)))</f>
        <v>100</v>
      </c>
      <c r="BO66" s="100">
        <f>IF($H66=0,0,CHOOSE($H66,SUMPRODUCT($O67:$O$67*BO67:BO$67*($E67:$E$67=$D66)),IF(ISNUMBER(Data_2017!BI66),100*ABS($G66-(Data_2017!BI66-$K66)/$M66),0),IF(ISNUMBER(Data_2017!BI66),100*ABS($G66-(Data_2017!BI66-$K66)/$M66),0)))</f>
        <v>100</v>
      </c>
      <c r="BP66" s="100">
        <f>IF($H66=0,0,CHOOSE($H66,SUMPRODUCT($O67:$O$67*BP67:BP$67*($E67:$E$67=$D66)),IF(ISNUMBER(Data_2017!BJ66),100*ABS($G66-(Data_2017!BJ66-$K66)/$M66),0),IF(ISNUMBER(Data_2017!BJ66),100*ABS($G66-(Data_2017!BJ66-$K66)/$M66),0)))</f>
        <v>100</v>
      </c>
      <c r="BQ66" s="100">
        <f>IF($H66=0,0,CHOOSE($H66,SUMPRODUCT($O67:$O$67*BQ67:BQ$67*($E67:$E$67=$D66)),IF(ISNUMBER(Data_2017!BK66),100*ABS($G66-(Data_2017!BK66-$K66)/$M66),0),IF(ISNUMBER(Data_2017!BK66),100*ABS($G66-(Data_2017!BK66-$K66)/$M66),0)))</f>
        <v>75</v>
      </c>
      <c r="BR66" s="100">
        <f>IF($H66=0,0,CHOOSE($H66,SUMPRODUCT($O67:$O$67*BR67:BR$67*($E67:$E$67=$D66)),IF(ISNUMBER(Data_2017!BL66),100*ABS($G66-(Data_2017!BL66-$K66)/$M66),0),IF(ISNUMBER(Data_2017!BL66),100*ABS($G66-(Data_2017!BL66-$K66)/$M66),0)))</f>
        <v>100</v>
      </c>
      <c r="BS66" s="100">
        <f>IF($H66=0,0,CHOOSE($H66,SUMPRODUCT($O67:$O$67*BS67:BS$67*($E67:$E$67=$D66)),IF(ISNUMBER(Data_2017!BM66),100*ABS($G66-(Data_2017!BM66-$K66)/$M66),0),IF(ISNUMBER(Data_2017!BM66),100*ABS($G66-(Data_2017!BM66-$K66)/$M66),0)))</f>
        <v>100</v>
      </c>
      <c r="BT66" s="100">
        <f>IF($H66=0,0,CHOOSE($H66,SUMPRODUCT($O67:$O$67*BT67:BT$67*($E67:$E$67=$D66)),IF(ISNUMBER(Data_2017!BN66),100*ABS($G66-(Data_2017!BN66-$K66)/$M66),0),IF(ISNUMBER(Data_2017!BN66),100*ABS($G66-(Data_2017!BN66-$K66)/$M66),0)))</f>
        <v>100</v>
      </c>
      <c r="BU66" s="100">
        <f>IF($H66=0,0,CHOOSE($H66,SUMPRODUCT($O67:$O$67*BU67:BU$67*($E67:$E$67=$D66)),IF(ISNUMBER(Data_2017!BO66),100*ABS($G66-(Data_2017!BO66-$K66)/$M66),0),IF(ISNUMBER(Data_2017!BO66),100*ABS($G66-(Data_2017!BO66-$K66)/$M66),0)))</f>
        <v>100</v>
      </c>
      <c r="BV66" s="100">
        <f>IF($H66=0,0,CHOOSE($H66,SUMPRODUCT($O67:$O$67*BV67:BV$67*($E67:$E$67=$D66)),IF(ISNUMBER(Data_2017!BP66),100*ABS($G66-(Data_2017!BP66-$K66)/$M66),0),IF(ISNUMBER(Data_2017!BP66),100*ABS($G66-(Data_2017!BP66-$K66)/$M66),0)))</f>
        <v>75</v>
      </c>
      <c r="BW66" s="100">
        <f>IF($H66=0,0,CHOOSE($H66,SUMPRODUCT($O67:$O$67*BW67:BW$67*($E67:$E$67=$D66)),IF(ISNUMBER(Data_2017!BQ66),100*ABS($G66-(Data_2017!BQ66-$K66)/$M66),0),IF(ISNUMBER(Data_2017!BQ66),100*ABS($G66-(Data_2017!BQ66-$K66)/$M66),0)))</f>
        <v>100</v>
      </c>
      <c r="BX66" s="100">
        <f>IF($H66=0,0,CHOOSE($H66,SUMPRODUCT($O67:$O$67*BX67:BX$67*($E67:$E$67=$D66)),IF(ISNUMBER(Data_2017!BR66),100*ABS($G66-(Data_2017!BR66-$K66)/$M66),0),IF(ISNUMBER(Data_2017!BR66),100*ABS($G66-(Data_2017!BR66-$K66)/$M66),0)))</f>
        <v>100</v>
      </c>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row>
    <row r="67" s="69" customFormat="1" ht="24.95" customHeight="1" spans="1:130">
      <c r="A67" s="92"/>
      <c r="B67" s="92">
        <f>tblIndicators!A63</f>
        <v>62</v>
      </c>
      <c r="C67" s="92">
        <f>tblIndicators!B63</f>
        <v>0</v>
      </c>
      <c r="D67" s="92" t="str">
        <f>tblIndicators!D63</f>
        <v>PESE4.2.12</v>
      </c>
      <c r="E67" s="92" t="str">
        <f>tblIndicators!E63</f>
        <v>PESE4.2</v>
      </c>
      <c r="F67" s="92">
        <f>tblIndicators!F63</f>
        <v>3</v>
      </c>
      <c r="G67" s="92">
        <f>tblIndicators!Y63</f>
        <v>0</v>
      </c>
      <c r="H67" s="92">
        <f>tblIndicators!Z63</f>
        <v>3</v>
      </c>
      <c r="I67" s="104">
        <f>tblIndicators!AA63</f>
        <v>0</v>
      </c>
      <c r="J67" s="92">
        <f>tblIndicators!AB63</f>
        <v>4</v>
      </c>
      <c r="K67" s="89">
        <f>IF(uxb_works!$B$66=1,CHOOSE(H67,"-",MIN(Data_2017!J67:BR67),I67),CHOOSE(H67,"-",MIN(Data_2017!J67:BQ67),I67))</f>
        <v>0</v>
      </c>
      <c r="L67" s="97">
        <f>IF(uxb_works!$B$66=1,CHOOSE(H67,"-",MAX(Data_2017!J67:BR67),J67),CHOOSE(H67,"-",MAX(Data_2017!J67:BQ67),J67))</f>
        <v>4</v>
      </c>
      <c r="M67" s="92">
        <f t="shared" si="1"/>
        <v>4</v>
      </c>
      <c r="N67" s="105" t="str">
        <f>REPT(" ",F67)&amp;tblIndicators!AE63</f>
        <v>   4.2.12) Threat of civil unrest</v>
      </c>
      <c r="O67" s="106">
        <f>tblIndicators!AD63</f>
        <v>0.0833333333333333</v>
      </c>
      <c r="P67" s="100">
        <f>IF($H67=0,0,CHOOSE($H67,SUMPRODUCT($O$67:$O68*P$67:P68*($E$67:$E68=$D67)),IF(ISNUMBER(Data_2017!J67),100*ABS($G67-(Data_2017!J67-$K67)/$M67),0),IF(ISNUMBER(Data_2017!J67),100*ABS($G67-(Data_2017!J67-$K67)/$M67),0)))</f>
        <v>75</v>
      </c>
      <c r="Q67" s="100">
        <f>IF($H67=0,0,CHOOSE($H67,SUMPRODUCT($O$67:$O68*Q$67:Q68*($E$67:$E68=$D67)),IF(ISNUMBER(Data_2017!K67),100*ABS($G67-(Data_2017!K67-$K67)/$M67),0),IF(ISNUMBER(Data_2017!K67),100*ABS($G67-(Data_2017!K67-$K67)/$M67),0)))</f>
        <v>75</v>
      </c>
      <c r="R67" s="100">
        <f>IF($H67=0,0,CHOOSE($H67,SUMPRODUCT($O$67:$O68*R$67:R68*($E$67:$E68=$D67)),IF(ISNUMBER(Data_2017!L67),100*ABS($G67-(Data_2017!L67-$K67)/$M67),0),IF(ISNUMBER(Data_2017!L67),100*ABS($G67-(Data_2017!L67-$K67)/$M67),0)))</f>
        <v>50</v>
      </c>
      <c r="S67" s="100">
        <f>IF($H67=0,0,CHOOSE($H67,SUMPRODUCT($O$67:$O68*S$67:S68*($E$67:$E68=$D67)),IF(ISNUMBER(Data_2017!M67),100*ABS($G67-(Data_2017!M67-$K67)/$M67),0),IF(ISNUMBER(Data_2017!M67),100*ABS($G67-(Data_2017!M67-$K67)/$M67),0)))</f>
        <v>25</v>
      </c>
      <c r="T67" s="100">
        <f>IF($H67=0,0,CHOOSE($H67,SUMPRODUCT($O$67:$O68*T$67:T68*($E$67:$E68=$D67)),IF(ISNUMBER(Data_2017!N67),100*ABS($G67-(Data_2017!N67-$K67)/$M67),0),IF(ISNUMBER(Data_2017!N67),100*ABS($G67-(Data_2017!N67-$K67)/$M67),0)))</f>
        <v>75</v>
      </c>
      <c r="U67" s="100">
        <f>IF($H67=0,0,CHOOSE($H67,SUMPRODUCT($O$67:$O68*U$67:U68*($E$67:$E68=$D67)),IF(ISNUMBER(Data_2017!O67),100*ABS($G67-(Data_2017!O67-$K67)/$M67),0),IF(ISNUMBER(Data_2017!O67),100*ABS($G67-(Data_2017!O67-$K67)/$M67),0)))</f>
        <v>75</v>
      </c>
      <c r="V67" s="100">
        <f>IF($H67=0,0,CHOOSE($H67,SUMPRODUCT($O$67:$O68*V$67:V68*($E$67:$E68=$D67)),IF(ISNUMBER(Data_2017!P67),100*ABS($G67-(Data_2017!P67-$K67)/$M67),0),IF(ISNUMBER(Data_2017!P67),100*ABS($G67-(Data_2017!P67-$K67)/$M67),0)))</f>
        <v>50</v>
      </c>
      <c r="W67" s="100">
        <f>IF($H67=0,0,CHOOSE($H67,SUMPRODUCT($O$67:$O68*W$67:W68*($E$67:$E68=$D67)),IF(ISNUMBER(Data_2017!Q67),100*ABS($G67-(Data_2017!Q67-$K67)/$M67),0),IF(ISNUMBER(Data_2017!Q67),100*ABS($G67-(Data_2017!Q67-$K67)/$M67),0)))</f>
        <v>100</v>
      </c>
      <c r="X67" s="100">
        <f>IF($H67=0,0,CHOOSE($H67,SUMPRODUCT($O$67:$O68*X$67:X68*($E$67:$E68=$D67)),IF(ISNUMBER(Data_2017!R67),100*ABS($G67-(Data_2017!R67-$K67)/$M67),0),IF(ISNUMBER(Data_2017!R67),100*ABS($G67-(Data_2017!R67-$K67)/$M67),0)))</f>
        <v>50</v>
      </c>
      <c r="Y67" s="100">
        <f>IF($H67=0,0,CHOOSE($H67,SUMPRODUCT($O$67:$O68*Y$67:Y68*($E$67:$E68=$D67)),IF(ISNUMBER(Data_2017!S67),100*ABS($G67-(Data_2017!S67-$K67)/$M67),0),IF(ISNUMBER(Data_2017!S67),100*ABS($G67-(Data_2017!S67-$K67)/$M67),0)))</f>
        <v>25</v>
      </c>
      <c r="Z67" s="100">
        <f>IF($H67=0,0,CHOOSE($H67,SUMPRODUCT($O$67:$O68*Z$67:Z68*($E$67:$E68=$D67)),IF(ISNUMBER(Data_2017!T67),100*ABS($G67-(Data_2017!T67-$K67)/$M67),0),IF(ISNUMBER(Data_2017!T67),100*ABS($G67-(Data_2017!T67-$K67)/$M67),0)))</f>
        <v>25</v>
      </c>
      <c r="AA67" s="100">
        <f>IF($H67=0,0,CHOOSE($H67,SUMPRODUCT($O$67:$O68*AA$67:AA68*($E$67:$E68=$D67)),IF(ISNUMBER(Data_2017!U67),100*ABS($G67-(Data_2017!U67-$K67)/$M67),0),IF(ISNUMBER(Data_2017!U67),100*ABS($G67-(Data_2017!U67-$K67)/$M67),0)))</f>
        <v>50</v>
      </c>
      <c r="AB67" s="100">
        <f>IF($H67=0,0,CHOOSE($H67,SUMPRODUCT($O$67:$O68*AB$67:AB68*($E$67:$E68=$D67)),IF(ISNUMBER(Data_2017!V67),100*ABS($G67-(Data_2017!V67-$K67)/$M67),0),IF(ISNUMBER(Data_2017!V67),100*ABS($G67-(Data_2017!V67-$K67)/$M67),0)))</f>
        <v>75</v>
      </c>
      <c r="AC67" s="100">
        <f>IF($H67=0,0,CHOOSE($H67,SUMPRODUCT($O$67:$O68*AC$67:AC68*($E$67:$E68=$D67)),IF(ISNUMBER(Data_2017!W67),100*ABS($G67-(Data_2017!W67-$K67)/$M67),0),IF(ISNUMBER(Data_2017!W67),100*ABS($G67-(Data_2017!W67-$K67)/$M67),0)))</f>
        <v>75</v>
      </c>
      <c r="AD67" s="100">
        <f>IF($H67=0,0,CHOOSE($H67,SUMPRODUCT($O$67:$O68*AD$67:AD68*($E$67:$E68=$D67)),IF(ISNUMBER(Data_2017!X67),100*ABS($G67-(Data_2017!X67-$K67)/$M67),0),IF(ISNUMBER(Data_2017!X67),100*ABS($G67-(Data_2017!X67-$K67)/$M67),0)))</f>
        <v>50</v>
      </c>
      <c r="AE67" s="100">
        <f>IF($H67=0,0,CHOOSE($H67,SUMPRODUCT($O$67:$O68*AE$67:AE68*($E$67:$E68=$D67)),IF(ISNUMBER(Data_2017!Y67),100*ABS($G67-(Data_2017!Y67-$K67)/$M67),0),IF(ISNUMBER(Data_2017!Y67),100*ABS($G67-(Data_2017!Y67-$K67)/$M67),0)))</f>
        <v>50</v>
      </c>
      <c r="AF67" s="100">
        <f>IF($H67=0,0,CHOOSE($H67,SUMPRODUCT($O$67:$O68*AF$67:AF68*($E$67:$E68=$D67)),IF(ISNUMBER(Data_2017!Z67),100*ABS($G67-(Data_2017!Z67-$K67)/$M67),0),IF(ISNUMBER(Data_2017!Z67),100*ABS($G67-(Data_2017!Z67-$K67)/$M67),0)))</f>
        <v>75</v>
      </c>
      <c r="AG67" s="100">
        <f>IF($H67=0,0,CHOOSE($H67,SUMPRODUCT($O$67:$O68*AG$67:AG68*($E$67:$E68=$D67)),IF(ISNUMBER(Data_2017!AA67),100*ABS($G67-(Data_2017!AA67-$K67)/$M67),0),IF(ISNUMBER(Data_2017!AA67),100*ABS($G67-(Data_2017!AA67-$K67)/$M67),0)))</f>
        <v>75</v>
      </c>
      <c r="AH67" s="100">
        <f>IF($H67=0,0,CHOOSE($H67,SUMPRODUCT($O$67:$O68*AH$67:AH68*($E$67:$E68=$D67)),IF(ISNUMBER(Data_2017!AB67),100*ABS($G67-(Data_2017!AB67-$K67)/$M67),0),IF(ISNUMBER(Data_2017!AB67),100*ABS($G67-(Data_2017!AB67-$K67)/$M67),0)))</f>
        <v>50</v>
      </c>
      <c r="AI67" s="100">
        <f>IF($H67=0,0,CHOOSE($H67,SUMPRODUCT($O$67:$O68*AI$67:AI68*($E$67:$E68=$D67)),IF(ISNUMBER(Data_2017!AC67),100*ABS($G67-(Data_2017!AC67-$K67)/$M67),0),IF(ISNUMBER(Data_2017!AC67),100*ABS($G67-(Data_2017!AC67-$K67)/$M67),0)))</f>
        <v>50</v>
      </c>
      <c r="AJ67" s="100">
        <f>IF($H67=0,0,CHOOSE($H67,SUMPRODUCT($O$67:$O68*AJ$67:AJ68*($E$67:$E68=$D67)),IF(ISNUMBER(Data_2017!AD67),100*ABS($G67-(Data_2017!AD67-$K67)/$M67),0),IF(ISNUMBER(Data_2017!AD67),100*ABS($G67-(Data_2017!AD67-$K67)/$M67),0)))</f>
        <v>50</v>
      </c>
      <c r="AK67" s="100">
        <f>IF($H67=0,0,CHOOSE($H67,SUMPRODUCT($O$67:$O68*AK$67:AK68*($E$67:$E68=$D67)),IF(ISNUMBER(Data_2017!AE67),100*ABS($G67-(Data_2017!AE67-$K67)/$M67),0),IF(ISNUMBER(Data_2017!AE67),100*ABS($G67-(Data_2017!AE67-$K67)/$M67),0)))</f>
        <v>25</v>
      </c>
      <c r="AL67" s="100">
        <f>IF($H67=0,0,CHOOSE($H67,SUMPRODUCT($O$67:$O68*AL$67:AL68*($E$67:$E68=$D67)),IF(ISNUMBER(Data_2017!AF67),100*ABS($G67-(Data_2017!AF67-$K67)/$M67),0),IF(ISNUMBER(Data_2017!AF67),100*ABS($G67-(Data_2017!AF67-$K67)/$M67),0)))</f>
        <v>75</v>
      </c>
      <c r="AM67" s="100">
        <f>IF($H67=0,0,CHOOSE($H67,SUMPRODUCT($O$67:$O68*AM$67:AM68*($E$67:$E68=$D67)),IF(ISNUMBER(Data_2017!AG67),100*ABS($G67-(Data_2017!AG67-$K67)/$M67),0),IF(ISNUMBER(Data_2017!AG67),100*ABS($G67-(Data_2017!AG67-$K67)/$M67),0)))</f>
        <v>75</v>
      </c>
      <c r="AN67" s="100">
        <f>IF($H67=0,0,CHOOSE($H67,SUMPRODUCT($O$67:$O68*AN$67:AN68*($E$67:$E68=$D67)),IF(ISNUMBER(Data_2017!AH67),100*ABS($G67-(Data_2017!AH67-$K67)/$M67),0),IF(ISNUMBER(Data_2017!AH67),100*ABS($G67-(Data_2017!AH67-$K67)/$M67),0)))</f>
        <v>25</v>
      </c>
      <c r="AO67" s="100">
        <f>IF($H67=0,0,CHOOSE($H67,SUMPRODUCT($O$67:$O68*AO$67:AO68*($E$67:$E68=$D67)),IF(ISNUMBER(Data_2017!AI67),100*ABS($G67-(Data_2017!AI67-$K67)/$M67),0),IF(ISNUMBER(Data_2017!AI67),100*ABS($G67-(Data_2017!AI67-$K67)/$M67),0)))</f>
        <v>100</v>
      </c>
      <c r="AP67" s="100">
        <f>IF($H67=0,0,CHOOSE($H67,SUMPRODUCT($O$67:$O68*AP$67:AP68*($E$67:$E68=$D67)),IF(ISNUMBER(Data_2017!AJ67),100*ABS($G67-(Data_2017!AJ67-$K67)/$M67),0),IF(ISNUMBER(Data_2017!AJ67),100*ABS($G67-(Data_2017!AJ67-$K67)/$M67),0)))</f>
        <v>75</v>
      </c>
      <c r="AQ67" s="100">
        <f>IF($H67=0,0,CHOOSE($H67,SUMPRODUCT($O$67:$O68*AQ$67:AQ68*($E$67:$E68=$D67)),IF(ISNUMBER(Data_2017!AK67),100*ABS($G67-(Data_2017!AK67-$K67)/$M67),0),IF(ISNUMBER(Data_2017!AK67),100*ABS($G67-(Data_2017!AK67-$K67)/$M67),0)))</f>
        <v>50</v>
      </c>
      <c r="AR67" s="100">
        <f>IF($H67=0,0,CHOOSE($H67,SUMPRODUCT($O$67:$O68*AR$67:AR68*($E$67:$E68=$D67)),IF(ISNUMBER(Data_2017!AL67),100*ABS($G67-(Data_2017!AL67-$K67)/$M67),0),IF(ISNUMBER(Data_2017!AL67),100*ABS($G67-(Data_2017!AL67-$K67)/$M67),0)))</f>
        <v>75</v>
      </c>
      <c r="AS67" s="100">
        <f>IF($H67=0,0,CHOOSE($H67,SUMPRODUCT($O$67:$O68*AS$67:AS68*($E$67:$E68=$D67)),IF(ISNUMBER(Data_2017!AM67),100*ABS($G67-(Data_2017!AM67-$K67)/$M67),0),IF(ISNUMBER(Data_2017!AM67),100*ABS($G67-(Data_2017!AM67-$K67)/$M67),0)))</f>
        <v>50</v>
      </c>
      <c r="AT67" s="100">
        <f>IF($H67=0,0,CHOOSE($H67,SUMPRODUCT($O$67:$O68*AT$67:AT68*($E$67:$E68=$D67)),IF(ISNUMBER(Data_2017!AN67),100*ABS($G67-(Data_2017!AN67-$K67)/$M67),0),IF(ISNUMBER(Data_2017!AN67),100*ABS($G67-(Data_2017!AN67-$K67)/$M67),0)))</f>
        <v>75</v>
      </c>
      <c r="AU67" s="100">
        <f>IF($H67=0,0,CHOOSE($H67,SUMPRODUCT($O$67:$O68*AU$67:AU68*($E$67:$E68=$D67)),IF(ISNUMBER(Data_2017!AO67),100*ABS($G67-(Data_2017!AO67-$K67)/$M67),0),IF(ISNUMBER(Data_2017!AO67),100*ABS($G67-(Data_2017!AO67-$K67)/$M67),0)))</f>
        <v>50</v>
      </c>
      <c r="AV67" s="100">
        <f>IF($H67=0,0,CHOOSE($H67,SUMPRODUCT($O$67:$O68*AV$67:AV68*($E$67:$E68=$D67)),IF(ISNUMBER(Data_2017!AP67),100*ABS($G67-(Data_2017!AP67-$K67)/$M67),0),IF(ISNUMBER(Data_2017!AP67),100*ABS($G67-(Data_2017!AP67-$K67)/$M67),0)))</f>
        <v>100</v>
      </c>
      <c r="AW67" s="100">
        <f>IF($H67=0,0,CHOOSE($H67,SUMPRODUCT($O$67:$O68*AW$67:AW68*($E$67:$E68=$D67)),IF(ISNUMBER(Data_2017!AQ67),100*ABS($G67-(Data_2017!AQ67-$K67)/$M67),0),IF(ISNUMBER(Data_2017!AQ67),100*ABS($G67-(Data_2017!AQ67-$K67)/$M67),0)))</f>
        <v>50</v>
      </c>
      <c r="AX67" s="100">
        <f>IF($H67=0,0,CHOOSE($H67,SUMPRODUCT($O$67:$O68*AX$67:AX68*($E$67:$E68=$D67)),IF(ISNUMBER(Data_2017!AR67),100*ABS($G67-(Data_2017!AR67-$K67)/$M67),0),IF(ISNUMBER(Data_2017!AR67),100*ABS($G67-(Data_2017!AR67-$K67)/$M67),0)))</f>
        <v>75</v>
      </c>
      <c r="AY67" s="100">
        <f>IF($H67=0,0,CHOOSE($H67,SUMPRODUCT($O$67:$O68*AY$67:AY68*($E$67:$E68=$D67)),IF(ISNUMBER(Data_2017!AS67),100*ABS($G67-(Data_2017!AS67-$K67)/$M67),0),IF(ISNUMBER(Data_2017!AS67),100*ABS($G67-(Data_2017!AS67-$K67)/$M67),0)))</f>
        <v>50</v>
      </c>
      <c r="AZ67" s="100">
        <f>IF($H67=0,0,CHOOSE($H67,SUMPRODUCT($O$67:$O68*AZ$67:AZ68*($E$67:$E68=$D67)),IF(ISNUMBER(Data_2017!AT67),100*ABS($G67-(Data_2017!AT67-$K67)/$M67),0),IF(ISNUMBER(Data_2017!AT67),100*ABS($G67-(Data_2017!AT67-$K67)/$M67),0)))</f>
        <v>75</v>
      </c>
      <c r="BA67" s="100">
        <f>IF($H67=0,0,CHOOSE($H67,SUMPRODUCT($O$67:$O68*BA$67:BA68*($E$67:$E68=$D67)),IF(ISNUMBER(Data_2017!AU67),100*ABS($G67-(Data_2017!AU67-$K67)/$M67),0),IF(ISNUMBER(Data_2017!AU67),100*ABS($G67-(Data_2017!AU67-$K67)/$M67),0)))</f>
        <v>50</v>
      </c>
      <c r="BB67" s="100">
        <f>IF($H67=0,0,CHOOSE($H67,SUMPRODUCT($O$67:$O68*BB$67:BB68*($E$67:$E68=$D67)),IF(ISNUMBER(Data_2017!AV67),100*ABS($G67-(Data_2017!AV67-$K67)/$M67),0),IF(ISNUMBER(Data_2017!AV67),100*ABS($G67-(Data_2017!AV67-$K67)/$M67),0)))</f>
        <v>100</v>
      </c>
      <c r="BC67" s="100">
        <f>IF($H67=0,0,CHOOSE($H67,SUMPRODUCT($O$67:$O68*BC$67:BC68*($E$67:$E68=$D67)),IF(ISNUMBER(Data_2017!AW67),100*ABS($G67-(Data_2017!AW67-$K67)/$M67),0),IF(ISNUMBER(Data_2017!AW67),100*ABS($G67-(Data_2017!AW67-$K67)/$M67),0)))</f>
        <v>75</v>
      </c>
      <c r="BD67" s="100">
        <f>IF($H67=0,0,CHOOSE($H67,SUMPRODUCT($O$67:$O68*BD$67:BD68*($E$67:$E68=$D67)),IF(ISNUMBER(Data_2017!AX67),100*ABS($G67-(Data_2017!AX67-$K67)/$M67),0),IF(ISNUMBER(Data_2017!AX67),100*ABS($G67-(Data_2017!AX67-$K67)/$M67),0)))</f>
        <v>50</v>
      </c>
      <c r="BE67" s="100">
        <f>IF($H67=0,0,CHOOSE($H67,SUMPRODUCT($O$67:$O68*BE$67:BE68*($E$67:$E68=$D67)),IF(ISNUMBER(Data_2017!AY67),100*ABS($G67-(Data_2017!AY67-$K67)/$M67),0),IF(ISNUMBER(Data_2017!AY67),100*ABS($G67-(Data_2017!AY67-$K67)/$M67),0)))</f>
        <v>50</v>
      </c>
      <c r="BF67" s="100">
        <f>IF($H67=0,0,CHOOSE($H67,SUMPRODUCT($O$67:$O68*BF$67:BF68*($E$67:$E68=$D67)),IF(ISNUMBER(Data_2017!AZ67),100*ABS($G67-(Data_2017!AZ67-$K67)/$M67),0),IF(ISNUMBER(Data_2017!AZ67),100*ABS($G67-(Data_2017!AZ67-$K67)/$M67),0)))</f>
        <v>75</v>
      </c>
      <c r="BG67" s="100">
        <f>IF($H67=0,0,CHOOSE($H67,SUMPRODUCT($O$67:$O68*BG$67:BG68*($E$67:$E68=$D67)),IF(ISNUMBER(Data_2017!BA67),100*ABS($G67-(Data_2017!BA67-$K67)/$M67),0),IF(ISNUMBER(Data_2017!BA67),100*ABS($G67-(Data_2017!BA67-$K67)/$M67),0)))</f>
        <v>75</v>
      </c>
      <c r="BH67" s="100">
        <f>IF($H67=0,0,CHOOSE($H67,SUMPRODUCT($O$67:$O68*BH$67:BH68*($E$67:$E68=$D67)),IF(ISNUMBER(Data_2017!BB67),100*ABS($G67-(Data_2017!BB67-$K67)/$M67),0),IF(ISNUMBER(Data_2017!BB67),100*ABS($G67-(Data_2017!BB67-$K67)/$M67),0)))</f>
        <v>75</v>
      </c>
      <c r="BI67" s="100">
        <f>IF($H67=0,0,CHOOSE($H67,SUMPRODUCT($O$67:$O68*BI$67:BI68*($E$67:$E68=$D67)),IF(ISNUMBER(Data_2017!BC67),100*ABS($G67-(Data_2017!BC67-$K67)/$M67),0),IF(ISNUMBER(Data_2017!BC67),100*ABS($G67-(Data_2017!BC67-$K67)/$M67),0)))</f>
        <v>75</v>
      </c>
      <c r="BJ67" s="100">
        <f>IF($H67=0,0,CHOOSE($H67,SUMPRODUCT($O$67:$O68*BJ$67:BJ68*($E$67:$E68=$D67)),IF(ISNUMBER(Data_2017!BD67),100*ABS($G67-(Data_2017!BD67-$K67)/$M67),0),IF(ISNUMBER(Data_2017!BD67),100*ABS($G67-(Data_2017!BD67-$K67)/$M67),0)))</f>
        <v>50</v>
      </c>
      <c r="BK67" s="100">
        <f>IF($H67=0,0,CHOOSE($H67,SUMPRODUCT($O$67:$O68*BK$67:BK68*($E$67:$E68=$D67)),IF(ISNUMBER(Data_2017!BE67),100*ABS($G67-(Data_2017!BE67-$K67)/$M67),0),IF(ISNUMBER(Data_2017!BE67),100*ABS($G67-(Data_2017!BE67-$K67)/$M67),0)))</f>
        <v>75</v>
      </c>
      <c r="BL67" s="100">
        <f>IF($H67=0,0,CHOOSE($H67,SUMPRODUCT($O$67:$O68*BL$67:BL68*($E$67:$E68=$D67)),IF(ISNUMBER(Data_2017!BF67),100*ABS($G67-(Data_2017!BF67-$K67)/$M67),0),IF(ISNUMBER(Data_2017!BF67),100*ABS($G67-(Data_2017!BF67-$K67)/$M67),0)))</f>
        <v>50</v>
      </c>
      <c r="BM67" s="100">
        <f>IF($H67=0,0,CHOOSE($H67,SUMPRODUCT($O$67:$O68*BM$67:BM68*($E$67:$E68=$D67)),IF(ISNUMBER(Data_2017!BG67),100*ABS($G67-(Data_2017!BG67-$K67)/$M67),0),IF(ISNUMBER(Data_2017!BG67),100*ABS($G67-(Data_2017!BG67-$K67)/$M67),0)))</f>
        <v>100</v>
      </c>
      <c r="BN67" s="100">
        <f>IF($H67=0,0,CHOOSE($H67,SUMPRODUCT($O$67:$O68*BN$67:BN68*($E$67:$E68=$D67)),IF(ISNUMBER(Data_2017!BH67),100*ABS($G67-(Data_2017!BH67-$K67)/$M67),0),IF(ISNUMBER(Data_2017!BH67),100*ABS($G67-(Data_2017!BH67-$K67)/$M67),0)))</f>
        <v>100</v>
      </c>
      <c r="BO67" s="100">
        <f>IF($H67=0,0,CHOOSE($H67,SUMPRODUCT($O$67:$O68*BO$67:BO68*($E$67:$E68=$D67)),IF(ISNUMBER(Data_2017!BI67),100*ABS($G67-(Data_2017!BI67-$K67)/$M67),0),IF(ISNUMBER(Data_2017!BI67),100*ABS($G67-(Data_2017!BI67-$K67)/$M67),0)))</f>
        <v>100</v>
      </c>
      <c r="BP67" s="100">
        <f>IF($H67=0,0,CHOOSE($H67,SUMPRODUCT($O$67:$O68*BP$67:BP68*($E$67:$E68=$D67)),IF(ISNUMBER(Data_2017!BJ67),100*ABS($G67-(Data_2017!BJ67-$K67)/$M67),0),IF(ISNUMBER(Data_2017!BJ67),100*ABS($G67-(Data_2017!BJ67-$K67)/$M67),0)))</f>
        <v>75</v>
      </c>
      <c r="BQ67" s="100">
        <f>IF($H67=0,0,CHOOSE($H67,SUMPRODUCT($O$67:$O68*BQ$67:BQ68*($E$67:$E68=$D67)),IF(ISNUMBER(Data_2017!BK67),100*ABS($G67-(Data_2017!BK67-$K67)/$M67),0),IF(ISNUMBER(Data_2017!BK67),100*ABS($G67-(Data_2017!BK67-$K67)/$M67),0)))</f>
        <v>75</v>
      </c>
      <c r="BR67" s="100">
        <f>IF($H67=0,0,CHOOSE($H67,SUMPRODUCT($O$67:$O68*BR$67:BR68*($E$67:$E68=$D67)),IF(ISNUMBER(Data_2017!BL67),100*ABS($G67-(Data_2017!BL67-$K67)/$M67),0),IF(ISNUMBER(Data_2017!BL67),100*ABS($G67-(Data_2017!BL67-$K67)/$M67),0)))</f>
        <v>100</v>
      </c>
      <c r="BS67" s="100">
        <f>IF($H67=0,0,CHOOSE($H67,SUMPRODUCT($O$67:$O68*BS$67:BS68*($E$67:$E68=$D67)),IF(ISNUMBER(Data_2017!BM67),100*ABS($G67-(Data_2017!BM67-$K67)/$M67),0),IF(ISNUMBER(Data_2017!BM67),100*ABS($G67-(Data_2017!BM67-$K67)/$M67),0)))</f>
        <v>100</v>
      </c>
      <c r="BT67" s="100">
        <f>IF($H67=0,0,CHOOSE($H67,SUMPRODUCT($O$67:$O68*BT$67:BT68*($E$67:$E68=$D67)),IF(ISNUMBER(Data_2017!BN67),100*ABS($G67-(Data_2017!BN67-$K67)/$M67),0),IF(ISNUMBER(Data_2017!BN67),100*ABS($G67-(Data_2017!BN67-$K67)/$M67),0)))</f>
        <v>75</v>
      </c>
      <c r="BU67" s="100">
        <f>IF($H67=0,0,CHOOSE($H67,SUMPRODUCT($O$67:$O68*BU$67:BU68*($E$67:$E68=$D67)),IF(ISNUMBER(Data_2017!BO67),100*ABS($G67-(Data_2017!BO67-$K67)/$M67),0),IF(ISNUMBER(Data_2017!BO67),100*ABS($G67-(Data_2017!BO67-$K67)/$M67),0)))</f>
        <v>100</v>
      </c>
      <c r="BV67" s="100">
        <f>IF($H67=0,0,CHOOSE($H67,SUMPRODUCT($O$67:$O68*BV$67:BV68*($E$67:$E68=$D67)),IF(ISNUMBER(Data_2017!BP67),100*ABS($G67-(Data_2017!BP67-$K67)/$M67),0),IF(ISNUMBER(Data_2017!BP67),100*ABS($G67-(Data_2017!BP67-$K67)/$M67),0)))</f>
        <v>50</v>
      </c>
      <c r="BW67" s="100">
        <f>IF($H67=0,0,CHOOSE($H67,SUMPRODUCT($O$67:$O68*BW$67:BW68*($E$67:$E68=$D67)),IF(ISNUMBER(Data_2017!BQ67),100*ABS($G67-(Data_2017!BQ67-$K67)/$M67),0),IF(ISNUMBER(Data_2017!BQ67),100*ABS($G67-(Data_2017!BQ67-$K67)/$M67),0)))</f>
        <v>100</v>
      </c>
      <c r="BX67" s="100">
        <f>IF($H67=0,0,CHOOSE($H67,SUMPRODUCT($O$67:$O68*BX$67:BX68*($E$67:$E68=$D67)),IF(ISNUMBER(Data_2017!BR67),100*ABS($G67-(Data_2017!BR67-$K67)/$M67),0),IF(ISNUMBER(Data_2017!BR67),100*ABS($G67-(Data_2017!BR67-$K67)/$M67),0)))</f>
        <v>100</v>
      </c>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row>
    <row r="68" s="68" customFormat="1" spans="1:130">
      <c r="A68" s="108"/>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row>
    <row r="69" s="68" customFormat="1" spans="14:130">
      <c r="N69" s="110"/>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row>
    <row r="70" s="68" customFormat="1" spans="14:130">
      <c r="N70" s="110"/>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row>
    <row r="71" s="68" customFormat="1" spans="14:130">
      <c r="N71" s="110"/>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row>
    <row r="72" s="68" customFormat="1" spans="14:130">
      <c r="N72" s="110"/>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09"/>
      <c r="BV72" s="109"/>
      <c r="BW72" s="109"/>
      <c r="BX72" s="109"/>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row>
    <row r="73" s="68" customFormat="1" spans="14:130">
      <c r="N73" s="110"/>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row>
    <row r="74" s="68" customFormat="1" spans="14:130">
      <c r="N74" s="110"/>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09"/>
      <c r="BS74" s="109"/>
      <c r="BT74" s="109"/>
      <c r="BU74" s="109"/>
      <c r="BV74" s="109"/>
      <c r="BW74" s="109"/>
      <c r="BX74" s="109"/>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row>
    <row r="75" s="68" customFormat="1" spans="14:130">
      <c r="N75" s="110"/>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row>
    <row r="76" s="68" customFormat="1" spans="14:130">
      <c r="N76" s="110"/>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row>
    <row r="77" s="68" customFormat="1" spans="14:130">
      <c r="N77" s="110"/>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row>
    <row r="78" s="68" customFormat="1" spans="14:130">
      <c r="N78" s="110"/>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09"/>
      <c r="BS78" s="109"/>
      <c r="BT78" s="109"/>
      <c r="BU78" s="109"/>
      <c r="BV78" s="109"/>
      <c r="BW78" s="109"/>
      <c r="BX78" s="109"/>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row>
    <row r="79" s="68" customFormat="1" spans="14:130">
      <c r="N79" s="110"/>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09"/>
      <c r="BS79" s="109"/>
      <c r="BT79" s="109"/>
      <c r="BU79" s="109"/>
      <c r="BV79" s="109"/>
      <c r="BW79" s="109"/>
      <c r="BX79" s="10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row>
    <row r="80" s="68" customFormat="1" spans="14:130">
      <c r="N80" s="110"/>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row>
    <row r="81" s="68" customFormat="1" spans="14:130">
      <c r="N81" s="110"/>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row>
    <row r="82" s="68" customFormat="1" spans="14:130">
      <c r="N82" s="110"/>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row>
    <row r="83" s="68" customFormat="1" spans="14:130">
      <c r="N83" s="110"/>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row>
    <row r="84" s="68" customFormat="1" spans="14:130">
      <c r="N84" s="110"/>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row>
    <row r="85" s="68" customFormat="1" spans="14:130">
      <c r="N85" s="110"/>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row>
    <row r="86" s="68" customFormat="1" spans="14:130">
      <c r="N86" s="110"/>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row>
  </sheetData>
  <conditionalFormatting sqref="M6:BX67">
    <cfRule type="expression" dxfId="17" priority="3">
      <formula>$F6=3</formula>
    </cfRule>
  </conditionalFormatting>
  <pageMargins left="0.551181102362205" right="0.551181102362205" top="0.590551181102362" bottom="0.78740157480315" header="0.511811023622047" footer="0.511811023622047"/>
  <pageSetup paperSize="9" scale="11" orientation="landscape" horizontalDpi="1200" verticalDpi="1200"/>
  <headerFooter alignWithMargins="0">
    <oddHeader>&amp;RSafe Cities Index : 2017</oddHeader>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FFC000"/>
    <pageSetUpPr fitToPage="1"/>
  </sheetPr>
  <dimension ref="A2:U85"/>
  <sheetViews>
    <sheetView showRowColHeaders="0" zoomScale="90" zoomScaleNormal="90" topLeftCell="A65" workbookViewId="0">
      <selection activeCell="K83" sqref="K83"/>
    </sheetView>
  </sheetViews>
  <sheetFormatPr defaultColWidth="9" defaultRowHeight="11.25"/>
  <cols>
    <col min="1" max="1" width="25.2857142857143" style="1" customWidth="1"/>
    <col min="2" max="2" width="9.14285714285714" style="1"/>
    <col min="3" max="3" width="28.4285714285714" style="1" customWidth="1"/>
    <col min="4" max="4" width="4" style="1" customWidth="1"/>
    <col min="5" max="5" width="9.85714285714286" style="1" customWidth="1"/>
    <col min="6" max="6" width="24" style="1" customWidth="1"/>
    <col min="7" max="7" width="39" style="1" customWidth="1"/>
    <col min="8" max="8" width="9.28571428571429" style="1" customWidth="1"/>
    <col min="9" max="9" width="9.57142857142857" style="1" customWidth="1"/>
    <col min="10" max="17" width="9.28571428571429" style="1" customWidth="1"/>
    <col min="18" max="18" width="9.14285714285714" style="1"/>
    <col min="19" max="21" width="9.28571428571429" style="1" customWidth="1"/>
    <col min="22" max="16384" width="9.14285714285714" style="1"/>
  </cols>
  <sheetData>
    <row r="2" spans="1:17">
      <c r="A2" s="1" t="s">
        <v>885</v>
      </c>
      <c r="H2" s="1">
        <v>1</v>
      </c>
      <c r="I2" s="1">
        <v>1</v>
      </c>
      <c r="J2" s="1">
        <v>2</v>
      </c>
      <c r="K2" s="1">
        <v>3</v>
      </c>
      <c r="L2" s="1">
        <v>4</v>
      </c>
      <c r="M2" s="1">
        <v>5</v>
      </c>
      <c r="N2" s="1">
        <v>6</v>
      </c>
      <c r="O2" s="1">
        <v>7</v>
      </c>
      <c r="P2" s="1">
        <v>8</v>
      </c>
      <c r="Q2" s="1">
        <v>9</v>
      </c>
    </row>
    <row r="3" spans="1:21">
      <c r="A3" s="1" t="s">
        <v>886</v>
      </c>
      <c r="C3" s="1" t="s">
        <v>66</v>
      </c>
      <c r="D3" s="1" t="s">
        <v>887</v>
      </c>
      <c r="E3" s="1" t="s">
        <v>332</v>
      </c>
      <c r="F3" s="1" t="s">
        <v>888</v>
      </c>
      <c r="H3" s="1" t="str">
        <f>A3</f>
        <v>Equal category weights</v>
      </c>
      <c r="I3" s="1" t="str">
        <f t="shared" ref="I3:Q3" si="0">INDEX($A$4:$A$12,I2)</f>
        <v>Equal indicator weights</v>
      </c>
      <c r="J3" s="1" t="str">
        <f t="shared" si="0"/>
        <v>Equal sub-indicator weights</v>
      </c>
      <c r="K3" s="1" t="str">
        <f t="shared" si="0"/>
        <v>Spare#3</v>
      </c>
      <c r="L3" s="1" t="str">
        <f t="shared" si="0"/>
        <v>Spare#4</v>
      </c>
      <c r="M3" s="1" t="str">
        <f t="shared" si="0"/>
        <v>Spare#5</v>
      </c>
      <c r="N3" s="1" t="str">
        <f t="shared" si="0"/>
        <v>Spare#6</v>
      </c>
      <c r="O3" s="1" t="str">
        <f t="shared" si="0"/>
        <v>Spare#7</v>
      </c>
      <c r="P3" s="1" t="str">
        <f t="shared" si="0"/>
        <v>Spare#8</v>
      </c>
      <c r="Q3" s="1" t="str">
        <f t="shared" si="0"/>
        <v>Spare#9</v>
      </c>
      <c r="S3" s="1" t="s">
        <v>889</v>
      </c>
      <c r="U3" s="1">
        <f>IF(SUM(U5:U85)=0,0,1)</f>
        <v>0</v>
      </c>
    </row>
    <row r="4" spans="1:1">
      <c r="A4" s="1" t="s">
        <v>890</v>
      </c>
    </row>
    <row r="5" spans="1:21">
      <c r="A5" s="1" t="s">
        <v>891</v>
      </c>
      <c r="C5" s="1" t="str">
        <f>tblIndiSets!A6</f>
        <v>DISE</v>
      </c>
      <c r="D5" s="1">
        <f>tblIndiSets!B6</f>
        <v>2</v>
      </c>
      <c r="E5" s="1">
        <f ca="1">INDEX(OFFSET(lu_indicode,0,0),D5)</f>
        <v>1</v>
      </c>
      <c r="F5" s="1" t="str">
        <f>tblIndiSets!C6</f>
        <v>1) DIGITAL SECURITY</v>
      </c>
      <c r="G5" s="1" t="str">
        <f ca="1">IF(E5=1,UPPER(F5),F5)</f>
        <v>1) DIGITAL SECURITY</v>
      </c>
      <c r="H5" s="1">
        <v>1</v>
      </c>
      <c r="I5" s="1">
        <v>0.16</v>
      </c>
      <c r="J5" s="1">
        <v>0.16</v>
      </c>
      <c r="K5" s="1">
        <v>1</v>
      </c>
      <c r="L5" s="1">
        <v>1</v>
      </c>
      <c r="M5" s="1">
        <v>1</v>
      </c>
      <c r="N5" s="1">
        <v>1</v>
      </c>
      <c r="O5" s="1">
        <v>1</v>
      </c>
      <c r="P5" s="1">
        <v>1</v>
      </c>
      <c r="Q5" s="1">
        <v>1</v>
      </c>
      <c r="S5" s="1">
        <f>H5</f>
        <v>1</v>
      </c>
      <c r="T5" s="1">
        <f>Weights!G8</f>
        <v>1</v>
      </c>
      <c r="U5" s="1">
        <f>IF(AND(T5=S5),0,1)</f>
        <v>0</v>
      </c>
    </row>
    <row r="6" spans="1:21">
      <c r="A6" s="1" t="s">
        <v>439</v>
      </c>
      <c r="C6" s="1" t="str">
        <f>tblIndiSets!A7</f>
        <v>HESE</v>
      </c>
      <c r="D6" s="1">
        <f>tblIndiSets!B7</f>
        <v>13</v>
      </c>
      <c r="E6" s="1">
        <f ca="1">INDEX(OFFSET(lu_indicode,0,0),D6)</f>
        <v>1</v>
      </c>
      <c r="F6" s="1" t="str">
        <f>tblIndiSets!C7</f>
        <v>2) HEALTH SECURITY</v>
      </c>
      <c r="G6" s="1" t="str">
        <f ca="1">IF(E6=1,UPPER(F6),F6)</f>
        <v>2) HEALTH SECURITY</v>
      </c>
      <c r="H6" s="1">
        <v>1</v>
      </c>
      <c r="I6" s="1">
        <v>0.26</v>
      </c>
      <c r="J6" s="1">
        <v>0.26</v>
      </c>
      <c r="K6" s="1">
        <v>1</v>
      </c>
      <c r="L6" s="1">
        <v>1</v>
      </c>
      <c r="M6" s="1">
        <v>1</v>
      </c>
      <c r="N6" s="1">
        <v>1</v>
      </c>
      <c r="O6" s="1">
        <v>1</v>
      </c>
      <c r="P6" s="1">
        <v>1</v>
      </c>
      <c r="Q6" s="1">
        <v>1</v>
      </c>
      <c r="S6" s="1">
        <f>H6</f>
        <v>1</v>
      </c>
      <c r="T6" s="1">
        <f>Weights!G9</f>
        <v>1</v>
      </c>
      <c r="U6" s="1">
        <f>IF(AND(T6=S6),0,1)</f>
        <v>0</v>
      </c>
    </row>
    <row r="7" spans="1:21">
      <c r="A7" s="1" t="s">
        <v>892</v>
      </c>
      <c r="C7" s="1" t="str">
        <f>tblIndiSets!A8</f>
        <v>INSE</v>
      </c>
      <c r="D7" s="1">
        <f>tblIndiSets!B8</f>
        <v>28</v>
      </c>
      <c r="E7" s="1">
        <f ca="1">INDEX(OFFSET(lu_indicode,0,0),D7)</f>
        <v>1</v>
      </c>
      <c r="F7" s="1" t="str">
        <f>tblIndiSets!C8</f>
        <v>3) INFRASTRUCTURE SECURITY</v>
      </c>
      <c r="G7" s="1" t="str">
        <f ca="1">IF(E7=1,UPPER(F7),F7)</f>
        <v>3) INFRASTRUCTURE SECURITY</v>
      </c>
      <c r="H7" s="1">
        <v>1</v>
      </c>
      <c r="I7" s="1">
        <v>0.22</v>
      </c>
      <c r="J7" s="1">
        <v>0.22</v>
      </c>
      <c r="K7" s="1">
        <v>1</v>
      </c>
      <c r="L7" s="1">
        <v>1</v>
      </c>
      <c r="M7" s="1">
        <v>1</v>
      </c>
      <c r="N7" s="1">
        <v>1</v>
      </c>
      <c r="O7" s="1">
        <v>1</v>
      </c>
      <c r="P7" s="1">
        <v>1</v>
      </c>
      <c r="Q7" s="1">
        <v>1</v>
      </c>
      <c r="S7" s="1">
        <f>H7</f>
        <v>1</v>
      </c>
      <c r="T7" s="1">
        <f>Weights!G10</f>
        <v>1</v>
      </c>
      <c r="U7" s="1">
        <f>IF(AND(T7=S7),0,1)</f>
        <v>0</v>
      </c>
    </row>
    <row r="8" spans="1:21">
      <c r="A8" s="1" t="s">
        <v>893</v>
      </c>
      <c r="C8" s="1" t="str">
        <f>tblIndiSets!A9</f>
        <v>PESE</v>
      </c>
      <c r="D8" s="1">
        <f>tblIndiSets!B9</f>
        <v>41</v>
      </c>
      <c r="E8" s="1">
        <f ca="1">INDEX(OFFSET(lu_indicode,0,0),D8)</f>
        <v>1</v>
      </c>
      <c r="F8" s="1" t="str">
        <f>tblIndiSets!C9</f>
        <v>4) PERSONAL SECURITY</v>
      </c>
      <c r="G8" s="1" t="str">
        <f ca="1">IF(E8=1,UPPER(F8),F8)</f>
        <v>4) PERSONAL SECURITY</v>
      </c>
      <c r="H8" s="1">
        <v>1</v>
      </c>
      <c r="I8" s="1">
        <v>0.36</v>
      </c>
      <c r="J8" s="1">
        <v>0.36</v>
      </c>
      <c r="K8" s="1">
        <v>1</v>
      </c>
      <c r="L8" s="1">
        <v>1</v>
      </c>
      <c r="M8" s="1">
        <v>1</v>
      </c>
      <c r="N8" s="1">
        <v>1</v>
      </c>
      <c r="O8" s="1">
        <v>1</v>
      </c>
      <c r="P8" s="1">
        <v>1</v>
      </c>
      <c r="Q8" s="1">
        <v>1</v>
      </c>
      <c r="S8" s="1">
        <f>H8</f>
        <v>1</v>
      </c>
      <c r="T8" s="1">
        <f>Weights!G11</f>
        <v>1</v>
      </c>
      <c r="U8" s="1">
        <f>IF(AND(T8=S8),0,1)</f>
        <v>0</v>
      </c>
    </row>
    <row r="9" spans="1:20">
      <c r="A9" s="1" t="s">
        <v>894</v>
      </c>
      <c r="T9" s="1">
        <f>Weights!G12</f>
        <v>0</v>
      </c>
    </row>
    <row r="10" spans="1:20">
      <c r="A10" s="1" t="s">
        <v>895</v>
      </c>
      <c r="T10" s="1">
        <f>Weights!G13</f>
        <v>0</v>
      </c>
    </row>
    <row r="11" spans="1:20">
      <c r="A11" s="1" t="s">
        <v>896</v>
      </c>
      <c r="C11" s="61" t="str">
        <f>tblIndiSets!A79</f>
        <v>DISE</v>
      </c>
      <c r="D11" s="60">
        <f>tblIndiSets!B79</f>
        <v>2</v>
      </c>
      <c r="E11" s="60">
        <f ca="1" t="shared" ref="E11:E22" si="1">INDEX(OFFSET(lu_indicode,0,0),D11)</f>
        <v>1</v>
      </c>
      <c r="F11" s="60" t="str">
        <f>tblIndiSets!C79</f>
        <v> 1) DIGITAL SECURITY</v>
      </c>
      <c r="G11" s="60" t="str">
        <f ca="1">IF(E11=1,UPPER(F11),F11)</f>
        <v> 1) DIGITAL SECURITY</v>
      </c>
      <c r="H11" s="60"/>
      <c r="I11" s="60"/>
      <c r="J11" s="60"/>
      <c r="K11" s="60"/>
      <c r="L11" s="60"/>
      <c r="M11" s="60"/>
      <c r="N11" s="60"/>
      <c r="O11" s="60"/>
      <c r="P11" s="60"/>
      <c r="Q11" s="60"/>
      <c r="R11" s="60"/>
      <c r="T11" s="1">
        <f>Weights!G14</f>
        <v>0</v>
      </c>
    </row>
    <row r="12" spans="1:21">
      <c r="A12" s="1" t="s">
        <v>897</v>
      </c>
      <c r="C12" s="61" t="str">
        <f>tblIndiSets!A80</f>
        <v>DISE1.1</v>
      </c>
      <c r="D12" s="60">
        <f>tblIndiSets!B80</f>
        <v>3</v>
      </c>
      <c r="E12" s="60">
        <f ca="1" t="shared" si="1"/>
        <v>2</v>
      </c>
      <c r="F12" s="60" t="str">
        <f>tblIndiSets!C80</f>
        <v>  1.1) Digital security (Inputs)</v>
      </c>
      <c r="G12" s="60" t="str">
        <f ca="1">IF(E12=1,UPPER(F12),F12)</f>
        <v>  1.1) Digital security (Inputs)</v>
      </c>
      <c r="H12" s="1">
        <v>1</v>
      </c>
      <c r="I12" s="1">
        <v>1</v>
      </c>
      <c r="J12" s="1">
        <v>0.625</v>
      </c>
      <c r="K12" s="1">
        <v>1</v>
      </c>
      <c r="L12" s="1">
        <v>1</v>
      </c>
      <c r="M12" s="1">
        <v>1</v>
      </c>
      <c r="N12" s="1">
        <v>1</v>
      </c>
      <c r="O12" s="1">
        <v>1</v>
      </c>
      <c r="P12" s="1">
        <v>1</v>
      </c>
      <c r="Q12" s="1">
        <v>1</v>
      </c>
      <c r="S12" s="1">
        <f>H12</f>
        <v>1</v>
      </c>
      <c r="T12" s="1">
        <f>Weights!G15</f>
        <v>1</v>
      </c>
      <c r="U12" s="1">
        <f>IF(AND(T12=S12),0,1)</f>
        <v>0</v>
      </c>
    </row>
    <row r="13" s="60" customFormat="1" spans="3:21">
      <c r="C13" s="61" t="str">
        <f>tblIndiSets!A81</f>
        <v>DISE1.2</v>
      </c>
      <c r="D13" s="60">
        <f>tblIndiSets!B81</f>
        <v>9</v>
      </c>
      <c r="E13" s="60">
        <f ca="1" t="shared" si="1"/>
        <v>2</v>
      </c>
      <c r="F13" s="60" t="str">
        <f>tblIndiSets!C81</f>
        <v>  1.2) Digital security (Outputs)</v>
      </c>
      <c r="G13" s="60" t="str">
        <f ca="1" t="shared" ref="G13:G22" si="2">IF(E13=1,UPPER(F13),F13)</f>
        <v>  1.2) Digital security (Outputs)</v>
      </c>
      <c r="H13" s="1">
        <v>1</v>
      </c>
      <c r="I13" s="1">
        <v>1</v>
      </c>
      <c r="J13" s="1">
        <v>0.375</v>
      </c>
      <c r="K13" s="1">
        <v>1</v>
      </c>
      <c r="L13" s="1">
        <v>1</v>
      </c>
      <c r="M13" s="1">
        <v>1</v>
      </c>
      <c r="N13" s="1">
        <v>1</v>
      </c>
      <c r="O13" s="1">
        <v>1</v>
      </c>
      <c r="P13" s="1">
        <v>1</v>
      </c>
      <c r="Q13" s="1">
        <v>1</v>
      </c>
      <c r="R13" s="1"/>
      <c r="S13" s="1">
        <f t="shared" ref="S13:S22" si="3">H13</f>
        <v>1</v>
      </c>
      <c r="T13" s="1">
        <f>Weights!G16</f>
        <v>1</v>
      </c>
      <c r="U13" s="1">
        <f t="shared" ref="U13:U22" si="4">IF(AND(T13=S13),0,1)</f>
        <v>0</v>
      </c>
    </row>
    <row r="14" spans="3:20">
      <c r="C14" s="61" t="str">
        <f>tblIndiSets!A82</f>
        <v>HESE</v>
      </c>
      <c r="D14" s="60">
        <f>tblIndiSets!B82</f>
        <v>13</v>
      </c>
      <c r="E14" s="60">
        <f ca="1" t="shared" si="1"/>
        <v>1</v>
      </c>
      <c r="F14" s="60" t="str">
        <f>tblIndiSets!C82</f>
        <v> 2) HEALTH SECURITY</v>
      </c>
      <c r="G14" s="60" t="str">
        <f ca="1" t="shared" si="2"/>
        <v> 2) HEALTH SECURITY</v>
      </c>
      <c r="T14" s="1">
        <f>Weights!G17</f>
        <v>0</v>
      </c>
    </row>
    <row r="15" spans="3:21">
      <c r="C15" s="61" t="str">
        <f>tblIndiSets!A83</f>
        <v>HESE2.1</v>
      </c>
      <c r="D15" s="60">
        <f>tblIndiSets!B83</f>
        <v>14</v>
      </c>
      <c r="E15" s="60">
        <f ca="1" t="shared" si="1"/>
        <v>2</v>
      </c>
      <c r="F15" s="60" t="str">
        <f>tblIndiSets!C83</f>
        <v>  2.1) Health security (Inputs)</v>
      </c>
      <c r="G15" s="60" t="str">
        <f ca="1" t="shared" si="2"/>
        <v>  2.1) Health security (Inputs)</v>
      </c>
      <c r="H15" s="1">
        <v>1</v>
      </c>
      <c r="I15" s="1">
        <v>1</v>
      </c>
      <c r="J15" s="1">
        <v>0.461538461538462</v>
      </c>
      <c r="K15" s="1">
        <v>1</v>
      </c>
      <c r="L15" s="1">
        <v>1</v>
      </c>
      <c r="M15" s="1">
        <v>1</v>
      </c>
      <c r="N15" s="1">
        <v>1</v>
      </c>
      <c r="O15" s="1">
        <v>1</v>
      </c>
      <c r="P15" s="1">
        <v>1</v>
      </c>
      <c r="Q15" s="1">
        <v>1</v>
      </c>
      <c r="S15" s="1">
        <f t="shared" si="3"/>
        <v>1</v>
      </c>
      <c r="T15" s="1">
        <f>Weights!G18</f>
        <v>1</v>
      </c>
      <c r="U15" s="1">
        <f t="shared" si="4"/>
        <v>0</v>
      </c>
    </row>
    <row r="16" spans="3:21">
      <c r="C16" s="61" t="str">
        <f>tblIndiSets!A84</f>
        <v>HESE2.2</v>
      </c>
      <c r="D16" s="60">
        <f>tblIndiSets!B84</f>
        <v>21</v>
      </c>
      <c r="E16" s="60">
        <f ca="1" t="shared" si="1"/>
        <v>2</v>
      </c>
      <c r="F16" s="60" t="str">
        <f>tblIndiSets!C84</f>
        <v>  2.2) Health security (Outputs)</v>
      </c>
      <c r="G16" s="60" t="str">
        <f ca="1" t="shared" si="2"/>
        <v>  2.2) Health security (Outputs)</v>
      </c>
      <c r="H16" s="1">
        <v>1</v>
      </c>
      <c r="I16" s="1">
        <v>1</v>
      </c>
      <c r="J16" s="1">
        <v>0.538461538461538</v>
      </c>
      <c r="K16" s="1">
        <v>1</v>
      </c>
      <c r="L16" s="1">
        <v>1</v>
      </c>
      <c r="M16" s="1">
        <v>1</v>
      </c>
      <c r="N16" s="1">
        <v>1</v>
      </c>
      <c r="O16" s="1">
        <v>1</v>
      </c>
      <c r="P16" s="1">
        <v>1</v>
      </c>
      <c r="Q16" s="1">
        <v>1</v>
      </c>
      <c r="S16" s="1">
        <f t="shared" si="3"/>
        <v>1</v>
      </c>
      <c r="T16" s="1">
        <f>Weights!G19</f>
        <v>1</v>
      </c>
      <c r="U16" s="1">
        <f t="shared" si="4"/>
        <v>0</v>
      </c>
    </row>
    <row r="17" spans="3:20">
      <c r="C17" s="61" t="str">
        <f>tblIndiSets!A85</f>
        <v>INSE</v>
      </c>
      <c r="D17" s="60">
        <f>tblIndiSets!B85</f>
        <v>28</v>
      </c>
      <c r="E17" s="60">
        <f ca="1" t="shared" si="1"/>
        <v>1</v>
      </c>
      <c r="F17" s="60" t="str">
        <f>tblIndiSets!C85</f>
        <v> 3) INFRASTRUCTURE SECURITY</v>
      </c>
      <c r="G17" s="60" t="str">
        <f ca="1" t="shared" si="2"/>
        <v> 3) INFRASTRUCTURE SECURITY</v>
      </c>
      <c r="T17" s="1">
        <f>Weights!G20</f>
        <v>0</v>
      </c>
    </row>
    <row r="18" spans="3:21">
      <c r="C18" s="61" t="str">
        <f>tblIndiSets!A86</f>
        <v>INSE3.1</v>
      </c>
      <c r="D18" s="60">
        <f>tblIndiSets!B86</f>
        <v>29</v>
      </c>
      <c r="E18" s="60">
        <f ca="1" t="shared" si="1"/>
        <v>2</v>
      </c>
      <c r="F18" s="60" t="str">
        <f>tblIndiSets!C86</f>
        <v>  3.1) Infrastructure security (Inputs)</v>
      </c>
      <c r="G18" s="60" t="str">
        <f ca="1" t="shared" si="2"/>
        <v>  3.1) Infrastructure security (Inputs)</v>
      </c>
      <c r="H18" s="1">
        <v>1</v>
      </c>
      <c r="I18" s="1">
        <v>1</v>
      </c>
      <c r="J18" s="1">
        <v>0.454545454545455</v>
      </c>
      <c r="K18" s="1">
        <v>1</v>
      </c>
      <c r="L18" s="1">
        <v>1</v>
      </c>
      <c r="M18" s="1">
        <v>1</v>
      </c>
      <c r="N18" s="1">
        <v>1</v>
      </c>
      <c r="O18" s="1">
        <v>1</v>
      </c>
      <c r="P18" s="1">
        <v>1</v>
      </c>
      <c r="Q18" s="1">
        <v>1</v>
      </c>
      <c r="S18" s="1">
        <f t="shared" si="3"/>
        <v>1</v>
      </c>
      <c r="T18" s="1">
        <f>Weights!G21</f>
        <v>1</v>
      </c>
      <c r="U18" s="1">
        <f t="shared" si="4"/>
        <v>0</v>
      </c>
    </row>
    <row r="19" spans="3:21">
      <c r="C19" s="61" t="str">
        <f>tblIndiSets!A87</f>
        <v>INSE3.2</v>
      </c>
      <c r="D19" s="60">
        <f>tblIndiSets!B87</f>
        <v>35</v>
      </c>
      <c r="E19" s="60">
        <f ca="1" t="shared" si="1"/>
        <v>2</v>
      </c>
      <c r="F19" s="60" t="str">
        <f>tblIndiSets!C87</f>
        <v>  3.2) Infrastructure security (Outputs)</v>
      </c>
      <c r="G19" s="60" t="str">
        <f ca="1" t="shared" si="2"/>
        <v>  3.2) Infrastructure security (Outputs)</v>
      </c>
      <c r="H19" s="1">
        <v>1</v>
      </c>
      <c r="I19" s="1">
        <v>1</v>
      </c>
      <c r="J19" s="1">
        <v>0.545454545454545</v>
      </c>
      <c r="K19" s="1">
        <v>1</v>
      </c>
      <c r="L19" s="1">
        <v>1</v>
      </c>
      <c r="M19" s="1">
        <v>1</v>
      </c>
      <c r="N19" s="1">
        <v>1</v>
      </c>
      <c r="O19" s="1">
        <v>1</v>
      </c>
      <c r="P19" s="1">
        <v>1</v>
      </c>
      <c r="Q19" s="1">
        <v>1</v>
      </c>
      <c r="S19" s="1">
        <f t="shared" si="3"/>
        <v>1</v>
      </c>
      <c r="T19" s="1">
        <f>Weights!G22</f>
        <v>1</v>
      </c>
      <c r="U19" s="1">
        <f t="shared" si="4"/>
        <v>0</v>
      </c>
    </row>
    <row r="20" spans="3:20">
      <c r="C20" s="61" t="str">
        <f>tblIndiSets!A88</f>
        <v>PESE</v>
      </c>
      <c r="D20" s="60">
        <f>tblIndiSets!B88</f>
        <v>41</v>
      </c>
      <c r="E20" s="60">
        <f ca="1" t="shared" si="1"/>
        <v>1</v>
      </c>
      <c r="F20" s="60" t="str">
        <f>tblIndiSets!C88</f>
        <v> 4) PERSONAL SECURITY</v>
      </c>
      <c r="G20" s="60" t="str">
        <f ca="1" t="shared" si="2"/>
        <v> 4) PERSONAL SECURITY</v>
      </c>
      <c r="T20" s="1">
        <f>Weights!G23</f>
        <v>0</v>
      </c>
    </row>
    <row r="21" spans="3:21">
      <c r="C21" s="61" t="str">
        <f>tblIndiSets!A89</f>
        <v>PESE4.1</v>
      </c>
      <c r="D21" s="60">
        <f>tblIndiSets!B89</f>
        <v>42</v>
      </c>
      <c r="E21" s="60">
        <f ca="1" t="shared" si="1"/>
        <v>2</v>
      </c>
      <c r="F21" s="60" t="str">
        <f>tblIndiSets!C89</f>
        <v>  4.1) Personal security (Inputs)</v>
      </c>
      <c r="G21" s="60" t="str">
        <f ca="1" t="shared" si="2"/>
        <v>  4.1) Personal security (Inputs)</v>
      </c>
      <c r="H21" s="1">
        <v>1</v>
      </c>
      <c r="I21" s="1">
        <v>1</v>
      </c>
      <c r="J21" s="1">
        <v>0.388888888888889</v>
      </c>
      <c r="K21" s="1">
        <v>1</v>
      </c>
      <c r="L21" s="1">
        <v>1</v>
      </c>
      <c r="M21" s="1">
        <v>1</v>
      </c>
      <c r="N21" s="1">
        <v>1</v>
      </c>
      <c r="O21" s="1">
        <v>1</v>
      </c>
      <c r="P21" s="1">
        <v>1</v>
      </c>
      <c r="Q21" s="1">
        <v>1</v>
      </c>
      <c r="S21" s="1">
        <f t="shared" si="3"/>
        <v>1</v>
      </c>
      <c r="T21" s="1">
        <f>Weights!G24</f>
        <v>1</v>
      </c>
      <c r="U21" s="1">
        <f t="shared" si="4"/>
        <v>0</v>
      </c>
    </row>
    <row r="22" spans="3:21">
      <c r="C22" s="61" t="str">
        <f>tblIndiSets!A90</f>
        <v>PESE4.2</v>
      </c>
      <c r="D22" s="60">
        <f>tblIndiSets!B90</f>
        <v>50</v>
      </c>
      <c r="E22" s="60">
        <f ca="1" t="shared" si="1"/>
        <v>2</v>
      </c>
      <c r="F22" s="60" t="str">
        <f>tblIndiSets!C90</f>
        <v>  4.2) Personal security (Outputs)</v>
      </c>
      <c r="G22" s="60" t="str">
        <f ca="1" t="shared" si="2"/>
        <v>  4.2) Personal security (Outputs)</v>
      </c>
      <c r="H22" s="1">
        <v>1</v>
      </c>
      <c r="I22" s="1">
        <v>1</v>
      </c>
      <c r="J22" s="1">
        <v>0.611111111111111</v>
      </c>
      <c r="K22" s="1">
        <v>1</v>
      </c>
      <c r="L22" s="1">
        <v>1</v>
      </c>
      <c r="M22" s="1">
        <v>1</v>
      </c>
      <c r="N22" s="1">
        <v>1</v>
      </c>
      <c r="O22" s="1">
        <v>1</v>
      </c>
      <c r="P22" s="1">
        <v>1</v>
      </c>
      <c r="Q22" s="1">
        <v>1</v>
      </c>
      <c r="S22" s="1">
        <f t="shared" si="3"/>
        <v>1</v>
      </c>
      <c r="T22" s="1">
        <f>Weights!G25</f>
        <v>1</v>
      </c>
      <c r="U22" s="1">
        <f t="shared" si="4"/>
        <v>0</v>
      </c>
    </row>
    <row r="23" spans="3:20">
      <c r="C23" s="61"/>
      <c r="D23" s="60"/>
      <c r="E23" s="60"/>
      <c r="F23" s="60"/>
      <c r="G23" s="60"/>
      <c r="T23" s="1">
        <f>Weights!G26</f>
        <v>0</v>
      </c>
    </row>
    <row r="24" spans="3:20">
      <c r="C24" s="61"/>
      <c r="D24" s="60"/>
      <c r="E24" s="60"/>
      <c r="F24" s="60"/>
      <c r="G24" s="60"/>
      <c r="T24" s="1">
        <f>Weights!G27</f>
        <v>0</v>
      </c>
    </row>
    <row r="25" spans="3:20">
      <c r="C25" s="61"/>
      <c r="D25" s="60"/>
      <c r="E25" s="60"/>
      <c r="F25" s="60"/>
      <c r="G25" s="60"/>
      <c r="T25" s="1">
        <f>Weights!G28</f>
        <v>0</v>
      </c>
    </row>
    <row r="26" spans="3:20">
      <c r="C26" s="61" t="str">
        <f>tblIndiSets!A93</f>
        <v>DISE1.1</v>
      </c>
      <c r="D26" s="60">
        <f>tblIndiSets!B93</f>
        <v>3</v>
      </c>
      <c r="E26" s="60">
        <f ca="1" t="shared" ref="E26:E56" si="5">INDEX(OFFSET(lu_indicode,0,0),D26)</f>
        <v>2</v>
      </c>
      <c r="F26" s="60" t="str">
        <f>tblIndiSets!C93</f>
        <v>  1.1) Digital security (Inputs)</v>
      </c>
      <c r="G26" s="60" t="str">
        <f ca="1">IF(E26=1,UPPER(F26),F26)</f>
        <v>  1.1) Digital security (Inputs)</v>
      </c>
      <c r="T26" s="1">
        <f>Weights!G29</f>
        <v>0</v>
      </c>
    </row>
    <row r="27" spans="3:21">
      <c r="C27" s="61" t="str">
        <f>tblIndiSets!A94</f>
        <v>DISE1.1.1</v>
      </c>
      <c r="D27" s="60">
        <f>tblIndiSets!B94</f>
        <v>4</v>
      </c>
      <c r="E27" s="60">
        <f ca="1" t="shared" si="5"/>
        <v>3</v>
      </c>
      <c r="F27" s="60" t="str">
        <f>tblIndiSets!C94</f>
        <v>   1.1.1) Privacy policy</v>
      </c>
      <c r="G27" s="60" t="str">
        <f ca="1">IF(E27=1,UPPER(F27),F27)</f>
        <v>   1.1.1) Privacy policy</v>
      </c>
      <c r="H27" s="1">
        <v>1</v>
      </c>
      <c r="I27" s="1">
        <v>1</v>
      </c>
      <c r="J27" s="1">
        <v>1</v>
      </c>
      <c r="K27" s="1">
        <v>1</v>
      </c>
      <c r="L27" s="1">
        <v>1</v>
      </c>
      <c r="M27" s="1">
        <v>1</v>
      </c>
      <c r="N27" s="1">
        <v>1</v>
      </c>
      <c r="O27" s="1">
        <v>1</v>
      </c>
      <c r="P27" s="1">
        <v>1</v>
      </c>
      <c r="Q27" s="1">
        <v>1</v>
      </c>
      <c r="S27" s="1">
        <f>H27</f>
        <v>1</v>
      </c>
      <c r="T27" s="1">
        <f>Weights!G30</f>
        <v>1</v>
      </c>
      <c r="U27" s="1">
        <f>IF(AND(T27=S27),0,1)</f>
        <v>0</v>
      </c>
    </row>
    <row r="28" spans="3:21">
      <c r="C28" s="61" t="str">
        <f>tblIndiSets!A95</f>
        <v>DISE1.1.2</v>
      </c>
      <c r="D28" s="60">
        <f>tblIndiSets!B95</f>
        <v>5</v>
      </c>
      <c r="E28" s="60">
        <f ca="1" t="shared" si="5"/>
        <v>3</v>
      </c>
      <c r="F28" s="60" t="str">
        <f>tblIndiSets!C95</f>
        <v>   1.1.2) Citizen awareness of digital threats</v>
      </c>
      <c r="G28" s="60" t="str">
        <f ca="1" t="shared" ref="G28:G37" si="6">IF(E28=1,UPPER(F28),F28)</f>
        <v>   1.1.2) Citizen awareness of digital threats</v>
      </c>
      <c r="H28" s="1">
        <v>1</v>
      </c>
      <c r="I28" s="1">
        <v>1</v>
      </c>
      <c r="J28" s="1">
        <v>1</v>
      </c>
      <c r="K28" s="1">
        <v>1</v>
      </c>
      <c r="L28" s="1">
        <v>1</v>
      </c>
      <c r="M28" s="1">
        <v>1</v>
      </c>
      <c r="N28" s="1">
        <v>1</v>
      </c>
      <c r="O28" s="1">
        <v>1</v>
      </c>
      <c r="P28" s="1">
        <v>1</v>
      </c>
      <c r="Q28" s="1">
        <v>1</v>
      </c>
      <c r="S28" s="1">
        <f t="shared" ref="S28:S37" si="7">H28</f>
        <v>1</v>
      </c>
      <c r="T28" s="1">
        <f>Weights!G31</f>
        <v>1</v>
      </c>
      <c r="U28" s="1">
        <f t="shared" ref="U28:U37" si="8">IF(AND(T28=S28),0,1)</f>
        <v>0</v>
      </c>
    </row>
    <row r="29" spans="3:21">
      <c r="C29" s="61" t="str">
        <f>tblIndiSets!A96</f>
        <v>DISE1.1.3</v>
      </c>
      <c r="D29" s="60">
        <f>tblIndiSets!B96</f>
        <v>6</v>
      </c>
      <c r="E29" s="60">
        <f ca="1" t="shared" si="5"/>
        <v>3</v>
      </c>
      <c r="F29" s="60" t="str">
        <f>tblIndiSets!C96</f>
        <v>   1.1.3) Public-private partnerships</v>
      </c>
      <c r="G29" s="60" t="str">
        <f ca="1" t="shared" si="6"/>
        <v>   1.1.3) Public-private partnerships</v>
      </c>
      <c r="H29" s="1">
        <v>1</v>
      </c>
      <c r="I29" s="1">
        <v>1</v>
      </c>
      <c r="J29" s="1">
        <v>1</v>
      </c>
      <c r="K29" s="1">
        <v>1</v>
      </c>
      <c r="L29" s="1">
        <v>1</v>
      </c>
      <c r="M29" s="1">
        <v>1</v>
      </c>
      <c r="N29" s="1">
        <v>1</v>
      </c>
      <c r="O29" s="1">
        <v>1</v>
      </c>
      <c r="P29" s="1">
        <v>1</v>
      </c>
      <c r="Q29" s="1">
        <v>1</v>
      </c>
      <c r="S29" s="1">
        <f t="shared" si="7"/>
        <v>1</v>
      </c>
      <c r="T29" s="1">
        <f>Weights!G32</f>
        <v>1</v>
      </c>
      <c r="U29" s="1">
        <f t="shared" si="8"/>
        <v>0</v>
      </c>
    </row>
    <row r="30" spans="3:21">
      <c r="C30" s="61" t="str">
        <f>tblIndiSets!A97</f>
        <v>DISE1.1.4</v>
      </c>
      <c r="D30" s="60">
        <f>tblIndiSets!B97</f>
        <v>7</v>
      </c>
      <c r="E30" s="60">
        <f ca="1" t="shared" si="5"/>
        <v>3</v>
      </c>
      <c r="F30" s="60" t="str">
        <f>tblIndiSets!C97</f>
        <v>   1.1.4) Level of technology employed</v>
      </c>
      <c r="G30" s="60" t="str">
        <f ca="1" t="shared" si="6"/>
        <v>   1.1.4) Level of technology employed</v>
      </c>
      <c r="H30" s="1">
        <v>1</v>
      </c>
      <c r="I30" s="1">
        <v>1</v>
      </c>
      <c r="J30" s="1">
        <v>1</v>
      </c>
      <c r="K30" s="1">
        <v>1</v>
      </c>
      <c r="L30" s="1">
        <v>1</v>
      </c>
      <c r="M30" s="1">
        <v>1</v>
      </c>
      <c r="N30" s="1">
        <v>1</v>
      </c>
      <c r="O30" s="1">
        <v>1</v>
      </c>
      <c r="P30" s="1">
        <v>1</v>
      </c>
      <c r="Q30" s="1">
        <v>1</v>
      </c>
      <c r="S30" s="1">
        <f t="shared" si="7"/>
        <v>1</v>
      </c>
      <c r="T30" s="1">
        <f>Weights!G33</f>
        <v>1</v>
      </c>
      <c r="U30" s="1">
        <f t="shared" si="8"/>
        <v>0</v>
      </c>
    </row>
    <row r="31" spans="3:21">
      <c r="C31" s="61" t="str">
        <f>tblIndiSets!A98</f>
        <v>DISE1.1.5</v>
      </c>
      <c r="D31" s="60">
        <f>tblIndiSets!B98</f>
        <v>8</v>
      </c>
      <c r="E31" s="60">
        <f ca="1" t="shared" si="5"/>
        <v>3</v>
      </c>
      <c r="F31" s="60" t="str">
        <f>tblIndiSets!C98</f>
        <v>   1.1.5) Dedicated cyber security teams</v>
      </c>
      <c r="G31" s="60" t="str">
        <f ca="1" t="shared" si="6"/>
        <v>   1.1.5) Dedicated cyber security teams</v>
      </c>
      <c r="H31" s="1">
        <v>1</v>
      </c>
      <c r="I31" s="1">
        <v>1</v>
      </c>
      <c r="J31" s="1">
        <v>1</v>
      </c>
      <c r="K31" s="1">
        <v>1</v>
      </c>
      <c r="L31" s="1">
        <v>1</v>
      </c>
      <c r="M31" s="1">
        <v>1</v>
      </c>
      <c r="N31" s="1">
        <v>1</v>
      </c>
      <c r="O31" s="1">
        <v>1</v>
      </c>
      <c r="P31" s="1">
        <v>1</v>
      </c>
      <c r="Q31" s="1">
        <v>1</v>
      </c>
      <c r="S31" s="1">
        <f t="shared" si="7"/>
        <v>1</v>
      </c>
      <c r="T31" s="1">
        <f>Weights!G34</f>
        <v>1</v>
      </c>
      <c r="U31" s="1">
        <f t="shared" si="8"/>
        <v>0</v>
      </c>
    </row>
    <row r="32" spans="3:20">
      <c r="C32" s="61" t="str">
        <f>tblIndiSets!A99</f>
        <v>DISE1.2</v>
      </c>
      <c r="D32" s="60">
        <f>tblIndiSets!B99</f>
        <v>9</v>
      </c>
      <c r="E32" s="60">
        <f ca="1" t="shared" si="5"/>
        <v>2</v>
      </c>
      <c r="F32" s="60" t="str">
        <f>tblIndiSets!C99</f>
        <v>  1.2) Digital security (Outputs)</v>
      </c>
      <c r="G32" s="60" t="str">
        <f ca="1" t="shared" si="6"/>
        <v>  1.2) Digital security (Outputs)</v>
      </c>
      <c r="T32" s="1">
        <f>Weights!G35</f>
        <v>0</v>
      </c>
    </row>
    <row r="33" spans="3:21">
      <c r="C33" s="61" t="str">
        <f>tblIndiSets!A100</f>
        <v>DISE1.2.1</v>
      </c>
      <c r="D33" s="60">
        <f>tblIndiSets!B100</f>
        <v>10</v>
      </c>
      <c r="E33" s="60">
        <f ca="1" t="shared" si="5"/>
        <v>3</v>
      </c>
      <c r="F33" s="60" t="str">
        <f>tblIndiSets!C100</f>
        <v>   1.2.1) Frequency of identity theft</v>
      </c>
      <c r="G33" s="60" t="str">
        <f ca="1" t="shared" si="6"/>
        <v>   1.2.1) Frequency of identity theft</v>
      </c>
      <c r="H33" s="1">
        <v>1</v>
      </c>
      <c r="I33" s="1">
        <v>1</v>
      </c>
      <c r="J33" s="1">
        <v>1</v>
      </c>
      <c r="K33" s="1">
        <v>1</v>
      </c>
      <c r="L33" s="1">
        <v>1</v>
      </c>
      <c r="M33" s="1">
        <v>1</v>
      </c>
      <c r="N33" s="1">
        <v>1</v>
      </c>
      <c r="O33" s="1">
        <v>1</v>
      </c>
      <c r="P33" s="1">
        <v>1</v>
      </c>
      <c r="Q33" s="1">
        <v>1</v>
      </c>
      <c r="S33" s="1">
        <f t="shared" si="7"/>
        <v>1</v>
      </c>
      <c r="T33" s="1">
        <f>Weights!G36</f>
        <v>1</v>
      </c>
      <c r="U33" s="1">
        <f t="shared" si="8"/>
        <v>0</v>
      </c>
    </row>
    <row r="34" spans="3:21">
      <c r="C34" s="61" t="str">
        <f>tblIndiSets!A101</f>
        <v>DISE1.2.2</v>
      </c>
      <c r="D34" s="60">
        <f>tblIndiSets!B101</f>
        <v>11</v>
      </c>
      <c r="E34" s="60">
        <f ca="1" t="shared" si="5"/>
        <v>3</v>
      </c>
      <c r="F34" s="60" t="str">
        <f>tblIndiSets!C101</f>
        <v>   1.2.2) Percentage of computers infected</v>
      </c>
      <c r="G34" s="60" t="str">
        <f ca="1" t="shared" si="6"/>
        <v>   1.2.2) Percentage of computers infected</v>
      </c>
      <c r="H34" s="1">
        <v>1</v>
      </c>
      <c r="I34" s="1">
        <v>1</v>
      </c>
      <c r="J34" s="1">
        <v>1</v>
      </c>
      <c r="K34" s="1">
        <v>1</v>
      </c>
      <c r="L34" s="1">
        <v>1</v>
      </c>
      <c r="M34" s="1">
        <v>1</v>
      </c>
      <c r="N34" s="1">
        <v>1</v>
      </c>
      <c r="O34" s="1">
        <v>1</v>
      </c>
      <c r="P34" s="1">
        <v>1</v>
      </c>
      <c r="Q34" s="1">
        <v>1</v>
      </c>
      <c r="S34" s="1">
        <f t="shared" si="7"/>
        <v>1</v>
      </c>
      <c r="T34" s="1">
        <f>Weights!G37</f>
        <v>1</v>
      </c>
      <c r="U34" s="1">
        <f t="shared" si="8"/>
        <v>0</v>
      </c>
    </row>
    <row r="35" spans="3:21">
      <c r="C35" s="61" t="str">
        <f>tblIndiSets!A102</f>
        <v>DISE1.2.3</v>
      </c>
      <c r="D35" s="60">
        <f>tblIndiSets!B102</f>
        <v>12</v>
      </c>
      <c r="E35" s="60">
        <f ca="1" t="shared" si="5"/>
        <v>3</v>
      </c>
      <c r="F35" s="60" t="str">
        <f>tblIndiSets!C102</f>
        <v>   1.2.3) Percentage with Internet access</v>
      </c>
      <c r="G35" s="60" t="str">
        <f ca="1" t="shared" si="6"/>
        <v>   1.2.3) Percentage with Internet access</v>
      </c>
      <c r="H35" s="1">
        <v>1</v>
      </c>
      <c r="I35" s="1">
        <v>1</v>
      </c>
      <c r="J35" s="1">
        <v>1</v>
      </c>
      <c r="K35" s="1">
        <v>1</v>
      </c>
      <c r="L35" s="1">
        <v>1</v>
      </c>
      <c r="M35" s="1">
        <v>1</v>
      </c>
      <c r="N35" s="1">
        <v>1</v>
      </c>
      <c r="O35" s="1">
        <v>1</v>
      </c>
      <c r="P35" s="1">
        <v>1</v>
      </c>
      <c r="Q35" s="1">
        <v>1</v>
      </c>
      <c r="S35" s="1">
        <f t="shared" si="7"/>
        <v>1</v>
      </c>
      <c r="T35" s="1">
        <f>Weights!G38</f>
        <v>1</v>
      </c>
      <c r="U35" s="1">
        <f t="shared" si="8"/>
        <v>0</v>
      </c>
    </row>
    <row r="36" spans="3:20">
      <c r="C36" s="61" t="str">
        <f>tblIndiSets!A103</f>
        <v>HESE2.1</v>
      </c>
      <c r="D36" s="60">
        <f>tblIndiSets!B103</f>
        <v>14</v>
      </c>
      <c r="E36" s="60">
        <f ca="1" t="shared" si="5"/>
        <v>2</v>
      </c>
      <c r="F36" s="60" t="str">
        <f>tblIndiSets!C103</f>
        <v>  2.1) Health security (Inputs)</v>
      </c>
      <c r="G36" s="60" t="str">
        <f ca="1" t="shared" si="6"/>
        <v>  2.1) Health security (Inputs)</v>
      </c>
      <c r="T36" s="1">
        <f>Weights!G39</f>
        <v>0</v>
      </c>
    </row>
    <row r="37" spans="3:21">
      <c r="C37" s="61" t="str">
        <f>tblIndiSets!A104</f>
        <v>HESE2.1.1</v>
      </c>
      <c r="D37" s="60">
        <f>tblIndiSets!B104</f>
        <v>15</v>
      </c>
      <c r="E37" s="60">
        <f ca="1" t="shared" si="5"/>
        <v>3</v>
      </c>
      <c r="F37" s="60" t="str">
        <f>tblIndiSets!C104</f>
        <v>   2.1.1) Environmental policies</v>
      </c>
      <c r="G37" s="60" t="str">
        <f ca="1" t="shared" si="6"/>
        <v>   2.1.1) Environmental policies</v>
      </c>
      <c r="H37" s="1">
        <v>1</v>
      </c>
      <c r="I37" s="1">
        <v>1</v>
      </c>
      <c r="J37" s="1">
        <v>1</v>
      </c>
      <c r="K37" s="1">
        <v>1</v>
      </c>
      <c r="L37" s="1">
        <v>1</v>
      </c>
      <c r="M37" s="1">
        <v>1</v>
      </c>
      <c r="N37" s="1">
        <v>1</v>
      </c>
      <c r="O37" s="1">
        <v>1</v>
      </c>
      <c r="P37" s="1">
        <v>1</v>
      </c>
      <c r="Q37" s="1">
        <v>1</v>
      </c>
      <c r="S37" s="1">
        <f t="shared" si="7"/>
        <v>1</v>
      </c>
      <c r="T37" s="1">
        <f>Weights!G40</f>
        <v>1</v>
      </c>
      <c r="U37" s="1">
        <f t="shared" si="8"/>
        <v>0</v>
      </c>
    </row>
    <row r="38" spans="3:21">
      <c r="C38" s="61" t="str">
        <f>tblIndiSets!A105</f>
        <v>HESE2.1.2</v>
      </c>
      <c r="D38" s="60">
        <f>tblIndiSets!B105</f>
        <v>16</v>
      </c>
      <c r="E38" s="60">
        <f ca="1" t="shared" si="5"/>
        <v>3</v>
      </c>
      <c r="F38" s="60" t="str">
        <f>tblIndiSets!C105</f>
        <v>   2.1.2) Access to healthcare</v>
      </c>
      <c r="G38" s="60" t="str">
        <f ca="1" t="shared" ref="G38:G62" si="9">IF(E38=1,UPPER(F38),F38)</f>
        <v>   2.1.2) Access to healthcare</v>
      </c>
      <c r="H38" s="1">
        <v>1</v>
      </c>
      <c r="I38" s="1">
        <v>1</v>
      </c>
      <c r="J38" s="1">
        <v>1</v>
      </c>
      <c r="K38" s="1">
        <v>1</v>
      </c>
      <c r="L38" s="1">
        <v>1</v>
      </c>
      <c r="M38" s="1">
        <v>1</v>
      </c>
      <c r="N38" s="1">
        <v>1</v>
      </c>
      <c r="O38" s="1">
        <v>1</v>
      </c>
      <c r="P38" s="1">
        <v>1</v>
      </c>
      <c r="Q38" s="1">
        <v>1</v>
      </c>
      <c r="S38" s="1">
        <f t="shared" ref="S38:S61" si="10">H38</f>
        <v>1</v>
      </c>
      <c r="T38" s="1">
        <f>Weights!G41</f>
        <v>1</v>
      </c>
      <c r="U38" s="1">
        <f t="shared" ref="U38:U61" si="11">IF(AND(T38=S38),0,1)</f>
        <v>0</v>
      </c>
    </row>
    <row r="39" spans="3:21">
      <c r="C39" s="61" t="str">
        <f>tblIndiSets!A106</f>
        <v>HESE2.1.3</v>
      </c>
      <c r="D39" s="60">
        <f>tblIndiSets!B106</f>
        <v>17</v>
      </c>
      <c r="E39" s="60">
        <f ca="1" t="shared" si="5"/>
        <v>3</v>
      </c>
      <c r="F39" s="60" t="str">
        <f>tblIndiSets!C106</f>
        <v>   2.1.3) No. of beds per 1,000</v>
      </c>
      <c r="G39" s="60" t="str">
        <f ca="1" t="shared" si="9"/>
        <v>   2.1.3) No. of beds per 1,000</v>
      </c>
      <c r="H39" s="1">
        <v>1</v>
      </c>
      <c r="I39" s="1">
        <v>1</v>
      </c>
      <c r="J39" s="1">
        <v>1</v>
      </c>
      <c r="K39" s="1">
        <v>1</v>
      </c>
      <c r="L39" s="1">
        <v>1</v>
      </c>
      <c r="M39" s="1">
        <v>1</v>
      </c>
      <c r="N39" s="1">
        <v>1</v>
      </c>
      <c r="O39" s="1">
        <v>1</v>
      </c>
      <c r="P39" s="1">
        <v>1</v>
      </c>
      <c r="Q39" s="1">
        <v>1</v>
      </c>
      <c r="S39" s="1">
        <f t="shared" si="10"/>
        <v>1</v>
      </c>
      <c r="T39" s="1">
        <f>Weights!G42</f>
        <v>1</v>
      </c>
      <c r="U39" s="1">
        <f t="shared" si="11"/>
        <v>0</v>
      </c>
    </row>
    <row r="40" spans="3:21">
      <c r="C40" s="61" t="str">
        <f>tblIndiSets!A107</f>
        <v>HESE2.1.4</v>
      </c>
      <c r="D40" s="60">
        <f>tblIndiSets!B107</f>
        <v>18</v>
      </c>
      <c r="E40" s="60">
        <f ca="1" t="shared" si="5"/>
        <v>3</v>
      </c>
      <c r="F40" s="60" t="str">
        <f>tblIndiSets!C107</f>
        <v>   2.1.4) No. of doctors per 1,000</v>
      </c>
      <c r="G40" s="60" t="str">
        <f ca="1" t="shared" si="9"/>
        <v>   2.1.4) No. of doctors per 1,000</v>
      </c>
      <c r="H40" s="1">
        <v>1</v>
      </c>
      <c r="I40" s="1">
        <v>1</v>
      </c>
      <c r="J40" s="1">
        <v>1</v>
      </c>
      <c r="K40" s="1">
        <v>1</v>
      </c>
      <c r="L40" s="1">
        <v>1</v>
      </c>
      <c r="M40" s="1">
        <v>1</v>
      </c>
      <c r="N40" s="1">
        <v>1</v>
      </c>
      <c r="O40" s="1">
        <v>1</v>
      </c>
      <c r="P40" s="1">
        <v>1</v>
      </c>
      <c r="Q40" s="1">
        <v>1</v>
      </c>
      <c r="S40" s="1">
        <f t="shared" si="10"/>
        <v>1</v>
      </c>
      <c r="T40" s="1">
        <f>Weights!G43</f>
        <v>1</v>
      </c>
      <c r="U40" s="1">
        <f t="shared" si="11"/>
        <v>0</v>
      </c>
    </row>
    <row r="41" spans="3:21">
      <c r="C41" s="61" t="str">
        <f>tblIndiSets!A108</f>
        <v>HESE2.1.5</v>
      </c>
      <c r="D41" s="60">
        <f>tblIndiSets!B108</f>
        <v>19</v>
      </c>
      <c r="E41" s="60">
        <f ca="1" t="shared" si="5"/>
        <v>3</v>
      </c>
      <c r="F41" s="60" t="str">
        <f>tblIndiSets!C108</f>
        <v>   2.1.5) Access to safe and quality food</v>
      </c>
      <c r="G41" s="60" t="str">
        <f ca="1" t="shared" si="9"/>
        <v>   2.1.5) Access to safe and quality food</v>
      </c>
      <c r="H41" s="1">
        <v>1</v>
      </c>
      <c r="I41" s="1">
        <v>1</v>
      </c>
      <c r="J41" s="1">
        <v>1</v>
      </c>
      <c r="K41" s="1">
        <v>1</v>
      </c>
      <c r="L41" s="1">
        <v>1</v>
      </c>
      <c r="M41" s="1">
        <v>1</v>
      </c>
      <c r="N41" s="1">
        <v>1</v>
      </c>
      <c r="O41" s="1">
        <v>1</v>
      </c>
      <c r="P41" s="1">
        <v>1</v>
      </c>
      <c r="Q41" s="1">
        <v>1</v>
      </c>
      <c r="S41" s="1">
        <f t="shared" si="10"/>
        <v>1</v>
      </c>
      <c r="T41" s="1">
        <f>Weights!G44</f>
        <v>1</v>
      </c>
      <c r="U41" s="1">
        <f t="shared" si="11"/>
        <v>0</v>
      </c>
    </row>
    <row r="42" spans="3:21">
      <c r="C42" s="61" t="str">
        <f>tblIndiSets!A109</f>
        <v>HESE2.1.6</v>
      </c>
      <c r="D42" s="60">
        <f>tblIndiSets!B109</f>
        <v>20</v>
      </c>
      <c r="E42" s="60">
        <f ca="1" t="shared" si="5"/>
        <v>3</v>
      </c>
      <c r="F42" s="60" t="str">
        <f>tblIndiSets!C109</f>
        <v>   2.1.6) Quality of health services</v>
      </c>
      <c r="G42" s="60" t="str">
        <f ca="1" t="shared" si="9"/>
        <v>   2.1.6) Quality of health services</v>
      </c>
      <c r="H42" s="1">
        <v>1</v>
      </c>
      <c r="I42" s="1">
        <v>1</v>
      </c>
      <c r="J42" s="1">
        <v>1</v>
      </c>
      <c r="K42" s="1">
        <v>1</v>
      </c>
      <c r="L42" s="1">
        <v>1</v>
      </c>
      <c r="M42" s="1">
        <v>1</v>
      </c>
      <c r="N42" s="1">
        <v>1</v>
      </c>
      <c r="O42" s="1">
        <v>1</v>
      </c>
      <c r="P42" s="1">
        <v>1</v>
      </c>
      <c r="Q42" s="1">
        <v>1</v>
      </c>
      <c r="S42" s="1">
        <f t="shared" si="10"/>
        <v>1</v>
      </c>
      <c r="T42" s="1">
        <f>Weights!G45</f>
        <v>1</v>
      </c>
      <c r="U42" s="1">
        <f t="shared" si="11"/>
        <v>0</v>
      </c>
    </row>
    <row r="43" spans="3:20">
      <c r="C43" s="61" t="str">
        <f>tblIndiSets!A110</f>
        <v>HESE2.2</v>
      </c>
      <c r="D43" s="60">
        <f>tblIndiSets!B110</f>
        <v>21</v>
      </c>
      <c r="E43" s="60">
        <f ca="1" t="shared" si="5"/>
        <v>2</v>
      </c>
      <c r="F43" s="60" t="str">
        <f>tblIndiSets!C110</f>
        <v>  2.2) Health security (Outputs)</v>
      </c>
      <c r="G43" s="60" t="str">
        <f ca="1" t="shared" si="9"/>
        <v>  2.2) Health security (Outputs)</v>
      </c>
      <c r="T43" s="1">
        <f>Weights!G46</f>
        <v>0</v>
      </c>
    </row>
    <row r="44" spans="3:21">
      <c r="C44" s="61" t="str">
        <f>tblIndiSets!A111</f>
        <v>HESE2.2.1</v>
      </c>
      <c r="D44" s="60">
        <f>tblIndiSets!B111</f>
        <v>22</v>
      </c>
      <c r="E44" s="60">
        <f ca="1" t="shared" si="5"/>
        <v>3</v>
      </c>
      <c r="F44" s="60" t="str">
        <f>tblIndiSets!C111</f>
        <v>   2.2.1) Air quality (PM 2.5 levels)</v>
      </c>
      <c r="G44" s="60" t="str">
        <f ca="1" t="shared" si="9"/>
        <v>   2.2.1) Air quality (PM 2.5 levels)</v>
      </c>
      <c r="H44" s="1">
        <v>1</v>
      </c>
      <c r="I44" s="1">
        <v>1</v>
      </c>
      <c r="J44" s="1">
        <v>1</v>
      </c>
      <c r="K44" s="1">
        <v>1</v>
      </c>
      <c r="L44" s="1">
        <v>1</v>
      </c>
      <c r="M44" s="1">
        <v>1</v>
      </c>
      <c r="N44" s="1">
        <v>1</v>
      </c>
      <c r="O44" s="1">
        <v>1</v>
      </c>
      <c r="P44" s="1">
        <v>1</v>
      </c>
      <c r="Q44" s="1">
        <v>1</v>
      </c>
      <c r="S44" s="1">
        <f t="shared" si="10"/>
        <v>1</v>
      </c>
      <c r="T44" s="1">
        <f>Weights!G47</f>
        <v>1</v>
      </c>
      <c r="U44" s="1">
        <f t="shared" si="11"/>
        <v>0</v>
      </c>
    </row>
    <row r="45" spans="3:21">
      <c r="C45" s="61" t="str">
        <f>tblIndiSets!A112</f>
        <v>HESE2.2.2</v>
      </c>
      <c r="D45" s="60">
        <f>tblIndiSets!B112</f>
        <v>23</v>
      </c>
      <c r="E45" s="60">
        <f ca="1" t="shared" si="5"/>
        <v>3</v>
      </c>
      <c r="F45" s="60" t="str">
        <f>tblIndiSets!C112</f>
        <v>   2.2.2) Water quality</v>
      </c>
      <c r="G45" s="60" t="str">
        <f ca="1" t="shared" si="9"/>
        <v>   2.2.2) Water quality</v>
      </c>
      <c r="H45" s="1">
        <v>1</v>
      </c>
      <c r="I45" s="1">
        <v>1</v>
      </c>
      <c r="J45" s="1">
        <v>1</v>
      </c>
      <c r="K45" s="1">
        <v>1</v>
      </c>
      <c r="L45" s="1">
        <v>1</v>
      </c>
      <c r="M45" s="1">
        <v>1</v>
      </c>
      <c r="N45" s="1">
        <v>1</v>
      </c>
      <c r="O45" s="1">
        <v>1</v>
      </c>
      <c r="P45" s="1">
        <v>1</v>
      </c>
      <c r="Q45" s="1">
        <v>1</v>
      </c>
      <c r="S45" s="1">
        <f t="shared" si="10"/>
        <v>1</v>
      </c>
      <c r="T45" s="1">
        <f>Weights!G48</f>
        <v>1</v>
      </c>
      <c r="U45" s="1">
        <f t="shared" si="11"/>
        <v>0</v>
      </c>
    </row>
    <row r="46" spans="3:21">
      <c r="C46" s="61" t="str">
        <f>tblIndiSets!A113</f>
        <v>HESE2.2.3</v>
      </c>
      <c r="D46" s="60">
        <f>tblIndiSets!B113</f>
        <v>24</v>
      </c>
      <c r="E46" s="60">
        <f ca="1" t="shared" si="5"/>
        <v>3</v>
      </c>
      <c r="F46" s="60" t="str">
        <f>tblIndiSets!C113</f>
        <v>   2.2.3) Life expectancy years</v>
      </c>
      <c r="G46" s="60" t="str">
        <f ca="1" t="shared" si="9"/>
        <v>   2.2.3) Life expectancy years</v>
      </c>
      <c r="H46" s="1">
        <v>1</v>
      </c>
      <c r="I46" s="1">
        <v>1</v>
      </c>
      <c r="J46" s="1">
        <v>1</v>
      </c>
      <c r="K46" s="1">
        <v>1</v>
      </c>
      <c r="L46" s="1">
        <v>1</v>
      </c>
      <c r="M46" s="1">
        <v>1</v>
      </c>
      <c r="N46" s="1">
        <v>1</v>
      </c>
      <c r="O46" s="1">
        <v>1</v>
      </c>
      <c r="P46" s="1">
        <v>1</v>
      </c>
      <c r="Q46" s="1">
        <v>1</v>
      </c>
      <c r="S46" s="1">
        <f t="shared" si="10"/>
        <v>1</v>
      </c>
      <c r="T46" s="1">
        <f>Weights!G49</f>
        <v>1</v>
      </c>
      <c r="U46" s="1">
        <f t="shared" si="11"/>
        <v>0</v>
      </c>
    </row>
    <row r="47" spans="3:21">
      <c r="C47" s="61" t="str">
        <f>tblIndiSets!A114</f>
        <v>HESE2.2.4</v>
      </c>
      <c r="D47" s="60">
        <f>tblIndiSets!B114</f>
        <v>25</v>
      </c>
      <c r="E47" s="60">
        <f ca="1" t="shared" si="5"/>
        <v>3</v>
      </c>
      <c r="F47" s="60" t="str">
        <f>tblIndiSets!C114</f>
        <v>   2.2.4) Infant mortality</v>
      </c>
      <c r="G47" s="60" t="str">
        <f ca="1" t="shared" si="9"/>
        <v>   2.2.4) Infant mortality</v>
      </c>
      <c r="H47" s="1">
        <v>1</v>
      </c>
      <c r="I47" s="1">
        <v>1</v>
      </c>
      <c r="J47" s="1">
        <v>1</v>
      </c>
      <c r="K47" s="1">
        <v>1</v>
      </c>
      <c r="L47" s="1">
        <v>1</v>
      </c>
      <c r="M47" s="1">
        <v>1</v>
      </c>
      <c r="N47" s="1">
        <v>1</v>
      </c>
      <c r="O47" s="1">
        <v>1</v>
      </c>
      <c r="P47" s="1">
        <v>1</v>
      </c>
      <c r="Q47" s="1">
        <v>1</v>
      </c>
      <c r="S47" s="1">
        <f t="shared" si="10"/>
        <v>1</v>
      </c>
      <c r="T47" s="1">
        <f>Weights!G50</f>
        <v>1</v>
      </c>
      <c r="U47" s="1">
        <f t="shared" si="11"/>
        <v>0</v>
      </c>
    </row>
    <row r="48" spans="3:21">
      <c r="C48" s="61" t="str">
        <f>tblIndiSets!A115</f>
        <v>HESE2.2.5</v>
      </c>
      <c r="D48" s="60">
        <f>tblIndiSets!B115</f>
        <v>26</v>
      </c>
      <c r="E48" s="60">
        <f ca="1" t="shared" si="5"/>
        <v>3</v>
      </c>
      <c r="F48" s="60" t="str">
        <f>tblIndiSets!C115</f>
        <v>   2.2.5) Cancer mortality rate</v>
      </c>
      <c r="G48" s="60" t="str">
        <f ca="1" t="shared" si="9"/>
        <v>   2.2.5) Cancer mortality rate</v>
      </c>
      <c r="H48" s="1">
        <v>1</v>
      </c>
      <c r="I48" s="1">
        <v>1</v>
      </c>
      <c r="J48" s="1">
        <v>1</v>
      </c>
      <c r="K48" s="1">
        <v>1</v>
      </c>
      <c r="L48" s="1">
        <v>1</v>
      </c>
      <c r="M48" s="1">
        <v>1</v>
      </c>
      <c r="N48" s="1">
        <v>1</v>
      </c>
      <c r="O48" s="1">
        <v>1</v>
      </c>
      <c r="P48" s="1">
        <v>1</v>
      </c>
      <c r="Q48" s="1">
        <v>1</v>
      </c>
      <c r="S48" s="1">
        <f t="shared" si="10"/>
        <v>1</v>
      </c>
      <c r="T48" s="1">
        <f>Weights!G51</f>
        <v>1</v>
      </c>
      <c r="U48" s="1">
        <f t="shared" si="11"/>
        <v>0</v>
      </c>
    </row>
    <row r="49" spans="3:21">
      <c r="C49" s="61" t="str">
        <f>tblIndiSets!A116</f>
        <v>HESE2.2.6</v>
      </c>
      <c r="D49" s="60">
        <f>tblIndiSets!B116</f>
        <v>27</v>
      </c>
      <c r="E49" s="60">
        <f ca="1" t="shared" si="5"/>
        <v>3</v>
      </c>
      <c r="F49" s="60" t="str">
        <f>tblIndiSets!C116</f>
        <v>   2.2.6) Number of attacks using biological, chemical and/or radiological weapons</v>
      </c>
      <c r="G49" s="60" t="str">
        <f ca="1" t="shared" si="9"/>
        <v>   2.2.6) Number of attacks using biological, chemical and/or radiological weapons</v>
      </c>
      <c r="H49" s="1">
        <v>1</v>
      </c>
      <c r="I49" s="1">
        <v>1</v>
      </c>
      <c r="J49" s="1">
        <v>1</v>
      </c>
      <c r="K49" s="1">
        <v>1</v>
      </c>
      <c r="L49" s="1">
        <v>1</v>
      </c>
      <c r="M49" s="1">
        <v>1</v>
      </c>
      <c r="N49" s="1">
        <v>1</v>
      </c>
      <c r="O49" s="1">
        <v>1</v>
      </c>
      <c r="P49" s="1">
        <v>1</v>
      </c>
      <c r="Q49" s="1">
        <v>1</v>
      </c>
      <c r="S49" s="1">
        <f t="shared" si="10"/>
        <v>1</v>
      </c>
      <c r="T49" s="1">
        <f>Weights!G52</f>
        <v>1</v>
      </c>
      <c r="U49" s="1">
        <f t="shared" si="11"/>
        <v>0</v>
      </c>
    </row>
    <row r="50" spans="3:20">
      <c r="C50" s="61" t="str">
        <f>tblIndiSets!A117</f>
        <v>INSE3.1</v>
      </c>
      <c r="D50" s="60">
        <f>tblIndiSets!B117</f>
        <v>29</v>
      </c>
      <c r="E50" s="60">
        <f ca="1" t="shared" si="5"/>
        <v>2</v>
      </c>
      <c r="F50" s="60" t="str">
        <f>tblIndiSets!C117</f>
        <v>  3.1) Infrastructure security (Inputs)</v>
      </c>
      <c r="G50" s="60" t="str">
        <f ca="1" t="shared" si="9"/>
        <v>  3.1) Infrastructure security (Inputs)</v>
      </c>
      <c r="T50" s="1">
        <f>Weights!G53</f>
        <v>0</v>
      </c>
    </row>
    <row r="51" spans="3:21">
      <c r="C51" s="61" t="str">
        <f>tblIndiSets!A118</f>
        <v>INSE3.1.1</v>
      </c>
      <c r="D51" s="60">
        <f>tblIndiSets!B118</f>
        <v>30</v>
      </c>
      <c r="E51" s="60">
        <f ca="1" t="shared" si="5"/>
        <v>3</v>
      </c>
      <c r="F51" s="60" t="str">
        <f>tblIndiSets!C118</f>
        <v>   3.1.1) Enforcement of transport safety</v>
      </c>
      <c r="G51" s="60" t="str">
        <f ca="1" t="shared" si="9"/>
        <v>   3.1.1) Enforcement of transport safety</v>
      </c>
      <c r="H51" s="1">
        <v>1</v>
      </c>
      <c r="I51" s="1">
        <v>1</v>
      </c>
      <c r="J51" s="1">
        <v>1</v>
      </c>
      <c r="K51" s="1">
        <v>1</v>
      </c>
      <c r="L51" s="1">
        <v>1</v>
      </c>
      <c r="M51" s="1">
        <v>1</v>
      </c>
      <c r="N51" s="1">
        <v>1</v>
      </c>
      <c r="O51" s="1">
        <v>1</v>
      </c>
      <c r="P51" s="1">
        <v>1</v>
      </c>
      <c r="Q51" s="1">
        <v>1</v>
      </c>
      <c r="S51" s="1">
        <f t="shared" si="10"/>
        <v>1</v>
      </c>
      <c r="T51" s="1">
        <f>Weights!G54</f>
        <v>1</v>
      </c>
      <c r="U51" s="1">
        <f t="shared" si="11"/>
        <v>0</v>
      </c>
    </row>
    <row r="52" spans="3:21">
      <c r="C52" s="61" t="str">
        <f>tblIndiSets!A119</f>
        <v>INSE3.1.2</v>
      </c>
      <c r="D52" s="60">
        <f>tblIndiSets!B119</f>
        <v>31</v>
      </c>
      <c r="E52" s="60">
        <f ca="1" t="shared" si="5"/>
        <v>3</v>
      </c>
      <c r="F52" s="60" t="str">
        <f>tblIndiSets!C119</f>
        <v>   3.1.2) Pedestrian friendliness</v>
      </c>
      <c r="G52" s="60" t="str">
        <f ca="1" t="shared" si="9"/>
        <v>   3.1.2) Pedestrian friendliness</v>
      </c>
      <c r="H52" s="1">
        <v>1</v>
      </c>
      <c r="I52" s="1">
        <v>1</v>
      </c>
      <c r="J52" s="1">
        <v>1</v>
      </c>
      <c r="K52" s="1">
        <v>1</v>
      </c>
      <c r="L52" s="1">
        <v>1</v>
      </c>
      <c r="M52" s="1">
        <v>1</v>
      </c>
      <c r="N52" s="1">
        <v>1</v>
      </c>
      <c r="O52" s="1">
        <v>1</v>
      </c>
      <c r="P52" s="1">
        <v>1</v>
      </c>
      <c r="Q52" s="1">
        <v>1</v>
      </c>
      <c r="S52" s="1">
        <f t="shared" si="10"/>
        <v>1</v>
      </c>
      <c r="T52" s="1">
        <f>Weights!G55</f>
        <v>1</v>
      </c>
      <c r="U52" s="1">
        <f t="shared" si="11"/>
        <v>0</v>
      </c>
    </row>
    <row r="53" spans="3:21">
      <c r="C53" s="61" t="str">
        <f>tblIndiSets!A120</f>
        <v>INSE3.1.3</v>
      </c>
      <c r="D53" s="60">
        <f>tblIndiSets!B120</f>
        <v>32</v>
      </c>
      <c r="E53" s="60">
        <f ca="1" t="shared" si="5"/>
        <v>3</v>
      </c>
      <c r="F53" s="60" t="str">
        <f>tblIndiSets!C120</f>
        <v>   3.1.3) Quality of road infrastructure</v>
      </c>
      <c r="G53" s="60" t="str">
        <f ca="1" t="shared" si="9"/>
        <v>   3.1.3) Quality of road infrastructure</v>
      </c>
      <c r="H53" s="1">
        <v>1</v>
      </c>
      <c r="I53" s="1">
        <v>1</v>
      </c>
      <c r="J53" s="1">
        <v>1</v>
      </c>
      <c r="K53" s="1">
        <v>1</v>
      </c>
      <c r="L53" s="1">
        <v>1</v>
      </c>
      <c r="M53" s="1">
        <v>1</v>
      </c>
      <c r="N53" s="1">
        <v>1</v>
      </c>
      <c r="O53" s="1">
        <v>1</v>
      </c>
      <c r="P53" s="1">
        <v>1</v>
      </c>
      <c r="Q53" s="1">
        <v>1</v>
      </c>
      <c r="S53" s="1">
        <f t="shared" si="10"/>
        <v>1</v>
      </c>
      <c r="T53" s="1">
        <f>Weights!G56</f>
        <v>1</v>
      </c>
      <c r="U53" s="1">
        <f t="shared" si="11"/>
        <v>0</v>
      </c>
    </row>
    <row r="54" spans="3:21">
      <c r="C54" s="61" t="str">
        <f>tblIndiSets!A121</f>
        <v>INSE3.1.4</v>
      </c>
      <c r="D54" s="60">
        <f>tblIndiSets!B121</f>
        <v>33</v>
      </c>
      <c r="E54" s="60">
        <f ca="1" t="shared" si="5"/>
        <v>3</v>
      </c>
      <c r="F54" s="60" t="str">
        <f>tblIndiSets!C121</f>
        <v>   3.1.4) Quality of electricity infrastructure</v>
      </c>
      <c r="G54" s="60" t="str">
        <f ca="1" t="shared" si="9"/>
        <v>   3.1.4) Quality of electricity infrastructure</v>
      </c>
      <c r="H54" s="1">
        <v>1</v>
      </c>
      <c r="I54" s="1">
        <v>1</v>
      </c>
      <c r="J54" s="1">
        <v>1</v>
      </c>
      <c r="K54" s="1">
        <v>1</v>
      </c>
      <c r="L54" s="1">
        <v>1</v>
      </c>
      <c r="M54" s="1">
        <v>1</v>
      </c>
      <c r="N54" s="1">
        <v>1</v>
      </c>
      <c r="O54" s="1">
        <v>1</v>
      </c>
      <c r="P54" s="1">
        <v>1</v>
      </c>
      <c r="Q54" s="1">
        <v>1</v>
      </c>
      <c r="S54" s="1">
        <f t="shared" si="10"/>
        <v>1</v>
      </c>
      <c r="T54" s="1">
        <f>Weights!G57</f>
        <v>1</v>
      </c>
      <c r="U54" s="1">
        <f t="shared" si="11"/>
        <v>0</v>
      </c>
    </row>
    <row r="55" spans="3:21">
      <c r="C55" s="61" t="str">
        <f>tblIndiSets!A122</f>
        <v>INSE3.1.5</v>
      </c>
      <c r="D55" s="60">
        <f>tblIndiSets!B122</f>
        <v>34</v>
      </c>
      <c r="E55" s="60">
        <f ca="1" t="shared" si="5"/>
        <v>3</v>
      </c>
      <c r="F55" s="60" t="str">
        <f>tblIndiSets!C122</f>
        <v>   3.1.5) Disaster management/business continuity plan</v>
      </c>
      <c r="G55" s="60" t="str">
        <f ca="1" t="shared" si="9"/>
        <v>   3.1.5) Disaster management/business continuity plan</v>
      </c>
      <c r="H55" s="1">
        <v>1</v>
      </c>
      <c r="I55" s="1">
        <v>1</v>
      </c>
      <c r="J55" s="1">
        <v>1</v>
      </c>
      <c r="K55" s="1">
        <v>1</v>
      </c>
      <c r="L55" s="1">
        <v>1</v>
      </c>
      <c r="M55" s="1">
        <v>1</v>
      </c>
      <c r="N55" s="1">
        <v>1</v>
      </c>
      <c r="O55" s="1">
        <v>1</v>
      </c>
      <c r="P55" s="1">
        <v>1</v>
      </c>
      <c r="Q55" s="1">
        <v>1</v>
      </c>
      <c r="S55" s="1">
        <f t="shared" si="10"/>
        <v>1</v>
      </c>
      <c r="T55" s="1">
        <f>Weights!G58</f>
        <v>1</v>
      </c>
      <c r="U55" s="1">
        <f t="shared" si="11"/>
        <v>0</v>
      </c>
    </row>
    <row r="56" spans="3:20">
      <c r="C56" s="61" t="str">
        <f>tblIndiSets!A123</f>
        <v>INSE3.2</v>
      </c>
      <c r="D56" s="60">
        <f>tblIndiSets!B123</f>
        <v>35</v>
      </c>
      <c r="E56" s="60">
        <f ca="1" t="shared" si="5"/>
        <v>2</v>
      </c>
      <c r="F56" s="60" t="str">
        <f>tblIndiSets!C123</f>
        <v>  3.2) Infrastructure security (Outputs)</v>
      </c>
      <c r="G56" s="60" t="str">
        <f ca="1" t="shared" si="9"/>
        <v>  3.2) Infrastructure security (Outputs)</v>
      </c>
      <c r="T56" s="1">
        <f>Weights!G59</f>
        <v>0</v>
      </c>
    </row>
    <row r="57" spans="3:21">
      <c r="C57" s="61" t="str">
        <f>tblIndiSets!A124</f>
        <v>INSE3.2.1</v>
      </c>
      <c r="D57" s="60">
        <f>tblIndiSets!B124</f>
        <v>36</v>
      </c>
      <c r="E57" s="60">
        <f ca="1" t="shared" ref="E57:E72" si="12">INDEX(OFFSET(lu_indicode,0,0),D57)</f>
        <v>3</v>
      </c>
      <c r="F57" s="60" t="str">
        <f>tblIndiSets!C124</f>
        <v>   3.2.1) Deaths from natural disaster</v>
      </c>
      <c r="G57" s="60" t="str">
        <f ca="1" t="shared" si="9"/>
        <v>   3.2.1) Deaths from natural disaster</v>
      </c>
      <c r="H57" s="1">
        <v>1</v>
      </c>
      <c r="I57" s="1">
        <v>1</v>
      </c>
      <c r="J57" s="1">
        <v>1</v>
      </c>
      <c r="K57" s="1">
        <v>1</v>
      </c>
      <c r="L57" s="1">
        <v>1</v>
      </c>
      <c r="M57" s="1">
        <v>1</v>
      </c>
      <c r="N57" s="1">
        <v>1</v>
      </c>
      <c r="O57" s="1">
        <v>1</v>
      </c>
      <c r="P57" s="1">
        <v>1</v>
      </c>
      <c r="Q57" s="1">
        <v>1</v>
      </c>
      <c r="S57" s="1">
        <f t="shared" si="10"/>
        <v>1</v>
      </c>
      <c r="T57" s="1">
        <f>Weights!G60</f>
        <v>1</v>
      </c>
      <c r="U57" s="1">
        <f t="shared" si="11"/>
        <v>0</v>
      </c>
    </row>
    <row r="58" spans="3:21">
      <c r="C58" s="61" t="str">
        <f>tblIndiSets!A125</f>
        <v>INSE3.2.2</v>
      </c>
      <c r="D58" s="60">
        <f>tblIndiSets!B125</f>
        <v>37</v>
      </c>
      <c r="E58" s="60">
        <f ca="1" t="shared" si="12"/>
        <v>3</v>
      </c>
      <c r="F58" s="60" t="str">
        <f>tblIndiSets!C125</f>
        <v>   3.2.2) Frequency of vehicular accidents</v>
      </c>
      <c r="G58" s="60" t="str">
        <f ca="1" t="shared" si="9"/>
        <v>   3.2.2) Frequency of vehicular accidents</v>
      </c>
      <c r="H58" s="1">
        <v>1</v>
      </c>
      <c r="I58" s="1">
        <v>1</v>
      </c>
      <c r="J58" s="1">
        <v>1</v>
      </c>
      <c r="K58" s="1">
        <v>1</v>
      </c>
      <c r="L58" s="1">
        <v>1</v>
      </c>
      <c r="M58" s="1">
        <v>1</v>
      </c>
      <c r="N58" s="1">
        <v>1</v>
      </c>
      <c r="O58" s="1">
        <v>1</v>
      </c>
      <c r="P58" s="1">
        <v>1</v>
      </c>
      <c r="Q58" s="1">
        <v>1</v>
      </c>
      <c r="S58" s="1">
        <f t="shared" si="10"/>
        <v>1</v>
      </c>
      <c r="T58" s="1">
        <f>Weights!G61</f>
        <v>1</v>
      </c>
      <c r="U58" s="1">
        <f t="shared" si="11"/>
        <v>0</v>
      </c>
    </row>
    <row r="59" spans="3:21">
      <c r="C59" s="61" t="str">
        <f>tblIndiSets!A126</f>
        <v>INSE3.2.3</v>
      </c>
      <c r="D59" s="60">
        <f>tblIndiSets!B126</f>
        <v>38</v>
      </c>
      <c r="E59" s="60">
        <f ca="1" t="shared" si="12"/>
        <v>3</v>
      </c>
      <c r="F59" s="60" t="str">
        <f>tblIndiSets!C126</f>
        <v>   3.2.3) Frequency of pedestrian deaths</v>
      </c>
      <c r="G59" s="60" t="str">
        <f ca="1" t="shared" si="9"/>
        <v>   3.2.3) Frequency of pedestrian deaths</v>
      </c>
      <c r="H59" s="1">
        <v>1</v>
      </c>
      <c r="I59" s="1">
        <v>1</v>
      </c>
      <c r="J59" s="1">
        <v>1</v>
      </c>
      <c r="K59" s="1">
        <v>1</v>
      </c>
      <c r="L59" s="1">
        <v>1</v>
      </c>
      <c r="M59" s="1">
        <v>1</v>
      </c>
      <c r="N59" s="1">
        <v>1</v>
      </c>
      <c r="O59" s="1">
        <v>1</v>
      </c>
      <c r="P59" s="1">
        <v>1</v>
      </c>
      <c r="Q59" s="1">
        <v>1</v>
      </c>
      <c r="S59" s="1">
        <f t="shared" si="10"/>
        <v>1</v>
      </c>
      <c r="T59" s="1">
        <f>Weights!G62</f>
        <v>1</v>
      </c>
      <c r="U59" s="1">
        <f t="shared" si="11"/>
        <v>0</v>
      </c>
    </row>
    <row r="60" spans="3:21">
      <c r="C60" s="61" t="str">
        <f>tblIndiSets!A127</f>
        <v>INSE3.2.4</v>
      </c>
      <c r="D60" s="60">
        <f>tblIndiSets!B127</f>
        <v>39</v>
      </c>
      <c r="E60" s="60">
        <f ca="1" t="shared" si="12"/>
        <v>3</v>
      </c>
      <c r="F60" s="60" t="str">
        <f>tblIndiSets!C127</f>
        <v>   3.2.4) Percentage living in slums</v>
      </c>
      <c r="G60" s="60" t="str">
        <f ca="1" t="shared" si="9"/>
        <v>   3.2.4) Percentage living in slums</v>
      </c>
      <c r="H60" s="1">
        <v>1</v>
      </c>
      <c r="I60" s="1">
        <v>1</v>
      </c>
      <c r="J60" s="1">
        <v>1</v>
      </c>
      <c r="K60" s="1">
        <v>1</v>
      </c>
      <c r="L60" s="1">
        <v>1</v>
      </c>
      <c r="M60" s="1">
        <v>1</v>
      </c>
      <c r="N60" s="1">
        <v>1</v>
      </c>
      <c r="O60" s="1">
        <v>1</v>
      </c>
      <c r="P60" s="1">
        <v>1</v>
      </c>
      <c r="Q60" s="1">
        <v>1</v>
      </c>
      <c r="S60" s="1">
        <f t="shared" si="10"/>
        <v>1</v>
      </c>
      <c r="T60" s="1">
        <f>Weights!G63</f>
        <v>1</v>
      </c>
      <c r="U60" s="1">
        <f t="shared" si="11"/>
        <v>0</v>
      </c>
    </row>
    <row r="61" spans="3:21">
      <c r="C61" s="61" t="str">
        <f>tblIndiSets!A128</f>
        <v>INSE3.2.5</v>
      </c>
      <c r="D61" s="60">
        <f>tblIndiSets!B128</f>
        <v>40</v>
      </c>
      <c r="E61" s="60">
        <f ca="1" t="shared" si="12"/>
        <v>3</v>
      </c>
      <c r="F61" s="60" t="str">
        <f>tblIndiSets!C128</f>
        <v>   3.2.5) Number of attacks on facilities/infrastructure</v>
      </c>
      <c r="G61" s="60" t="str">
        <f ca="1" t="shared" si="9"/>
        <v>   3.2.5) Number of attacks on facilities/infrastructure</v>
      </c>
      <c r="H61" s="1">
        <v>1</v>
      </c>
      <c r="I61" s="1">
        <v>1</v>
      </c>
      <c r="J61" s="1">
        <v>1</v>
      </c>
      <c r="K61" s="1">
        <v>1</v>
      </c>
      <c r="L61" s="1">
        <v>1</v>
      </c>
      <c r="M61" s="1">
        <v>1</v>
      </c>
      <c r="N61" s="1">
        <v>1</v>
      </c>
      <c r="O61" s="1">
        <v>1</v>
      </c>
      <c r="P61" s="1">
        <v>1</v>
      </c>
      <c r="Q61" s="1">
        <v>1</v>
      </c>
      <c r="S61" s="1">
        <f t="shared" si="10"/>
        <v>1</v>
      </c>
      <c r="T61" s="1">
        <f>Weights!G64</f>
        <v>1</v>
      </c>
      <c r="U61" s="1">
        <f t="shared" si="11"/>
        <v>0</v>
      </c>
    </row>
    <row r="62" spans="3:20">
      <c r="C62" s="61" t="str">
        <f>tblIndiSets!A129</f>
        <v>PESE4.1</v>
      </c>
      <c r="D62" s="60">
        <f>tblIndiSets!B129</f>
        <v>42</v>
      </c>
      <c r="E62" s="60">
        <f ca="1" t="shared" si="12"/>
        <v>2</v>
      </c>
      <c r="F62" s="60" t="str">
        <f>tblIndiSets!C129</f>
        <v>  4.1) Personal security (Inputs)</v>
      </c>
      <c r="G62" s="60" t="str">
        <f ca="1" t="shared" si="9"/>
        <v>  4.1) Personal security (Inputs)</v>
      </c>
      <c r="T62" s="1">
        <f>Weights!G65</f>
        <v>0</v>
      </c>
    </row>
    <row r="63" spans="3:21">
      <c r="C63" s="61" t="str">
        <f>tblIndiSets!A130</f>
        <v>PESE4.1.1</v>
      </c>
      <c r="D63" s="60">
        <f>tblIndiSets!B130</f>
        <v>43</v>
      </c>
      <c r="E63" s="60">
        <f ca="1" t="shared" si="12"/>
        <v>3</v>
      </c>
      <c r="F63" s="60" t="str">
        <f>tblIndiSets!C130</f>
        <v>   4.1.1) Level of police engagement</v>
      </c>
      <c r="G63" s="60" t="str">
        <f ca="1" t="shared" ref="G63:G72" si="13">IF(E63=1,UPPER(F63),F63)</f>
        <v>   4.1.1) Level of police engagement</v>
      </c>
      <c r="H63" s="1">
        <v>1</v>
      </c>
      <c r="I63" s="1">
        <v>1</v>
      </c>
      <c r="J63" s="1">
        <v>1</v>
      </c>
      <c r="K63" s="1">
        <v>1</v>
      </c>
      <c r="L63" s="1">
        <v>1</v>
      </c>
      <c r="M63" s="1">
        <v>1</v>
      </c>
      <c r="N63" s="1">
        <v>1</v>
      </c>
      <c r="O63" s="1">
        <v>1</v>
      </c>
      <c r="P63" s="1">
        <v>1</v>
      </c>
      <c r="Q63" s="1">
        <v>1</v>
      </c>
      <c r="S63" s="1">
        <f t="shared" ref="S63:S72" si="14">H63</f>
        <v>1</v>
      </c>
      <c r="T63" s="1">
        <f>Weights!G66</f>
        <v>1</v>
      </c>
      <c r="U63" s="1">
        <f t="shared" ref="U63:U72" si="15">IF(AND(T63=S63),0,1)</f>
        <v>0</v>
      </c>
    </row>
    <row r="64" spans="3:21">
      <c r="C64" s="61" t="str">
        <f>tblIndiSets!A131</f>
        <v>PESE4.1.2</v>
      </c>
      <c r="D64" s="60">
        <f>tblIndiSets!B131</f>
        <v>44</v>
      </c>
      <c r="E64" s="60">
        <f ca="1" t="shared" si="12"/>
        <v>3</v>
      </c>
      <c r="F64" s="60" t="str">
        <f>tblIndiSets!C131</f>
        <v>   4.1.2) Community-based patrolling</v>
      </c>
      <c r="G64" s="60" t="str">
        <f ca="1" t="shared" si="13"/>
        <v>   4.1.2) Community-based patrolling</v>
      </c>
      <c r="H64" s="1">
        <v>1</v>
      </c>
      <c r="I64" s="1">
        <v>1</v>
      </c>
      <c r="J64" s="1">
        <v>1</v>
      </c>
      <c r="K64" s="1">
        <v>1</v>
      </c>
      <c r="L64" s="1">
        <v>1</v>
      </c>
      <c r="M64" s="1">
        <v>1</v>
      </c>
      <c r="N64" s="1">
        <v>1</v>
      </c>
      <c r="O64" s="1">
        <v>1</v>
      </c>
      <c r="P64" s="1">
        <v>1</v>
      </c>
      <c r="Q64" s="1">
        <v>1</v>
      </c>
      <c r="S64" s="1">
        <f t="shared" si="14"/>
        <v>1</v>
      </c>
      <c r="T64" s="1">
        <f>Weights!G67</f>
        <v>1</v>
      </c>
      <c r="U64" s="1">
        <f t="shared" si="15"/>
        <v>0</v>
      </c>
    </row>
    <row r="65" spans="3:21">
      <c r="C65" s="61" t="str">
        <f>tblIndiSets!A132</f>
        <v>PESE4.1.3</v>
      </c>
      <c r="D65" s="60">
        <f>tblIndiSets!B132</f>
        <v>45</v>
      </c>
      <c r="E65" s="60">
        <f ca="1" t="shared" si="12"/>
        <v>3</v>
      </c>
      <c r="F65" s="60" t="str">
        <f>tblIndiSets!C132</f>
        <v>   4.1.3) Available street-level crime data</v>
      </c>
      <c r="G65" s="60" t="str">
        <f ca="1" t="shared" si="13"/>
        <v>   4.1.3) Available street-level crime data</v>
      </c>
      <c r="H65" s="1">
        <v>1</v>
      </c>
      <c r="I65" s="1">
        <v>1</v>
      </c>
      <c r="J65" s="1">
        <v>1</v>
      </c>
      <c r="K65" s="1">
        <v>1</v>
      </c>
      <c r="L65" s="1">
        <v>1</v>
      </c>
      <c r="M65" s="1">
        <v>1</v>
      </c>
      <c r="N65" s="1">
        <v>1</v>
      </c>
      <c r="O65" s="1">
        <v>1</v>
      </c>
      <c r="P65" s="1">
        <v>1</v>
      </c>
      <c r="Q65" s="1">
        <v>1</v>
      </c>
      <c r="S65" s="1">
        <f t="shared" si="14"/>
        <v>1</v>
      </c>
      <c r="T65" s="1">
        <f>Weights!G68</f>
        <v>1</v>
      </c>
      <c r="U65" s="1">
        <f t="shared" si="15"/>
        <v>0</v>
      </c>
    </row>
    <row r="66" spans="3:21">
      <c r="C66" s="61" t="str">
        <f>tblIndiSets!A133</f>
        <v>PESE4.1.4</v>
      </c>
      <c r="D66" s="60">
        <f>tblIndiSets!B133</f>
        <v>46</v>
      </c>
      <c r="E66" s="60">
        <f ca="1" t="shared" si="12"/>
        <v>3</v>
      </c>
      <c r="F66" s="60" t="str">
        <f>tblIndiSets!C133</f>
        <v>   4.1.4) Use of data-driven techniques for crime</v>
      </c>
      <c r="G66" s="60" t="str">
        <f ca="1" t="shared" si="13"/>
        <v>   4.1.4) Use of data-driven techniques for crime</v>
      </c>
      <c r="H66" s="1">
        <v>1</v>
      </c>
      <c r="I66" s="1">
        <v>1</v>
      </c>
      <c r="J66" s="1">
        <v>1</v>
      </c>
      <c r="K66" s="1">
        <v>1</v>
      </c>
      <c r="L66" s="1">
        <v>1</v>
      </c>
      <c r="M66" s="1">
        <v>1</v>
      </c>
      <c r="N66" s="1">
        <v>1</v>
      </c>
      <c r="O66" s="1">
        <v>1</v>
      </c>
      <c r="P66" s="1">
        <v>1</v>
      </c>
      <c r="Q66" s="1">
        <v>1</v>
      </c>
      <c r="S66" s="1">
        <f t="shared" si="14"/>
        <v>1</v>
      </c>
      <c r="T66" s="1">
        <f>Weights!G69</f>
        <v>1</v>
      </c>
      <c r="U66" s="1">
        <f t="shared" si="15"/>
        <v>0</v>
      </c>
    </row>
    <row r="67" spans="3:21">
      <c r="C67" s="61" t="str">
        <f>tblIndiSets!A134</f>
        <v>PESE4.1.5</v>
      </c>
      <c r="D67" s="60">
        <f>tblIndiSets!B134</f>
        <v>47</v>
      </c>
      <c r="E67" s="60">
        <f ca="1" t="shared" si="12"/>
        <v>3</v>
      </c>
      <c r="F67" s="60" t="str">
        <f>tblIndiSets!C134</f>
        <v>   4.1.5) Private security measures</v>
      </c>
      <c r="G67" s="60" t="str">
        <f ca="1" t="shared" si="13"/>
        <v>   4.1.5) Private security measures</v>
      </c>
      <c r="H67" s="1">
        <v>1</v>
      </c>
      <c r="I67" s="1">
        <v>1</v>
      </c>
      <c r="J67" s="1">
        <v>1</v>
      </c>
      <c r="K67" s="1">
        <v>1</v>
      </c>
      <c r="L67" s="1">
        <v>1</v>
      </c>
      <c r="M67" s="1">
        <v>1</v>
      </c>
      <c r="N67" s="1">
        <v>1</v>
      </c>
      <c r="O67" s="1">
        <v>1</v>
      </c>
      <c r="P67" s="1">
        <v>1</v>
      </c>
      <c r="Q67" s="1">
        <v>1</v>
      </c>
      <c r="S67" s="1">
        <f t="shared" si="14"/>
        <v>1</v>
      </c>
      <c r="T67" s="1">
        <f>Weights!G70</f>
        <v>1</v>
      </c>
      <c r="U67" s="1">
        <f t="shared" si="15"/>
        <v>0</v>
      </c>
    </row>
    <row r="68" spans="3:21">
      <c r="C68" s="61" t="str">
        <f>tblIndiSets!A135</f>
        <v>PESE4.1.6</v>
      </c>
      <c r="D68" s="60">
        <f>tblIndiSets!B135</f>
        <v>48</v>
      </c>
      <c r="E68" s="60">
        <f ca="1" t="shared" si="12"/>
        <v>3</v>
      </c>
      <c r="F68" s="60" t="str">
        <f>tblIndiSets!C135</f>
        <v>   4.1.6) Gun regulation and enforcement</v>
      </c>
      <c r="G68" s="60" t="str">
        <f ca="1" t="shared" si="13"/>
        <v>   4.1.6) Gun regulation and enforcement</v>
      </c>
      <c r="H68" s="1">
        <v>1</v>
      </c>
      <c r="I68" s="1">
        <v>1</v>
      </c>
      <c r="J68" s="1">
        <v>1</v>
      </c>
      <c r="K68" s="1">
        <v>1</v>
      </c>
      <c r="L68" s="1">
        <v>1</v>
      </c>
      <c r="M68" s="1">
        <v>1</v>
      </c>
      <c r="N68" s="1">
        <v>1</v>
      </c>
      <c r="O68" s="1">
        <v>1</v>
      </c>
      <c r="P68" s="1">
        <v>1</v>
      </c>
      <c r="Q68" s="1">
        <v>1</v>
      </c>
      <c r="S68" s="1">
        <f t="shared" si="14"/>
        <v>1</v>
      </c>
      <c r="T68" s="1">
        <f>Weights!G71</f>
        <v>1</v>
      </c>
      <c r="U68" s="1">
        <f t="shared" si="15"/>
        <v>0</v>
      </c>
    </row>
    <row r="69" spans="3:21">
      <c r="C69" s="61" t="str">
        <f>tblIndiSets!A136</f>
        <v>PESE4.1.7</v>
      </c>
      <c r="D69" s="60">
        <f>tblIndiSets!B136</f>
        <v>49</v>
      </c>
      <c r="E69" s="60">
        <f ca="1" t="shared" si="12"/>
        <v>3</v>
      </c>
      <c r="F69" s="60" t="str">
        <f>tblIndiSets!C136</f>
        <v>   4.1.7) Political stability risk</v>
      </c>
      <c r="G69" s="60" t="str">
        <f ca="1" t="shared" si="13"/>
        <v>   4.1.7) Political stability risk</v>
      </c>
      <c r="H69" s="1">
        <v>1</v>
      </c>
      <c r="I69" s="1">
        <v>1</v>
      </c>
      <c r="J69" s="1">
        <v>1</v>
      </c>
      <c r="K69" s="1">
        <v>1</v>
      </c>
      <c r="L69" s="1">
        <v>1</v>
      </c>
      <c r="M69" s="1">
        <v>1</v>
      </c>
      <c r="N69" s="1">
        <v>1</v>
      </c>
      <c r="O69" s="1">
        <v>1</v>
      </c>
      <c r="P69" s="1">
        <v>1</v>
      </c>
      <c r="Q69" s="1">
        <v>1</v>
      </c>
      <c r="S69" s="1">
        <f t="shared" si="14"/>
        <v>1</v>
      </c>
      <c r="T69" s="1">
        <f>Weights!G72</f>
        <v>1</v>
      </c>
      <c r="U69" s="1">
        <f t="shared" si="15"/>
        <v>0</v>
      </c>
    </row>
    <row r="70" spans="3:20">
      <c r="C70" s="61" t="str">
        <f>tblIndiSets!A137</f>
        <v>PESE4.2</v>
      </c>
      <c r="D70" s="60">
        <f>tblIndiSets!B137</f>
        <v>50</v>
      </c>
      <c r="E70" s="60">
        <f ca="1" t="shared" si="12"/>
        <v>2</v>
      </c>
      <c r="F70" s="60" t="str">
        <f>tblIndiSets!C137</f>
        <v>  4.2) Personal security (Outputs)</v>
      </c>
      <c r="G70" s="60" t="str">
        <f ca="1" t="shared" si="13"/>
        <v>  4.2) Personal security (Outputs)</v>
      </c>
      <c r="T70" s="1">
        <f>Weights!G73</f>
        <v>0</v>
      </c>
    </row>
    <row r="71" spans="3:21">
      <c r="C71" s="61" t="str">
        <f>tblIndiSets!A138</f>
        <v>PESE4.2.1</v>
      </c>
      <c r="D71" s="60">
        <f>tblIndiSets!B138</f>
        <v>51</v>
      </c>
      <c r="E71" s="60">
        <f ca="1" t="shared" si="12"/>
        <v>3</v>
      </c>
      <c r="F71" s="60" t="str">
        <f>tblIndiSets!C138</f>
        <v>   4.2.1) Prevalence of petty crime</v>
      </c>
      <c r="G71" s="60" t="str">
        <f ca="1" t="shared" si="13"/>
        <v>   4.2.1) Prevalence of petty crime</v>
      </c>
      <c r="H71" s="1">
        <v>1</v>
      </c>
      <c r="I71" s="1">
        <v>1</v>
      </c>
      <c r="J71" s="1">
        <v>1</v>
      </c>
      <c r="K71" s="1">
        <v>1</v>
      </c>
      <c r="L71" s="1">
        <v>1</v>
      </c>
      <c r="M71" s="1">
        <v>1</v>
      </c>
      <c r="N71" s="1">
        <v>1</v>
      </c>
      <c r="O71" s="1">
        <v>1</v>
      </c>
      <c r="P71" s="1">
        <v>1</v>
      </c>
      <c r="Q71" s="1">
        <v>1</v>
      </c>
      <c r="S71" s="1">
        <f t="shared" si="14"/>
        <v>1</v>
      </c>
      <c r="T71" s="1">
        <f>Weights!G74</f>
        <v>1</v>
      </c>
      <c r="U71" s="1">
        <f t="shared" si="15"/>
        <v>0</v>
      </c>
    </row>
    <row r="72" spans="3:21">
      <c r="C72" s="61" t="str">
        <f>tblIndiSets!A139</f>
        <v>PESE4.2.2</v>
      </c>
      <c r="D72" s="60">
        <f>tblIndiSets!B139</f>
        <v>52</v>
      </c>
      <c r="E72" s="60">
        <f ca="1" t="shared" si="12"/>
        <v>3</v>
      </c>
      <c r="F72" s="60" t="str">
        <f>tblIndiSets!C139</f>
        <v>   4.2.2) Prevalence of violent crime</v>
      </c>
      <c r="G72" s="60" t="str">
        <f ca="1" t="shared" si="13"/>
        <v>   4.2.2) Prevalence of violent crime</v>
      </c>
      <c r="H72" s="1">
        <v>1</v>
      </c>
      <c r="I72" s="1">
        <v>1</v>
      </c>
      <c r="J72" s="1">
        <v>1</v>
      </c>
      <c r="K72" s="1">
        <v>1</v>
      </c>
      <c r="L72" s="1">
        <v>1</v>
      </c>
      <c r="M72" s="1">
        <v>1</v>
      </c>
      <c r="N72" s="1">
        <v>1</v>
      </c>
      <c r="O72" s="1">
        <v>1</v>
      </c>
      <c r="P72" s="1">
        <v>1</v>
      </c>
      <c r="Q72" s="1">
        <v>1</v>
      </c>
      <c r="S72" s="1">
        <f t="shared" si="14"/>
        <v>1</v>
      </c>
      <c r="T72" s="1">
        <f>Weights!G75</f>
        <v>1</v>
      </c>
      <c r="U72" s="1">
        <f t="shared" si="15"/>
        <v>0</v>
      </c>
    </row>
    <row r="73" spans="3:21">
      <c r="C73" s="61" t="str">
        <f>tblIndiSets!A140</f>
        <v>PESE4.2.3</v>
      </c>
      <c r="D73" s="60">
        <f>tblIndiSets!B140</f>
        <v>53</v>
      </c>
      <c r="E73" s="60">
        <f ca="1" t="shared" ref="E73:E82" si="16">INDEX(OFFSET(lu_indicode,0,0),D73)</f>
        <v>3</v>
      </c>
      <c r="F73" s="60" t="str">
        <f>tblIndiSets!C140</f>
        <v>   4.2.3) Organised crime</v>
      </c>
      <c r="G73" s="60" t="str">
        <f ca="1" t="shared" ref="G73:G82" si="17">IF(E73=1,UPPER(F73),F73)</f>
        <v>   4.2.3) Organised crime</v>
      </c>
      <c r="H73" s="1">
        <v>1</v>
      </c>
      <c r="I73" s="1">
        <v>1</v>
      </c>
      <c r="J73" s="1">
        <v>1</v>
      </c>
      <c r="K73" s="1">
        <v>1</v>
      </c>
      <c r="L73" s="1">
        <v>1</v>
      </c>
      <c r="M73" s="1">
        <v>1</v>
      </c>
      <c r="N73" s="1">
        <v>1</v>
      </c>
      <c r="O73" s="1">
        <v>1</v>
      </c>
      <c r="P73" s="1">
        <v>1</v>
      </c>
      <c r="Q73" s="1">
        <v>1</v>
      </c>
      <c r="S73" s="1">
        <f t="shared" ref="S73:S82" si="18">H73</f>
        <v>1</v>
      </c>
      <c r="T73" s="1">
        <f>Weights!G76</f>
        <v>1</v>
      </c>
      <c r="U73" s="1">
        <f t="shared" ref="U73:U82" si="19">IF(AND(T73=S73),0,1)</f>
        <v>0</v>
      </c>
    </row>
    <row r="74" spans="3:21">
      <c r="C74" s="61" t="str">
        <f>tblIndiSets!A141</f>
        <v>PESE4.2.4</v>
      </c>
      <c r="D74" s="60">
        <f>tblIndiSets!B141</f>
        <v>54</v>
      </c>
      <c r="E74" s="60">
        <f ca="1" t="shared" si="16"/>
        <v>3</v>
      </c>
      <c r="F74" s="60" t="str">
        <f>tblIndiSets!C141</f>
        <v>   4.2.4) Level of corruption</v>
      </c>
      <c r="G74" s="60" t="str">
        <f ca="1" t="shared" si="17"/>
        <v>   4.2.4) Level of corruption</v>
      </c>
      <c r="H74" s="1">
        <v>1</v>
      </c>
      <c r="I74" s="1">
        <v>1</v>
      </c>
      <c r="J74" s="1">
        <v>1</v>
      </c>
      <c r="K74" s="1">
        <v>1</v>
      </c>
      <c r="L74" s="1">
        <v>1</v>
      </c>
      <c r="M74" s="1">
        <v>1</v>
      </c>
      <c r="N74" s="1">
        <v>1</v>
      </c>
      <c r="O74" s="1">
        <v>1</v>
      </c>
      <c r="P74" s="1">
        <v>1</v>
      </c>
      <c r="Q74" s="1">
        <v>1</v>
      </c>
      <c r="S74" s="1">
        <f t="shared" si="18"/>
        <v>1</v>
      </c>
      <c r="T74" s="1">
        <f>Weights!G77</f>
        <v>1</v>
      </c>
      <c r="U74" s="1">
        <f t="shared" si="19"/>
        <v>0</v>
      </c>
    </row>
    <row r="75" spans="3:21">
      <c r="C75" s="61" t="str">
        <f>tblIndiSets!A142</f>
        <v>PESE4.2.5</v>
      </c>
      <c r="D75" s="60">
        <f>tblIndiSets!B142</f>
        <v>55</v>
      </c>
      <c r="E75" s="60">
        <f ca="1" t="shared" si="16"/>
        <v>3</v>
      </c>
      <c r="F75" s="60" t="str">
        <f>tblIndiSets!C142</f>
        <v>   4.2.5) Rate of drug use </v>
      </c>
      <c r="G75" s="60" t="str">
        <f ca="1" t="shared" si="17"/>
        <v>   4.2.5) Rate of drug use </v>
      </c>
      <c r="H75" s="1">
        <v>1</v>
      </c>
      <c r="I75" s="1">
        <v>1</v>
      </c>
      <c r="J75" s="1">
        <v>1</v>
      </c>
      <c r="K75" s="1">
        <v>1</v>
      </c>
      <c r="L75" s="1">
        <v>1</v>
      </c>
      <c r="M75" s="1">
        <v>1</v>
      </c>
      <c r="N75" s="1">
        <v>1</v>
      </c>
      <c r="O75" s="1">
        <v>1</v>
      </c>
      <c r="P75" s="1">
        <v>1</v>
      </c>
      <c r="Q75" s="1">
        <v>1</v>
      </c>
      <c r="S75" s="1">
        <f t="shared" si="18"/>
        <v>1</v>
      </c>
      <c r="T75" s="1">
        <f>Weights!G78</f>
        <v>1</v>
      </c>
      <c r="U75" s="1">
        <f t="shared" si="19"/>
        <v>0</v>
      </c>
    </row>
    <row r="76" spans="3:21">
      <c r="C76" s="61" t="str">
        <f>tblIndiSets!A143</f>
        <v>PESE4.2.6</v>
      </c>
      <c r="D76" s="60">
        <f>tblIndiSets!B143</f>
        <v>56</v>
      </c>
      <c r="E76" s="60">
        <f ca="1" t="shared" si="16"/>
        <v>3</v>
      </c>
      <c r="F76" s="60" t="str">
        <f>tblIndiSets!C143</f>
        <v>   4.2.6) Frequency of terrorist attacks </v>
      </c>
      <c r="G76" s="60" t="str">
        <f ca="1" t="shared" si="17"/>
        <v>   4.2.6) Frequency of terrorist attacks </v>
      </c>
      <c r="H76" s="1">
        <v>1</v>
      </c>
      <c r="I76" s="1">
        <v>1</v>
      </c>
      <c r="J76" s="1">
        <v>1</v>
      </c>
      <c r="K76" s="1">
        <v>1</v>
      </c>
      <c r="L76" s="1">
        <v>1</v>
      </c>
      <c r="M76" s="1">
        <v>1</v>
      </c>
      <c r="N76" s="1">
        <v>1</v>
      </c>
      <c r="O76" s="1">
        <v>1</v>
      </c>
      <c r="P76" s="1">
        <v>1</v>
      </c>
      <c r="Q76" s="1">
        <v>1</v>
      </c>
      <c r="S76" s="1">
        <f t="shared" si="18"/>
        <v>1</v>
      </c>
      <c r="T76" s="1">
        <f>Weights!G79</f>
        <v>1</v>
      </c>
      <c r="U76" s="1">
        <f t="shared" si="19"/>
        <v>0</v>
      </c>
    </row>
    <row r="77" spans="3:21">
      <c r="C77" s="61" t="str">
        <f>tblIndiSets!A144</f>
        <v>PESE4.2.7</v>
      </c>
      <c r="D77" s="60">
        <f>tblIndiSets!B144</f>
        <v>57</v>
      </c>
      <c r="E77" s="60">
        <f ca="1" t="shared" si="16"/>
        <v>3</v>
      </c>
      <c r="F77" s="60" t="str">
        <f>tblIndiSets!C144</f>
        <v>   4.2.7) Severity of terrorist attacks</v>
      </c>
      <c r="G77" s="60" t="str">
        <f ca="1" t="shared" si="17"/>
        <v>   4.2.7) Severity of terrorist attacks</v>
      </c>
      <c r="H77" s="1">
        <v>1</v>
      </c>
      <c r="I77" s="1">
        <v>1</v>
      </c>
      <c r="J77" s="1">
        <v>1</v>
      </c>
      <c r="K77" s="1">
        <v>1</v>
      </c>
      <c r="L77" s="1">
        <v>1</v>
      </c>
      <c r="M77" s="1">
        <v>1</v>
      </c>
      <c r="N77" s="1">
        <v>1</v>
      </c>
      <c r="O77" s="1">
        <v>1</v>
      </c>
      <c r="P77" s="1">
        <v>1</v>
      </c>
      <c r="Q77" s="1">
        <v>1</v>
      </c>
      <c r="S77" s="1">
        <f t="shared" si="18"/>
        <v>1</v>
      </c>
      <c r="T77" s="1">
        <f>Weights!G80</f>
        <v>1</v>
      </c>
      <c r="U77" s="1">
        <f t="shared" si="19"/>
        <v>0</v>
      </c>
    </row>
    <row r="78" spans="3:21">
      <c r="C78" s="61" t="str">
        <f>tblIndiSets!A145</f>
        <v>PESE4.2.8</v>
      </c>
      <c r="D78" s="60">
        <f>tblIndiSets!B145</f>
        <v>58</v>
      </c>
      <c r="E78" s="60">
        <f ca="1" t="shared" si="16"/>
        <v>3</v>
      </c>
      <c r="F78" s="60" t="str">
        <f>tblIndiSets!C145</f>
        <v>   4.2.8) Gender safety</v>
      </c>
      <c r="G78" s="60" t="str">
        <f ca="1" t="shared" si="17"/>
        <v>   4.2.8) Gender safety</v>
      </c>
      <c r="H78" s="1">
        <v>1</v>
      </c>
      <c r="I78" s="1">
        <v>1</v>
      </c>
      <c r="J78" s="1">
        <v>1</v>
      </c>
      <c r="K78" s="1">
        <v>1</v>
      </c>
      <c r="L78" s="1">
        <v>1</v>
      </c>
      <c r="M78" s="1">
        <v>1</v>
      </c>
      <c r="N78" s="1">
        <v>1</v>
      </c>
      <c r="O78" s="1">
        <v>1</v>
      </c>
      <c r="P78" s="1">
        <v>1</v>
      </c>
      <c r="Q78" s="1">
        <v>1</v>
      </c>
      <c r="S78" s="1">
        <f t="shared" si="18"/>
        <v>1</v>
      </c>
      <c r="T78" s="1">
        <f>Weights!G81</f>
        <v>1</v>
      </c>
      <c r="U78" s="1">
        <f t="shared" si="19"/>
        <v>0</v>
      </c>
    </row>
    <row r="79" spans="3:21">
      <c r="C79" s="61" t="str">
        <f>tblIndiSets!A146</f>
        <v>PESE4.2.9</v>
      </c>
      <c r="D79" s="60">
        <f>tblIndiSets!B146</f>
        <v>59</v>
      </c>
      <c r="E79" s="60">
        <f ca="1" t="shared" si="16"/>
        <v>3</v>
      </c>
      <c r="F79" s="60" t="str">
        <f>tblIndiSets!C146</f>
        <v>   4.2.9) Perceptions of safety</v>
      </c>
      <c r="G79" s="60" t="str">
        <f ca="1" t="shared" si="17"/>
        <v>   4.2.9) Perceptions of safety</v>
      </c>
      <c r="H79" s="1">
        <v>1</v>
      </c>
      <c r="I79" s="1">
        <v>1</v>
      </c>
      <c r="J79" s="1">
        <v>1</v>
      </c>
      <c r="K79" s="1">
        <v>1</v>
      </c>
      <c r="L79" s="1">
        <v>1</v>
      </c>
      <c r="M79" s="1">
        <v>1</v>
      </c>
      <c r="N79" s="1">
        <v>1</v>
      </c>
      <c r="O79" s="1">
        <v>1</v>
      </c>
      <c r="P79" s="1">
        <v>1</v>
      </c>
      <c r="Q79" s="1">
        <v>1</v>
      </c>
      <c r="S79" s="1">
        <f t="shared" si="18"/>
        <v>1</v>
      </c>
      <c r="T79" s="1">
        <f>Weights!G82</f>
        <v>1</v>
      </c>
      <c r="U79" s="1">
        <f t="shared" si="19"/>
        <v>0</v>
      </c>
    </row>
    <row r="80" spans="3:21">
      <c r="C80" s="61" t="str">
        <f>tblIndiSets!A147</f>
        <v>PESE4.2.10</v>
      </c>
      <c r="D80" s="60">
        <f>tblIndiSets!B147</f>
        <v>60</v>
      </c>
      <c r="E80" s="60">
        <f ca="1" t="shared" si="16"/>
        <v>3</v>
      </c>
      <c r="F80" s="60" t="str">
        <f>tblIndiSets!C147</f>
        <v>   4.2.10) Threat of terrorism</v>
      </c>
      <c r="G80" s="60" t="str">
        <f ca="1" t="shared" si="17"/>
        <v>   4.2.10) Threat of terrorism</v>
      </c>
      <c r="H80" s="1">
        <v>1</v>
      </c>
      <c r="I80" s="1">
        <v>1</v>
      </c>
      <c r="J80" s="1">
        <v>1</v>
      </c>
      <c r="K80" s="1">
        <v>1</v>
      </c>
      <c r="L80" s="1">
        <v>1</v>
      </c>
      <c r="M80" s="1">
        <v>1</v>
      </c>
      <c r="N80" s="1">
        <v>1</v>
      </c>
      <c r="O80" s="1">
        <v>1</v>
      </c>
      <c r="P80" s="1">
        <v>1</v>
      </c>
      <c r="Q80" s="1">
        <v>1</v>
      </c>
      <c r="S80" s="1">
        <f t="shared" si="18"/>
        <v>1</v>
      </c>
      <c r="T80" s="1">
        <f>Weights!G83</f>
        <v>1</v>
      </c>
      <c r="U80" s="1">
        <f t="shared" si="19"/>
        <v>0</v>
      </c>
    </row>
    <row r="81" spans="3:21">
      <c r="C81" s="61" t="str">
        <f>tblIndiSets!A148</f>
        <v>PESE4.2.11</v>
      </c>
      <c r="D81" s="60">
        <f>tblIndiSets!B148</f>
        <v>61</v>
      </c>
      <c r="E81" s="60">
        <f ca="1" t="shared" si="16"/>
        <v>3</v>
      </c>
      <c r="F81" s="60" t="str">
        <f>tblIndiSets!C148</f>
        <v>   4.2.11) Threat of military conflict</v>
      </c>
      <c r="G81" s="60" t="str">
        <f ca="1" t="shared" si="17"/>
        <v>   4.2.11) Threat of military conflict</v>
      </c>
      <c r="H81" s="1">
        <v>1</v>
      </c>
      <c r="I81" s="1">
        <v>1</v>
      </c>
      <c r="J81" s="1">
        <v>1</v>
      </c>
      <c r="K81" s="1">
        <v>1</v>
      </c>
      <c r="L81" s="1">
        <v>1</v>
      </c>
      <c r="M81" s="1">
        <v>1</v>
      </c>
      <c r="N81" s="1">
        <v>1</v>
      </c>
      <c r="O81" s="1">
        <v>1</v>
      </c>
      <c r="P81" s="1">
        <v>1</v>
      </c>
      <c r="Q81" s="1">
        <v>1</v>
      </c>
      <c r="S81" s="1">
        <f t="shared" si="18"/>
        <v>1</v>
      </c>
      <c r="T81" s="1">
        <f>Weights!G84</f>
        <v>1</v>
      </c>
      <c r="U81" s="1">
        <f t="shared" si="19"/>
        <v>0</v>
      </c>
    </row>
    <row r="82" spans="3:21">
      <c r="C82" s="61" t="str">
        <f>tblIndiSets!A149</f>
        <v>PESE4.2.12</v>
      </c>
      <c r="D82" s="60">
        <f>tblIndiSets!B149</f>
        <v>62</v>
      </c>
      <c r="E82" s="60">
        <f ca="1" t="shared" si="16"/>
        <v>3</v>
      </c>
      <c r="F82" s="60" t="str">
        <f>tblIndiSets!C149</f>
        <v>   4.2.12) Threat of civil unrest</v>
      </c>
      <c r="G82" s="60" t="str">
        <f ca="1" t="shared" si="17"/>
        <v>   4.2.12) Threat of civil unrest</v>
      </c>
      <c r="H82" s="1">
        <v>1</v>
      </c>
      <c r="I82" s="1">
        <v>1</v>
      </c>
      <c r="J82" s="1">
        <v>1</v>
      </c>
      <c r="K82" s="1">
        <v>1</v>
      </c>
      <c r="L82" s="1">
        <v>1</v>
      </c>
      <c r="M82" s="1">
        <v>1</v>
      </c>
      <c r="N82" s="1">
        <v>1</v>
      </c>
      <c r="O82" s="1">
        <v>1</v>
      </c>
      <c r="P82" s="1">
        <v>1</v>
      </c>
      <c r="Q82" s="1">
        <v>1</v>
      </c>
      <c r="S82" s="1">
        <f t="shared" si="18"/>
        <v>1</v>
      </c>
      <c r="T82" s="1">
        <f>Weights!G85</f>
        <v>1</v>
      </c>
      <c r="U82" s="1">
        <f t="shared" si="19"/>
        <v>0</v>
      </c>
    </row>
    <row r="83" ht="12"/>
    <row r="84" spans="1:1">
      <c r="A84" s="62"/>
    </row>
    <row r="85" ht="36" spans="1:1">
      <c r="A85" s="63" t="s">
        <v>898</v>
      </c>
    </row>
  </sheetData>
  <pageMargins left="0.551181102362205" right="0.551181102362205" top="0.590551181102362" bottom="0.78740157480315" header="0.511811023622047" footer="0.511811023622047"/>
  <pageSetup paperSize="9" scale="50" orientation="landscape" horizontalDpi="1200" verticalDpi="1200"/>
  <headerFooter alignWithMargins="0">
    <oddHeader>&amp;RSafe Cities Index : 2017</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B050"/>
    <pageSetUpPr fitToPage="1"/>
  </sheetPr>
  <dimension ref="A1:E2"/>
  <sheetViews>
    <sheetView showRowColHeaders="0" zoomScale="90" zoomScaleNormal="90" workbookViewId="0">
      <selection activeCell="A1" sqref="$A1:$XFD3"/>
    </sheetView>
  </sheetViews>
  <sheetFormatPr defaultColWidth="9" defaultRowHeight="15" outlineLevelRow="1" outlineLevelCol="4"/>
  <cols>
    <col min="1" max="16384" width="9.14285714285714"/>
  </cols>
  <sheetData>
    <row r="1" spans="1:5">
      <c r="A1" s="58" t="s">
        <v>899</v>
      </c>
      <c r="B1" s="58" t="s">
        <v>900</v>
      </c>
      <c r="C1" s="58" t="s">
        <v>901</v>
      </c>
      <c r="D1" s="59"/>
      <c r="E1" s="59"/>
    </row>
    <row r="2" spans="1:2">
      <c r="A2">
        <v>0</v>
      </c>
      <c r="B2">
        <v>0</v>
      </c>
    </row>
  </sheetData>
  <pageMargins left="0.551181102362205" right="0.551181102362205" top="0.590551181102362" bottom="0.78740157480315" header="0.511811023622047" footer="0.511811023622047"/>
  <pageSetup paperSize="9" orientation="landscape"/>
  <headerFooter alignWithMargins="0">
    <oddHeader>&amp;RSafe Cities Index : 2017</oddHead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0000"/>
    <pageSetUpPr fitToPage="1"/>
  </sheetPr>
  <dimension ref="A1:A45"/>
  <sheetViews>
    <sheetView showRowColHeaders="0" zoomScale="90" zoomScaleNormal="90" workbookViewId="0">
      <selection activeCell="A11" sqref="A11"/>
    </sheetView>
  </sheetViews>
  <sheetFormatPr defaultColWidth="9" defaultRowHeight="15"/>
  <cols>
    <col min="1" max="9" width="9.14285714285714"/>
    <col min="11" max="11" width="9.14285714285714"/>
  </cols>
  <sheetData>
    <row r="1" spans="1:1">
      <c r="A1" t="s">
        <v>902</v>
      </c>
    </row>
    <row r="2" spans="1:1">
      <c r="A2" t="s">
        <v>903</v>
      </c>
    </row>
    <row r="3" spans="1:1">
      <c r="A3" t="s">
        <v>904</v>
      </c>
    </row>
    <row r="4" spans="1:1">
      <c r="A4" t="s">
        <v>905</v>
      </c>
    </row>
    <row r="5" spans="1:1">
      <c r="A5" t="s">
        <v>906</v>
      </c>
    </row>
    <row r="6" spans="1:1">
      <c r="A6" t="s">
        <v>381</v>
      </c>
    </row>
    <row r="7" spans="1:1">
      <c r="A7" t="s">
        <v>907</v>
      </c>
    </row>
    <row r="8" spans="1:1">
      <c r="A8" t="s">
        <v>908</v>
      </c>
    </row>
    <row r="9" spans="1:1">
      <c r="A9" t="s">
        <v>909</v>
      </c>
    </row>
    <row r="10" customFormat="1" spans="1:1">
      <c r="A10" t="s">
        <v>910</v>
      </c>
    </row>
    <row r="11" spans="1:1">
      <c r="A11" t="s">
        <v>911</v>
      </c>
    </row>
    <row r="12" spans="1:1">
      <c r="A12" t="s">
        <v>25</v>
      </c>
    </row>
    <row r="13" spans="1:1">
      <c r="A13" t="s">
        <v>912</v>
      </c>
    </row>
    <row r="14" spans="1:1">
      <c r="A14" t="s">
        <v>913</v>
      </c>
    </row>
    <row r="15" spans="1:1">
      <c r="A15" t="s">
        <v>914</v>
      </c>
    </row>
    <row r="16" spans="1:1">
      <c r="A16" t="s">
        <v>915</v>
      </c>
    </row>
    <row r="17" spans="1:1">
      <c r="A17" t="s">
        <v>916</v>
      </c>
    </row>
    <row r="18" spans="1:1">
      <c r="A18" t="s">
        <v>917</v>
      </c>
    </row>
    <row r="19" spans="1:1">
      <c r="A19" t="s">
        <v>918</v>
      </c>
    </row>
    <row r="20" spans="1:1">
      <c r="A20" t="s">
        <v>919</v>
      </c>
    </row>
    <row r="21" spans="1:1">
      <c r="A21" t="s">
        <v>920</v>
      </c>
    </row>
    <row r="22" spans="1:1">
      <c r="A22" t="s">
        <v>921</v>
      </c>
    </row>
    <row r="23" spans="1:1">
      <c r="A23" t="s">
        <v>922</v>
      </c>
    </row>
    <row r="24" spans="1:1">
      <c r="A24" t="s">
        <v>923</v>
      </c>
    </row>
    <row r="25" spans="1:1">
      <c r="A25" t="s">
        <v>924</v>
      </c>
    </row>
    <row r="26" spans="1:1">
      <c r="A26" t="s">
        <v>925</v>
      </c>
    </row>
    <row r="27" spans="1:1">
      <c r="A27" t="s">
        <v>926</v>
      </c>
    </row>
    <row r="28" spans="1:1">
      <c r="A28" t="s">
        <v>927</v>
      </c>
    </row>
    <row r="29" spans="1:1">
      <c r="A29" t="s">
        <v>928</v>
      </c>
    </row>
    <row r="30" spans="1:1">
      <c r="A30" t="s">
        <v>929</v>
      </c>
    </row>
    <row r="31" spans="1:1">
      <c r="A31" t="s">
        <v>930</v>
      </c>
    </row>
    <row r="32" spans="1:1">
      <c r="A32" t="s">
        <v>931</v>
      </c>
    </row>
    <row r="33" spans="1:1">
      <c r="A33" t="s">
        <v>932</v>
      </c>
    </row>
    <row r="34" spans="1:1">
      <c r="A34" t="s">
        <v>933</v>
      </c>
    </row>
    <row r="35" spans="1:1">
      <c r="A35" t="s">
        <v>934</v>
      </c>
    </row>
    <row r="36" spans="1:1">
      <c r="A36" t="s">
        <v>935</v>
      </c>
    </row>
    <row r="37" spans="1:1">
      <c r="A37" t="s">
        <v>936</v>
      </c>
    </row>
    <row r="38" spans="1:1">
      <c r="A38" t="s">
        <v>937</v>
      </c>
    </row>
    <row r="39" spans="1:1">
      <c r="A39" t="s">
        <v>938</v>
      </c>
    </row>
    <row r="40" spans="1:1">
      <c r="A40" t="s">
        <v>939</v>
      </c>
    </row>
    <row r="41" spans="1:1">
      <c r="A41" t="s">
        <v>940</v>
      </c>
    </row>
    <row r="42" spans="1:1">
      <c r="A42" t="s">
        <v>941</v>
      </c>
    </row>
    <row r="43" spans="1:1">
      <c r="A43" t="s">
        <v>942</v>
      </c>
    </row>
    <row r="44" spans="1:1">
      <c r="A44" t="s">
        <v>943</v>
      </c>
    </row>
    <row r="45" spans="1:1">
      <c r="A45" t="s">
        <v>944</v>
      </c>
    </row>
  </sheetData>
  <pageMargins left="0.551181102362205" right="0.551181102362205" top="0.590551181102362" bottom="0.78740157480315" header="0.511811023622047" footer="0.511811023622047"/>
  <pageSetup paperSize="9" scale="50" orientation="landscape"/>
  <headerFooter alignWithMargins="0">
    <oddHeader>&amp;RSafe Cities Index : 2017</oddHead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C000"/>
    <pageSetUpPr fitToPage="1"/>
  </sheetPr>
  <dimension ref="A1:AS63"/>
  <sheetViews>
    <sheetView showRowColHeaders="0" zoomScale="90" zoomScaleNormal="90" workbookViewId="0">
      <pane xSplit="3" ySplit="1" topLeftCell="D56" activePane="bottomRight" state="frozen"/>
      <selection/>
      <selection pane="topRight"/>
      <selection pane="bottomLeft"/>
      <selection pane="bottomRight" activeCell="A64" sqref="A64"/>
    </sheetView>
  </sheetViews>
  <sheetFormatPr defaultColWidth="9.14285714285714" defaultRowHeight="11.25"/>
  <cols>
    <col min="1" max="2" width="9.14285714285714" style="1"/>
    <col min="3" max="3" width="69.8571428571429" style="1" customWidth="1"/>
    <col min="4" max="4" width="9.14285714285714" style="1"/>
    <col min="5" max="5" width="6.42857142857143" style="1" customWidth="1"/>
    <col min="6" max="6" width="9.14285714285714" style="1"/>
    <col min="7" max="7" width="9.14285714285714" style="19"/>
    <col min="8" max="8" width="18.2857142857143" style="1" customWidth="1"/>
    <col min="9" max="26" width="9.14285714285714" style="1"/>
    <col min="27" max="27" width="9.14285714285714" style="53"/>
    <col min="28" max="29" width="9.14285714285714" style="20"/>
    <col min="30" max="16384" width="9.14285714285714" style="1"/>
  </cols>
  <sheetData>
    <row r="1" spans="1:45">
      <c r="A1" s="21" t="str">
        <f>IF(IF(uxb_works!$B$46=1,tblCategories_2014!A1,tblCategories_2017!A1)="","",IF(uxb_works!$B$46=1,tblCategories_2014!A1,tblCategories_2017!A1))</f>
        <v>CityID</v>
      </c>
      <c r="B1" s="21" t="str">
        <f>IF(IF(uxb_works!$B$46=1,tblCategories_2014!B1,tblCategories_2017!B1)="","",IF(uxb_works!$B$46=1,tblCategories_2014!B1,tblCategories_2017!B1))</f>
        <v>ISO</v>
      </c>
      <c r="C1" s="21" t="str">
        <f>IF(IF(uxb_works!$B$46=1,tblCategories_2014!C1,tblCategories_2017!C1)="","",IF(uxb_works!$B$46=1,tblCategories_2014!C1,tblCategories_2017!C1))</f>
        <v>Indicator</v>
      </c>
      <c r="D1" s="21" t="str">
        <f>IF(IF(uxb_works!$B$46=1,tblCategories_2014!D1,tblCategories_2017!D1)="","",IF(uxb_works!$B$46=1,tblCategories_2014!D1,tblCategories_2017!D1))</f>
        <v>DisplayName</v>
      </c>
      <c r="E1" s="21" t="str">
        <f>IF(IF(uxb_works!$B$46=1,tblCategories_2014!E1,tblCategories_2017!E1)="","",IF(uxb_works!$B$46=1,tblCategories_2014!E1,tblCategories_2017!E1))</f>
        <v>ISO/MAP</v>
      </c>
      <c r="F1" s="54" t="str">
        <f>IF(IF(uxb_works!$B$46=1,tblCategories_2014!F1,tblCategories_2017!F1)="","",IF(uxb_works!$B$46=1,tblCategories_2014!F1,tblCategories_2017!F1))</f>
        <v>Display_Status</v>
      </c>
      <c r="G1" s="55" t="str">
        <f>IF(IF(uxb_works!$B$46=1,tblCategories_2014!G1,tblCategories_2017!G1)="","",IF(uxb_works!$B$46=1,tblCategories_2014!G1,tblCategories_2017!G1))</f>
        <v>ParentCity</v>
      </c>
      <c r="H1" s="1" t="str">
        <f>IF(IF(uxb_works!$B$46=1,tblCategories_2014!H1,tblCategories_2017!H1)="","",IF(uxb_works!$B$46=1,tblCategories_2014!H1,tblCategories_2017!H1))</f>
        <v/>
      </c>
      <c r="I1" s="1" t="str">
        <f>IF(IF(uxb_works!$B$46=1,tblCategories_2014!I1,tblCategories_2017!I1)="","",IF(uxb_works!$B$46=1,tblCategories_2014!I1,tblCategories_2017!I1))</f>
        <v/>
      </c>
      <c r="J1" s="1" t="str">
        <f>IF(IF(uxb_works!$B$46=1,tblCategories_2014!J1,tblCategories_2017!J1)="","",IF(uxb_works!$B$46=1,tblCategories_2014!J1,tblCategories_2017!J1))</f>
        <v/>
      </c>
      <c r="K1" s="1" t="str">
        <f>IF(IF(uxb_works!$B$46=1,tblCategories_2014!K1,tblCategories_2017!K1)="","",IF(uxb_works!$B$46=1,tblCategories_2014!K1,tblCategories_2017!K1))</f>
        <v/>
      </c>
      <c r="L1" s="1" t="str">
        <f>IF(IF(uxb_works!$B$46=1,tblCategories_2014!L1,tblCategories_2017!L1)="","",IF(uxb_works!$B$46=1,tblCategories_2014!L1,tblCategories_2017!L1))</f>
        <v/>
      </c>
      <c r="M1" s="1">
        <f>IF(IF(uxb_works!$B$46=1,tblCategories_2014!M1,tblCategories_2017!M1)="","",IF(uxb_works!$B$46=1,tblCategories_2014!M1,tblCategories_2017!M1))</f>
        <v>1</v>
      </c>
      <c r="N1" s="1">
        <f>IF(IF(uxb_works!$B$46=1,tblCategories_2014!N1,tblCategories_2017!N1)="","",IF(uxb_works!$B$46=1,tblCategories_2014!N1,tblCategories_2017!N1))</f>
        <v>2</v>
      </c>
      <c r="O1" s="1">
        <f>IF(IF(uxb_works!$B$46=1,tblCategories_2014!O1,tblCategories_2017!O1)="","",IF(uxb_works!$B$46=1,tblCategories_2014!O1,tblCategories_2017!O1))</f>
        <v>3</v>
      </c>
      <c r="P1" s="1">
        <f>IF(IF(uxb_works!$B$46=1,tblCategories_2014!P1,tblCategories_2017!P1)="","",IF(uxb_works!$B$46=1,tblCategories_2014!P1,tblCategories_2017!P1))</f>
        <v>4</v>
      </c>
      <c r="Q1" s="1">
        <f>IF(IF(uxb_works!$B$46=1,tblCategories_2014!Q1,tblCategories_2017!Q1)="","",IF(uxb_works!$B$46=1,tblCategories_2014!Q1,tblCategories_2017!Q1))</f>
        <v>5</v>
      </c>
      <c r="R1" s="1">
        <f>IF(IF(uxb_works!$B$46=1,tblCategories_2014!R1,tblCategories_2017!R1)="","",IF(uxb_works!$B$46=1,tblCategories_2014!R1,tblCategories_2017!R1))</f>
        <v>6</v>
      </c>
      <c r="S1" s="1">
        <f>IF(IF(uxb_works!$B$46=1,tblCategories_2014!S1,tblCategories_2017!S1)="","",IF(uxb_works!$B$46=1,tblCategories_2014!S1,tblCategories_2017!S1))</f>
        <v>7</v>
      </c>
      <c r="T1" s="1">
        <f>IF(IF(uxb_works!$B$46=1,tblCategories_2014!T1,tblCategories_2017!T1)="","",IF(uxb_works!$B$46=1,tblCategories_2014!T1,tblCategories_2017!T1))</f>
        <v>8</v>
      </c>
      <c r="U1" s="1">
        <f>IF(IF(uxb_works!$B$46=1,tblCategories_2014!U1,tblCategories_2017!U1)="","",IF(uxb_works!$B$46=1,tblCategories_2014!U1,tblCategories_2017!U1))</f>
        <v>9</v>
      </c>
      <c r="V1" s="1">
        <f>IF(IF(uxb_works!$B$46=1,tblCategories_2014!V1,tblCategories_2017!V1)="","",IF(uxb_works!$B$46=1,tblCategories_2014!V1,tblCategories_2017!V1))</f>
        <v>10</v>
      </c>
      <c r="W1" s="1">
        <f>IF(IF(uxb_works!$B$46=1,tblCategories_2014!W1,tblCategories_2017!W1)="","",IF(uxb_works!$B$46=1,tblCategories_2014!W1,tblCategories_2017!W1))</f>
        <v>11</v>
      </c>
      <c r="X1" s="1">
        <f>IF(IF(uxb_works!$B$46=1,tblCategories_2014!X1,tblCategories_2017!X1)="","",IF(uxb_works!$B$46=1,tblCategories_2014!X1,tblCategories_2017!X1))</f>
        <v>12</v>
      </c>
      <c r="Y1" s="1">
        <f>IF(IF(uxb_works!$B$46=1,tblCategories_2014!Y1,tblCategories_2017!Y1)="","",IF(uxb_works!$B$46=1,tblCategories_2014!Y1,tblCategories_2017!Y1))</f>
        <v>13</v>
      </c>
      <c r="Z1" s="1" t="str">
        <f>IF(IF(uxb_works!$B$46=1,tblCategories_2014!Z1,tblCategories_2017!Z1)="","",IF(uxb_works!$B$46=1,tblCategories_2014!Z1,tblCategories_2017!Z1))</f>
        <v/>
      </c>
      <c r="AA1" s="53" t="str">
        <f>IF(IF(uxb_works!$B$46=1,tblCategories_2014!AA1,tblCategories_2017!AA1)="","",IF(uxb_works!$B$46=1,tblCategories_2014!AA1,tblCategories_2017!AA1))</f>
        <v/>
      </c>
      <c r="AB1" s="20" t="str">
        <f>IF(IF(uxb_works!$B$46=1,tblCategories_2014!AB1,tblCategories_2017!AB1)="","",IF(uxb_works!$B$46=1,tblCategories_2014!AB1,tblCategories_2017!AB1))</f>
        <v/>
      </c>
      <c r="AC1" s="20" t="str">
        <f>IF(IF(uxb_works!$B$46=1,tblCategories_2014!AC1,tblCategories_2017!AC1)="","",IF(uxb_works!$B$46=1,tblCategories_2014!AC1,tblCategories_2017!AC1))</f>
        <v/>
      </c>
      <c r="AD1" s="1" t="str">
        <f>IF(IF(uxb_works!$B$46=1,tblCategories_2014!AD1,tblCategories_2017!AD1)="","",IF(uxb_works!$B$46=1,tblCategories_2014!AD1,tblCategories_2017!AD1))</f>
        <v>For Spider Chart</v>
      </c>
      <c r="AE1" s="1" t="str">
        <f>IF(IF(uxb_works!$B$46=1,tblCategories_2014!AE1,tblCategories_2017!AE1)="","",IF(uxb_works!$B$46=1,tblCategories_2014!AE1,tblCategories_2017!AE1))</f>
        <v/>
      </c>
      <c r="AF1" s="1" t="str">
        <f>IF(IF(uxb_works!$B$46=1,tblCategories_2014!AF1,tblCategories_2017!AF1)="","",IF(uxb_works!$B$46=1,tblCategories_2014!AF1,tblCategories_2017!AF1))</f>
        <v/>
      </c>
      <c r="AG1" s="1">
        <f>IF(IF(uxb_works!$B$46=1,tblCategories_2014!AG1,tblCategories_2017!AG1)="","",IF(uxb_works!$B$46=1,tblCategories_2014!AG1,tblCategories_2017!AG1))</f>
        <v>1</v>
      </c>
      <c r="AH1" s="1">
        <f>IF(IF(uxb_works!$B$46=1,tblCategories_2014!AH1,tblCategories_2017!AH1)="","",IF(uxb_works!$B$46=1,tblCategories_2014!AH1,tblCategories_2017!AH1))</f>
        <v>2</v>
      </c>
      <c r="AI1" s="1">
        <f>IF(IF(uxb_works!$B$46=1,tblCategories_2014!AI1,tblCategories_2017!AI1)="","",IF(uxb_works!$B$46=1,tblCategories_2014!AI1,tblCategories_2017!AI1))</f>
        <v>3</v>
      </c>
      <c r="AJ1" s="1">
        <f>IF(IF(uxb_works!$B$46=1,tblCategories_2014!AJ1,tblCategories_2017!AJ1)="","",IF(uxb_works!$B$46=1,tblCategories_2014!AJ1,tblCategories_2017!AJ1))</f>
        <v>4</v>
      </c>
      <c r="AK1" s="1">
        <f>IF(IF(uxb_works!$B$46=1,tblCategories_2014!AK1,tblCategories_2017!AK1)="","",IF(uxb_works!$B$46=1,tblCategories_2014!AK1,tblCategories_2017!AK1))</f>
        <v>5</v>
      </c>
      <c r="AL1" s="1">
        <f>IF(IF(uxb_works!$B$46=1,tblCategories_2014!AL1,tblCategories_2017!AL1)="","",IF(uxb_works!$B$46=1,tblCategories_2014!AL1,tblCategories_2017!AL1))</f>
        <v>6</v>
      </c>
      <c r="AM1" s="1">
        <f>IF(IF(uxb_works!$B$46=1,tblCategories_2014!AM1,tblCategories_2017!AM1)="","",IF(uxb_works!$B$46=1,tblCategories_2014!AM1,tblCategories_2017!AM1))</f>
        <v>7</v>
      </c>
      <c r="AN1" s="1">
        <f>IF(IF(uxb_works!$B$46=1,tblCategories_2014!AN1,tblCategories_2017!AN1)="","",IF(uxb_works!$B$46=1,tblCategories_2014!AN1,tblCategories_2017!AN1))</f>
        <v>8</v>
      </c>
      <c r="AO1" s="1">
        <f>IF(IF(uxb_works!$B$46=1,tblCategories_2014!AO1,tblCategories_2017!AO1)="","",IF(uxb_works!$B$46=1,tblCategories_2014!AO1,tblCategories_2017!AO1))</f>
        <v>9</v>
      </c>
      <c r="AP1" s="1">
        <f>IF(IF(uxb_works!$B$46=1,tblCategories_2014!AP1,tblCategories_2017!AP1)="","",IF(uxb_works!$B$46=1,tblCategories_2014!AP1,tblCategories_2017!AP1))</f>
        <v>10</v>
      </c>
      <c r="AQ1" s="1">
        <f>IF(IF(uxb_works!$B$46=1,tblCategories_2014!AQ1,tblCategories_2017!AQ1)="","",IF(uxb_works!$B$46=1,tblCategories_2014!AQ1,tblCategories_2017!AQ1))</f>
        <v>11</v>
      </c>
      <c r="AR1" s="1">
        <f>IF(IF(uxb_works!$B$46=1,tblCategories_2014!AR1,tblCategories_2017!AR1)="","",IF(uxb_works!$B$46=1,tblCategories_2014!AR1,tblCategories_2017!AR1))</f>
        <v>12</v>
      </c>
      <c r="AS1" s="1">
        <f>IF(IF(uxb_works!$B$46=1,tblCategories_2014!AS1,tblCategories_2017!AS1)="","",IF(uxb_works!$B$46=1,tblCategories_2014!AS1,tblCategories_2017!AS1))</f>
        <v>13</v>
      </c>
    </row>
    <row r="2" spans="1:45">
      <c r="A2" s="1">
        <f>IF(IF(uxb_works!$B$46=1,tblCategories_2014!A2,tblCategories_2017!A2)="","",IF(uxb_works!$B$46=1,tblCategories_2014!A2,tblCategories_2017!A2))</f>
        <v>0</v>
      </c>
      <c r="B2" s="1" t="str">
        <f>IF(IF(uxb_works!$B$46=1,tblCategories_2014!B2,tblCategories_2017!B2)="","",IF(uxb_works!$B$46=1,tblCategories_2014!B2,tblCategories_2017!B2))</f>
        <v/>
      </c>
      <c r="C2" s="1" t="str">
        <f>IF(IF(uxb_works!$B$46=1,tblCategories_2014!C2,tblCategories_2017!C2)="","",IF(uxb_works!$B$46=1,tblCategories_2014!C2,tblCategories_2017!C2))</f>
        <v>&lt;none&gt;</v>
      </c>
      <c r="D2" s="1" t="str">
        <f>IF(IF(uxb_works!$B$46=1,tblCategories_2014!D2,tblCategories_2017!D2)="","",IF(uxb_works!$B$46=1,tblCategories_2014!D2,tblCategories_2017!D2))</f>
        <v>&lt;none&gt;</v>
      </c>
      <c r="E2" s="1" t="str">
        <f>IF(IF(uxb_works!$B$46=1,tblCategories_2014!E2,tblCategories_2017!E2)="","",IF(uxb_works!$B$46=1,tblCategories_2014!E2,tblCategories_2017!E2))</f>
        <v/>
      </c>
      <c r="F2" s="22">
        <f>IF(IF(uxb_works!$B$46=1,tblCategories_2014!F2,tblCategories_2017!F2)="","",IF(uxb_works!$B$46=1,tblCategories_2014!F2,tblCategories_2017!F2))</f>
        <v>0</v>
      </c>
      <c r="G2" s="56" t="str">
        <f>IF(IF(uxb_works!$B$46=1,tblCategories_2014!G2,tblCategories_2017!G2)="","",IF(uxb_works!$B$46=1,tblCategories_2014!G2,tblCategories_2017!G2))</f>
        <v/>
      </c>
      <c r="H2" s="1" t="str">
        <f>IF(IF(uxb_works!$B$46=1,tblCategories_2014!H2,tblCategories_2017!H2)="","",IF(uxb_works!$B$46=1,tblCategories_2014!H2,tblCategories_2017!H2))</f>
        <v/>
      </c>
      <c r="I2" s="23" t="str">
        <f>IF(IF(uxb_works!$B$46=1,tblCategories_2014!I2,tblCategories_2017!I2)="","",IF(uxb_works!$B$46=1,tblCategories_2014!I2,tblCategories_2017!I2))</f>
        <v/>
      </c>
      <c r="J2" s="1" t="str">
        <f>IF(IF(uxb_works!$B$46=1,tblCategories_2014!J2,tblCategories_2017!J2)="","",IF(uxb_works!$B$46=1,tblCategories_2014!J2,tblCategories_2017!J2))</f>
        <v/>
      </c>
      <c r="K2" s="1" t="str">
        <f>IF(IF(uxb_works!$B$46=1,tblCategories_2014!K2,tblCategories_2017!K2)="","",IF(uxb_works!$B$46=1,tblCategories_2014!K2,tblCategories_2017!K2))</f>
        <v>All</v>
      </c>
      <c r="L2" s="1" t="str">
        <f>IF(IF(uxb_works!$B$46=1,tblCategories_2014!L2,tblCategories_2017!L2)="","",IF(uxb_works!$B$46=1,tblCategories_2014!L2,tblCategories_2017!L2))</f>
        <v/>
      </c>
      <c r="M2" s="1" t="str">
        <f>IF(IF(uxb_works!$B$46=1,tblCategories_2014!M2,tblCategories_2017!M2)="","",IF(uxb_works!$B$46=1,tblCategories_2014!M2,tblCategories_2017!M2))</f>
        <v>All</v>
      </c>
      <c r="N2" s="1" t="str">
        <f>IF(IF(uxb_works!$B$46=1,tblCategories_2014!N2,tblCategories_2017!N2)="","",IF(uxb_works!$B$46=1,tblCategories_2014!N2,tblCategories_2017!N2))</f>
        <v> 1) DIGITAL SECURITY</v>
      </c>
      <c r="O2" s="1" t="str">
        <f>IF(IF(uxb_works!$B$46=1,tblCategories_2014!O2,tblCategories_2017!O2)="","",IF(uxb_works!$B$46=1,tblCategories_2014!O2,tblCategories_2017!O2))</f>
        <v>  1.1) Digital security (Inputs)</v>
      </c>
      <c r="P2" s="1" t="str">
        <f>IF(IF(uxb_works!$B$46=1,tblCategories_2014!P2,tblCategories_2017!P2)="","",IF(uxb_works!$B$46=1,tblCategories_2014!P2,tblCategories_2017!P2))</f>
        <v>  1.2) Digital security (Outputs)</v>
      </c>
      <c r="Q2" s="1" t="str">
        <f>IF(IF(uxb_works!$B$46=1,tblCategories_2014!Q2,tblCategories_2017!Q2)="","",IF(uxb_works!$B$46=1,tblCategories_2014!Q2,tblCategories_2017!Q2))</f>
        <v> 2) HEALTH SECURITY</v>
      </c>
      <c r="R2" s="1" t="str">
        <f>IF(IF(uxb_works!$B$46=1,tblCategories_2014!R2,tblCategories_2017!R2)="","",IF(uxb_works!$B$46=1,tblCategories_2014!R2,tblCategories_2017!R2))</f>
        <v>  2.1) Health security (Inputs)</v>
      </c>
      <c r="S2" s="1" t="str">
        <f>IF(IF(uxb_works!$B$46=1,tblCategories_2014!S2,tblCategories_2017!S2)="","",IF(uxb_works!$B$46=1,tblCategories_2014!S2,tblCategories_2017!S2))</f>
        <v>  2.2) Health security (Outputs)</v>
      </c>
      <c r="T2" s="1" t="str">
        <f>IF(IF(uxb_works!$B$46=1,tblCategories_2014!T2,tblCategories_2017!T2)="","",IF(uxb_works!$B$46=1,tblCategories_2014!T2,tblCategories_2017!T2))</f>
        <v> 3) INFRASTRUCTURE SECURITY</v>
      </c>
      <c r="U2" s="1" t="str">
        <f>IF(IF(uxb_works!$B$46=1,tblCategories_2014!U2,tblCategories_2017!U2)="","",IF(uxb_works!$B$46=1,tblCategories_2014!U2,tblCategories_2017!U2))</f>
        <v>  3.1) Infrastructure security (Inputs)</v>
      </c>
      <c r="V2" s="1" t="str">
        <f>IF(IF(uxb_works!$B$46=1,tblCategories_2014!V2,tblCategories_2017!V2)="","",IF(uxb_works!$B$46=1,tblCategories_2014!V2,tblCategories_2017!V2))</f>
        <v>  3.2) Infrastructure security (Outputs)</v>
      </c>
      <c r="W2" s="1" t="str">
        <f>IF(IF(uxb_works!$B$46=1,tblCategories_2014!W2,tblCategories_2017!W2)="","",IF(uxb_works!$B$46=1,tblCategories_2014!W2,tblCategories_2017!W2))</f>
        <v> 4) PERSONAL SECURITY</v>
      </c>
      <c r="X2" s="1" t="str">
        <f>IF(IF(uxb_works!$B$46=1,tblCategories_2014!X2,tblCategories_2017!X2)="","",IF(uxb_works!$B$46=1,tblCategories_2014!X2,tblCategories_2017!X2))</f>
        <v>  4.1) Personal security (Inputs)</v>
      </c>
      <c r="Y2" s="1" t="str">
        <f>IF(IF(uxb_works!$B$46=1,tblCategories_2014!Y2,tblCategories_2017!Y2)="","",IF(uxb_works!$B$46=1,tblCategories_2014!Y2,tblCategories_2017!Y2))</f>
        <v>  4.2) Personal security (Outputs)</v>
      </c>
      <c r="Z2" s="1" t="str">
        <f>IF(IF(uxb_works!$B$46=1,tblCategories_2014!Z2,tblCategories_2017!Z2)="","",IF(uxb_works!$B$46=1,tblCategories_2014!Z2,tblCategories_2017!Z2))</f>
        <v/>
      </c>
      <c r="AA2" s="53" t="str">
        <f>IF(IF(uxb_works!$B$46=1,tblCategories_2014!AA2,tblCategories_2017!AA2)="","",IF(uxb_works!$B$46=1,tblCategories_2014!AA2,tblCategories_2017!AA2))</f>
        <v/>
      </c>
      <c r="AB2" s="20" t="str">
        <f>IF(IF(uxb_works!$B$46=1,tblCategories_2014!AB2,tblCategories_2017!AB2)="","",IF(uxb_works!$B$46=1,tblCategories_2014!AB2,tblCategories_2017!AB2))</f>
        <v/>
      </c>
      <c r="AC2" s="20" t="str">
        <f>IF(IF(uxb_works!$B$46=1,tblCategories_2014!AC2,tblCategories_2017!AC2)="","",IF(uxb_works!$B$46=1,tblCategories_2014!AC2,tblCategories_2017!AC2))</f>
        <v/>
      </c>
      <c r="AD2" s="1" t="str">
        <f>IF(IF(uxb_works!$B$46=1,tblCategories_2014!AD2,tblCategories_2017!AD2)="","",IF(uxb_works!$B$46=1,tblCategories_2014!AD2,tblCategories_2017!AD2))</f>
        <v/>
      </c>
      <c r="AE2" s="1" t="str">
        <f>IF(IF(uxb_works!$B$46=1,tblCategories_2014!AE2,tblCategories_2017!AE2)="","",IF(uxb_works!$B$46=1,tblCategories_2014!AE2,tblCategories_2017!AE2))</f>
        <v>All</v>
      </c>
      <c r="AF2" s="1" t="str">
        <f>IF(IF(uxb_works!$B$46=1,tblCategories_2014!AF2,tblCategories_2017!AF2)="","",IF(uxb_works!$B$46=1,tblCategories_2014!AF2,tblCategories_2017!AF2))</f>
        <v/>
      </c>
      <c r="AG2" s="1" t="str">
        <f>IF(IF(uxb_works!$B$46=1,tblCategories_2014!AG2,tblCategories_2017!AG2)="","",IF(uxb_works!$B$46=1,tblCategories_2014!AG2,tblCategories_2017!AG2))</f>
        <v>All</v>
      </c>
      <c r="AH2" s="1" t="str">
        <f>IF(IF(uxb_works!$B$46=1,tblCategories_2014!AH2,tblCategories_2017!AH2)="","",IF(uxb_works!$B$46=1,tblCategories_2014!AH2,tblCategories_2017!AH2))</f>
        <v> 1) DIGITAL SECURITY</v>
      </c>
      <c r="AI2" s="1" t="str">
        <f>IF(IF(uxb_works!$B$46=1,tblCategories_2014!AI2,tblCategories_2017!AI2)="","",IF(uxb_works!$B$46=1,tblCategories_2014!AI2,tblCategories_2017!AI2))</f>
        <v>  1.1) Digital security (Inputs)</v>
      </c>
      <c r="AJ2" s="1" t="str">
        <f>IF(IF(uxb_works!$B$46=1,tblCategories_2014!AJ2,tblCategories_2017!AJ2)="","",IF(uxb_works!$B$46=1,tblCategories_2014!AJ2,tblCategories_2017!AJ2))</f>
        <v>  1.2) Digital security (Outputs)</v>
      </c>
      <c r="AK2" s="1" t="str">
        <f>IF(IF(uxb_works!$B$46=1,tblCategories_2014!AK2,tblCategories_2017!AK2)="","",IF(uxb_works!$B$46=1,tblCategories_2014!AK2,tblCategories_2017!AK2))</f>
        <v> 2) HEALTH SECURITY</v>
      </c>
      <c r="AL2" s="1" t="str">
        <f>IF(IF(uxb_works!$B$46=1,tblCategories_2014!AL2,tblCategories_2017!AL2)="","",IF(uxb_works!$B$46=1,tblCategories_2014!AL2,tblCategories_2017!AL2))</f>
        <v>  2.1) Health security (Inputs)</v>
      </c>
      <c r="AM2" s="1" t="str">
        <f>IF(IF(uxb_works!$B$46=1,tblCategories_2014!AM2,tblCategories_2017!AM2)="","",IF(uxb_works!$B$46=1,tblCategories_2014!AM2,tblCategories_2017!AM2))</f>
        <v>  2.2) Health security (Outputs)</v>
      </c>
      <c r="AN2" s="1" t="str">
        <f>IF(IF(uxb_works!$B$46=1,tblCategories_2014!AN2,tblCategories_2017!AN2)="","",IF(uxb_works!$B$46=1,tblCategories_2014!AN2,tblCategories_2017!AN2))</f>
        <v> 3) INFRASTRUCTURE SECURITY</v>
      </c>
      <c r="AO2" s="1" t="str">
        <f>IF(IF(uxb_works!$B$46=1,tblCategories_2014!AO2,tblCategories_2017!AO2)="","",IF(uxb_works!$B$46=1,tblCategories_2014!AO2,tblCategories_2017!AO2))</f>
        <v>  3.1) Infrastructure security (Inputs)</v>
      </c>
      <c r="AP2" s="1" t="str">
        <f>IF(IF(uxb_works!$B$46=1,tblCategories_2014!AP2,tblCategories_2017!AP2)="","",IF(uxb_works!$B$46=1,tblCategories_2014!AP2,tblCategories_2017!AP2))</f>
        <v>  3.2) Infrastructure security (Outputs)</v>
      </c>
      <c r="AQ2" s="1" t="str">
        <f>IF(IF(uxb_works!$B$46=1,tblCategories_2014!AQ2,tblCategories_2017!AQ2)="","",IF(uxb_works!$B$46=1,tblCategories_2014!AQ2,tblCategories_2017!AQ2))</f>
        <v> 4) PERSONAL SECURITY</v>
      </c>
      <c r="AR2" s="1" t="str">
        <f>IF(IF(uxb_works!$B$46=1,tblCategories_2014!AR2,tblCategories_2017!AR2)="","",IF(uxb_works!$B$46=1,tblCategories_2014!AR2,tblCategories_2017!AR2))</f>
        <v>  4.1) Personal security (Inputs)</v>
      </c>
      <c r="AS2" s="1" t="str">
        <f>IF(IF(uxb_works!$B$46=1,tblCategories_2014!AS2,tblCategories_2017!AS2)="","",IF(uxb_works!$B$46=1,tblCategories_2014!AS2,tblCategories_2017!AS2))</f>
        <v>  4.2) Personal security (Outputs)</v>
      </c>
    </row>
    <row r="3" ht="12.75" spans="1:45">
      <c r="A3" s="1">
        <f>IF(IF(uxb_works!$B$46=1,tblCategories_2014!A3,tblCategories_2017!A3)="","",IF(uxb_works!$B$46=1,tblCategories_2014!A3,tblCategories_2017!A3))</f>
        <v>1</v>
      </c>
      <c r="B3" s="1" t="str">
        <f>IF(IF(uxb_works!$B$46=1,tblCategories_2014!B3,tblCategories_2017!B3)="","",IF(uxb_works!$B$46=1,tblCategories_2014!B3,tblCategories_2017!B3))</f>
        <v/>
      </c>
      <c r="C3" s="57" t="str">
        <f>IF(IF(uxb_works!$B$46=1,tblCategories_2014!C3,tblCategories_2017!C3)="","",IF(uxb_works!$B$46=1,tblCategories_2014!C3,tblCategories_2017!C3))</f>
        <v>1) DIGITAL SECURITY</v>
      </c>
      <c r="D3" s="1" t="str">
        <f>IF(IF(uxb_works!$B$46=1,tblCategories_2014!D3,tblCategories_2017!D3)="","",IF(uxb_works!$B$46=1,tblCategories_2014!D3,tblCategories_2017!D3))</f>
        <v>1) DIGITAL SECURITY</v>
      </c>
      <c r="E3" s="1" t="str">
        <f>IF(IF(uxb_works!$B$46=1,tblCategories_2014!E3,tblCategories_2017!E3)="","",IF(uxb_works!$B$46=1,tblCategories_2014!E3,tblCategories_2017!E3))</f>
        <v/>
      </c>
      <c r="F3" s="23">
        <f>IF(IF(uxb_works!$B$46=1,tblCategories_2014!F3,tblCategories_2017!F3)="","",IF(uxb_works!$B$46=1,tblCategories_2014!F3,tblCategories_2017!F3))</f>
        <v>1</v>
      </c>
      <c r="G3" s="32" t="str">
        <f>IF(IF(uxb_works!$B$46=1,tblCategories_2014!G3,tblCategories_2017!G3)="","",IF(uxb_works!$B$46=1,tblCategories_2014!G3,tblCategories_2017!G3))</f>
        <v/>
      </c>
      <c r="H3" s="1" t="str">
        <f>IF(IF(uxb_works!$B$46=1,tblCategories_2014!H3,tblCategories_2017!H3)="","",IF(uxb_works!$B$46=1,tblCategories_2014!H3,tblCategories_2017!H3))</f>
        <v>City_HIGHLIGHT_ID</v>
      </c>
      <c r="I3" s="23">
        <f>IF(IF(uxb_works!$B$46=1,tblCategories_2014!I3,tblCategories_2017!I3)="","",IF(uxb_works!$B$46=1,tblCategories_2014!I3,tblCategories_2017!I3))</f>
        <v>0</v>
      </c>
      <c r="J3" s="1" t="str">
        <f>IF(IF(uxb_works!$B$46=1,tblCategories_2014!J3,tblCategories_2017!J3)="","",IF(uxb_works!$B$46=1,tblCategories_2014!J3,tblCategories_2017!J3))</f>
        <v/>
      </c>
      <c r="K3" s="1" t="str">
        <f>IF(IF(uxb_works!$B$46=1,tblCategories_2014!K3,tblCategories_2017!K3)="","",IF(uxb_works!$B$46=1,tblCategories_2014!K3,tblCategories_2017!K3))</f>
        <v> 1) DIGITAL SECURITY</v>
      </c>
      <c r="L3" s="1">
        <f>IF(IF(uxb_works!$B$46=1,tblCategories_2014!L3,tblCategories_2017!L3)="","",IF(uxb_works!$B$46=1,tblCategories_2014!L3,tblCategories_2017!L3))</f>
        <v>1</v>
      </c>
      <c r="M3" s="1">
        <f>IF(IF(uxb_works!$B$46=1,tblCategories_2014!M3,tblCategories_2017!M3)="","",IF(uxb_works!$B$46=1,tblCategories_2014!M3,tblCategories_2017!M3))</f>
        <v>1</v>
      </c>
      <c r="N3" s="1">
        <f>IF(IF(uxb_works!$B$46=1,tblCategories_2014!N3,tblCategories_2017!N3)="","",IF(uxb_works!$B$46=1,tblCategories_2014!N3,tblCategories_2017!N3))</f>
        <v>1</v>
      </c>
      <c r="O3" s="1">
        <f>IF(IF(uxb_works!$B$46=1,tblCategories_2014!O3,tblCategories_2017!O3)="","",IF(uxb_works!$B$46=1,tblCategories_2014!O3,tblCategories_2017!O3))</f>
        <v>0</v>
      </c>
      <c r="P3" s="1">
        <f>IF(IF(uxb_works!$B$46=1,tblCategories_2014!P3,tblCategories_2017!P3)="","",IF(uxb_works!$B$46=1,tblCategories_2014!P3,tblCategories_2017!P3))</f>
        <v>0</v>
      </c>
      <c r="Q3" s="1">
        <f>IF(IF(uxb_works!$B$46=1,tblCategories_2014!Q3,tblCategories_2017!Q3)="","",IF(uxb_works!$B$46=1,tblCategories_2014!Q3,tblCategories_2017!Q3))</f>
        <v>0</v>
      </c>
      <c r="R3" s="1">
        <f>IF(IF(uxb_works!$B$46=1,tblCategories_2014!R3,tblCategories_2017!R3)="","",IF(uxb_works!$B$46=1,tblCategories_2014!R3,tblCategories_2017!R3))</f>
        <v>0</v>
      </c>
      <c r="S3" s="1">
        <f>IF(IF(uxb_works!$B$46=1,tblCategories_2014!S3,tblCategories_2017!S3)="","",IF(uxb_works!$B$46=1,tblCategories_2014!S3,tblCategories_2017!S3))</f>
        <v>0</v>
      </c>
      <c r="T3" s="1">
        <f>IF(IF(uxb_works!$B$46=1,tblCategories_2014!T3,tblCategories_2017!T3)="","",IF(uxb_works!$B$46=1,tblCategories_2014!T3,tblCategories_2017!T3))</f>
        <v>0</v>
      </c>
      <c r="U3" s="1">
        <f>IF(IF(uxb_works!$B$46=1,tblCategories_2014!U3,tblCategories_2017!U3)="","",IF(uxb_works!$B$46=1,tblCategories_2014!U3,tblCategories_2017!U3))</f>
        <v>0</v>
      </c>
      <c r="V3" s="1">
        <f>IF(IF(uxb_works!$B$46=1,tblCategories_2014!V3,tblCategories_2017!V3)="","",IF(uxb_works!$B$46=1,tblCategories_2014!V3,tblCategories_2017!V3))</f>
        <v>0</v>
      </c>
      <c r="W3" s="1">
        <f>IF(IF(uxb_works!$B$46=1,tblCategories_2014!W3,tblCategories_2017!W3)="","",IF(uxb_works!$B$46=1,tblCategories_2014!W3,tblCategories_2017!W3))</f>
        <v>0</v>
      </c>
      <c r="X3" s="1">
        <f>IF(IF(uxb_works!$B$46=1,tblCategories_2014!X3,tblCategories_2017!X3)="","",IF(uxb_works!$B$46=1,tblCategories_2014!X3,tblCategories_2017!X3))</f>
        <v>0</v>
      </c>
      <c r="Y3" s="1">
        <f>IF(IF(uxb_works!$B$46=1,tblCategories_2014!Y3,tblCategories_2017!Y3)="","",IF(uxb_works!$B$46=1,tblCategories_2014!Y3,tblCategories_2017!Y3))</f>
        <v>0</v>
      </c>
      <c r="Z3" s="1" t="str">
        <f>IF(IF(uxb_works!$B$46=1,tblCategories_2014!Z3,tblCategories_2017!Z3)="","",IF(uxb_works!$B$46=1,tblCategories_2014!Z3,tblCategories_2017!Z3))</f>
        <v/>
      </c>
      <c r="AA3" s="53" t="str">
        <f>IF(IF(uxb_works!$B$46=1,tblCategories_2014!AA3,tblCategories_2017!AA3)="","",IF(uxb_works!$B$46=1,tblCategories_2014!AA3,tblCategories_2017!AA3))</f>
        <v/>
      </c>
      <c r="AB3" s="20" t="str">
        <f>IF(IF(uxb_works!$B$46=1,tblCategories_2014!AB3,tblCategories_2017!AB3)="","",IF(uxb_works!$B$46=1,tblCategories_2014!AB3,tblCategories_2017!AB3))</f>
        <v/>
      </c>
      <c r="AC3" s="23">
        <f>IF(IF(uxb_works!$B$46=1,tblCategories_2014!AC3,tblCategories_2017!AC3)="","",IF(uxb_works!$B$46=1,tblCategories_2014!AC3,tblCategories_2017!AC3))</f>
        <v>1</v>
      </c>
      <c r="AD3" s="1" t="str">
        <f>IF(IF(uxb_works!$B$46=1,tblCategories_2014!AD3,tblCategories_2017!AD3)="","",IF(uxb_works!$B$46=1,tblCategories_2014!AD3,tblCategories_2017!AD3))</f>
        <v/>
      </c>
      <c r="AE3" s="1" t="str">
        <f>IF(IF(uxb_works!$B$46=1,tblCategories_2014!AE3,tblCategories_2017!AE3)="","",IF(uxb_works!$B$46=1,tblCategories_2014!AE3,tblCategories_2017!AE3))</f>
        <v> 1) DIGITAL SECURITY</v>
      </c>
      <c r="AF3" s="1">
        <f>IF(IF(uxb_works!$B$46=1,tblCategories_2014!AF3,tblCategories_2017!AF3)="","",IF(uxb_works!$B$46=1,tblCategories_2014!AF3,tblCategories_2017!AF3))</f>
        <v>1</v>
      </c>
      <c r="AG3" s="1">
        <f>IF(IF(uxb_works!$B$46=1,tblCategories_2014!AG3,tblCategories_2017!AG3)="","",IF(uxb_works!$B$46=1,tblCategories_2014!AG3,tblCategories_2017!AG3))</f>
        <v>1</v>
      </c>
      <c r="AH3" s="1">
        <f>IF(IF(uxb_works!$B$46=1,tblCategories_2014!AH3,tblCategories_2017!AH3)="","",IF(uxb_works!$B$46=1,tblCategories_2014!AH3,tblCategories_2017!AH3))</f>
        <v>0</v>
      </c>
      <c r="AI3" s="1">
        <f>IF(IF(uxb_works!$B$46=1,tblCategories_2014!AI3,tblCategories_2017!AI3)="","",IF(uxb_works!$B$46=1,tblCategories_2014!AI3,tblCategories_2017!AI3))</f>
        <v>0</v>
      </c>
      <c r="AJ3" s="1">
        <f>IF(IF(uxb_works!$B$46=1,tblCategories_2014!AJ3,tblCategories_2017!AJ3)="","",IF(uxb_works!$B$46=1,tblCategories_2014!AJ3,tblCategories_2017!AJ3))</f>
        <v>0</v>
      </c>
      <c r="AK3" s="1">
        <f>IF(IF(uxb_works!$B$46=1,tblCategories_2014!AK3,tblCategories_2017!AK3)="","",IF(uxb_works!$B$46=1,tblCategories_2014!AK3,tblCategories_2017!AK3))</f>
        <v>0</v>
      </c>
      <c r="AL3" s="1">
        <f>IF(IF(uxb_works!$B$46=1,tblCategories_2014!AL3,tblCategories_2017!AL3)="","",IF(uxb_works!$B$46=1,tblCategories_2014!AL3,tblCategories_2017!AL3))</f>
        <v>0</v>
      </c>
      <c r="AM3" s="1">
        <f>IF(IF(uxb_works!$B$46=1,tblCategories_2014!AM3,tblCategories_2017!AM3)="","",IF(uxb_works!$B$46=1,tblCategories_2014!AM3,tblCategories_2017!AM3))</f>
        <v>0</v>
      </c>
      <c r="AN3" s="1">
        <f>IF(IF(uxb_works!$B$46=1,tblCategories_2014!AN3,tblCategories_2017!AN3)="","",IF(uxb_works!$B$46=1,tblCategories_2014!AN3,tblCategories_2017!AN3))</f>
        <v>0</v>
      </c>
      <c r="AO3" s="1">
        <f>IF(IF(uxb_works!$B$46=1,tblCategories_2014!AO3,tblCategories_2017!AO3)="","",IF(uxb_works!$B$46=1,tblCategories_2014!AO3,tblCategories_2017!AO3))</f>
        <v>0</v>
      </c>
      <c r="AP3" s="1">
        <f>IF(IF(uxb_works!$B$46=1,tblCategories_2014!AP3,tblCategories_2017!AP3)="","",IF(uxb_works!$B$46=1,tblCategories_2014!AP3,tblCategories_2017!AP3))</f>
        <v>0</v>
      </c>
      <c r="AQ3" s="1">
        <f>IF(IF(uxb_works!$B$46=1,tblCategories_2014!AQ3,tblCategories_2017!AQ3)="","",IF(uxb_works!$B$46=1,tblCategories_2014!AQ3,tblCategories_2017!AQ3))</f>
        <v>0</v>
      </c>
      <c r="AR3" s="1">
        <f>IF(IF(uxb_works!$B$46=1,tblCategories_2014!AR3,tblCategories_2017!AR3)="","",IF(uxb_works!$B$46=1,tblCategories_2014!AR3,tblCategories_2017!AR3))</f>
        <v>0</v>
      </c>
      <c r="AS3" s="1">
        <f>IF(IF(uxb_works!$B$46=1,tblCategories_2014!AS3,tblCategories_2017!AS3)="","",IF(uxb_works!$B$46=1,tblCategories_2014!AS3,tblCategories_2017!AS3))</f>
        <v>0</v>
      </c>
    </row>
    <row r="4" ht="12.75" spans="1:45">
      <c r="A4" s="1">
        <f>IF(IF(uxb_works!$B$46=1,tblCategories_2014!A4,tblCategories_2017!A4)="","",IF(uxb_works!$B$46=1,tblCategories_2014!A4,tblCategories_2017!A4))</f>
        <v>2</v>
      </c>
      <c r="B4" s="1" t="str">
        <f>IF(IF(uxb_works!$B$46=1,tblCategories_2014!B4,tblCategories_2017!B4)="","",IF(uxb_works!$B$46=1,tblCategories_2014!B4,tblCategories_2017!B4))</f>
        <v/>
      </c>
      <c r="C4" s="57" t="str">
        <f>IF(IF(uxb_works!$B$46=1,tblCategories_2014!C4,tblCategories_2017!C4)="","",IF(uxb_works!$B$46=1,tblCategories_2014!C4,tblCategories_2017!C4))</f>
        <v>1.1) Digital security (Inputs)</v>
      </c>
      <c r="D4" s="1" t="str">
        <f>IF(IF(uxb_works!$B$46=1,tblCategories_2014!D4,tblCategories_2017!D4)="","",IF(uxb_works!$B$46=1,tblCategories_2014!D4,tblCategories_2017!D4))</f>
        <v>1.1) Digital security (Inputs)</v>
      </c>
      <c r="E4" s="1" t="str">
        <f>IF(IF(uxb_works!$B$46=1,tblCategories_2014!E4,tblCategories_2017!E4)="","",IF(uxb_works!$B$46=1,tblCategories_2014!E4,tblCategories_2017!E4))</f>
        <v/>
      </c>
      <c r="F4" s="23">
        <f>IF(IF(uxb_works!$B$46=1,tblCategories_2014!F4,tblCategories_2017!F4)="","",IF(uxb_works!$B$46=1,tblCategories_2014!F4,tblCategories_2017!F4))</f>
        <v>1</v>
      </c>
      <c r="G4" s="32" t="str">
        <f>IF(IF(uxb_works!$B$46=1,tblCategories_2014!G4,tblCategories_2017!G4)="","",IF(uxb_works!$B$46=1,tblCategories_2014!G4,tblCategories_2017!G4))</f>
        <v/>
      </c>
      <c r="H4" s="1" t="str">
        <f>IF(IF(uxb_works!$B$46=1,tblCategories_2014!H4,tblCategories_2017!H4)="","",IF(uxb_works!$B$46=1,tblCategories_2014!H4,tblCategories_2017!H4))</f>
        <v>GROUP_HIGHLIGHT_ID</v>
      </c>
      <c r="I4" s="23">
        <f>IF(IF(uxb_works!$B$46=1,tblCategories_2014!I4,tblCategories_2017!I4)="","",IF(uxb_works!$B$46=1,tblCategories_2014!I4,tblCategories_2017!I4))</f>
        <v>1</v>
      </c>
      <c r="J4" s="1" t="str">
        <f>IF(IF(uxb_works!$B$46=1,tblCategories_2014!J4,tblCategories_2017!J4)="","",IF(uxb_works!$B$46=1,tblCategories_2014!J4,tblCategories_2017!J4))</f>
        <v/>
      </c>
      <c r="K4" s="1" t="str">
        <f>IF(IF(uxb_works!$B$46=1,tblCategories_2014!K4,tblCategories_2017!K4)="","",IF(uxb_works!$B$46=1,tblCategories_2014!K4,tblCategories_2017!K4))</f>
        <v>  1.1) Digital security (Inputs)</v>
      </c>
      <c r="L4" s="1">
        <f>IF(IF(uxb_works!$B$46=1,tblCategories_2014!L4,tblCategories_2017!L4)="","",IF(uxb_works!$B$46=1,tblCategories_2014!L4,tblCategories_2017!L4))</f>
        <v>1</v>
      </c>
      <c r="M4" s="1">
        <f>IF(IF(uxb_works!$B$46=1,tblCategories_2014!M4,tblCategories_2017!M4)="","",IF(uxb_works!$B$46=1,tblCategories_2014!M4,tblCategories_2017!M4))</f>
        <v>1</v>
      </c>
      <c r="N4" s="1">
        <f>IF(IF(uxb_works!$B$46=1,tblCategories_2014!N4,tblCategories_2017!N4)="","",IF(uxb_works!$B$46=1,tblCategories_2014!N4,tblCategories_2017!N4))</f>
        <v>1</v>
      </c>
      <c r="O4" s="1">
        <f>IF(IF(uxb_works!$B$46=1,tblCategories_2014!O4,tblCategories_2017!O4)="","",IF(uxb_works!$B$46=1,tblCategories_2014!O4,tblCategories_2017!O4))</f>
        <v>0</v>
      </c>
      <c r="P4" s="1">
        <f>IF(IF(uxb_works!$B$46=1,tblCategories_2014!P4,tblCategories_2017!P4)="","",IF(uxb_works!$B$46=1,tblCategories_2014!P4,tblCategories_2017!P4))</f>
        <v>0</v>
      </c>
      <c r="Q4" s="1">
        <f>IF(IF(uxb_works!$B$46=1,tblCategories_2014!Q4,tblCategories_2017!Q4)="","",IF(uxb_works!$B$46=1,tblCategories_2014!Q4,tblCategories_2017!Q4))</f>
        <v>0</v>
      </c>
      <c r="R4" s="1">
        <f>IF(IF(uxb_works!$B$46=1,tblCategories_2014!R4,tblCategories_2017!R4)="","",IF(uxb_works!$B$46=1,tblCategories_2014!R4,tblCategories_2017!R4))</f>
        <v>0</v>
      </c>
      <c r="S4" s="1">
        <f>IF(IF(uxb_works!$B$46=1,tblCategories_2014!S4,tblCategories_2017!S4)="","",IF(uxb_works!$B$46=1,tblCategories_2014!S4,tblCategories_2017!S4))</f>
        <v>0</v>
      </c>
      <c r="T4" s="1">
        <f>IF(IF(uxb_works!$B$46=1,tblCategories_2014!T4,tblCategories_2017!T4)="","",IF(uxb_works!$B$46=1,tblCategories_2014!T4,tblCategories_2017!T4))</f>
        <v>0</v>
      </c>
      <c r="U4" s="1">
        <f>IF(IF(uxb_works!$B$46=1,tblCategories_2014!U4,tblCategories_2017!U4)="","",IF(uxb_works!$B$46=1,tblCategories_2014!U4,tblCategories_2017!U4))</f>
        <v>0</v>
      </c>
      <c r="V4" s="1">
        <f>IF(IF(uxb_works!$B$46=1,tblCategories_2014!V4,tblCategories_2017!V4)="","",IF(uxb_works!$B$46=1,tblCategories_2014!V4,tblCategories_2017!V4))</f>
        <v>0</v>
      </c>
      <c r="W4" s="1">
        <f>IF(IF(uxb_works!$B$46=1,tblCategories_2014!W4,tblCategories_2017!W4)="","",IF(uxb_works!$B$46=1,tblCategories_2014!W4,tblCategories_2017!W4))</f>
        <v>0</v>
      </c>
      <c r="X4" s="1">
        <f>IF(IF(uxb_works!$B$46=1,tblCategories_2014!X4,tblCategories_2017!X4)="","",IF(uxb_works!$B$46=1,tblCategories_2014!X4,tblCategories_2017!X4))</f>
        <v>0</v>
      </c>
      <c r="Y4" s="1">
        <f>IF(IF(uxb_works!$B$46=1,tblCategories_2014!Y4,tblCategories_2017!Y4)="","",IF(uxb_works!$B$46=1,tblCategories_2014!Y4,tblCategories_2017!Y4))</f>
        <v>0</v>
      </c>
      <c r="Z4" s="1" t="str">
        <f>IF(IF(uxb_works!$B$46=1,tblCategories_2014!Z4,tblCategories_2017!Z4)="","",IF(uxb_works!$B$46=1,tblCategories_2014!Z4,tblCategories_2017!Z4))</f>
        <v/>
      </c>
      <c r="AA4" s="53" t="str">
        <f>IF(IF(uxb_works!$B$46=1,tblCategories_2014!AA4,tblCategories_2017!AA4)="","",IF(uxb_works!$B$46=1,tblCategories_2014!AA4,tblCategories_2017!AA4))</f>
        <v/>
      </c>
      <c r="AB4" s="20" t="str">
        <f>IF(IF(uxb_works!$B$46=1,tblCategories_2014!AB4,tblCategories_2017!AB4)="","",IF(uxb_works!$B$46=1,tblCategories_2014!AB4,tblCategories_2017!AB4))</f>
        <v/>
      </c>
      <c r="AC4" s="23">
        <f>IF(IF(uxb_works!$B$46=1,tblCategories_2014!AC4,tblCategories_2017!AC4)="","",IF(uxb_works!$B$46=1,tblCategories_2014!AC4,tblCategories_2017!AC4))</f>
        <v>0</v>
      </c>
      <c r="AD4" s="1" t="str">
        <f>IF(IF(uxb_works!$B$46=1,tblCategories_2014!AD4,tblCategories_2017!AD4)="","",IF(uxb_works!$B$46=1,tblCategories_2014!AD4,tblCategories_2017!AD4))</f>
        <v/>
      </c>
      <c r="AF4" s="1">
        <f>IF(IF(uxb_works!$B$46=1,tblCategories_2014!AF4,tblCategories_2017!AF4)="","",IF(uxb_works!$B$46=1,tblCategories_2014!AF4,tblCategories_2017!AF4))</f>
        <v>1</v>
      </c>
      <c r="AG4" s="1">
        <f>IF(IF(uxb_works!$B$46=1,tblCategories_2014!AG4,tblCategories_2017!AG4)="","",IF(uxb_works!$B$46=1,tblCategories_2014!AG4,tblCategories_2017!AG4))</f>
        <v>0</v>
      </c>
      <c r="AH4" s="1">
        <f>IF(IF(uxb_works!$B$46=1,tblCategories_2014!AH4,tblCategories_2017!AH4)="","",IF(uxb_works!$B$46=1,tblCategories_2014!AH4,tblCategories_2017!AH4))</f>
        <v>1</v>
      </c>
      <c r="AI4" s="1">
        <f>IF(IF(uxb_works!$B$46=1,tblCategories_2014!AI4,tblCategories_2017!AI4)="","",IF(uxb_works!$B$46=1,tblCategories_2014!AI4,tblCategories_2017!AI4))</f>
        <v>0</v>
      </c>
      <c r="AJ4" s="1">
        <f>IF(IF(uxb_works!$B$46=1,tblCategories_2014!AJ4,tblCategories_2017!AJ4)="","",IF(uxb_works!$B$46=1,tblCategories_2014!AJ4,tblCategories_2017!AJ4))</f>
        <v>0</v>
      </c>
      <c r="AK4" s="1">
        <f>IF(IF(uxb_works!$B$46=1,tblCategories_2014!AK4,tblCategories_2017!AK4)="","",IF(uxb_works!$B$46=1,tblCategories_2014!AK4,tblCategories_2017!AK4))</f>
        <v>0</v>
      </c>
      <c r="AL4" s="1">
        <f>IF(IF(uxb_works!$B$46=1,tblCategories_2014!AL4,tblCategories_2017!AL4)="","",IF(uxb_works!$B$46=1,tblCategories_2014!AL4,tblCategories_2017!AL4))</f>
        <v>0</v>
      </c>
      <c r="AM4" s="1">
        <f>IF(IF(uxb_works!$B$46=1,tblCategories_2014!AM4,tblCategories_2017!AM4)="","",IF(uxb_works!$B$46=1,tblCategories_2014!AM4,tblCategories_2017!AM4))</f>
        <v>0</v>
      </c>
      <c r="AN4" s="1">
        <f>IF(IF(uxb_works!$B$46=1,tblCategories_2014!AN4,tblCategories_2017!AN4)="","",IF(uxb_works!$B$46=1,tblCategories_2014!AN4,tblCategories_2017!AN4))</f>
        <v>0</v>
      </c>
      <c r="AO4" s="1">
        <f>IF(IF(uxb_works!$B$46=1,tblCategories_2014!AO4,tblCategories_2017!AO4)="","",IF(uxb_works!$B$46=1,tblCategories_2014!AO4,tblCategories_2017!AO4))</f>
        <v>0</v>
      </c>
      <c r="AP4" s="1">
        <f>IF(IF(uxb_works!$B$46=1,tblCategories_2014!AP4,tblCategories_2017!AP4)="","",IF(uxb_works!$B$46=1,tblCategories_2014!AP4,tblCategories_2017!AP4))</f>
        <v>0</v>
      </c>
      <c r="AQ4" s="1">
        <f>IF(IF(uxb_works!$B$46=1,tblCategories_2014!AQ4,tblCategories_2017!AQ4)="","",IF(uxb_works!$B$46=1,tblCategories_2014!AQ4,tblCategories_2017!AQ4))</f>
        <v>0</v>
      </c>
      <c r="AR4" s="1">
        <f>IF(IF(uxb_works!$B$46=1,tblCategories_2014!AR4,tblCategories_2017!AR4)="","",IF(uxb_works!$B$46=1,tblCategories_2014!AR4,tblCategories_2017!AR4))</f>
        <v>0</v>
      </c>
      <c r="AS4" s="1">
        <f>IF(IF(uxb_works!$B$46=1,tblCategories_2014!AS4,tblCategories_2017!AS4)="","",IF(uxb_works!$B$46=1,tblCategories_2014!AS4,tblCategories_2017!AS4))</f>
        <v>0</v>
      </c>
    </row>
    <row r="5" ht="12.75" spans="1:45">
      <c r="A5" s="1">
        <f>IF(IF(uxb_works!$B$46=1,tblCategories_2014!A5,tblCategories_2017!A5)="","",IF(uxb_works!$B$46=1,tblCategories_2014!A5,tblCategories_2017!A5))</f>
        <v>3</v>
      </c>
      <c r="B5" s="1" t="str">
        <f>IF(IF(uxb_works!$B$46=1,tblCategories_2014!B5,tblCategories_2017!B5)="","",IF(uxb_works!$B$46=1,tblCategories_2014!B5,tblCategories_2017!B5))</f>
        <v/>
      </c>
      <c r="C5" s="57" t="str">
        <f>IF(IF(uxb_works!$B$46=1,tblCategories_2014!C5,tblCategories_2017!C5)="","",IF(uxb_works!$B$46=1,tblCategories_2014!C5,tblCategories_2017!C5))</f>
        <v>1.1.1) Privacy policy</v>
      </c>
      <c r="D5" s="1" t="str">
        <f>IF(IF(uxb_works!$B$46=1,tblCategories_2014!D5,tblCategories_2017!D5)="","",IF(uxb_works!$B$46=1,tblCategories_2014!D5,tblCategories_2017!D5))</f>
        <v>1.1.1) Privacy policy</v>
      </c>
      <c r="E5" s="1" t="str">
        <f>IF(IF(uxb_works!$B$46=1,tblCategories_2014!E5,tblCategories_2017!E5)="","",IF(uxb_works!$B$46=1,tblCategories_2014!E5,tblCategories_2017!E5))</f>
        <v/>
      </c>
      <c r="F5" s="23">
        <f>IF(IF(uxb_works!$B$46=1,tblCategories_2014!F5,tblCategories_2017!F5)="","",IF(uxb_works!$B$46=1,tblCategories_2014!F5,tblCategories_2017!F5))</f>
        <v>1</v>
      </c>
      <c r="G5" s="32" t="str">
        <f>IF(IF(uxb_works!$B$46=1,tblCategories_2014!G5,tblCategories_2017!G5)="","",IF(uxb_works!$B$46=1,tblCategories_2014!G5,tblCategories_2017!G5))</f>
        <v/>
      </c>
      <c r="H5" s="1" t="str">
        <f>IF(IF(uxb_works!$B$46=1,tblCategories_2014!H5,tblCategories_2017!H5)="","",IF(uxb_works!$B$46=1,tblCategories_2014!H5,tblCategories_2017!H5))</f>
        <v/>
      </c>
      <c r="I5" s="23" t="str">
        <f>IF(IF(uxb_works!$B$46=1,tblCategories_2014!I5,tblCategories_2017!I5)="","",IF(uxb_works!$B$46=1,tblCategories_2014!I5,tblCategories_2017!I5))</f>
        <v/>
      </c>
      <c r="J5" s="1" t="str">
        <f>IF(IF(uxb_works!$B$46=1,tblCategories_2014!J5,tblCategories_2017!J5)="","",IF(uxb_works!$B$46=1,tblCategories_2014!J5,tblCategories_2017!J5))</f>
        <v/>
      </c>
      <c r="K5" s="1" t="str">
        <f>IF(IF(uxb_works!$B$46=1,tblCategories_2014!K5,tblCategories_2017!K5)="","",IF(uxb_works!$B$46=1,tblCategories_2014!K5,tblCategories_2017!K5))</f>
        <v>  1.2) Digital security (Outputs)</v>
      </c>
      <c r="L5" s="1">
        <f>IF(IF(uxb_works!$B$46=1,tblCategories_2014!L5,tblCategories_2017!L5)="","",IF(uxb_works!$B$46=1,tblCategories_2014!L5,tblCategories_2017!L5))</f>
        <v>1</v>
      </c>
      <c r="M5" s="1">
        <f>IF(IF(uxb_works!$B$46=1,tblCategories_2014!M5,tblCategories_2017!M5)="","",IF(uxb_works!$B$46=1,tblCategories_2014!M5,tblCategories_2017!M5))</f>
        <v>1</v>
      </c>
      <c r="N5" s="1">
        <f>IF(IF(uxb_works!$B$46=1,tblCategories_2014!N5,tblCategories_2017!N5)="","",IF(uxb_works!$B$46=1,tblCategories_2014!N5,tblCategories_2017!N5))</f>
        <v>1</v>
      </c>
      <c r="O5" s="1">
        <f>IF(IF(uxb_works!$B$46=1,tblCategories_2014!O5,tblCategories_2017!O5)="","",IF(uxb_works!$B$46=1,tblCategories_2014!O5,tblCategories_2017!O5))</f>
        <v>1</v>
      </c>
      <c r="P5" s="1">
        <f>IF(IF(uxb_works!$B$46=1,tblCategories_2014!P5,tblCategories_2017!P5)="","",IF(uxb_works!$B$46=1,tblCategories_2014!P5,tblCategories_2017!P5))</f>
        <v>0</v>
      </c>
      <c r="Q5" s="1">
        <f>IF(IF(uxb_works!$B$46=1,tblCategories_2014!Q5,tblCategories_2017!Q5)="","",IF(uxb_works!$B$46=1,tblCategories_2014!Q5,tblCategories_2017!Q5))</f>
        <v>0</v>
      </c>
      <c r="R5" s="1">
        <f>IF(IF(uxb_works!$B$46=1,tblCategories_2014!R5,tblCategories_2017!R5)="","",IF(uxb_works!$B$46=1,tblCategories_2014!R5,tblCategories_2017!R5))</f>
        <v>0</v>
      </c>
      <c r="S5" s="1">
        <f>IF(IF(uxb_works!$B$46=1,tblCategories_2014!S5,tblCategories_2017!S5)="","",IF(uxb_works!$B$46=1,tblCategories_2014!S5,tblCategories_2017!S5))</f>
        <v>0</v>
      </c>
      <c r="T5" s="1">
        <f>IF(IF(uxb_works!$B$46=1,tblCategories_2014!T5,tblCategories_2017!T5)="","",IF(uxb_works!$B$46=1,tblCategories_2014!T5,tblCategories_2017!T5))</f>
        <v>0</v>
      </c>
      <c r="U5" s="1">
        <f>IF(IF(uxb_works!$B$46=1,tblCategories_2014!U5,tblCategories_2017!U5)="","",IF(uxb_works!$B$46=1,tblCategories_2014!U5,tblCategories_2017!U5))</f>
        <v>0</v>
      </c>
      <c r="V5" s="1">
        <f>IF(IF(uxb_works!$B$46=1,tblCategories_2014!V5,tblCategories_2017!V5)="","",IF(uxb_works!$B$46=1,tblCategories_2014!V5,tblCategories_2017!V5))</f>
        <v>0</v>
      </c>
      <c r="W5" s="1">
        <f>IF(IF(uxb_works!$B$46=1,tblCategories_2014!W5,tblCategories_2017!W5)="","",IF(uxb_works!$B$46=1,tblCategories_2014!W5,tblCategories_2017!W5))</f>
        <v>0</v>
      </c>
      <c r="X5" s="1">
        <f>IF(IF(uxb_works!$B$46=1,tblCategories_2014!X5,tblCategories_2017!X5)="","",IF(uxb_works!$B$46=1,tblCategories_2014!X5,tblCategories_2017!X5))</f>
        <v>0</v>
      </c>
      <c r="Y5" s="1">
        <f>IF(IF(uxb_works!$B$46=1,tblCategories_2014!Y5,tblCategories_2017!Y5)="","",IF(uxb_works!$B$46=1,tblCategories_2014!Y5,tblCategories_2017!Y5))</f>
        <v>0</v>
      </c>
      <c r="Z5" s="1" t="str">
        <f>IF(IF(uxb_works!$B$46=1,tblCategories_2014!Z5,tblCategories_2017!Z5)="","",IF(uxb_works!$B$46=1,tblCategories_2014!Z5,tblCategories_2017!Z5))</f>
        <v/>
      </c>
      <c r="AA5" s="53" t="str">
        <f>IF(IF(uxb_works!$B$46=1,tblCategories_2014!AA5,tblCategories_2017!AA5)="","",IF(uxb_works!$B$46=1,tblCategories_2014!AA5,tblCategories_2017!AA5))</f>
        <v/>
      </c>
      <c r="AB5" s="20" t="str">
        <f>IF(IF(uxb_works!$B$46=1,tblCategories_2014!AB5,tblCategories_2017!AB5)="","",IF(uxb_works!$B$46=1,tblCategories_2014!AB5,tblCategories_2017!AB5))</f>
        <v/>
      </c>
      <c r="AC5" s="23">
        <f>IF(IF(uxb_works!$B$46=1,tblCategories_2014!AC5,tblCategories_2017!AC5)="","",IF(uxb_works!$B$46=1,tblCategories_2014!AC5,tblCategories_2017!AC5))</f>
        <v>0</v>
      </c>
      <c r="AD5" s="1" t="str">
        <f>IF(IF(uxb_works!$B$46=1,tblCategories_2014!AD5,tblCategories_2017!AD5)="","",IF(uxb_works!$B$46=1,tblCategories_2014!AD5,tblCategories_2017!AD5))</f>
        <v/>
      </c>
      <c r="AF5" s="1">
        <f>IF(IF(uxb_works!$B$46=1,tblCategories_2014!AF5,tblCategories_2017!AF5)="","",IF(uxb_works!$B$46=1,tblCategories_2014!AF5,tblCategories_2017!AF5))</f>
        <v>1</v>
      </c>
      <c r="AG5" s="1">
        <f>IF(IF(uxb_works!$B$46=1,tblCategories_2014!AG5,tblCategories_2017!AG5)="","",IF(uxb_works!$B$46=1,tblCategories_2014!AG5,tblCategories_2017!AG5))</f>
        <v>0</v>
      </c>
      <c r="AH5" s="1">
        <f>IF(IF(uxb_works!$B$46=1,tblCategories_2014!AH5,tblCategories_2017!AH5)="","",IF(uxb_works!$B$46=1,tblCategories_2014!AH5,tblCategories_2017!AH5))</f>
        <v>0</v>
      </c>
      <c r="AI5" s="1">
        <f>IF(IF(uxb_works!$B$46=1,tblCategories_2014!AI5,tblCategories_2017!AI5)="","",IF(uxb_works!$B$46=1,tblCategories_2014!AI5,tblCategories_2017!AI5))</f>
        <v>1</v>
      </c>
      <c r="AJ5" s="1">
        <f>IF(IF(uxb_works!$B$46=1,tblCategories_2014!AJ5,tblCategories_2017!AJ5)="","",IF(uxb_works!$B$46=1,tblCategories_2014!AJ5,tblCategories_2017!AJ5))</f>
        <v>0</v>
      </c>
      <c r="AK5" s="1">
        <f>IF(IF(uxb_works!$B$46=1,tblCategories_2014!AK5,tblCategories_2017!AK5)="","",IF(uxb_works!$B$46=1,tblCategories_2014!AK5,tblCategories_2017!AK5))</f>
        <v>0</v>
      </c>
      <c r="AL5" s="1">
        <f>IF(IF(uxb_works!$B$46=1,tblCategories_2014!AL5,tblCategories_2017!AL5)="","",IF(uxb_works!$B$46=1,tblCategories_2014!AL5,tblCategories_2017!AL5))</f>
        <v>0</v>
      </c>
      <c r="AM5" s="1">
        <f>IF(IF(uxb_works!$B$46=1,tblCategories_2014!AM5,tblCategories_2017!AM5)="","",IF(uxb_works!$B$46=1,tblCategories_2014!AM5,tblCategories_2017!AM5))</f>
        <v>0</v>
      </c>
      <c r="AN5" s="1">
        <f>IF(IF(uxb_works!$B$46=1,tblCategories_2014!AN5,tblCategories_2017!AN5)="","",IF(uxb_works!$B$46=1,tblCategories_2014!AN5,tblCategories_2017!AN5))</f>
        <v>0</v>
      </c>
      <c r="AO5" s="1">
        <f>IF(IF(uxb_works!$B$46=1,tblCategories_2014!AO5,tblCategories_2017!AO5)="","",IF(uxb_works!$B$46=1,tblCategories_2014!AO5,tblCategories_2017!AO5))</f>
        <v>0</v>
      </c>
      <c r="AP5" s="1">
        <f>IF(IF(uxb_works!$B$46=1,tblCategories_2014!AP5,tblCategories_2017!AP5)="","",IF(uxb_works!$B$46=1,tblCategories_2014!AP5,tblCategories_2017!AP5))</f>
        <v>0</v>
      </c>
      <c r="AQ5" s="1">
        <f>IF(IF(uxb_works!$B$46=1,tblCategories_2014!AQ5,tblCategories_2017!AQ5)="","",IF(uxb_works!$B$46=1,tblCategories_2014!AQ5,tblCategories_2017!AQ5))</f>
        <v>0</v>
      </c>
      <c r="AR5" s="1">
        <f>IF(IF(uxb_works!$B$46=1,tblCategories_2014!AR5,tblCategories_2017!AR5)="","",IF(uxb_works!$B$46=1,tblCategories_2014!AR5,tblCategories_2017!AR5))</f>
        <v>0</v>
      </c>
      <c r="AS5" s="1">
        <f>IF(IF(uxb_works!$B$46=1,tblCategories_2014!AS5,tblCategories_2017!AS5)="","",IF(uxb_works!$B$46=1,tblCategories_2014!AS5,tblCategories_2017!AS5))</f>
        <v>0</v>
      </c>
    </row>
    <row r="6" ht="12.75" spans="1:45">
      <c r="A6" s="1">
        <f>IF(IF(uxb_works!$B$46=1,tblCategories_2014!A6,tblCategories_2017!A6)="","",IF(uxb_works!$B$46=1,tblCategories_2014!A6,tblCategories_2017!A6))</f>
        <v>4</v>
      </c>
      <c r="B6" s="1" t="str">
        <f>IF(IF(uxb_works!$B$46=1,tblCategories_2014!B6,tblCategories_2017!B6)="","",IF(uxb_works!$B$46=1,tblCategories_2014!B6,tblCategories_2017!B6))</f>
        <v/>
      </c>
      <c r="C6" s="57" t="str">
        <f>IF(IF(uxb_works!$B$46=1,tblCategories_2014!C6,tblCategories_2017!C6)="","",IF(uxb_works!$B$46=1,tblCategories_2014!C6,tblCategories_2017!C6))</f>
        <v>1.1.2) Citizen awareness of digital threats</v>
      </c>
      <c r="D6" s="1" t="str">
        <f>IF(IF(uxb_works!$B$46=1,tblCategories_2014!D6,tblCategories_2017!D6)="","",IF(uxb_works!$B$46=1,tblCategories_2014!D6,tblCategories_2017!D6))</f>
        <v>1.1.2) Citizen awareness of digital threats</v>
      </c>
      <c r="E6" s="1" t="str">
        <f>IF(IF(uxb_works!$B$46=1,tblCategories_2014!E6,tblCategories_2017!E6)="","",IF(uxb_works!$B$46=1,tblCategories_2014!E6,tblCategories_2017!E6))</f>
        <v/>
      </c>
      <c r="F6" s="23">
        <f>IF(IF(uxb_works!$B$46=1,tblCategories_2014!F6,tblCategories_2017!F6)="","",IF(uxb_works!$B$46=1,tblCategories_2014!F6,tblCategories_2017!F6))</f>
        <v>1</v>
      </c>
      <c r="G6" s="32" t="str">
        <f>IF(IF(uxb_works!$B$46=1,tblCategories_2014!G6,tblCategories_2017!G6)="","",IF(uxb_works!$B$46=1,tblCategories_2014!G6,tblCategories_2017!G6))</f>
        <v/>
      </c>
      <c r="H6" s="1" t="str">
        <f>IF(IF(uxb_works!$B$46=1,tblCategories_2014!H6,tblCategories_2017!H6)="","",IF(uxb_works!$B$46=1,tblCategories_2014!H6,tblCategories_2017!H6))</f>
        <v/>
      </c>
      <c r="I6" s="23" t="str">
        <f>IF(IF(uxb_works!$B$46=1,tblCategories_2014!I6,tblCategories_2017!I6)="","",IF(uxb_works!$B$46=1,tblCategories_2014!I6,tblCategories_2017!I6))</f>
        <v/>
      </c>
      <c r="J6" s="1" t="str">
        <f>IF(IF(uxb_works!$B$46=1,tblCategories_2014!J6,tblCategories_2017!J6)="","",IF(uxb_works!$B$46=1,tblCategories_2014!J6,tblCategories_2017!J6))</f>
        <v/>
      </c>
      <c r="K6" s="1" t="str">
        <f>IF(IF(uxb_works!$B$46=1,tblCategories_2014!K6,tblCategories_2017!K6)="","",IF(uxb_works!$B$46=1,tblCategories_2014!K6,tblCategories_2017!K6))</f>
        <v> 2) HEALTH SECURITY</v>
      </c>
      <c r="L6" s="1">
        <f>IF(IF(uxb_works!$B$46=1,tblCategories_2014!L6,tblCategories_2017!L6)="","",IF(uxb_works!$B$46=1,tblCategories_2014!L6,tblCategories_2017!L6))</f>
        <v>1</v>
      </c>
      <c r="M6" s="1">
        <f>IF(IF(uxb_works!$B$46=1,tblCategories_2014!M6,tblCategories_2017!M6)="","",IF(uxb_works!$B$46=1,tblCategories_2014!M6,tblCategories_2017!M6))</f>
        <v>1</v>
      </c>
      <c r="N6" s="1">
        <f>IF(IF(uxb_works!$B$46=1,tblCategories_2014!N6,tblCategories_2017!N6)="","",IF(uxb_works!$B$46=1,tblCategories_2014!N6,tblCategories_2017!N6))</f>
        <v>1</v>
      </c>
      <c r="O6" s="1">
        <f>IF(IF(uxb_works!$B$46=1,tblCategories_2014!O6,tblCategories_2017!O6)="","",IF(uxb_works!$B$46=1,tblCategories_2014!O6,tblCategories_2017!O6))</f>
        <v>1</v>
      </c>
      <c r="P6" s="1">
        <f>IF(IF(uxb_works!$B$46=1,tblCategories_2014!P6,tblCategories_2017!P6)="","",IF(uxb_works!$B$46=1,tblCategories_2014!P6,tblCategories_2017!P6))</f>
        <v>0</v>
      </c>
      <c r="Q6" s="1">
        <f>IF(IF(uxb_works!$B$46=1,tblCategories_2014!Q6,tblCategories_2017!Q6)="","",IF(uxb_works!$B$46=1,tblCategories_2014!Q6,tblCategories_2017!Q6))</f>
        <v>0</v>
      </c>
      <c r="R6" s="1">
        <f>IF(IF(uxb_works!$B$46=1,tblCategories_2014!R6,tblCategories_2017!R6)="","",IF(uxb_works!$B$46=1,tblCategories_2014!R6,tblCategories_2017!R6))</f>
        <v>0</v>
      </c>
      <c r="S6" s="1">
        <f>IF(IF(uxb_works!$B$46=1,tblCategories_2014!S6,tblCategories_2017!S6)="","",IF(uxb_works!$B$46=1,tblCategories_2014!S6,tblCategories_2017!S6))</f>
        <v>0</v>
      </c>
      <c r="T6" s="1">
        <f>IF(IF(uxb_works!$B$46=1,tblCategories_2014!T6,tblCategories_2017!T6)="","",IF(uxb_works!$B$46=1,tblCategories_2014!T6,tblCategories_2017!T6))</f>
        <v>0</v>
      </c>
      <c r="U6" s="1">
        <f>IF(IF(uxb_works!$B$46=1,tblCategories_2014!U6,tblCategories_2017!U6)="","",IF(uxb_works!$B$46=1,tblCategories_2014!U6,tblCategories_2017!U6))</f>
        <v>0</v>
      </c>
      <c r="V6" s="1">
        <f>IF(IF(uxb_works!$B$46=1,tblCategories_2014!V6,tblCategories_2017!V6)="","",IF(uxb_works!$B$46=1,tblCategories_2014!V6,tblCategories_2017!V6))</f>
        <v>0</v>
      </c>
      <c r="W6" s="1">
        <f>IF(IF(uxb_works!$B$46=1,tblCategories_2014!W6,tblCategories_2017!W6)="","",IF(uxb_works!$B$46=1,tblCategories_2014!W6,tblCategories_2017!W6))</f>
        <v>0</v>
      </c>
      <c r="X6" s="1">
        <f>IF(IF(uxb_works!$B$46=1,tblCategories_2014!X6,tblCategories_2017!X6)="","",IF(uxb_works!$B$46=1,tblCategories_2014!X6,tblCategories_2017!X6))</f>
        <v>0</v>
      </c>
      <c r="Y6" s="1">
        <f>IF(IF(uxb_works!$B$46=1,tblCategories_2014!Y6,tblCategories_2017!Y6)="","",IF(uxb_works!$B$46=1,tblCategories_2014!Y6,tblCategories_2017!Y6))</f>
        <v>0</v>
      </c>
      <c r="Z6" s="1" t="str">
        <f>IF(IF(uxb_works!$B$46=1,tblCategories_2014!Z6,tblCategories_2017!Z6)="","",IF(uxb_works!$B$46=1,tblCategories_2014!Z6,tblCategories_2017!Z6))</f>
        <v/>
      </c>
      <c r="AA6" s="53" t="str">
        <f>IF(IF(uxb_works!$B$46=1,tblCategories_2014!AA6,tblCategories_2017!AA6)="","",IF(uxb_works!$B$46=1,tblCategories_2014!AA6,tblCategories_2017!AA6))</f>
        <v/>
      </c>
      <c r="AB6" s="20" t="str">
        <f>IF(IF(uxb_works!$B$46=1,tblCategories_2014!AB6,tblCategories_2017!AB6)="","",IF(uxb_works!$B$46=1,tblCategories_2014!AB6,tblCategories_2017!AB6))</f>
        <v/>
      </c>
      <c r="AC6" s="23">
        <f>IF(IF(uxb_works!$B$46=1,tblCategories_2014!AC6,tblCategories_2017!AC6)="","",IF(uxb_works!$B$46=1,tblCategories_2014!AC6,tblCategories_2017!AC6))</f>
        <v>0</v>
      </c>
      <c r="AD6" s="1" t="str">
        <f>IF(IF(uxb_works!$B$46=1,tblCategories_2014!AD6,tblCategories_2017!AD6)="","",IF(uxb_works!$B$46=1,tblCategories_2014!AD6,tblCategories_2017!AD6))</f>
        <v/>
      </c>
      <c r="AF6" s="1">
        <f>IF(IF(uxb_works!$B$46=1,tblCategories_2014!AF6,tblCategories_2017!AF6)="","",IF(uxb_works!$B$46=1,tblCategories_2014!AF6,tblCategories_2017!AF6))</f>
        <v>1</v>
      </c>
      <c r="AG6" s="1">
        <f>IF(IF(uxb_works!$B$46=1,tblCategories_2014!AG6,tblCategories_2017!AG6)="","",IF(uxb_works!$B$46=1,tblCategories_2014!AG6,tblCategories_2017!AG6))</f>
        <v>0</v>
      </c>
      <c r="AH6" s="1">
        <f>IF(IF(uxb_works!$B$46=1,tblCategories_2014!AH6,tblCategories_2017!AH6)="","",IF(uxb_works!$B$46=1,tblCategories_2014!AH6,tblCategories_2017!AH6))</f>
        <v>0</v>
      </c>
      <c r="AI6" s="1">
        <f>IF(IF(uxb_works!$B$46=1,tblCategories_2014!AI6,tblCategories_2017!AI6)="","",IF(uxb_works!$B$46=1,tblCategories_2014!AI6,tblCategories_2017!AI6))</f>
        <v>1</v>
      </c>
      <c r="AJ6" s="1">
        <f>IF(IF(uxb_works!$B$46=1,tblCategories_2014!AJ6,tblCategories_2017!AJ6)="","",IF(uxb_works!$B$46=1,tblCategories_2014!AJ6,tblCategories_2017!AJ6))</f>
        <v>0</v>
      </c>
      <c r="AK6" s="1">
        <f>IF(IF(uxb_works!$B$46=1,tblCategories_2014!AK6,tblCategories_2017!AK6)="","",IF(uxb_works!$B$46=1,tblCategories_2014!AK6,tblCategories_2017!AK6))</f>
        <v>0</v>
      </c>
      <c r="AL6" s="1">
        <f>IF(IF(uxb_works!$B$46=1,tblCategories_2014!AL6,tblCategories_2017!AL6)="","",IF(uxb_works!$B$46=1,tblCategories_2014!AL6,tblCategories_2017!AL6))</f>
        <v>0</v>
      </c>
      <c r="AM6" s="1">
        <f>IF(IF(uxb_works!$B$46=1,tblCategories_2014!AM6,tblCategories_2017!AM6)="","",IF(uxb_works!$B$46=1,tblCategories_2014!AM6,tblCategories_2017!AM6))</f>
        <v>0</v>
      </c>
      <c r="AN6" s="1">
        <f>IF(IF(uxb_works!$B$46=1,tblCategories_2014!AN6,tblCategories_2017!AN6)="","",IF(uxb_works!$B$46=1,tblCategories_2014!AN6,tblCategories_2017!AN6))</f>
        <v>0</v>
      </c>
      <c r="AO6" s="1">
        <f>IF(IF(uxb_works!$B$46=1,tblCategories_2014!AO6,tblCategories_2017!AO6)="","",IF(uxb_works!$B$46=1,tblCategories_2014!AO6,tblCategories_2017!AO6))</f>
        <v>0</v>
      </c>
      <c r="AP6" s="1">
        <f>IF(IF(uxb_works!$B$46=1,tblCategories_2014!AP6,tblCategories_2017!AP6)="","",IF(uxb_works!$B$46=1,tblCategories_2014!AP6,tblCategories_2017!AP6))</f>
        <v>0</v>
      </c>
      <c r="AQ6" s="1">
        <f>IF(IF(uxb_works!$B$46=1,tblCategories_2014!AQ6,tblCategories_2017!AQ6)="","",IF(uxb_works!$B$46=1,tblCategories_2014!AQ6,tblCategories_2017!AQ6))</f>
        <v>0</v>
      </c>
      <c r="AR6" s="1">
        <f>IF(IF(uxb_works!$B$46=1,tblCategories_2014!AR6,tblCategories_2017!AR6)="","",IF(uxb_works!$B$46=1,tblCategories_2014!AR6,tblCategories_2017!AR6))</f>
        <v>0</v>
      </c>
      <c r="AS6" s="1">
        <f>IF(IF(uxb_works!$B$46=1,tblCategories_2014!AS6,tblCategories_2017!AS6)="","",IF(uxb_works!$B$46=1,tblCategories_2014!AS6,tblCategories_2017!AS6))</f>
        <v>0</v>
      </c>
    </row>
    <row r="7" ht="12.75" spans="1:45">
      <c r="A7" s="1">
        <f>IF(IF(uxb_works!$B$46=1,tblCategories_2014!A7,tblCategories_2017!A7)="","",IF(uxb_works!$B$46=1,tblCategories_2014!A7,tblCategories_2017!A7))</f>
        <v>5</v>
      </c>
      <c r="B7" s="1" t="str">
        <f>IF(IF(uxb_works!$B$46=1,tblCategories_2014!B7,tblCategories_2017!B7)="","",IF(uxb_works!$B$46=1,tblCategories_2014!B7,tblCategories_2017!B7))</f>
        <v/>
      </c>
      <c r="C7" s="57" t="str">
        <f>IF(IF(uxb_works!$B$46=1,tblCategories_2014!C7,tblCategories_2017!C7)="","",IF(uxb_works!$B$46=1,tblCategories_2014!C7,tblCategories_2017!C7))</f>
        <v>1.1.3) Public-private partnerships</v>
      </c>
      <c r="D7" s="1" t="str">
        <f>IF(IF(uxb_works!$B$46=1,tblCategories_2014!D7,tblCategories_2017!D7)="","",IF(uxb_works!$B$46=1,tblCategories_2014!D7,tblCategories_2017!D7))</f>
        <v>1.1.3) Public-private partnerships</v>
      </c>
      <c r="E7" s="1" t="str">
        <f>IF(IF(uxb_works!$B$46=1,tblCategories_2014!E7,tblCategories_2017!E7)="","",IF(uxb_works!$B$46=1,tblCategories_2014!E7,tblCategories_2017!E7))</f>
        <v/>
      </c>
      <c r="F7" s="23">
        <f>IF(IF(uxb_works!$B$46=1,tblCategories_2014!F7,tblCategories_2017!F7)="","",IF(uxb_works!$B$46=1,tblCategories_2014!F7,tblCategories_2017!F7))</f>
        <v>1</v>
      </c>
      <c r="G7" s="32" t="str">
        <f>IF(IF(uxb_works!$B$46=1,tblCategories_2014!G7,tblCategories_2017!G7)="","",IF(uxb_works!$B$46=1,tblCategories_2014!G7,tblCategories_2017!G7))</f>
        <v/>
      </c>
      <c r="H7" s="1" t="str">
        <f>IF(IF(uxb_works!$B$46=1,tblCategories_2014!H7,tblCategories_2017!H7)="","",IF(uxb_works!$B$46=1,tblCategories_2014!H7,tblCategories_2017!H7))</f>
        <v/>
      </c>
      <c r="I7" s="23" t="str">
        <f>IF(IF(uxb_works!$B$46=1,tblCategories_2014!I7,tblCategories_2017!I7)="","",IF(uxb_works!$B$46=1,tblCategories_2014!I7,tblCategories_2017!I7))</f>
        <v/>
      </c>
      <c r="J7" s="1" t="str">
        <f>IF(IF(uxb_works!$B$46=1,tblCategories_2014!J7,tblCategories_2017!J7)="","",IF(uxb_works!$B$46=1,tblCategories_2014!J7,tblCategories_2017!J7))</f>
        <v/>
      </c>
      <c r="K7" s="1" t="str">
        <f>IF(IF(uxb_works!$B$46=1,tblCategories_2014!K8,tblCategories_2017!K7)="","",IF(uxb_works!$B$46=1,tblCategories_2014!K8,tblCategories_2017!K7))</f>
        <v>  2.1) Health security (Inputs)</v>
      </c>
      <c r="L7" s="1">
        <f>IF(IF(uxb_works!$B$46=1,tblCategories_2014!L7,tblCategories_2017!L7)="","",IF(uxb_works!$B$46=1,tblCategories_2014!L7,tblCategories_2017!L7))</f>
        <v>1</v>
      </c>
      <c r="M7" s="1">
        <f>IF(IF(uxb_works!$B$46=1,tblCategories_2014!M7,tblCategories_2017!M7)="","",IF(uxb_works!$B$46=1,tblCategories_2014!M7,tblCategories_2017!M7))</f>
        <v>1</v>
      </c>
      <c r="N7" s="1">
        <f>IF(IF(uxb_works!$B$46=1,tblCategories_2014!N7,tblCategories_2017!N7)="","",IF(uxb_works!$B$46=1,tblCategories_2014!N7,tblCategories_2017!N7))</f>
        <v>1</v>
      </c>
      <c r="O7" s="1">
        <f>IF(IF(uxb_works!$B$46=1,tblCategories_2014!O7,tblCategories_2017!O7)="","",IF(uxb_works!$B$46=1,tblCategories_2014!O7,tblCategories_2017!O7))</f>
        <v>1</v>
      </c>
      <c r="P7" s="1">
        <f>IF(IF(uxb_works!$B$46=1,tblCategories_2014!P7,tblCategories_2017!P7)="","",IF(uxb_works!$B$46=1,tblCategories_2014!P7,tblCategories_2017!P7))</f>
        <v>0</v>
      </c>
      <c r="Q7" s="1">
        <f>IF(IF(uxb_works!$B$46=1,tblCategories_2014!Q7,tblCategories_2017!Q7)="","",IF(uxb_works!$B$46=1,tblCategories_2014!Q7,tblCategories_2017!Q7))</f>
        <v>0</v>
      </c>
      <c r="R7" s="1">
        <f>IF(IF(uxb_works!$B$46=1,tblCategories_2014!R7,tblCategories_2017!R7)="","",IF(uxb_works!$B$46=1,tblCategories_2014!R7,tblCategories_2017!R7))</f>
        <v>0</v>
      </c>
      <c r="S7" s="1">
        <f>IF(IF(uxb_works!$B$46=1,tblCategories_2014!S7,tblCategories_2017!S7)="","",IF(uxb_works!$B$46=1,tblCategories_2014!S7,tblCategories_2017!S7))</f>
        <v>0</v>
      </c>
      <c r="T7" s="1">
        <f>IF(IF(uxb_works!$B$46=1,tblCategories_2014!T7,tblCategories_2017!T7)="","",IF(uxb_works!$B$46=1,tblCategories_2014!T7,tblCategories_2017!T7))</f>
        <v>0</v>
      </c>
      <c r="U7" s="1">
        <f>IF(IF(uxb_works!$B$46=1,tblCategories_2014!U7,tblCategories_2017!U7)="","",IF(uxb_works!$B$46=1,tblCategories_2014!U7,tblCategories_2017!U7))</f>
        <v>0</v>
      </c>
      <c r="V7" s="1">
        <f>IF(IF(uxb_works!$B$46=1,tblCategories_2014!V7,tblCategories_2017!V7)="","",IF(uxb_works!$B$46=1,tblCategories_2014!V7,tblCategories_2017!V7))</f>
        <v>0</v>
      </c>
      <c r="W7" s="1">
        <f>IF(IF(uxb_works!$B$46=1,tblCategories_2014!W7,tblCategories_2017!W7)="","",IF(uxb_works!$B$46=1,tblCategories_2014!W7,tblCategories_2017!W7))</f>
        <v>0</v>
      </c>
      <c r="X7" s="1">
        <f>IF(IF(uxb_works!$B$46=1,tblCategories_2014!X7,tblCategories_2017!X7)="","",IF(uxb_works!$B$46=1,tblCategories_2014!X7,tblCategories_2017!X7))</f>
        <v>0</v>
      </c>
      <c r="Y7" s="1">
        <f>IF(IF(uxb_works!$B$46=1,tblCategories_2014!Y7,tblCategories_2017!Y7)="","",IF(uxb_works!$B$46=1,tblCategories_2014!Y7,tblCategories_2017!Y7))</f>
        <v>0</v>
      </c>
      <c r="Z7" s="1" t="str">
        <f>IF(IF(uxb_works!$B$46=1,tblCategories_2014!Z7,tblCategories_2017!Z7)="","",IF(uxb_works!$B$46=1,tblCategories_2014!Z7,tblCategories_2017!Z7))</f>
        <v/>
      </c>
      <c r="AA7" s="53" t="str">
        <f>IF(IF(uxb_works!$B$46=1,tblCategories_2014!AA7,tblCategories_2017!AA7)="","",IF(uxb_works!$B$46=1,tblCategories_2014!AA7,tblCategories_2017!AA7))</f>
        <v/>
      </c>
      <c r="AB7" s="20" t="str">
        <f>IF(IF(uxb_works!$B$46=1,tblCategories_2014!AB7,tblCategories_2017!AB7)="","",IF(uxb_works!$B$46=1,tblCategories_2014!AB7,tblCategories_2017!AB7))</f>
        <v/>
      </c>
      <c r="AC7" s="23">
        <f>IF(IF(uxb_works!$B$46=1,tblCategories_2014!AC7,tblCategories_2017!AC7)="","",IF(uxb_works!$B$46=1,tblCategories_2014!AC7,tblCategories_2017!AC7))</f>
        <v>0</v>
      </c>
      <c r="AD7" s="1" t="str">
        <f>IF(IF(uxb_works!$B$46=1,tblCategories_2014!AD7,tblCategories_2017!AD7)="","",IF(uxb_works!$B$46=1,tblCategories_2014!AD7,tblCategories_2017!AD7))</f>
        <v/>
      </c>
      <c r="AF7" s="1">
        <f>IF(IF(uxb_works!$B$46=1,tblCategories_2014!AF7,tblCategories_2017!AF7)="","",IF(uxb_works!$B$46=1,tblCategories_2014!AF7,tblCategories_2017!AF7))</f>
        <v>1</v>
      </c>
      <c r="AG7" s="1">
        <f>IF(IF(uxb_works!$B$46=1,tblCategories_2014!AG7,tblCategories_2017!AG7)="","",IF(uxb_works!$B$46=1,tblCategories_2014!AG7,tblCategories_2017!AG7))</f>
        <v>0</v>
      </c>
      <c r="AH7" s="1">
        <f>IF(IF(uxb_works!$B$46=1,tblCategories_2014!AH7,tblCategories_2017!AH7)="","",IF(uxb_works!$B$46=1,tblCategories_2014!AH7,tblCategories_2017!AH7))</f>
        <v>0</v>
      </c>
      <c r="AI7" s="1">
        <f>IF(IF(uxb_works!$B$46=1,tblCategories_2014!AI7,tblCategories_2017!AI7)="","",IF(uxb_works!$B$46=1,tblCategories_2014!AI7,tblCategories_2017!AI7))</f>
        <v>1</v>
      </c>
      <c r="AJ7" s="1">
        <f>IF(IF(uxb_works!$B$46=1,tblCategories_2014!AJ7,tblCategories_2017!AJ7)="","",IF(uxb_works!$B$46=1,tblCategories_2014!AJ7,tblCategories_2017!AJ7))</f>
        <v>0</v>
      </c>
      <c r="AK7" s="1">
        <f>IF(IF(uxb_works!$B$46=1,tblCategories_2014!AK7,tblCategories_2017!AK7)="","",IF(uxb_works!$B$46=1,tblCategories_2014!AK7,tblCategories_2017!AK7))</f>
        <v>0</v>
      </c>
      <c r="AL7" s="1">
        <f>IF(IF(uxb_works!$B$46=1,tblCategories_2014!AL7,tblCategories_2017!AL7)="","",IF(uxb_works!$B$46=1,tblCategories_2014!AL7,tblCategories_2017!AL7))</f>
        <v>0</v>
      </c>
      <c r="AM7" s="1">
        <f>IF(IF(uxb_works!$B$46=1,tblCategories_2014!AM7,tblCategories_2017!AM7)="","",IF(uxb_works!$B$46=1,tblCategories_2014!AM7,tblCategories_2017!AM7))</f>
        <v>0</v>
      </c>
      <c r="AN7" s="1">
        <f>IF(IF(uxb_works!$B$46=1,tblCategories_2014!AN7,tblCategories_2017!AN7)="","",IF(uxb_works!$B$46=1,tblCategories_2014!AN7,tblCategories_2017!AN7))</f>
        <v>0</v>
      </c>
      <c r="AO7" s="1">
        <f>IF(IF(uxb_works!$B$46=1,tblCategories_2014!AO7,tblCategories_2017!AO7)="","",IF(uxb_works!$B$46=1,tblCategories_2014!AO7,tblCategories_2017!AO7))</f>
        <v>0</v>
      </c>
      <c r="AP7" s="1">
        <f>IF(IF(uxb_works!$B$46=1,tblCategories_2014!AP7,tblCategories_2017!AP7)="","",IF(uxb_works!$B$46=1,tblCategories_2014!AP7,tblCategories_2017!AP7))</f>
        <v>0</v>
      </c>
      <c r="AQ7" s="1">
        <f>IF(IF(uxb_works!$B$46=1,tblCategories_2014!AQ7,tblCategories_2017!AQ7)="","",IF(uxb_works!$B$46=1,tblCategories_2014!AQ7,tblCategories_2017!AQ7))</f>
        <v>0</v>
      </c>
      <c r="AR7" s="1">
        <f>IF(IF(uxb_works!$B$46=1,tblCategories_2014!AR7,tblCategories_2017!AR7)="","",IF(uxb_works!$B$46=1,tblCategories_2014!AR7,tblCategories_2017!AR7))</f>
        <v>0</v>
      </c>
      <c r="AS7" s="1">
        <f>IF(IF(uxb_works!$B$46=1,tblCategories_2014!AS7,tblCategories_2017!AS7)="","",IF(uxb_works!$B$46=1,tblCategories_2014!AS7,tblCategories_2017!AS7))</f>
        <v>0</v>
      </c>
    </row>
    <row r="8" ht="12.75" spans="1:45">
      <c r="A8" s="1">
        <f>IF(IF(uxb_works!$B$46=1,tblCategories_2014!A8,tblCategories_2017!A8)="","",IF(uxb_works!$B$46=1,tblCategories_2014!A8,tblCategories_2017!A8))</f>
        <v>6</v>
      </c>
      <c r="B8" s="1" t="str">
        <f>IF(IF(uxb_works!$B$46=1,tblCategories_2014!B8,tblCategories_2017!B8)="","",IF(uxb_works!$B$46=1,tblCategories_2014!B8,tblCategories_2017!B8))</f>
        <v/>
      </c>
      <c r="C8" s="57" t="str">
        <f>IF(IF(uxb_works!$B$46=1,tblCategories_2014!C8,tblCategories_2017!C8)="","",IF(uxb_works!$B$46=1,tblCategories_2014!C8,tblCategories_2017!C8))</f>
        <v>1.1.4) Level of technology employed</v>
      </c>
      <c r="D8" s="1" t="str">
        <f>IF(IF(uxb_works!$B$46=1,tblCategories_2014!D8,tblCategories_2017!D8)="","",IF(uxb_works!$B$46=1,tblCategories_2014!D8,tblCategories_2017!D8))</f>
        <v>1.1.4) Level of technology employed</v>
      </c>
      <c r="E8" s="1" t="str">
        <f>IF(IF(uxb_works!$B$46=1,tblCategories_2014!E8,tblCategories_2017!E8)="","",IF(uxb_works!$B$46=1,tblCategories_2014!E8,tblCategories_2017!E8))</f>
        <v/>
      </c>
      <c r="F8" s="23">
        <f>IF(IF(uxb_works!$B$46=1,tblCategories_2014!F8,tblCategories_2017!F8)="","",IF(uxb_works!$B$46=1,tblCategories_2014!F8,tblCategories_2017!F8))</f>
        <v>1</v>
      </c>
      <c r="G8" s="32" t="str">
        <f>IF(IF(uxb_works!$B$46=1,tblCategories_2014!G8,tblCategories_2017!G8)="","",IF(uxb_works!$B$46=1,tblCategories_2014!G8,tblCategories_2017!G8))</f>
        <v/>
      </c>
      <c r="H8" s="1" t="str">
        <f>IF(IF(uxb_works!$B$46=1,tblCategories_2014!H8,tblCategories_2017!H8)="","",IF(uxb_works!$B$46=1,tblCategories_2014!H8,tblCategories_2017!H8))</f>
        <v/>
      </c>
      <c r="I8" s="23" t="str">
        <f>IF(IF(uxb_works!$B$46=1,tblCategories_2014!I8,tblCategories_2017!I8)="","",IF(uxb_works!$B$46=1,tblCategories_2014!I8,tblCategories_2017!I8))</f>
        <v/>
      </c>
      <c r="J8" s="1" t="str">
        <f>IF(IF(uxb_works!$B$46=1,tblCategories_2014!J8,tblCategories_2017!J8)="","",IF(uxb_works!$B$46=1,tblCategories_2014!J8,tblCategories_2017!J8))</f>
        <v/>
      </c>
      <c r="K8" s="1" t="str">
        <f>IF(IF(uxb_works!$B$46=1,tblCategories_2014!K9,tblCategories_2017!K8)="","",IF(uxb_works!$B$46=1,tblCategories_2014!K9,tblCategories_2017!K8))</f>
        <v>  2.2) Health security (Outputs)</v>
      </c>
      <c r="L8" s="1">
        <f>IF(IF(uxb_works!$B$46=1,tblCategories_2014!L8,tblCategories_2017!L8)="","",IF(uxb_works!$B$46=1,tblCategories_2014!L8,tblCategories_2017!L8))</f>
        <v>1</v>
      </c>
      <c r="M8" s="1">
        <f>IF(IF(uxb_works!$B$46=1,tblCategories_2014!M8,tblCategories_2017!M8)="","",IF(uxb_works!$B$46=1,tblCategories_2014!M8,tblCategories_2017!M8))</f>
        <v>1</v>
      </c>
      <c r="N8" s="1">
        <f>IF(IF(uxb_works!$B$46=1,tblCategories_2014!N8,tblCategories_2017!N8)="","",IF(uxb_works!$B$46=1,tblCategories_2014!N8,tblCategories_2017!N8))</f>
        <v>1</v>
      </c>
      <c r="O8" s="1">
        <f>IF(IF(uxb_works!$B$46=1,tblCategories_2014!O8,tblCategories_2017!O8)="","",IF(uxb_works!$B$46=1,tblCategories_2014!O8,tblCategories_2017!O8))</f>
        <v>1</v>
      </c>
      <c r="P8" s="1">
        <f>IF(IF(uxb_works!$B$46=1,tblCategories_2014!P8,tblCategories_2017!P8)="","",IF(uxb_works!$B$46=1,tblCategories_2014!P8,tblCategories_2017!P8))</f>
        <v>0</v>
      </c>
      <c r="Q8" s="1">
        <f>IF(IF(uxb_works!$B$46=1,tblCategories_2014!Q8,tblCategories_2017!Q8)="","",IF(uxb_works!$B$46=1,tblCategories_2014!Q8,tblCategories_2017!Q8))</f>
        <v>0</v>
      </c>
      <c r="R8" s="1">
        <f>IF(IF(uxb_works!$B$46=1,tblCategories_2014!R8,tblCategories_2017!R8)="","",IF(uxb_works!$B$46=1,tblCategories_2014!R8,tblCategories_2017!R8))</f>
        <v>0</v>
      </c>
      <c r="S8" s="1">
        <f>IF(IF(uxb_works!$B$46=1,tblCategories_2014!S8,tblCategories_2017!S8)="","",IF(uxb_works!$B$46=1,tblCategories_2014!S8,tblCategories_2017!S8))</f>
        <v>0</v>
      </c>
      <c r="T8" s="1">
        <f>IF(IF(uxb_works!$B$46=1,tblCategories_2014!T8,tblCategories_2017!T8)="","",IF(uxb_works!$B$46=1,tblCategories_2014!T8,tblCategories_2017!T8))</f>
        <v>0</v>
      </c>
      <c r="U8" s="1">
        <f>IF(IF(uxb_works!$B$46=1,tblCategories_2014!U8,tblCategories_2017!U8)="","",IF(uxb_works!$B$46=1,tblCategories_2014!U8,tblCategories_2017!U8))</f>
        <v>0</v>
      </c>
      <c r="V8" s="1">
        <f>IF(IF(uxb_works!$B$46=1,tblCategories_2014!V8,tblCategories_2017!V8)="","",IF(uxb_works!$B$46=1,tblCategories_2014!V8,tblCategories_2017!V8))</f>
        <v>0</v>
      </c>
      <c r="W8" s="1">
        <f>IF(IF(uxb_works!$B$46=1,tblCategories_2014!W8,tblCategories_2017!W8)="","",IF(uxb_works!$B$46=1,tblCategories_2014!W8,tblCategories_2017!W8))</f>
        <v>0</v>
      </c>
      <c r="X8" s="1">
        <f>IF(IF(uxb_works!$B$46=1,tblCategories_2014!X8,tblCategories_2017!X8)="","",IF(uxb_works!$B$46=1,tblCategories_2014!X8,tblCategories_2017!X8))</f>
        <v>0</v>
      </c>
      <c r="Y8" s="1">
        <f>IF(IF(uxb_works!$B$46=1,tblCategories_2014!Y8,tblCategories_2017!Y8)="","",IF(uxb_works!$B$46=1,tblCategories_2014!Y8,tblCategories_2017!Y8))</f>
        <v>0</v>
      </c>
      <c r="Z8" s="1" t="str">
        <f>IF(IF(uxb_works!$B$46=1,tblCategories_2014!Z8,tblCategories_2017!Z8)="","",IF(uxb_works!$B$46=1,tblCategories_2014!Z8,tblCategories_2017!Z8))</f>
        <v/>
      </c>
      <c r="AA8" s="53" t="str">
        <f>IF(IF(uxb_works!$B$46=1,tblCategories_2014!AA8,tblCategories_2017!AA8)="","",IF(uxb_works!$B$46=1,tblCategories_2014!AA8,tblCategories_2017!AA8))</f>
        <v/>
      </c>
      <c r="AB8" s="20" t="str">
        <f>IF(IF(uxb_works!$B$46=1,tblCategories_2014!AB8,tblCategories_2017!AB8)="","",IF(uxb_works!$B$46=1,tblCategories_2014!AB8,tblCategories_2017!AB8))</f>
        <v/>
      </c>
      <c r="AC8" s="23">
        <f>IF(IF(uxb_works!$B$46=1,tblCategories_2014!AC8,tblCategories_2017!AC8)="","",IF(uxb_works!$B$46=1,tblCategories_2014!AC8,tblCategories_2017!AC8))</f>
        <v>0</v>
      </c>
      <c r="AD8" s="1" t="str">
        <f>IF(IF(uxb_works!$B$46=1,tblCategories_2014!AD8,tblCategories_2017!AD8)="","",IF(uxb_works!$B$46=1,tblCategories_2014!AD8,tblCategories_2017!AD8))</f>
        <v/>
      </c>
      <c r="AF8" s="1">
        <f>IF(IF(uxb_works!$B$46=1,tblCategories_2014!AF8,tblCategories_2017!AF8)="","",IF(uxb_works!$B$46=1,tblCategories_2014!AF8,tblCategories_2017!AF8))</f>
        <v>1</v>
      </c>
      <c r="AG8" s="1">
        <f>IF(IF(uxb_works!$B$46=1,tblCategories_2014!AG8,tblCategories_2017!AG8)="","",IF(uxb_works!$B$46=1,tblCategories_2014!AG8,tblCategories_2017!AG8))</f>
        <v>0</v>
      </c>
      <c r="AH8" s="1">
        <f>IF(IF(uxb_works!$B$46=1,tblCategories_2014!AH8,tblCategories_2017!AH8)="","",IF(uxb_works!$B$46=1,tblCategories_2014!AH8,tblCategories_2017!AH8))</f>
        <v>0</v>
      </c>
      <c r="AI8" s="1">
        <f>IF(IF(uxb_works!$B$46=1,tblCategories_2014!AI8,tblCategories_2017!AI8)="","",IF(uxb_works!$B$46=1,tblCategories_2014!AI8,tblCategories_2017!AI8))</f>
        <v>1</v>
      </c>
      <c r="AJ8" s="1">
        <f>IF(IF(uxb_works!$B$46=1,tblCategories_2014!AJ8,tblCategories_2017!AJ8)="","",IF(uxb_works!$B$46=1,tblCategories_2014!AJ8,tblCategories_2017!AJ8))</f>
        <v>0</v>
      </c>
      <c r="AK8" s="1">
        <f>IF(IF(uxb_works!$B$46=1,tblCategories_2014!AK8,tblCategories_2017!AK8)="","",IF(uxb_works!$B$46=1,tblCategories_2014!AK8,tblCategories_2017!AK8))</f>
        <v>0</v>
      </c>
      <c r="AL8" s="1">
        <f>IF(IF(uxb_works!$B$46=1,tblCategories_2014!AL8,tblCategories_2017!AL8)="","",IF(uxb_works!$B$46=1,tblCategories_2014!AL8,tblCategories_2017!AL8))</f>
        <v>0</v>
      </c>
      <c r="AM8" s="1">
        <f>IF(IF(uxb_works!$B$46=1,tblCategories_2014!AM8,tblCategories_2017!AM8)="","",IF(uxb_works!$B$46=1,tblCategories_2014!AM8,tblCategories_2017!AM8))</f>
        <v>0</v>
      </c>
      <c r="AN8" s="1">
        <f>IF(IF(uxb_works!$B$46=1,tblCategories_2014!AN8,tblCategories_2017!AN8)="","",IF(uxb_works!$B$46=1,tblCategories_2014!AN8,tblCategories_2017!AN8))</f>
        <v>0</v>
      </c>
      <c r="AO8" s="1">
        <f>IF(IF(uxb_works!$B$46=1,tblCategories_2014!AO8,tblCategories_2017!AO8)="","",IF(uxb_works!$B$46=1,tblCategories_2014!AO8,tblCategories_2017!AO8))</f>
        <v>0</v>
      </c>
      <c r="AP8" s="1">
        <f>IF(IF(uxb_works!$B$46=1,tblCategories_2014!AP8,tblCategories_2017!AP8)="","",IF(uxb_works!$B$46=1,tblCategories_2014!AP8,tblCategories_2017!AP8))</f>
        <v>0</v>
      </c>
      <c r="AQ8" s="1">
        <f>IF(IF(uxb_works!$B$46=1,tblCategories_2014!AQ8,tblCategories_2017!AQ8)="","",IF(uxb_works!$B$46=1,tblCategories_2014!AQ8,tblCategories_2017!AQ8))</f>
        <v>0</v>
      </c>
      <c r="AR8" s="1">
        <f>IF(IF(uxb_works!$B$46=1,tblCategories_2014!AR8,tblCategories_2017!AR8)="","",IF(uxb_works!$B$46=1,tblCategories_2014!AR8,tblCategories_2017!AR8))</f>
        <v>0</v>
      </c>
      <c r="AS8" s="1">
        <f>IF(IF(uxb_works!$B$46=1,tblCategories_2014!AS8,tblCategories_2017!AS8)="","",IF(uxb_works!$B$46=1,tblCategories_2014!AS8,tblCategories_2017!AS8))</f>
        <v>0</v>
      </c>
    </row>
    <row r="9" ht="12.75" spans="1:45">
      <c r="A9" s="1">
        <f>IF(IF(uxb_works!$B$46=1,tblCategories_2014!A9,tblCategories_2017!A9)="","",IF(uxb_works!$B$46=1,tblCategories_2014!A9,tblCategories_2017!A9))</f>
        <v>7</v>
      </c>
      <c r="B9" s="1" t="str">
        <f>IF(IF(uxb_works!$B$46=1,tblCategories_2014!B9,tblCategories_2017!B9)="","",IF(uxb_works!$B$46=1,tblCategories_2014!B9,tblCategories_2017!B9))</f>
        <v/>
      </c>
      <c r="C9" s="57" t="str">
        <f>IF(IF(uxb_works!$B$46=1,tblCategories_2014!C9,tblCategories_2017!C9)="","",IF(uxb_works!$B$46=1,tblCategories_2014!C9,tblCategories_2017!C9))</f>
        <v>1.1.5) Dedicated cyber security teams</v>
      </c>
      <c r="D9" s="1" t="str">
        <f>IF(IF(uxb_works!$B$46=1,tblCategories_2014!D9,tblCategories_2017!D9)="","",IF(uxb_works!$B$46=1,tblCategories_2014!D9,tblCategories_2017!D9))</f>
        <v>1.1.5) Dedicated cyber security teams</v>
      </c>
      <c r="E9" s="1" t="str">
        <f>IF(IF(uxb_works!$B$46=1,tblCategories_2014!E9,tblCategories_2017!E9)="","",IF(uxb_works!$B$46=1,tblCategories_2014!E9,tblCategories_2017!E9))</f>
        <v/>
      </c>
      <c r="F9" s="23">
        <f>IF(IF(uxb_works!$B$46=1,tblCategories_2014!F9,tblCategories_2017!F9)="","",IF(uxb_works!$B$46=1,tblCategories_2014!F9,tblCategories_2017!F9))</f>
        <v>1</v>
      </c>
      <c r="G9" s="32" t="str">
        <f>IF(IF(uxb_works!$B$46=1,tblCategories_2014!G9,tblCategories_2017!G9)="","",IF(uxb_works!$B$46=1,tblCategories_2014!G9,tblCategories_2017!G9))</f>
        <v/>
      </c>
      <c r="H9" s="1" t="str">
        <f>IF(IF(uxb_works!$B$46=1,tblCategories_2014!H9,tblCategories_2017!H9)="","",IF(uxb_works!$B$46=1,tblCategories_2014!H9,tblCategories_2017!H9))</f>
        <v/>
      </c>
      <c r="I9" s="23" t="str">
        <f>IF(IF(uxb_works!$B$46=1,tblCategories_2014!I9,tblCategories_2017!I9)="","",IF(uxb_works!$B$46=1,tblCategories_2014!I9,tblCategories_2017!I9))</f>
        <v/>
      </c>
      <c r="J9" s="1" t="str">
        <f>IF(IF(uxb_works!$B$46=1,tblCategories_2014!J9,tblCategories_2017!J9)="","",IF(uxb_works!$B$46=1,tblCategories_2014!J9,tblCategories_2017!J9))</f>
        <v/>
      </c>
      <c r="K9" s="1" t="str">
        <f>IF(IF(uxb_works!$B$46=1,tblCategories_2014!K10,tblCategories_2017!K9)="","",IF(uxb_works!$B$46=1,tblCategories_2014!K10,tblCategories_2017!K9))</f>
        <v> 3) INFRASTRUCTURE SECURITY</v>
      </c>
      <c r="L9" s="1">
        <f>IF(IF(uxb_works!$B$46=1,tblCategories_2014!L9,tblCategories_2017!L9)="","",IF(uxb_works!$B$46=1,tblCategories_2014!L9,tblCategories_2017!L9))</f>
        <v>1</v>
      </c>
      <c r="M9" s="1">
        <f>IF(IF(uxb_works!$B$46=1,tblCategories_2014!M9,tblCategories_2017!M9)="","",IF(uxb_works!$B$46=1,tblCategories_2014!M9,tblCategories_2017!M9))</f>
        <v>1</v>
      </c>
      <c r="N9" s="1">
        <f>IF(IF(uxb_works!$B$46=1,tblCategories_2014!N9,tblCategories_2017!N9)="","",IF(uxb_works!$B$46=1,tblCategories_2014!N9,tblCategories_2017!N9))</f>
        <v>1</v>
      </c>
      <c r="O9" s="1">
        <f>IF(IF(uxb_works!$B$46=1,tblCategories_2014!O9,tblCategories_2017!O9)="","",IF(uxb_works!$B$46=1,tblCategories_2014!O9,tblCategories_2017!O9))</f>
        <v>1</v>
      </c>
      <c r="P9" s="1">
        <f>IF(IF(uxb_works!$B$46=1,tblCategories_2014!P9,tblCategories_2017!P9)="","",IF(uxb_works!$B$46=1,tblCategories_2014!P9,tblCategories_2017!P9))</f>
        <v>0</v>
      </c>
      <c r="Q9" s="1">
        <f>IF(IF(uxb_works!$B$46=1,tblCategories_2014!Q9,tblCategories_2017!Q9)="","",IF(uxb_works!$B$46=1,tblCategories_2014!Q9,tblCategories_2017!Q9))</f>
        <v>0</v>
      </c>
      <c r="R9" s="1">
        <f>IF(IF(uxb_works!$B$46=1,tblCategories_2014!R9,tblCategories_2017!R9)="","",IF(uxb_works!$B$46=1,tblCategories_2014!R9,tblCategories_2017!R9))</f>
        <v>0</v>
      </c>
      <c r="S9" s="1">
        <f>IF(IF(uxb_works!$B$46=1,tblCategories_2014!S9,tblCategories_2017!S9)="","",IF(uxb_works!$B$46=1,tblCategories_2014!S9,tblCategories_2017!S9))</f>
        <v>0</v>
      </c>
      <c r="T9" s="1">
        <f>IF(IF(uxb_works!$B$46=1,tblCategories_2014!T9,tblCategories_2017!T9)="","",IF(uxb_works!$B$46=1,tblCategories_2014!T9,tblCategories_2017!T9))</f>
        <v>0</v>
      </c>
      <c r="U9" s="1">
        <f>IF(IF(uxb_works!$B$46=1,tblCategories_2014!U9,tblCategories_2017!U9)="","",IF(uxb_works!$B$46=1,tblCategories_2014!U9,tblCategories_2017!U9))</f>
        <v>0</v>
      </c>
      <c r="V9" s="1">
        <f>IF(IF(uxb_works!$B$46=1,tblCategories_2014!V9,tblCategories_2017!V9)="","",IF(uxb_works!$B$46=1,tblCategories_2014!V9,tblCategories_2017!V9))</f>
        <v>0</v>
      </c>
      <c r="W9" s="1">
        <f>IF(IF(uxb_works!$B$46=1,tblCategories_2014!W9,tblCategories_2017!W9)="","",IF(uxb_works!$B$46=1,tblCategories_2014!W9,tblCategories_2017!W9))</f>
        <v>0</v>
      </c>
      <c r="X9" s="1">
        <f>IF(IF(uxb_works!$B$46=1,tblCategories_2014!X9,tblCategories_2017!X9)="","",IF(uxb_works!$B$46=1,tblCategories_2014!X9,tblCategories_2017!X9))</f>
        <v>0</v>
      </c>
      <c r="Y9" s="1">
        <f>IF(IF(uxb_works!$B$46=1,tblCategories_2014!Y9,tblCategories_2017!Y9)="","",IF(uxb_works!$B$46=1,tblCategories_2014!Y9,tblCategories_2017!Y9))</f>
        <v>0</v>
      </c>
      <c r="Z9" s="1" t="str">
        <f>IF(IF(uxb_works!$B$46=1,tblCategories_2014!Z9,tblCategories_2017!Z9)="","",IF(uxb_works!$B$46=1,tblCategories_2014!Z9,tblCategories_2017!Z9))</f>
        <v/>
      </c>
      <c r="AA9" s="53" t="str">
        <f>IF(IF(uxb_works!$B$46=1,tblCategories_2014!AA9,tblCategories_2017!AA9)="","",IF(uxb_works!$B$46=1,tblCategories_2014!AA9,tblCategories_2017!AA9))</f>
        <v/>
      </c>
      <c r="AB9" s="20" t="str">
        <f>IF(IF(uxb_works!$B$46=1,tblCategories_2014!AB9,tblCategories_2017!AB9)="","",IF(uxb_works!$B$46=1,tblCategories_2014!AB9,tblCategories_2017!AB9))</f>
        <v/>
      </c>
      <c r="AC9" s="23">
        <f>IF(IF(uxb_works!$B$46=1,tblCategories_2014!AC9,tblCategories_2017!AC9)="","",IF(uxb_works!$B$46=1,tblCategories_2014!AC9,tblCategories_2017!AC9))</f>
        <v>0</v>
      </c>
      <c r="AD9" s="1" t="str">
        <f>IF(IF(uxb_works!$B$46=1,tblCategories_2014!AD9,tblCategories_2017!AD9)="","",IF(uxb_works!$B$46=1,tblCategories_2014!AD9,tblCategories_2017!AD9))</f>
        <v/>
      </c>
      <c r="AF9" s="1">
        <f>IF(IF(uxb_works!$B$46=1,tblCategories_2014!AF9,tblCategories_2017!AF9)="","",IF(uxb_works!$B$46=1,tblCategories_2014!AF9,tblCategories_2017!AF9))</f>
        <v>1</v>
      </c>
      <c r="AG9" s="1">
        <f>IF(IF(uxb_works!$B$46=1,tblCategories_2014!AG9,tblCategories_2017!AG9)="","",IF(uxb_works!$B$46=1,tblCategories_2014!AG9,tblCategories_2017!AG9))</f>
        <v>0</v>
      </c>
      <c r="AH9" s="1">
        <f>IF(IF(uxb_works!$B$46=1,tblCategories_2014!AH9,tblCategories_2017!AH9)="","",IF(uxb_works!$B$46=1,tblCategories_2014!AH9,tblCategories_2017!AH9))</f>
        <v>0</v>
      </c>
      <c r="AI9" s="1">
        <f>IF(IF(uxb_works!$B$46=1,tblCategories_2014!AI9,tblCategories_2017!AI9)="","",IF(uxb_works!$B$46=1,tblCategories_2014!AI9,tblCategories_2017!AI9))</f>
        <v>1</v>
      </c>
      <c r="AJ9" s="1">
        <f>IF(IF(uxb_works!$B$46=1,tblCategories_2014!AJ9,tblCategories_2017!AJ9)="","",IF(uxb_works!$B$46=1,tblCategories_2014!AJ9,tblCategories_2017!AJ9))</f>
        <v>0</v>
      </c>
      <c r="AK9" s="1">
        <f>IF(IF(uxb_works!$B$46=1,tblCategories_2014!AK9,tblCategories_2017!AK9)="","",IF(uxb_works!$B$46=1,tblCategories_2014!AK9,tblCategories_2017!AK9))</f>
        <v>0</v>
      </c>
      <c r="AL9" s="1">
        <f>IF(IF(uxb_works!$B$46=1,tblCategories_2014!AL9,tblCategories_2017!AL9)="","",IF(uxb_works!$B$46=1,tblCategories_2014!AL9,tblCategories_2017!AL9))</f>
        <v>0</v>
      </c>
      <c r="AM9" s="1">
        <f>IF(IF(uxb_works!$B$46=1,tblCategories_2014!AM9,tblCategories_2017!AM9)="","",IF(uxb_works!$B$46=1,tblCategories_2014!AM9,tblCategories_2017!AM9))</f>
        <v>0</v>
      </c>
      <c r="AN9" s="1">
        <f>IF(IF(uxb_works!$B$46=1,tblCategories_2014!AN9,tblCategories_2017!AN9)="","",IF(uxb_works!$B$46=1,tblCategories_2014!AN9,tblCategories_2017!AN9))</f>
        <v>0</v>
      </c>
      <c r="AO9" s="1">
        <f>IF(IF(uxb_works!$B$46=1,tblCategories_2014!AO9,tblCategories_2017!AO9)="","",IF(uxb_works!$B$46=1,tblCategories_2014!AO9,tblCategories_2017!AO9))</f>
        <v>0</v>
      </c>
      <c r="AP9" s="1">
        <f>IF(IF(uxb_works!$B$46=1,tblCategories_2014!AP9,tblCategories_2017!AP9)="","",IF(uxb_works!$B$46=1,tblCategories_2014!AP9,tblCategories_2017!AP9))</f>
        <v>0</v>
      </c>
      <c r="AQ9" s="1">
        <f>IF(IF(uxb_works!$B$46=1,tblCategories_2014!AQ9,tblCategories_2017!AQ9)="","",IF(uxb_works!$B$46=1,tblCategories_2014!AQ9,tblCategories_2017!AQ9))</f>
        <v>0</v>
      </c>
      <c r="AR9" s="1">
        <f>IF(IF(uxb_works!$B$46=1,tblCategories_2014!AR9,tblCategories_2017!AR9)="","",IF(uxb_works!$B$46=1,tblCategories_2014!AR9,tblCategories_2017!AR9))</f>
        <v>0</v>
      </c>
      <c r="AS9" s="1">
        <f>IF(IF(uxb_works!$B$46=1,tblCategories_2014!AS9,tblCategories_2017!AS9)="","",IF(uxb_works!$B$46=1,tblCategories_2014!AS9,tblCategories_2017!AS9))</f>
        <v>0</v>
      </c>
    </row>
    <row r="10" ht="12.75" spans="1:45">
      <c r="A10" s="1">
        <f>IF(IF(uxb_works!$B$46=1,tblCategories_2014!A10,tblCategories_2017!A10)="","",IF(uxb_works!$B$46=1,tblCategories_2014!A10,tblCategories_2017!A10))</f>
        <v>8</v>
      </c>
      <c r="B10" s="1" t="str">
        <f>IF(IF(uxb_works!$B$46=1,tblCategories_2014!B10,tblCategories_2017!B10)="","",IF(uxb_works!$B$46=1,tblCategories_2014!B10,tblCategories_2017!B10))</f>
        <v/>
      </c>
      <c r="C10" s="57" t="str">
        <f>IF(IF(uxb_works!$B$46=1,tblCategories_2014!C10,tblCategories_2017!C10)="","",IF(uxb_works!$B$46=1,tblCategories_2014!C10,tblCategories_2017!C10))</f>
        <v>1.2) Digital security (Outputs)</v>
      </c>
      <c r="D10" s="1" t="str">
        <f>IF(IF(uxb_works!$B$46=1,tblCategories_2014!D10,tblCategories_2017!D10)="","",IF(uxb_works!$B$46=1,tblCategories_2014!D10,tblCategories_2017!D10))</f>
        <v>1.2) Digital security (Outputs)</v>
      </c>
      <c r="E10" s="1" t="str">
        <f>IF(IF(uxb_works!$B$46=1,tblCategories_2014!E10,tblCategories_2017!E10)="","",IF(uxb_works!$B$46=1,tblCategories_2014!E10,tblCategories_2017!E10))</f>
        <v/>
      </c>
      <c r="F10" s="23">
        <f>IF(IF(uxb_works!$B$46=1,tblCategories_2014!F10,tblCategories_2017!F10)="","",IF(uxb_works!$B$46=1,tblCategories_2014!F10,tblCategories_2017!F10))</f>
        <v>1</v>
      </c>
      <c r="G10" s="32" t="str">
        <f>IF(IF(uxb_works!$B$46=1,tblCategories_2014!G10,tblCategories_2017!G10)="","",IF(uxb_works!$B$46=1,tblCategories_2014!G10,tblCategories_2017!G10))</f>
        <v/>
      </c>
      <c r="H10" s="1" t="str">
        <f>IF(IF(uxb_works!$B$46=1,tblCategories_2014!H10,tblCategories_2017!H10)="","",IF(uxb_works!$B$46=1,tblCategories_2014!H10,tblCategories_2017!H10))</f>
        <v/>
      </c>
      <c r="I10" s="23" t="str">
        <f>IF(IF(uxb_works!$B$46=1,tblCategories_2014!I10,tblCategories_2017!I10)="","",IF(uxb_works!$B$46=1,tblCategories_2014!I10,tblCategories_2017!I10))</f>
        <v/>
      </c>
      <c r="J10" s="1" t="str">
        <f>IF(IF(uxb_works!$B$46=1,tblCategories_2014!J10,tblCategories_2017!J10)="","",IF(uxb_works!$B$46=1,tblCategories_2014!J10,tblCategories_2017!J10))</f>
        <v/>
      </c>
      <c r="K10" s="1" t="str">
        <f>IF(IF(uxb_works!$B$46=1,tblCategories_2014!K11,tblCategories_2017!K10)="","",IF(uxb_works!$B$46=1,tblCategories_2014!K11,tblCategories_2017!K10))</f>
        <v>  3.1) Infrastructure security (Inputs)</v>
      </c>
      <c r="L10" s="1">
        <f>IF(IF(uxb_works!$B$46=1,tblCategories_2014!L10,tblCategories_2017!L10)="","",IF(uxb_works!$B$46=1,tblCategories_2014!L10,tblCategories_2017!L10))</f>
        <v>1</v>
      </c>
      <c r="M10" s="1">
        <f>IF(IF(uxb_works!$B$46=1,tblCategories_2014!M10,tblCategories_2017!M10)="","",IF(uxb_works!$B$46=1,tblCategories_2014!M10,tblCategories_2017!M10))</f>
        <v>1</v>
      </c>
      <c r="N10" s="1">
        <f>IF(IF(uxb_works!$B$46=1,tblCategories_2014!N10,tblCategories_2017!N10)="","",IF(uxb_works!$B$46=1,tblCategories_2014!N10,tblCategories_2017!N10))</f>
        <v>1</v>
      </c>
      <c r="O10" s="1">
        <f>IF(IF(uxb_works!$B$46=1,tblCategories_2014!O10,tblCategories_2017!O10)="","",IF(uxb_works!$B$46=1,tblCategories_2014!O10,tblCategories_2017!O10))</f>
        <v>0</v>
      </c>
      <c r="P10" s="1">
        <f>IF(IF(uxb_works!$B$46=1,tblCategories_2014!P10,tblCategories_2017!P10)="","",IF(uxb_works!$B$46=1,tblCategories_2014!P10,tblCategories_2017!P10))</f>
        <v>0</v>
      </c>
      <c r="Q10" s="1">
        <f>IF(IF(uxb_works!$B$46=1,tblCategories_2014!Q10,tblCategories_2017!Q10)="","",IF(uxb_works!$B$46=1,tblCategories_2014!Q10,tblCategories_2017!Q10))</f>
        <v>0</v>
      </c>
      <c r="R10" s="1">
        <f>IF(IF(uxb_works!$B$46=1,tblCategories_2014!R10,tblCategories_2017!R10)="","",IF(uxb_works!$B$46=1,tblCategories_2014!R10,tblCategories_2017!R10))</f>
        <v>0</v>
      </c>
      <c r="S10" s="1">
        <f>IF(IF(uxb_works!$B$46=1,tblCategories_2014!S10,tblCategories_2017!S10)="","",IF(uxb_works!$B$46=1,tblCategories_2014!S10,tblCategories_2017!S10))</f>
        <v>0</v>
      </c>
      <c r="T10" s="1">
        <f>IF(IF(uxb_works!$B$46=1,tblCategories_2014!T10,tblCategories_2017!T10)="","",IF(uxb_works!$B$46=1,tblCategories_2014!T10,tblCategories_2017!T10))</f>
        <v>0</v>
      </c>
      <c r="U10" s="1">
        <f>IF(IF(uxb_works!$B$46=1,tblCategories_2014!U10,tblCategories_2017!U10)="","",IF(uxb_works!$B$46=1,tblCategories_2014!U10,tblCategories_2017!U10))</f>
        <v>0</v>
      </c>
      <c r="V10" s="1">
        <f>IF(IF(uxb_works!$B$46=1,tblCategories_2014!V10,tblCategories_2017!V10)="","",IF(uxb_works!$B$46=1,tblCategories_2014!V10,tblCategories_2017!V10))</f>
        <v>0</v>
      </c>
      <c r="W10" s="1">
        <f>IF(IF(uxb_works!$B$46=1,tblCategories_2014!W10,tblCategories_2017!W10)="","",IF(uxb_works!$B$46=1,tblCategories_2014!W10,tblCategories_2017!W10))</f>
        <v>0</v>
      </c>
      <c r="X10" s="1">
        <f>IF(IF(uxb_works!$B$46=1,tblCategories_2014!X10,tblCategories_2017!X10)="","",IF(uxb_works!$B$46=1,tblCategories_2014!X10,tblCategories_2017!X10))</f>
        <v>0</v>
      </c>
      <c r="Y10" s="1">
        <f>IF(IF(uxb_works!$B$46=1,tblCategories_2014!Y10,tblCategories_2017!Y10)="","",IF(uxb_works!$B$46=1,tblCategories_2014!Y10,tblCategories_2017!Y10))</f>
        <v>0</v>
      </c>
      <c r="Z10" s="1" t="str">
        <f>IF(IF(uxb_works!$B$46=1,tblCategories_2014!Z10,tblCategories_2017!Z10)="","",IF(uxb_works!$B$46=1,tblCategories_2014!Z10,tblCategories_2017!Z10))</f>
        <v/>
      </c>
      <c r="AA10" s="53" t="str">
        <f>IF(IF(uxb_works!$B$46=1,tblCategories_2014!AA10,tblCategories_2017!AA10)="","",IF(uxb_works!$B$46=1,tblCategories_2014!AA10,tblCategories_2017!AA10))</f>
        <v/>
      </c>
      <c r="AB10" s="20" t="str">
        <f>IF(IF(uxb_works!$B$46=1,tblCategories_2014!AB10,tblCategories_2017!AB10)="","",IF(uxb_works!$B$46=1,tblCategories_2014!AB10,tblCategories_2017!AB10))</f>
        <v/>
      </c>
      <c r="AC10" s="23">
        <f>IF(IF(uxb_works!$B$46=1,tblCategories_2014!AC10,tblCategories_2017!AC10)="","",IF(uxb_works!$B$46=1,tblCategories_2014!AC10,tblCategories_2017!AC10))</f>
        <v>0</v>
      </c>
      <c r="AD10" s="1" t="str">
        <f>IF(IF(uxb_works!$B$46=1,tblCategories_2014!AD10,tblCategories_2017!AD10)="","",IF(uxb_works!$B$46=1,tblCategories_2014!AD10,tblCategories_2017!AD10))</f>
        <v/>
      </c>
      <c r="AF10" s="1">
        <f>IF(IF(uxb_works!$B$46=1,tblCategories_2014!AF10,tblCategories_2017!AF10)="","",IF(uxb_works!$B$46=1,tblCategories_2014!AF10,tblCategories_2017!AF10))</f>
        <v>1</v>
      </c>
      <c r="AG10" s="1">
        <f>IF(IF(uxb_works!$B$46=1,tblCategories_2014!AG10,tblCategories_2017!AG10)="","",IF(uxb_works!$B$46=1,tblCategories_2014!AG10,tblCategories_2017!AG10))</f>
        <v>0</v>
      </c>
      <c r="AH10" s="1">
        <f>IF(IF(uxb_works!$B$46=1,tblCategories_2014!AH10,tblCategories_2017!AH10)="","",IF(uxb_works!$B$46=1,tblCategories_2014!AH10,tblCategories_2017!AH10))</f>
        <v>1</v>
      </c>
      <c r="AI10" s="1">
        <f>IF(IF(uxb_works!$B$46=1,tblCategories_2014!AI10,tblCategories_2017!AI10)="","",IF(uxb_works!$B$46=1,tblCategories_2014!AI10,tblCategories_2017!AI10))</f>
        <v>0</v>
      </c>
      <c r="AJ10" s="1">
        <f>IF(IF(uxb_works!$B$46=1,tblCategories_2014!AJ10,tblCategories_2017!AJ10)="","",IF(uxb_works!$B$46=1,tblCategories_2014!AJ10,tblCategories_2017!AJ10))</f>
        <v>0</v>
      </c>
      <c r="AK10" s="1">
        <f>IF(IF(uxb_works!$B$46=1,tblCategories_2014!AK10,tblCategories_2017!AK10)="","",IF(uxb_works!$B$46=1,tblCategories_2014!AK10,tblCategories_2017!AK10))</f>
        <v>0</v>
      </c>
      <c r="AL10" s="1">
        <f>IF(IF(uxb_works!$B$46=1,tblCategories_2014!AL10,tblCategories_2017!AL10)="","",IF(uxb_works!$B$46=1,tblCategories_2014!AL10,tblCategories_2017!AL10))</f>
        <v>0</v>
      </c>
      <c r="AM10" s="1">
        <f>IF(IF(uxb_works!$B$46=1,tblCategories_2014!AM10,tblCategories_2017!AM10)="","",IF(uxb_works!$B$46=1,tblCategories_2014!AM10,tblCategories_2017!AM10))</f>
        <v>0</v>
      </c>
      <c r="AN10" s="1">
        <f>IF(IF(uxb_works!$B$46=1,tblCategories_2014!AN10,tblCategories_2017!AN10)="","",IF(uxb_works!$B$46=1,tblCategories_2014!AN10,tblCategories_2017!AN10))</f>
        <v>0</v>
      </c>
      <c r="AO10" s="1">
        <f>IF(IF(uxb_works!$B$46=1,tblCategories_2014!AO10,tblCategories_2017!AO10)="","",IF(uxb_works!$B$46=1,tblCategories_2014!AO10,tblCategories_2017!AO10))</f>
        <v>0</v>
      </c>
      <c r="AP10" s="1">
        <f>IF(IF(uxb_works!$B$46=1,tblCategories_2014!AP10,tblCategories_2017!AP10)="","",IF(uxb_works!$B$46=1,tblCategories_2014!AP10,tblCategories_2017!AP10))</f>
        <v>0</v>
      </c>
      <c r="AQ10" s="1">
        <f>IF(IF(uxb_works!$B$46=1,tblCategories_2014!AQ10,tblCategories_2017!AQ10)="","",IF(uxb_works!$B$46=1,tblCategories_2014!AQ10,tblCategories_2017!AQ10))</f>
        <v>0</v>
      </c>
      <c r="AR10" s="1">
        <f>IF(IF(uxb_works!$B$46=1,tblCategories_2014!AR10,tblCategories_2017!AR10)="","",IF(uxb_works!$B$46=1,tblCategories_2014!AR10,tblCategories_2017!AR10))</f>
        <v>0</v>
      </c>
      <c r="AS10" s="1">
        <f>IF(IF(uxb_works!$B$46=1,tblCategories_2014!AS10,tblCategories_2017!AS10)="","",IF(uxb_works!$B$46=1,tblCategories_2014!AS10,tblCategories_2017!AS10))</f>
        <v>0</v>
      </c>
    </row>
    <row r="11" ht="12.75" spans="1:45">
      <c r="A11" s="1">
        <f>IF(IF(uxb_works!$B$46=1,tblCategories_2014!A11,tblCategories_2017!A11)="","",IF(uxb_works!$B$46=1,tblCategories_2014!A11,tblCategories_2017!A11))</f>
        <v>9</v>
      </c>
      <c r="B11" s="1" t="str">
        <f>IF(IF(uxb_works!$B$46=1,tblCategories_2014!B11,tblCategories_2017!B11)="","",IF(uxb_works!$B$46=1,tblCategories_2014!B11,tblCategories_2017!B11))</f>
        <v/>
      </c>
      <c r="C11" s="57" t="str">
        <f>IF(IF(uxb_works!$B$46=1,tblCategories_2014!C11,tblCategories_2017!C11)="","",IF(uxb_works!$B$46=1,tblCategories_2014!C11,tblCategories_2017!C11))</f>
        <v>1.2.1) Frequency of identity theft</v>
      </c>
      <c r="D11" s="1" t="str">
        <f>IF(IF(uxb_works!$B$46=1,tblCategories_2014!D11,tblCategories_2017!D11)="","",IF(uxb_works!$B$46=1,tblCategories_2014!D11,tblCategories_2017!D11))</f>
        <v>1.2.1) Frequency of identity theft</v>
      </c>
      <c r="E11" s="1" t="str">
        <f>IF(IF(uxb_works!$B$46=1,tblCategories_2014!E11,tblCategories_2017!E11)="","",IF(uxb_works!$B$46=1,tblCategories_2014!E11,tblCategories_2017!E11))</f>
        <v/>
      </c>
      <c r="F11" s="23">
        <f>IF(IF(uxb_works!$B$46=1,tblCategories_2014!F11,tblCategories_2017!F11)="","",IF(uxb_works!$B$46=1,tblCategories_2014!F11,tblCategories_2017!F11))</f>
        <v>1</v>
      </c>
      <c r="G11" s="32" t="str">
        <f>IF(IF(uxb_works!$B$46=1,tblCategories_2014!G11,tblCategories_2017!G11)="","",IF(uxb_works!$B$46=1,tblCategories_2014!G11,tblCategories_2017!G11))</f>
        <v/>
      </c>
      <c r="H11" s="1" t="str">
        <f>IF(IF(uxb_works!$B$46=1,tblCategories_2014!H11,tblCategories_2017!H11)="","",IF(uxb_works!$B$46=1,tblCategories_2014!H11,tblCategories_2017!H11))</f>
        <v/>
      </c>
      <c r="I11" s="23" t="str">
        <f>IF(IF(uxb_works!$B$46=1,tblCategories_2014!I11,tblCategories_2017!I11)="","",IF(uxb_works!$B$46=1,tblCategories_2014!I11,tblCategories_2017!I11))</f>
        <v/>
      </c>
      <c r="J11" s="1" t="str">
        <f>IF(IF(uxb_works!$B$46=1,tblCategories_2014!J11,tblCategories_2017!J11)="","",IF(uxb_works!$B$46=1,tblCategories_2014!J11,tblCategories_2017!J11))</f>
        <v/>
      </c>
      <c r="K11" s="1" t="str">
        <f>IF(IF(uxb_works!$B$46=1,tblCategories_2014!K12,tblCategories_2017!K11)="","",IF(uxb_works!$B$46=1,tblCategories_2014!K12,tblCategories_2017!K11))</f>
        <v>  3.2) Infrastructure security (Outputs)</v>
      </c>
      <c r="L11" s="1">
        <f>IF(IF(uxb_works!$B$46=1,tblCategories_2014!L11,tblCategories_2017!L11)="","",IF(uxb_works!$B$46=1,tblCategories_2014!L11,tblCategories_2017!L11))</f>
        <v>1</v>
      </c>
      <c r="M11" s="1">
        <f>IF(IF(uxb_works!$B$46=1,tblCategories_2014!M11,tblCategories_2017!M11)="","",IF(uxb_works!$B$46=1,tblCategories_2014!M11,tblCategories_2017!M11))</f>
        <v>1</v>
      </c>
      <c r="N11" s="1">
        <f>IF(IF(uxb_works!$B$46=1,tblCategories_2014!N11,tblCategories_2017!N11)="","",IF(uxb_works!$B$46=1,tblCategories_2014!N11,tblCategories_2017!N11))</f>
        <v>1</v>
      </c>
      <c r="O11" s="1">
        <f>IF(IF(uxb_works!$B$46=1,tblCategories_2014!O11,tblCategories_2017!O11)="","",IF(uxb_works!$B$46=1,tblCategories_2014!O11,tblCategories_2017!O11))</f>
        <v>0</v>
      </c>
      <c r="P11" s="1">
        <f>IF(IF(uxb_works!$B$46=1,tblCategories_2014!P11,tblCategories_2017!P11)="","",IF(uxb_works!$B$46=1,tblCategories_2014!P11,tblCategories_2017!P11))</f>
        <v>1</v>
      </c>
      <c r="Q11" s="1">
        <f>IF(IF(uxb_works!$B$46=1,tblCategories_2014!Q11,tblCategories_2017!Q11)="","",IF(uxb_works!$B$46=1,tblCategories_2014!Q11,tblCategories_2017!Q11))</f>
        <v>0</v>
      </c>
      <c r="R11" s="1">
        <f>IF(IF(uxb_works!$B$46=1,tblCategories_2014!R11,tblCategories_2017!R11)="","",IF(uxb_works!$B$46=1,tblCategories_2014!R11,tblCategories_2017!R11))</f>
        <v>0</v>
      </c>
      <c r="S11" s="1">
        <f>IF(IF(uxb_works!$B$46=1,tblCategories_2014!S11,tblCategories_2017!S11)="","",IF(uxb_works!$B$46=1,tblCategories_2014!S11,tblCategories_2017!S11))</f>
        <v>0</v>
      </c>
      <c r="T11" s="1">
        <f>IF(IF(uxb_works!$B$46=1,tblCategories_2014!T11,tblCategories_2017!T11)="","",IF(uxb_works!$B$46=1,tblCategories_2014!T11,tblCategories_2017!T11))</f>
        <v>0</v>
      </c>
      <c r="U11" s="1">
        <f>IF(IF(uxb_works!$B$46=1,tblCategories_2014!U11,tblCategories_2017!U11)="","",IF(uxb_works!$B$46=1,tblCategories_2014!U11,tblCategories_2017!U11))</f>
        <v>0</v>
      </c>
      <c r="V11" s="1">
        <f>IF(IF(uxb_works!$B$46=1,tblCategories_2014!V11,tblCategories_2017!V11)="","",IF(uxb_works!$B$46=1,tblCategories_2014!V11,tblCategories_2017!V11))</f>
        <v>0</v>
      </c>
      <c r="W11" s="1">
        <f>IF(IF(uxb_works!$B$46=1,tblCategories_2014!W11,tblCategories_2017!W11)="","",IF(uxb_works!$B$46=1,tblCategories_2014!W11,tblCategories_2017!W11))</f>
        <v>0</v>
      </c>
      <c r="X11" s="1">
        <f>IF(IF(uxb_works!$B$46=1,tblCategories_2014!X11,tblCategories_2017!X11)="","",IF(uxb_works!$B$46=1,tblCategories_2014!X11,tblCategories_2017!X11))</f>
        <v>0</v>
      </c>
      <c r="Y11" s="1">
        <f>IF(IF(uxb_works!$B$46=1,tblCategories_2014!Y11,tblCategories_2017!Y11)="","",IF(uxb_works!$B$46=1,tblCategories_2014!Y11,tblCategories_2017!Y11))</f>
        <v>0</v>
      </c>
      <c r="Z11" s="1" t="str">
        <f>IF(IF(uxb_works!$B$46=1,tblCategories_2014!Z11,tblCategories_2017!Z11)="","",IF(uxb_works!$B$46=1,tblCategories_2014!Z11,tblCategories_2017!Z11))</f>
        <v/>
      </c>
      <c r="AA11" s="53" t="str">
        <f>IF(IF(uxb_works!$B$46=1,tblCategories_2014!AA11,tblCategories_2017!AA11)="","",IF(uxb_works!$B$46=1,tblCategories_2014!AA11,tblCategories_2017!AA11))</f>
        <v/>
      </c>
      <c r="AB11" s="20" t="str">
        <f>IF(IF(uxb_works!$B$46=1,tblCategories_2014!AB11,tblCategories_2017!AB11)="","",IF(uxb_works!$B$46=1,tblCategories_2014!AB11,tblCategories_2017!AB11))</f>
        <v/>
      </c>
      <c r="AC11" s="23">
        <f>IF(IF(uxb_works!$B$46=1,tblCategories_2014!AC11,tblCategories_2017!AC11)="","",IF(uxb_works!$B$46=1,tblCategories_2014!AC11,tblCategories_2017!AC11))</f>
        <v>0</v>
      </c>
      <c r="AD11" s="1" t="str">
        <f>IF(IF(uxb_works!$B$46=1,tblCategories_2014!AD11,tblCategories_2017!AD11)="","",IF(uxb_works!$B$46=1,tblCategories_2014!AD11,tblCategories_2017!AD11))</f>
        <v/>
      </c>
      <c r="AF11" s="1">
        <f>IF(IF(uxb_works!$B$46=1,tblCategories_2014!AF11,tblCategories_2017!AF11)="","",IF(uxb_works!$B$46=1,tblCategories_2014!AF11,tblCategories_2017!AF11))</f>
        <v>1</v>
      </c>
      <c r="AG11" s="1">
        <f>IF(IF(uxb_works!$B$46=1,tblCategories_2014!AG11,tblCategories_2017!AG11)="","",IF(uxb_works!$B$46=1,tblCategories_2014!AG11,tblCategories_2017!AG11))</f>
        <v>0</v>
      </c>
      <c r="AH11" s="1">
        <f>IF(IF(uxb_works!$B$46=1,tblCategories_2014!AH11,tblCategories_2017!AH11)="","",IF(uxb_works!$B$46=1,tblCategories_2014!AH11,tblCategories_2017!AH11))</f>
        <v>0</v>
      </c>
      <c r="AI11" s="1">
        <f>IF(IF(uxb_works!$B$46=1,tblCategories_2014!AI11,tblCategories_2017!AI11)="","",IF(uxb_works!$B$46=1,tblCategories_2014!AI11,tblCategories_2017!AI11))</f>
        <v>0</v>
      </c>
      <c r="AJ11" s="1">
        <f>IF(IF(uxb_works!$B$46=1,tblCategories_2014!AJ11,tblCategories_2017!AJ11)="","",IF(uxb_works!$B$46=1,tblCategories_2014!AJ11,tblCategories_2017!AJ11))</f>
        <v>1</v>
      </c>
      <c r="AK11" s="1">
        <f>IF(IF(uxb_works!$B$46=1,tblCategories_2014!AK11,tblCategories_2017!AK11)="","",IF(uxb_works!$B$46=1,tblCategories_2014!AK11,tblCategories_2017!AK11))</f>
        <v>0</v>
      </c>
      <c r="AL11" s="1">
        <f>IF(IF(uxb_works!$B$46=1,tblCategories_2014!AL11,tblCategories_2017!AL11)="","",IF(uxb_works!$B$46=1,tblCategories_2014!AL11,tblCategories_2017!AL11))</f>
        <v>0</v>
      </c>
      <c r="AM11" s="1">
        <f>IF(IF(uxb_works!$B$46=1,tblCategories_2014!AM11,tblCategories_2017!AM11)="","",IF(uxb_works!$B$46=1,tblCategories_2014!AM11,tblCategories_2017!AM11))</f>
        <v>0</v>
      </c>
      <c r="AN11" s="1">
        <f>IF(IF(uxb_works!$B$46=1,tblCategories_2014!AN11,tblCategories_2017!AN11)="","",IF(uxb_works!$B$46=1,tblCategories_2014!AN11,tblCategories_2017!AN11))</f>
        <v>0</v>
      </c>
      <c r="AO11" s="1">
        <f>IF(IF(uxb_works!$B$46=1,tblCategories_2014!AO11,tblCategories_2017!AO11)="","",IF(uxb_works!$B$46=1,tblCategories_2014!AO11,tblCategories_2017!AO11))</f>
        <v>0</v>
      </c>
      <c r="AP11" s="1">
        <f>IF(IF(uxb_works!$B$46=1,tblCategories_2014!AP11,tblCategories_2017!AP11)="","",IF(uxb_works!$B$46=1,tblCategories_2014!AP11,tblCategories_2017!AP11))</f>
        <v>0</v>
      </c>
      <c r="AQ11" s="1">
        <f>IF(IF(uxb_works!$B$46=1,tblCategories_2014!AQ11,tblCategories_2017!AQ11)="","",IF(uxb_works!$B$46=1,tblCategories_2014!AQ11,tblCategories_2017!AQ11))</f>
        <v>0</v>
      </c>
      <c r="AR11" s="1">
        <f>IF(IF(uxb_works!$B$46=1,tblCategories_2014!AR11,tblCategories_2017!AR11)="","",IF(uxb_works!$B$46=1,tblCategories_2014!AR11,tblCategories_2017!AR11))</f>
        <v>0</v>
      </c>
      <c r="AS11" s="1">
        <f>IF(IF(uxb_works!$B$46=1,tblCategories_2014!AS11,tblCategories_2017!AS11)="","",IF(uxb_works!$B$46=1,tblCategories_2014!AS11,tblCategories_2017!AS11))</f>
        <v>0</v>
      </c>
    </row>
    <row r="12" ht="12.75" spans="1:45">
      <c r="A12" s="1">
        <f>IF(IF(uxb_works!$B$46=1,tblCategories_2014!A12,tblCategories_2017!A12)="","",IF(uxb_works!$B$46=1,tblCategories_2014!A12,tblCategories_2017!A12))</f>
        <v>10</v>
      </c>
      <c r="B12" s="1" t="str">
        <f>IF(IF(uxb_works!$B$46=1,tblCategories_2014!B12,tblCategories_2017!B12)="","",IF(uxb_works!$B$46=1,tblCategories_2014!B12,tblCategories_2017!B12))</f>
        <v/>
      </c>
      <c r="C12" s="57" t="str">
        <f>IF(IF(uxb_works!$B$46=1,tblCategories_2014!C12,tblCategories_2017!C12)="","",IF(uxb_works!$B$46=1,tblCategories_2014!C12,tblCategories_2017!C12))</f>
        <v>1.2.2) Percentage of computers infected</v>
      </c>
      <c r="D12" s="1" t="str">
        <f>IF(IF(uxb_works!$B$46=1,tblCategories_2014!D12,tblCategories_2017!D12)="","",IF(uxb_works!$B$46=1,tblCategories_2014!D12,tblCategories_2017!D12))</f>
        <v>1.2.2) Percentage of computers infected</v>
      </c>
      <c r="E12" s="1" t="str">
        <f>IF(IF(uxb_works!$B$46=1,tblCategories_2014!E12,tblCategories_2017!E12)="","",IF(uxb_works!$B$46=1,tblCategories_2014!E12,tblCategories_2017!E12))</f>
        <v/>
      </c>
      <c r="F12" s="23">
        <f>IF(IF(uxb_works!$B$46=1,tblCategories_2014!F12,tblCategories_2017!F12)="","",IF(uxb_works!$B$46=1,tblCategories_2014!F12,tblCategories_2017!F12))</f>
        <v>1</v>
      </c>
      <c r="G12" s="32" t="str">
        <f>IF(IF(uxb_works!$B$46=1,tblCategories_2014!G12,tblCategories_2017!G12)="","",IF(uxb_works!$B$46=1,tblCategories_2014!G12,tblCategories_2017!G12))</f>
        <v/>
      </c>
      <c r="H12" s="1" t="str">
        <f>IF(IF(uxb_works!$B$46=1,tblCategories_2014!H12,tblCategories_2017!H12)="","",IF(uxb_works!$B$46=1,tblCategories_2014!H12,tblCategories_2017!H12))</f>
        <v/>
      </c>
      <c r="I12" s="23" t="str">
        <f>IF(IF(uxb_works!$B$46=1,tblCategories_2014!I12,tblCategories_2017!I12)="","",IF(uxb_works!$B$46=1,tblCategories_2014!I12,tblCategories_2017!I12))</f>
        <v/>
      </c>
      <c r="J12" s="1" t="str">
        <f>IF(IF(uxb_works!$B$46=1,tblCategories_2014!J12,tblCategories_2017!J12)="","",IF(uxb_works!$B$46=1,tblCategories_2014!J12,tblCategories_2017!J12))</f>
        <v/>
      </c>
      <c r="K12" s="1" t="str">
        <f>IF(IF(uxb_works!$B$46=1,tblCategories_2014!K13,tblCategories_2017!K12)="","",IF(uxb_works!$B$46=1,tblCategories_2014!K13,tblCategories_2017!K12))</f>
        <v> 4) PERSONAL SECURITY</v>
      </c>
      <c r="L12" s="1">
        <f>IF(IF(uxb_works!$B$46=1,tblCategories_2014!L12,tblCategories_2017!L12)="","",IF(uxb_works!$B$46=1,tblCategories_2014!L12,tblCategories_2017!L12))</f>
        <v>1</v>
      </c>
      <c r="M12" s="1">
        <f>IF(IF(uxb_works!$B$46=1,tblCategories_2014!M12,tblCategories_2017!M12)="","",IF(uxb_works!$B$46=1,tblCategories_2014!M12,tblCategories_2017!M12))</f>
        <v>1</v>
      </c>
      <c r="N12" s="1">
        <f>IF(IF(uxb_works!$B$46=1,tblCategories_2014!N12,tblCategories_2017!N12)="","",IF(uxb_works!$B$46=1,tblCategories_2014!N12,tblCategories_2017!N12))</f>
        <v>1</v>
      </c>
      <c r="O12" s="1">
        <f>IF(IF(uxb_works!$B$46=1,tblCategories_2014!O12,tblCategories_2017!O12)="","",IF(uxb_works!$B$46=1,tblCategories_2014!O12,tblCategories_2017!O12))</f>
        <v>0</v>
      </c>
      <c r="P12" s="1">
        <f>IF(IF(uxb_works!$B$46=1,tblCategories_2014!P12,tblCategories_2017!P12)="","",IF(uxb_works!$B$46=1,tblCategories_2014!P12,tblCategories_2017!P12))</f>
        <v>1</v>
      </c>
      <c r="Q12" s="1">
        <f>IF(IF(uxb_works!$B$46=1,tblCategories_2014!Q12,tblCategories_2017!Q12)="","",IF(uxb_works!$B$46=1,tblCategories_2014!Q12,tblCategories_2017!Q12))</f>
        <v>0</v>
      </c>
      <c r="R12" s="1">
        <f>IF(IF(uxb_works!$B$46=1,tblCategories_2014!R12,tblCategories_2017!R12)="","",IF(uxb_works!$B$46=1,tblCategories_2014!R12,tblCategories_2017!R12))</f>
        <v>0</v>
      </c>
      <c r="S12" s="1">
        <f>IF(IF(uxb_works!$B$46=1,tblCategories_2014!S12,tblCategories_2017!S12)="","",IF(uxb_works!$B$46=1,tblCategories_2014!S12,tblCategories_2017!S12))</f>
        <v>0</v>
      </c>
      <c r="T12" s="1">
        <f>IF(IF(uxb_works!$B$46=1,tblCategories_2014!T12,tblCategories_2017!T12)="","",IF(uxb_works!$B$46=1,tblCategories_2014!T12,tblCategories_2017!T12))</f>
        <v>0</v>
      </c>
      <c r="U12" s="1">
        <f>IF(IF(uxb_works!$B$46=1,tblCategories_2014!U12,tblCategories_2017!U12)="","",IF(uxb_works!$B$46=1,tblCategories_2014!U12,tblCategories_2017!U12))</f>
        <v>0</v>
      </c>
      <c r="V12" s="1">
        <f>IF(IF(uxb_works!$B$46=1,tblCategories_2014!V12,tblCategories_2017!V12)="","",IF(uxb_works!$B$46=1,tblCategories_2014!V12,tblCategories_2017!V12))</f>
        <v>0</v>
      </c>
      <c r="W12" s="1">
        <f>IF(IF(uxb_works!$B$46=1,tblCategories_2014!W12,tblCategories_2017!W12)="","",IF(uxb_works!$B$46=1,tblCategories_2014!W12,tblCategories_2017!W12))</f>
        <v>0</v>
      </c>
      <c r="X12" s="1">
        <f>IF(IF(uxb_works!$B$46=1,tblCategories_2014!X12,tblCategories_2017!X12)="","",IF(uxb_works!$B$46=1,tblCategories_2014!X12,tblCategories_2017!X12))</f>
        <v>0</v>
      </c>
      <c r="Y12" s="1">
        <f>IF(IF(uxb_works!$B$46=1,tblCategories_2014!Y12,tblCategories_2017!Y12)="","",IF(uxb_works!$B$46=1,tblCategories_2014!Y12,tblCategories_2017!Y12))</f>
        <v>0</v>
      </c>
      <c r="Z12" s="1" t="str">
        <f>IF(IF(uxb_works!$B$46=1,tblCategories_2014!Z12,tblCategories_2017!Z12)="","",IF(uxb_works!$B$46=1,tblCategories_2014!Z12,tblCategories_2017!Z12))</f>
        <v/>
      </c>
      <c r="AA12" s="53" t="str">
        <f>IF(IF(uxb_works!$B$46=1,tblCategories_2014!AA12,tblCategories_2017!AA12)="","",IF(uxb_works!$B$46=1,tblCategories_2014!AA12,tblCategories_2017!AA12))</f>
        <v/>
      </c>
      <c r="AB12" s="20" t="str">
        <f>IF(IF(uxb_works!$B$46=1,tblCategories_2014!AB12,tblCategories_2017!AB12)="","",IF(uxb_works!$B$46=1,tblCategories_2014!AB12,tblCategories_2017!AB12))</f>
        <v/>
      </c>
      <c r="AC12" s="23">
        <f>IF(IF(uxb_works!$B$46=1,tblCategories_2014!AC12,tblCategories_2017!AC12)="","",IF(uxb_works!$B$46=1,tblCategories_2014!AC12,tblCategories_2017!AC12))</f>
        <v>0</v>
      </c>
      <c r="AD12" s="1" t="str">
        <f>IF(IF(uxb_works!$B$46=1,tblCategories_2014!AD12,tblCategories_2017!AD12)="","",IF(uxb_works!$B$46=1,tblCategories_2014!AD12,tblCategories_2017!AD12))</f>
        <v/>
      </c>
      <c r="AF12" s="1">
        <f>IF(IF(uxb_works!$B$46=1,tblCategories_2014!AF12,tblCategories_2017!AF12)="","",IF(uxb_works!$B$46=1,tblCategories_2014!AF12,tblCategories_2017!AF12))</f>
        <v>1</v>
      </c>
      <c r="AG12" s="1">
        <f>IF(IF(uxb_works!$B$46=1,tblCategories_2014!AG12,tblCategories_2017!AG12)="","",IF(uxb_works!$B$46=1,tblCategories_2014!AG12,tblCategories_2017!AG12))</f>
        <v>0</v>
      </c>
      <c r="AH12" s="1">
        <f>IF(IF(uxb_works!$B$46=1,tblCategories_2014!AH12,tblCategories_2017!AH12)="","",IF(uxb_works!$B$46=1,tblCategories_2014!AH12,tblCategories_2017!AH12))</f>
        <v>0</v>
      </c>
      <c r="AI12" s="1">
        <f>IF(IF(uxb_works!$B$46=1,tblCategories_2014!AI12,tblCategories_2017!AI12)="","",IF(uxb_works!$B$46=1,tblCategories_2014!AI12,tblCategories_2017!AI12))</f>
        <v>0</v>
      </c>
      <c r="AJ12" s="1">
        <f>IF(IF(uxb_works!$B$46=1,tblCategories_2014!AJ12,tblCategories_2017!AJ12)="","",IF(uxb_works!$B$46=1,tblCategories_2014!AJ12,tblCategories_2017!AJ12))</f>
        <v>1</v>
      </c>
      <c r="AK12" s="1">
        <f>IF(IF(uxb_works!$B$46=1,tblCategories_2014!AK12,tblCategories_2017!AK12)="","",IF(uxb_works!$B$46=1,tblCategories_2014!AK12,tblCategories_2017!AK12))</f>
        <v>0</v>
      </c>
      <c r="AL12" s="1">
        <f>IF(IF(uxb_works!$B$46=1,tblCategories_2014!AL12,tblCategories_2017!AL12)="","",IF(uxb_works!$B$46=1,tblCategories_2014!AL12,tblCategories_2017!AL12))</f>
        <v>0</v>
      </c>
      <c r="AM12" s="1">
        <f>IF(IF(uxb_works!$B$46=1,tblCategories_2014!AM12,tblCategories_2017!AM12)="","",IF(uxb_works!$B$46=1,tblCategories_2014!AM12,tblCategories_2017!AM12))</f>
        <v>0</v>
      </c>
      <c r="AN12" s="1">
        <f>IF(IF(uxb_works!$B$46=1,tblCategories_2014!AN12,tblCategories_2017!AN12)="","",IF(uxb_works!$B$46=1,tblCategories_2014!AN12,tblCategories_2017!AN12))</f>
        <v>0</v>
      </c>
      <c r="AO12" s="1">
        <f>IF(IF(uxb_works!$B$46=1,tblCategories_2014!AO12,tblCategories_2017!AO12)="","",IF(uxb_works!$B$46=1,tblCategories_2014!AO12,tblCategories_2017!AO12))</f>
        <v>0</v>
      </c>
      <c r="AP12" s="1">
        <f>IF(IF(uxb_works!$B$46=1,tblCategories_2014!AP12,tblCategories_2017!AP12)="","",IF(uxb_works!$B$46=1,tblCategories_2014!AP12,tblCategories_2017!AP12))</f>
        <v>0</v>
      </c>
      <c r="AQ12" s="1">
        <f>IF(IF(uxb_works!$B$46=1,tblCategories_2014!AQ12,tblCategories_2017!AQ12)="","",IF(uxb_works!$B$46=1,tblCategories_2014!AQ12,tblCategories_2017!AQ12))</f>
        <v>0</v>
      </c>
      <c r="AR12" s="1">
        <f>IF(IF(uxb_works!$B$46=1,tblCategories_2014!AR12,tblCategories_2017!AR12)="","",IF(uxb_works!$B$46=1,tblCategories_2014!AR12,tblCategories_2017!AR12))</f>
        <v>0</v>
      </c>
      <c r="AS12" s="1">
        <f>IF(IF(uxb_works!$B$46=1,tblCategories_2014!AS12,tblCategories_2017!AS12)="","",IF(uxb_works!$B$46=1,tblCategories_2014!AS12,tblCategories_2017!AS12))</f>
        <v>0</v>
      </c>
    </row>
    <row r="13" ht="12.75" spans="1:45">
      <c r="A13" s="1">
        <f>IF(IF(uxb_works!$B$46=1,tblCategories_2014!A13,tblCategories_2017!A13)="","",IF(uxb_works!$B$46=1,tblCategories_2014!A13,tblCategories_2017!A13))</f>
        <v>11</v>
      </c>
      <c r="B13" s="1" t="str">
        <f>IF(IF(uxb_works!$B$46=1,tblCategories_2014!B13,tblCategories_2017!B13)="","",IF(uxb_works!$B$46=1,tblCategories_2014!B13,tblCategories_2017!B13))</f>
        <v/>
      </c>
      <c r="C13" s="57" t="str">
        <f>IF(IF(uxb_works!$B$46=1,tblCategories_2014!C13,tblCategories_2017!C13)="","",IF(uxb_works!$B$46=1,tblCategories_2014!C13,tblCategories_2017!C13))</f>
        <v>1.2.3) Percentage with Internet access</v>
      </c>
      <c r="D13" s="1" t="str">
        <f>IF(IF(uxb_works!$B$46=1,tblCategories_2014!D13,tblCategories_2017!D13)="","",IF(uxb_works!$B$46=1,tblCategories_2014!D13,tblCategories_2017!D13))</f>
        <v>1.2.3) Percentage with Internet access</v>
      </c>
      <c r="E13" s="1" t="str">
        <f>IF(IF(uxb_works!$B$46=1,tblCategories_2014!E13,tblCategories_2017!E13)="","",IF(uxb_works!$B$46=1,tblCategories_2014!E13,tblCategories_2017!E13))</f>
        <v/>
      </c>
      <c r="F13" s="23">
        <f>IF(IF(uxb_works!$B$46=1,tblCategories_2014!F13,tblCategories_2017!F13)="","",IF(uxb_works!$B$46=1,tblCategories_2014!F13,tblCategories_2017!F13))</f>
        <v>1</v>
      </c>
      <c r="G13" s="32" t="str">
        <f>IF(IF(uxb_works!$B$46=1,tblCategories_2014!G13,tblCategories_2017!G13)="","",IF(uxb_works!$B$46=1,tblCategories_2014!G13,tblCategories_2017!G13))</f>
        <v/>
      </c>
      <c r="H13" s="1" t="str">
        <f>IF(IF(uxb_works!$B$46=1,tblCategories_2014!H13,tblCategories_2017!H13)="","",IF(uxb_works!$B$46=1,tblCategories_2014!H13,tblCategories_2017!H13))</f>
        <v/>
      </c>
      <c r="I13" s="23" t="str">
        <f>IF(IF(uxb_works!$B$46=1,tblCategories_2014!I13,tblCategories_2017!I13)="","",IF(uxb_works!$B$46=1,tblCategories_2014!I13,tblCategories_2017!I13))</f>
        <v/>
      </c>
      <c r="J13" s="1" t="str">
        <f>IF(IF(uxb_works!$B$46=1,tblCategories_2014!J13,tblCategories_2017!J13)="","",IF(uxb_works!$B$46=1,tblCategories_2014!J13,tblCategories_2017!J13))</f>
        <v/>
      </c>
      <c r="K13" s="1" t="str">
        <f>IF(IF(uxb_works!$B$46=1,tblCategories_2014!K14,tblCategories_2017!K13)="","",IF(uxb_works!$B$46=1,tblCategories_2014!K14,tblCategories_2017!K13))</f>
        <v>  4.1) Personal security (Inputs)</v>
      </c>
      <c r="L13" s="1">
        <f>IF(IF(uxb_works!$B$46=1,tblCategories_2014!L13,tblCategories_2017!L13)="","",IF(uxb_works!$B$46=1,tblCategories_2014!L13,tblCategories_2017!L13))</f>
        <v>1</v>
      </c>
      <c r="M13" s="1">
        <f>IF(IF(uxb_works!$B$46=1,tblCategories_2014!M13,tblCategories_2017!M13)="","",IF(uxb_works!$B$46=1,tblCategories_2014!M13,tblCategories_2017!M13))</f>
        <v>1</v>
      </c>
      <c r="N13" s="1">
        <f>IF(IF(uxb_works!$B$46=1,tblCategories_2014!N13,tblCategories_2017!N13)="","",IF(uxb_works!$B$46=1,tblCategories_2014!N13,tblCategories_2017!N13))</f>
        <v>1</v>
      </c>
      <c r="O13" s="1">
        <f>IF(IF(uxb_works!$B$46=1,tblCategories_2014!O13,tblCategories_2017!O13)="","",IF(uxb_works!$B$46=1,tblCategories_2014!O13,tblCategories_2017!O13))</f>
        <v>0</v>
      </c>
      <c r="P13" s="1">
        <f>IF(IF(uxb_works!$B$46=1,tblCategories_2014!P13,tblCategories_2017!P13)="","",IF(uxb_works!$B$46=1,tblCategories_2014!P13,tblCategories_2017!P13))</f>
        <v>1</v>
      </c>
      <c r="Q13" s="1">
        <f>IF(IF(uxb_works!$B$46=1,tblCategories_2014!Q13,tblCategories_2017!Q13)="","",IF(uxb_works!$B$46=1,tblCategories_2014!Q13,tblCategories_2017!Q13))</f>
        <v>0</v>
      </c>
      <c r="R13" s="1">
        <f>IF(IF(uxb_works!$B$46=1,tblCategories_2014!R13,tblCategories_2017!R13)="","",IF(uxb_works!$B$46=1,tblCategories_2014!R13,tblCategories_2017!R13))</f>
        <v>0</v>
      </c>
      <c r="S13" s="1">
        <f>IF(IF(uxb_works!$B$46=1,tblCategories_2014!S13,tblCategories_2017!S13)="","",IF(uxb_works!$B$46=1,tblCategories_2014!S13,tblCategories_2017!S13))</f>
        <v>0</v>
      </c>
      <c r="T13" s="1">
        <f>IF(IF(uxb_works!$B$46=1,tblCategories_2014!T13,tblCategories_2017!T13)="","",IF(uxb_works!$B$46=1,tblCategories_2014!T13,tblCategories_2017!T13))</f>
        <v>0</v>
      </c>
      <c r="U13" s="1">
        <f>IF(IF(uxb_works!$B$46=1,tblCategories_2014!U13,tblCategories_2017!U13)="","",IF(uxb_works!$B$46=1,tblCategories_2014!U13,tblCategories_2017!U13))</f>
        <v>0</v>
      </c>
      <c r="V13" s="1">
        <f>IF(IF(uxb_works!$B$46=1,tblCategories_2014!V13,tblCategories_2017!V13)="","",IF(uxb_works!$B$46=1,tblCategories_2014!V13,tblCategories_2017!V13))</f>
        <v>0</v>
      </c>
      <c r="W13" s="1">
        <f>IF(IF(uxb_works!$B$46=1,tblCategories_2014!W13,tblCategories_2017!W13)="","",IF(uxb_works!$B$46=1,tblCategories_2014!W13,tblCategories_2017!W13))</f>
        <v>0</v>
      </c>
      <c r="X13" s="1">
        <f>IF(IF(uxb_works!$B$46=1,tblCategories_2014!X13,tblCategories_2017!X13)="","",IF(uxb_works!$B$46=1,tblCategories_2014!X13,tblCategories_2017!X13))</f>
        <v>0</v>
      </c>
      <c r="Y13" s="1">
        <f>IF(IF(uxb_works!$B$46=1,tblCategories_2014!Y13,tblCategories_2017!Y13)="","",IF(uxb_works!$B$46=1,tblCategories_2014!Y13,tblCategories_2017!Y13))</f>
        <v>0</v>
      </c>
      <c r="Z13" s="1" t="str">
        <f>IF(IF(uxb_works!$B$46=1,tblCategories_2014!Z13,tblCategories_2017!Z13)="","",IF(uxb_works!$B$46=1,tblCategories_2014!Z13,tblCategories_2017!Z13))</f>
        <v/>
      </c>
      <c r="AA13" s="53" t="str">
        <f>IF(IF(uxb_works!$B$46=1,tblCategories_2014!AA13,tblCategories_2017!AA13)="","",IF(uxb_works!$B$46=1,tblCategories_2014!AA13,tblCategories_2017!AA13))</f>
        <v/>
      </c>
      <c r="AB13" s="20" t="str">
        <f>IF(IF(uxb_works!$B$46=1,tblCategories_2014!AB13,tblCategories_2017!AB13)="","",IF(uxb_works!$B$46=1,tblCategories_2014!AB13,tblCategories_2017!AB13))</f>
        <v/>
      </c>
      <c r="AC13" s="23">
        <f>IF(IF(uxb_works!$B$46=1,tblCategories_2014!AC13,tblCategories_2017!AC13)="","",IF(uxb_works!$B$46=1,tblCategories_2014!AC13,tblCategories_2017!AC13))</f>
        <v>0</v>
      </c>
      <c r="AD13" s="1" t="str">
        <f>IF(IF(uxb_works!$B$46=1,tblCategories_2014!AD13,tblCategories_2017!AD13)="","",IF(uxb_works!$B$46=1,tblCategories_2014!AD13,tblCategories_2017!AD13))</f>
        <v/>
      </c>
      <c r="AF13" s="1">
        <f>IF(IF(uxb_works!$B$46=1,tblCategories_2014!AF13,tblCategories_2017!AF13)="","",IF(uxb_works!$B$46=1,tblCategories_2014!AF13,tblCategories_2017!AF13))</f>
        <v>1</v>
      </c>
      <c r="AG13" s="1">
        <f>IF(IF(uxb_works!$B$46=1,tblCategories_2014!AG13,tblCategories_2017!AG13)="","",IF(uxb_works!$B$46=1,tblCategories_2014!AG13,tblCategories_2017!AG13))</f>
        <v>0</v>
      </c>
      <c r="AH13" s="1">
        <f>IF(IF(uxb_works!$B$46=1,tblCategories_2014!AH13,tblCategories_2017!AH13)="","",IF(uxb_works!$B$46=1,tblCategories_2014!AH13,tblCategories_2017!AH13))</f>
        <v>0</v>
      </c>
      <c r="AI13" s="1">
        <f>IF(IF(uxb_works!$B$46=1,tblCategories_2014!AI13,tblCategories_2017!AI13)="","",IF(uxb_works!$B$46=1,tblCategories_2014!AI13,tblCategories_2017!AI13))</f>
        <v>0</v>
      </c>
      <c r="AJ13" s="1">
        <f>IF(IF(uxb_works!$B$46=1,tblCategories_2014!AJ13,tblCategories_2017!AJ13)="","",IF(uxb_works!$B$46=1,tblCategories_2014!AJ13,tblCategories_2017!AJ13))</f>
        <v>1</v>
      </c>
      <c r="AK13" s="1">
        <f>IF(IF(uxb_works!$B$46=1,tblCategories_2014!AK13,tblCategories_2017!AK13)="","",IF(uxb_works!$B$46=1,tblCategories_2014!AK13,tblCategories_2017!AK13))</f>
        <v>0</v>
      </c>
      <c r="AL13" s="1">
        <f>IF(IF(uxb_works!$B$46=1,tblCategories_2014!AL13,tblCategories_2017!AL13)="","",IF(uxb_works!$B$46=1,tblCategories_2014!AL13,tblCategories_2017!AL13))</f>
        <v>0</v>
      </c>
      <c r="AM13" s="1">
        <f>IF(IF(uxb_works!$B$46=1,tblCategories_2014!AM13,tblCategories_2017!AM13)="","",IF(uxb_works!$B$46=1,tblCategories_2014!AM13,tblCategories_2017!AM13))</f>
        <v>0</v>
      </c>
      <c r="AN13" s="1">
        <f>IF(IF(uxb_works!$B$46=1,tblCategories_2014!AN13,tblCategories_2017!AN13)="","",IF(uxb_works!$B$46=1,tblCategories_2014!AN13,tblCategories_2017!AN13))</f>
        <v>0</v>
      </c>
      <c r="AO13" s="1">
        <f>IF(IF(uxb_works!$B$46=1,tblCategories_2014!AO13,tblCategories_2017!AO13)="","",IF(uxb_works!$B$46=1,tblCategories_2014!AO13,tblCategories_2017!AO13))</f>
        <v>0</v>
      </c>
      <c r="AP13" s="1">
        <f>IF(IF(uxb_works!$B$46=1,tblCategories_2014!AP13,tblCategories_2017!AP13)="","",IF(uxb_works!$B$46=1,tblCategories_2014!AP13,tblCategories_2017!AP13))</f>
        <v>0</v>
      </c>
      <c r="AQ13" s="1">
        <f>IF(IF(uxb_works!$B$46=1,tblCategories_2014!AQ13,tblCategories_2017!AQ13)="","",IF(uxb_works!$B$46=1,tblCategories_2014!AQ13,tblCategories_2017!AQ13))</f>
        <v>0</v>
      </c>
      <c r="AR13" s="1">
        <f>IF(IF(uxb_works!$B$46=1,tblCategories_2014!AR13,tblCategories_2017!AR13)="","",IF(uxb_works!$B$46=1,tblCategories_2014!AR13,tblCategories_2017!AR13))</f>
        <v>0</v>
      </c>
      <c r="AS13" s="1">
        <f>IF(IF(uxb_works!$B$46=1,tblCategories_2014!AS13,tblCategories_2017!AS13)="","",IF(uxb_works!$B$46=1,tblCategories_2014!AS13,tblCategories_2017!AS13))</f>
        <v>0</v>
      </c>
    </row>
    <row r="14" ht="12.75" spans="1:45">
      <c r="A14" s="1">
        <f>IF(IF(uxb_works!$B$46=1,tblCategories_2014!A14,tblCategories_2017!A14)="","",IF(uxb_works!$B$46=1,tblCategories_2014!A14,tblCategories_2017!A14))</f>
        <v>12</v>
      </c>
      <c r="B14" s="1" t="str">
        <f>IF(IF(uxb_works!$B$46=1,tblCategories_2014!B14,tblCategories_2017!B14)="","",IF(uxb_works!$B$46=1,tblCategories_2014!B14,tblCategories_2017!B14))</f>
        <v/>
      </c>
      <c r="C14" s="57" t="str">
        <f>IF(IF(uxb_works!$B$46=1,tblCategories_2014!C14,tblCategories_2017!C14)="","",IF(uxb_works!$B$46=1,tblCategories_2014!C14,tblCategories_2017!C14))</f>
        <v>2) HEALTH SECURITY</v>
      </c>
      <c r="D14" s="1" t="str">
        <f>IF(IF(uxb_works!$B$46=1,tblCategories_2014!D14,tblCategories_2017!D14)="","",IF(uxb_works!$B$46=1,tblCategories_2014!D14,tblCategories_2017!D14))</f>
        <v>2) HEALTH SECURITY</v>
      </c>
      <c r="E14" s="1" t="str">
        <f>IF(IF(uxb_works!$B$46=1,tblCategories_2014!E14,tblCategories_2017!E14)="","",IF(uxb_works!$B$46=1,tblCategories_2014!E14,tblCategories_2017!E14))</f>
        <v/>
      </c>
      <c r="F14" s="23">
        <f>IF(IF(uxb_works!$B$46=1,tblCategories_2014!F14,tblCategories_2017!F14)="","",IF(uxb_works!$B$46=1,tblCategories_2014!F14,tblCategories_2017!F14))</f>
        <v>1</v>
      </c>
      <c r="G14" s="32" t="str">
        <f>IF(IF(uxb_works!$B$46=1,tblCategories_2014!G14,tblCategories_2017!G14)="","",IF(uxb_works!$B$46=1,tblCategories_2014!G14,tblCategories_2017!G14))</f>
        <v/>
      </c>
      <c r="H14" s="1" t="str">
        <f>IF(IF(uxb_works!$B$46=1,tblCategories_2014!H14,tblCategories_2017!H14)="","",IF(uxb_works!$B$46=1,tblCategories_2014!H14,tblCategories_2017!H14))</f>
        <v/>
      </c>
      <c r="I14" s="23" t="str">
        <f>IF(IF(uxb_works!$B$46=1,tblCategories_2014!I14,tblCategories_2017!I14)="","",IF(uxb_works!$B$46=1,tblCategories_2014!I14,tblCategories_2017!I14))</f>
        <v/>
      </c>
      <c r="J14" s="1" t="str">
        <f>IF(IF(uxb_works!$B$46=1,tblCategories_2014!J14,tblCategories_2017!J14)="","",IF(uxb_works!$B$46=1,tblCategories_2014!J14,tblCategories_2017!J14))</f>
        <v/>
      </c>
      <c r="K14" s="1" t="str">
        <f>IF(IF(uxb_works!$B$46=1,tblCategories_2014!K15,tblCategories_2017!K14)="","",IF(uxb_works!$B$46=1,tblCategories_2014!K15,tblCategories_2017!K14))</f>
        <v>  4.2) Personal security (Outputs)</v>
      </c>
      <c r="L14" s="1">
        <f>IF(IF(uxb_works!$B$46=1,tblCategories_2014!L14,tblCategories_2017!L14)="","",IF(uxb_works!$B$46=1,tblCategories_2014!L14,tblCategories_2017!L14))</f>
        <v>1</v>
      </c>
      <c r="M14" s="1">
        <f>IF(IF(uxb_works!$B$46=1,tblCategories_2014!M14,tblCategories_2017!M14)="","",IF(uxb_works!$B$46=1,tblCategories_2014!M14,tblCategories_2017!M14))</f>
        <v>1</v>
      </c>
      <c r="N14" s="1">
        <f>IF(IF(uxb_works!$B$46=1,tblCategories_2014!N14,tblCategories_2017!N14)="","",IF(uxb_works!$B$46=1,tblCategories_2014!N14,tblCategories_2017!N14))</f>
        <v>0</v>
      </c>
      <c r="O14" s="1">
        <f>IF(IF(uxb_works!$B$46=1,tblCategories_2014!O14,tblCategories_2017!O14)="","",IF(uxb_works!$B$46=1,tblCategories_2014!O14,tblCategories_2017!O14))</f>
        <v>0</v>
      </c>
      <c r="P14" s="1">
        <f>IF(IF(uxb_works!$B$46=1,tblCategories_2014!P14,tblCategories_2017!P14)="","",IF(uxb_works!$B$46=1,tblCategories_2014!P14,tblCategories_2017!P14))</f>
        <v>0</v>
      </c>
      <c r="Q14" s="1">
        <f>IF(IF(uxb_works!$B$46=1,tblCategories_2014!Q14,tblCategories_2017!Q14)="","",IF(uxb_works!$B$46=1,tblCategories_2014!Q14,tblCategories_2017!Q14))</f>
        <v>1</v>
      </c>
      <c r="R14" s="1">
        <f>IF(IF(uxb_works!$B$46=1,tblCategories_2014!R14,tblCategories_2017!R14)="","",IF(uxb_works!$B$46=1,tblCategories_2014!R14,tblCategories_2017!R14))</f>
        <v>0</v>
      </c>
      <c r="S14" s="1">
        <f>IF(IF(uxb_works!$B$46=1,tblCategories_2014!S14,tblCategories_2017!S14)="","",IF(uxb_works!$B$46=1,tblCategories_2014!S14,tblCategories_2017!S14))</f>
        <v>0</v>
      </c>
      <c r="T14" s="1">
        <f>IF(IF(uxb_works!$B$46=1,tblCategories_2014!T14,tblCategories_2017!T14)="","",IF(uxb_works!$B$46=1,tblCategories_2014!T14,tblCategories_2017!T14))</f>
        <v>0</v>
      </c>
      <c r="U14" s="1">
        <f>IF(IF(uxb_works!$B$46=1,tblCategories_2014!U14,tblCategories_2017!U14)="","",IF(uxb_works!$B$46=1,tblCategories_2014!U14,tblCategories_2017!U14))</f>
        <v>0</v>
      </c>
      <c r="V14" s="1">
        <f>IF(IF(uxb_works!$B$46=1,tblCategories_2014!V14,tblCategories_2017!V14)="","",IF(uxb_works!$B$46=1,tblCategories_2014!V14,tblCategories_2017!V14))</f>
        <v>0</v>
      </c>
      <c r="W14" s="1">
        <f>IF(IF(uxb_works!$B$46=1,tblCategories_2014!W14,tblCategories_2017!W14)="","",IF(uxb_works!$B$46=1,tblCategories_2014!W14,tblCategories_2017!W14))</f>
        <v>0</v>
      </c>
      <c r="X14" s="1">
        <f>IF(IF(uxb_works!$B$46=1,tblCategories_2014!X14,tblCategories_2017!X14)="","",IF(uxb_works!$B$46=1,tblCategories_2014!X14,tblCategories_2017!X14))</f>
        <v>0</v>
      </c>
      <c r="Y14" s="1">
        <f>IF(IF(uxb_works!$B$46=1,tblCategories_2014!Y14,tblCategories_2017!Y14)="","",IF(uxb_works!$B$46=1,tblCategories_2014!Y14,tblCategories_2017!Y14))</f>
        <v>0</v>
      </c>
      <c r="Z14" s="1" t="str">
        <f>IF(IF(uxb_works!$B$46=1,tblCategories_2014!Z14,tblCategories_2017!Z14)="","",IF(uxb_works!$B$46=1,tblCategories_2014!Z14,tblCategories_2017!Z14))</f>
        <v/>
      </c>
      <c r="AA14" s="53" t="str">
        <f>IF(IF(uxb_works!$B$46=1,tblCategories_2014!AA14,tblCategories_2017!AA14)="","",IF(uxb_works!$B$46=1,tblCategories_2014!AA14,tblCategories_2017!AA14))</f>
        <v/>
      </c>
      <c r="AB14" s="20" t="str">
        <f>IF(IF(uxb_works!$B$46=1,tblCategories_2014!AB14,tblCategories_2017!AB14)="","",IF(uxb_works!$B$46=1,tblCategories_2014!AB14,tblCategories_2017!AB14))</f>
        <v/>
      </c>
      <c r="AC14" s="23">
        <f>IF(IF(uxb_works!$B$46=1,tblCategories_2014!AC14,tblCategories_2017!AC14)="","",IF(uxb_works!$B$46=1,tblCategories_2014!AC14,tblCategories_2017!AC14))</f>
        <v>1</v>
      </c>
      <c r="AD14" s="1" t="str">
        <f>IF(IF(uxb_works!$B$46=1,tblCategories_2014!AD14,tblCategories_2017!AD14)="","",IF(uxb_works!$B$46=1,tblCategories_2014!AD14,tblCategories_2017!AD14))</f>
        <v/>
      </c>
      <c r="AF14" s="1">
        <f>IF(IF(uxb_works!$B$46=1,tblCategories_2014!AF14,tblCategories_2017!AF14)="","",IF(uxb_works!$B$46=1,tblCategories_2014!AF14,tblCategories_2017!AF14))</f>
        <v>1</v>
      </c>
      <c r="AG14" s="1">
        <f>IF(IF(uxb_works!$B$46=1,tblCategories_2014!AG14,tblCategories_2017!AG14)="","",IF(uxb_works!$B$46=1,tblCategories_2014!AG14,tblCategories_2017!AG14))</f>
        <v>1</v>
      </c>
      <c r="AH14" s="1">
        <f>IF(IF(uxb_works!$B$46=1,tblCategories_2014!AH14,tblCategories_2017!AH14)="","",IF(uxb_works!$B$46=1,tblCategories_2014!AH14,tblCategories_2017!AH14))</f>
        <v>0</v>
      </c>
      <c r="AI14" s="1">
        <f>IF(IF(uxb_works!$B$46=1,tblCategories_2014!AI14,tblCategories_2017!AI14)="","",IF(uxb_works!$B$46=1,tblCategories_2014!AI14,tblCategories_2017!AI14))</f>
        <v>0</v>
      </c>
      <c r="AJ14" s="1">
        <f>IF(IF(uxb_works!$B$46=1,tblCategories_2014!AJ14,tblCategories_2017!AJ14)="","",IF(uxb_works!$B$46=1,tblCategories_2014!AJ14,tblCategories_2017!AJ14))</f>
        <v>0</v>
      </c>
      <c r="AK14" s="1">
        <f>IF(IF(uxb_works!$B$46=1,tblCategories_2014!AK14,tblCategories_2017!AK14)="","",IF(uxb_works!$B$46=1,tblCategories_2014!AK14,tblCategories_2017!AK14))</f>
        <v>0</v>
      </c>
      <c r="AL14" s="1">
        <f>IF(IF(uxb_works!$B$46=1,tblCategories_2014!AL14,tblCategories_2017!AL14)="","",IF(uxb_works!$B$46=1,tblCategories_2014!AL14,tblCategories_2017!AL14))</f>
        <v>0</v>
      </c>
      <c r="AM14" s="1">
        <f>IF(IF(uxb_works!$B$46=1,tblCategories_2014!AM14,tblCategories_2017!AM14)="","",IF(uxb_works!$B$46=1,tblCategories_2014!AM14,tblCategories_2017!AM14))</f>
        <v>0</v>
      </c>
      <c r="AN14" s="1">
        <f>IF(IF(uxb_works!$B$46=1,tblCategories_2014!AN14,tblCategories_2017!AN14)="","",IF(uxb_works!$B$46=1,tblCategories_2014!AN14,tblCategories_2017!AN14))</f>
        <v>0</v>
      </c>
      <c r="AO14" s="1">
        <f>IF(IF(uxb_works!$B$46=1,tblCategories_2014!AO14,tblCategories_2017!AO14)="","",IF(uxb_works!$B$46=1,tblCategories_2014!AO14,tblCategories_2017!AO14))</f>
        <v>0</v>
      </c>
      <c r="AP14" s="1">
        <f>IF(IF(uxb_works!$B$46=1,tblCategories_2014!AP14,tblCategories_2017!AP14)="","",IF(uxb_works!$B$46=1,tblCategories_2014!AP14,tblCategories_2017!AP14))</f>
        <v>0</v>
      </c>
      <c r="AQ14" s="1">
        <f>IF(IF(uxb_works!$B$46=1,tblCategories_2014!AQ14,tblCategories_2017!AQ14)="","",IF(uxb_works!$B$46=1,tblCategories_2014!AQ14,tblCategories_2017!AQ14))</f>
        <v>0</v>
      </c>
      <c r="AR14" s="1">
        <f>IF(IF(uxb_works!$B$46=1,tblCategories_2014!AR14,tblCategories_2017!AR14)="","",IF(uxb_works!$B$46=1,tblCategories_2014!AR14,tblCategories_2017!AR14))</f>
        <v>0</v>
      </c>
      <c r="AS14" s="1">
        <f>IF(IF(uxb_works!$B$46=1,tblCategories_2014!AS14,tblCategories_2017!AS14)="","",IF(uxb_works!$B$46=1,tblCategories_2014!AS14,tblCategories_2017!AS14))</f>
        <v>0</v>
      </c>
    </row>
    <row r="15" ht="12.75" spans="1:45">
      <c r="A15" s="1">
        <f>IF(IF(uxb_works!$B$46=1,tblCategories_2014!A15,tblCategories_2017!A15)="","",IF(uxb_works!$B$46=1,tblCategories_2014!A15,tblCategories_2017!A15))</f>
        <v>13</v>
      </c>
      <c r="B15" s="1" t="str">
        <f>IF(IF(uxb_works!$B$46=1,tblCategories_2014!B15,tblCategories_2017!B15)="","",IF(uxb_works!$B$46=1,tblCategories_2014!B15,tblCategories_2017!B15))</f>
        <v/>
      </c>
      <c r="C15" s="57" t="str">
        <f>IF(IF(uxb_works!$B$46=1,tblCategories_2014!C15,tblCategories_2017!C15)="","",IF(uxb_works!$B$46=1,tblCategories_2014!C15,tblCategories_2017!C15))</f>
        <v>2.1) Health security (Inputs)</v>
      </c>
      <c r="D15" s="1" t="str">
        <f>IF(IF(uxb_works!$B$46=1,tblCategories_2014!D15,tblCategories_2017!D15)="","",IF(uxb_works!$B$46=1,tblCategories_2014!D15,tblCategories_2017!D15))</f>
        <v>2.1) Health security (Inputs)</v>
      </c>
      <c r="E15" s="1" t="str">
        <f>IF(IF(uxb_works!$B$46=1,tblCategories_2014!E15,tblCategories_2017!E15)="","",IF(uxb_works!$B$46=1,tblCategories_2014!E15,tblCategories_2017!E15))</f>
        <v/>
      </c>
      <c r="F15" s="23">
        <f>IF(IF(uxb_works!$B$46=1,tblCategories_2014!F15,tblCategories_2017!F15)="","",IF(uxb_works!$B$46=1,tblCategories_2014!F15,tblCategories_2017!F15))</f>
        <v>1</v>
      </c>
      <c r="G15" s="32" t="str">
        <f>IF(IF(uxb_works!$B$46=1,tblCategories_2014!G15,tblCategories_2017!G15)="","",IF(uxb_works!$B$46=1,tblCategories_2014!G15,tblCategories_2017!G15))</f>
        <v/>
      </c>
      <c r="H15" s="1" t="str">
        <f>IF(IF(uxb_works!$B$46=1,tblCategories_2014!H15,tblCategories_2017!H15)="","",IF(uxb_works!$B$46=1,tblCategories_2014!H15,tblCategories_2017!H15))</f>
        <v/>
      </c>
      <c r="I15" s="23" t="str">
        <f>IF(IF(uxb_works!$B$46=1,tblCategories_2014!I15,tblCategories_2017!I15)="","",IF(uxb_works!$B$46=1,tblCategories_2014!I15,tblCategories_2017!I15))</f>
        <v/>
      </c>
      <c r="J15" s="1" t="str">
        <f>IF(IF(uxb_works!$B$46=1,tblCategories_2014!J15,tblCategories_2017!J15)="","",IF(uxb_works!$B$46=1,tblCategories_2014!J15,tblCategories_2017!J15))</f>
        <v/>
      </c>
      <c r="K15" s="1" t="str">
        <f>IF(IF(uxb_works!$B$46=1,tblCategories_2014!K16,tblCategories_2017!K15)="","",IF(uxb_works!$B$46=1,tblCategories_2014!K16,tblCategories_2017!K15))</f>
        <v/>
      </c>
      <c r="L15" s="1">
        <f>IF(IF(uxb_works!$B$46=1,tblCategories_2014!L15,tblCategories_2017!L15)="","",IF(uxb_works!$B$46=1,tblCategories_2014!L15,tblCategories_2017!L15))</f>
        <v>1</v>
      </c>
      <c r="M15" s="1">
        <f>IF(IF(uxb_works!$B$46=1,tblCategories_2014!M15,tblCategories_2017!M15)="","",IF(uxb_works!$B$46=1,tblCategories_2014!M15,tblCategories_2017!M15))</f>
        <v>1</v>
      </c>
      <c r="N15" s="1">
        <f>IF(IF(uxb_works!$B$46=1,tblCategories_2014!N15,tblCategories_2017!N15)="","",IF(uxb_works!$B$46=1,tblCategories_2014!N15,tblCategories_2017!N15))</f>
        <v>0</v>
      </c>
      <c r="O15" s="1">
        <f>IF(IF(uxb_works!$B$46=1,tblCategories_2014!O15,tblCategories_2017!O15)="","",IF(uxb_works!$B$46=1,tblCategories_2014!O15,tblCategories_2017!O15))</f>
        <v>0</v>
      </c>
      <c r="P15" s="1">
        <f>IF(IF(uxb_works!$B$46=1,tblCategories_2014!P15,tblCategories_2017!P15)="","",IF(uxb_works!$B$46=1,tblCategories_2014!P15,tblCategories_2017!P15))</f>
        <v>0</v>
      </c>
      <c r="Q15" s="1">
        <f>IF(IF(uxb_works!$B$46=1,tblCategories_2014!Q15,tblCategories_2017!Q15)="","",IF(uxb_works!$B$46=1,tblCategories_2014!Q15,tblCategories_2017!Q15))</f>
        <v>1</v>
      </c>
      <c r="R15" s="1">
        <f>IF(IF(uxb_works!$B$46=1,tblCategories_2014!R15,tblCategories_2017!R15)="","",IF(uxb_works!$B$46=1,tblCategories_2014!R15,tblCategories_2017!R15))</f>
        <v>0</v>
      </c>
      <c r="S15" s="1">
        <f>IF(IF(uxb_works!$B$46=1,tblCategories_2014!S15,tblCategories_2017!S15)="","",IF(uxb_works!$B$46=1,tblCategories_2014!S15,tblCategories_2017!S15))</f>
        <v>0</v>
      </c>
      <c r="T15" s="1">
        <f>IF(IF(uxb_works!$B$46=1,tblCategories_2014!T15,tblCategories_2017!T15)="","",IF(uxb_works!$B$46=1,tblCategories_2014!T15,tblCategories_2017!T15))</f>
        <v>0</v>
      </c>
      <c r="U15" s="1">
        <f>IF(IF(uxb_works!$B$46=1,tblCategories_2014!U15,tblCategories_2017!U15)="","",IF(uxb_works!$B$46=1,tblCategories_2014!U15,tblCategories_2017!U15))</f>
        <v>0</v>
      </c>
      <c r="V15" s="1">
        <f>IF(IF(uxb_works!$B$46=1,tblCategories_2014!V15,tblCategories_2017!V15)="","",IF(uxb_works!$B$46=1,tblCategories_2014!V15,tblCategories_2017!V15))</f>
        <v>0</v>
      </c>
      <c r="W15" s="1">
        <f>IF(IF(uxb_works!$B$46=1,tblCategories_2014!W15,tblCategories_2017!W15)="","",IF(uxb_works!$B$46=1,tblCategories_2014!W15,tblCategories_2017!W15))</f>
        <v>0</v>
      </c>
      <c r="X15" s="1">
        <f>IF(IF(uxb_works!$B$46=1,tblCategories_2014!X15,tblCategories_2017!X15)="","",IF(uxb_works!$B$46=1,tblCategories_2014!X15,tblCategories_2017!X15))</f>
        <v>0</v>
      </c>
      <c r="Y15" s="1">
        <f>IF(IF(uxb_works!$B$46=1,tblCategories_2014!Y15,tblCategories_2017!Y15)="","",IF(uxb_works!$B$46=1,tblCategories_2014!Y15,tblCategories_2017!Y15))</f>
        <v>0</v>
      </c>
      <c r="Z15" s="1" t="str">
        <f>IF(IF(uxb_works!$B$46=1,tblCategories_2014!Z15,tblCategories_2017!Z15)="","",IF(uxb_works!$B$46=1,tblCategories_2014!Z15,tblCategories_2017!Z15))</f>
        <v/>
      </c>
      <c r="AA15" s="53" t="str">
        <f>IF(IF(uxb_works!$B$46=1,tblCategories_2014!AA15,tblCategories_2017!AA15)="","",IF(uxb_works!$B$46=1,tblCategories_2014!AA15,tblCategories_2017!AA15))</f>
        <v/>
      </c>
      <c r="AB15" s="20" t="str">
        <f>IF(IF(uxb_works!$B$46=1,tblCategories_2014!AB15,tblCategories_2017!AB15)="","",IF(uxb_works!$B$46=1,tblCategories_2014!AB15,tblCategories_2017!AB15))</f>
        <v/>
      </c>
      <c r="AC15" s="23">
        <f>IF(IF(uxb_works!$B$46=1,tblCategories_2014!AC15,tblCategories_2017!AC15)="","",IF(uxb_works!$B$46=1,tblCategories_2014!AC15,tblCategories_2017!AC15))</f>
        <v>0</v>
      </c>
      <c r="AD15" s="1" t="str">
        <f>IF(IF(uxb_works!$B$46=1,tblCategories_2014!AD15,tblCategories_2017!AD15)="","",IF(uxb_works!$B$46=1,tblCategories_2014!AD15,tblCategories_2017!AD15))</f>
        <v/>
      </c>
      <c r="AF15" s="1">
        <f>IF(IF(uxb_works!$B$46=1,tblCategories_2014!AF15,tblCategories_2017!AF15)="","",IF(uxb_works!$B$46=1,tblCategories_2014!AF15,tblCategories_2017!AF15))</f>
        <v>1</v>
      </c>
      <c r="AG15" s="1">
        <f>IF(IF(uxb_works!$B$46=1,tblCategories_2014!AG15,tblCategories_2017!AG15)="","",IF(uxb_works!$B$46=1,tblCategories_2014!AG15,tblCategories_2017!AG15))</f>
        <v>0</v>
      </c>
      <c r="AH15" s="1">
        <f>IF(IF(uxb_works!$B$46=1,tblCategories_2014!AH15,tblCategories_2017!AH15)="","",IF(uxb_works!$B$46=1,tblCategories_2014!AH15,tblCategories_2017!AH15))</f>
        <v>0</v>
      </c>
      <c r="AI15" s="1">
        <f>IF(IF(uxb_works!$B$46=1,tblCategories_2014!AI15,tblCategories_2017!AI15)="","",IF(uxb_works!$B$46=1,tblCategories_2014!AI15,tblCategories_2017!AI15))</f>
        <v>0</v>
      </c>
      <c r="AJ15" s="1">
        <f>IF(IF(uxb_works!$B$46=1,tblCategories_2014!AJ15,tblCategories_2017!AJ15)="","",IF(uxb_works!$B$46=1,tblCategories_2014!AJ15,tblCategories_2017!AJ15))</f>
        <v>0</v>
      </c>
      <c r="AK15" s="1">
        <f>IF(IF(uxb_works!$B$46=1,tblCategories_2014!AK15,tblCategories_2017!AK15)="","",IF(uxb_works!$B$46=1,tblCategories_2014!AK15,tblCategories_2017!AK15))</f>
        <v>1</v>
      </c>
      <c r="AL15" s="1">
        <f>IF(IF(uxb_works!$B$46=1,tblCategories_2014!AL15,tblCategories_2017!AL15)="","",IF(uxb_works!$B$46=1,tblCategories_2014!AL15,tblCategories_2017!AL15))</f>
        <v>0</v>
      </c>
      <c r="AM15" s="1">
        <f>IF(IF(uxb_works!$B$46=1,tblCategories_2014!AM15,tblCategories_2017!AM15)="","",IF(uxb_works!$B$46=1,tblCategories_2014!AM15,tblCategories_2017!AM15))</f>
        <v>0</v>
      </c>
      <c r="AN15" s="1">
        <f>IF(IF(uxb_works!$B$46=1,tblCategories_2014!AN15,tblCategories_2017!AN15)="","",IF(uxb_works!$B$46=1,tblCategories_2014!AN15,tblCategories_2017!AN15))</f>
        <v>0</v>
      </c>
      <c r="AO15" s="1">
        <f>IF(IF(uxb_works!$B$46=1,tblCategories_2014!AO15,tblCategories_2017!AO15)="","",IF(uxb_works!$B$46=1,tblCategories_2014!AO15,tblCategories_2017!AO15))</f>
        <v>0</v>
      </c>
      <c r="AP15" s="1">
        <f>IF(IF(uxb_works!$B$46=1,tblCategories_2014!AP15,tblCategories_2017!AP15)="","",IF(uxb_works!$B$46=1,tblCategories_2014!AP15,tblCategories_2017!AP15))</f>
        <v>0</v>
      </c>
      <c r="AQ15" s="1">
        <f>IF(IF(uxb_works!$B$46=1,tblCategories_2014!AQ15,tblCategories_2017!AQ15)="","",IF(uxb_works!$B$46=1,tblCategories_2014!AQ15,tblCategories_2017!AQ15))</f>
        <v>0</v>
      </c>
      <c r="AR15" s="1">
        <f>IF(IF(uxb_works!$B$46=1,tblCategories_2014!AR15,tblCategories_2017!AR15)="","",IF(uxb_works!$B$46=1,tblCategories_2014!AR15,tblCategories_2017!AR15))</f>
        <v>0</v>
      </c>
      <c r="AS15" s="1">
        <f>IF(IF(uxb_works!$B$46=1,tblCategories_2014!AS15,tblCategories_2017!AS15)="","",IF(uxb_works!$B$46=1,tblCategories_2014!AS15,tblCategories_2017!AS15))</f>
        <v>0</v>
      </c>
    </row>
    <row r="16" ht="12.75" spans="1:45">
      <c r="A16" s="1">
        <f>IF(IF(uxb_works!$B$46=1,tblCategories_2014!A16,tblCategories_2017!A16)="","",IF(uxb_works!$B$46=1,tblCategories_2014!A16,tblCategories_2017!A16))</f>
        <v>14</v>
      </c>
      <c r="B16" s="1" t="str">
        <f>IF(IF(uxb_works!$B$46=1,tblCategories_2014!B16,tblCategories_2017!B16)="","",IF(uxb_works!$B$46=1,tblCategories_2014!B16,tblCategories_2017!B16))</f>
        <v/>
      </c>
      <c r="C16" s="57" t="str">
        <f>IF(IF(uxb_works!$B$46=1,tblCategories_2014!C16,tblCategories_2017!C16)="","",IF(uxb_works!$B$46=1,tblCategories_2014!C16,tblCategories_2017!C16))</f>
        <v>2.1.1) Environmental policies</v>
      </c>
      <c r="D16" s="1" t="str">
        <f>IF(IF(uxb_works!$B$46=1,tblCategories_2014!D16,tblCategories_2017!D16)="","",IF(uxb_works!$B$46=1,tblCategories_2014!D16,tblCategories_2017!D16))</f>
        <v>2.1.1) Environmental policies</v>
      </c>
      <c r="E16" s="1" t="str">
        <f>IF(IF(uxb_works!$B$46=1,tblCategories_2014!E16,tblCategories_2017!E16)="","",IF(uxb_works!$B$46=1,tblCategories_2014!E16,tblCategories_2017!E16))</f>
        <v/>
      </c>
      <c r="F16" s="23">
        <f>IF(IF(uxb_works!$B$46=1,tblCategories_2014!F16,tblCategories_2017!F16)="","",IF(uxb_works!$B$46=1,tblCategories_2014!F16,tblCategories_2017!F16))</f>
        <v>1</v>
      </c>
      <c r="G16" s="32" t="str">
        <f>IF(IF(uxb_works!$B$46=1,tblCategories_2014!G16,tblCategories_2017!G16)="","",IF(uxb_works!$B$46=1,tblCategories_2014!G16,tblCategories_2017!G16))</f>
        <v/>
      </c>
      <c r="H16" s="1" t="str">
        <f>IF(IF(uxb_works!$B$46=1,tblCategories_2014!H16,tblCategories_2017!H16)="","",IF(uxb_works!$B$46=1,tblCategories_2014!H16,tblCategories_2017!H16))</f>
        <v/>
      </c>
      <c r="I16" s="23" t="str">
        <f>IF(IF(uxb_works!$B$46=1,tblCategories_2014!I16,tblCategories_2017!I16)="","",IF(uxb_works!$B$46=1,tblCategories_2014!I16,tblCategories_2017!I16))</f>
        <v/>
      </c>
      <c r="J16" s="1" t="str">
        <f>IF(IF(uxb_works!$B$46=1,tblCategories_2014!J16,tblCategories_2017!J16)="","",IF(uxb_works!$B$46=1,tblCategories_2014!J16,tblCategories_2017!J16))</f>
        <v/>
      </c>
      <c r="K16" s="1" t="str">
        <f>IF(IF(uxb_works!$B$46=1,tblCategories_2014!K17,tblCategories_2017!K16)="","",IF(uxb_works!$B$46=1,tblCategories_2014!K17,tblCategories_2017!K16))</f>
        <v/>
      </c>
      <c r="L16" s="1">
        <f>IF(IF(uxb_works!$B$46=1,tblCategories_2014!L16,tblCategories_2017!L16)="","",IF(uxb_works!$B$46=1,tblCategories_2014!L16,tblCategories_2017!L16))</f>
        <v>1</v>
      </c>
      <c r="M16" s="1">
        <f>IF(IF(uxb_works!$B$46=1,tblCategories_2014!M16,tblCategories_2017!M16)="","",IF(uxb_works!$B$46=1,tblCategories_2014!M16,tblCategories_2017!M16))</f>
        <v>1</v>
      </c>
      <c r="N16" s="1">
        <f>IF(IF(uxb_works!$B$46=1,tblCategories_2014!N16,tblCategories_2017!N16)="","",IF(uxb_works!$B$46=1,tblCategories_2014!N16,tblCategories_2017!N16))</f>
        <v>0</v>
      </c>
      <c r="O16" s="1">
        <f>IF(IF(uxb_works!$B$46=1,tblCategories_2014!O16,tblCategories_2017!O16)="","",IF(uxb_works!$B$46=1,tblCategories_2014!O16,tblCategories_2017!O16))</f>
        <v>0</v>
      </c>
      <c r="P16" s="1">
        <f>IF(IF(uxb_works!$B$46=1,tblCategories_2014!P16,tblCategories_2017!P16)="","",IF(uxb_works!$B$46=1,tblCategories_2014!P16,tblCategories_2017!P16))</f>
        <v>0</v>
      </c>
      <c r="Q16" s="1">
        <f>IF(IF(uxb_works!$B$46=1,tblCategories_2014!Q16,tblCategories_2017!Q16)="","",IF(uxb_works!$B$46=1,tblCategories_2014!Q16,tblCategories_2017!Q16))</f>
        <v>1</v>
      </c>
      <c r="R16" s="1">
        <f>IF(IF(uxb_works!$B$46=1,tblCategories_2014!R16,tblCategories_2017!R16)="","",IF(uxb_works!$B$46=1,tblCategories_2014!R16,tblCategories_2017!R16))</f>
        <v>1</v>
      </c>
      <c r="S16" s="1">
        <f>IF(IF(uxb_works!$B$46=1,tblCategories_2014!S16,tblCategories_2017!S16)="","",IF(uxb_works!$B$46=1,tblCategories_2014!S16,tblCategories_2017!S16))</f>
        <v>0</v>
      </c>
      <c r="T16" s="1">
        <f>IF(IF(uxb_works!$B$46=1,tblCategories_2014!T16,tblCategories_2017!T16)="","",IF(uxb_works!$B$46=1,tblCategories_2014!T16,tblCategories_2017!T16))</f>
        <v>0</v>
      </c>
      <c r="U16" s="1">
        <f>IF(IF(uxb_works!$B$46=1,tblCategories_2014!U16,tblCategories_2017!U16)="","",IF(uxb_works!$B$46=1,tblCategories_2014!U16,tblCategories_2017!U16))</f>
        <v>0</v>
      </c>
      <c r="V16" s="1">
        <f>IF(IF(uxb_works!$B$46=1,tblCategories_2014!V16,tblCategories_2017!V16)="","",IF(uxb_works!$B$46=1,tblCategories_2014!V16,tblCategories_2017!V16))</f>
        <v>0</v>
      </c>
      <c r="W16" s="1">
        <f>IF(IF(uxb_works!$B$46=1,tblCategories_2014!W16,tblCategories_2017!W16)="","",IF(uxb_works!$B$46=1,tblCategories_2014!W16,tblCategories_2017!W16))</f>
        <v>0</v>
      </c>
      <c r="X16" s="1">
        <f>IF(IF(uxb_works!$B$46=1,tblCategories_2014!X16,tblCategories_2017!X16)="","",IF(uxb_works!$B$46=1,tblCategories_2014!X16,tblCategories_2017!X16))</f>
        <v>0</v>
      </c>
      <c r="Y16" s="1">
        <f>IF(IF(uxb_works!$B$46=1,tblCategories_2014!Y16,tblCategories_2017!Y16)="","",IF(uxb_works!$B$46=1,tblCategories_2014!Y16,tblCategories_2017!Y16))</f>
        <v>0</v>
      </c>
      <c r="Z16" s="1" t="str">
        <f>IF(IF(uxb_works!$B$46=1,tblCategories_2014!Z16,tblCategories_2017!Z16)="","",IF(uxb_works!$B$46=1,tblCategories_2014!Z16,tblCategories_2017!Z16))</f>
        <v/>
      </c>
      <c r="AA16" s="53" t="str">
        <f>IF(IF(uxb_works!$B$46=1,tblCategories_2014!AA16,tblCategories_2017!AA16)="","",IF(uxb_works!$B$46=1,tblCategories_2014!AA16,tblCategories_2017!AA16))</f>
        <v/>
      </c>
      <c r="AB16" s="20" t="str">
        <f>IF(IF(uxb_works!$B$46=1,tblCategories_2014!AB16,tblCategories_2017!AB16)="","",IF(uxb_works!$B$46=1,tblCategories_2014!AB16,tblCategories_2017!AB16))</f>
        <v/>
      </c>
      <c r="AC16" s="23">
        <f>IF(IF(uxb_works!$B$46=1,tblCategories_2014!AC16,tblCategories_2017!AC16)="","",IF(uxb_works!$B$46=1,tblCategories_2014!AC16,tblCategories_2017!AC16))</f>
        <v>0</v>
      </c>
      <c r="AD16" s="1" t="str">
        <f>IF(IF(uxb_works!$B$46=1,tblCategories_2014!AD16,tblCategories_2017!AD16)="","",IF(uxb_works!$B$46=1,tblCategories_2014!AD16,tblCategories_2017!AD16))</f>
        <v/>
      </c>
      <c r="AF16" s="1">
        <f>IF(IF(uxb_works!$B$46=1,tblCategories_2014!AF16,tblCategories_2017!AF16)="","",IF(uxb_works!$B$46=1,tblCategories_2014!AF16,tblCategories_2017!AF16))</f>
        <v>1</v>
      </c>
      <c r="AG16" s="1">
        <f>IF(IF(uxb_works!$B$46=1,tblCategories_2014!AG16,tblCategories_2017!AG16)="","",IF(uxb_works!$B$46=1,tblCategories_2014!AG16,tblCategories_2017!AG16))</f>
        <v>0</v>
      </c>
      <c r="AH16" s="1">
        <f>IF(IF(uxb_works!$B$46=1,tblCategories_2014!AH16,tblCategories_2017!AH16)="","",IF(uxb_works!$B$46=1,tblCategories_2014!AH16,tblCategories_2017!AH16))</f>
        <v>0</v>
      </c>
      <c r="AI16" s="1">
        <f>IF(IF(uxb_works!$B$46=1,tblCategories_2014!AI16,tblCategories_2017!AI16)="","",IF(uxb_works!$B$46=1,tblCategories_2014!AI16,tblCategories_2017!AI16))</f>
        <v>0</v>
      </c>
      <c r="AJ16" s="1">
        <f>IF(IF(uxb_works!$B$46=1,tblCategories_2014!AJ16,tblCategories_2017!AJ16)="","",IF(uxb_works!$B$46=1,tblCategories_2014!AJ16,tblCategories_2017!AJ16))</f>
        <v>0</v>
      </c>
      <c r="AK16" s="1">
        <f>IF(IF(uxb_works!$B$46=1,tblCategories_2014!AK16,tblCategories_2017!AK16)="","",IF(uxb_works!$B$46=1,tblCategories_2014!AK16,tblCategories_2017!AK16))</f>
        <v>0</v>
      </c>
      <c r="AL16" s="1">
        <f>IF(IF(uxb_works!$B$46=1,tblCategories_2014!AL16,tblCategories_2017!AL16)="","",IF(uxb_works!$B$46=1,tblCategories_2014!AL16,tblCategories_2017!AL16))</f>
        <v>1</v>
      </c>
      <c r="AM16" s="1">
        <f>IF(IF(uxb_works!$B$46=1,tblCategories_2014!AM16,tblCategories_2017!AM16)="","",IF(uxb_works!$B$46=1,tblCategories_2014!AM16,tblCategories_2017!AM16))</f>
        <v>0</v>
      </c>
      <c r="AN16" s="1">
        <f>IF(IF(uxb_works!$B$46=1,tblCategories_2014!AN16,tblCategories_2017!AN16)="","",IF(uxb_works!$B$46=1,tblCategories_2014!AN16,tblCategories_2017!AN16))</f>
        <v>0</v>
      </c>
      <c r="AO16" s="1">
        <f>IF(IF(uxb_works!$B$46=1,tblCategories_2014!AO16,tblCategories_2017!AO16)="","",IF(uxb_works!$B$46=1,tblCategories_2014!AO16,tblCategories_2017!AO16))</f>
        <v>0</v>
      </c>
      <c r="AP16" s="1">
        <f>IF(IF(uxb_works!$B$46=1,tblCategories_2014!AP16,tblCategories_2017!AP16)="","",IF(uxb_works!$B$46=1,tblCategories_2014!AP16,tblCategories_2017!AP16))</f>
        <v>0</v>
      </c>
      <c r="AQ16" s="1">
        <f>IF(IF(uxb_works!$B$46=1,tblCategories_2014!AQ16,tblCategories_2017!AQ16)="","",IF(uxb_works!$B$46=1,tblCategories_2014!AQ16,tblCategories_2017!AQ16))</f>
        <v>0</v>
      </c>
      <c r="AR16" s="1">
        <f>IF(IF(uxb_works!$B$46=1,tblCategories_2014!AR16,tblCategories_2017!AR16)="","",IF(uxb_works!$B$46=1,tblCategories_2014!AR16,tblCategories_2017!AR16))</f>
        <v>0</v>
      </c>
      <c r="AS16" s="1">
        <f>IF(IF(uxb_works!$B$46=1,tblCategories_2014!AS16,tblCategories_2017!AS16)="","",IF(uxb_works!$B$46=1,tblCategories_2014!AS16,tblCategories_2017!AS16))</f>
        <v>0</v>
      </c>
    </row>
    <row r="17" ht="12.75" spans="1:45">
      <c r="A17" s="1">
        <f>IF(IF(uxb_works!$B$46=1,tblCategories_2014!A17,tblCategories_2017!A17)="","",IF(uxb_works!$B$46=1,tblCategories_2014!A17,tblCategories_2017!A17))</f>
        <v>15</v>
      </c>
      <c r="B17" s="1" t="str">
        <f>IF(IF(uxb_works!$B$46=1,tblCategories_2014!B17,tblCategories_2017!B17)="","",IF(uxb_works!$B$46=1,tblCategories_2014!B17,tblCategories_2017!B17))</f>
        <v/>
      </c>
      <c r="C17" s="57" t="str">
        <f>IF(IF(uxb_works!$B$46=1,tblCategories_2014!C17,tblCategories_2017!C17)="","",IF(uxb_works!$B$46=1,tblCategories_2014!C17,tblCategories_2017!C17))</f>
        <v>2.1.2) Access to healthcare</v>
      </c>
      <c r="D17" s="1" t="str">
        <f>IF(IF(uxb_works!$B$46=1,tblCategories_2014!D17,tblCategories_2017!D17)="","",IF(uxb_works!$B$46=1,tblCategories_2014!D17,tblCategories_2017!D17))</f>
        <v>2.1.2) Access to healthcare</v>
      </c>
      <c r="E17" s="1" t="str">
        <f>IF(IF(uxb_works!$B$46=1,tblCategories_2014!E17,tblCategories_2017!E17)="","",IF(uxb_works!$B$46=1,tblCategories_2014!E17,tblCategories_2017!E17))</f>
        <v/>
      </c>
      <c r="F17" s="23">
        <f>IF(IF(uxb_works!$B$46=1,tblCategories_2014!F17,tblCategories_2017!F17)="","",IF(uxb_works!$B$46=1,tblCategories_2014!F17,tblCategories_2017!F17))</f>
        <v>1</v>
      </c>
      <c r="G17" s="32" t="str">
        <f>IF(IF(uxb_works!$B$46=1,tblCategories_2014!G17,tblCategories_2017!G17)="","",IF(uxb_works!$B$46=1,tblCategories_2014!G17,tblCategories_2017!G17))</f>
        <v/>
      </c>
      <c r="H17" s="1" t="str">
        <f>IF(IF(uxb_works!$B$46=1,tblCategories_2014!H17,tblCategories_2017!H17)="","",IF(uxb_works!$B$46=1,tblCategories_2014!H17,tblCategories_2017!H17))</f>
        <v/>
      </c>
      <c r="I17" s="23" t="str">
        <f>IF(IF(uxb_works!$B$46=1,tblCategories_2014!I17,tblCategories_2017!I17)="","",IF(uxb_works!$B$46=1,tblCategories_2014!I17,tblCategories_2017!I17))</f>
        <v/>
      </c>
      <c r="J17" s="1" t="str">
        <f>IF(IF(uxb_works!$B$46=1,tblCategories_2014!J17,tblCategories_2017!J17)="","",IF(uxb_works!$B$46=1,tblCategories_2014!J17,tblCategories_2017!J17))</f>
        <v/>
      </c>
      <c r="K17" s="1" t="str">
        <f>IF(IF(uxb_works!$B$46=1,tblCategories_2014!K18,tblCategories_2017!K17)="","",IF(uxb_works!$B$46=1,tblCategories_2014!K18,tblCategories_2017!K17))</f>
        <v/>
      </c>
      <c r="L17" s="1">
        <f>IF(IF(uxb_works!$B$46=1,tblCategories_2014!L17,tblCategories_2017!L17)="","",IF(uxb_works!$B$46=1,tblCategories_2014!L17,tblCategories_2017!L17))</f>
        <v>1</v>
      </c>
      <c r="M17" s="1">
        <f>IF(IF(uxb_works!$B$46=1,tblCategories_2014!M17,tblCategories_2017!M17)="","",IF(uxb_works!$B$46=1,tblCategories_2014!M17,tblCategories_2017!M17))</f>
        <v>1</v>
      </c>
      <c r="N17" s="1">
        <f>IF(IF(uxb_works!$B$46=1,tblCategories_2014!N17,tblCategories_2017!N17)="","",IF(uxb_works!$B$46=1,tblCategories_2014!N17,tblCategories_2017!N17))</f>
        <v>0</v>
      </c>
      <c r="O17" s="1">
        <f>IF(IF(uxb_works!$B$46=1,tblCategories_2014!O17,tblCategories_2017!O17)="","",IF(uxb_works!$B$46=1,tblCategories_2014!O17,tblCategories_2017!O17))</f>
        <v>0</v>
      </c>
      <c r="P17" s="1">
        <f>IF(IF(uxb_works!$B$46=1,tblCategories_2014!P17,tblCategories_2017!P17)="","",IF(uxb_works!$B$46=1,tblCategories_2014!P17,tblCategories_2017!P17))</f>
        <v>0</v>
      </c>
      <c r="Q17" s="1">
        <f>IF(IF(uxb_works!$B$46=1,tblCategories_2014!Q17,tblCategories_2017!Q17)="","",IF(uxb_works!$B$46=1,tblCategories_2014!Q17,tblCategories_2017!Q17))</f>
        <v>1</v>
      </c>
      <c r="R17" s="1">
        <f>IF(IF(uxb_works!$B$46=1,tblCategories_2014!R17,tblCategories_2017!R17)="","",IF(uxb_works!$B$46=1,tblCategories_2014!R17,tblCategories_2017!R17))</f>
        <v>1</v>
      </c>
      <c r="S17" s="1">
        <f>IF(IF(uxb_works!$B$46=1,tblCategories_2014!S17,tblCategories_2017!S17)="","",IF(uxb_works!$B$46=1,tblCategories_2014!S17,tblCategories_2017!S17))</f>
        <v>0</v>
      </c>
      <c r="T17" s="1">
        <f>IF(IF(uxb_works!$B$46=1,tblCategories_2014!T17,tblCategories_2017!T17)="","",IF(uxb_works!$B$46=1,tblCategories_2014!T17,tblCategories_2017!T17))</f>
        <v>0</v>
      </c>
      <c r="U17" s="1">
        <f>IF(IF(uxb_works!$B$46=1,tblCategories_2014!U17,tblCategories_2017!U17)="","",IF(uxb_works!$B$46=1,tblCategories_2014!U17,tblCategories_2017!U17))</f>
        <v>0</v>
      </c>
      <c r="V17" s="1">
        <f>IF(IF(uxb_works!$B$46=1,tblCategories_2014!V17,tblCategories_2017!V17)="","",IF(uxb_works!$B$46=1,tblCategories_2014!V17,tblCategories_2017!V17))</f>
        <v>0</v>
      </c>
      <c r="W17" s="1">
        <f>IF(IF(uxb_works!$B$46=1,tblCategories_2014!W17,tblCategories_2017!W17)="","",IF(uxb_works!$B$46=1,tblCategories_2014!W17,tblCategories_2017!W17))</f>
        <v>0</v>
      </c>
      <c r="X17" s="1">
        <f>IF(IF(uxb_works!$B$46=1,tblCategories_2014!X17,tblCategories_2017!X17)="","",IF(uxb_works!$B$46=1,tblCategories_2014!X17,tblCategories_2017!X17))</f>
        <v>0</v>
      </c>
      <c r="Y17" s="1">
        <f>IF(IF(uxb_works!$B$46=1,tblCategories_2014!Y17,tblCategories_2017!Y17)="","",IF(uxb_works!$B$46=1,tblCategories_2014!Y17,tblCategories_2017!Y17))</f>
        <v>0</v>
      </c>
      <c r="Z17" s="1" t="str">
        <f>IF(IF(uxb_works!$B$46=1,tblCategories_2014!Z17,tblCategories_2017!Z17)="","",IF(uxb_works!$B$46=1,tblCategories_2014!Z17,tblCategories_2017!Z17))</f>
        <v/>
      </c>
      <c r="AA17" s="53" t="str">
        <f>IF(IF(uxb_works!$B$46=1,tblCategories_2014!AA17,tblCategories_2017!AA17)="","",IF(uxb_works!$B$46=1,tblCategories_2014!AA17,tblCategories_2017!AA17))</f>
        <v/>
      </c>
      <c r="AB17" s="20" t="str">
        <f>IF(IF(uxb_works!$B$46=1,tblCategories_2014!AB17,tblCategories_2017!AB17)="","",IF(uxb_works!$B$46=1,tblCategories_2014!AB17,tblCategories_2017!AB17))</f>
        <v/>
      </c>
      <c r="AC17" s="23">
        <f>IF(IF(uxb_works!$B$46=1,tblCategories_2014!AC17,tblCategories_2017!AC17)="","",IF(uxb_works!$B$46=1,tblCategories_2014!AC17,tblCategories_2017!AC17))</f>
        <v>0</v>
      </c>
      <c r="AD17" s="1" t="str">
        <f>IF(IF(uxb_works!$B$46=1,tblCategories_2014!AD17,tblCategories_2017!AD17)="","",IF(uxb_works!$B$46=1,tblCategories_2014!AD17,tblCategories_2017!AD17))</f>
        <v/>
      </c>
      <c r="AF17" s="1">
        <f>IF(IF(uxb_works!$B$46=1,tblCategories_2014!AF17,tblCategories_2017!AF17)="","",IF(uxb_works!$B$46=1,tblCategories_2014!AF17,tblCategories_2017!AF17))</f>
        <v>1</v>
      </c>
      <c r="AG17" s="1">
        <f>IF(IF(uxb_works!$B$46=1,tblCategories_2014!AG17,tblCategories_2017!AG17)="","",IF(uxb_works!$B$46=1,tblCategories_2014!AG17,tblCategories_2017!AG17))</f>
        <v>0</v>
      </c>
      <c r="AH17" s="1">
        <f>IF(IF(uxb_works!$B$46=1,tblCategories_2014!AH17,tblCategories_2017!AH17)="","",IF(uxb_works!$B$46=1,tblCategories_2014!AH17,tblCategories_2017!AH17))</f>
        <v>0</v>
      </c>
      <c r="AI17" s="1">
        <f>IF(IF(uxb_works!$B$46=1,tblCategories_2014!AI17,tblCategories_2017!AI17)="","",IF(uxb_works!$B$46=1,tblCategories_2014!AI17,tblCategories_2017!AI17))</f>
        <v>0</v>
      </c>
      <c r="AJ17" s="1">
        <f>IF(IF(uxb_works!$B$46=1,tblCategories_2014!AJ17,tblCategories_2017!AJ17)="","",IF(uxb_works!$B$46=1,tblCategories_2014!AJ17,tblCategories_2017!AJ17))</f>
        <v>0</v>
      </c>
      <c r="AK17" s="1">
        <f>IF(IF(uxb_works!$B$46=1,tblCategories_2014!AK17,tblCategories_2017!AK17)="","",IF(uxb_works!$B$46=1,tblCategories_2014!AK17,tblCategories_2017!AK17))</f>
        <v>0</v>
      </c>
      <c r="AL17" s="1">
        <f>IF(IF(uxb_works!$B$46=1,tblCategories_2014!AL17,tblCategories_2017!AL17)="","",IF(uxb_works!$B$46=1,tblCategories_2014!AL17,tblCategories_2017!AL17))</f>
        <v>1</v>
      </c>
      <c r="AM17" s="1">
        <f>IF(IF(uxb_works!$B$46=1,tblCategories_2014!AM17,tblCategories_2017!AM17)="","",IF(uxb_works!$B$46=1,tblCategories_2014!AM17,tblCategories_2017!AM17))</f>
        <v>0</v>
      </c>
      <c r="AN17" s="1">
        <f>IF(IF(uxb_works!$B$46=1,tblCategories_2014!AN17,tblCategories_2017!AN17)="","",IF(uxb_works!$B$46=1,tblCategories_2014!AN17,tblCategories_2017!AN17))</f>
        <v>0</v>
      </c>
      <c r="AO17" s="1">
        <f>IF(IF(uxb_works!$B$46=1,tblCategories_2014!AO17,tblCategories_2017!AO17)="","",IF(uxb_works!$B$46=1,tblCategories_2014!AO17,tblCategories_2017!AO17))</f>
        <v>0</v>
      </c>
      <c r="AP17" s="1">
        <f>IF(IF(uxb_works!$B$46=1,tblCategories_2014!AP17,tblCategories_2017!AP17)="","",IF(uxb_works!$B$46=1,tblCategories_2014!AP17,tblCategories_2017!AP17))</f>
        <v>0</v>
      </c>
      <c r="AQ17" s="1">
        <f>IF(IF(uxb_works!$B$46=1,tblCategories_2014!AQ17,tblCategories_2017!AQ17)="","",IF(uxb_works!$B$46=1,tblCategories_2014!AQ17,tblCategories_2017!AQ17))</f>
        <v>0</v>
      </c>
      <c r="AR17" s="1">
        <f>IF(IF(uxb_works!$B$46=1,tblCategories_2014!AR17,tblCategories_2017!AR17)="","",IF(uxb_works!$B$46=1,tblCategories_2014!AR17,tblCategories_2017!AR17))</f>
        <v>0</v>
      </c>
      <c r="AS17" s="1">
        <f>IF(IF(uxb_works!$B$46=1,tblCategories_2014!AS17,tblCategories_2017!AS17)="","",IF(uxb_works!$B$46=1,tblCategories_2014!AS17,tblCategories_2017!AS17))</f>
        <v>0</v>
      </c>
    </row>
    <row r="18" ht="12.75" spans="1:45">
      <c r="A18" s="1">
        <f>IF(IF(uxb_works!$B$46=1,tblCategories_2014!A18,tblCategories_2017!A18)="","",IF(uxb_works!$B$46=1,tblCategories_2014!A18,tblCategories_2017!A18))</f>
        <v>16</v>
      </c>
      <c r="B18" s="1" t="str">
        <f>IF(IF(uxb_works!$B$46=1,tblCategories_2014!B18,tblCategories_2017!B18)="","",IF(uxb_works!$B$46=1,tblCategories_2014!B18,tblCategories_2017!B18))</f>
        <v/>
      </c>
      <c r="C18" s="57" t="str">
        <f>IF(IF(uxb_works!$B$46=1,tblCategories_2014!C18,tblCategories_2017!C18)="","",IF(uxb_works!$B$46=1,tblCategories_2014!C18,tblCategories_2017!C18))</f>
        <v>2.1.3) No. of beds per 1,000</v>
      </c>
      <c r="D18" s="1" t="str">
        <f>IF(IF(uxb_works!$B$46=1,tblCategories_2014!D18,tblCategories_2017!D18)="","",IF(uxb_works!$B$46=1,tblCategories_2014!D18,tblCategories_2017!D18))</f>
        <v>2.1.3) No. of beds per 1,000</v>
      </c>
      <c r="E18" s="1" t="str">
        <f>IF(IF(uxb_works!$B$46=1,tblCategories_2014!E18,tblCategories_2017!E18)="","",IF(uxb_works!$B$46=1,tblCategories_2014!E18,tblCategories_2017!E18))</f>
        <v/>
      </c>
      <c r="F18" s="23">
        <f>IF(IF(uxb_works!$B$46=1,tblCategories_2014!F18,tblCategories_2017!F18)="","",IF(uxb_works!$B$46=1,tblCategories_2014!F18,tblCategories_2017!F18))</f>
        <v>1</v>
      </c>
      <c r="G18" s="32" t="str">
        <f>IF(IF(uxb_works!$B$46=1,tblCategories_2014!G18,tblCategories_2017!G18)="","",IF(uxb_works!$B$46=1,tblCategories_2014!G18,tblCategories_2017!G18))</f>
        <v/>
      </c>
      <c r="H18" s="1" t="str">
        <f>IF(IF(uxb_works!$B$46=1,tblCategories_2014!H18,tblCategories_2017!H18)="","",IF(uxb_works!$B$46=1,tblCategories_2014!H18,tblCategories_2017!H18))</f>
        <v/>
      </c>
      <c r="I18" s="23" t="str">
        <f>IF(IF(uxb_works!$B$46=1,tblCategories_2014!I18,tblCategories_2017!I18)="","",IF(uxb_works!$B$46=1,tblCategories_2014!I18,tblCategories_2017!I18))</f>
        <v/>
      </c>
      <c r="J18" s="1" t="str">
        <f>IF(IF(uxb_works!$B$46=1,tblCategories_2014!J18,tblCategories_2017!J18)="","",IF(uxb_works!$B$46=1,tblCategories_2014!J18,tblCategories_2017!J18))</f>
        <v/>
      </c>
      <c r="K18" s="1" t="str">
        <f>IF(IF(uxb_works!$B$46=1,tblCategories_2014!K19,tblCategories_2017!K18)="","",IF(uxb_works!$B$46=1,tblCategories_2014!K19,tblCategories_2017!K18))</f>
        <v/>
      </c>
      <c r="L18" s="1">
        <f>IF(IF(uxb_works!$B$46=1,tblCategories_2014!L18,tblCategories_2017!L18)="","",IF(uxb_works!$B$46=1,tblCategories_2014!L18,tblCategories_2017!L18))</f>
        <v>1</v>
      </c>
      <c r="M18" s="1">
        <f>IF(IF(uxb_works!$B$46=1,tblCategories_2014!M18,tblCategories_2017!M18)="","",IF(uxb_works!$B$46=1,tblCategories_2014!M18,tblCategories_2017!M18))</f>
        <v>1</v>
      </c>
      <c r="N18" s="1">
        <f>IF(IF(uxb_works!$B$46=1,tblCategories_2014!N18,tblCategories_2017!N18)="","",IF(uxb_works!$B$46=1,tblCategories_2014!N18,tblCategories_2017!N18))</f>
        <v>0</v>
      </c>
      <c r="O18" s="1">
        <f>IF(IF(uxb_works!$B$46=1,tblCategories_2014!O18,tblCategories_2017!O18)="","",IF(uxb_works!$B$46=1,tblCategories_2014!O18,tblCategories_2017!O18))</f>
        <v>0</v>
      </c>
      <c r="P18" s="1">
        <f>IF(IF(uxb_works!$B$46=1,tblCategories_2014!P18,tblCategories_2017!P18)="","",IF(uxb_works!$B$46=1,tblCategories_2014!P18,tblCategories_2017!P18))</f>
        <v>0</v>
      </c>
      <c r="Q18" s="1">
        <f>IF(IF(uxb_works!$B$46=1,tblCategories_2014!Q18,tblCategories_2017!Q18)="","",IF(uxb_works!$B$46=1,tblCategories_2014!Q18,tblCategories_2017!Q18))</f>
        <v>1</v>
      </c>
      <c r="R18" s="1">
        <f>IF(IF(uxb_works!$B$46=1,tblCategories_2014!R18,tblCategories_2017!R18)="","",IF(uxb_works!$B$46=1,tblCategories_2014!R18,tblCategories_2017!R18))</f>
        <v>1</v>
      </c>
      <c r="S18" s="1">
        <f>IF(IF(uxb_works!$B$46=1,tblCategories_2014!S18,tblCategories_2017!S18)="","",IF(uxb_works!$B$46=1,tblCategories_2014!S18,tblCategories_2017!S18))</f>
        <v>0</v>
      </c>
      <c r="T18" s="1">
        <f>IF(IF(uxb_works!$B$46=1,tblCategories_2014!T18,tblCategories_2017!T18)="","",IF(uxb_works!$B$46=1,tblCategories_2014!T18,tblCategories_2017!T18))</f>
        <v>0</v>
      </c>
      <c r="U18" s="1">
        <f>IF(IF(uxb_works!$B$46=1,tblCategories_2014!U18,tblCategories_2017!U18)="","",IF(uxb_works!$B$46=1,tblCategories_2014!U18,tblCategories_2017!U18))</f>
        <v>0</v>
      </c>
      <c r="V18" s="1">
        <f>IF(IF(uxb_works!$B$46=1,tblCategories_2014!V18,tblCategories_2017!V18)="","",IF(uxb_works!$B$46=1,tblCategories_2014!V18,tblCategories_2017!V18))</f>
        <v>0</v>
      </c>
      <c r="W18" s="1">
        <f>IF(IF(uxb_works!$B$46=1,tblCategories_2014!W18,tblCategories_2017!W18)="","",IF(uxb_works!$B$46=1,tblCategories_2014!W18,tblCategories_2017!W18))</f>
        <v>0</v>
      </c>
      <c r="X18" s="1">
        <f>IF(IF(uxb_works!$B$46=1,tblCategories_2014!X18,tblCategories_2017!X18)="","",IF(uxb_works!$B$46=1,tblCategories_2014!X18,tblCategories_2017!X18))</f>
        <v>0</v>
      </c>
      <c r="Y18" s="1">
        <f>IF(IF(uxb_works!$B$46=1,tblCategories_2014!Y18,tblCategories_2017!Y18)="","",IF(uxb_works!$B$46=1,tblCategories_2014!Y18,tblCategories_2017!Y18))</f>
        <v>0</v>
      </c>
      <c r="Z18" s="1" t="str">
        <f>IF(IF(uxb_works!$B$46=1,tblCategories_2014!Z18,tblCategories_2017!Z18)="","",IF(uxb_works!$B$46=1,tblCategories_2014!Z18,tblCategories_2017!Z18))</f>
        <v/>
      </c>
      <c r="AA18" s="53" t="str">
        <f>IF(IF(uxb_works!$B$46=1,tblCategories_2014!AA18,tblCategories_2017!AA18)="","",IF(uxb_works!$B$46=1,tblCategories_2014!AA18,tblCategories_2017!AA18))</f>
        <v/>
      </c>
      <c r="AB18" s="20" t="str">
        <f>IF(IF(uxb_works!$B$46=1,tblCategories_2014!AB18,tblCategories_2017!AB18)="","",IF(uxb_works!$B$46=1,tblCategories_2014!AB18,tblCategories_2017!AB18))</f>
        <v/>
      </c>
      <c r="AC18" s="23">
        <f>IF(IF(uxb_works!$B$46=1,tblCategories_2014!AC18,tblCategories_2017!AC18)="","",IF(uxb_works!$B$46=1,tblCategories_2014!AC18,tblCategories_2017!AC18))</f>
        <v>0</v>
      </c>
      <c r="AD18" s="1" t="str">
        <f>IF(IF(uxb_works!$B$46=1,tblCategories_2014!AD18,tblCategories_2017!AD18)="","",IF(uxb_works!$B$46=1,tblCategories_2014!AD18,tblCategories_2017!AD18))</f>
        <v/>
      </c>
      <c r="AF18" s="1">
        <f>IF(IF(uxb_works!$B$46=1,tblCategories_2014!AF18,tblCategories_2017!AF18)="","",IF(uxb_works!$B$46=1,tblCategories_2014!AF18,tblCategories_2017!AF18))</f>
        <v>1</v>
      </c>
      <c r="AG18" s="1">
        <f>IF(IF(uxb_works!$B$46=1,tblCategories_2014!AG18,tblCategories_2017!AG18)="","",IF(uxb_works!$B$46=1,tblCategories_2014!AG18,tblCategories_2017!AG18))</f>
        <v>0</v>
      </c>
      <c r="AH18" s="1">
        <f>IF(IF(uxb_works!$B$46=1,tblCategories_2014!AH18,tblCategories_2017!AH18)="","",IF(uxb_works!$B$46=1,tblCategories_2014!AH18,tblCategories_2017!AH18))</f>
        <v>0</v>
      </c>
      <c r="AI18" s="1">
        <f>IF(IF(uxb_works!$B$46=1,tblCategories_2014!AI18,tblCategories_2017!AI18)="","",IF(uxb_works!$B$46=1,tblCategories_2014!AI18,tblCategories_2017!AI18))</f>
        <v>0</v>
      </c>
      <c r="AJ18" s="1">
        <f>IF(IF(uxb_works!$B$46=1,tblCategories_2014!AJ18,tblCategories_2017!AJ18)="","",IF(uxb_works!$B$46=1,tblCategories_2014!AJ18,tblCategories_2017!AJ18))</f>
        <v>0</v>
      </c>
      <c r="AK18" s="1">
        <f>IF(IF(uxb_works!$B$46=1,tblCategories_2014!AK18,tblCategories_2017!AK18)="","",IF(uxb_works!$B$46=1,tblCategories_2014!AK18,tblCategories_2017!AK18))</f>
        <v>0</v>
      </c>
      <c r="AL18" s="1">
        <f>IF(IF(uxb_works!$B$46=1,tblCategories_2014!AL18,tblCategories_2017!AL18)="","",IF(uxb_works!$B$46=1,tblCategories_2014!AL18,tblCategories_2017!AL18))</f>
        <v>1</v>
      </c>
      <c r="AM18" s="1">
        <f>IF(IF(uxb_works!$B$46=1,tblCategories_2014!AM18,tblCategories_2017!AM18)="","",IF(uxb_works!$B$46=1,tblCategories_2014!AM18,tblCategories_2017!AM18))</f>
        <v>0</v>
      </c>
      <c r="AN18" s="1">
        <f>IF(IF(uxb_works!$B$46=1,tblCategories_2014!AN18,tblCategories_2017!AN18)="","",IF(uxb_works!$B$46=1,tblCategories_2014!AN18,tblCategories_2017!AN18))</f>
        <v>0</v>
      </c>
      <c r="AO18" s="1">
        <f>IF(IF(uxb_works!$B$46=1,tblCategories_2014!AO18,tblCategories_2017!AO18)="","",IF(uxb_works!$B$46=1,tblCategories_2014!AO18,tblCategories_2017!AO18))</f>
        <v>0</v>
      </c>
      <c r="AP18" s="1">
        <f>IF(IF(uxb_works!$B$46=1,tblCategories_2014!AP18,tblCategories_2017!AP18)="","",IF(uxb_works!$B$46=1,tblCategories_2014!AP18,tblCategories_2017!AP18))</f>
        <v>0</v>
      </c>
      <c r="AQ18" s="1">
        <f>IF(IF(uxb_works!$B$46=1,tblCategories_2014!AQ18,tblCategories_2017!AQ18)="","",IF(uxb_works!$B$46=1,tblCategories_2014!AQ18,tblCategories_2017!AQ18))</f>
        <v>0</v>
      </c>
      <c r="AR18" s="1">
        <f>IF(IF(uxb_works!$B$46=1,tblCategories_2014!AR18,tblCategories_2017!AR18)="","",IF(uxb_works!$B$46=1,tblCategories_2014!AR18,tblCategories_2017!AR18))</f>
        <v>0</v>
      </c>
      <c r="AS18" s="1">
        <f>IF(IF(uxb_works!$B$46=1,tblCategories_2014!AS18,tblCategories_2017!AS18)="","",IF(uxb_works!$B$46=1,tblCategories_2014!AS18,tblCategories_2017!AS18))</f>
        <v>0</v>
      </c>
    </row>
    <row r="19" ht="12.75" spans="1:45">
      <c r="A19" s="1">
        <f>IF(IF(uxb_works!$B$46=1,tblCategories_2014!A19,tblCategories_2017!A19)="","",IF(uxb_works!$B$46=1,tblCategories_2014!A19,tblCategories_2017!A19))</f>
        <v>17</v>
      </c>
      <c r="B19" s="1" t="str">
        <f>IF(IF(uxb_works!$B$46=1,tblCategories_2014!B19,tblCategories_2017!B19)="","",IF(uxb_works!$B$46=1,tblCategories_2014!B19,tblCategories_2017!B19))</f>
        <v/>
      </c>
      <c r="C19" s="57" t="str">
        <f>IF(IF(uxb_works!$B$46=1,tblCategories_2014!C19,tblCategories_2017!C19)="","",IF(uxb_works!$B$46=1,tblCategories_2014!C19,tblCategories_2017!C19))</f>
        <v>2.1.4) No. of doctors per 1,000</v>
      </c>
      <c r="D19" s="1" t="str">
        <f>IF(IF(uxb_works!$B$46=1,tblCategories_2014!D19,tblCategories_2017!D19)="","",IF(uxb_works!$B$46=1,tblCategories_2014!D19,tblCategories_2017!D19))</f>
        <v>2.1.4) No. of doctors per 1,000</v>
      </c>
      <c r="E19" s="1" t="str">
        <f>IF(IF(uxb_works!$B$46=1,tblCategories_2014!E19,tblCategories_2017!E19)="","",IF(uxb_works!$B$46=1,tblCategories_2014!E19,tblCategories_2017!E19))</f>
        <v/>
      </c>
      <c r="F19" s="23">
        <f>IF(IF(uxb_works!$B$46=1,tblCategories_2014!F19,tblCategories_2017!F19)="","",IF(uxb_works!$B$46=1,tblCategories_2014!F19,tblCategories_2017!F19))</f>
        <v>1</v>
      </c>
      <c r="G19" s="32" t="str">
        <f>IF(IF(uxb_works!$B$46=1,tblCategories_2014!G19,tblCategories_2017!G19)="","",IF(uxb_works!$B$46=1,tblCategories_2014!G19,tblCategories_2017!G19))</f>
        <v/>
      </c>
      <c r="H19" s="1" t="str">
        <f>IF(IF(uxb_works!$B$46=1,tblCategories_2014!H19,tblCategories_2017!H19)="","",IF(uxb_works!$B$46=1,tblCategories_2014!H19,tblCategories_2017!H19))</f>
        <v/>
      </c>
      <c r="I19" s="23" t="str">
        <f>IF(IF(uxb_works!$B$46=1,tblCategories_2014!I19,tblCategories_2017!I19)="","",IF(uxb_works!$B$46=1,tblCategories_2014!I19,tblCategories_2017!I19))</f>
        <v/>
      </c>
      <c r="J19" s="1" t="str">
        <f>IF(IF(uxb_works!$B$46=1,tblCategories_2014!J19,tblCategories_2017!J19)="","",IF(uxb_works!$B$46=1,tblCategories_2014!J19,tblCategories_2017!J19))</f>
        <v/>
      </c>
      <c r="K19" s="1" t="str">
        <f>IF(IF(uxb_works!$B$46=1,tblCategories_2014!K20,tblCategories_2017!K19)="","",IF(uxb_works!$B$46=1,tblCategories_2014!K20,tblCategories_2017!K19))</f>
        <v/>
      </c>
      <c r="L19" s="1">
        <f>IF(IF(uxb_works!$B$46=1,tblCategories_2014!L19,tblCategories_2017!L19)="","",IF(uxb_works!$B$46=1,tblCategories_2014!L19,tblCategories_2017!L19))</f>
        <v>1</v>
      </c>
      <c r="M19" s="1">
        <f>IF(IF(uxb_works!$B$46=1,tblCategories_2014!M19,tblCategories_2017!M19)="","",IF(uxb_works!$B$46=1,tblCategories_2014!M19,tblCategories_2017!M19))</f>
        <v>1</v>
      </c>
      <c r="N19" s="1">
        <f>IF(IF(uxb_works!$B$46=1,tblCategories_2014!N19,tblCategories_2017!N19)="","",IF(uxb_works!$B$46=1,tblCategories_2014!N19,tblCategories_2017!N19))</f>
        <v>0</v>
      </c>
      <c r="O19" s="1">
        <f>IF(IF(uxb_works!$B$46=1,tblCategories_2014!O19,tblCategories_2017!O19)="","",IF(uxb_works!$B$46=1,tblCategories_2014!O19,tblCategories_2017!O19))</f>
        <v>0</v>
      </c>
      <c r="P19" s="1">
        <f>IF(IF(uxb_works!$B$46=1,tblCategories_2014!P19,tblCategories_2017!P19)="","",IF(uxb_works!$B$46=1,tblCategories_2014!P19,tblCategories_2017!P19))</f>
        <v>0</v>
      </c>
      <c r="Q19" s="1">
        <f>IF(IF(uxb_works!$B$46=1,tblCategories_2014!Q19,tblCategories_2017!Q19)="","",IF(uxb_works!$B$46=1,tblCategories_2014!Q19,tblCategories_2017!Q19))</f>
        <v>1</v>
      </c>
      <c r="R19" s="1">
        <f>IF(IF(uxb_works!$B$46=1,tblCategories_2014!R19,tblCategories_2017!R19)="","",IF(uxb_works!$B$46=1,tblCategories_2014!R19,tblCategories_2017!R19))</f>
        <v>1</v>
      </c>
      <c r="S19" s="1">
        <f>IF(IF(uxb_works!$B$46=1,tblCategories_2014!S19,tblCategories_2017!S19)="","",IF(uxb_works!$B$46=1,tblCategories_2014!S19,tblCategories_2017!S19))</f>
        <v>0</v>
      </c>
      <c r="T19" s="1">
        <f>IF(IF(uxb_works!$B$46=1,tblCategories_2014!T19,tblCategories_2017!T19)="","",IF(uxb_works!$B$46=1,tblCategories_2014!T19,tblCategories_2017!T19))</f>
        <v>0</v>
      </c>
      <c r="U19" s="1">
        <f>IF(IF(uxb_works!$B$46=1,tblCategories_2014!U19,tblCategories_2017!U19)="","",IF(uxb_works!$B$46=1,tblCategories_2014!U19,tblCategories_2017!U19))</f>
        <v>0</v>
      </c>
      <c r="V19" s="1">
        <f>IF(IF(uxb_works!$B$46=1,tblCategories_2014!V19,tblCategories_2017!V19)="","",IF(uxb_works!$B$46=1,tblCategories_2014!V19,tblCategories_2017!V19))</f>
        <v>0</v>
      </c>
      <c r="W19" s="1">
        <f>IF(IF(uxb_works!$B$46=1,tblCategories_2014!W19,tblCategories_2017!W19)="","",IF(uxb_works!$B$46=1,tblCategories_2014!W19,tblCategories_2017!W19))</f>
        <v>0</v>
      </c>
      <c r="X19" s="1">
        <f>IF(IF(uxb_works!$B$46=1,tblCategories_2014!X19,tblCategories_2017!X19)="","",IF(uxb_works!$B$46=1,tblCategories_2014!X19,tblCategories_2017!X19))</f>
        <v>0</v>
      </c>
      <c r="Y19" s="1">
        <f>IF(IF(uxb_works!$B$46=1,tblCategories_2014!Y19,tblCategories_2017!Y19)="","",IF(uxb_works!$B$46=1,tblCategories_2014!Y19,tblCategories_2017!Y19))</f>
        <v>0</v>
      </c>
      <c r="Z19" s="1" t="str">
        <f>IF(IF(uxb_works!$B$46=1,tblCategories_2014!Z19,tblCategories_2017!Z19)="","",IF(uxb_works!$B$46=1,tblCategories_2014!Z19,tblCategories_2017!Z19))</f>
        <v/>
      </c>
      <c r="AA19" s="53" t="str">
        <f>IF(IF(uxb_works!$B$46=1,tblCategories_2014!AA19,tblCategories_2017!AA19)="","",IF(uxb_works!$B$46=1,tblCategories_2014!AA19,tblCategories_2017!AA19))</f>
        <v/>
      </c>
      <c r="AB19" s="20" t="str">
        <f>IF(IF(uxb_works!$B$46=1,tblCategories_2014!AB19,tblCategories_2017!AB19)="","",IF(uxb_works!$B$46=1,tblCategories_2014!AB19,tblCategories_2017!AB19))</f>
        <v/>
      </c>
      <c r="AC19" s="23">
        <f>IF(IF(uxb_works!$B$46=1,tblCategories_2014!AC19,tblCategories_2017!AC19)="","",IF(uxb_works!$B$46=1,tblCategories_2014!AC19,tblCategories_2017!AC19))</f>
        <v>0</v>
      </c>
      <c r="AD19" s="1" t="str">
        <f>IF(IF(uxb_works!$B$46=1,tblCategories_2014!AD19,tblCategories_2017!AD19)="","",IF(uxb_works!$B$46=1,tblCategories_2014!AD19,tblCategories_2017!AD19))</f>
        <v/>
      </c>
      <c r="AF19" s="1">
        <f>IF(IF(uxb_works!$B$46=1,tblCategories_2014!AF19,tblCategories_2017!AF19)="","",IF(uxb_works!$B$46=1,tblCategories_2014!AF19,tblCategories_2017!AF19))</f>
        <v>1</v>
      </c>
      <c r="AG19" s="1">
        <f>IF(IF(uxb_works!$B$46=1,tblCategories_2014!AG19,tblCategories_2017!AG19)="","",IF(uxb_works!$B$46=1,tblCategories_2014!AG19,tblCategories_2017!AG19))</f>
        <v>0</v>
      </c>
      <c r="AH19" s="1">
        <f>IF(IF(uxb_works!$B$46=1,tblCategories_2014!AH19,tblCategories_2017!AH19)="","",IF(uxb_works!$B$46=1,tblCategories_2014!AH19,tblCategories_2017!AH19))</f>
        <v>0</v>
      </c>
      <c r="AI19" s="1">
        <f>IF(IF(uxb_works!$B$46=1,tblCategories_2014!AI19,tblCategories_2017!AI19)="","",IF(uxb_works!$B$46=1,tblCategories_2014!AI19,tblCategories_2017!AI19))</f>
        <v>0</v>
      </c>
      <c r="AJ19" s="1">
        <f>IF(IF(uxb_works!$B$46=1,tblCategories_2014!AJ19,tblCategories_2017!AJ19)="","",IF(uxb_works!$B$46=1,tblCategories_2014!AJ19,tblCategories_2017!AJ19))</f>
        <v>0</v>
      </c>
      <c r="AK19" s="1">
        <f>IF(IF(uxb_works!$B$46=1,tblCategories_2014!AK19,tblCategories_2017!AK19)="","",IF(uxb_works!$B$46=1,tblCategories_2014!AK19,tblCategories_2017!AK19))</f>
        <v>0</v>
      </c>
      <c r="AL19" s="1">
        <f>IF(IF(uxb_works!$B$46=1,tblCategories_2014!AL19,tblCategories_2017!AL19)="","",IF(uxb_works!$B$46=1,tblCategories_2014!AL19,tblCategories_2017!AL19))</f>
        <v>1</v>
      </c>
      <c r="AM19" s="1">
        <f>IF(IF(uxb_works!$B$46=1,tblCategories_2014!AM19,tblCategories_2017!AM19)="","",IF(uxb_works!$B$46=1,tblCategories_2014!AM19,tblCategories_2017!AM19))</f>
        <v>0</v>
      </c>
      <c r="AN19" s="1">
        <f>IF(IF(uxb_works!$B$46=1,tblCategories_2014!AN19,tblCategories_2017!AN19)="","",IF(uxb_works!$B$46=1,tblCategories_2014!AN19,tblCategories_2017!AN19))</f>
        <v>0</v>
      </c>
      <c r="AO19" s="1">
        <f>IF(IF(uxb_works!$B$46=1,tblCategories_2014!AO19,tblCategories_2017!AO19)="","",IF(uxb_works!$B$46=1,tblCategories_2014!AO19,tblCategories_2017!AO19))</f>
        <v>0</v>
      </c>
      <c r="AP19" s="1">
        <f>IF(IF(uxb_works!$B$46=1,tblCategories_2014!AP19,tblCategories_2017!AP19)="","",IF(uxb_works!$B$46=1,tblCategories_2014!AP19,tblCategories_2017!AP19))</f>
        <v>0</v>
      </c>
      <c r="AQ19" s="1">
        <f>IF(IF(uxb_works!$B$46=1,tblCategories_2014!AQ19,tblCategories_2017!AQ19)="","",IF(uxb_works!$B$46=1,tblCategories_2014!AQ19,tblCategories_2017!AQ19))</f>
        <v>0</v>
      </c>
      <c r="AR19" s="1">
        <f>IF(IF(uxb_works!$B$46=1,tblCategories_2014!AR19,tblCategories_2017!AR19)="","",IF(uxb_works!$B$46=1,tblCategories_2014!AR19,tblCategories_2017!AR19))</f>
        <v>0</v>
      </c>
      <c r="AS19" s="1">
        <f>IF(IF(uxb_works!$B$46=1,tblCategories_2014!AS19,tblCategories_2017!AS19)="","",IF(uxb_works!$B$46=1,tblCategories_2014!AS19,tblCategories_2017!AS19))</f>
        <v>0</v>
      </c>
    </row>
    <row r="20" ht="12.75" spans="1:45">
      <c r="A20" s="1">
        <f>IF(IF(uxb_works!$B$46=1,tblCategories_2014!A20,tblCategories_2017!A20)="","",IF(uxb_works!$B$46=1,tblCategories_2014!A20,tblCategories_2017!A20))</f>
        <v>18</v>
      </c>
      <c r="B20" s="1" t="str">
        <f>IF(IF(uxb_works!$B$46=1,tblCategories_2014!B20,tblCategories_2017!B20)="","",IF(uxb_works!$B$46=1,tblCategories_2014!B20,tblCategories_2017!B20))</f>
        <v/>
      </c>
      <c r="C20" s="57" t="str">
        <f>IF(IF(uxb_works!$B$46=1,tblCategories_2014!C20,tblCategories_2017!C20)="","",IF(uxb_works!$B$46=1,tblCategories_2014!C20,tblCategories_2017!C20))</f>
        <v>2.1.5) Access to safe and quality food</v>
      </c>
      <c r="D20" s="1" t="str">
        <f>IF(IF(uxb_works!$B$46=1,tblCategories_2014!D20,tblCategories_2017!D20)="","",IF(uxb_works!$B$46=1,tblCategories_2014!D20,tblCategories_2017!D20))</f>
        <v>2.1.5) Access to safe and quality food</v>
      </c>
      <c r="E20" s="1" t="str">
        <f>IF(IF(uxb_works!$B$46=1,tblCategories_2014!E20,tblCategories_2017!E20)="","",IF(uxb_works!$B$46=1,tblCategories_2014!E20,tblCategories_2017!E20))</f>
        <v/>
      </c>
      <c r="F20" s="23">
        <f>IF(IF(uxb_works!$B$46=1,tblCategories_2014!F20,tblCategories_2017!F20)="","",IF(uxb_works!$B$46=1,tblCategories_2014!F20,tblCategories_2017!F20))</f>
        <v>1</v>
      </c>
      <c r="G20" s="32" t="str">
        <f>IF(IF(uxb_works!$B$46=1,tblCategories_2014!G20,tblCategories_2017!G20)="","",IF(uxb_works!$B$46=1,tblCategories_2014!G20,tblCategories_2017!G20))</f>
        <v/>
      </c>
      <c r="H20" s="1" t="str">
        <f>IF(IF(uxb_works!$B$46=1,tblCategories_2014!H20,tblCategories_2017!H20)="","",IF(uxb_works!$B$46=1,tblCategories_2014!H20,tblCategories_2017!H20))</f>
        <v/>
      </c>
      <c r="I20" s="23" t="str">
        <f>IF(IF(uxb_works!$B$46=1,tblCategories_2014!I20,tblCategories_2017!I20)="","",IF(uxb_works!$B$46=1,tblCategories_2014!I20,tblCategories_2017!I20))</f>
        <v/>
      </c>
      <c r="J20" s="1" t="str">
        <f>IF(IF(uxb_works!$B$46=1,tblCategories_2014!J20,tblCategories_2017!J20)="","",IF(uxb_works!$B$46=1,tblCategories_2014!J20,tblCategories_2017!J20))</f>
        <v/>
      </c>
      <c r="K20" s="1" t="str">
        <f>IF(IF(uxb_works!$B$46=1,tblCategories_2014!K21,tblCategories_2017!K20)="","",IF(uxb_works!$B$46=1,tblCategories_2014!K21,tblCategories_2017!K20))</f>
        <v/>
      </c>
      <c r="L20" s="1">
        <f>IF(IF(uxb_works!$B$46=1,tblCategories_2014!L20,tblCategories_2017!L20)="","",IF(uxb_works!$B$46=1,tblCategories_2014!L20,tblCategories_2017!L20))</f>
        <v>1</v>
      </c>
      <c r="M20" s="1">
        <f>IF(IF(uxb_works!$B$46=1,tblCategories_2014!M20,tblCategories_2017!M20)="","",IF(uxb_works!$B$46=1,tblCategories_2014!M20,tblCategories_2017!M20))</f>
        <v>1</v>
      </c>
      <c r="N20" s="1">
        <f>IF(IF(uxb_works!$B$46=1,tblCategories_2014!N20,tblCategories_2017!N20)="","",IF(uxb_works!$B$46=1,tblCategories_2014!N20,tblCategories_2017!N20))</f>
        <v>0</v>
      </c>
      <c r="O20" s="1">
        <f>IF(IF(uxb_works!$B$46=1,tblCategories_2014!O20,tblCategories_2017!O20)="","",IF(uxb_works!$B$46=1,tblCategories_2014!O20,tblCategories_2017!O20))</f>
        <v>0</v>
      </c>
      <c r="P20" s="1">
        <f>IF(IF(uxb_works!$B$46=1,tblCategories_2014!P20,tblCategories_2017!P20)="","",IF(uxb_works!$B$46=1,tblCategories_2014!P20,tblCategories_2017!P20))</f>
        <v>0</v>
      </c>
      <c r="Q20" s="1">
        <f>IF(IF(uxb_works!$B$46=1,tblCategories_2014!Q20,tblCategories_2017!Q20)="","",IF(uxb_works!$B$46=1,tblCategories_2014!Q20,tblCategories_2017!Q20))</f>
        <v>1</v>
      </c>
      <c r="R20" s="1">
        <f>IF(IF(uxb_works!$B$46=1,tblCategories_2014!R20,tblCategories_2017!R20)="","",IF(uxb_works!$B$46=1,tblCategories_2014!R20,tblCategories_2017!R20))</f>
        <v>1</v>
      </c>
      <c r="S20" s="1">
        <f>IF(IF(uxb_works!$B$46=1,tblCategories_2014!S20,tblCategories_2017!S20)="","",IF(uxb_works!$B$46=1,tblCategories_2014!S20,tblCategories_2017!S20))</f>
        <v>0</v>
      </c>
      <c r="T20" s="1">
        <f>IF(IF(uxb_works!$B$46=1,tblCategories_2014!T20,tblCategories_2017!T20)="","",IF(uxb_works!$B$46=1,tblCategories_2014!T20,tblCategories_2017!T20))</f>
        <v>0</v>
      </c>
      <c r="U20" s="1">
        <f>IF(IF(uxb_works!$B$46=1,tblCategories_2014!U20,tblCategories_2017!U20)="","",IF(uxb_works!$B$46=1,tblCategories_2014!U20,tblCategories_2017!U20))</f>
        <v>0</v>
      </c>
      <c r="V20" s="1">
        <f>IF(IF(uxb_works!$B$46=1,tblCategories_2014!V20,tblCategories_2017!V20)="","",IF(uxb_works!$B$46=1,tblCategories_2014!V20,tblCategories_2017!V20))</f>
        <v>0</v>
      </c>
      <c r="W20" s="1">
        <f>IF(IF(uxb_works!$B$46=1,tblCategories_2014!W20,tblCategories_2017!W20)="","",IF(uxb_works!$B$46=1,tblCategories_2014!W20,tblCategories_2017!W20))</f>
        <v>0</v>
      </c>
      <c r="X20" s="1">
        <f>IF(IF(uxb_works!$B$46=1,tblCategories_2014!X20,tblCategories_2017!X20)="","",IF(uxb_works!$B$46=1,tblCategories_2014!X20,tblCategories_2017!X20))</f>
        <v>0</v>
      </c>
      <c r="Y20" s="1">
        <f>IF(IF(uxb_works!$B$46=1,tblCategories_2014!Y20,tblCategories_2017!Y20)="","",IF(uxb_works!$B$46=1,tblCategories_2014!Y20,tblCategories_2017!Y20))</f>
        <v>0</v>
      </c>
      <c r="Z20" s="1" t="str">
        <f>IF(IF(uxb_works!$B$46=1,tblCategories_2014!Z20,tblCategories_2017!Z20)="","",IF(uxb_works!$B$46=1,tblCategories_2014!Z20,tblCategories_2017!Z20))</f>
        <v/>
      </c>
      <c r="AA20" s="53" t="str">
        <f>IF(IF(uxb_works!$B$46=1,tblCategories_2014!AA20,tblCategories_2017!AA20)="","",IF(uxb_works!$B$46=1,tblCategories_2014!AA20,tblCategories_2017!AA20))</f>
        <v/>
      </c>
      <c r="AB20" s="20" t="str">
        <f>IF(IF(uxb_works!$B$46=1,tblCategories_2014!AB20,tblCategories_2017!AB20)="","",IF(uxb_works!$B$46=1,tblCategories_2014!AB20,tblCategories_2017!AB20))</f>
        <v/>
      </c>
      <c r="AC20" s="23">
        <f>IF(IF(uxb_works!$B$46=1,tblCategories_2014!AC20,tblCategories_2017!AC20)="","",IF(uxb_works!$B$46=1,tblCategories_2014!AC20,tblCategories_2017!AC20))</f>
        <v>0</v>
      </c>
      <c r="AD20" s="1" t="str">
        <f>IF(IF(uxb_works!$B$46=1,tblCategories_2014!AD20,tblCategories_2017!AD20)="","",IF(uxb_works!$B$46=1,tblCategories_2014!AD20,tblCategories_2017!AD20))</f>
        <v/>
      </c>
      <c r="AF20" s="1">
        <f>IF(IF(uxb_works!$B$46=1,tblCategories_2014!AF20,tblCategories_2017!AF20)="","",IF(uxb_works!$B$46=1,tblCategories_2014!AF20,tblCategories_2017!AF20))</f>
        <v>1</v>
      </c>
      <c r="AG20" s="1">
        <f>IF(IF(uxb_works!$B$46=1,tblCategories_2014!AG20,tblCategories_2017!AG20)="","",IF(uxb_works!$B$46=1,tblCategories_2014!AG20,tblCategories_2017!AG20))</f>
        <v>0</v>
      </c>
      <c r="AH20" s="1">
        <f>IF(IF(uxb_works!$B$46=1,tblCategories_2014!AH20,tblCategories_2017!AH20)="","",IF(uxb_works!$B$46=1,tblCategories_2014!AH20,tblCategories_2017!AH20))</f>
        <v>0</v>
      </c>
      <c r="AI20" s="1">
        <f>IF(IF(uxb_works!$B$46=1,tblCategories_2014!AI20,tblCategories_2017!AI20)="","",IF(uxb_works!$B$46=1,tblCategories_2014!AI20,tblCategories_2017!AI20))</f>
        <v>0</v>
      </c>
      <c r="AJ20" s="1">
        <f>IF(IF(uxb_works!$B$46=1,tblCategories_2014!AJ20,tblCategories_2017!AJ20)="","",IF(uxb_works!$B$46=1,tblCategories_2014!AJ20,tblCategories_2017!AJ20))</f>
        <v>0</v>
      </c>
      <c r="AK20" s="1">
        <f>IF(IF(uxb_works!$B$46=1,tblCategories_2014!AK20,tblCategories_2017!AK20)="","",IF(uxb_works!$B$46=1,tblCategories_2014!AK20,tblCategories_2017!AK20))</f>
        <v>0</v>
      </c>
      <c r="AL20" s="1">
        <f>IF(IF(uxb_works!$B$46=1,tblCategories_2014!AL20,tblCategories_2017!AL20)="","",IF(uxb_works!$B$46=1,tblCategories_2014!AL20,tblCategories_2017!AL20))</f>
        <v>1</v>
      </c>
      <c r="AM20" s="1">
        <f>IF(IF(uxb_works!$B$46=1,tblCategories_2014!AM20,tblCategories_2017!AM20)="","",IF(uxb_works!$B$46=1,tblCategories_2014!AM20,tblCategories_2017!AM20))</f>
        <v>0</v>
      </c>
      <c r="AN20" s="1">
        <f>IF(IF(uxb_works!$B$46=1,tblCategories_2014!AN20,tblCategories_2017!AN20)="","",IF(uxb_works!$B$46=1,tblCategories_2014!AN20,tblCategories_2017!AN20))</f>
        <v>0</v>
      </c>
      <c r="AO20" s="1">
        <f>IF(IF(uxb_works!$B$46=1,tblCategories_2014!AO20,tblCategories_2017!AO20)="","",IF(uxb_works!$B$46=1,tblCategories_2014!AO20,tblCategories_2017!AO20))</f>
        <v>0</v>
      </c>
      <c r="AP20" s="1">
        <f>IF(IF(uxb_works!$B$46=1,tblCategories_2014!AP20,tblCategories_2017!AP20)="","",IF(uxb_works!$B$46=1,tblCategories_2014!AP20,tblCategories_2017!AP20))</f>
        <v>0</v>
      </c>
      <c r="AQ20" s="1">
        <f>IF(IF(uxb_works!$B$46=1,tblCategories_2014!AQ20,tblCategories_2017!AQ20)="","",IF(uxb_works!$B$46=1,tblCategories_2014!AQ20,tblCategories_2017!AQ20))</f>
        <v>0</v>
      </c>
      <c r="AR20" s="1">
        <f>IF(IF(uxb_works!$B$46=1,tblCategories_2014!AR20,tblCategories_2017!AR20)="","",IF(uxb_works!$B$46=1,tblCategories_2014!AR20,tblCategories_2017!AR20))</f>
        <v>0</v>
      </c>
      <c r="AS20" s="1">
        <f>IF(IF(uxb_works!$B$46=1,tblCategories_2014!AS20,tblCategories_2017!AS20)="","",IF(uxb_works!$B$46=1,tblCategories_2014!AS20,tblCategories_2017!AS20))</f>
        <v>0</v>
      </c>
    </row>
    <row r="21" ht="12.75" spans="1:45">
      <c r="A21" s="1">
        <f>IF(IF(uxb_works!$B$46=1,tblCategories_2014!A21,tblCategories_2017!A21)="","",IF(uxb_works!$B$46=1,tblCategories_2014!A21,tblCategories_2017!A21))</f>
        <v>19</v>
      </c>
      <c r="B21" s="1" t="str">
        <f>IF(IF(uxb_works!$B$46=1,tblCategories_2014!B21,tblCategories_2017!B21)="","",IF(uxb_works!$B$46=1,tblCategories_2014!B21,tblCategories_2017!B21))</f>
        <v/>
      </c>
      <c r="C21" s="57" t="str">
        <f>IF(IF(uxb_works!$B$46=1,tblCategories_2014!C21,tblCategories_2017!C21)="","",IF(uxb_works!$B$46=1,tblCategories_2014!C21,tblCategories_2017!C21))</f>
        <v>2.1.6) Quality of health services</v>
      </c>
      <c r="D21" s="1" t="str">
        <f>IF(IF(uxb_works!$B$46=1,tblCategories_2014!D21,tblCategories_2017!D21)="","",IF(uxb_works!$B$46=1,tblCategories_2014!D21,tblCategories_2017!D21))</f>
        <v>2.1.6) Quality of health services</v>
      </c>
      <c r="E21" s="1" t="str">
        <f>IF(IF(uxb_works!$B$46=1,tblCategories_2014!E21,tblCategories_2017!E21)="","",IF(uxb_works!$B$46=1,tblCategories_2014!E21,tblCategories_2017!E21))</f>
        <v/>
      </c>
      <c r="F21" s="23">
        <f>IF(IF(uxb_works!$B$46=1,tblCategories_2014!F21,tblCategories_2017!F21)="","",IF(uxb_works!$B$46=1,tblCategories_2014!F21,tblCategories_2017!F21))</f>
        <v>1</v>
      </c>
      <c r="G21" s="32" t="str">
        <f>IF(IF(uxb_works!$B$46=1,tblCategories_2014!G21,tblCategories_2017!G21)="","",IF(uxb_works!$B$46=1,tblCategories_2014!G21,tblCategories_2017!G21))</f>
        <v/>
      </c>
      <c r="H21" s="1" t="str">
        <f>IF(IF(uxb_works!$B$46=1,tblCategories_2014!H21,tblCategories_2017!H21)="","",IF(uxb_works!$B$46=1,tblCategories_2014!H21,tblCategories_2017!H21))</f>
        <v/>
      </c>
      <c r="I21" s="23" t="str">
        <f>IF(IF(uxb_works!$B$46=1,tblCategories_2014!I21,tblCategories_2017!I21)="","",IF(uxb_works!$B$46=1,tblCategories_2014!I21,tblCategories_2017!I21))</f>
        <v/>
      </c>
      <c r="J21" s="1" t="str">
        <f>IF(IF(uxb_works!$B$46=1,tblCategories_2014!J21,tblCategories_2017!J21)="","",IF(uxb_works!$B$46=1,tblCategories_2014!J21,tblCategories_2017!J21))</f>
        <v/>
      </c>
      <c r="K21" s="1" t="str">
        <f>IF(IF(uxb_works!$B$46=1,tblCategories_2014!K22,tblCategories_2017!K21)="","",IF(uxb_works!$B$46=1,tblCategories_2014!K22,tblCategories_2017!K21))</f>
        <v/>
      </c>
      <c r="L21" s="1">
        <f>IF(IF(uxb_works!$B$46=1,tblCategories_2014!L21,tblCategories_2017!L21)="","",IF(uxb_works!$B$46=1,tblCategories_2014!L21,tblCategories_2017!L21))</f>
        <v>1</v>
      </c>
      <c r="M21" s="1">
        <f>IF(IF(uxb_works!$B$46=1,tblCategories_2014!M21,tblCategories_2017!M21)="","",IF(uxb_works!$B$46=1,tblCategories_2014!M21,tblCategories_2017!M21))</f>
        <v>1</v>
      </c>
      <c r="N21" s="1">
        <f>IF(IF(uxb_works!$B$46=1,tblCategories_2014!N21,tblCategories_2017!N21)="","",IF(uxb_works!$B$46=1,tblCategories_2014!N21,tblCategories_2017!N21))</f>
        <v>0</v>
      </c>
      <c r="O21" s="1">
        <f>IF(IF(uxb_works!$B$46=1,tblCategories_2014!O21,tblCategories_2017!O21)="","",IF(uxb_works!$B$46=1,tblCategories_2014!O21,tblCategories_2017!O21))</f>
        <v>0</v>
      </c>
      <c r="P21" s="1">
        <f>IF(IF(uxb_works!$B$46=1,tblCategories_2014!P21,tblCategories_2017!P21)="","",IF(uxb_works!$B$46=1,tblCategories_2014!P21,tblCategories_2017!P21))</f>
        <v>0</v>
      </c>
      <c r="Q21" s="1">
        <f>IF(IF(uxb_works!$B$46=1,tblCategories_2014!Q21,tblCategories_2017!Q21)="","",IF(uxb_works!$B$46=1,tblCategories_2014!Q21,tblCategories_2017!Q21))</f>
        <v>1</v>
      </c>
      <c r="R21" s="1">
        <f>IF(IF(uxb_works!$B$46=1,tblCategories_2014!R21,tblCategories_2017!R21)="","",IF(uxb_works!$B$46=1,tblCategories_2014!R21,tblCategories_2017!R21))</f>
        <v>1</v>
      </c>
      <c r="S21" s="1">
        <f>IF(IF(uxb_works!$B$46=1,tblCategories_2014!S21,tblCategories_2017!S21)="","",IF(uxb_works!$B$46=1,tblCategories_2014!S21,tblCategories_2017!S21))</f>
        <v>0</v>
      </c>
      <c r="T21" s="1">
        <f>IF(IF(uxb_works!$B$46=1,tblCategories_2014!T21,tblCategories_2017!T21)="","",IF(uxb_works!$B$46=1,tblCategories_2014!T21,tblCategories_2017!T21))</f>
        <v>0</v>
      </c>
      <c r="U21" s="1">
        <f>IF(IF(uxb_works!$B$46=1,tblCategories_2014!U21,tblCategories_2017!U21)="","",IF(uxb_works!$B$46=1,tblCategories_2014!U21,tblCategories_2017!U21))</f>
        <v>0</v>
      </c>
      <c r="V21" s="1">
        <f>IF(IF(uxb_works!$B$46=1,tblCategories_2014!V21,tblCategories_2017!V21)="","",IF(uxb_works!$B$46=1,tblCategories_2014!V21,tblCategories_2017!V21))</f>
        <v>0</v>
      </c>
      <c r="W21" s="1">
        <f>IF(IF(uxb_works!$B$46=1,tblCategories_2014!W21,tblCategories_2017!W21)="","",IF(uxb_works!$B$46=1,tblCategories_2014!W21,tblCategories_2017!W21))</f>
        <v>0</v>
      </c>
      <c r="X21" s="1">
        <f>IF(IF(uxb_works!$B$46=1,tblCategories_2014!X21,tblCategories_2017!X21)="","",IF(uxb_works!$B$46=1,tblCategories_2014!X21,tblCategories_2017!X21))</f>
        <v>0</v>
      </c>
      <c r="Y21" s="1">
        <f>IF(IF(uxb_works!$B$46=1,tblCategories_2014!Y21,tblCategories_2017!Y21)="","",IF(uxb_works!$B$46=1,tblCategories_2014!Y21,tblCategories_2017!Y21))</f>
        <v>0</v>
      </c>
      <c r="Z21" s="1" t="str">
        <f>IF(IF(uxb_works!$B$46=1,tblCategories_2014!Z21,tblCategories_2017!Z21)="","",IF(uxb_works!$B$46=1,tblCategories_2014!Z21,tblCategories_2017!Z21))</f>
        <v/>
      </c>
      <c r="AA21" s="53" t="str">
        <f>IF(IF(uxb_works!$B$46=1,tblCategories_2014!AA21,tblCategories_2017!AA21)="","",IF(uxb_works!$B$46=1,tblCategories_2014!AA21,tblCategories_2017!AA21))</f>
        <v/>
      </c>
      <c r="AB21" s="20" t="str">
        <f>IF(IF(uxb_works!$B$46=1,tblCategories_2014!AB21,tblCategories_2017!AB21)="","",IF(uxb_works!$B$46=1,tblCategories_2014!AB21,tblCategories_2017!AB21))</f>
        <v/>
      </c>
      <c r="AC21" s="23">
        <f>IF(IF(uxb_works!$B$46=1,tblCategories_2014!AC21,tblCategories_2017!AC21)="","",IF(uxb_works!$B$46=1,tblCategories_2014!AC21,tblCategories_2017!AC21))</f>
        <v>0</v>
      </c>
      <c r="AD21" s="1" t="str">
        <f>IF(IF(uxb_works!$B$46=1,tblCategories_2014!AD21,tblCategories_2017!AD21)="","",IF(uxb_works!$B$46=1,tblCategories_2014!AD21,tblCategories_2017!AD21))</f>
        <v/>
      </c>
      <c r="AF21" s="1">
        <f>IF(IF(uxb_works!$B$46=1,tblCategories_2014!AF21,tblCategories_2017!AF21)="","",IF(uxb_works!$B$46=1,tblCategories_2014!AF21,tblCategories_2017!AF21))</f>
        <v>1</v>
      </c>
      <c r="AG21" s="1">
        <f>IF(IF(uxb_works!$B$46=1,tblCategories_2014!AG21,tblCategories_2017!AG21)="","",IF(uxb_works!$B$46=1,tblCategories_2014!AG21,tblCategories_2017!AG21))</f>
        <v>0</v>
      </c>
      <c r="AH21" s="1">
        <f>IF(IF(uxb_works!$B$46=1,tblCategories_2014!AH21,tblCategories_2017!AH21)="","",IF(uxb_works!$B$46=1,tblCategories_2014!AH21,tblCategories_2017!AH21))</f>
        <v>0</v>
      </c>
      <c r="AI21" s="1">
        <f>IF(IF(uxb_works!$B$46=1,tblCategories_2014!AI21,tblCategories_2017!AI21)="","",IF(uxb_works!$B$46=1,tblCategories_2014!AI21,tblCategories_2017!AI21))</f>
        <v>0</v>
      </c>
      <c r="AJ21" s="1">
        <f>IF(IF(uxb_works!$B$46=1,tblCategories_2014!AJ21,tblCategories_2017!AJ21)="","",IF(uxb_works!$B$46=1,tblCategories_2014!AJ21,tblCategories_2017!AJ21))</f>
        <v>0</v>
      </c>
      <c r="AK21" s="1">
        <f>IF(IF(uxb_works!$B$46=1,tblCategories_2014!AK21,tblCategories_2017!AK21)="","",IF(uxb_works!$B$46=1,tblCategories_2014!AK21,tblCategories_2017!AK21))</f>
        <v>0</v>
      </c>
      <c r="AL21" s="1">
        <f>IF(IF(uxb_works!$B$46=1,tblCategories_2014!AL21,tblCategories_2017!AL21)="","",IF(uxb_works!$B$46=1,tblCategories_2014!AL21,tblCategories_2017!AL21))</f>
        <v>1</v>
      </c>
      <c r="AM21" s="1">
        <f>IF(IF(uxb_works!$B$46=1,tblCategories_2014!AM21,tblCategories_2017!AM21)="","",IF(uxb_works!$B$46=1,tblCategories_2014!AM21,tblCategories_2017!AM21))</f>
        <v>0</v>
      </c>
      <c r="AN21" s="1">
        <f>IF(IF(uxb_works!$B$46=1,tblCategories_2014!AN21,tblCategories_2017!AN21)="","",IF(uxb_works!$B$46=1,tblCategories_2014!AN21,tblCategories_2017!AN21))</f>
        <v>0</v>
      </c>
      <c r="AO21" s="1">
        <f>IF(IF(uxb_works!$B$46=1,tblCategories_2014!AO21,tblCategories_2017!AO21)="","",IF(uxb_works!$B$46=1,tblCategories_2014!AO21,tblCategories_2017!AO21))</f>
        <v>0</v>
      </c>
      <c r="AP21" s="1">
        <f>IF(IF(uxb_works!$B$46=1,tblCategories_2014!AP21,tblCategories_2017!AP21)="","",IF(uxb_works!$B$46=1,tblCategories_2014!AP21,tblCategories_2017!AP21))</f>
        <v>0</v>
      </c>
      <c r="AQ21" s="1">
        <f>IF(IF(uxb_works!$B$46=1,tblCategories_2014!AQ21,tblCategories_2017!AQ21)="","",IF(uxb_works!$B$46=1,tblCategories_2014!AQ21,tblCategories_2017!AQ21))</f>
        <v>0</v>
      </c>
      <c r="AR21" s="1">
        <f>IF(IF(uxb_works!$B$46=1,tblCategories_2014!AR21,tblCategories_2017!AR21)="","",IF(uxb_works!$B$46=1,tblCategories_2014!AR21,tblCategories_2017!AR21))</f>
        <v>0</v>
      </c>
      <c r="AS21" s="1">
        <f>IF(IF(uxb_works!$B$46=1,tblCategories_2014!AS21,tblCategories_2017!AS21)="","",IF(uxb_works!$B$46=1,tblCategories_2014!AS21,tblCategories_2017!AS21))</f>
        <v>0</v>
      </c>
    </row>
    <row r="22" ht="12.75" spans="1:45">
      <c r="A22" s="1">
        <f>IF(IF(uxb_works!$B$46=1,tblCategories_2014!A22,tblCategories_2017!A22)="","",IF(uxb_works!$B$46=1,tblCategories_2014!A22,tblCategories_2017!A22))</f>
        <v>20</v>
      </c>
      <c r="B22" s="1" t="str">
        <f>IF(IF(uxb_works!$B$46=1,tblCategories_2014!B22,tblCategories_2017!B22)="","",IF(uxb_works!$B$46=1,tblCategories_2014!B22,tblCategories_2017!B22))</f>
        <v/>
      </c>
      <c r="C22" s="57" t="str">
        <f>IF(IF(uxb_works!$B$46=1,tblCategories_2014!C22,tblCategories_2017!C22)="","",IF(uxb_works!$B$46=1,tblCategories_2014!C22,tblCategories_2017!C22))</f>
        <v>2.2) Health security (Outputs)</v>
      </c>
      <c r="D22" s="1" t="str">
        <f>IF(IF(uxb_works!$B$46=1,tblCategories_2014!D22,tblCategories_2017!D22)="","",IF(uxb_works!$B$46=1,tblCategories_2014!D22,tblCategories_2017!D22))</f>
        <v>2.2) Health security (Outputs)</v>
      </c>
      <c r="E22" s="1" t="str">
        <f>IF(IF(uxb_works!$B$46=1,tblCategories_2014!E22,tblCategories_2017!E22)="","",IF(uxb_works!$B$46=1,tblCategories_2014!E22,tblCategories_2017!E22))</f>
        <v/>
      </c>
      <c r="F22" s="23">
        <f>IF(IF(uxb_works!$B$46=1,tblCategories_2014!F22,tblCategories_2017!F22)="","",IF(uxb_works!$B$46=1,tblCategories_2014!F22,tblCategories_2017!F22))</f>
        <v>1</v>
      </c>
      <c r="G22" s="32" t="str">
        <f>IF(IF(uxb_works!$B$46=1,tblCategories_2014!G22,tblCategories_2017!G22)="","",IF(uxb_works!$B$46=1,tblCategories_2014!G22,tblCategories_2017!G22))</f>
        <v/>
      </c>
      <c r="H22" s="1" t="str">
        <f>IF(IF(uxb_works!$B$46=1,tblCategories_2014!H22,tblCategories_2017!H22)="","",IF(uxb_works!$B$46=1,tblCategories_2014!H22,tblCategories_2017!H22))</f>
        <v/>
      </c>
      <c r="I22" s="23" t="str">
        <f>IF(IF(uxb_works!$B$46=1,tblCategories_2014!I22,tblCategories_2017!I22)="","",IF(uxb_works!$B$46=1,tblCategories_2014!I22,tblCategories_2017!I22))</f>
        <v/>
      </c>
      <c r="J22" s="1" t="str">
        <f>IF(IF(uxb_works!$B$46=1,tblCategories_2014!J22,tblCategories_2017!J22)="","",IF(uxb_works!$B$46=1,tblCategories_2014!J22,tblCategories_2017!J22))</f>
        <v/>
      </c>
      <c r="K22" s="1" t="str">
        <f>IF(IF(uxb_works!$B$46=1,tblCategories_2014!K23,tblCategories_2017!K22)="","",IF(uxb_works!$B$46=1,tblCategories_2014!K23,tblCategories_2017!K22))</f>
        <v/>
      </c>
      <c r="L22" s="1">
        <f>IF(IF(uxb_works!$B$46=1,tblCategories_2014!L22,tblCategories_2017!L22)="","",IF(uxb_works!$B$46=1,tblCategories_2014!L22,tblCategories_2017!L22))</f>
        <v>1</v>
      </c>
      <c r="M22" s="1">
        <f>IF(IF(uxb_works!$B$46=1,tblCategories_2014!M22,tblCategories_2017!M22)="","",IF(uxb_works!$B$46=1,tblCategories_2014!M22,tblCategories_2017!M22))</f>
        <v>1</v>
      </c>
      <c r="N22" s="1">
        <f>IF(IF(uxb_works!$B$46=1,tblCategories_2014!N22,tblCategories_2017!N22)="","",IF(uxb_works!$B$46=1,tblCategories_2014!N22,tblCategories_2017!N22))</f>
        <v>0</v>
      </c>
      <c r="O22" s="1">
        <f>IF(IF(uxb_works!$B$46=1,tblCategories_2014!O22,tblCategories_2017!O22)="","",IF(uxb_works!$B$46=1,tblCategories_2014!O22,tblCategories_2017!O22))</f>
        <v>0</v>
      </c>
      <c r="P22" s="1">
        <f>IF(IF(uxb_works!$B$46=1,tblCategories_2014!P22,tblCategories_2017!P22)="","",IF(uxb_works!$B$46=1,tblCategories_2014!P22,tblCategories_2017!P22))</f>
        <v>0</v>
      </c>
      <c r="Q22" s="1">
        <f>IF(IF(uxb_works!$B$46=1,tblCategories_2014!Q22,tblCategories_2017!Q22)="","",IF(uxb_works!$B$46=1,tblCategories_2014!Q22,tblCategories_2017!Q22))</f>
        <v>1</v>
      </c>
      <c r="R22" s="1">
        <f>IF(IF(uxb_works!$B$46=1,tblCategories_2014!R22,tblCategories_2017!R22)="","",IF(uxb_works!$B$46=1,tblCategories_2014!R22,tblCategories_2017!R22))</f>
        <v>0</v>
      </c>
      <c r="S22" s="1">
        <f>IF(IF(uxb_works!$B$46=1,tblCategories_2014!S22,tblCategories_2017!S22)="","",IF(uxb_works!$B$46=1,tblCategories_2014!S22,tblCategories_2017!S22))</f>
        <v>0</v>
      </c>
      <c r="T22" s="1">
        <f>IF(IF(uxb_works!$B$46=1,tblCategories_2014!T22,tblCategories_2017!T22)="","",IF(uxb_works!$B$46=1,tblCategories_2014!T22,tblCategories_2017!T22))</f>
        <v>0</v>
      </c>
      <c r="U22" s="1">
        <f>IF(IF(uxb_works!$B$46=1,tblCategories_2014!U22,tblCategories_2017!U22)="","",IF(uxb_works!$B$46=1,tblCategories_2014!U22,tblCategories_2017!U22))</f>
        <v>0</v>
      </c>
      <c r="V22" s="1">
        <f>IF(IF(uxb_works!$B$46=1,tblCategories_2014!V22,tblCategories_2017!V22)="","",IF(uxb_works!$B$46=1,tblCategories_2014!V22,tblCategories_2017!V22))</f>
        <v>0</v>
      </c>
      <c r="W22" s="1">
        <f>IF(IF(uxb_works!$B$46=1,tblCategories_2014!W22,tblCategories_2017!W22)="","",IF(uxb_works!$B$46=1,tblCategories_2014!W22,tblCategories_2017!W22))</f>
        <v>0</v>
      </c>
      <c r="X22" s="1">
        <f>IF(IF(uxb_works!$B$46=1,tblCategories_2014!X22,tblCategories_2017!X22)="","",IF(uxb_works!$B$46=1,tblCategories_2014!X22,tblCategories_2017!X22))</f>
        <v>0</v>
      </c>
      <c r="Y22" s="1">
        <f>IF(IF(uxb_works!$B$46=1,tblCategories_2014!Y22,tblCategories_2017!Y22)="","",IF(uxb_works!$B$46=1,tblCategories_2014!Y22,tblCategories_2017!Y22))</f>
        <v>0</v>
      </c>
      <c r="Z22" s="1" t="str">
        <f>IF(IF(uxb_works!$B$46=1,tblCategories_2014!Z22,tblCategories_2017!Z22)="","",IF(uxb_works!$B$46=1,tblCategories_2014!Z22,tblCategories_2017!Z22))</f>
        <v/>
      </c>
      <c r="AA22" s="53" t="str">
        <f>IF(IF(uxb_works!$B$46=1,tblCategories_2014!AA22,tblCategories_2017!AA22)="","",IF(uxb_works!$B$46=1,tblCategories_2014!AA22,tblCategories_2017!AA22))</f>
        <v/>
      </c>
      <c r="AB22" s="20" t="str">
        <f>IF(IF(uxb_works!$B$46=1,tblCategories_2014!AB22,tblCategories_2017!AB22)="","",IF(uxb_works!$B$46=1,tblCategories_2014!AB22,tblCategories_2017!AB22))</f>
        <v/>
      </c>
      <c r="AC22" s="23">
        <f>IF(IF(uxb_works!$B$46=1,tblCategories_2014!AC22,tblCategories_2017!AC22)="","",IF(uxb_works!$B$46=1,tblCategories_2014!AC22,tblCategories_2017!AC22))</f>
        <v>0</v>
      </c>
      <c r="AD22" s="1" t="str">
        <f>IF(IF(uxb_works!$B$46=1,tblCategories_2014!AD22,tblCategories_2017!AD22)="","",IF(uxb_works!$B$46=1,tblCategories_2014!AD22,tblCategories_2017!AD22))</f>
        <v/>
      </c>
      <c r="AF22" s="1">
        <f>IF(IF(uxb_works!$B$46=1,tblCategories_2014!AF22,tblCategories_2017!AF22)="","",IF(uxb_works!$B$46=1,tblCategories_2014!AF22,tblCategories_2017!AF22))</f>
        <v>1</v>
      </c>
      <c r="AG22" s="1">
        <f>IF(IF(uxb_works!$B$46=1,tblCategories_2014!AG22,tblCategories_2017!AG22)="","",IF(uxb_works!$B$46=1,tblCategories_2014!AG22,tblCategories_2017!AG22))</f>
        <v>0</v>
      </c>
      <c r="AH22" s="1">
        <f>IF(IF(uxb_works!$B$46=1,tblCategories_2014!AH22,tblCategories_2017!AH22)="","",IF(uxb_works!$B$46=1,tblCategories_2014!AH22,tblCategories_2017!AH22))</f>
        <v>0</v>
      </c>
      <c r="AI22" s="1">
        <f>IF(IF(uxb_works!$B$46=1,tblCategories_2014!AI22,tblCategories_2017!AI22)="","",IF(uxb_works!$B$46=1,tblCategories_2014!AI22,tblCategories_2017!AI22))</f>
        <v>0</v>
      </c>
      <c r="AJ22" s="1">
        <f>IF(IF(uxb_works!$B$46=1,tblCategories_2014!AJ22,tblCategories_2017!AJ22)="","",IF(uxb_works!$B$46=1,tblCategories_2014!AJ22,tblCategories_2017!AJ22))</f>
        <v>0</v>
      </c>
      <c r="AK22" s="1">
        <f>IF(IF(uxb_works!$B$46=1,tblCategories_2014!AK22,tblCategories_2017!AK22)="","",IF(uxb_works!$B$46=1,tblCategories_2014!AK22,tblCategories_2017!AK22))</f>
        <v>1</v>
      </c>
      <c r="AL22" s="1">
        <f>IF(IF(uxb_works!$B$46=1,tblCategories_2014!AL22,tblCategories_2017!AL22)="","",IF(uxb_works!$B$46=1,tblCategories_2014!AL22,tblCategories_2017!AL22))</f>
        <v>0</v>
      </c>
      <c r="AM22" s="1">
        <f>IF(IF(uxb_works!$B$46=1,tblCategories_2014!AM22,tblCategories_2017!AM22)="","",IF(uxb_works!$B$46=1,tblCategories_2014!AM22,tblCategories_2017!AM22))</f>
        <v>0</v>
      </c>
      <c r="AN22" s="1">
        <f>IF(IF(uxb_works!$B$46=1,tblCategories_2014!AN22,tblCategories_2017!AN22)="","",IF(uxb_works!$B$46=1,tblCategories_2014!AN22,tblCategories_2017!AN22))</f>
        <v>0</v>
      </c>
      <c r="AO22" s="1">
        <f>IF(IF(uxb_works!$B$46=1,tblCategories_2014!AO22,tblCategories_2017!AO22)="","",IF(uxb_works!$B$46=1,tblCategories_2014!AO22,tblCategories_2017!AO22))</f>
        <v>0</v>
      </c>
      <c r="AP22" s="1">
        <f>IF(IF(uxb_works!$B$46=1,tblCategories_2014!AP22,tblCategories_2017!AP22)="","",IF(uxb_works!$B$46=1,tblCategories_2014!AP22,tblCategories_2017!AP22))</f>
        <v>0</v>
      </c>
      <c r="AQ22" s="1">
        <f>IF(IF(uxb_works!$B$46=1,tblCategories_2014!AQ22,tblCategories_2017!AQ22)="","",IF(uxb_works!$B$46=1,tblCategories_2014!AQ22,tblCategories_2017!AQ22))</f>
        <v>0</v>
      </c>
      <c r="AR22" s="1">
        <f>IF(IF(uxb_works!$B$46=1,tblCategories_2014!AR22,tblCategories_2017!AR22)="","",IF(uxb_works!$B$46=1,tblCategories_2014!AR22,tblCategories_2017!AR22))</f>
        <v>0</v>
      </c>
      <c r="AS22" s="1">
        <f>IF(IF(uxb_works!$B$46=1,tblCategories_2014!AS22,tblCategories_2017!AS22)="","",IF(uxb_works!$B$46=1,tblCategories_2014!AS22,tblCategories_2017!AS22))</f>
        <v>0</v>
      </c>
    </row>
    <row r="23" ht="12.75" spans="1:45">
      <c r="A23" s="1">
        <f>IF(IF(uxb_works!$B$46=1,tblCategories_2014!A23,tblCategories_2017!A23)="","",IF(uxb_works!$B$46=1,tblCategories_2014!A23,tblCategories_2017!A23))</f>
        <v>21</v>
      </c>
      <c r="B23" s="1" t="str">
        <f>IF(IF(uxb_works!$B$46=1,tblCategories_2014!B23,tblCategories_2017!B23)="","",IF(uxb_works!$B$46=1,tblCategories_2014!B23,tblCategories_2017!B23))</f>
        <v/>
      </c>
      <c r="C23" s="57" t="str">
        <f>IF(IF(uxb_works!$B$46=1,tblCategories_2014!C23,tblCategories_2017!C23)="","",IF(uxb_works!$B$46=1,tblCategories_2014!C23,tblCategories_2017!C23))</f>
        <v>2.2.1) Air quality (PM 2.5 levels)</v>
      </c>
      <c r="D23" s="1" t="str">
        <f>IF(IF(uxb_works!$B$46=1,tblCategories_2014!D23,tblCategories_2017!D23)="","",IF(uxb_works!$B$46=1,tblCategories_2014!D23,tblCategories_2017!D23))</f>
        <v>2.2.1) Air quality (PM 2.5 levels)</v>
      </c>
      <c r="E23" s="1" t="str">
        <f>IF(IF(uxb_works!$B$46=1,tblCategories_2014!E23,tblCategories_2017!E23)="","",IF(uxb_works!$B$46=1,tblCategories_2014!E23,tblCategories_2017!E23))</f>
        <v/>
      </c>
      <c r="F23" s="23">
        <f>IF(IF(uxb_works!$B$46=1,tblCategories_2014!F23,tblCategories_2017!F23)="","",IF(uxb_works!$B$46=1,tblCategories_2014!F23,tblCategories_2017!F23))</f>
        <v>1</v>
      </c>
      <c r="G23" s="32" t="str">
        <f>IF(IF(uxb_works!$B$46=1,tblCategories_2014!G23,tblCategories_2017!G23)="","",IF(uxb_works!$B$46=1,tblCategories_2014!G23,tblCategories_2017!G23))</f>
        <v/>
      </c>
      <c r="H23" s="1" t="str">
        <f>IF(IF(uxb_works!$B$46=1,tblCategories_2014!H23,tblCategories_2017!H23)="","",IF(uxb_works!$B$46=1,tblCategories_2014!H23,tblCategories_2017!H23))</f>
        <v/>
      </c>
      <c r="I23" s="23" t="str">
        <f>IF(IF(uxb_works!$B$46=1,tblCategories_2014!I23,tblCategories_2017!I23)="","",IF(uxb_works!$B$46=1,tblCategories_2014!I23,tblCategories_2017!I23))</f>
        <v/>
      </c>
      <c r="J23" s="1" t="str">
        <f>IF(IF(uxb_works!$B$46=1,tblCategories_2014!J23,tblCategories_2017!J23)="","",IF(uxb_works!$B$46=1,tblCategories_2014!J23,tblCategories_2017!J23))</f>
        <v/>
      </c>
      <c r="K23" s="1" t="str">
        <f>IF(IF(uxb_works!$B$46=1,tblCategories_2014!K24,tblCategories_2017!K23)="","",IF(uxb_works!$B$46=1,tblCategories_2014!K24,tblCategories_2017!K23))</f>
        <v/>
      </c>
      <c r="L23" s="1">
        <f>IF(IF(uxb_works!$B$46=1,tblCategories_2014!L23,tblCategories_2017!L23)="","",IF(uxb_works!$B$46=1,tblCategories_2014!L23,tblCategories_2017!L23))</f>
        <v>1</v>
      </c>
      <c r="M23" s="1">
        <f>IF(IF(uxb_works!$B$46=1,tblCategories_2014!M23,tblCategories_2017!M23)="","",IF(uxb_works!$B$46=1,tblCategories_2014!M23,tblCategories_2017!M23))</f>
        <v>1</v>
      </c>
      <c r="N23" s="1">
        <f>IF(IF(uxb_works!$B$46=1,tblCategories_2014!N23,tblCategories_2017!N23)="","",IF(uxb_works!$B$46=1,tblCategories_2014!N23,tblCategories_2017!N23))</f>
        <v>0</v>
      </c>
      <c r="O23" s="1">
        <f>IF(IF(uxb_works!$B$46=1,tblCategories_2014!O23,tblCategories_2017!O23)="","",IF(uxb_works!$B$46=1,tblCategories_2014!O23,tblCategories_2017!O23))</f>
        <v>0</v>
      </c>
      <c r="P23" s="1">
        <f>IF(IF(uxb_works!$B$46=1,tblCategories_2014!P23,tblCategories_2017!P23)="","",IF(uxb_works!$B$46=1,tblCategories_2014!P23,tblCategories_2017!P23))</f>
        <v>0</v>
      </c>
      <c r="Q23" s="1">
        <f>IF(IF(uxb_works!$B$46=1,tblCategories_2014!Q23,tblCategories_2017!Q23)="","",IF(uxb_works!$B$46=1,tblCategories_2014!Q23,tblCategories_2017!Q23))</f>
        <v>1</v>
      </c>
      <c r="R23" s="1">
        <f>IF(IF(uxb_works!$B$46=1,tblCategories_2014!R23,tblCategories_2017!R23)="","",IF(uxb_works!$B$46=1,tblCategories_2014!R23,tblCategories_2017!R23))</f>
        <v>0</v>
      </c>
      <c r="S23" s="1">
        <f>IF(IF(uxb_works!$B$46=1,tblCategories_2014!S23,tblCategories_2017!S23)="","",IF(uxb_works!$B$46=1,tblCategories_2014!S23,tblCategories_2017!S23))</f>
        <v>1</v>
      </c>
      <c r="T23" s="1">
        <f>IF(IF(uxb_works!$B$46=1,tblCategories_2014!T23,tblCategories_2017!T23)="","",IF(uxb_works!$B$46=1,tblCategories_2014!T23,tblCategories_2017!T23))</f>
        <v>0</v>
      </c>
      <c r="U23" s="1">
        <f>IF(IF(uxb_works!$B$46=1,tblCategories_2014!U23,tblCategories_2017!U23)="","",IF(uxb_works!$B$46=1,tblCategories_2014!U23,tblCategories_2017!U23))</f>
        <v>0</v>
      </c>
      <c r="V23" s="1">
        <f>IF(IF(uxb_works!$B$46=1,tblCategories_2014!V23,tblCategories_2017!V23)="","",IF(uxb_works!$B$46=1,tblCategories_2014!V23,tblCategories_2017!V23))</f>
        <v>0</v>
      </c>
      <c r="W23" s="1">
        <f>IF(IF(uxb_works!$B$46=1,tblCategories_2014!W23,tblCategories_2017!W23)="","",IF(uxb_works!$B$46=1,tblCategories_2014!W23,tblCategories_2017!W23))</f>
        <v>0</v>
      </c>
      <c r="X23" s="1">
        <f>IF(IF(uxb_works!$B$46=1,tblCategories_2014!X23,tblCategories_2017!X23)="","",IF(uxb_works!$B$46=1,tblCategories_2014!X23,tblCategories_2017!X23))</f>
        <v>0</v>
      </c>
      <c r="Y23" s="1">
        <f>IF(IF(uxb_works!$B$46=1,tblCategories_2014!Y23,tblCategories_2017!Y23)="","",IF(uxb_works!$B$46=1,tblCategories_2014!Y23,tblCategories_2017!Y23))</f>
        <v>0</v>
      </c>
      <c r="Z23" s="1" t="str">
        <f>IF(IF(uxb_works!$B$46=1,tblCategories_2014!Z23,tblCategories_2017!Z23)="","",IF(uxb_works!$B$46=1,tblCategories_2014!Z23,tblCategories_2017!Z23))</f>
        <v/>
      </c>
      <c r="AA23" s="53" t="str">
        <f>IF(IF(uxb_works!$B$46=1,tblCategories_2014!AA23,tblCategories_2017!AA23)="","",IF(uxb_works!$B$46=1,tblCategories_2014!AA23,tblCategories_2017!AA23))</f>
        <v/>
      </c>
      <c r="AB23" s="20" t="str">
        <f>IF(IF(uxb_works!$B$46=1,tblCategories_2014!AB23,tblCategories_2017!AB23)="","",IF(uxb_works!$B$46=1,tblCategories_2014!AB23,tblCategories_2017!AB23))</f>
        <v/>
      </c>
      <c r="AC23" s="23">
        <f>IF(IF(uxb_works!$B$46=1,tblCategories_2014!AC23,tblCategories_2017!AC23)="","",IF(uxb_works!$B$46=1,tblCategories_2014!AC23,tblCategories_2017!AC23))</f>
        <v>0</v>
      </c>
      <c r="AD23" s="1" t="str">
        <f>IF(IF(uxb_works!$B$46=1,tblCategories_2014!AD23,tblCategories_2017!AD23)="","",IF(uxb_works!$B$46=1,tblCategories_2014!AD23,tblCategories_2017!AD23))</f>
        <v/>
      </c>
      <c r="AF23" s="1">
        <f>IF(IF(uxb_works!$B$46=1,tblCategories_2014!AF23,tblCategories_2017!AF23)="","",IF(uxb_works!$B$46=1,tblCategories_2014!AF23,tblCategories_2017!AF23))</f>
        <v>1</v>
      </c>
      <c r="AG23" s="1">
        <f>IF(IF(uxb_works!$B$46=1,tblCategories_2014!AG23,tblCategories_2017!AG23)="","",IF(uxb_works!$B$46=1,tblCategories_2014!AG23,tblCategories_2017!AG23))</f>
        <v>0</v>
      </c>
      <c r="AH23" s="1">
        <f>IF(IF(uxb_works!$B$46=1,tblCategories_2014!AH23,tblCategories_2017!AH23)="","",IF(uxb_works!$B$46=1,tblCategories_2014!AH23,tblCategories_2017!AH23))</f>
        <v>0</v>
      </c>
      <c r="AI23" s="1">
        <f>IF(IF(uxb_works!$B$46=1,tblCategories_2014!AI23,tblCategories_2017!AI23)="","",IF(uxb_works!$B$46=1,tblCategories_2014!AI23,tblCategories_2017!AI23))</f>
        <v>0</v>
      </c>
      <c r="AJ23" s="1">
        <f>IF(IF(uxb_works!$B$46=1,tblCategories_2014!AJ23,tblCategories_2017!AJ23)="","",IF(uxb_works!$B$46=1,tblCategories_2014!AJ23,tblCategories_2017!AJ23))</f>
        <v>0</v>
      </c>
      <c r="AK23" s="1">
        <f>IF(IF(uxb_works!$B$46=1,tblCategories_2014!AK23,tblCategories_2017!AK23)="","",IF(uxb_works!$B$46=1,tblCategories_2014!AK23,tblCategories_2017!AK23))</f>
        <v>0</v>
      </c>
      <c r="AL23" s="1">
        <f>IF(IF(uxb_works!$B$46=1,tblCategories_2014!AL23,tblCategories_2017!AL23)="","",IF(uxb_works!$B$46=1,tblCategories_2014!AL23,tblCategories_2017!AL23))</f>
        <v>0</v>
      </c>
      <c r="AM23" s="1">
        <f>IF(IF(uxb_works!$B$46=1,tblCategories_2014!AM23,tblCategories_2017!AM23)="","",IF(uxb_works!$B$46=1,tblCategories_2014!AM23,tblCategories_2017!AM23))</f>
        <v>1</v>
      </c>
      <c r="AN23" s="1">
        <f>IF(IF(uxb_works!$B$46=1,tblCategories_2014!AN23,tblCategories_2017!AN23)="","",IF(uxb_works!$B$46=1,tblCategories_2014!AN23,tblCategories_2017!AN23))</f>
        <v>0</v>
      </c>
      <c r="AO23" s="1">
        <f>IF(IF(uxb_works!$B$46=1,tblCategories_2014!AO23,tblCategories_2017!AO23)="","",IF(uxb_works!$B$46=1,tblCategories_2014!AO23,tblCategories_2017!AO23))</f>
        <v>0</v>
      </c>
      <c r="AP23" s="1">
        <f>IF(IF(uxb_works!$B$46=1,tblCategories_2014!AP23,tblCategories_2017!AP23)="","",IF(uxb_works!$B$46=1,tblCategories_2014!AP23,tblCategories_2017!AP23))</f>
        <v>0</v>
      </c>
      <c r="AQ23" s="1">
        <f>IF(IF(uxb_works!$B$46=1,tblCategories_2014!AQ23,tblCategories_2017!AQ23)="","",IF(uxb_works!$B$46=1,tblCategories_2014!AQ23,tblCategories_2017!AQ23))</f>
        <v>0</v>
      </c>
      <c r="AR23" s="1">
        <f>IF(IF(uxb_works!$B$46=1,tblCategories_2014!AR23,tblCategories_2017!AR23)="","",IF(uxb_works!$B$46=1,tblCategories_2014!AR23,tblCategories_2017!AR23))</f>
        <v>0</v>
      </c>
      <c r="AS23" s="1">
        <f>IF(IF(uxb_works!$B$46=1,tblCategories_2014!AS23,tblCategories_2017!AS23)="","",IF(uxb_works!$B$46=1,tblCategories_2014!AS23,tblCategories_2017!AS23))</f>
        <v>0</v>
      </c>
    </row>
    <row r="24" ht="12.75" spans="1:45">
      <c r="A24" s="1">
        <f>IF(IF(uxb_works!$B$46=1,tblCategories_2014!A24,tblCategories_2017!A24)="","",IF(uxb_works!$B$46=1,tblCategories_2014!A24,tblCategories_2017!A24))</f>
        <v>22</v>
      </c>
      <c r="B24" s="1" t="str">
        <f>IF(IF(uxb_works!$B$46=1,tblCategories_2014!B24,tblCategories_2017!B24)="","",IF(uxb_works!$B$46=1,tblCategories_2014!B24,tblCategories_2017!B24))</f>
        <v/>
      </c>
      <c r="C24" s="57" t="str">
        <f>IF(IF(uxb_works!$B$46=1,tblCategories_2014!C24,tblCategories_2017!C24)="","",IF(uxb_works!$B$46=1,tblCategories_2014!C24,tblCategories_2017!C24))</f>
        <v>2.2.2) Water quality</v>
      </c>
      <c r="D24" s="1" t="str">
        <f>IF(IF(uxb_works!$B$46=1,tblCategories_2014!D24,tblCategories_2017!D24)="","",IF(uxb_works!$B$46=1,tblCategories_2014!D24,tblCategories_2017!D24))</f>
        <v>2.2.2) Water quality</v>
      </c>
      <c r="E24" s="1" t="str">
        <f>IF(IF(uxb_works!$B$46=1,tblCategories_2014!E24,tblCategories_2017!E24)="","",IF(uxb_works!$B$46=1,tblCategories_2014!E24,tblCategories_2017!E24))</f>
        <v/>
      </c>
      <c r="F24" s="23">
        <f>IF(IF(uxb_works!$B$46=1,tblCategories_2014!F24,tblCategories_2017!F24)="","",IF(uxb_works!$B$46=1,tblCategories_2014!F24,tblCategories_2017!F24))</f>
        <v>1</v>
      </c>
      <c r="G24" s="32" t="str">
        <f>IF(IF(uxb_works!$B$46=1,tblCategories_2014!G24,tblCategories_2017!G24)="","",IF(uxb_works!$B$46=1,tblCategories_2014!G24,tblCategories_2017!G24))</f>
        <v/>
      </c>
      <c r="H24" s="1" t="str">
        <f>IF(IF(uxb_works!$B$46=1,tblCategories_2014!H24,tblCategories_2017!H24)="","",IF(uxb_works!$B$46=1,tblCategories_2014!H24,tblCategories_2017!H24))</f>
        <v/>
      </c>
      <c r="I24" s="23" t="str">
        <f>IF(IF(uxb_works!$B$46=1,tblCategories_2014!I24,tblCategories_2017!I24)="","",IF(uxb_works!$B$46=1,tblCategories_2014!I24,tblCategories_2017!I24))</f>
        <v/>
      </c>
      <c r="J24" s="1" t="str">
        <f>IF(IF(uxb_works!$B$46=1,tblCategories_2014!J24,tblCategories_2017!J24)="","",IF(uxb_works!$B$46=1,tblCategories_2014!J24,tblCategories_2017!J24))</f>
        <v/>
      </c>
      <c r="K24" s="1" t="str">
        <f>IF(IF(uxb_works!$B$46=1,tblCategories_2014!K25,tblCategories_2017!K24)="","",IF(uxb_works!$B$46=1,tblCategories_2014!K25,tblCategories_2017!K24))</f>
        <v/>
      </c>
      <c r="L24" s="1">
        <f>IF(IF(uxb_works!$B$46=1,tblCategories_2014!L24,tblCategories_2017!L24)="","",IF(uxb_works!$B$46=1,tblCategories_2014!L24,tblCategories_2017!L24))</f>
        <v>1</v>
      </c>
      <c r="M24" s="1">
        <f>IF(IF(uxb_works!$B$46=1,tblCategories_2014!M24,tblCategories_2017!M24)="","",IF(uxb_works!$B$46=1,tblCategories_2014!M24,tblCategories_2017!M24))</f>
        <v>1</v>
      </c>
      <c r="N24" s="1">
        <f>IF(IF(uxb_works!$B$46=1,tblCategories_2014!N24,tblCategories_2017!N24)="","",IF(uxb_works!$B$46=1,tblCategories_2014!N24,tblCategories_2017!N24))</f>
        <v>0</v>
      </c>
      <c r="O24" s="1">
        <f>IF(IF(uxb_works!$B$46=1,tblCategories_2014!O24,tblCategories_2017!O24)="","",IF(uxb_works!$B$46=1,tblCategories_2014!O24,tblCategories_2017!O24))</f>
        <v>0</v>
      </c>
      <c r="P24" s="1">
        <f>IF(IF(uxb_works!$B$46=1,tblCategories_2014!P24,tblCategories_2017!P24)="","",IF(uxb_works!$B$46=1,tblCategories_2014!P24,tblCategories_2017!P24))</f>
        <v>0</v>
      </c>
      <c r="Q24" s="1">
        <f>IF(IF(uxb_works!$B$46=1,tblCategories_2014!Q24,tblCategories_2017!Q24)="","",IF(uxb_works!$B$46=1,tblCategories_2014!Q24,tblCategories_2017!Q24))</f>
        <v>1</v>
      </c>
      <c r="R24" s="1">
        <f>IF(IF(uxb_works!$B$46=1,tblCategories_2014!R24,tblCategories_2017!R24)="","",IF(uxb_works!$B$46=1,tblCategories_2014!R24,tblCategories_2017!R24))</f>
        <v>0</v>
      </c>
      <c r="S24" s="1">
        <f>IF(IF(uxb_works!$B$46=1,tblCategories_2014!S24,tblCategories_2017!S24)="","",IF(uxb_works!$B$46=1,tblCategories_2014!S24,tblCategories_2017!S24))</f>
        <v>1</v>
      </c>
      <c r="T24" s="1">
        <f>IF(IF(uxb_works!$B$46=1,tblCategories_2014!T24,tblCategories_2017!T24)="","",IF(uxb_works!$B$46=1,tblCategories_2014!T24,tblCategories_2017!T24))</f>
        <v>0</v>
      </c>
      <c r="U24" s="1">
        <f>IF(IF(uxb_works!$B$46=1,tblCategories_2014!U24,tblCategories_2017!U24)="","",IF(uxb_works!$B$46=1,tblCategories_2014!U24,tblCategories_2017!U24))</f>
        <v>0</v>
      </c>
      <c r="V24" s="1">
        <f>IF(IF(uxb_works!$B$46=1,tblCategories_2014!V24,tblCategories_2017!V24)="","",IF(uxb_works!$B$46=1,tblCategories_2014!V24,tblCategories_2017!V24))</f>
        <v>0</v>
      </c>
      <c r="W24" s="1">
        <f>IF(IF(uxb_works!$B$46=1,tblCategories_2014!W24,tblCategories_2017!W24)="","",IF(uxb_works!$B$46=1,tblCategories_2014!W24,tblCategories_2017!W24))</f>
        <v>0</v>
      </c>
      <c r="X24" s="1">
        <f>IF(IF(uxb_works!$B$46=1,tblCategories_2014!X24,tblCategories_2017!X24)="","",IF(uxb_works!$B$46=1,tblCategories_2014!X24,tblCategories_2017!X24))</f>
        <v>0</v>
      </c>
      <c r="Y24" s="1">
        <f>IF(IF(uxb_works!$B$46=1,tblCategories_2014!Y24,tblCategories_2017!Y24)="","",IF(uxb_works!$B$46=1,tblCategories_2014!Y24,tblCategories_2017!Y24))</f>
        <v>0</v>
      </c>
      <c r="Z24" s="1" t="str">
        <f>IF(IF(uxb_works!$B$46=1,tblCategories_2014!Z24,tblCategories_2017!Z24)="","",IF(uxb_works!$B$46=1,tblCategories_2014!Z24,tblCategories_2017!Z24))</f>
        <v/>
      </c>
      <c r="AA24" s="53" t="str">
        <f>IF(IF(uxb_works!$B$46=1,tblCategories_2014!AA24,tblCategories_2017!AA24)="","",IF(uxb_works!$B$46=1,tblCategories_2014!AA24,tblCategories_2017!AA24))</f>
        <v/>
      </c>
      <c r="AB24" s="20" t="str">
        <f>IF(IF(uxb_works!$B$46=1,tblCategories_2014!AB24,tblCategories_2017!AB24)="","",IF(uxb_works!$B$46=1,tblCategories_2014!AB24,tblCategories_2017!AB24))</f>
        <v/>
      </c>
      <c r="AC24" s="23">
        <f>IF(IF(uxb_works!$B$46=1,tblCategories_2014!AC24,tblCategories_2017!AC24)="","",IF(uxb_works!$B$46=1,tblCategories_2014!AC24,tblCategories_2017!AC24))</f>
        <v>0</v>
      </c>
      <c r="AD24" s="1" t="str">
        <f>IF(IF(uxb_works!$B$46=1,tblCategories_2014!AD24,tblCategories_2017!AD24)="","",IF(uxb_works!$B$46=1,tblCategories_2014!AD24,tblCategories_2017!AD24))</f>
        <v/>
      </c>
      <c r="AF24" s="1">
        <f>IF(IF(uxb_works!$B$46=1,tblCategories_2014!AF24,tblCategories_2017!AF24)="","",IF(uxb_works!$B$46=1,tblCategories_2014!AF24,tblCategories_2017!AF24))</f>
        <v>1</v>
      </c>
      <c r="AG24" s="1">
        <f>IF(IF(uxb_works!$B$46=1,tblCategories_2014!AG24,tblCategories_2017!AG24)="","",IF(uxb_works!$B$46=1,tblCategories_2014!AG24,tblCategories_2017!AG24))</f>
        <v>0</v>
      </c>
      <c r="AH24" s="1">
        <f>IF(IF(uxb_works!$B$46=1,tblCategories_2014!AH24,tblCategories_2017!AH24)="","",IF(uxb_works!$B$46=1,tblCategories_2014!AH24,tblCategories_2017!AH24))</f>
        <v>0</v>
      </c>
      <c r="AI24" s="1">
        <f>IF(IF(uxb_works!$B$46=1,tblCategories_2014!AI24,tblCategories_2017!AI24)="","",IF(uxb_works!$B$46=1,tblCategories_2014!AI24,tblCategories_2017!AI24))</f>
        <v>0</v>
      </c>
      <c r="AJ24" s="1">
        <f>IF(IF(uxb_works!$B$46=1,tblCategories_2014!AJ24,tblCategories_2017!AJ24)="","",IF(uxb_works!$B$46=1,tblCategories_2014!AJ24,tblCategories_2017!AJ24))</f>
        <v>0</v>
      </c>
      <c r="AK24" s="1">
        <f>IF(IF(uxb_works!$B$46=1,tblCategories_2014!AK24,tblCategories_2017!AK24)="","",IF(uxb_works!$B$46=1,tblCategories_2014!AK24,tblCategories_2017!AK24))</f>
        <v>0</v>
      </c>
      <c r="AL24" s="1">
        <f>IF(IF(uxb_works!$B$46=1,tblCategories_2014!AL24,tblCategories_2017!AL24)="","",IF(uxb_works!$B$46=1,tblCategories_2014!AL24,tblCategories_2017!AL24))</f>
        <v>0</v>
      </c>
      <c r="AM24" s="1">
        <f>IF(IF(uxb_works!$B$46=1,tblCategories_2014!AM24,tblCategories_2017!AM24)="","",IF(uxb_works!$B$46=1,tblCategories_2014!AM24,tblCategories_2017!AM24))</f>
        <v>1</v>
      </c>
      <c r="AN24" s="1">
        <f>IF(IF(uxb_works!$B$46=1,tblCategories_2014!AN24,tblCategories_2017!AN24)="","",IF(uxb_works!$B$46=1,tblCategories_2014!AN24,tblCategories_2017!AN24))</f>
        <v>0</v>
      </c>
      <c r="AO24" s="1">
        <f>IF(IF(uxb_works!$B$46=1,tblCategories_2014!AO24,tblCategories_2017!AO24)="","",IF(uxb_works!$B$46=1,tblCategories_2014!AO24,tblCategories_2017!AO24))</f>
        <v>0</v>
      </c>
      <c r="AP24" s="1">
        <f>IF(IF(uxb_works!$B$46=1,tblCategories_2014!AP24,tblCategories_2017!AP24)="","",IF(uxb_works!$B$46=1,tblCategories_2014!AP24,tblCategories_2017!AP24))</f>
        <v>0</v>
      </c>
      <c r="AQ24" s="1">
        <f>IF(IF(uxb_works!$B$46=1,tblCategories_2014!AQ24,tblCategories_2017!AQ24)="","",IF(uxb_works!$B$46=1,tblCategories_2014!AQ24,tblCategories_2017!AQ24))</f>
        <v>0</v>
      </c>
      <c r="AR24" s="1">
        <f>IF(IF(uxb_works!$B$46=1,tblCategories_2014!AR24,tblCategories_2017!AR24)="","",IF(uxb_works!$B$46=1,tblCategories_2014!AR24,tblCategories_2017!AR24))</f>
        <v>0</v>
      </c>
      <c r="AS24" s="1">
        <f>IF(IF(uxb_works!$B$46=1,tblCategories_2014!AS24,tblCategories_2017!AS24)="","",IF(uxb_works!$B$46=1,tblCategories_2014!AS24,tblCategories_2017!AS24))</f>
        <v>0</v>
      </c>
    </row>
    <row r="25" ht="12.75" spans="1:45">
      <c r="A25" s="1">
        <f>IF(IF(uxb_works!$B$46=1,tblCategories_2014!A25,tblCategories_2017!A25)="","",IF(uxb_works!$B$46=1,tblCategories_2014!A25,tblCategories_2017!A25))</f>
        <v>23</v>
      </c>
      <c r="B25" s="1" t="str">
        <f>IF(IF(uxb_works!$B$46=1,tblCategories_2014!B25,tblCategories_2017!B25)="","",IF(uxb_works!$B$46=1,tblCategories_2014!B25,tblCategories_2017!B25))</f>
        <v/>
      </c>
      <c r="C25" s="57" t="str">
        <f>IF(IF(uxb_works!$B$46=1,tblCategories_2014!C25,tblCategories_2017!C25)="","",IF(uxb_works!$B$46=1,tblCategories_2014!C25,tblCategories_2017!C25))</f>
        <v>2.2.3) Life expectancy years</v>
      </c>
      <c r="D25" s="1" t="str">
        <f>IF(IF(uxb_works!$B$46=1,tblCategories_2014!D25,tblCategories_2017!D25)="","",IF(uxb_works!$B$46=1,tblCategories_2014!D25,tblCategories_2017!D25))</f>
        <v>2.2.3) Life expectancy years</v>
      </c>
      <c r="E25" s="1" t="str">
        <f>IF(IF(uxb_works!$B$46=1,tblCategories_2014!E25,tblCategories_2017!E25)="","",IF(uxb_works!$B$46=1,tblCategories_2014!E25,tblCategories_2017!E25))</f>
        <v/>
      </c>
      <c r="F25" s="23">
        <f>IF(IF(uxb_works!$B$46=1,tblCategories_2014!F25,tblCategories_2017!F25)="","",IF(uxb_works!$B$46=1,tblCategories_2014!F25,tblCategories_2017!F25))</f>
        <v>1</v>
      </c>
      <c r="G25" s="32" t="str">
        <f>IF(IF(uxb_works!$B$46=1,tblCategories_2014!G25,tblCategories_2017!G25)="","",IF(uxb_works!$B$46=1,tblCategories_2014!G25,tblCategories_2017!G25))</f>
        <v/>
      </c>
      <c r="H25" s="1" t="str">
        <f>IF(IF(uxb_works!$B$46=1,tblCategories_2014!H25,tblCategories_2017!H25)="","",IF(uxb_works!$B$46=1,tblCategories_2014!H25,tblCategories_2017!H25))</f>
        <v/>
      </c>
      <c r="I25" s="23" t="str">
        <f>IF(IF(uxb_works!$B$46=1,tblCategories_2014!I25,tblCategories_2017!I25)="","",IF(uxb_works!$B$46=1,tblCategories_2014!I25,tblCategories_2017!I25))</f>
        <v/>
      </c>
      <c r="J25" s="1" t="str">
        <f>IF(IF(uxb_works!$B$46=1,tblCategories_2014!J25,tblCategories_2017!J25)="","",IF(uxb_works!$B$46=1,tblCategories_2014!J25,tblCategories_2017!J25))</f>
        <v/>
      </c>
      <c r="K25" s="1" t="str">
        <f>IF(IF(uxb_works!$B$46=1,tblCategories_2014!K26,tblCategories_2017!K25)="","",IF(uxb_works!$B$46=1,tblCategories_2014!K26,tblCategories_2017!K25))</f>
        <v/>
      </c>
      <c r="L25" s="1">
        <f>IF(IF(uxb_works!$B$46=1,tblCategories_2014!L25,tblCategories_2017!L25)="","",IF(uxb_works!$B$46=1,tblCategories_2014!L25,tblCategories_2017!L25))</f>
        <v>1</v>
      </c>
      <c r="M25" s="1">
        <f>IF(IF(uxb_works!$B$46=1,tblCategories_2014!M25,tblCategories_2017!M25)="","",IF(uxb_works!$B$46=1,tblCategories_2014!M25,tblCategories_2017!M25))</f>
        <v>1</v>
      </c>
      <c r="N25" s="1">
        <f>IF(IF(uxb_works!$B$46=1,tblCategories_2014!N25,tblCategories_2017!N25)="","",IF(uxb_works!$B$46=1,tblCategories_2014!N25,tblCategories_2017!N25))</f>
        <v>0</v>
      </c>
      <c r="O25" s="1">
        <f>IF(IF(uxb_works!$B$46=1,tblCategories_2014!O25,tblCategories_2017!O25)="","",IF(uxb_works!$B$46=1,tblCategories_2014!O25,tblCategories_2017!O25))</f>
        <v>0</v>
      </c>
      <c r="P25" s="1">
        <f>IF(IF(uxb_works!$B$46=1,tblCategories_2014!P25,tblCategories_2017!P25)="","",IF(uxb_works!$B$46=1,tblCategories_2014!P25,tblCategories_2017!P25))</f>
        <v>0</v>
      </c>
      <c r="Q25" s="1">
        <f>IF(IF(uxb_works!$B$46=1,tblCategories_2014!Q25,tblCategories_2017!Q25)="","",IF(uxb_works!$B$46=1,tblCategories_2014!Q25,tblCategories_2017!Q25))</f>
        <v>1</v>
      </c>
      <c r="R25" s="1">
        <f>IF(IF(uxb_works!$B$46=1,tblCategories_2014!R25,tblCategories_2017!R25)="","",IF(uxb_works!$B$46=1,tblCategories_2014!R25,tblCategories_2017!R25))</f>
        <v>0</v>
      </c>
      <c r="S25" s="1">
        <f>IF(IF(uxb_works!$B$46=1,tblCategories_2014!S25,tblCategories_2017!S25)="","",IF(uxb_works!$B$46=1,tblCategories_2014!S25,tblCategories_2017!S25))</f>
        <v>1</v>
      </c>
      <c r="T25" s="1">
        <f>IF(IF(uxb_works!$B$46=1,tblCategories_2014!T25,tblCategories_2017!T25)="","",IF(uxb_works!$B$46=1,tblCategories_2014!T25,tblCategories_2017!T25))</f>
        <v>0</v>
      </c>
      <c r="U25" s="1">
        <f>IF(IF(uxb_works!$B$46=1,tblCategories_2014!U25,tblCategories_2017!U25)="","",IF(uxb_works!$B$46=1,tblCategories_2014!U25,tblCategories_2017!U25))</f>
        <v>0</v>
      </c>
      <c r="V25" s="1">
        <f>IF(IF(uxb_works!$B$46=1,tblCategories_2014!V25,tblCategories_2017!V25)="","",IF(uxb_works!$B$46=1,tblCategories_2014!V25,tblCategories_2017!V25))</f>
        <v>0</v>
      </c>
      <c r="W25" s="1">
        <f>IF(IF(uxb_works!$B$46=1,tblCategories_2014!W25,tblCategories_2017!W25)="","",IF(uxb_works!$B$46=1,tblCategories_2014!W25,tblCategories_2017!W25))</f>
        <v>0</v>
      </c>
      <c r="X25" s="1">
        <f>IF(IF(uxb_works!$B$46=1,tblCategories_2014!X25,tblCategories_2017!X25)="","",IF(uxb_works!$B$46=1,tblCategories_2014!X25,tblCategories_2017!X25))</f>
        <v>0</v>
      </c>
      <c r="Y25" s="1">
        <f>IF(IF(uxb_works!$B$46=1,tblCategories_2014!Y25,tblCategories_2017!Y25)="","",IF(uxb_works!$B$46=1,tblCategories_2014!Y25,tblCategories_2017!Y25))</f>
        <v>0</v>
      </c>
      <c r="Z25" s="1" t="str">
        <f>IF(IF(uxb_works!$B$46=1,tblCategories_2014!Z25,tblCategories_2017!Z25)="","",IF(uxb_works!$B$46=1,tblCategories_2014!Z25,tblCategories_2017!Z25))</f>
        <v/>
      </c>
      <c r="AA25" s="53" t="str">
        <f>IF(IF(uxb_works!$B$46=1,tblCategories_2014!AA25,tblCategories_2017!AA25)="","",IF(uxb_works!$B$46=1,tblCategories_2014!AA25,tblCategories_2017!AA25))</f>
        <v/>
      </c>
      <c r="AB25" s="20" t="str">
        <f>IF(IF(uxb_works!$B$46=1,tblCategories_2014!AB25,tblCategories_2017!AB25)="","",IF(uxb_works!$B$46=1,tblCategories_2014!AB25,tblCategories_2017!AB25))</f>
        <v/>
      </c>
      <c r="AC25" s="23">
        <f>IF(IF(uxb_works!$B$46=1,tblCategories_2014!AC25,tblCategories_2017!AC25)="","",IF(uxb_works!$B$46=1,tblCategories_2014!AC25,tblCategories_2017!AC25))</f>
        <v>0</v>
      </c>
      <c r="AD25" s="1" t="str">
        <f>IF(IF(uxb_works!$B$46=1,tblCategories_2014!AD25,tblCategories_2017!AD25)="","",IF(uxb_works!$B$46=1,tblCategories_2014!AD25,tblCategories_2017!AD25))</f>
        <v/>
      </c>
      <c r="AF25" s="1">
        <f>IF(IF(uxb_works!$B$46=1,tblCategories_2014!AF25,tblCategories_2017!AF25)="","",IF(uxb_works!$B$46=1,tblCategories_2014!AF25,tblCategories_2017!AF25))</f>
        <v>1</v>
      </c>
      <c r="AG25" s="1">
        <f>IF(IF(uxb_works!$B$46=1,tblCategories_2014!AG25,tblCategories_2017!AG25)="","",IF(uxb_works!$B$46=1,tblCategories_2014!AG25,tblCategories_2017!AG25))</f>
        <v>0</v>
      </c>
      <c r="AH25" s="1">
        <f>IF(IF(uxb_works!$B$46=1,tblCategories_2014!AH25,tblCategories_2017!AH25)="","",IF(uxb_works!$B$46=1,tblCategories_2014!AH25,tblCategories_2017!AH25))</f>
        <v>0</v>
      </c>
      <c r="AI25" s="1">
        <f>IF(IF(uxb_works!$B$46=1,tblCategories_2014!AI25,tblCategories_2017!AI25)="","",IF(uxb_works!$B$46=1,tblCategories_2014!AI25,tblCategories_2017!AI25))</f>
        <v>0</v>
      </c>
      <c r="AJ25" s="1">
        <f>IF(IF(uxb_works!$B$46=1,tblCategories_2014!AJ25,tblCategories_2017!AJ25)="","",IF(uxb_works!$B$46=1,tblCategories_2014!AJ25,tblCategories_2017!AJ25))</f>
        <v>0</v>
      </c>
      <c r="AK25" s="1">
        <f>IF(IF(uxb_works!$B$46=1,tblCategories_2014!AK25,tblCategories_2017!AK25)="","",IF(uxb_works!$B$46=1,tblCategories_2014!AK25,tblCategories_2017!AK25))</f>
        <v>0</v>
      </c>
      <c r="AL25" s="1">
        <f>IF(IF(uxb_works!$B$46=1,tblCategories_2014!AL25,tblCategories_2017!AL25)="","",IF(uxb_works!$B$46=1,tblCategories_2014!AL25,tblCategories_2017!AL25))</f>
        <v>0</v>
      </c>
      <c r="AM25" s="1">
        <f>IF(IF(uxb_works!$B$46=1,tblCategories_2014!AM25,tblCategories_2017!AM25)="","",IF(uxb_works!$B$46=1,tblCategories_2014!AM25,tblCategories_2017!AM25))</f>
        <v>1</v>
      </c>
      <c r="AN25" s="1">
        <f>IF(IF(uxb_works!$B$46=1,tblCategories_2014!AN25,tblCategories_2017!AN25)="","",IF(uxb_works!$B$46=1,tblCategories_2014!AN25,tblCategories_2017!AN25))</f>
        <v>0</v>
      </c>
      <c r="AO25" s="1">
        <f>IF(IF(uxb_works!$B$46=1,tblCategories_2014!AO25,tblCategories_2017!AO25)="","",IF(uxb_works!$B$46=1,tblCategories_2014!AO25,tblCategories_2017!AO25))</f>
        <v>0</v>
      </c>
      <c r="AP25" s="1">
        <f>IF(IF(uxb_works!$B$46=1,tblCategories_2014!AP25,tblCategories_2017!AP25)="","",IF(uxb_works!$B$46=1,tblCategories_2014!AP25,tblCategories_2017!AP25))</f>
        <v>0</v>
      </c>
      <c r="AQ25" s="1">
        <f>IF(IF(uxb_works!$B$46=1,tblCategories_2014!AQ25,tblCategories_2017!AQ25)="","",IF(uxb_works!$B$46=1,tblCategories_2014!AQ25,tblCategories_2017!AQ25))</f>
        <v>0</v>
      </c>
      <c r="AR25" s="1">
        <f>IF(IF(uxb_works!$B$46=1,tblCategories_2014!AR25,tblCategories_2017!AR25)="","",IF(uxb_works!$B$46=1,tblCategories_2014!AR25,tblCategories_2017!AR25))</f>
        <v>0</v>
      </c>
      <c r="AS25" s="1">
        <f>IF(IF(uxb_works!$B$46=1,tblCategories_2014!AS25,tblCategories_2017!AS25)="","",IF(uxb_works!$B$46=1,tblCategories_2014!AS25,tblCategories_2017!AS25))</f>
        <v>0</v>
      </c>
    </row>
    <row r="26" ht="12.75" spans="1:45">
      <c r="A26" s="1">
        <f>IF(IF(uxb_works!$B$46=1,tblCategories_2014!A26,tblCategories_2017!A26)="","",IF(uxb_works!$B$46=1,tblCategories_2014!A26,tblCategories_2017!A26))</f>
        <v>24</v>
      </c>
      <c r="B26" s="1" t="str">
        <f>IF(IF(uxb_works!$B$46=1,tblCategories_2014!B26,tblCategories_2017!B26)="","",IF(uxb_works!$B$46=1,tblCategories_2014!B26,tblCategories_2017!B26))</f>
        <v/>
      </c>
      <c r="C26" s="57" t="str">
        <f>IF(IF(uxb_works!$B$46=1,tblCategories_2014!C26,tblCategories_2017!C26)="","",IF(uxb_works!$B$46=1,tblCategories_2014!C26,tblCategories_2017!C26))</f>
        <v>2.2.4) Infant mortality</v>
      </c>
      <c r="D26" s="1" t="str">
        <f>IF(IF(uxb_works!$B$46=1,tblCategories_2014!D26,tblCategories_2017!D26)="","",IF(uxb_works!$B$46=1,tblCategories_2014!D26,tblCategories_2017!D26))</f>
        <v>2.2.4) Infant mortality</v>
      </c>
      <c r="E26" s="1" t="str">
        <f>IF(IF(uxb_works!$B$46=1,tblCategories_2014!E26,tblCategories_2017!E26)="","",IF(uxb_works!$B$46=1,tblCategories_2014!E26,tblCategories_2017!E26))</f>
        <v/>
      </c>
      <c r="F26" s="23">
        <f>IF(IF(uxb_works!$B$46=1,tblCategories_2014!F26,tblCategories_2017!F26)="","",IF(uxb_works!$B$46=1,tblCategories_2014!F26,tblCategories_2017!F26))</f>
        <v>1</v>
      </c>
      <c r="G26" s="32" t="str">
        <f>IF(IF(uxb_works!$B$46=1,tblCategories_2014!G26,tblCategories_2017!G26)="","",IF(uxb_works!$B$46=1,tblCategories_2014!G26,tblCategories_2017!G26))</f>
        <v/>
      </c>
      <c r="H26" s="1" t="str">
        <f>IF(IF(uxb_works!$B$46=1,tblCategories_2014!H26,tblCategories_2017!H26)="","",IF(uxb_works!$B$46=1,tblCategories_2014!H26,tblCategories_2017!H26))</f>
        <v/>
      </c>
      <c r="I26" s="23" t="str">
        <f>IF(IF(uxb_works!$B$46=1,tblCategories_2014!I26,tblCategories_2017!I26)="","",IF(uxb_works!$B$46=1,tblCategories_2014!I26,tblCategories_2017!I26))</f>
        <v/>
      </c>
      <c r="J26" s="1" t="str">
        <f>IF(IF(uxb_works!$B$46=1,tblCategories_2014!J26,tblCategories_2017!J26)="","",IF(uxb_works!$B$46=1,tblCategories_2014!J26,tblCategories_2017!J26))</f>
        <v/>
      </c>
      <c r="K26" s="1" t="str">
        <f>IF(IF(uxb_works!$B$46=1,tblCategories_2014!K27,tblCategories_2017!K26)="","",IF(uxb_works!$B$46=1,tblCategories_2014!K27,tblCategories_2017!K26))</f>
        <v/>
      </c>
      <c r="L26" s="1">
        <f>IF(IF(uxb_works!$B$46=1,tblCategories_2014!L26,tblCategories_2017!L26)="","",IF(uxb_works!$B$46=1,tblCategories_2014!L26,tblCategories_2017!L26))</f>
        <v>1</v>
      </c>
      <c r="M26" s="1">
        <f>IF(IF(uxb_works!$B$46=1,tblCategories_2014!M26,tblCategories_2017!M26)="","",IF(uxb_works!$B$46=1,tblCategories_2014!M26,tblCategories_2017!M26))</f>
        <v>1</v>
      </c>
      <c r="N26" s="1">
        <f>IF(IF(uxb_works!$B$46=1,tblCategories_2014!N26,tblCategories_2017!N26)="","",IF(uxb_works!$B$46=1,tblCategories_2014!N26,tblCategories_2017!N26))</f>
        <v>0</v>
      </c>
      <c r="O26" s="1">
        <f>IF(IF(uxb_works!$B$46=1,tblCategories_2014!O26,tblCategories_2017!O26)="","",IF(uxb_works!$B$46=1,tblCategories_2014!O26,tblCategories_2017!O26))</f>
        <v>0</v>
      </c>
      <c r="P26" s="1">
        <f>IF(IF(uxb_works!$B$46=1,tblCategories_2014!P26,tblCategories_2017!P26)="","",IF(uxb_works!$B$46=1,tblCategories_2014!P26,tblCategories_2017!P26))</f>
        <v>0</v>
      </c>
      <c r="Q26" s="1">
        <f>IF(IF(uxb_works!$B$46=1,tblCategories_2014!Q26,tblCategories_2017!Q26)="","",IF(uxb_works!$B$46=1,tblCategories_2014!Q26,tblCategories_2017!Q26))</f>
        <v>1</v>
      </c>
      <c r="R26" s="1">
        <f>IF(IF(uxb_works!$B$46=1,tblCategories_2014!R26,tblCategories_2017!R26)="","",IF(uxb_works!$B$46=1,tblCategories_2014!R26,tblCategories_2017!R26))</f>
        <v>0</v>
      </c>
      <c r="S26" s="1">
        <f>IF(IF(uxb_works!$B$46=1,tblCategories_2014!S26,tblCategories_2017!S26)="","",IF(uxb_works!$B$46=1,tblCategories_2014!S26,tblCategories_2017!S26))</f>
        <v>1</v>
      </c>
      <c r="T26" s="1">
        <f>IF(IF(uxb_works!$B$46=1,tblCategories_2014!T26,tblCategories_2017!T26)="","",IF(uxb_works!$B$46=1,tblCategories_2014!T26,tblCategories_2017!T26))</f>
        <v>0</v>
      </c>
      <c r="U26" s="1">
        <f>IF(IF(uxb_works!$B$46=1,tblCategories_2014!U26,tblCategories_2017!U26)="","",IF(uxb_works!$B$46=1,tblCategories_2014!U26,tblCategories_2017!U26))</f>
        <v>0</v>
      </c>
      <c r="V26" s="1">
        <f>IF(IF(uxb_works!$B$46=1,tblCategories_2014!V26,tblCategories_2017!V26)="","",IF(uxb_works!$B$46=1,tblCategories_2014!V26,tblCategories_2017!V26))</f>
        <v>0</v>
      </c>
      <c r="W26" s="1">
        <f>IF(IF(uxb_works!$B$46=1,tblCategories_2014!W26,tblCategories_2017!W26)="","",IF(uxb_works!$B$46=1,tblCategories_2014!W26,tblCategories_2017!W26))</f>
        <v>0</v>
      </c>
      <c r="X26" s="1">
        <f>IF(IF(uxb_works!$B$46=1,tblCategories_2014!X26,tblCategories_2017!X26)="","",IF(uxb_works!$B$46=1,tblCategories_2014!X26,tblCategories_2017!X26))</f>
        <v>0</v>
      </c>
      <c r="Y26" s="1">
        <f>IF(IF(uxb_works!$B$46=1,tblCategories_2014!Y26,tblCategories_2017!Y26)="","",IF(uxb_works!$B$46=1,tblCategories_2014!Y26,tblCategories_2017!Y26))</f>
        <v>0</v>
      </c>
      <c r="Z26" s="1" t="str">
        <f>IF(IF(uxb_works!$B$46=1,tblCategories_2014!Z26,tblCategories_2017!Z26)="","",IF(uxb_works!$B$46=1,tblCategories_2014!Z26,tblCategories_2017!Z26))</f>
        <v/>
      </c>
      <c r="AA26" s="53" t="str">
        <f>IF(IF(uxb_works!$B$46=1,tblCategories_2014!AA26,tblCategories_2017!AA26)="","",IF(uxb_works!$B$46=1,tblCategories_2014!AA26,tblCategories_2017!AA26))</f>
        <v/>
      </c>
      <c r="AB26" s="20" t="str">
        <f>IF(IF(uxb_works!$B$46=1,tblCategories_2014!AB26,tblCategories_2017!AB26)="","",IF(uxb_works!$B$46=1,tblCategories_2014!AB26,tblCategories_2017!AB26))</f>
        <v/>
      </c>
      <c r="AC26" s="23">
        <f>IF(IF(uxb_works!$B$46=1,tblCategories_2014!AC26,tblCategories_2017!AC26)="","",IF(uxb_works!$B$46=1,tblCategories_2014!AC26,tblCategories_2017!AC26))</f>
        <v>0</v>
      </c>
      <c r="AD26" s="1" t="str">
        <f>IF(IF(uxb_works!$B$46=1,tblCategories_2014!AD26,tblCategories_2017!AD26)="","",IF(uxb_works!$B$46=1,tblCategories_2014!AD26,tblCategories_2017!AD26))</f>
        <v/>
      </c>
      <c r="AF26" s="1">
        <f>IF(IF(uxb_works!$B$46=1,tblCategories_2014!AF26,tblCategories_2017!AF26)="","",IF(uxb_works!$B$46=1,tblCategories_2014!AF26,tblCategories_2017!AF26))</f>
        <v>1</v>
      </c>
      <c r="AG26" s="1">
        <f>IF(IF(uxb_works!$B$46=1,tblCategories_2014!AG26,tblCategories_2017!AG26)="","",IF(uxb_works!$B$46=1,tblCategories_2014!AG26,tblCategories_2017!AG26))</f>
        <v>0</v>
      </c>
      <c r="AH26" s="1">
        <f>IF(IF(uxb_works!$B$46=1,tblCategories_2014!AH26,tblCategories_2017!AH26)="","",IF(uxb_works!$B$46=1,tblCategories_2014!AH26,tblCategories_2017!AH26))</f>
        <v>0</v>
      </c>
      <c r="AI26" s="1">
        <f>IF(IF(uxb_works!$B$46=1,tblCategories_2014!AI26,tblCategories_2017!AI26)="","",IF(uxb_works!$B$46=1,tblCategories_2014!AI26,tblCategories_2017!AI26))</f>
        <v>0</v>
      </c>
      <c r="AJ26" s="1">
        <f>IF(IF(uxb_works!$B$46=1,tblCategories_2014!AJ26,tblCategories_2017!AJ26)="","",IF(uxb_works!$B$46=1,tblCategories_2014!AJ26,tblCategories_2017!AJ26))</f>
        <v>0</v>
      </c>
      <c r="AK26" s="1">
        <f>IF(IF(uxb_works!$B$46=1,tblCategories_2014!AK26,tblCategories_2017!AK26)="","",IF(uxb_works!$B$46=1,tblCategories_2014!AK26,tblCategories_2017!AK26))</f>
        <v>0</v>
      </c>
      <c r="AL26" s="1">
        <f>IF(IF(uxb_works!$B$46=1,tblCategories_2014!AL26,tblCategories_2017!AL26)="","",IF(uxb_works!$B$46=1,tblCategories_2014!AL26,tblCategories_2017!AL26))</f>
        <v>0</v>
      </c>
      <c r="AM26" s="1">
        <f>IF(IF(uxb_works!$B$46=1,tblCategories_2014!AM26,tblCategories_2017!AM26)="","",IF(uxb_works!$B$46=1,tblCategories_2014!AM26,tblCategories_2017!AM26))</f>
        <v>1</v>
      </c>
      <c r="AN26" s="1">
        <f>IF(IF(uxb_works!$B$46=1,tblCategories_2014!AN26,tblCategories_2017!AN26)="","",IF(uxb_works!$B$46=1,tblCategories_2014!AN26,tblCategories_2017!AN26))</f>
        <v>0</v>
      </c>
      <c r="AO26" s="1">
        <f>IF(IF(uxb_works!$B$46=1,tblCategories_2014!AO26,tblCategories_2017!AO26)="","",IF(uxb_works!$B$46=1,tblCategories_2014!AO26,tblCategories_2017!AO26))</f>
        <v>0</v>
      </c>
      <c r="AP26" s="1">
        <f>IF(IF(uxb_works!$B$46=1,tblCategories_2014!AP26,tblCategories_2017!AP26)="","",IF(uxb_works!$B$46=1,tblCategories_2014!AP26,tblCategories_2017!AP26))</f>
        <v>0</v>
      </c>
      <c r="AQ26" s="1">
        <f>IF(IF(uxb_works!$B$46=1,tblCategories_2014!AQ26,tblCategories_2017!AQ26)="","",IF(uxb_works!$B$46=1,tblCategories_2014!AQ26,tblCategories_2017!AQ26))</f>
        <v>0</v>
      </c>
      <c r="AR26" s="1">
        <f>IF(IF(uxb_works!$B$46=1,tblCategories_2014!AR26,tblCategories_2017!AR26)="","",IF(uxb_works!$B$46=1,tblCategories_2014!AR26,tblCategories_2017!AR26))</f>
        <v>0</v>
      </c>
      <c r="AS26" s="1">
        <f>IF(IF(uxb_works!$B$46=1,tblCategories_2014!AS26,tblCategories_2017!AS26)="","",IF(uxb_works!$B$46=1,tblCategories_2014!AS26,tblCategories_2017!AS26))</f>
        <v>0</v>
      </c>
    </row>
    <row r="27" ht="12.75" spans="1:45">
      <c r="A27" s="1">
        <f>IF(IF(uxb_works!$B$46=1,tblCategories_2014!A27,tblCategories_2017!A27)="","",IF(uxb_works!$B$46=1,tblCategories_2014!A27,tblCategories_2017!A27))</f>
        <v>25</v>
      </c>
      <c r="B27" s="1" t="str">
        <f>IF(IF(uxb_works!$B$46=1,tblCategories_2014!B27,tblCategories_2017!B27)="","",IF(uxb_works!$B$46=1,tblCategories_2014!B27,tblCategories_2017!B27))</f>
        <v/>
      </c>
      <c r="C27" s="57" t="str">
        <f>IF(IF(uxb_works!$B$46=1,tblCategories_2014!C27,tblCategories_2017!C27)="","",IF(uxb_works!$B$46=1,tblCategories_2014!C27,tblCategories_2017!C27))</f>
        <v>2.2.5) Cancer mortality rate</v>
      </c>
      <c r="D27" s="1" t="str">
        <f>IF(IF(uxb_works!$B$46=1,tblCategories_2014!D27,tblCategories_2017!D27)="","",IF(uxb_works!$B$46=1,tblCategories_2014!D27,tblCategories_2017!D27))</f>
        <v>2.2.5) Cancer mortality rate</v>
      </c>
      <c r="E27" s="1" t="str">
        <f>IF(IF(uxb_works!$B$46=1,tblCategories_2014!E27,tblCategories_2017!E27)="","",IF(uxb_works!$B$46=1,tblCategories_2014!E27,tblCategories_2017!E27))</f>
        <v/>
      </c>
      <c r="F27" s="23">
        <f>IF(IF(uxb_works!$B$46=1,tblCategories_2014!F27,tblCategories_2017!F27)="","",IF(uxb_works!$B$46=1,tblCategories_2014!F27,tblCategories_2017!F27))</f>
        <v>1</v>
      </c>
      <c r="G27" s="32" t="str">
        <f>IF(IF(uxb_works!$B$46=1,tblCategories_2014!G27,tblCategories_2017!G27)="","",IF(uxb_works!$B$46=1,tblCategories_2014!G27,tblCategories_2017!G27))</f>
        <v/>
      </c>
      <c r="H27" s="1" t="str">
        <f>IF(IF(uxb_works!$B$46=1,tblCategories_2014!H27,tblCategories_2017!H27)="","",IF(uxb_works!$B$46=1,tblCategories_2014!H27,tblCategories_2017!H27))</f>
        <v/>
      </c>
      <c r="I27" s="23" t="str">
        <f>IF(IF(uxb_works!$B$46=1,tblCategories_2014!I27,tblCategories_2017!I27)="","",IF(uxb_works!$B$46=1,tblCategories_2014!I27,tblCategories_2017!I27))</f>
        <v/>
      </c>
      <c r="J27" s="1" t="str">
        <f>IF(IF(uxb_works!$B$46=1,tblCategories_2014!J27,tblCategories_2017!J27)="","",IF(uxb_works!$B$46=1,tblCategories_2014!J27,tblCategories_2017!J27))</f>
        <v/>
      </c>
      <c r="K27" s="1" t="str">
        <f>IF(IF(uxb_works!$B$46=1,tblCategories_2014!K28,tblCategories_2017!K27)="","",IF(uxb_works!$B$46=1,tblCategories_2014!K28,tblCategories_2017!K27))</f>
        <v/>
      </c>
      <c r="L27" s="1">
        <f>IF(IF(uxb_works!$B$46=1,tblCategories_2014!L27,tblCategories_2017!L27)="","",IF(uxb_works!$B$46=1,tblCategories_2014!L27,tblCategories_2017!L27))</f>
        <v>1</v>
      </c>
      <c r="M27" s="1">
        <f>IF(IF(uxb_works!$B$46=1,tblCategories_2014!M27,tblCategories_2017!M27)="","",IF(uxb_works!$B$46=1,tblCategories_2014!M27,tblCategories_2017!M27))</f>
        <v>1</v>
      </c>
      <c r="N27" s="1">
        <f>IF(IF(uxb_works!$B$46=1,tblCategories_2014!N27,tblCategories_2017!N27)="","",IF(uxb_works!$B$46=1,tblCategories_2014!N27,tblCategories_2017!N27))</f>
        <v>0</v>
      </c>
      <c r="O27" s="1">
        <f>IF(IF(uxb_works!$B$46=1,tblCategories_2014!O27,tblCategories_2017!O27)="","",IF(uxb_works!$B$46=1,tblCategories_2014!O27,tblCategories_2017!O27))</f>
        <v>0</v>
      </c>
      <c r="P27" s="1">
        <f>IF(IF(uxb_works!$B$46=1,tblCategories_2014!P27,tblCategories_2017!P27)="","",IF(uxb_works!$B$46=1,tblCategories_2014!P27,tblCategories_2017!P27))</f>
        <v>0</v>
      </c>
      <c r="Q27" s="1">
        <f>IF(IF(uxb_works!$B$46=1,tblCategories_2014!Q27,tblCategories_2017!Q27)="","",IF(uxb_works!$B$46=1,tblCategories_2014!Q27,tblCategories_2017!Q27))</f>
        <v>1</v>
      </c>
      <c r="R27" s="1">
        <f>IF(IF(uxb_works!$B$46=1,tblCategories_2014!R27,tblCategories_2017!R27)="","",IF(uxb_works!$B$46=1,tblCategories_2014!R27,tblCategories_2017!R27))</f>
        <v>0</v>
      </c>
      <c r="S27" s="1">
        <f>IF(IF(uxb_works!$B$46=1,tblCategories_2014!S27,tblCategories_2017!S27)="","",IF(uxb_works!$B$46=1,tblCategories_2014!S27,tblCategories_2017!S27))</f>
        <v>1</v>
      </c>
      <c r="T27" s="1">
        <f>IF(IF(uxb_works!$B$46=1,tblCategories_2014!T27,tblCategories_2017!T27)="","",IF(uxb_works!$B$46=1,tblCategories_2014!T27,tblCategories_2017!T27))</f>
        <v>0</v>
      </c>
      <c r="U27" s="1">
        <f>IF(IF(uxb_works!$B$46=1,tblCategories_2014!U27,tblCategories_2017!U27)="","",IF(uxb_works!$B$46=1,tblCategories_2014!U27,tblCategories_2017!U27))</f>
        <v>0</v>
      </c>
      <c r="V27" s="1">
        <f>IF(IF(uxb_works!$B$46=1,tblCategories_2014!V27,tblCategories_2017!V27)="","",IF(uxb_works!$B$46=1,tblCategories_2014!V27,tblCategories_2017!V27))</f>
        <v>0</v>
      </c>
      <c r="W27" s="1">
        <f>IF(IF(uxb_works!$B$46=1,tblCategories_2014!W27,tblCategories_2017!W27)="","",IF(uxb_works!$B$46=1,tblCategories_2014!W27,tblCategories_2017!W27))</f>
        <v>0</v>
      </c>
      <c r="X27" s="1">
        <f>IF(IF(uxb_works!$B$46=1,tblCategories_2014!X27,tblCategories_2017!X27)="","",IF(uxb_works!$B$46=1,tblCategories_2014!X27,tblCategories_2017!X27))</f>
        <v>0</v>
      </c>
      <c r="Y27" s="1">
        <f>IF(IF(uxb_works!$B$46=1,tblCategories_2014!Y27,tblCategories_2017!Y27)="","",IF(uxb_works!$B$46=1,tblCategories_2014!Y27,tblCategories_2017!Y27))</f>
        <v>0</v>
      </c>
      <c r="Z27" s="1" t="str">
        <f>IF(IF(uxb_works!$B$46=1,tblCategories_2014!Z27,tblCategories_2017!Z27)="","",IF(uxb_works!$B$46=1,tblCategories_2014!Z27,tblCategories_2017!Z27))</f>
        <v/>
      </c>
      <c r="AA27" s="53" t="str">
        <f>IF(IF(uxb_works!$B$46=1,tblCategories_2014!AA27,tblCategories_2017!AA27)="","",IF(uxb_works!$B$46=1,tblCategories_2014!AA27,tblCategories_2017!AA27))</f>
        <v/>
      </c>
      <c r="AB27" s="20" t="str">
        <f>IF(IF(uxb_works!$B$46=1,tblCategories_2014!AB27,tblCategories_2017!AB27)="","",IF(uxb_works!$B$46=1,tblCategories_2014!AB27,tblCategories_2017!AB27))</f>
        <v/>
      </c>
      <c r="AC27" s="23">
        <f>IF(IF(uxb_works!$B$46=1,tblCategories_2014!AC27,tblCategories_2017!AC27)="","",IF(uxb_works!$B$46=1,tblCategories_2014!AC27,tblCategories_2017!AC27))</f>
        <v>0</v>
      </c>
      <c r="AD27" s="1" t="str">
        <f>IF(IF(uxb_works!$B$46=1,tblCategories_2014!AD27,tblCategories_2017!AD27)="","",IF(uxb_works!$B$46=1,tblCategories_2014!AD27,tblCategories_2017!AD27))</f>
        <v/>
      </c>
      <c r="AF27" s="1">
        <f>IF(IF(uxb_works!$B$46=1,tblCategories_2014!AF27,tblCategories_2017!AF27)="","",IF(uxb_works!$B$46=1,tblCategories_2014!AF27,tblCategories_2017!AF27))</f>
        <v>1</v>
      </c>
      <c r="AG27" s="1">
        <f>IF(IF(uxb_works!$B$46=1,tblCategories_2014!AG27,tblCategories_2017!AG27)="","",IF(uxb_works!$B$46=1,tblCategories_2014!AG27,tblCategories_2017!AG27))</f>
        <v>0</v>
      </c>
      <c r="AH27" s="1">
        <f>IF(IF(uxb_works!$B$46=1,tblCategories_2014!AH27,tblCategories_2017!AH27)="","",IF(uxb_works!$B$46=1,tblCategories_2014!AH27,tblCategories_2017!AH27))</f>
        <v>0</v>
      </c>
      <c r="AI27" s="1">
        <f>IF(IF(uxb_works!$B$46=1,tblCategories_2014!AI27,tblCategories_2017!AI27)="","",IF(uxb_works!$B$46=1,tblCategories_2014!AI27,tblCategories_2017!AI27))</f>
        <v>0</v>
      </c>
      <c r="AJ27" s="1">
        <f>IF(IF(uxb_works!$B$46=1,tblCategories_2014!AJ27,tblCategories_2017!AJ27)="","",IF(uxb_works!$B$46=1,tblCategories_2014!AJ27,tblCategories_2017!AJ27))</f>
        <v>0</v>
      </c>
      <c r="AK27" s="1">
        <f>IF(IF(uxb_works!$B$46=1,tblCategories_2014!AK27,tblCategories_2017!AK27)="","",IF(uxb_works!$B$46=1,tblCategories_2014!AK27,tblCategories_2017!AK27))</f>
        <v>0</v>
      </c>
      <c r="AL27" s="1">
        <f>IF(IF(uxb_works!$B$46=1,tblCategories_2014!AL27,tblCategories_2017!AL27)="","",IF(uxb_works!$B$46=1,tblCategories_2014!AL27,tblCategories_2017!AL27))</f>
        <v>0</v>
      </c>
      <c r="AM27" s="1">
        <f>IF(IF(uxb_works!$B$46=1,tblCategories_2014!AM27,tblCategories_2017!AM27)="","",IF(uxb_works!$B$46=1,tblCategories_2014!AM27,tblCategories_2017!AM27))</f>
        <v>1</v>
      </c>
      <c r="AN27" s="1">
        <f>IF(IF(uxb_works!$B$46=1,tblCategories_2014!AN27,tblCategories_2017!AN27)="","",IF(uxb_works!$B$46=1,tblCategories_2014!AN27,tblCategories_2017!AN27))</f>
        <v>0</v>
      </c>
      <c r="AO27" s="1">
        <f>IF(IF(uxb_works!$B$46=1,tblCategories_2014!AO27,tblCategories_2017!AO27)="","",IF(uxb_works!$B$46=1,tblCategories_2014!AO27,tblCategories_2017!AO27))</f>
        <v>0</v>
      </c>
      <c r="AP27" s="1">
        <f>IF(IF(uxb_works!$B$46=1,tblCategories_2014!AP27,tblCategories_2017!AP27)="","",IF(uxb_works!$B$46=1,tblCategories_2014!AP27,tblCategories_2017!AP27))</f>
        <v>0</v>
      </c>
      <c r="AQ27" s="1">
        <f>IF(IF(uxb_works!$B$46=1,tblCategories_2014!AQ27,tblCategories_2017!AQ27)="","",IF(uxb_works!$B$46=1,tblCategories_2014!AQ27,tblCategories_2017!AQ27))</f>
        <v>0</v>
      </c>
      <c r="AR27" s="1">
        <f>IF(IF(uxb_works!$B$46=1,tblCategories_2014!AR27,tblCategories_2017!AR27)="","",IF(uxb_works!$B$46=1,tblCategories_2014!AR27,tblCategories_2017!AR27))</f>
        <v>0</v>
      </c>
      <c r="AS27" s="1">
        <f>IF(IF(uxb_works!$B$46=1,tblCategories_2014!AS27,tblCategories_2017!AS27)="","",IF(uxb_works!$B$46=1,tblCategories_2014!AS27,tblCategories_2017!AS27))</f>
        <v>0</v>
      </c>
    </row>
    <row r="28" ht="12.75" spans="1:45">
      <c r="A28" s="1">
        <f>IF(IF(uxb_works!$B$46=1,tblCategories_2014!A28,tblCategories_2017!A28)="","",IF(uxb_works!$B$46=1,tblCategories_2014!A28,tblCategories_2017!A28))</f>
        <v>26</v>
      </c>
      <c r="B28" s="1" t="str">
        <f>IF(IF(uxb_works!$B$46=1,tblCategories_2014!B28,tblCategories_2017!B28)="","",IF(uxb_works!$B$46=1,tblCategories_2014!B28,tblCategories_2017!B28))</f>
        <v/>
      </c>
      <c r="C28" s="57" t="str">
        <f>IF(IF(uxb_works!$B$46=1,tblCategories_2014!C28,tblCategories_2017!C28)="","",IF(uxb_works!$B$46=1,tblCategories_2014!C28,tblCategories_2017!C28))</f>
        <v>2.2.6) Number of attacks using biological, chemical and/or radiological weapons</v>
      </c>
      <c r="D28" s="1" t="str">
        <f>IF(IF(uxb_works!$B$46=1,tblCategories_2014!D28,tblCategories_2017!D28)="","",IF(uxb_works!$B$46=1,tblCategories_2014!D28,tblCategories_2017!D28))</f>
        <v>2.2.6) Number of attacks using biological, chemical and/or radiological weapons</v>
      </c>
      <c r="E28" s="1" t="str">
        <f>IF(IF(uxb_works!$B$46=1,tblCategories_2014!E28,tblCategories_2017!E28)="","",IF(uxb_works!$B$46=1,tblCategories_2014!E28,tblCategories_2017!E28))</f>
        <v/>
      </c>
      <c r="F28" s="23">
        <f>IF(IF(uxb_works!$B$46=1,tblCategories_2014!F28,tblCategories_2017!F28)="","",IF(uxb_works!$B$46=1,tblCategories_2014!F28,tblCategories_2017!F28))</f>
        <v>1</v>
      </c>
      <c r="G28" s="32" t="str">
        <f>IF(IF(uxb_works!$B$46=1,tblCategories_2014!G28,tblCategories_2017!G28)="","",IF(uxb_works!$B$46=1,tblCategories_2014!G28,tblCategories_2017!G28))</f>
        <v/>
      </c>
      <c r="H28" s="1" t="str">
        <f>IF(IF(uxb_works!$B$46=1,tblCategories_2014!H28,tblCategories_2017!H28)="","",IF(uxb_works!$B$46=1,tblCategories_2014!H28,tblCategories_2017!H28))</f>
        <v/>
      </c>
      <c r="I28" s="23" t="str">
        <f>IF(IF(uxb_works!$B$46=1,tblCategories_2014!I28,tblCategories_2017!I28)="","",IF(uxb_works!$B$46=1,tblCategories_2014!I28,tblCategories_2017!I28))</f>
        <v/>
      </c>
      <c r="J28" s="1" t="str">
        <f>IF(IF(uxb_works!$B$46=1,tblCategories_2014!J28,tblCategories_2017!J28)="","",IF(uxb_works!$B$46=1,tblCategories_2014!J28,tblCategories_2017!J28))</f>
        <v/>
      </c>
      <c r="K28" s="1" t="str">
        <f>IF(IF(uxb_works!$B$46=1,tblCategories_2014!K29,tblCategories_2017!K28)="","",IF(uxb_works!$B$46=1,tblCategories_2014!K29,tblCategories_2017!K28))</f>
        <v/>
      </c>
      <c r="L28" s="1">
        <f>IF(IF(uxb_works!$B$46=1,tblCategories_2014!L28,tblCategories_2017!L28)="","",IF(uxb_works!$B$46=1,tblCategories_2014!L28,tblCategories_2017!L28))</f>
        <v>1</v>
      </c>
      <c r="M28" s="1">
        <f>IF(IF(uxb_works!$B$46=1,tblCategories_2014!M28,tblCategories_2017!M28)="","",IF(uxb_works!$B$46=1,tblCategories_2014!M28,tblCategories_2017!M28))</f>
        <v>1</v>
      </c>
      <c r="N28" s="1">
        <f>IF(IF(uxb_works!$B$46=1,tblCategories_2014!N28,tblCategories_2017!N28)="","",IF(uxb_works!$B$46=1,tblCategories_2014!N28,tblCategories_2017!N28))</f>
        <v>0</v>
      </c>
      <c r="O28" s="1">
        <f>IF(IF(uxb_works!$B$46=1,tblCategories_2014!O28,tblCategories_2017!O28)="","",IF(uxb_works!$B$46=1,tblCategories_2014!O28,tblCategories_2017!O28))</f>
        <v>0</v>
      </c>
      <c r="P28" s="1">
        <f>IF(IF(uxb_works!$B$46=1,tblCategories_2014!P28,tblCategories_2017!P28)="","",IF(uxb_works!$B$46=1,tblCategories_2014!P28,tblCategories_2017!P28))</f>
        <v>0</v>
      </c>
      <c r="Q28" s="1">
        <f>IF(IF(uxb_works!$B$46=1,tblCategories_2014!Q28,tblCategories_2017!Q28)="","",IF(uxb_works!$B$46=1,tblCategories_2014!Q28,tblCategories_2017!Q28))</f>
        <v>1</v>
      </c>
      <c r="R28" s="1">
        <f>IF(IF(uxb_works!$B$46=1,tblCategories_2014!R28,tblCategories_2017!R28)="","",IF(uxb_works!$B$46=1,tblCategories_2014!R28,tblCategories_2017!R28))</f>
        <v>0</v>
      </c>
      <c r="S28" s="1">
        <f>IF(IF(uxb_works!$B$46=1,tblCategories_2014!S28,tblCategories_2017!S28)="","",IF(uxb_works!$B$46=1,tblCategories_2014!S28,tblCategories_2017!S28))</f>
        <v>1</v>
      </c>
      <c r="T28" s="1">
        <f>IF(IF(uxb_works!$B$46=1,tblCategories_2014!T28,tblCategories_2017!T28)="","",IF(uxb_works!$B$46=1,tblCategories_2014!T28,tblCategories_2017!T28))</f>
        <v>0</v>
      </c>
      <c r="U28" s="1">
        <f>IF(IF(uxb_works!$B$46=1,tblCategories_2014!U28,tblCategories_2017!U28)="","",IF(uxb_works!$B$46=1,tblCategories_2014!U28,tblCategories_2017!U28))</f>
        <v>0</v>
      </c>
      <c r="V28" s="1">
        <f>IF(IF(uxb_works!$B$46=1,tblCategories_2014!V28,tblCategories_2017!V28)="","",IF(uxb_works!$B$46=1,tblCategories_2014!V28,tblCategories_2017!V28))</f>
        <v>0</v>
      </c>
      <c r="W28" s="1">
        <f>IF(IF(uxb_works!$B$46=1,tblCategories_2014!W28,tblCategories_2017!W28)="","",IF(uxb_works!$B$46=1,tblCategories_2014!W28,tblCategories_2017!W28))</f>
        <v>0</v>
      </c>
      <c r="X28" s="1">
        <f>IF(IF(uxb_works!$B$46=1,tblCategories_2014!X28,tblCategories_2017!X28)="","",IF(uxb_works!$B$46=1,tblCategories_2014!X28,tblCategories_2017!X28))</f>
        <v>0</v>
      </c>
      <c r="Y28" s="1">
        <f>IF(IF(uxb_works!$B$46=1,tblCategories_2014!Y28,tblCategories_2017!Y28)="","",IF(uxb_works!$B$46=1,tblCategories_2014!Y28,tblCategories_2017!Y28))</f>
        <v>0</v>
      </c>
      <c r="Z28" s="1" t="str">
        <f>IF(IF(uxb_works!$B$46=1,tblCategories_2014!Z28,tblCategories_2017!Z28)="","",IF(uxb_works!$B$46=1,tblCategories_2014!Z28,tblCategories_2017!Z28))</f>
        <v/>
      </c>
      <c r="AA28" s="53" t="str">
        <f>IF(IF(uxb_works!$B$46=1,tblCategories_2014!AA28,tblCategories_2017!AA28)="","",IF(uxb_works!$B$46=1,tblCategories_2014!AA28,tblCategories_2017!AA28))</f>
        <v/>
      </c>
      <c r="AB28" s="20" t="str">
        <f>IF(IF(uxb_works!$B$46=1,tblCategories_2014!AB28,tblCategories_2017!AB28)="","",IF(uxb_works!$B$46=1,tblCategories_2014!AB28,tblCategories_2017!AB28))</f>
        <v/>
      </c>
      <c r="AC28" s="23">
        <f>IF(IF(uxb_works!$B$46=1,tblCategories_2014!AC28,tblCategories_2017!AC28)="","",IF(uxb_works!$B$46=1,tblCategories_2014!AC28,tblCategories_2017!AC28))</f>
        <v>0</v>
      </c>
      <c r="AD28" s="1" t="str">
        <f>IF(IF(uxb_works!$B$46=1,tblCategories_2014!AD28,tblCategories_2017!AD28)="","",IF(uxb_works!$B$46=1,tblCategories_2014!AD28,tblCategories_2017!AD28))</f>
        <v/>
      </c>
      <c r="AF28" s="1">
        <f>IF(IF(uxb_works!$B$46=1,tblCategories_2014!AF28,tblCategories_2017!AF28)="","",IF(uxb_works!$B$46=1,tblCategories_2014!AF28,tblCategories_2017!AF28))</f>
        <v>1</v>
      </c>
      <c r="AG28" s="1">
        <f>IF(IF(uxb_works!$B$46=1,tblCategories_2014!AG28,tblCategories_2017!AG28)="","",IF(uxb_works!$B$46=1,tblCategories_2014!AG28,tblCategories_2017!AG28))</f>
        <v>0</v>
      </c>
      <c r="AH28" s="1">
        <f>IF(IF(uxb_works!$B$46=1,tblCategories_2014!AH28,tblCategories_2017!AH28)="","",IF(uxb_works!$B$46=1,tblCategories_2014!AH28,tblCategories_2017!AH28))</f>
        <v>0</v>
      </c>
      <c r="AI28" s="1">
        <f>IF(IF(uxb_works!$B$46=1,tblCategories_2014!AI28,tblCategories_2017!AI28)="","",IF(uxb_works!$B$46=1,tblCategories_2014!AI28,tblCategories_2017!AI28))</f>
        <v>0</v>
      </c>
      <c r="AJ28" s="1">
        <f>IF(IF(uxb_works!$B$46=1,tblCategories_2014!AJ28,tblCategories_2017!AJ28)="","",IF(uxb_works!$B$46=1,tblCategories_2014!AJ28,tblCategories_2017!AJ28))</f>
        <v>0</v>
      </c>
      <c r="AK28" s="1">
        <f>IF(IF(uxb_works!$B$46=1,tblCategories_2014!AK28,tblCategories_2017!AK28)="","",IF(uxb_works!$B$46=1,tblCategories_2014!AK28,tblCategories_2017!AK28))</f>
        <v>0</v>
      </c>
      <c r="AL28" s="1">
        <f>IF(IF(uxb_works!$B$46=1,tblCategories_2014!AL28,tblCategories_2017!AL28)="","",IF(uxb_works!$B$46=1,tblCategories_2014!AL28,tblCategories_2017!AL28))</f>
        <v>0</v>
      </c>
      <c r="AM28" s="1">
        <f>IF(IF(uxb_works!$B$46=1,tblCategories_2014!AM28,tblCategories_2017!AM28)="","",IF(uxb_works!$B$46=1,tblCategories_2014!AM28,tblCategories_2017!AM28))</f>
        <v>1</v>
      </c>
      <c r="AN28" s="1">
        <f>IF(IF(uxb_works!$B$46=1,tblCategories_2014!AN28,tblCategories_2017!AN28)="","",IF(uxb_works!$B$46=1,tblCategories_2014!AN28,tblCategories_2017!AN28))</f>
        <v>0</v>
      </c>
      <c r="AO28" s="1">
        <f>IF(IF(uxb_works!$B$46=1,tblCategories_2014!AO28,tblCategories_2017!AO28)="","",IF(uxb_works!$B$46=1,tblCategories_2014!AO28,tblCategories_2017!AO28))</f>
        <v>0</v>
      </c>
      <c r="AP28" s="1">
        <f>IF(IF(uxb_works!$B$46=1,tblCategories_2014!AP28,tblCategories_2017!AP28)="","",IF(uxb_works!$B$46=1,tblCategories_2014!AP28,tblCategories_2017!AP28))</f>
        <v>0</v>
      </c>
      <c r="AQ28" s="1">
        <f>IF(IF(uxb_works!$B$46=1,tblCategories_2014!AQ28,tblCategories_2017!AQ28)="","",IF(uxb_works!$B$46=1,tblCategories_2014!AQ28,tblCategories_2017!AQ28))</f>
        <v>0</v>
      </c>
      <c r="AR28" s="1">
        <f>IF(IF(uxb_works!$B$46=1,tblCategories_2014!AR28,tblCategories_2017!AR28)="","",IF(uxb_works!$B$46=1,tblCategories_2014!AR28,tblCategories_2017!AR28))</f>
        <v>0</v>
      </c>
      <c r="AS28" s="1">
        <f>IF(IF(uxb_works!$B$46=1,tblCategories_2014!AS28,tblCategories_2017!AS28)="","",IF(uxb_works!$B$46=1,tblCategories_2014!AS28,tblCategories_2017!AS28))</f>
        <v>0</v>
      </c>
    </row>
    <row r="29" ht="12.75" spans="1:45">
      <c r="A29" s="1">
        <f>IF(IF(uxb_works!$B$46=1,tblCategories_2014!A29,tblCategories_2017!A29)="","",IF(uxb_works!$B$46=1,tblCategories_2014!A29,tblCategories_2017!A29))</f>
        <v>27</v>
      </c>
      <c r="B29" s="1" t="str">
        <f>IF(IF(uxb_works!$B$46=1,tblCategories_2014!B29,tblCategories_2017!B29)="","",IF(uxb_works!$B$46=1,tblCategories_2014!B29,tblCategories_2017!B29))</f>
        <v/>
      </c>
      <c r="C29" s="57" t="str">
        <f>IF(IF(uxb_works!$B$46=1,tblCategories_2014!C29,tblCategories_2017!C29)="","",IF(uxb_works!$B$46=1,tblCategories_2014!C29,tblCategories_2017!C29))</f>
        <v>3) INFRASTRUCTURE SECURITY</v>
      </c>
      <c r="D29" s="1" t="str">
        <f>IF(IF(uxb_works!$B$46=1,tblCategories_2014!D29,tblCategories_2017!D29)="","",IF(uxb_works!$B$46=1,tblCategories_2014!D29,tblCategories_2017!D29))</f>
        <v>3) INFRASTRUCTURE SECURITY</v>
      </c>
      <c r="E29" s="1" t="str">
        <f>IF(IF(uxb_works!$B$46=1,tblCategories_2014!E29,tblCategories_2017!E29)="","",IF(uxb_works!$B$46=1,tblCategories_2014!E29,tblCategories_2017!E29))</f>
        <v/>
      </c>
      <c r="F29" s="23">
        <f>IF(IF(uxb_works!$B$46=1,tblCategories_2014!F29,tblCategories_2017!F29)="","",IF(uxb_works!$B$46=1,tblCategories_2014!F29,tblCategories_2017!F29))</f>
        <v>1</v>
      </c>
      <c r="G29" s="32" t="str">
        <f>IF(IF(uxb_works!$B$46=1,tblCategories_2014!G29,tblCategories_2017!G29)="","",IF(uxb_works!$B$46=1,tblCategories_2014!G29,tblCategories_2017!G29))</f>
        <v/>
      </c>
      <c r="H29" s="1" t="str">
        <f>IF(IF(uxb_works!$B$46=1,tblCategories_2014!H29,tblCategories_2017!H29)="","",IF(uxb_works!$B$46=1,tblCategories_2014!H29,tblCategories_2017!H29))</f>
        <v/>
      </c>
      <c r="I29" s="23" t="str">
        <f>IF(IF(uxb_works!$B$46=1,tblCategories_2014!I29,tblCategories_2017!I29)="","",IF(uxb_works!$B$46=1,tblCategories_2014!I29,tblCategories_2017!I29))</f>
        <v/>
      </c>
      <c r="J29" s="1" t="str">
        <f>IF(IF(uxb_works!$B$46=1,tblCategories_2014!J29,tblCategories_2017!J29)="","",IF(uxb_works!$B$46=1,tblCategories_2014!J29,tblCategories_2017!J29))</f>
        <v/>
      </c>
      <c r="K29" s="1" t="str">
        <f>IF(IF(uxb_works!$B$46=1,tblCategories_2014!K30,tblCategories_2017!K29)="","",IF(uxb_works!$B$46=1,tblCategories_2014!K30,tblCategories_2017!K29))</f>
        <v/>
      </c>
      <c r="L29" s="1">
        <f>IF(IF(uxb_works!$B$46=1,tblCategories_2014!L29,tblCategories_2017!L29)="","",IF(uxb_works!$B$46=1,tblCategories_2014!L29,tblCategories_2017!L29))</f>
        <v>1</v>
      </c>
      <c r="M29" s="1">
        <f>IF(IF(uxb_works!$B$46=1,tblCategories_2014!M29,tblCategories_2017!M29)="","",IF(uxb_works!$B$46=1,tblCategories_2014!M29,tblCategories_2017!M29))</f>
        <v>1</v>
      </c>
      <c r="N29" s="1">
        <f>IF(IF(uxb_works!$B$46=1,tblCategories_2014!N29,tblCategories_2017!N29)="","",IF(uxb_works!$B$46=1,tblCategories_2014!N29,tblCategories_2017!N29))</f>
        <v>0</v>
      </c>
      <c r="O29" s="1">
        <f>IF(IF(uxb_works!$B$46=1,tblCategories_2014!O29,tblCategories_2017!O29)="","",IF(uxb_works!$B$46=1,tblCategories_2014!O29,tblCategories_2017!O29))</f>
        <v>0</v>
      </c>
      <c r="P29" s="1">
        <f>IF(IF(uxb_works!$B$46=1,tblCategories_2014!P29,tblCategories_2017!P29)="","",IF(uxb_works!$B$46=1,tblCategories_2014!P29,tblCategories_2017!P29))</f>
        <v>0</v>
      </c>
      <c r="Q29" s="1">
        <f>IF(IF(uxb_works!$B$46=1,tblCategories_2014!Q29,tblCategories_2017!Q29)="","",IF(uxb_works!$B$46=1,tblCategories_2014!Q29,tblCategories_2017!Q29))</f>
        <v>0</v>
      </c>
      <c r="R29" s="1">
        <f>IF(IF(uxb_works!$B$46=1,tblCategories_2014!R29,tblCategories_2017!R29)="","",IF(uxb_works!$B$46=1,tblCategories_2014!R29,tblCategories_2017!R29))</f>
        <v>0</v>
      </c>
      <c r="S29" s="1">
        <f>IF(IF(uxb_works!$B$46=1,tblCategories_2014!S29,tblCategories_2017!S29)="","",IF(uxb_works!$B$46=1,tblCategories_2014!S29,tblCategories_2017!S29))</f>
        <v>0</v>
      </c>
      <c r="T29" s="1">
        <f>IF(IF(uxb_works!$B$46=1,tblCategories_2014!T29,tblCategories_2017!T29)="","",IF(uxb_works!$B$46=1,tblCategories_2014!T29,tblCategories_2017!T29))</f>
        <v>1</v>
      </c>
      <c r="U29" s="1">
        <f>IF(IF(uxb_works!$B$46=1,tblCategories_2014!U29,tblCategories_2017!U29)="","",IF(uxb_works!$B$46=1,tblCategories_2014!U29,tblCategories_2017!U29))</f>
        <v>0</v>
      </c>
      <c r="V29" s="1">
        <f>IF(IF(uxb_works!$B$46=1,tblCategories_2014!V29,tblCategories_2017!V29)="","",IF(uxb_works!$B$46=1,tblCategories_2014!V29,tblCategories_2017!V29))</f>
        <v>0</v>
      </c>
      <c r="W29" s="1">
        <f>IF(IF(uxb_works!$B$46=1,tblCategories_2014!W29,tblCategories_2017!W29)="","",IF(uxb_works!$B$46=1,tblCategories_2014!W29,tblCategories_2017!W29))</f>
        <v>0</v>
      </c>
      <c r="X29" s="1">
        <f>IF(IF(uxb_works!$B$46=1,tblCategories_2014!X29,tblCategories_2017!X29)="","",IF(uxb_works!$B$46=1,tblCategories_2014!X29,tblCategories_2017!X29))</f>
        <v>0</v>
      </c>
      <c r="Y29" s="1">
        <f>IF(IF(uxb_works!$B$46=1,tblCategories_2014!Y29,tblCategories_2017!Y29)="","",IF(uxb_works!$B$46=1,tblCategories_2014!Y29,tblCategories_2017!Y29))</f>
        <v>0</v>
      </c>
      <c r="Z29" s="1" t="str">
        <f>IF(IF(uxb_works!$B$46=1,tblCategories_2014!Z29,tblCategories_2017!Z29)="","",IF(uxb_works!$B$46=1,tblCategories_2014!Z29,tblCategories_2017!Z29))</f>
        <v/>
      </c>
      <c r="AA29" s="53" t="str">
        <f>IF(IF(uxb_works!$B$46=1,tblCategories_2014!AA29,tblCategories_2017!AA29)="","",IF(uxb_works!$B$46=1,tblCategories_2014!AA29,tblCategories_2017!AA29))</f>
        <v/>
      </c>
      <c r="AB29" s="20" t="str">
        <f>IF(IF(uxb_works!$B$46=1,tblCategories_2014!AB29,tblCategories_2017!AB29)="","",IF(uxb_works!$B$46=1,tblCategories_2014!AB29,tblCategories_2017!AB29))</f>
        <v/>
      </c>
      <c r="AC29" s="23">
        <f>IF(IF(uxb_works!$B$46=1,tblCategories_2014!AC29,tblCategories_2017!AC29)="","",IF(uxb_works!$B$46=1,tblCategories_2014!AC29,tblCategories_2017!AC29))</f>
        <v>1</v>
      </c>
      <c r="AD29" s="1" t="str">
        <f>IF(IF(uxb_works!$B$46=1,tblCategories_2014!AD29,tblCategories_2017!AD29)="","",IF(uxb_works!$B$46=1,tblCategories_2014!AD29,tblCategories_2017!AD29))</f>
        <v/>
      </c>
      <c r="AF29" s="1">
        <f>IF(IF(uxb_works!$B$46=1,tblCategories_2014!AF29,tblCategories_2017!AF29)="","",IF(uxb_works!$B$46=1,tblCategories_2014!AF29,tblCategories_2017!AF29))</f>
        <v>1</v>
      </c>
      <c r="AG29" s="1">
        <f>IF(IF(uxb_works!$B$46=1,tblCategories_2014!AG29,tblCategories_2017!AG29)="","",IF(uxb_works!$B$46=1,tblCategories_2014!AG29,tblCategories_2017!AG29))</f>
        <v>1</v>
      </c>
      <c r="AH29" s="1">
        <f>IF(IF(uxb_works!$B$46=1,tblCategories_2014!AH29,tblCategories_2017!AH29)="","",IF(uxb_works!$B$46=1,tblCategories_2014!AH29,tblCategories_2017!AH29))</f>
        <v>0</v>
      </c>
      <c r="AI29" s="1">
        <f>IF(IF(uxb_works!$B$46=1,tblCategories_2014!AI29,tblCategories_2017!AI29)="","",IF(uxb_works!$B$46=1,tblCategories_2014!AI29,tblCategories_2017!AI29))</f>
        <v>0</v>
      </c>
      <c r="AJ29" s="1">
        <f>IF(IF(uxb_works!$B$46=1,tblCategories_2014!AJ29,tblCategories_2017!AJ29)="","",IF(uxb_works!$B$46=1,tblCategories_2014!AJ29,tblCategories_2017!AJ29))</f>
        <v>0</v>
      </c>
      <c r="AK29" s="1">
        <f>IF(IF(uxb_works!$B$46=1,tblCategories_2014!AK29,tblCategories_2017!AK29)="","",IF(uxb_works!$B$46=1,tblCategories_2014!AK29,tblCategories_2017!AK29))</f>
        <v>0</v>
      </c>
      <c r="AL29" s="1">
        <f>IF(IF(uxb_works!$B$46=1,tblCategories_2014!AL29,tblCategories_2017!AL29)="","",IF(uxb_works!$B$46=1,tblCategories_2014!AL29,tblCategories_2017!AL29))</f>
        <v>0</v>
      </c>
      <c r="AM29" s="1">
        <f>IF(IF(uxb_works!$B$46=1,tblCategories_2014!AM29,tblCategories_2017!AM29)="","",IF(uxb_works!$B$46=1,tblCategories_2014!AM29,tblCategories_2017!AM29))</f>
        <v>0</v>
      </c>
      <c r="AN29" s="1">
        <f>IF(IF(uxb_works!$B$46=1,tblCategories_2014!AN29,tblCategories_2017!AN29)="","",IF(uxb_works!$B$46=1,tblCategories_2014!AN29,tblCategories_2017!AN29))</f>
        <v>0</v>
      </c>
      <c r="AO29" s="1">
        <f>IF(IF(uxb_works!$B$46=1,tblCategories_2014!AO29,tblCategories_2017!AO29)="","",IF(uxb_works!$B$46=1,tblCategories_2014!AO29,tblCategories_2017!AO29))</f>
        <v>0</v>
      </c>
      <c r="AP29" s="1">
        <f>IF(IF(uxb_works!$B$46=1,tblCategories_2014!AP29,tblCategories_2017!AP29)="","",IF(uxb_works!$B$46=1,tblCategories_2014!AP29,tblCategories_2017!AP29))</f>
        <v>0</v>
      </c>
      <c r="AQ29" s="1">
        <f>IF(IF(uxb_works!$B$46=1,tblCategories_2014!AQ29,tblCategories_2017!AQ29)="","",IF(uxb_works!$B$46=1,tblCategories_2014!AQ29,tblCategories_2017!AQ29))</f>
        <v>0</v>
      </c>
      <c r="AR29" s="1">
        <f>IF(IF(uxb_works!$B$46=1,tblCategories_2014!AR29,tblCategories_2017!AR29)="","",IF(uxb_works!$B$46=1,tblCategories_2014!AR29,tblCategories_2017!AR29))</f>
        <v>0</v>
      </c>
      <c r="AS29" s="1">
        <f>IF(IF(uxb_works!$B$46=1,tblCategories_2014!AS29,tblCategories_2017!AS29)="","",IF(uxb_works!$B$46=1,tblCategories_2014!AS29,tblCategories_2017!AS29))</f>
        <v>0</v>
      </c>
    </row>
    <row r="30" ht="12.75" spans="1:45">
      <c r="A30" s="1">
        <f>IF(IF(uxb_works!$B$46=1,tblCategories_2014!A30,tblCategories_2017!A30)="","",IF(uxb_works!$B$46=1,tblCategories_2014!A30,tblCategories_2017!A30))</f>
        <v>28</v>
      </c>
      <c r="B30" s="1" t="str">
        <f>IF(IF(uxb_works!$B$46=1,tblCategories_2014!B30,tblCategories_2017!B30)="","",IF(uxb_works!$B$46=1,tblCategories_2014!B30,tblCategories_2017!B30))</f>
        <v/>
      </c>
      <c r="C30" s="57" t="str">
        <f>IF(IF(uxb_works!$B$46=1,tblCategories_2014!C30,tblCategories_2017!C30)="","",IF(uxb_works!$B$46=1,tblCategories_2014!C30,tblCategories_2017!C30))</f>
        <v>3.1) Infrastructure security (Inputs)</v>
      </c>
      <c r="D30" s="1" t="str">
        <f>IF(IF(uxb_works!$B$46=1,tblCategories_2014!D30,tblCategories_2017!D30)="","",IF(uxb_works!$B$46=1,tblCategories_2014!D30,tblCategories_2017!D30))</f>
        <v>3.1) Infrastructure security (Inputs)</v>
      </c>
      <c r="E30" s="1" t="str">
        <f>IF(IF(uxb_works!$B$46=1,tblCategories_2014!E30,tblCategories_2017!E30)="","",IF(uxb_works!$B$46=1,tblCategories_2014!E30,tblCategories_2017!E30))</f>
        <v/>
      </c>
      <c r="F30" s="23">
        <f>IF(IF(uxb_works!$B$46=1,tblCategories_2014!F30,tblCategories_2017!F30)="","",IF(uxb_works!$B$46=1,tblCategories_2014!F30,tblCategories_2017!F30))</f>
        <v>1</v>
      </c>
      <c r="G30" s="32" t="str">
        <f>IF(IF(uxb_works!$B$46=1,tblCategories_2014!G30,tblCategories_2017!G30)="","",IF(uxb_works!$B$46=1,tblCategories_2014!G30,tblCategories_2017!G30))</f>
        <v/>
      </c>
      <c r="H30" s="1" t="str">
        <f>IF(IF(uxb_works!$B$46=1,tblCategories_2014!H30,tblCategories_2017!H30)="","",IF(uxb_works!$B$46=1,tblCategories_2014!H30,tblCategories_2017!H30))</f>
        <v/>
      </c>
      <c r="I30" s="23" t="str">
        <f>IF(IF(uxb_works!$B$46=1,tblCategories_2014!I30,tblCategories_2017!I30)="","",IF(uxb_works!$B$46=1,tblCategories_2014!I30,tblCategories_2017!I30))</f>
        <v/>
      </c>
      <c r="J30" s="1" t="str">
        <f>IF(IF(uxb_works!$B$46=1,tblCategories_2014!J30,tblCategories_2017!J30)="","",IF(uxb_works!$B$46=1,tblCategories_2014!J30,tblCategories_2017!J30))</f>
        <v/>
      </c>
      <c r="K30" s="1" t="str">
        <f>IF(IF(uxb_works!$B$46=1,tblCategories_2014!K31,tblCategories_2017!K30)="","",IF(uxb_works!$B$46=1,tblCategories_2014!K31,tblCategories_2017!K30))</f>
        <v/>
      </c>
      <c r="L30" s="1">
        <f>IF(IF(uxb_works!$B$46=1,tblCategories_2014!L30,tblCategories_2017!L30)="","",IF(uxb_works!$B$46=1,tblCategories_2014!L30,tblCategories_2017!L30))</f>
        <v>1</v>
      </c>
      <c r="M30" s="1">
        <f>IF(IF(uxb_works!$B$46=1,tblCategories_2014!M30,tblCategories_2017!M30)="","",IF(uxb_works!$B$46=1,tblCategories_2014!M30,tblCategories_2017!M30))</f>
        <v>1</v>
      </c>
      <c r="N30" s="1">
        <f>IF(IF(uxb_works!$B$46=1,tblCategories_2014!N30,tblCategories_2017!N30)="","",IF(uxb_works!$B$46=1,tblCategories_2014!N30,tblCategories_2017!N30))</f>
        <v>0</v>
      </c>
      <c r="O30" s="1">
        <f>IF(IF(uxb_works!$B$46=1,tblCategories_2014!O30,tblCategories_2017!O30)="","",IF(uxb_works!$B$46=1,tblCategories_2014!O30,tblCategories_2017!O30))</f>
        <v>0</v>
      </c>
      <c r="P30" s="1">
        <f>IF(IF(uxb_works!$B$46=1,tblCategories_2014!P30,tblCategories_2017!P30)="","",IF(uxb_works!$B$46=1,tblCategories_2014!P30,tblCategories_2017!P30))</f>
        <v>0</v>
      </c>
      <c r="Q30" s="1">
        <f>IF(IF(uxb_works!$B$46=1,tblCategories_2014!Q30,tblCategories_2017!Q30)="","",IF(uxb_works!$B$46=1,tblCategories_2014!Q30,tblCategories_2017!Q30))</f>
        <v>0</v>
      </c>
      <c r="R30" s="1">
        <f>IF(IF(uxb_works!$B$46=1,tblCategories_2014!R30,tblCategories_2017!R30)="","",IF(uxb_works!$B$46=1,tblCategories_2014!R30,tblCategories_2017!R30))</f>
        <v>0</v>
      </c>
      <c r="S30" s="1">
        <f>IF(IF(uxb_works!$B$46=1,tblCategories_2014!S30,tblCategories_2017!S30)="","",IF(uxb_works!$B$46=1,tblCategories_2014!S30,tblCategories_2017!S30))</f>
        <v>0</v>
      </c>
      <c r="T30" s="1">
        <f>IF(IF(uxb_works!$B$46=1,tblCategories_2014!T30,tblCategories_2017!T30)="","",IF(uxb_works!$B$46=1,tblCategories_2014!T30,tblCategories_2017!T30))</f>
        <v>1</v>
      </c>
      <c r="U30" s="1">
        <f>IF(IF(uxb_works!$B$46=1,tblCategories_2014!U30,tblCategories_2017!U30)="","",IF(uxb_works!$B$46=1,tblCategories_2014!U30,tblCategories_2017!U30))</f>
        <v>0</v>
      </c>
      <c r="V30" s="1">
        <f>IF(IF(uxb_works!$B$46=1,tblCategories_2014!V30,tblCategories_2017!V30)="","",IF(uxb_works!$B$46=1,tblCategories_2014!V30,tblCategories_2017!V30))</f>
        <v>0</v>
      </c>
      <c r="W30" s="1">
        <f>IF(IF(uxb_works!$B$46=1,tblCategories_2014!W30,tblCategories_2017!W30)="","",IF(uxb_works!$B$46=1,tblCategories_2014!W30,tblCategories_2017!W30))</f>
        <v>0</v>
      </c>
      <c r="X30" s="1">
        <f>IF(IF(uxb_works!$B$46=1,tblCategories_2014!X30,tblCategories_2017!X30)="","",IF(uxb_works!$B$46=1,tblCategories_2014!X30,tblCategories_2017!X30))</f>
        <v>0</v>
      </c>
      <c r="Y30" s="1">
        <f>IF(IF(uxb_works!$B$46=1,tblCategories_2014!Y30,tblCategories_2017!Y30)="","",IF(uxb_works!$B$46=1,tblCategories_2014!Y30,tblCategories_2017!Y30))</f>
        <v>0</v>
      </c>
      <c r="Z30" s="1" t="str">
        <f>IF(IF(uxb_works!$B$46=1,tblCategories_2014!Z30,tblCategories_2017!Z30)="","",IF(uxb_works!$B$46=1,tblCategories_2014!Z30,tblCategories_2017!Z30))</f>
        <v/>
      </c>
      <c r="AA30" s="53" t="str">
        <f>IF(IF(uxb_works!$B$46=1,tblCategories_2014!AA30,tblCategories_2017!AA30)="","",IF(uxb_works!$B$46=1,tblCategories_2014!AA30,tblCategories_2017!AA30))</f>
        <v/>
      </c>
      <c r="AB30" s="20" t="str">
        <f>IF(IF(uxb_works!$B$46=1,tblCategories_2014!AB30,tblCategories_2017!AB30)="","",IF(uxb_works!$B$46=1,tblCategories_2014!AB30,tblCategories_2017!AB30))</f>
        <v/>
      </c>
      <c r="AC30" s="23">
        <f>IF(IF(uxb_works!$B$46=1,tblCategories_2014!AC30,tblCategories_2017!AC30)="","",IF(uxb_works!$B$46=1,tblCategories_2014!AC30,tblCategories_2017!AC30))</f>
        <v>0</v>
      </c>
      <c r="AD30" s="1" t="str">
        <f>IF(IF(uxb_works!$B$46=1,tblCategories_2014!AD30,tblCategories_2017!AD30)="","",IF(uxb_works!$B$46=1,tblCategories_2014!AD30,tblCategories_2017!AD30))</f>
        <v/>
      </c>
      <c r="AF30" s="1">
        <f>IF(IF(uxb_works!$B$46=1,tblCategories_2014!AF30,tblCategories_2017!AF30)="","",IF(uxb_works!$B$46=1,tblCategories_2014!AF30,tblCategories_2017!AF30))</f>
        <v>1</v>
      </c>
      <c r="AG30" s="1">
        <f>IF(IF(uxb_works!$B$46=1,tblCategories_2014!AG30,tblCategories_2017!AG30)="","",IF(uxb_works!$B$46=1,tblCategories_2014!AG30,tblCategories_2017!AG30))</f>
        <v>0</v>
      </c>
      <c r="AH30" s="1">
        <f>IF(IF(uxb_works!$B$46=1,tblCategories_2014!AH30,tblCategories_2017!AH30)="","",IF(uxb_works!$B$46=1,tblCategories_2014!AH30,tblCategories_2017!AH30))</f>
        <v>0</v>
      </c>
      <c r="AI30" s="1">
        <f>IF(IF(uxb_works!$B$46=1,tblCategories_2014!AI30,tblCategories_2017!AI30)="","",IF(uxb_works!$B$46=1,tblCategories_2014!AI30,tblCategories_2017!AI30))</f>
        <v>0</v>
      </c>
      <c r="AJ30" s="1">
        <f>IF(IF(uxb_works!$B$46=1,tblCategories_2014!AJ30,tblCategories_2017!AJ30)="","",IF(uxb_works!$B$46=1,tblCategories_2014!AJ30,tblCategories_2017!AJ30))</f>
        <v>0</v>
      </c>
      <c r="AK30" s="1">
        <f>IF(IF(uxb_works!$B$46=1,tblCategories_2014!AK30,tblCategories_2017!AK30)="","",IF(uxb_works!$B$46=1,tblCategories_2014!AK30,tblCategories_2017!AK30))</f>
        <v>0</v>
      </c>
      <c r="AL30" s="1">
        <f>IF(IF(uxb_works!$B$46=1,tblCategories_2014!AL30,tblCategories_2017!AL30)="","",IF(uxb_works!$B$46=1,tblCategories_2014!AL30,tblCategories_2017!AL30))</f>
        <v>0</v>
      </c>
      <c r="AM30" s="1">
        <f>IF(IF(uxb_works!$B$46=1,tblCategories_2014!AM30,tblCategories_2017!AM30)="","",IF(uxb_works!$B$46=1,tblCategories_2014!AM30,tblCategories_2017!AM30))</f>
        <v>0</v>
      </c>
      <c r="AN30" s="1">
        <f>IF(IF(uxb_works!$B$46=1,tblCategories_2014!AN30,tblCategories_2017!AN30)="","",IF(uxb_works!$B$46=1,tblCategories_2014!AN30,tblCategories_2017!AN30))</f>
        <v>1</v>
      </c>
      <c r="AO30" s="1">
        <f>IF(IF(uxb_works!$B$46=1,tblCategories_2014!AO30,tblCategories_2017!AO30)="","",IF(uxb_works!$B$46=1,tblCategories_2014!AO30,tblCategories_2017!AO30))</f>
        <v>0</v>
      </c>
      <c r="AP30" s="1">
        <f>IF(IF(uxb_works!$B$46=1,tblCategories_2014!AP30,tblCategories_2017!AP30)="","",IF(uxb_works!$B$46=1,tblCategories_2014!AP30,tblCategories_2017!AP30))</f>
        <v>0</v>
      </c>
      <c r="AQ30" s="1">
        <f>IF(IF(uxb_works!$B$46=1,tblCategories_2014!AQ30,tblCategories_2017!AQ30)="","",IF(uxb_works!$B$46=1,tblCategories_2014!AQ30,tblCategories_2017!AQ30))</f>
        <v>0</v>
      </c>
      <c r="AR30" s="1">
        <f>IF(IF(uxb_works!$B$46=1,tblCategories_2014!AR30,tblCategories_2017!AR30)="","",IF(uxb_works!$B$46=1,tblCategories_2014!AR30,tblCategories_2017!AR30))</f>
        <v>0</v>
      </c>
      <c r="AS30" s="1">
        <f>IF(IF(uxb_works!$B$46=1,tblCategories_2014!AS30,tblCategories_2017!AS30)="","",IF(uxb_works!$B$46=1,tblCategories_2014!AS30,tblCategories_2017!AS30))</f>
        <v>0</v>
      </c>
    </row>
    <row r="31" ht="12.75" spans="1:45">
      <c r="A31" s="1">
        <f>IF(IF(uxb_works!$B$46=1,tblCategories_2014!A31,tblCategories_2017!A31)="","",IF(uxb_works!$B$46=1,tblCategories_2014!A31,tblCategories_2017!A31))</f>
        <v>29</v>
      </c>
      <c r="B31" s="1" t="str">
        <f>IF(IF(uxb_works!$B$46=1,tblCategories_2014!B31,tblCategories_2017!B31)="","",IF(uxb_works!$B$46=1,tblCategories_2014!B31,tblCategories_2017!B31))</f>
        <v/>
      </c>
      <c r="C31" s="57" t="str">
        <f>IF(IF(uxb_works!$B$46=1,tblCategories_2014!C31,tblCategories_2017!C31)="","",IF(uxb_works!$B$46=1,tblCategories_2014!C31,tblCategories_2017!C31))</f>
        <v>3.1.1) Enforcement of transport safety</v>
      </c>
      <c r="D31" s="1" t="str">
        <f>IF(IF(uxb_works!$B$46=1,tblCategories_2014!D31,tblCategories_2017!D31)="","",IF(uxb_works!$B$46=1,tblCategories_2014!D31,tblCategories_2017!D31))</f>
        <v>3.1.1) Enforcement of transport safety</v>
      </c>
      <c r="E31" s="1" t="str">
        <f>IF(IF(uxb_works!$B$46=1,tblCategories_2014!E31,tblCategories_2017!E31)="","",IF(uxb_works!$B$46=1,tblCategories_2014!E31,tblCategories_2017!E31))</f>
        <v/>
      </c>
      <c r="F31" s="23">
        <f>IF(IF(uxb_works!$B$46=1,tblCategories_2014!F31,tblCategories_2017!F31)="","",IF(uxb_works!$B$46=1,tblCategories_2014!F31,tblCategories_2017!F31))</f>
        <v>1</v>
      </c>
      <c r="G31" s="32" t="str">
        <f>IF(IF(uxb_works!$B$46=1,tblCategories_2014!G31,tblCategories_2017!G31)="","",IF(uxb_works!$B$46=1,tblCategories_2014!G31,tblCategories_2017!G31))</f>
        <v/>
      </c>
      <c r="H31" s="1" t="str">
        <f>IF(IF(uxb_works!$B$46=1,tblCategories_2014!H31,tblCategories_2017!H31)="","",IF(uxb_works!$B$46=1,tblCategories_2014!H31,tblCategories_2017!H31))</f>
        <v/>
      </c>
      <c r="I31" s="23" t="str">
        <f>IF(IF(uxb_works!$B$46=1,tblCategories_2014!I31,tblCategories_2017!I31)="","",IF(uxb_works!$B$46=1,tblCategories_2014!I31,tblCategories_2017!I31))</f>
        <v/>
      </c>
      <c r="J31" s="1" t="str">
        <f>IF(IF(uxb_works!$B$46=1,tblCategories_2014!J31,tblCategories_2017!J31)="","",IF(uxb_works!$B$46=1,tblCategories_2014!J31,tblCategories_2017!J31))</f>
        <v/>
      </c>
      <c r="K31" s="1" t="str">
        <f>IF(IF(uxb_works!$B$46=1,tblCategories_2014!K32,tblCategories_2017!K31)="","",IF(uxb_works!$B$46=1,tblCategories_2014!K32,tblCategories_2017!K31))</f>
        <v/>
      </c>
      <c r="L31" s="1">
        <f>IF(IF(uxb_works!$B$46=1,tblCategories_2014!L31,tblCategories_2017!L31)="","",IF(uxb_works!$B$46=1,tblCategories_2014!L31,tblCategories_2017!L31))</f>
        <v>1</v>
      </c>
      <c r="M31" s="1">
        <f>IF(IF(uxb_works!$B$46=1,tblCategories_2014!M31,tblCategories_2017!M31)="","",IF(uxb_works!$B$46=1,tblCategories_2014!M31,tblCategories_2017!M31))</f>
        <v>1</v>
      </c>
      <c r="N31" s="1">
        <f>IF(IF(uxb_works!$B$46=1,tblCategories_2014!N31,tblCategories_2017!N31)="","",IF(uxb_works!$B$46=1,tblCategories_2014!N31,tblCategories_2017!N31))</f>
        <v>0</v>
      </c>
      <c r="O31" s="1">
        <f>IF(IF(uxb_works!$B$46=1,tblCategories_2014!O31,tblCategories_2017!O31)="","",IF(uxb_works!$B$46=1,tblCategories_2014!O31,tblCategories_2017!O31))</f>
        <v>0</v>
      </c>
      <c r="P31" s="1">
        <f>IF(IF(uxb_works!$B$46=1,tblCategories_2014!P31,tblCategories_2017!P31)="","",IF(uxb_works!$B$46=1,tblCategories_2014!P31,tblCategories_2017!P31))</f>
        <v>0</v>
      </c>
      <c r="Q31" s="1">
        <f>IF(IF(uxb_works!$B$46=1,tblCategories_2014!Q31,tblCategories_2017!Q31)="","",IF(uxb_works!$B$46=1,tblCategories_2014!Q31,tblCategories_2017!Q31))</f>
        <v>0</v>
      </c>
      <c r="R31" s="1">
        <f>IF(IF(uxb_works!$B$46=1,tblCategories_2014!R31,tblCategories_2017!R31)="","",IF(uxb_works!$B$46=1,tblCategories_2014!R31,tblCategories_2017!R31))</f>
        <v>0</v>
      </c>
      <c r="S31" s="1">
        <f>IF(IF(uxb_works!$B$46=1,tblCategories_2014!S31,tblCategories_2017!S31)="","",IF(uxb_works!$B$46=1,tblCategories_2014!S31,tblCategories_2017!S31))</f>
        <v>0</v>
      </c>
      <c r="T31" s="1">
        <f>IF(IF(uxb_works!$B$46=1,tblCategories_2014!T31,tblCategories_2017!T31)="","",IF(uxb_works!$B$46=1,tblCategories_2014!T31,tblCategories_2017!T31))</f>
        <v>1</v>
      </c>
      <c r="U31" s="1">
        <f>IF(IF(uxb_works!$B$46=1,tblCategories_2014!U31,tblCategories_2017!U31)="","",IF(uxb_works!$B$46=1,tblCategories_2014!U31,tblCategories_2017!U31))</f>
        <v>1</v>
      </c>
      <c r="V31" s="1">
        <f>IF(IF(uxb_works!$B$46=1,tblCategories_2014!V31,tblCategories_2017!V31)="","",IF(uxb_works!$B$46=1,tblCategories_2014!V31,tblCategories_2017!V31))</f>
        <v>0</v>
      </c>
      <c r="W31" s="1">
        <f>IF(IF(uxb_works!$B$46=1,tblCategories_2014!W31,tblCategories_2017!W31)="","",IF(uxb_works!$B$46=1,tblCategories_2014!W31,tblCategories_2017!W31))</f>
        <v>0</v>
      </c>
      <c r="X31" s="1">
        <f>IF(IF(uxb_works!$B$46=1,tblCategories_2014!X31,tblCategories_2017!X31)="","",IF(uxb_works!$B$46=1,tblCategories_2014!X31,tblCategories_2017!X31))</f>
        <v>0</v>
      </c>
      <c r="Y31" s="1">
        <f>IF(IF(uxb_works!$B$46=1,tblCategories_2014!Y31,tblCategories_2017!Y31)="","",IF(uxb_works!$B$46=1,tblCategories_2014!Y31,tblCategories_2017!Y31))</f>
        <v>0</v>
      </c>
      <c r="Z31" s="1" t="str">
        <f>IF(IF(uxb_works!$B$46=1,tblCategories_2014!Z31,tblCategories_2017!Z31)="","",IF(uxb_works!$B$46=1,tblCategories_2014!Z31,tblCategories_2017!Z31))</f>
        <v/>
      </c>
      <c r="AA31" s="53" t="str">
        <f>IF(IF(uxb_works!$B$46=1,tblCategories_2014!AA31,tblCategories_2017!AA31)="","",IF(uxb_works!$B$46=1,tblCategories_2014!AA31,tblCategories_2017!AA31))</f>
        <v/>
      </c>
      <c r="AB31" s="20" t="str">
        <f>IF(IF(uxb_works!$B$46=1,tblCategories_2014!AB31,tblCategories_2017!AB31)="","",IF(uxb_works!$B$46=1,tblCategories_2014!AB31,tblCategories_2017!AB31))</f>
        <v/>
      </c>
      <c r="AC31" s="23">
        <f>IF(IF(uxb_works!$B$46=1,tblCategories_2014!AC31,tblCategories_2017!AC31)="","",IF(uxb_works!$B$46=1,tblCategories_2014!AC31,tblCategories_2017!AC31))</f>
        <v>0</v>
      </c>
      <c r="AD31" s="1" t="str">
        <f>IF(IF(uxb_works!$B$46=1,tblCategories_2014!AD31,tblCategories_2017!AD31)="","",IF(uxb_works!$B$46=1,tblCategories_2014!AD31,tblCategories_2017!AD31))</f>
        <v/>
      </c>
      <c r="AF31" s="1">
        <f>IF(IF(uxb_works!$B$46=1,tblCategories_2014!AF31,tblCategories_2017!AF31)="","",IF(uxb_works!$B$46=1,tblCategories_2014!AF31,tblCategories_2017!AF31))</f>
        <v>1</v>
      </c>
      <c r="AG31" s="1">
        <f>IF(IF(uxb_works!$B$46=1,tblCategories_2014!AG31,tblCategories_2017!AG31)="","",IF(uxb_works!$B$46=1,tblCategories_2014!AG31,tblCategories_2017!AG31))</f>
        <v>0</v>
      </c>
      <c r="AH31" s="1">
        <f>IF(IF(uxb_works!$B$46=1,tblCategories_2014!AH31,tblCategories_2017!AH31)="","",IF(uxb_works!$B$46=1,tblCategories_2014!AH31,tblCategories_2017!AH31))</f>
        <v>0</v>
      </c>
      <c r="AI31" s="1">
        <f>IF(IF(uxb_works!$B$46=1,tblCategories_2014!AI31,tblCategories_2017!AI31)="","",IF(uxb_works!$B$46=1,tblCategories_2014!AI31,tblCategories_2017!AI31))</f>
        <v>0</v>
      </c>
      <c r="AJ31" s="1">
        <f>IF(IF(uxb_works!$B$46=1,tblCategories_2014!AJ31,tblCategories_2017!AJ31)="","",IF(uxb_works!$B$46=1,tblCategories_2014!AJ31,tblCategories_2017!AJ31))</f>
        <v>0</v>
      </c>
      <c r="AK31" s="1">
        <f>IF(IF(uxb_works!$B$46=1,tblCategories_2014!AK31,tblCategories_2017!AK31)="","",IF(uxb_works!$B$46=1,tblCategories_2014!AK31,tblCategories_2017!AK31))</f>
        <v>0</v>
      </c>
      <c r="AL31" s="1">
        <f>IF(IF(uxb_works!$B$46=1,tblCategories_2014!AL31,tblCategories_2017!AL31)="","",IF(uxb_works!$B$46=1,tblCategories_2014!AL31,tblCategories_2017!AL31))</f>
        <v>0</v>
      </c>
      <c r="AM31" s="1">
        <f>IF(IF(uxb_works!$B$46=1,tblCategories_2014!AM31,tblCategories_2017!AM31)="","",IF(uxb_works!$B$46=1,tblCategories_2014!AM31,tblCategories_2017!AM31))</f>
        <v>0</v>
      </c>
      <c r="AN31" s="1">
        <f>IF(IF(uxb_works!$B$46=1,tblCategories_2014!AN31,tblCategories_2017!AN31)="","",IF(uxb_works!$B$46=1,tblCategories_2014!AN31,tblCategories_2017!AN31))</f>
        <v>0</v>
      </c>
      <c r="AO31" s="1">
        <f>IF(IF(uxb_works!$B$46=1,tblCategories_2014!AO31,tblCategories_2017!AO31)="","",IF(uxb_works!$B$46=1,tblCategories_2014!AO31,tblCategories_2017!AO31))</f>
        <v>1</v>
      </c>
      <c r="AP31" s="1">
        <f>IF(IF(uxb_works!$B$46=1,tblCategories_2014!AP31,tblCategories_2017!AP31)="","",IF(uxb_works!$B$46=1,tblCategories_2014!AP31,tblCategories_2017!AP31))</f>
        <v>0</v>
      </c>
      <c r="AQ31" s="1">
        <f>IF(IF(uxb_works!$B$46=1,tblCategories_2014!AQ31,tblCategories_2017!AQ31)="","",IF(uxb_works!$B$46=1,tblCategories_2014!AQ31,tblCategories_2017!AQ31))</f>
        <v>0</v>
      </c>
      <c r="AR31" s="1">
        <f>IF(IF(uxb_works!$B$46=1,tblCategories_2014!AR31,tblCategories_2017!AR31)="","",IF(uxb_works!$B$46=1,tblCategories_2014!AR31,tblCategories_2017!AR31))</f>
        <v>0</v>
      </c>
      <c r="AS31" s="1">
        <f>IF(IF(uxb_works!$B$46=1,tblCategories_2014!AS31,tblCategories_2017!AS31)="","",IF(uxb_works!$B$46=1,tblCategories_2014!AS31,tblCategories_2017!AS31))</f>
        <v>0</v>
      </c>
    </row>
    <row r="32" ht="12.75" spans="1:45">
      <c r="A32" s="1">
        <f>IF(IF(uxb_works!$B$46=1,tblCategories_2014!A32,tblCategories_2017!A32)="","",IF(uxb_works!$B$46=1,tblCategories_2014!A32,tblCategories_2017!A32))</f>
        <v>30</v>
      </c>
      <c r="B32" s="1" t="str">
        <f>IF(IF(uxb_works!$B$46=1,tblCategories_2014!B32,tblCategories_2017!B32)="","",IF(uxb_works!$B$46=1,tblCategories_2014!B32,tblCategories_2017!B32))</f>
        <v/>
      </c>
      <c r="C32" s="57" t="str">
        <f>IF(IF(uxb_works!$B$46=1,tblCategories_2014!C32,tblCategories_2017!C32)="","",IF(uxb_works!$B$46=1,tblCategories_2014!C32,tblCategories_2017!C32))</f>
        <v>3.1.2) Pedestrian friendliness</v>
      </c>
      <c r="D32" s="1" t="str">
        <f>IF(IF(uxb_works!$B$46=1,tblCategories_2014!D32,tblCategories_2017!D32)="","",IF(uxb_works!$B$46=1,tblCategories_2014!D32,tblCategories_2017!D32))</f>
        <v>3.1.2) Pedestrian friendliness</v>
      </c>
      <c r="E32" s="1" t="str">
        <f>IF(IF(uxb_works!$B$46=1,tblCategories_2014!E32,tblCategories_2017!E32)="","",IF(uxb_works!$B$46=1,tblCategories_2014!E32,tblCategories_2017!E32))</f>
        <v/>
      </c>
      <c r="F32" s="23">
        <f>IF(IF(uxb_works!$B$46=1,tblCategories_2014!F32,tblCategories_2017!F32)="","",IF(uxb_works!$B$46=1,tblCategories_2014!F32,tblCategories_2017!F32))</f>
        <v>1</v>
      </c>
      <c r="G32" s="32" t="str">
        <f>IF(IF(uxb_works!$B$46=1,tblCategories_2014!G32,tblCategories_2017!G32)="","",IF(uxb_works!$B$46=1,tblCategories_2014!G32,tblCategories_2017!G32))</f>
        <v/>
      </c>
      <c r="H32" s="1" t="str">
        <f>IF(IF(uxb_works!$B$46=1,tblCategories_2014!H32,tblCategories_2017!H32)="","",IF(uxb_works!$B$46=1,tblCategories_2014!H32,tblCategories_2017!H32))</f>
        <v/>
      </c>
      <c r="I32" s="23" t="str">
        <f>IF(IF(uxb_works!$B$46=1,tblCategories_2014!I32,tblCategories_2017!I32)="","",IF(uxb_works!$B$46=1,tblCategories_2014!I32,tblCategories_2017!I32))</f>
        <v/>
      </c>
      <c r="J32" s="1" t="str">
        <f>IF(IF(uxb_works!$B$46=1,tblCategories_2014!J32,tblCategories_2017!J32)="","",IF(uxb_works!$B$46=1,tblCategories_2014!J32,tblCategories_2017!J32))</f>
        <v/>
      </c>
      <c r="K32" s="1" t="str">
        <f>IF(IF(uxb_works!$B$46=1,tblCategories_2014!K33,tblCategories_2017!K32)="","",IF(uxb_works!$B$46=1,tblCategories_2014!K33,tblCategories_2017!K32))</f>
        <v/>
      </c>
      <c r="L32" s="1">
        <f>IF(IF(uxb_works!$B$46=1,tblCategories_2014!L32,tblCategories_2017!L32)="","",IF(uxb_works!$B$46=1,tblCategories_2014!L32,tblCategories_2017!L32))</f>
        <v>1</v>
      </c>
      <c r="M32" s="1">
        <f>IF(IF(uxb_works!$B$46=1,tblCategories_2014!M32,tblCategories_2017!M32)="","",IF(uxb_works!$B$46=1,tblCategories_2014!M32,tblCategories_2017!M32))</f>
        <v>1</v>
      </c>
      <c r="N32" s="1">
        <f>IF(IF(uxb_works!$B$46=1,tblCategories_2014!N32,tblCategories_2017!N32)="","",IF(uxb_works!$B$46=1,tblCategories_2014!N32,tblCategories_2017!N32))</f>
        <v>0</v>
      </c>
      <c r="O32" s="1">
        <f>IF(IF(uxb_works!$B$46=1,tblCategories_2014!O32,tblCategories_2017!O32)="","",IF(uxb_works!$B$46=1,tblCategories_2014!O32,tblCategories_2017!O32))</f>
        <v>0</v>
      </c>
      <c r="P32" s="1">
        <f>IF(IF(uxb_works!$B$46=1,tblCategories_2014!P32,tblCategories_2017!P32)="","",IF(uxb_works!$B$46=1,tblCategories_2014!P32,tblCategories_2017!P32))</f>
        <v>0</v>
      </c>
      <c r="Q32" s="1">
        <f>IF(IF(uxb_works!$B$46=1,tblCategories_2014!Q32,tblCategories_2017!Q32)="","",IF(uxb_works!$B$46=1,tblCategories_2014!Q32,tblCategories_2017!Q32))</f>
        <v>0</v>
      </c>
      <c r="R32" s="1">
        <f>IF(IF(uxb_works!$B$46=1,tblCategories_2014!R32,tblCategories_2017!R32)="","",IF(uxb_works!$B$46=1,tblCategories_2014!R32,tblCategories_2017!R32))</f>
        <v>0</v>
      </c>
      <c r="S32" s="1">
        <f>IF(IF(uxb_works!$B$46=1,tblCategories_2014!S32,tblCategories_2017!S32)="","",IF(uxb_works!$B$46=1,tblCategories_2014!S32,tblCategories_2017!S32))</f>
        <v>0</v>
      </c>
      <c r="T32" s="1">
        <f>IF(IF(uxb_works!$B$46=1,tblCategories_2014!T32,tblCategories_2017!T32)="","",IF(uxb_works!$B$46=1,tblCategories_2014!T32,tblCategories_2017!T32))</f>
        <v>1</v>
      </c>
      <c r="U32" s="1">
        <f>IF(IF(uxb_works!$B$46=1,tblCategories_2014!U32,tblCategories_2017!U32)="","",IF(uxb_works!$B$46=1,tblCategories_2014!U32,tblCategories_2017!U32))</f>
        <v>1</v>
      </c>
      <c r="V32" s="1">
        <f>IF(IF(uxb_works!$B$46=1,tblCategories_2014!V32,tblCategories_2017!V32)="","",IF(uxb_works!$B$46=1,tblCategories_2014!V32,tblCategories_2017!V32))</f>
        <v>0</v>
      </c>
      <c r="W32" s="1">
        <f>IF(IF(uxb_works!$B$46=1,tblCategories_2014!W32,tblCategories_2017!W32)="","",IF(uxb_works!$B$46=1,tblCategories_2014!W32,tblCategories_2017!W32))</f>
        <v>0</v>
      </c>
      <c r="X32" s="1">
        <f>IF(IF(uxb_works!$B$46=1,tblCategories_2014!X32,tblCategories_2017!X32)="","",IF(uxb_works!$B$46=1,tblCategories_2014!X32,tblCategories_2017!X32))</f>
        <v>0</v>
      </c>
      <c r="Y32" s="1">
        <f>IF(IF(uxb_works!$B$46=1,tblCategories_2014!Y32,tblCategories_2017!Y32)="","",IF(uxb_works!$B$46=1,tblCategories_2014!Y32,tblCategories_2017!Y32))</f>
        <v>0</v>
      </c>
      <c r="Z32" s="1" t="str">
        <f>IF(IF(uxb_works!$B$46=1,tblCategories_2014!Z32,tblCategories_2017!Z32)="","",IF(uxb_works!$B$46=1,tblCategories_2014!Z32,tblCategories_2017!Z32))</f>
        <v/>
      </c>
      <c r="AA32" s="53" t="str">
        <f>IF(IF(uxb_works!$B$46=1,tblCategories_2014!AA32,tblCategories_2017!AA32)="","",IF(uxb_works!$B$46=1,tblCategories_2014!AA32,tblCategories_2017!AA32))</f>
        <v/>
      </c>
      <c r="AB32" s="20" t="str">
        <f>IF(IF(uxb_works!$B$46=1,tblCategories_2014!AB32,tblCategories_2017!AB32)="","",IF(uxb_works!$B$46=1,tblCategories_2014!AB32,tblCategories_2017!AB32))</f>
        <v/>
      </c>
      <c r="AC32" s="23">
        <f>IF(IF(uxb_works!$B$46=1,tblCategories_2014!AC32,tblCategories_2017!AC32)="","",IF(uxb_works!$B$46=1,tblCategories_2014!AC32,tblCategories_2017!AC32))</f>
        <v>0</v>
      </c>
      <c r="AD32" s="1" t="str">
        <f>IF(IF(uxb_works!$B$46=1,tblCategories_2014!AD32,tblCategories_2017!AD32)="","",IF(uxb_works!$B$46=1,tblCategories_2014!AD32,tblCategories_2017!AD32))</f>
        <v/>
      </c>
      <c r="AF32" s="1">
        <f>IF(IF(uxb_works!$B$46=1,tblCategories_2014!AF32,tblCategories_2017!AF32)="","",IF(uxb_works!$B$46=1,tblCategories_2014!AF32,tblCategories_2017!AF32))</f>
        <v>1</v>
      </c>
      <c r="AG32" s="1">
        <f>IF(IF(uxb_works!$B$46=1,tblCategories_2014!AG32,tblCategories_2017!AG32)="","",IF(uxb_works!$B$46=1,tblCategories_2014!AG32,tblCategories_2017!AG32))</f>
        <v>0</v>
      </c>
      <c r="AH32" s="1">
        <f>IF(IF(uxb_works!$B$46=1,tblCategories_2014!AH32,tblCategories_2017!AH32)="","",IF(uxb_works!$B$46=1,tblCategories_2014!AH32,tblCategories_2017!AH32))</f>
        <v>0</v>
      </c>
      <c r="AI32" s="1">
        <f>IF(IF(uxb_works!$B$46=1,tblCategories_2014!AI32,tblCategories_2017!AI32)="","",IF(uxb_works!$B$46=1,tblCategories_2014!AI32,tblCategories_2017!AI32))</f>
        <v>0</v>
      </c>
      <c r="AJ32" s="1">
        <f>IF(IF(uxb_works!$B$46=1,tblCategories_2014!AJ32,tblCategories_2017!AJ32)="","",IF(uxb_works!$B$46=1,tblCategories_2014!AJ32,tblCategories_2017!AJ32))</f>
        <v>0</v>
      </c>
      <c r="AK32" s="1">
        <f>IF(IF(uxb_works!$B$46=1,tblCategories_2014!AK32,tblCategories_2017!AK32)="","",IF(uxb_works!$B$46=1,tblCategories_2014!AK32,tblCategories_2017!AK32))</f>
        <v>0</v>
      </c>
      <c r="AL32" s="1">
        <f>IF(IF(uxb_works!$B$46=1,tblCategories_2014!AL32,tblCategories_2017!AL32)="","",IF(uxb_works!$B$46=1,tblCategories_2014!AL32,tblCategories_2017!AL32))</f>
        <v>0</v>
      </c>
      <c r="AM32" s="1">
        <f>IF(IF(uxb_works!$B$46=1,tblCategories_2014!AM32,tblCategories_2017!AM32)="","",IF(uxb_works!$B$46=1,tblCategories_2014!AM32,tblCategories_2017!AM32))</f>
        <v>0</v>
      </c>
      <c r="AN32" s="1">
        <f>IF(IF(uxb_works!$B$46=1,tblCategories_2014!AN32,tblCategories_2017!AN32)="","",IF(uxb_works!$B$46=1,tblCategories_2014!AN32,tblCategories_2017!AN32))</f>
        <v>0</v>
      </c>
      <c r="AO32" s="1">
        <f>IF(IF(uxb_works!$B$46=1,tblCategories_2014!AO32,tblCategories_2017!AO32)="","",IF(uxb_works!$B$46=1,tblCategories_2014!AO32,tblCategories_2017!AO32))</f>
        <v>1</v>
      </c>
      <c r="AP32" s="1">
        <f>IF(IF(uxb_works!$B$46=1,tblCategories_2014!AP32,tblCategories_2017!AP32)="","",IF(uxb_works!$B$46=1,tblCategories_2014!AP32,tblCategories_2017!AP32))</f>
        <v>0</v>
      </c>
      <c r="AQ32" s="1">
        <f>IF(IF(uxb_works!$B$46=1,tblCategories_2014!AQ32,tblCategories_2017!AQ32)="","",IF(uxb_works!$B$46=1,tblCategories_2014!AQ32,tblCategories_2017!AQ32))</f>
        <v>0</v>
      </c>
      <c r="AR32" s="1">
        <f>IF(IF(uxb_works!$B$46=1,tblCategories_2014!AR32,tblCategories_2017!AR32)="","",IF(uxb_works!$B$46=1,tblCategories_2014!AR32,tblCategories_2017!AR32))</f>
        <v>0</v>
      </c>
      <c r="AS32" s="1">
        <f>IF(IF(uxb_works!$B$46=1,tblCategories_2014!AS32,tblCategories_2017!AS32)="","",IF(uxb_works!$B$46=1,tblCategories_2014!AS32,tblCategories_2017!AS32))</f>
        <v>0</v>
      </c>
    </row>
    <row r="33" ht="12.75" spans="1:45">
      <c r="A33" s="1">
        <f>IF(IF(uxb_works!$B$46=1,tblCategories_2014!A33,tblCategories_2017!A33)="","",IF(uxb_works!$B$46=1,tblCategories_2014!A33,tblCategories_2017!A33))</f>
        <v>31</v>
      </c>
      <c r="B33" s="1" t="str">
        <f>IF(IF(uxb_works!$B$46=1,tblCategories_2014!B33,tblCategories_2017!B33)="","",IF(uxb_works!$B$46=1,tblCategories_2014!B33,tblCategories_2017!B33))</f>
        <v/>
      </c>
      <c r="C33" s="57" t="str">
        <f>IF(IF(uxb_works!$B$46=1,tblCategories_2014!C33,tblCategories_2017!C33)="","",IF(uxb_works!$B$46=1,tblCategories_2014!C33,tblCategories_2017!C33))</f>
        <v>3.1.3) Quality of road infrastructure</v>
      </c>
      <c r="D33" s="1" t="str">
        <f>IF(IF(uxb_works!$B$46=1,tblCategories_2014!D33,tblCategories_2017!D33)="","",IF(uxb_works!$B$46=1,tblCategories_2014!D33,tblCategories_2017!D33))</f>
        <v>3.1.3) Quality of road infrastructure</v>
      </c>
      <c r="E33" s="1" t="str">
        <f>IF(IF(uxb_works!$B$46=1,tblCategories_2014!E33,tblCategories_2017!E33)="","",IF(uxb_works!$B$46=1,tblCategories_2014!E33,tblCategories_2017!E33))</f>
        <v/>
      </c>
      <c r="F33" s="23">
        <f>IF(IF(uxb_works!$B$46=1,tblCategories_2014!F33,tblCategories_2017!F33)="","",IF(uxb_works!$B$46=1,tblCategories_2014!F33,tblCategories_2017!F33))</f>
        <v>1</v>
      </c>
      <c r="G33" s="32" t="str">
        <f>IF(IF(uxb_works!$B$46=1,tblCategories_2014!G33,tblCategories_2017!G33)="","",IF(uxb_works!$B$46=1,tblCategories_2014!G33,tblCategories_2017!G33))</f>
        <v/>
      </c>
      <c r="H33" s="1" t="str">
        <f>IF(IF(uxb_works!$B$46=1,tblCategories_2014!H33,tblCategories_2017!H33)="","",IF(uxb_works!$B$46=1,tblCategories_2014!H33,tblCategories_2017!H33))</f>
        <v/>
      </c>
      <c r="I33" s="23" t="str">
        <f>IF(IF(uxb_works!$B$46=1,tblCategories_2014!I33,tblCategories_2017!I33)="","",IF(uxb_works!$B$46=1,tblCategories_2014!I33,tblCategories_2017!I33))</f>
        <v/>
      </c>
      <c r="J33" s="1" t="str">
        <f>IF(IF(uxb_works!$B$46=1,tblCategories_2014!J33,tblCategories_2017!J33)="","",IF(uxb_works!$B$46=1,tblCategories_2014!J33,tblCategories_2017!J33))</f>
        <v/>
      </c>
      <c r="K33" s="1" t="str">
        <f>IF(IF(uxb_works!$B$46=1,tblCategories_2014!K34,tblCategories_2017!K33)="","",IF(uxb_works!$B$46=1,tblCategories_2014!K34,tblCategories_2017!K33))</f>
        <v/>
      </c>
      <c r="L33" s="1">
        <f>IF(IF(uxb_works!$B$46=1,tblCategories_2014!L33,tblCategories_2017!L33)="","",IF(uxb_works!$B$46=1,tblCategories_2014!L33,tblCategories_2017!L33))</f>
        <v>1</v>
      </c>
      <c r="M33" s="1">
        <f>IF(IF(uxb_works!$B$46=1,tblCategories_2014!M33,tblCategories_2017!M33)="","",IF(uxb_works!$B$46=1,tblCategories_2014!M33,tblCategories_2017!M33))</f>
        <v>1</v>
      </c>
      <c r="N33" s="1">
        <f>IF(IF(uxb_works!$B$46=1,tblCategories_2014!N33,tblCategories_2017!N33)="","",IF(uxb_works!$B$46=1,tblCategories_2014!N33,tblCategories_2017!N33))</f>
        <v>0</v>
      </c>
      <c r="O33" s="1">
        <f>IF(IF(uxb_works!$B$46=1,tblCategories_2014!O33,tblCategories_2017!O33)="","",IF(uxb_works!$B$46=1,tblCategories_2014!O33,tblCategories_2017!O33))</f>
        <v>0</v>
      </c>
      <c r="P33" s="1">
        <f>IF(IF(uxb_works!$B$46=1,tblCategories_2014!P33,tblCategories_2017!P33)="","",IF(uxb_works!$B$46=1,tblCategories_2014!P33,tblCategories_2017!P33))</f>
        <v>0</v>
      </c>
      <c r="Q33" s="1">
        <f>IF(IF(uxb_works!$B$46=1,tblCategories_2014!Q33,tblCategories_2017!Q33)="","",IF(uxb_works!$B$46=1,tblCategories_2014!Q33,tblCategories_2017!Q33))</f>
        <v>0</v>
      </c>
      <c r="R33" s="1">
        <f>IF(IF(uxb_works!$B$46=1,tblCategories_2014!R33,tblCategories_2017!R33)="","",IF(uxb_works!$B$46=1,tblCategories_2014!R33,tblCategories_2017!R33))</f>
        <v>0</v>
      </c>
      <c r="S33" s="1">
        <f>IF(IF(uxb_works!$B$46=1,tblCategories_2014!S33,tblCategories_2017!S33)="","",IF(uxb_works!$B$46=1,tblCategories_2014!S33,tblCategories_2017!S33))</f>
        <v>0</v>
      </c>
      <c r="T33" s="1">
        <f>IF(IF(uxb_works!$B$46=1,tblCategories_2014!T33,tblCategories_2017!T33)="","",IF(uxb_works!$B$46=1,tblCategories_2014!T33,tblCategories_2017!T33))</f>
        <v>1</v>
      </c>
      <c r="U33" s="1">
        <f>IF(IF(uxb_works!$B$46=1,tblCategories_2014!U33,tblCategories_2017!U33)="","",IF(uxb_works!$B$46=1,tblCategories_2014!U33,tblCategories_2017!U33))</f>
        <v>1</v>
      </c>
      <c r="V33" s="1">
        <f>IF(IF(uxb_works!$B$46=1,tblCategories_2014!V33,tblCategories_2017!V33)="","",IF(uxb_works!$B$46=1,tblCategories_2014!V33,tblCategories_2017!V33))</f>
        <v>0</v>
      </c>
      <c r="W33" s="1">
        <f>IF(IF(uxb_works!$B$46=1,tblCategories_2014!W33,tblCategories_2017!W33)="","",IF(uxb_works!$B$46=1,tblCategories_2014!W33,tblCategories_2017!W33))</f>
        <v>0</v>
      </c>
      <c r="X33" s="1">
        <f>IF(IF(uxb_works!$B$46=1,tblCategories_2014!X33,tblCategories_2017!X33)="","",IF(uxb_works!$B$46=1,tblCategories_2014!X33,tblCategories_2017!X33))</f>
        <v>0</v>
      </c>
      <c r="Y33" s="1">
        <f>IF(IF(uxb_works!$B$46=1,tblCategories_2014!Y33,tblCategories_2017!Y33)="","",IF(uxb_works!$B$46=1,tblCategories_2014!Y33,tblCategories_2017!Y33))</f>
        <v>0</v>
      </c>
      <c r="Z33" s="1" t="str">
        <f>IF(IF(uxb_works!$B$46=1,tblCategories_2014!Z33,tblCategories_2017!Z33)="","",IF(uxb_works!$B$46=1,tblCategories_2014!Z33,tblCategories_2017!Z33))</f>
        <v/>
      </c>
      <c r="AA33" s="53" t="str">
        <f>IF(IF(uxb_works!$B$46=1,tblCategories_2014!AA33,tblCategories_2017!AA33)="","",IF(uxb_works!$B$46=1,tblCategories_2014!AA33,tblCategories_2017!AA33))</f>
        <v/>
      </c>
      <c r="AB33" s="20" t="str">
        <f>IF(IF(uxb_works!$B$46=1,tblCategories_2014!AB33,tblCategories_2017!AB33)="","",IF(uxb_works!$B$46=1,tblCategories_2014!AB33,tblCategories_2017!AB33))</f>
        <v/>
      </c>
      <c r="AC33" s="23">
        <f>IF(IF(uxb_works!$B$46=1,tblCategories_2014!AC33,tblCategories_2017!AC33)="","",IF(uxb_works!$B$46=1,tblCategories_2014!AC33,tblCategories_2017!AC33))</f>
        <v>0</v>
      </c>
      <c r="AD33" s="1" t="str">
        <f>IF(IF(uxb_works!$B$46=1,tblCategories_2014!AD33,tblCategories_2017!AD33)="","",IF(uxb_works!$B$46=1,tblCategories_2014!AD33,tblCategories_2017!AD33))</f>
        <v/>
      </c>
      <c r="AF33" s="1">
        <f>IF(IF(uxb_works!$B$46=1,tblCategories_2014!AF33,tblCategories_2017!AF33)="","",IF(uxb_works!$B$46=1,tblCategories_2014!AF33,tblCategories_2017!AF33))</f>
        <v>1</v>
      </c>
      <c r="AG33" s="1">
        <f>IF(IF(uxb_works!$B$46=1,tblCategories_2014!AG33,tblCategories_2017!AG33)="","",IF(uxb_works!$B$46=1,tblCategories_2014!AG33,tblCategories_2017!AG33))</f>
        <v>0</v>
      </c>
      <c r="AH33" s="1">
        <f>IF(IF(uxb_works!$B$46=1,tblCategories_2014!AH33,tblCategories_2017!AH33)="","",IF(uxb_works!$B$46=1,tblCategories_2014!AH33,tblCategories_2017!AH33))</f>
        <v>0</v>
      </c>
      <c r="AI33" s="1">
        <f>IF(IF(uxb_works!$B$46=1,tblCategories_2014!AI33,tblCategories_2017!AI33)="","",IF(uxb_works!$B$46=1,tblCategories_2014!AI33,tblCategories_2017!AI33))</f>
        <v>0</v>
      </c>
      <c r="AJ33" s="1">
        <f>IF(IF(uxb_works!$B$46=1,tblCategories_2014!AJ33,tblCategories_2017!AJ33)="","",IF(uxb_works!$B$46=1,tblCategories_2014!AJ33,tblCategories_2017!AJ33))</f>
        <v>0</v>
      </c>
      <c r="AK33" s="1">
        <f>IF(IF(uxb_works!$B$46=1,tblCategories_2014!AK33,tblCategories_2017!AK33)="","",IF(uxb_works!$B$46=1,tblCategories_2014!AK33,tblCategories_2017!AK33))</f>
        <v>0</v>
      </c>
      <c r="AL33" s="1">
        <f>IF(IF(uxb_works!$B$46=1,tblCategories_2014!AL33,tblCategories_2017!AL33)="","",IF(uxb_works!$B$46=1,tblCategories_2014!AL33,tblCategories_2017!AL33))</f>
        <v>0</v>
      </c>
      <c r="AM33" s="1">
        <f>IF(IF(uxb_works!$B$46=1,tblCategories_2014!AM33,tblCategories_2017!AM33)="","",IF(uxb_works!$B$46=1,tblCategories_2014!AM33,tblCategories_2017!AM33))</f>
        <v>0</v>
      </c>
      <c r="AN33" s="1">
        <f>IF(IF(uxb_works!$B$46=1,tblCategories_2014!AN33,tblCategories_2017!AN33)="","",IF(uxb_works!$B$46=1,tblCategories_2014!AN33,tblCategories_2017!AN33))</f>
        <v>0</v>
      </c>
      <c r="AO33" s="1">
        <f>IF(IF(uxb_works!$B$46=1,tblCategories_2014!AO33,tblCategories_2017!AO33)="","",IF(uxb_works!$B$46=1,tblCategories_2014!AO33,tblCategories_2017!AO33))</f>
        <v>1</v>
      </c>
      <c r="AP33" s="1">
        <f>IF(IF(uxb_works!$B$46=1,tblCategories_2014!AP33,tblCategories_2017!AP33)="","",IF(uxb_works!$B$46=1,tblCategories_2014!AP33,tblCategories_2017!AP33))</f>
        <v>0</v>
      </c>
      <c r="AQ33" s="1">
        <f>IF(IF(uxb_works!$B$46=1,tblCategories_2014!AQ33,tblCategories_2017!AQ33)="","",IF(uxb_works!$B$46=1,tblCategories_2014!AQ33,tblCategories_2017!AQ33))</f>
        <v>0</v>
      </c>
      <c r="AR33" s="1">
        <f>IF(IF(uxb_works!$B$46=1,tblCategories_2014!AR33,tblCategories_2017!AR33)="","",IF(uxb_works!$B$46=1,tblCategories_2014!AR33,tblCategories_2017!AR33))</f>
        <v>0</v>
      </c>
      <c r="AS33" s="1">
        <f>IF(IF(uxb_works!$B$46=1,tblCategories_2014!AS33,tblCategories_2017!AS33)="","",IF(uxb_works!$B$46=1,tblCategories_2014!AS33,tblCategories_2017!AS33))</f>
        <v>0</v>
      </c>
    </row>
    <row r="34" ht="12.75" spans="1:45">
      <c r="A34" s="1">
        <f>IF(IF(uxb_works!$B$46=1,tblCategories_2014!A34,tblCategories_2017!A34)="","",IF(uxb_works!$B$46=1,tblCategories_2014!A34,tblCategories_2017!A34))</f>
        <v>32</v>
      </c>
      <c r="B34" s="1" t="str">
        <f>IF(IF(uxb_works!$B$46=1,tblCategories_2014!B34,tblCategories_2017!B34)="","",IF(uxb_works!$B$46=1,tblCategories_2014!B34,tblCategories_2017!B34))</f>
        <v/>
      </c>
      <c r="C34" s="57" t="str">
        <f>IF(IF(uxb_works!$B$46=1,tblCategories_2014!C34,tblCategories_2017!C34)="","",IF(uxb_works!$B$46=1,tblCategories_2014!C34,tblCategories_2017!C34))</f>
        <v>3.1.4) Quality of electricity infrastructure</v>
      </c>
      <c r="D34" s="1" t="str">
        <f>IF(IF(uxb_works!$B$46=1,tblCategories_2014!D34,tblCategories_2017!D34)="","",IF(uxb_works!$B$46=1,tblCategories_2014!D34,tblCategories_2017!D34))</f>
        <v>3.1.4) Quality of electricity infrastructure</v>
      </c>
      <c r="E34" s="1" t="str">
        <f>IF(IF(uxb_works!$B$46=1,tblCategories_2014!E34,tblCategories_2017!E34)="","",IF(uxb_works!$B$46=1,tblCategories_2014!E34,tblCategories_2017!E34))</f>
        <v/>
      </c>
      <c r="F34" s="23">
        <f>IF(IF(uxb_works!$B$46=1,tblCategories_2014!F34,tblCategories_2017!F34)="","",IF(uxb_works!$B$46=1,tblCategories_2014!F34,tblCategories_2017!F34))</f>
        <v>1</v>
      </c>
      <c r="G34" s="32" t="str">
        <f>IF(IF(uxb_works!$B$46=1,tblCategories_2014!G34,tblCategories_2017!G34)="","",IF(uxb_works!$B$46=1,tblCategories_2014!G34,tblCategories_2017!G34))</f>
        <v/>
      </c>
      <c r="H34" s="1" t="str">
        <f>IF(IF(uxb_works!$B$46=1,tblCategories_2014!H34,tblCategories_2017!H34)="","",IF(uxb_works!$B$46=1,tblCategories_2014!H34,tblCategories_2017!H34))</f>
        <v/>
      </c>
      <c r="I34" s="23" t="str">
        <f>IF(IF(uxb_works!$B$46=1,tblCategories_2014!I34,tblCategories_2017!I34)="","",IF(uxb_works!$B$46=1,tblCategories_2014!I34,tblCategories_2017!I34))</f>
        <v/>
      </c>
      <c r="J34" s="1" t="str">
        <f>IF(IF(uxb_works!$B$46=1,tblCategories_2014!J34,tblCategories_2017!J34)="","",IF(uxb_works!$B$46=1,tblCategories_2014!J34,tblCategories_2017!J34))</f>
        <v/>
      </c>
      <c r="K34" s="1" t="str">
        <f>IF(IF(uxb_works!$B$46=1,tblCategories_2014!K35,tblCategories_2017!K34)="","",IF(uxb_works!$B$46=1,tblCategories_2014!K35,tblCategories_2017!K34))</f>
        <v/>
      </c>
      <c r="L34" s="1">
        <f>IF(IF(uxb_works!$B$46=1,tblCategories_2014!L34,tblCategories_2017!L34)="","",IF(uxb_works!$B$46=1,tblCategories_2014!L34,tblCategories_2017!L34))</f>
        <v>1</v>
      </c>
      <c r="M34" s="1">
        <f>IF(IF(uxb_works!$B$46=1,tblCategories_2014!M34,tblCategories_2017!M34)="","",IF(uxb_works!$B$46=1,tblCategories_2014!M34,tblCategories_2017!M34))</f>
        <v>1</v>
      </c>
      <c r="N34" s="1">
        <f>IF(IF(uxb_works!$B$46=1,tblCategories_2014!N34,tblCategories_2017!N34)="","",IF(uxb_works!$B$46=1,tblCategories_2014!N34,tblCategories_2017!N34))</f>
        <v>0</v>
      </c>
      <c r="O34" s="1">
        <f>IF(IF(uxb_works!$B$46=1,tblCategories_2014!O34,tblCategories_2017!O34)="","",IF(uxb_works!$B$46=1,tblCategories_2014!O34,tblCategories_2017!O34))</f>
        <v>0</v>
      </c>
      <c r="P34" s="1">
        <f>IF(IF(uxb_works!$B$46=1,tblCategories_2014!P34,tblCategories_2017!P34)="","",IF(uxb_works!$B$46=1,tblCategories_2014!P34,tblCategories_2017!P34))</f>
        <v>0</v>
      </c>
      <c r="Q34" s="1">
        <f>IF(IF(uxb_works!$B$46=1,tblCategories_2014!Q34,tblCategories_2017!Q34)="","",IF(uxb_works!$B$46=1,tblCategories_2014!Q34,tblCategories_2017!Q34))</f>
        <v>0</v>
      </c>
      <c r="R34" s="1">
        <f>IF(IF(uxb_works!$B$46=1,tblCategories_2014!R34,tblCategories_2017!R34)="","",IF(uxb_works!$B$46=1,tblCategories_2014!R34,tblCategories_2017!R34))</f>
        <v>0</v>
      </c>
      <c r="S34" s="1">
        <f>IF(IF(uxb_works!$B$46=1,tblCategories_2014!S34,tblCategories_2017!S34)="","",IF(uxb_works!$B$46=1,tblCategories_2014!S34,tblCategories_2017!S34))</f>
        <v>0</v>
      </c>
      <c r="T34" s="1">
        <f>IF(IF(uxb_works!$B$46=1,tblCategories_2014!T34,tblCategories_2017!T34)="","",IF(uxb_works!$B$46=1,tblCategories_2014!T34,tblCategories_2017!T34))</f>
        <v>1</v>
      </c>
      <c r="U34" s="1">
        <f>IF(IF(uxb_works!$B$46=1,tblCategories_2014!U34,tblCategories_2017!U34)="","",IF(uxb_works!$B$46=1,tblCategories_2014!U34,tblCategories_2017!U34))</f>
        <v>1</v>
      </c>
      <c r="V34" s="1">
        <f>IF(IF(uxb_works!$B$46=1,tblCategories_2014!V34,tblCategories_2017!V34)="","",IF(uxb_works!$B$46=1,tblCategories_2014!V34,tblCategories_2017!V34))</f>
        <v>0</v>
      </c>
      <c r="W34" s="1">
        <f>IF(IF(uxb_works!$B$46=1,tblCategories_2014!W34,tblCategories_2017!W34)="","",IF(uxb_works!$B$46=1,tblCategories_2014!W34,tblCategories_2017!W34))</f>
        <v>0</v>
      </c>
      <c r="X34" s="1">
        <f>IF(IF(uxb_works!$B$46=1,tblCategories_2014!X34,tblCategories_2017!X34)="","",IF(uxb_works!$B$46=1,tblCategories_2014!X34,tblCategories_2017!X34))</f>
        <v>0</v>
      </c>
      <c r="Y34" s="1">
        <f>IF(IF(uxb_works!$B$46=1,tblCategories_2014!Y34,tblCategories_2017!Y34)="","",IF(uxb_works!$B$46=1,tblCategories_2014!Y34,tblCategories_2017!Y34))</f>
        <v>0</v>
      </c>
      <c r="Z34" s="1" t="str">
        <f>IF(IF(uxb_works!$B$46=1,tblCategories_2014!Z34,tblCategories_2017!Z34)="","",IF(uxb_works!$B$46=1,tblCategories_2014!Z34,tblCategories_2017!Z34))</f>
        <v/>
      </c>
      <c r="AA34" s="53" t="str">
        <f>IF(IF(uxb_works!$B$46=1,tblCategories_2014!AA34,tblCategories_2017!AA34)="","",IF(uxb_works!$B$46=1,tblCategories_2014!AA34,tblCategories_2017!AA34))</f>
        <v/>
      </c>
      <c r="AB34" s="20" t="str">
        <f>IF(IF(uxb_works!$B$46=1,tblCategories_2014!AB34,tblCategories_2017!AB34)="","",IF(uxb_works!$B$46=1,tblCategories_2014!AB34,tblCategories_2017!AB34))</f>
        <v/>
      </c>
      <c r="AC34" s="23">
        <f>IF(IF(uxb_works!$B$46=1,tblCategories_2014!AC34,tblCategories_2017!AC34)="","",IF(uxb_works!$B$46=1,tblCategories_2014!AC34,tblCategories_2017!AC34))</f>
        <v>0</v>
      </c>
      <c r="AD34" s="1" t="str">
        <f>IF(IF(uxb_works!$B$46=1,tblCategories_2014!AD34,tblCategories_2017!AD34)="","",IF(uxb_works!$B$46=1,tblCategories_2014!AD34,tblCategories_2017!AD34))</f>
        <v/>
      </c>
      <c r="AF34" s="1">
        <f>IF(IF(uxb_works!$B$46=1,tblCategories_2014!AF34,tblCategories_2017!AF34)="","",IF(uxb_works!$B$46=1,tblCategories_2014!AF34,tblCategories_2017!AF34))</f>
        <v>1</v>
      </c>
      <c r="AG34" s="1">
        <f>IF(IF(uxb_works!$B$46=1,tblCategories_2014!AG34,tblCategories_2017!AG34)="","",IF(uxb_works!$B$46=1,tblCategories_2014!AG34,tblCategories_2017!AG34))</f>
        <v>0</v>
      </c>
      <c r="AH34" s="1">
        <f>IF(IF(uxb_works!$B$46=1,tblCategories_2014!AH34,tblCategories_2017!AH34)="","",IF(uxb_works!$B$46=1,tblCategories_2014!AH34,tblCategories_2017!AH34))</f>
        <v>0</v>
      </c>
      <c r="AI34" s="1">
        <f>IF(IF(uxb_works!$B$46=1,tblCategories_2014!AI34,tblCategories_2017!AI34)="","",IF(uxb_works!$B$46=1,tblCategories_2014!AI34,tblCategories_2017!AI34))</f>
        <v>0</v>
      </c>
      <c r="AJ34" s="1">
        <f>IF(IF(uxb_works!$B$46=1,tblCategories_2014!AJ34,tblCategories_2017!AJ34)="","",IF(uxb_works!$B$46=1,tblCategories_2014!AJ34,tblCategories_2017!AJ34))</f>
        <v>0</v>
      </c>
      <c r="AK34" s="1">
        <f>IF(IF(uxb_works!$B$46=1,tblCategories_2014!AK34,tblCategories_2017!AK34)="","",IF(uxb_works!$B$46=1,tblCategories_2014!AK34,tblCategories_2017!AK34))</f>
        <v>0</v>
      </c>
      <c r="AL34" s="1">
        <f>IF(IF(uxb_works!$B$46=1,tblCategories_2014!AL34,tblCategories_2017!AL34)="","",IF(uxb_works!$B$46=1,tblCategories_2014!AL34,tblCategories_2017!AL34))</f>
        <v>0</v>
      </c>
      <c r="AM34" s="1">
        <f>IF(IF(uxb_works!$B$46=1,tblCategories_2014!AM34,tblCategories_2017!AM34)="","",IF(uxb_works!$B$46=1,tblCategories_2014!AM34,tblCategories_2017!AM34))</f>
        <v>0</v>
      </c>
      <c r="AN34" s="1">
        <f>IF(IF(uxb_works!$B$46=1,tblCategories_2014!AN34,tblCategories_2017!AN34)="","",IF(uxb_works!$B$46=1,tblCategories_2014!AN34,tblCategories_2017!AN34))</f>
        <v>0</v>
      </c>
      <c r="AO34" s="1">
        <f>IF(IF(uxb_works!$B$46=1,tblCategories_2014!AO34,tblCategories_2017!AO34)="","",IF(uxb_works!$B$46=1,tblCategories_2014!AO34,tblCategories_2017!AO34))</f>
        <v>1</v>
      </c>
      <c r="AP34" s="1">
        <f>IF(IF(uxb_works!$B$46=1,tblCategories_2014!AP34,tblCategories_2017!AP34)="","",IF(uxb_works!$B$46=1,tblCategories_2014!AP34,tblCategories_2017!AP34))</f>
        <v>0</v>
      </c>
      <c r="AQ34" s="1">
        <f>IF(IF(uxb_works!$B$46=1,tblCategories_2014!AQ34,tblCategories_2017!AQ34)="","",IF(uxb_works!$B$46=1,tblCategories_2014!AQ34,tblCategories_2017!AQ34))</f>
        <v>0</v>
      </c>
      <c r="AR34" s="1">
        <f>IF(IF(uxb_works!$B$46=1,tblCategories_2014!AR34,tblCategories_2017!AR34)="","",IF(uxb_works!$B$46=1,tblCategories_2014!AR34,tblCategories_2017!AR34))</f>
        <v>0</v>
      </c>
      <c r="AS34" s="1">
        <f>IF(IF(uxb_works!$B$46=1,tblCategories_2014!AS34,tblCategories_2017!AS34)="","",IF(uxb_works!$B$46=1,tblCategories_2014!AS34,tblCategories_2017!AS34))</f>
        <v>0</v>
      </c>
    </row>
    <row r="35" ht="12.75" spans="1:45">
      <c r="A35" s="1">
        <f>IF(IF(uxb_works!$B$46=1,tblCategories_2014!A35,tblCategories_2017!A35)="","",IF(uxb_works!$B$46=1,tblCategories_2014!A35,tblCategories_2017!A35))</f>
        <v>33</v>
      </c>
      <c r="B35" s="1" t="str">
        <f>IF(IF(uxb_works!$B$46=1,tblCategories_2014!B35,tblCategories_2017!B35)="","",IF(uxb_works!$B$46=1,tblCategories_2014!B35,tblCategories_2017!B35))</f>
        <v/>
      </c>
      <c r="C35" s="57" t="str">
        <f>IF(IF(uxb_works!$B$46=1,tblCategories_2014!C35,tblCategories_2017!C35)="","",IF(uxb_works!$B$46=1,tblCategories_2014!C35,tblCategories_2017!C35))</f>
        <v>3.1.5) Disaster management/business continuity plan</v>
      </c>
      <c r="D35" s="1" t="str">
        <f>IF(IF(uxb_works!$B$46=1,tblCategories_2014!D35,tblCategories_2017!D35)="","",IF(uxb_works!$B$46=1,tblCategories_2014!D35,tblCategories_2017!D35))</f>
        <v>3.1.5) Disaster management/business continuity plan</v>
      </c>
      <c r="E35" s="1" t="str">
        <f>IF(IF(uxb_works!$B$46=1,tblCategories_2014!E35,tblCategories_2017!E35)="","",IF(uxb_works!$B$46=1,tblCategories_2014!E35,tblCategories_2017!E35))</f>
        <v/>
      </c>
      <c r="F35" s="23">
        <f>IF(IF(uxb_works!$B$46=1,tblCategories_2014!F35,tblCategories_2017!F35)="","",IF(uxb_works!$B$46=1,tblCategories_2014!F35,tblCategories_2017!F35))</f>
        <v>1</v>
      </c>
      <c r="G35" s="32" t="str">
        <f>IF(IF(uxb_works!$B$46=1,tblCategories_2014!G35,tblCategories_2017!G35)="","",IF(uxb_works!$B$46=1,tblCategories_2014!G35,tblCategories_2017!G35))</f>
        <v/>
      </c>
      <c r="H35" s="1" t="str">
        <f>IF(IF(uxb_works!$B$46=1,tblCategories_2014!H35,tblCategories_2017!H35)="","",IF(uxb_works!$B$46=1,tblCategories_2014!H35,tblCategories_2017!H35))</f>
        <v/>
      </c>
      <c r="I35" s="23" t="str">
        <f>IF(IF(uxb_works!$B$46=1,tblCategories_2014!I35,tblCategories_2017!I35)="","",IF(uxb_works!$B$46=1,tblCategories_2014!I35,tblCategories_2017!I35))</f>
        <v/>
      </c>
      <c r="J35" s="1" t="str">
        <f>IF(IF(uxb_works!$B$46=1,tblCategories_2014!J35,tblCategories_2017!J35)="","",IF(uxb_works!$B$46=1,tblCategories_2014!J35,tblCategories_2017!J35))</f>
        <v/>
      </c>
      <c r="K35" s="1" t="str">
        <f>IF(IF(uxb_works!$B$46=1,tblCategories_2014!K36,tblCategories_2017!K35)="","",IF(uxb_works!$B$46=1,tblCategories_2014!K36,tblCategories_2017!K35))</f>
        <v/>
      </c>
      <c r="L35" s="1">
        <f>IF(IF(uxb_works!$B$46=1,tblCategories_2014!L35,tblCategories_2017!L35)="","",IF(uxb_works!$B$46=1,tblCategories_2014!L35,tblCategories_2017!L35))</f>
        <v>1</v>
      </c>
      <c r="M35" s="1">
        <f>IF(IF(uxb_works!$B$46=1,tblCategories_2014!M35,tblCategories_2017!M35)="","",IF(uxb_works!$B$46=1,tblCategories_2014!M35,tblCategories_2017!M35))</f>
        <v>1</v>
      </c>
      <c r="N35" s="1">
        <f>IF(IF(uxb_works!$B$46=1,tblCategories_2014!N35,tblCategories_2017!N35)="","",IF(uxb_works!$B$46=1,tblCategories_2014!N35,tblCategories_2017!N35))</f>
        <v>0</v>
      </c>
      <c r="O35" s="1">
        <f>IF(IF(uxb_works!$B$46=1,tblCategories_2014!O35,tblCategories_2017!O35)="","",IF(uxb_works!$B$46=1,tblCategories_2014!O35,tblCategories_2017!O35))</f>
        <v>0</v>
      </c>
      <c r="P35" s="1">
        <f>IF(IF(uxb_works!$B$46=1,tblCategories_2014!P35,tblCategories_2017!P35)="","",IF(uxb_works!$B$46=1,tblCategories_2014!P35,tblCategories_2017!P35))</f>
        <v>0</v>
      </c>
      <c r="Q35" s="1">
        <f>IF(IF(uxb_works!$B$46=1,tblCategories_2014!Q35,tblCategories_2017!Q35)="","",IF(uxb_works!$B$46=1,tblCategories_2014!Q35,tblCategories_2017!Q35))</f>
        <v>0</v>
      </c>
      <c r="R35" s="1">
        <f>IF(IF(uxb_works!$B$46=1,tblCategories_2014!R35,tblCategories_2017!R35)="","",IF(uxb_works!$B$46=1,tblCategories_2014!R35,tblCategories_2017!R35))</f>
        <v>0</v>
      </c>
      <c r="S35" s="1">
        <f>IF(IF(uxb_works!$B$46=1,tblCategories_2014!S35,tblCategories_2017!S35)="","",IF(uxb_works!$B$46=1,tblCategories_2014!S35,tblCategories_2017!S35))</f>
        <v>0</v>
      </c>
      <c r="T35" s="1">
        <f>IF(IF(uxb_works!$B$46=1,tblCategories_2014!T35,tblCategories_2017!T35)="","",IF(uxb_works!$B$46=1,tblCategories_2014!T35,tblCategories_2017!T35))</f>
        <v>1</v>
      </c>
      <c r="U35" s="1">
        <f>IF(IF(uxb_works!$B$46=1,tblCategories_2014!U35,tblCategories_2017!U35)="","",IF(uxb_works!$B$46=1,tblCategories_2014!U35,tblCategories_2017!U35))</f>
        <v>1</v>
      </c>
      <c r="V35" s="1">
        <f>IF(IF(uxb_works!$B$46=1,tblCategories_2014!V35,tblCategories_2017!V35)="","",IF(uxb_works!$B$46=1,tblCategories_2014!V35,tblCategories_2017!V35))</f>
        <v>0</v>
      </c>
      <c r="W35" s="1">
        <f>IF(IF(uxb_works!$B$46=1,tblCategories_2014!W35,tblCategories_2017!W35)="","",IF(uxb_works!$B$46=1,tblCategories_2014!W35,tblCategories_2017!W35))</f>
        <v>0</v>
      </c>
      <c r="X35" s="1">
        <f>IF(IF(uxb_works!$B$46=1,tblCategories_2014!X35,tblCategories_2017!X35)="","",IF(uxb_works!$B$46=1,tblCategories_2014!X35,tblCategories_2017!X35))</f>
        <v>0</v>
      </c>
      <c r="Y35" s="1">
        <f>IF(IF(uxb_works!$B$46=1,tblCategories_2014!Y35,tblCategories_2017!Y35)="","",IF(uxb_works!$B$46=1,tblCategories_2014!Y35,tblCategories_2017!Y35))</f>
        <v>0</v>
      </c>
      <c r="Z35" s="1" t="str">
        <f>IF(IF(uxb_works!$B$46=1,tblCategories_2014!Z35,tblCategories_2017!Z35)="","",IF(uxb_works!$B$46=1,tblCategories_2014!Z35,tblCategories_2017!Z35))</f>
        <v/>
      </c>
      <c r="AA35" s="53" t="str">
        <f>IF(IF(uxb_works!$B$46=1,tblCategories_2014!AA35,tblCategories_2017!AA35)="","",IF(uxb_works!$B$46=1,tblCategories_2014!AA35,tblCategories_2017!AA35))</f>
        <v/>
      </c>
      <c r="AB35" s="20" t="str">
        <f>IF(IF(uxb_works!$B$46=1,tblCategories_2014!AB35,tblCategories_2017!AB35)="","",IF(uxb_works!$B$46=1,tblCategories_2014!AB35,tblCategories_2017!AB35))</f>
        <v/>
      </c>
      <c r="AC35" s="23">
        <f>IF(IF(uxb_works!$B$46=1,tblCategories_2014!AC35,tblCategories_2017!AC35)="","",IF(uxb_works!$B$46=1,tblCategories_2014!AC35,tblCategories_2017!AC35))</f>
        <v>0</v>
      </c>
      <c r="AD35" s="1" t="str">
        <f>IF(IF(uxb_works!$B$46=1,tblCategories_2014!AD35,tblCategories_2017!AD35)="","",IF(uxb_works!$B$46=1,tblCategories_2014!AD35,tblCategories_2017!AD35))</f>
        <v/>
      </c>
      <c r="AF35" s="1">
        <f>IF(IF(uxb_works!$B$46=1,tblCategories_2014!AF35,tblCategories_2017!AF35)="","",IF(uxb_works!$B$46=1,tblCategories_2014!AF35,tblCategories_2017!AF35))</f>
        <v>1</v>
      </c>
      <c r="AG35" s="1">
        <f>IF(IF(uxb_works!$B$46=1,tblCategories_2014!AG35,tblCategories_2017!AG35)="","",IF(uxb_works!$B$46=1,tblCategories_2014!AG35,tblCategories_2017!AG35))</f>
        <v>0</v>
      </c>
      <c r="AH35" s="1">
        <f>IF(IF(uxb_works!$B$46=1,tblCategories_2014!AH35,tblCategories_2017!AH35)="","",IF(uxb_works!$B$46=1,tblCategories_2014!AH35,tblCategories_2017!AH35))</f>
        <v>0</v>
      </c>
      <c r="AI35" s="1">
        <f>IF(IF(uxb_works!$B$46=1,tblCategories_2014!AI35,tblCategories_2017!AI35)="","",IF(uxb_works!$B$46=1,tblCategories_2014!AI35,tblCategories_2017!AI35))</f>
        <v>0</v>
      </c>
      <c r="AJ35" s="1">
        <f>IF(IF(uxb_works!$B$46=1,tblCategories_2014!AJ35,tblCategories_2017!AJ35)="","",IF(uxb_works!$B$46=1,tblCategories_2014!AJ35,tblCategories_2017!AJ35))</f>
        <v>0</v>
      </c>
      <c r="AK35" s="1">
        <f>IF(IF(uxb_works!$B$46=1,tblCategories_2014!AK35,tblCategories_2017!AK35)="","",IF(uxb_works!$B$46=1,tblCategories_2014!AK35,tblCategories_2017!AK35))</f>
        <v>0</v>
      </c>
      <c r="AL35" s="1">
        <f>IF(IF(uxb_works!$B$46=1,tblCategories_2014!AL35,tblCategories_2017!AL35)="","",IF(uxb_works!$B$46=1,tblCategories_2014!AL35,tblCategories_2017!AL35))</f>
        <v>0</v>
      </c>
      <c r="AM35" s="1">
        <f>IF(IF(uxb_works!$B$46=1,tblCategories_2014!AM35,tblCategories_2017!AM35)="","",IF(uxb_works!$B$46=1,tblCategories_2014!AM35,tblCategories_2017!AM35))</f>
        <v>0</v>
      </c>
      <c r="AN35" s="1">
        <f>IF(IF(uxb_works!$B$46=1,tblCategories_2014!AN35,tblCategories_2017!AN35)="","",IF(uxb_works!$B$46=1,tblCategories_2014!AN35,tblCategories_2017!AN35))</f>
        <v>0</v>
      </c>
      <c r="AO35" s="1">
        <f>IF(IF(uxb_works!$B$46=1,tblCategories_2014!AO35,tblCategories_2017!AO35)="","",IF(uxb_works!$B$46=1,tblCategories_2014!AO35,tblCategories_2017!AO35))</f>
        <v>1</v>
      </c>
      <c r="AP35" s="1">
        <f>IF(IF(uxb_works!$B$46=1,tblCategories_2014!AP35,tblCategories_2017!AP35)="","",IF(uxb_works!$B$46=1,tblCategories_2014!AP35,tblCategories_2017!AP35))</f>
        <v>0</v>
      </c>
      <c r="AQ35" s="1">
        <f>IF(IF(uxb_works!$B$46=1,tblCategories_2014!AQ35,tblCategories_2017!AQ35)="","",IF(uxb_works!$B$46=1,tblCategories_2014!AQ35,tblCategories_2017!AQ35))</f>
        <v>0</v>
      </c>
      <c r="AR35" s="1">
        <f>IF(IF(uxb_works!$B$46=1,tblCategories_2014!AR35,tblCategories_2017!AR35)="","",IF(uxb_works!$B$46=1,tblCategories_2014!AR35,tblCategories_2017!AR35))</f>
        <v>0</v>
      </c>
      <c r="AS35" s="1">
        <f>IF(IF(uxb_works!$B$46=1,tblCategories_2014!AS35,tblCategories_2017!AS35)="","",IF(uxb_works!$B$46=1,tblCategories_2014!AS35,tblCategories_2017!AS35))</f>
        <v>0</v>
      </c>
    </row>
    <row r="36" ht="12.75" spans="1:45">
      <c r="A36" s="1">
        <f>IF(IF(uxb_works!$B$46=1,tblCategories_2014!A36,tblCategories_2017!A36)="","",IF(uxb_works!$B$46=1,tblCategories_2014!A36,tblCategories_2017!A36))</f>
        <v>34</v>
      </c>
      <c r="B36" s="1" t="str">
        <f>IF(IF(uxb_works!$B$46=1,tblCategories_2014!B36,tblCategories_2017!B36)="","",IF(uxb_works!$B$46=1,tblCategories_2014!B36,tblCategories_2017!B36))</f>
        <v/>
      </c>
      <c r="C36" s="57" t="str">
        <f>IF(IF(uxb_works!$B$46=1,tblCategories_2014!C36,tblCategories_2017!C36)="","",IF(uxb_works!$B$46=1,tblCategories_2014!C36,tblCategories_2017!C36))</f>
        <v>3.2) Infrastructure security (Outputs)</v>
      </c>
      <c r="D36" s="1" t="str">
        <f>IF(IF(uxb_works!$B$46=1,tblCategories_2014!D36,tblCategories_2017!D36)="","",IF(uxb_works!$B$46=1,tblCategories_2014!D36,tblCategories_2017!D36))</f>
        <v>3.2) Infrastructure security (Outputs)</v>
      </c>
      <c r="E36" s="1" t="str">
        <f>IF(IF(uxb_works!$B$46=1,tblCategories_2014!E36,tblCategories_2017!E36)="","",IF(uxb_works!$B$46=1,tblCategories_2014!E36,tblCategories_2017!E36))</f>
        <v/>
      </c>
      <c r="F36" s="23">
        <f>IF(IF(uxb_works!$B$46=1,tblCategories_2014!F36,tblCategories_2017!F36)="","",IF(uxb_works!$B$46=1,tblCategories_2014!F36,tblCategories_2017!F36))</f>
        <v>1</v>
      </c>
      <c r="G36" s="32" t="str">
        <f>IF(IF(uxb_works!$B$46=1,tblCategories_2014!G36,tblCategories_2017!G36)="","",IF(uxb_works!$B$46=1,tblCategories_2014!G36,tblCategories_2017!G36))</f>
        <v/>
      </c>
      <c r="H36" s="1" t="str">
        <f>IF(IF(uxb_works!$B$46=1,tblCategories_2014!H36,tblCategories_2017!H36)="","",IF(uxb_works!$B$46=1,tblCategories_2014!H36,tblCategories_2017!H36))</f>
        <v/>
      </c>
      <c r="I36" s="23" t="str">
        <f>IF(IF(uxb_works!$B$46=1,tblCategories_2014!I36,tblCategories_2017!I36)="","",IF(uxb_works!$B$46=1,tblCategories_2014!I36,tblCategories_2017!I36))</f>
        <v/>
      </c>
      <c r="J36" s="1" t="str">
        <f>IF(IF(uxb_works!$B$46=1,tblCategories_2014!J36,tblCategories_2017!J36)="","",IF(uxb_works!$B$46=1,tblCategories_2014!J36,tblCategories_2017!J36))</f>
        <v/>
      </c>
      <c r="K36" s="1" t="str">
        <f>IF(IF(uxb_works!$B$46=1,tblCategories_2014!K37,tblCategories_2017!K36)="","",IF(uxb_works!$B$46=1,tblCategories_2014!K37,tblCategories_2017!K36))</f>
        <v/>
      </c>
      <c r="L36" s="1">
        <f>IF(IF(uxb_works!$B$46=1,tblCategories_2014!L36,tblCategories_2017!L36)="","",IF(uxb_works!$B$46=1,tblCategories_2014!L36,tblCategories_2017!L36))</f>
        <v>1</v>
      </c>
      <c r="M36" s="1">
        <f>IF(IF(uxb_works!$B$46=1,tblCategories_2014!M36,tblCategories_2017!M36)="","",IF(uxb_works!$B$46=1,tblCategories_2014!M36,tblCategories_2017!M36))</f>
        <v>1</v>
      </c>
      <c r="N36" s="1">
        <f>IF(IF(uxb_works!$B$46=1,tblCategories_2014!N36,tblCategories_2017!N36)="","",IF(uxb_works!$B$46=1,tblCategories_2014!N36,tblCategories_2017!N36))</f>
        <v>0</v>
      </c>
      <c r="O36" s="1">
        <f>IF(IF(uxb_works!$B$46=1,tblCategories_2014!O36,tblCategories_2017!O36)="","",IF(uxb_works!$B$46=1,tblCategories_2014!O36,tblCategories_2017!O36))</f>
        <v>0</v>
      </c>
      <c r="P36" s="1">
        <f>IF(IF(uxb_works!$B$46=1,tblCategories_2014!P36,tblCategories_2017!P36)="","",IF(uxb_works!$B$46=1,tblCategories_2014!P36,tblCategories_2017!P36))</f>
        <v>0</v>
      </c>
      <c r="Q36" s="1">
        <f>IF(IF(uxb_works!$B$46=1,tblCategories_2014!Q36,tblCategories_2017!Q36)="","",IF(uxb_works!$B$46=1,tblCategories_2014!Q36,tblCategories_2017!Q36))</f>
        <v>0</v>
      </c>
      <c r="R36" s="1">
        <f>IF(IF(uxb_works!$B$46=1,tblCategories_2014!R36,tblCategories_2017!R36)="","",IF(uxb_works!$B$46=1,tblCategories_2014!R36,tblCategories_2017!R36))</f>
        <v>0</v>
      </c>
      <c r="S36" s="1">
        <f>IF(IF(uxb_works!$B$46=1,tblCategories_2014!S36,tblCategories_2017!S36)="","",IF(uxb_works!$B$46=1,tblCategories_2014!S36,tblCategories_2017!S36))</f>
        <v>0</v>
      </c>
      <c r="T36" s="1">
        <f>IF(IF(uxb_works!$B$46=1,tblCategories_2014!T36,tblCategories_2017!T36)="","",IF(uxb_works!$B$46=1,tblCategories_2014!T36,tblCategories_2017!T36))</f>
        <v>1</v>
      </c>
      <c r="U36" s="1">
        <f>IF(IF(uxb_works!$B$46=1,tblCategories_2014!U36,tblCategories_2017!U36)="","",IF(uxb_works!$B$46=1,tblCategories_2014!U36,tblCategories_2017!U36))</f>
        <v>0</v>
      </c>
      <c r="V36" s="1">
        <f>IF(IF(uxb_works!$B$46=1,tblCategories_2014!V36,tblCategories_2017!V36)="","",IF(uxb_works!$B$46=1,tblCategories_2014!V36,tblCategories_2017!V36))</f>
        <v>0</v>
      </c>
      <c r="W36" s="1">
        <f>IF(IF(uxb_works!$B$46=1,tblCategories_2014!W36,tblCategories_2017!W36)="","",IF(uxb_works!$B$46=1,tblCategories_2014!W36,tblCategories_2017!W36))</f>
        <v>0</v>
      </c>
      <c r="X36" s="1">
        <f>IF(IF(uxb_works!$B$46=1,tblCategories_2014!X36,tblCategories_2017!X36)="","",IF(uxb_works!$B$46=1,tblCategories_2014!X36,tblCategories_2017!X36))</f>
        <v>0</v>
      </c>
      <c r="Y36" s="1">
        <f>IF(IF(uxb_works!$B$46=1,tblCategories_2014!Y36,tblCategories_2017!Y36)="","",IF(uxb_works!$B$46=1,tblCategories_2014!Y36,tblCategories_2017!Y36))</f>
        <v>0</v>
      </c>
      <c r="Z36" s="1" t="str">
        <f>IF(IF(uxb_works!$B$46=1,tblCategories_2014!Z36,tblCategories_2017!Z36)="","",IF(uxb_works!$B$46=1,tblCategories_2014!Z36,tblCategories_2017!Z36))</f>
        <v/>
      </c>
      <c r="AA36" s="53" t="str">
        <f>IF(IF(uxb_works!$B$46=1,tblCategories_2014!AA36,tblCategories_2017!AA36)="","",IF(uxb_works!$B$46=1,tblCategories_2014!AA36,tblCategories_2017!AA36))</f>
        <v/>
      </c>
      <c r="AB36" s="20" t="str">
        <f>IF(IF(uxb_works!$B$46=1,tblCategories_2014!AB36,tblCategories_2017!AB36)="","",IF(uxb_works!$B$46=1,tblCategories_2014!AB36,tblCategories_2017!AB36))</f>
        <v/>
      </c>
      <c r="AC36" s="23">
        <f>IF(IF(uxb_works!$B$46=1,tblCategories_2014!AC36,tblCategories_2017!AC36)="","",IF(uxb_works!$B$46=1,tblCategories_2014!AC36,tblCategories_2017!AC36))</f>
        <v>0</v>
      </c>
      <c r="AD36" s="1" t="str">
        <f>IF(IF(uxb_works!$B$46=1,tblCategories_2014!AD36,tblCategories_2017!AD36)="","",IF(uxb_works!$B$46=1,tblCategories_2014!AD36,tblCategories_2017!AD36))</f>
        <v/>
      </c>
      <c r="AF36" s="1">
        <f>IF(IF(uxb_works!$B$46=1,tblCategories_2014!AF36,tblCategories_2017!AF36)="","",IF(uxb_works!$B$46=1,tblCategories_2014!AF36,tblCategories_2017!AF36))</f>
        <v>1</v>
      </c>
      <c r="AG36" s="1">
        <f>IF(IF(uxb_works!$B$46=1,tblCategories_2014!AG36,tblCategories_2017!AG36)="","",IF(uxb_works!$B$46=1,tblCategories_2014!AG36,tblCategories_2017!AG36))</f>
        <v>0</v>
      </c>
      <c r="AH36" s="1">
        <f>IF(IF(uxb_works!$B$46=1,tblCategories_2014!AH36,tblCategories_2017!AH36)="","",IF(uxb_works!$B$46=1,tblCategories_2014!AH36,tblCategories_2017!AH36))</f>
        <v>0</v>
      </c>
      <c r="AI36" s="1">
        <f>IF(IF(uxb_works!$B$46=1,tblCategories_2014!AI36,tblCategories_2017!AI36)="","",IF(uxb_works!$B$46=1,tblCategories_2014!AI36,tblCategories_2017!AI36))</f>
        <v>0</v>
      </c>
      <c r="AJ36" s="1">
        <f>IF(IF(uxb_works!$B$46=1,tblCategories_2014!AJ36,tblCategories_2017!AJ36)="","",IF(uxb_works!$B$46=1,tblCategories_2014!AJ36,tblCategories_2017!AJ36))</f>
        <v>0</v>
      </c>
      <c r="AK36" s="1">
        <f>IF(IF(uxb_works!$B$46=1,tblCategories_2014!AK36,tblCategories_2017!AK36)="","",IF(uxb_works!$B$46=1,tblCategories_2014!AK36,tblCategories_2017!AK36))</f>
        <v>0</v>
      </c>
      <c r="AL36" s="1">
        <f>IF(IF(uxb_works!$B$46=1,tblCategories_2014!AL36,tblCategories_2017!AL36)="","",IF(uxb_works!$B$46=1,tblCategories_2014!AL36,tblCategories_2017!AL36))</f>
        <v>0</v>
      </c>
      <c r="AM36" s="1">
        <f>IF(IF(uxb_works!$B$46=1,tblCategories_2014!AM36,tblCategories_2017!AM36)="","",IF(uxb_works!$B$46=1,tblCategories_2014!AM36,tblCategories_2017!AM36))</f>
        <v>0</v>
      </c>
      <c r="AN36" s="1">
        <f>IF(IF(uxb_works!$B$46=1,tblCategories_2014!AN36,tblCategories_2017!AN36)="","",IF(uxb_works!$B$46=1,tblCategories_2014!AN36,tblCategories_2017!AN36))</f>
        <v>1</v>
      </c>
      <c r="AO36" s="1">
        <f>IF(IF(uxb_works!$B$46=1,tblCategories_2014!AO36,tblCategories_2017!AO36)="","",IF(uxb_works!$B$46=1,tblCategories_2014!AO36,tblCategories_2017!AO36))</f>
        <v>0</v>
      </c>
      <c r="AP36" s="1">
        <f>IF(IF(uxb_works!$B$46=1,tblCategories_2014!AP36,tblCategories_2017!AP36)="","",IF(uxb_works!$B$46=1,tblCategories_2014!AP36,tblCategories_2017!AP36))</f>
        <v>0</v>
      </c>
      <c r="AQ36" s="1">
        <f>IF(IF(uxb_works!$B$46=1,tblCategories_2014!AQ36,tblCategories_2017!AQ36)="","",IF(uxb_works!$B$46=1,tblCategories_2014!AQ36,tblCategories_2017!AQ36))</f>
        <v>0</v>
      </c>
      <c r="AR36" s="1">
        <f>IF(IF(uxb_works!$B$46=1,tblCategories_2014!AR36,tblCategories_2017!AR36)="","",IF(uxb_works!$B$46=1,tblCategories_2014!AR36,tblCategories_2017!AR36))</f>
        <v>0</v>
      </c>
      <c r="AS36" s="1">
        <f>IF(IF(uxb_works!$B$46=1,tblCategories_2014!AS36,tblCategories_2017!AS36)="","",IF(uxb_works!$B$46=1,tblCategories_2014!AS36,tblCategories_2017!AS36))</f>
        <v>0</v>
      </c>
    </row>
    <row r="37" ht="12.75" spans="1:45">
      <c r="A37" s="1">
        <f>IF(IF(uxb_works!$B$46=1,tblCategories_2014!A37,tblCategories_2017!A37)="","",IF(uxb_works!$B$46=1,tblCategories_2014!A37,tblCategories_2017!A37))</f>
        <v>35</v>
      </c>
      <c r="B37" s="1" t="str">
        <f>IF(IF(uxb_works!$B$46=1,tblCategories_2014!B37,tblCategories_2017!B37)="","",IF(uxb_works!$B$46=1,tblCategories_2014!B37,tblCategories_2017!B37))</f>
        <v/>
      </c>
      <c r="C37" s="57" t="str">
        <f>IF(IF(uxb_works!$B$46=1,tblCategories_2014!C37,tblCategories_2017!C37)="","",IF(uxb_works!$B$46=1,tblCategories_2014!C37,tblCategories_2017!C37))</f>
        <v>3.2.1) Deaths from natural disaster</v>
      </c>
      <c r="D37" s="1" t="str">
        <f>IF(IF(uxb_works!$B$46=1,tblCategories_2014!D37,tblCategories_2017!D37)="","",IF(uxb_works!$B$46=1,tblCategories_2014!D37,tblCategories_2017!D37))</f>
        <v>3.2.1) Deaths from natural disaster</v>
      </c>
      <c r="E37" s="1" t="str">
        <f>IF(IF(uxb_works!$B$46=1,tblCategories_2014!E37,tblCategories_2017!E37)="","",IF(uxb_works!$B$46=1,tblCategories_2014!E37,tblCategories_2017!E37))</f>
        <v/>
      </c>
      <c r="F37" s="23">
        <f>IF(IF(uxb_works!$B$46=1,tblCategories_2014!F37,tblCategories_2017!F37)="","",IF(uxb_works!$B$46=1,tblCategories_2014!F37,tblCategories_2017!F37))</f>
        <v>1</v>
      </c>
      <c r="G37" s="32" t="str">
        <f>IF(IF(uxb_works!$B$46=1,tblCategories_2014!G37,tblCategories_2017!G37)="","",IF(uxb_works!$B$46=1,tblCategories_2014!G37,tblCategories_2017!G37))</f>
        <v/>
      </c>
      <c r="H37" s="1" t="str">
        <f>IF(IF(uxb_works!$B$46=1,tblCategories_2014!H37,tblCategories_2017!H37)="","",IF(uxb_works!$B$46=1,tblCategories_2014!H37,tblCategories_2017!H37))</f>
        <v/>
      </c>
      <c r="I37" s="23" t="str">
        <f>IF(IF(uxb_works!$B$46=1,tblCategories_2014!I37,tblCategories_2017!I37)="","",IF(uxb_works!$B$46=1,tblCategories_2014!I37,tblCategories_2017!I37))</f>
        <v/>
      </c>
      <c r="J37" s="1" t="str">
        <f>IF(IF(uxb_works!$B$46=1,tblCategories_2014!J37,tblCategories_2017!J37)="","",IF(uxb_works!$B$46=1,tblCategories_2014!J37,tblCategories_2017!J37))</f>
        <v/>
      </c>
      <c r="K37" s="1" t="str">
        <f>IF(IF(uxb_works!$B$46=1,tblCategories_2014!K38,tblCategories_2017!K37)="","",IF(uxb_works!$B$46=1,tblCategories_2014!K38,tblCategories_2017!K37))</f>
        <v/>
      </c>
      <c r="L37" s="1">
        <f>IF(IF(uxb_works!$B$46=1,tblCategories_2014!L37,tblCategories_2017!L37)="","",IF(uxb_works!$B$46=1,tblCategories_2014!L37,tblCategories_2017!L37))</f>
        <v>1</v>
      </c>
      <c r="M37" s="1">
        <f>IF(IF(uxb_works!$B$46=1,tblCategories_2014!M37,tblCategories_2017!M37)="","",IF(uxb_works!$B$46=1,tblCategories_2014!M37,tblCategories_2017!M37))</f>
        <v>1</v>
      </c>
      <c r="N37" s="1">
        <f>IF(IF(uxb_works!$B$46=1,tblCategories_2014!N37,tblCategories_2017!N37)="","",IF(uxb_works!$B$46=1,tblCategories_2014!N37,tblCategories_2017!N37))</f>
        <v>0</v>
      </c>
      <c r="O37" s="1">
        <f>IF(IF(uxb_works!$B$46=1,tblCategories_2014!O37,tblCategories_2017!O37)="","",IF(uxb_works!$B$46=1,tblCategories_2014!O37,tblCategories_2017!O37))</f>
        <v>0</v>
      </c>
      <c r="P37" s="1">
        <f>IF(IF(uxb_works!$B$46=1,tblCategories_2014!P37,tblCategories_2017!P37)="","",IF(uxb_works!$B$46=1,tblCategories_2014!P37,tblCategories_2017!P37))</f>
        <v>0</v>
      </c>
      <c r="Q37" s="1">
        <f>IF(IF(uxb_works!$B$46=1,tblCategories_2014!Q37,tblCategories_2017!Q37)="","",IF(uxb_works!$B$46=1,tblCategories_2014!Q37,tblCategories_2017!Q37))</f>
        <v>0</v>
      </c>
      <c r="R37" s="1">
        <f>IF(IF(uxb_works!$B$46=1,tblCategories_2014!R37,tblCategories_2017!R37)="","",IF(uxb_works!$B$46=1,tblCategories_2014!R37,tblCategories_2017!R37))</f>
        <v>0</v>
      </c>
      <c r="S37" s="1">
        <f>IF(IF(uxb_works!$B$46=1,tblCategories_2014!S37,tblCategories_2017!S37)="","",IF(uxb_works!$B$46=1,tblCategories_2014!S37,tblCategories_2017!S37))</f>
        <v>0</v>
      </c>
      <c r="T37" s="1">
        <f>IF(IF(uxb_works!$B$46=1,tblCategories_2014!T37,tblCategories_2017!T37)="","",IF(uxb_works!$B$46=1,tblCategories_2014!T37,tblCategories_2017!T37))</f>
        <v>1</v>
      </c>
      <c r="U37" s="1">
        <f>IF(IF(uxb_works!$B$46=1,tblCategories_2014!U37,tblCategories_2017!U37)="","",IF(uxb_works!$B$46=1,tblCategories_2014!U37,tblCategories_2017!U37))</f>
        <v>0</v>
      </c>
      <c r="V37" s="1">
        <f>IF(IF(uxb_works!$B$46=1,tblCategories_2014!V37,tblCategories_2017!V37)="","",IF(uxb_works!$B$46=1,tblCategories_2014!V37,tblCategories_2017!V37))</f>
        <v>1</v>
      </c>
      <c r="W37" s="1">
        <f>IF(IF(uxb_works!$B$46=1,tblCategories_2014!W37,tblCategories_2017!W37)="","",IF(uxb_works!$B$46=1,tblCategories_2014!W37,tblCategories_2017!W37))</f>
        <v>0</v>
      </c>
      <c r="X37" s="1">
        <f>IF(IF(uxb_works!$B$46=1,tblCategories_2014!X37,tblCategories_2017!X37)="","",IF(uxb_works!$B$46=1,tblCategories_2014!X37,tblCategories_2017!X37))</f>
        <v>0</v>
      </c>
      <c r="Y37" s="1">
        <f>IF(IF(uxb_works!$B$46=1,tblCategories_2014!Y37,tblCategories_2017!Y37)="","",IF(uxb_works!$B$46=1,tblCategories_2014!Y37,tblCategories_2017!Y37))</f>
        <v>0</v>
      </c>
      <c r="Z37" s="1" t="str">
        <f>IF(IF(uxb_works!$B$46=1,tblCategories_2014!Z37,tblCategories_2017!Z37)="","",IF(uxb_works!$B$46=1,tblCategories_2014!Z37,tblCategories_2017!Z37))</f>
        <v/>
      </c>
      <c r="AA37" s="53" t="str">
        <f>IF(IF(uxb_works!$B$46=1,tblCategories_2014!AA37,tblCategories_2017!AA37)="","",IF(uxb_works!$B$46=1,tblCategories_2014!AA37,tblCategories_2017!AA37))</f>
        <v/>
      </c>
      <c r="AB37" s="20" t="str">
        <f>IF(IF(uxb_works!$B$46=1,tblCategories_2014!AB37,tblCategories_2017!AB37)="","",IF(uxb_works!$B$46=1,tblCategories_2014!AB37,tblCategories_2017!AB37))</f>
        <v/>
      </c>
      <c r="AC37" s="23">
        <f>IF(IF(uxb_works!$B$46=1,tblCategories_2014!AC37,tblCategories_2017!AC37)="","",IF(uxb_works!$B$46=1,tblCategories_2014!AC37,tblCategories_2017!AC37))</f>
        <v>0</v>
      </c>
      <c r="AD37" s="1" t="str">
        <f>IF(IF(uxb_works!$B$46=1,tblCategories_2014!AD37,tblCategories_2017!AD37)="","",IF(uxb_works!$B$46=1,tblCategories_2014!AD37,tblCategories_2017!AD37))</f>
        <v/>
      </c>
      <c r="AF37" s="1">
        <f>IF(IF(uxb_works!$B$46=1,tblCategories_2014!AF37,tblCategories_2017!AF37)="","",IF(uxb_works!$B$46=1,tblCategories_2014!AF37,tblCategories_2017!AF37))</f>
        <v>1</v>
      </c>
      <c r="AG37" s="1">
        <f>IF(IF(uxb_works!$B$46=1,tblCategories_2014!AG37,tblCategories_2017!AG37)="","",IF(uxb_works!$B$46=1,tblCategories_2014!AG37,tblCategories_2017!AG37))</f>
        <v>0</v>
      </c>
      <c r="AH37" s="1">
        <f>IF(IF(uxb_works!$B$46=1,tblCategories_2014!AH37,tblCategories_2017!AH37)="","",IF(uxb_works!$B$46=1,tblCategories_2014!AH37,tblCategories_2017!AH37))</f>
        <v>0</v>
      </c>
      <c r="AI37" s="1">
        <f>IF(IF(uxb_works!$B$46=1,tblCategories_2014!AI37,tblCategories_2017!AI37)="","",IF(uxb_works!$B$46=1,tblCategories_2014!AI37,tblCategories_2017!AI37))</f>
        <v>0</v>
      </c>
      <c r="AJ37" s="1">
        <f>IF(IF(uxb_works!$B$46=1,tblCategories_2014!AJ37,tblCategories_2017!AJ37)="","",IF(uxb_works!$B$46=1,tblCategories_2014!AJ37,tblCategories_2017!AJ37))</f>
        <v>0</v>
      </c>
      <c r="AK37" s="1">
        <f>IF(IF(uxb_works!$B$46=1,tblCategories_2014!AK37,tblCategories_2017!AK37)="","",IF(uxb_works!$B$46=1,tblCategories_2014!AK37,tblCategories_2017!AK37))</f>
        <v>0</v>
      </c>
      <c r="AL37" s="1">
        <f>IF(IF(uxb_works!$B$46=1,tblCategories_2014!AL37,tblCategories_2017!AL37)="","",IF(uxb_works!$B$46=1,tblCategories_2014!AL37,tblCategories_2017!AL37))</f>
        <v>0</v>
      </c>
      <c r="AM37" s="1">
        <f>IF(IF(uxb_works!$B$46=1,tblCategories_2014!AM37,tblCategories_2017!AM37)="","",IF(uxb_works!$B$46=1,tblCategories_2014!AM37,tblCategories_2017!AM37))</f>
        <v>0</v>
      </c>
      <c r="AN37" s="1">
        <f>IF(IF(uxb_works!$B$46=1,tblCategories_2014!AN37,tblCategories_2017!AN37)="","",IF(uxb_works!$B$46=1,tblCategories_2014!AN37,tblCategories_2017!AN37))</f>
        <v>0</v>
      </c>
      <c r="AO37" s="1">
        <f>IF(IF(uxb_works!$B$46=1,tblCategories_2014!AO37,tblCategories_2017!AO37)="","",IF(uxb_works!$B$46=1,tblCategories_2014!AO37,tblCategories_2017!AO37))</f>
        <v>0</v>
      </c>
      <c r="AP37" s="1">
        <f>IF(IF(uxb_works!$B$46=1,tblCategories_2014!AP37,tblCategories_2017!AP37)="","",IF(uxb_works!$B$46=1,tblCategories_2014!AP37,tblCategories_2017!AP37))</f>
        <v>1</v>
      </c>
      <c r="AQ37" s="1">
        <f>IF(IF(uxb_works!$B$46=1,tblCategories_2014!AQ37,tblCategories_2017!AQ37)="","",IF(uxb_works!$B$46=1,tblCategories_2014!AQ37,tblCategories_2017!AQ37))</f>
        <v>0</v>
      </c>
      <c r="AR37" s="1">
        <f>IF(IF(uxb_works!$B$46=1,tblCategories_2014!AR37,tblCategories_2017!AR37)="","",IF(uxb_works!$B$46=1,tblCategories_2014!AR37,tblCategories_2017!AR37))</f>
        <v>0</v>
      </c>
      <c r="AS37" s="1">
        <f>IF(IF(uxb_works!$B$46=1,tblCategories_2014!AS37,tblCategories_2017!AS37)="","",IF(uxb_works!$B$46=1,tblCategories_2014!AS37,tblCategories_2017!AS37))</f>
        <v>0</v>
      </c>
    </row>
    <row r="38" ht="12.75" spans="1:45">
      <c r="A38" s="1">
        <f>IF(IF(uxb_works!$B$46=1,tblCategories_2014!A38,tblCategories_2017!A38)="","",IF(uxb_works!$B$46=1,tblCategories_2014!A38,tblCategories_2017!A38))</f>
        <v>36</v>
      </c>
      <c r="B38" s="1" t="str">
        <f>IF(IF(uxb_works!$B$46=1,tblCategories_2014!B38,tblCategories_2017!B38)="","",IF(uxb_works!$B$46=1,tblCategories_2014!B38,tblCategories_2017!B38))</f>
        <v/>
      </c>
      <c r="C38" s="57" t="str">
        <f>IF(IF(uxb_works!$B$46=1,tblCategories_2014!C38,tblCategories_2017!C38)="","",IF(uxb_works!$B$46=1,tblCategories_2014!C38,tblCategories_2017!C38))</f>
        <v>3.2.2) Frequency of vehicular accidents</v>
      </c>
      <c r="D38" s="1" t="str">
        <f>IF(IF(uxb_works!$B$46=1,tblCategories_2014!D38,tblCategories_2017!D38)="","",IF(uxb_works!$B$46=1,tblCategories_2014!D38,tblCategories_2017!D38))</f>
        <v>3.2.2) Frequency of vehicular accidents</v>
      </c>
      <c r="E38" s="1" t="str">
        <f>IF(IF(uxb_works!$B$46=1,tblCategories_2014!E38,tblCategories_2017!E38)="","",IF(uxb_works!$B$46=1,tblCategories_2014!E38,tblCategories_2017!E38))</f>
        <v/>
      </c>
      <c r="F38" s="23">
        <f>IF(IF(uxb_works!$B$46=1,tblCategories_2014!F38,tblCategories_2017!F38)="","",IF(uxb_works!$B$46=1,tblCategories_2014!F38,tblCategories_2017!F38))</f>
        <v>1</v>
      </c>
      <c r="G38" s="32" t="str">
        <f>IF(IF(uxb_works!$B$46=1,tblCategories_2014!G38,tblCategories_2017!G38)="","",IF(uxb_works!$B$46=1,tblCategories_2014!G38,tblCategories_2017!G38))</f>
        <v/>
      </c>
      <c r="H38" s="1" t="str">
        <f>IF(IF(uxb_works!$B$46=1,tblCategories_2014!H38,tblCategories_2017!H38)="","",IF(uxb_works!$B$46=1,tblCategories_2014!H38,tblCategories_2017!H38))</f>
        <v/>
      </c>
      <c r="I38" s="23" t="str">
        <f>IF(IF(uxb_works!$B$46=1,tblCategories_2014!I38,tblCategories_2017!I38)="","",IF(uxb_works!$B$46=1,tblCategories_2014!I38,tblCategories_2017!I38))</f>
        <v/>
      </c>
      <c r="J38" s="1" t="str">
        <f>IF(IF(uxb_works!$B$46=1,tblCategories_2014!J38,tblCategories_2017!J38)="","",IF(uxb_works!$B$46=1,tblCategories_2014!J38,tblCategories_2017!J38))</f>
        <v/>
      </c>
      <c r="K38" s="1" t="str">
        <f>IF(IF(uxb_works!$B$46=1,tblCategories_2014!K39,tblCategories_2017!K38)="","",IF(uxb_works!$B$46=1,tblCategories_2014!K39,tblCategories_2017!K38))</f>
        <v/>
      </c>
      <c r="L38" s="1">
        <f>IF(IF(uxb_works!$B$46=1,tblCategories_2014!L38,tblCategories_2017!L38)="","",IF(uxb_works!$B$46=1,tblCategories_2014!L38,tblCategories_2017!L38))</f>
        <v>1</v>
      </c>
      <c r="M38" s="1">
        <f>IF(IF(uxb_works!$B$46=1,tblCategories_2014!M38,tblCategories_2017!M38)="","",IF(uxb_works!$B$46=1,tblCategories_2014!M38,tblCategories_2017!M38))</f>
        <v>1</v>
      </c>
      <c r="N38" s="1">
        <f>IF(IF(uxb_works!$B$46=1,tblCategories_2014!N38,tblCategories_2017!N38)="","",IF(uxb_works!$B$46=1,tblCategories_2014!N38,tblCategories_2017!N38))</f>
        <v>0</v>
      </c>
      <c r="O38" s="1">
        <f>IF(IF(uxb_works!$B$46=1,tblCategories_2014!O38,tblCategories_2017!O38)="","",IF(uxb_works!$B$46=1,tblCategories_2014!O38,tblCategories_2017!O38))</f>
        <v>0</v>
      </c>
      <c r="P38" s="1">
        <f>IF(IF(uxb_works!$B$46=1,tblCategories_2014!P38,tblCategories_2017!P38)="","",IF(uxb_works!$B$46=1,tblCategories_2014!P38,tblCategories_2017!P38))</f>
        <v>0</v>
      </c>
      <c r="Q38" s="1">
        <f>IF(IF(uxb_works!$B$46=1,tblCategories_2014!Q38,tblCategories_2017!Q38)="","",IF(uxb_works!$B$46=1,tblCategories_2014!Q38,tblCategories_2017!Q38))</f>
        <v>0</v>
      </c>
      <c r="R38" s="1">
        <f>IF(IF(uxb_works!$B$46=1,tblCategories_2014!R38,tblCategories_2017!R38)="","",IF(uxb_works!$B$46=1,tblCategories_2014!R38,tblCategories_2017!R38))</f>
        <v>0</v>
      </c>
      <c r="S38" s="1">
        <f>IF(IF(uxb_works!$B$46=1,tblCategories_2014!S38,tblCategories_2017!S38)="","",IF(uxb_works!$B$46=1,tblCategories_2014!S38,tblCategories_2017!S38))</f>
        <v>0</v>
      </c>
      <c r="T38" s="1">
        <f>IF(IF(uxb_works!$B$46=1,tblCategories_2014!T38,tblCategories_2017!T38)="","",IF(uxb_works!$B$46=1,tblCategories_2014!T38,tblCategories_2017!T38))</f>
        <v>1</v>
      </c>
      <c r="U38" s="1">
        <f>IF(IF(uxb_works!$B$46=1,tblCategories_2014!U38,tblCategories_2017!U38)="","",IF(uxb_works!$B$46=1,tblCategories_2014!U38,tblCategories_2017!U38))</f>
        <v>0</v>
      </c>
      <c r="V38" s="1">
        <f>IF(IF(uxb_works!$B$46=1,tblCategories_2014!V38,tblCategories_2017!V38)="","",IF(uxb_works!$B$46=1,tblCategories_2014!V38,tblCategories_2017!V38))</f>
        <v>1</v>
      </c>
      <c r="W38" s="1">
        <f>IF(IF(uxb_works!$B$46=1,tblCategories_2014!W38,tblCategories_2017!W38)="","",IF(uxb_works!$B$46=1,tblCategories_2014!W38,tblCategories_2017!W38))</f>
        <v>0</v>
      </c>
      <c r="X38" s="1">
        <f>IF(IF(uxb_works!$B$46=1,tblCategories_2014!X38,tblCategories_2017!X38)="","",IF(uxb_works!$B$46=1,tblCategories_2014!X38,tblCategories_2017!X38))</f>
        <v>0</v>
      </c>
      <c r="Y38" s="1">
        <f>IF(IF(uxb_works!$B$46=1,tblCategories_2014!Y38,tblCategories_2017!Y38)="","",IF(uxb_works!$B$46=1,tblCategories_2014!Y38,tblCategories_2017!Y38))</f>
        <v>0</v>
      </c>
      <c r="Z38" s="1" t="str">
        <f>IF(IF(uxb_works!$B$46=1,tblCategories_2014!Z38,tblCategories_2017!Z38)="","",IF(uxb_works!$B$46=1,tblCategories_2014!Z38,tblCategories_2017!Z38))</f>
        <v/>
      </c>
      <c r="AA38" s="53" t="str">
        <f>IF(IF(uxb_works!$B$46=1,tblCategories_2014!AA38,tblCategories_2017!AA38)="","",IF(uxb_works!$B$46=1,tblCategories_2014!AA38,tblCategories_2017!AA38))</f>
        <v/>
      </c>
      <c r="AB38" s="20" t="str">
        <f>IF(IF(uxb_works!$B$46=1,tblCategories_2014!AB38,tblCategories_2017!AB38)="","",IF(uxb_works!$B$46=1,tblCategories_2014!AB38,tblCategories_2017!AB38))</f>
        <v/>
      </c>
      <c r="AC38" s="23">
        <f>IF(IF(uxb_works!$B$46=1,tblCategories_2014!AC38,tblCategories_2017!AC38)="","",IF(uxb_works!$B$46=1,tblCategories_2014!AC38,tblCategories_2017!AC38))</f>
        <v>0</v>
      </c>
      <c r="AD38" s="1" t="str">
        <f>IF(IF(uxb_works!$B$46=1,tblCategories_2014!AD38,tblCategories_2017!AD38)="","",IF(uxb_works!$B$46=1,tblCategories_2014!AD38,tblCategories_2017!AD38))</f>
        <v/>
      </c>
      <c r="AF38" s="1">
        <f>IF(IF(uxb_works!$B$46=1,tblCategories_2014!AF38,tblCategories_2017!AF38)="","",IF(uxb_works!$B$46=1,tblCategories_2014!AF38,tblCategories_2017!AF38))</f>
        <v>1</v>
      </c>
      <c r="AG38" s="1">
        <f>IF(IF(uxb_works!$B$46=1,tblCategories_2014!AG38,tblCategories_2017!AG38)="","",IF(uxb_works!$B$46=1,tblCategories_2014!AG38,tblCategories_2017!AG38))</f>
        <v>0</v>
      </c>
      <c r="AH38" s="1">
        <f>IF(IF(uxb_works!$B$46=1,tblCategories_2014!AH38,tblCategories_2017!AH38)="","",IF(uxb_works!$B$46=1,tblCategories_2014!AH38,tblCategories_2017!AH38))</f>
        <v>0</v>
      </c>
      <c r="AI38" s="1">
        <f>IF(IF(uxb_works!$B$46=1,tblCategories_2014!AI38,tblCategories_2017!AI38)="","",IF(uxb_works!$B$46=1,tblCategories_2014!AI38,tblCategories_2017!AI38))</f>
        <v>0</v>
      </c>
      <c r="AJ38" s="1">
        <f>IF(IF(uxb_works!$B$46=1,tblCategories_2014!AJ38,tblCategories_2017!AJ38)="","",IF(uxb_works!$B$46=1,tblCategories_2014!AJ38,tblCategories_2017!AJ38))</f>
        <v>0</v>
      </c>
      <c r="AK38" s="1">
        <f>IF(IF(uxb_works!$B$46=1,tblCategories_2014!AK38,tblCategories_2017!AK38)="","",IF(uxb_works!$B$46=1,tblCategories_2014!AK38,tblCategories_2017!AK38))</f>
        <v>0</v>
      </c>
      <c r="AL38" s="1">
        <f>IF(IF(uxb_works!$B$46=1,tblCategories_2014!AL38,tblCategories_2017!AL38)="","",IF(uxb_works!$B$46=1,tblCategories_2014!AL38,tblCategories_2017!AL38))</f>
        <v>0</v>
      </c>
      <c r="AM38" s="1">
        <f>IF(IF(uxb_works!$B$46=1,tblCategories_2014!AM38,tblCategories_2017!AM38)="","",IF(uxb_works!$B$46=1,tblCategories_2014!AM38,tblCategories_2017!AM38))</f>
        <v>0</v>
      </c>
      <c r="AN38" s="1">
        <f>IF(IF(uxb_works!$B$46=1,tblCategories_2014!AN38,tblCategories_2017!AN38)="","",IF(uxb_works!$B$46=1,tblCategories_2014!AN38,tblCategories_2017!AN38))</f>
        <v>0</v>
      </c>
      <c r="AO38" s="1">
        <f>IF(IF(uxb_works!$B$46=1,tblCategories_2014!AO38,tblCategories_2017!AO38)="","",IF(uxb_works!$B$46=1,tblCategories_2014!AO38,tblCategories_2017!AO38))</f>
        <v>0</v>
      </c>
      <c r="AP38" s="1">
        <f>IF(IF(uxb_works!$B$46=1,tblCategories_2014!AP38,tblCategories_2017!AP38)="","",IF(uxb_works!$B$46=1,tblCategories_2014!AP38,tblCategories_2017!AP38))</f>
        <v>1</v>
      </c>
      <c r="AQ38" s="1">
        <f>IF(IF(uxb_works!$B$46=1,tblCategories_2014!AQ38,tblCategories_2017!AQ38)="","",IF(uxb_works!$B$46=1,tblCategories_2014!AQ38,tblCategories_2017!AQ38))</f>
        <v>0</v>
      </c>
      <c r="AR38" s="1">
        <f>IF(IF(uxb_works!$B$46=1,tblCategories_2014!AR38,tblCategories_2017!AR38)="","",IF(uxb_works!$B$46=1,tblCategories_2014!AR38,tblCategories_2017!AR38))</f>
        <v>0</v>
      </c>
      <c r="AS38" s="1">
        <f>IF(IF(uxb_works!$B$46=1,tblCategories_2014!AS38,tblCategories_2017!AS38)="","",IF(uxb_works!$B$46=1,tblCategories_2014!AS38,tblCategories_2017!AS38))</f>
        <v>0</v>
      </c>
    </row>
    <row r="39" ht="12.75" spans="1:45">
      <c r="A39" s="1">
        <f>IF(IF(uxb_works!$B$46=1,tblCategories_2014!A39,tblCategories_2017!A39)="","",IF(uxb_works!$B$46=1,tblCategories_2014!A39,tblCategories_2017!A39))</f>
        <v>37</v>
      </c>
      <c r="B39" s="1" t="str">
        <f>IF(IF(uxb_works!$B$46=1,tblCategories_2014!B39,tblCategories_2017!B39)="","",IF(uxb_works!$B$46=1,tblCategories_2014!B39,tblCategories_2017!B39))</f>
        <v/>
      </c>
      <c r="C39" s="57" t="str">
        <f>IF(IF(uxb_works!$B$46=1,tblCategories_2014!C39,tblCategories_2017!C39)="","",IF(uxb_works!$B$46=1,tblCategories_2014!C39,tblCategories_2017!C39))</f>
        <v>3.2.3) Frequency of pedestrian deaths</v>
      </c>
      <c r="D39" s="1" t="str">
        <f>IF(IF(uxb_works!$B$46=1,tblCategories_2014!D39,tblCategories_2017!D39)="","",IF(uxb_works!$B$46=1,tblCategories_2014!D39,tblCategories_2017!D39))</f>
        <v>3.2.3) Frequency of pedestrian deaths</v>
      </c>
      <c r="E39" s="1" t="str">
        <f>IF(IF(uxb_works!$B$46=1,tblCategories_2014!E39,tblCategories_2017!E39)="","",IF(uxb_works!$B$46=1,tblCategories_2014!E39,tblCategories_2017!E39))</f>
        <v/>
      </c>
      <c r="F39" s="23">
        <f>IF(IF(uxb_works!$B$46=1,tblCategories_2014!F39,tblCategories_2017!F39)="","",IF(uxb_works!$B$46=1,tblCategories_2014!F39,tblCategories_2017!F39))</f>
        <v>1</v>
      </c>
      <c r="G39" s="32" t="str">
        <f>IF(IF(uxb_works!$B$46=1,tblCategories_2014!G39,tblCategories_2017!G39)="","",IF(uxb_works!$B$46=1,tblCategories_2014!G39,tblCategories_2017!G39))</f>
        <v/>
      </c>
      <c r="H39" s="1" t="str">
        <f>IF(IF(uxb_works!$B$46=1,tblCategories_2014!H39,tblCategories_2017!H39)="","",IF(uxb_works!$B$46=1,tblCategories_2014!H39,tblCategories_2017!H39))</f>
        <v/>
      </c>
      <c r="I39" s="23" t="str">
        <f>IF(IF(uxb_works!$B$46=1,tblCategories_2014!I39,tblCategories_2017!I39)="","",IF(uxb_works!$B$46=1,tblCategories_2014!I39,tblCategories_2017!I39))</f>
        <v/>
      </c>
      <c r="J39" s="1" t="str">
        <f>IF(IF(uxb_works!$B$46=1,tblCategories_2014!J39,tblCategories_2017!J39)="","",IF(uxb_works!$B$46=1,tblCategories_2014!J39,tblCategories_2017!J39))</f>
        <v/>
      </c>
      <c r="K39" s="1" t="str">
        <f>IF(IF(uxb_works!$B$46=1,tblCategories_2014!K40,tblCategories_2017!K39)="","",IF(uxb_works!$B$46=1,tblCategories_2014!K40,tblCategories_2017!K39))</f>
        <v/>
      </c>
      <c r="L39" s="1">
        <f>IF(IF(uxb_works!$B$46=1,tblCategories_2014!L39,tblCategories_2017!L39)="","",IF(uxb_works!$B$46=1,tblCategories_2014!L39,tblCategories_2017!L39))</f>
        <v>1</v>
      </c>
      <c r="M39" s="1">
        <f>IF(IF(uxb_works!$B$46=1,tblCategories_2014!M39,tblCategories_2017!M39)="","",IF(uxb_works!$B$46=1,tblCategories_2014!M39,tblCategories_2017!M39))</f>
        <v>1</v>
      </c>
      <c r="N39" s="1">
        <f>IF(IF(uxb_works!$B$46=1,tblCategories_2014!N39,tblCategories_2017!N39)="","",IF(uxb_works!$B$46=1,tblCategories_2014!N39,tblCategories_2017!N39))</f>
        <v>0</v>
      </c>
      <c r="O39" s="1">
        <f>IF(IF(uxb_works!$B$46=1,tblCategories_2014!O39,tblCategories_2017!O39)="","",IF(uxb_works!$B$46=1,tblCategories_2014!O39,tblCategories_2017!O39))</f>
        <v>0</v>
      </c>
      <c r="P39" s="1">
        <f>IF(IF(uxb_works!$B$46=1,tblCategories_2014!P39,tblCategories_2017!P39)="","",IF(uxb_works!$B$46=1,tblCategories_2014!P39,tblCategories_2017!P39))</f>
        <v>0</v>
      </c>
      <c r="Q39" s="1">
        <f>IF(IF(uxb_works!$B$46=1,tblCategories_2014!Q39,tblCategories_2017!Q39)="","",IF(uxb_works!$B$46=1,tblCategories_2014!Q39,tblCategories_2017!Q39))</f>
        <v>0</v>
      </c>
      <c r="R39" s="1">
        <f>IF(IF(uxb_works!$B$46=1,tblCategories_2014!R39,tblCategories_2017!R39)="","",IF(uxb_works!$B$46=1,tblCategories_2014!R39,tblCategories_2017!R39))</f>
        <v>0</v>
      </c>
      <c r="S39" s="1">
        <f>IF(IF(uxb_works!$B$46=1,tblCategories_2014!S39,tblCategories_2017!S39)="","",IF(uxb_works!$B$46=1,tblCategories_2014!S39,tblCategories_2017!S39))</f>
        <v>0</v>
      </c>
      <c r="T39" s="1">
        <f>IF(IF(uxb_works!$B$46=1,tblCategories_2014!T39,tblCategories_2017!T39)="","",IF(uxb_works!$B$46=1,tblCategories_2014!T39,tblCategories_2017!T39))</f>
        <v>1</v>
      </c>
      <c r="U39" s="1">
        <f>IF(IF(uxb_works!$B$46=1,tblCategories_2014!U39,tblCategories_2017!U39)="","",IF(uxb_works!$B$46=1,tblCategories_2014!U39,tblCategories_2017!U39))</f>
        <v>0</v>
      </c>
      <c r="V39" s="1">
        <f>IF(IF(uxb_works!$B$46=1,tblCategories_2014!V39,tblCategories_2017!V39)="","",IF(uxb_works!$B$46=1,tblCategories_2014!V39,tblCategories_2017!V39))</f>
        <v>1</v>
      </c>
      <c r="W39" s="1">
        <f>IF(IF(uxb_works!$B$46=1,tblCategories_2014!W39,tblCategories_2017!W39)="","",IF(uxb_works!$B$46=1,tblCategories_2014!W39,tblCategories_2017!W39))</f>
        <v>0</v>
      </c>
      <c r="X39" s="1">
        <f>IF(IF(uxb_works!$B$46=1,tblCategories_2014!X39,tblCategories_2017!X39)="","",IF(uxb_works!$B$46=1,tblCategories_2014!X39,tblCategories_2017!X39))</f>
        <v>0</v>
      </c>
      <c r="Y39" s="1">
        <f>IF(IF(uxb_works!$B$46=1,tblCategories_2014!Y39,tblCategories_2017!Y39)="","",IF(uxb_works!$B$46=1,tblCategories_2014!Y39,tblCategories_2017!Y39))</f>
        <v>0</v>
      </c>
      <c r="Z39" s="1" t="str">
        <f>IF(IF(uxb_works!$B$46=1,tblCategories_2014!Z39,tblCategories_2017!Z39)="","",IF(uxb_works!$B$46=1,tblCategories_2014!Z39,tblCategories_2017!Z39))</f>
        <v/>
      </c>
      <c r="AA39" s="53" t="str">
        <f>IF(IF(uxb_works!$B$46=1,tblCategories_2014!AA39,tblCategories_2017!AA39)="","",IF(uxb_works!$B$46=1,tblCategories_2014!AA39,tblCategories_2017!AA39))</f>
        <v/>
      </c>
      <c r="AB39" s="20" t="str">
        <f>IF(IF(uxb_works!$B$46=1,tblCategories_2014!AB39,tblCategories_2017!AB39)="","",IF(uxb_works!$B$46=1,tblCategories_2014!AB39,tblCategories_2017!AB39))</f>
        <v/>
      </c>
      <c r="AC39" s="23">
        <f>IF(IF(uxb_works!$B$46=1,tblCategories_2014!AC39,tblCategories_2017!AC39)="","",IF(uxb_works!$B$46=1,tblCategories_2014!AC39,tblCategories_2017!AC39))</f>
        <v>0</v>
      </c>
      <c r="AD39" s="1" t="str">
        <f>IF(IF(uxb_works!$B$46=1,tblCategories_2014!AD39,tblCategories_2017!AD39)="","",IF(uxb_works!$B$46=1,tblCategories_2014!AD39,tblCategories_2017!AD39))</f>
        <v/>
      </c>
      <c r="AF39" s="1">
        <f>IF(IF(uxb_works!$B$46=1,tblCategories_2014!AF39,tblCategories_2017!AF39)="","",IF(uxb_works!$B$46=1,tblCategories_2014!AF39,tblCategories_2017!AF39))</f>
        <v>1</v>
      </c>
      <c r="AG39" s="1">
        <f>IF(IF(uxb_works!$B$46=1,tblCategories_2014!AG39,tblCategories_2017!AG39)="","",IF(uxb_works!$B$46=1,tblCategories_2014!AG39,tblCategories_2017!AG39))</f>
        <v>0</v>
      </c>
      <c r="AH39" s="1">
        <f>IF(IF(uxb_works!$B$46=1,tblCategories_2014!AH39,tblCategories_2017!AH39)="","",IF(uxb_works!$B$46=1,tblCategories_2014!AH39,tblCategories_2017!AH39))</f>
        <v>0</v>
      </c>
      <c r="AI39" s="1">
        <f>IF(IF(uxb_works!$B$46=1,tblCategories_2014!AI39,tblCategories_2017!AI39)="","",IF(uxb_works!$B$46=1,tblCategories_2014!AI39,tblCategories_2017!AI39))</f>
        <v>0</v>
      </c>
      <c r="AJ39" s="1">
        <f>IF(IF(uxb_works!$B$46=1,tblCategories_2014!AJ39,tblCategories_2017!AJ39)="","",IF(uxb_works!$B$46=1,tblCategories_2014!AJ39,tblCategories_2017!AJ39))</f>
        <v>0</v>
      </c>
      <c r="AK39" s="1">
        <f>IF(IF(uxb_works!$B$46=1,tblCategories_2014!AK39,tblCategories_2017!AK39)="","",IF(uxb_works!$B$46=1,tblCategories_2014!AK39,tblCategories_2017!AK39))</f>
        <v>0</v>
      </c>
      <c r="AL39" s="1">
        <f>IF(IF(uxb_works!$B$46=1,tblCategories_2014!AL39,tblCategories_2017!AL39)="","",IF(uxb_works!$B$46=1,tblCategories_2014!AL39,tblCategories_2017!AL39))</f>
        <v>0</v>
      </c>
      <c r="AM39" s="1">
        <f>IF(IF(uxb_works!$B$46=1,tblCategories_2014!AM39,tblCategories_2017!AM39)="","",IF(uxb_works!$B$46=1,tblCategories_2014!AM39,tblCategories_2017!AM39))</f>
        <v>0</v>
      </c>
      <c r="AN39" s="1">
        <f>IF(IF(uxb_works!$B$46=1,tblCategories_2014!AN39,tblCategories_2017!AN39)="","",IF(uxb_works!$B$46=1,tblCategories_2014!AN39,tblCategories_2017!AN39))</f>
        <v>0</v>
      </c>
      <c r="AO39" s="1">
        <f>IF(IF(uxb_works!$B$46=1,tblCategories_2014!AO39,tblCategories_2017!AO39)="","",IF(uxb_works!$B$46=1,tblCategories_2014!AO39,tblCategories_2017!AO39))</f>
        <v>0</v>
      </c>
      <c r="AP39" s="1">
        <f>IF(IF(uxb_works!$B$46=1,tblCategories_2014!AP39,tblCategories_2017!AP39)="","",IF(uxb_works!$B$46=1,tblCategories_2014!AP39,tblCategories_2017!AP39))</f>
        <v>1</v>
      </c>
      <c r="AQ39" s="1">
        <f>IF(IF(uxb_works!$B$46=1,tblCategories_2014!AQ39,tblCategories_2017!AQ39)="","",IF(uxb_works!$B$46=1,tblCategories_2014!AQ39,tblCategories_2017!AQ39))</f>
        <v>0</v>
      </c>
      <c r="AR39" s="1">
        <f>IF(IF(uxb_works!$B$46=1,tblCategories_2014!AR39,tblCategories_2017!AR39)="","",IF(uxb_works!$B$46=1,tblCategories_2014!AR39,tblCategories_2017!AR39))</f>
        <v>0</v>
      </c>
      <c r="AS39" s="1">
        <f>IF(IF(uxb_works!$B$46=1,tblCategories_2014!AS39,tblCategories_2017!AS39)="","",IF(uxb_works!$B$46=1,tblCategories_2014!AS39,tblCategories_2017!AS39))</f>
        <v>0</v>
      </c>
    </row>
    <row r="40" ht="12.75" spans="1:45">
      <c r="A40" s="1">
        <f>IF(IF(uxb_works!$B$46=1,tblCategories_2014!A40,tblCategories_2017!A40)="","",IF(uxb_works!$B$46=1,tblCategories_2014!A40,tblCategories_2017!A40))</f>
        <v>38</v>
      </c>
      <c r="B40" s="1" t="str">
        <f>IF(IF(uxb_works!$B$46=1,tblCategories_2014!B40,tblCategories_2017!B40)="","",IF(uxb_works!$B$46=1,tblCategories_2014!B40,tblCategories_2017!B40))</f>
        <v/>
      </c>
      <c r="C40" s="57" t="str">
        <f>IF(IF(uxb_works!$B$46=1,tblCategories_2014!C40,tblCategories_2017!C40)="","",IF(uxb_works!$B$46=1,tblCategories_2014!C40,tblCategories_2017!C40))</f>
        <v>3.2.4) Percentage living in slums</v>
      </c>
      <c r="D40" s="1" t="str">
        <f>IF(IF(uxb_works!$B$46=1,tblCategories_2014!D40,tblCategories_2017!D40)="","",IF(uxb_works!$B$46=1,tblCategories_2014!D40,tblCategories_2017!D40))</f>
        <v>3.2.4) Percentage living in slums</v>
      </c>
      <c r="E40" s="1" t="str">
        <f>IF(IF(uxb_works!$B$46=1,tblCategories_2014!E40,tblCategories_2017!E40)="","",IF(uxb_works!$B$46=1,tblCategories_2014!E40,tblCategories_2017!E40))</f>
        <v/>
      </c>
      <c r="F40" s="23">
        <f>IF(IF(uxb_works!$B$46=1,tblCategories_2014!F40,tblCategories_2017!F40)="","",IF(uxb_works!$B$46=1,tblCategories_2014!F40,tblCategories_2017!F40))</f>
        <v>1</v>
      </c>
      <c r="G40" s="32" t="str">
        <f>IF(IF(uxb_works!$B$46=1,tblCategories_2014!G40,tblCategories_2017!G40)="","",IF(uxb_works!$B$46=1,tblCategories_2014!G40,tblCategories_2017!G40))</f>
        <v/>
      </c>
      <c r="H40" s="1" t="str">
        <f>IF(IF(uxb_works!$B$46=1,tblCategories_2014!H40,tblCategories_2017!H40)="","",IF(uxb_works!$B$46=1,tblCategories_2014!H40,tblCategories_2017!H40))</f>
        <v/>
      </c>
      <c r="I40" s="23" t="str">
        <f>IF(IF(uxb_works!$B$46=1,tblCategories_2014!I40,tblCategories_2017!I40)="","",IF(uxb_works!$B$46=1,tblCategories_2014!I40,tblCategories_2017!I40))</f>
        <v/>
      </c>
      <c r="J40" s="1" t="str">
        <f>IF(IF(uxb_works!$B$46=1,tblCategories_2014!J40,tblCategories_2017!J40)="","",IF(uxb_works!$B$46=1,tblCategories_2014!J40,tblCategories_2017!J40))</f>
        <v/>
      </c>
      <c r="K40" s="1" t="str">
        <f>IF(IF(uxb_works!$B$46=1,tblCategories_2014!K41,tblCategories_2017!K40)="","",IF(uxb_works!$B$46=1,tblCategories_2014!K41,tblCategories_2017!K40))</f>
        <v/>
      </c>
      <c r="L40" s="1">
        <f>IF(IF(uxb_works!$B$46=1,tblCategories_2014!L40,tblCategories_2017!L40)="","",IF(uxb_works!$B$46=1,tblCategories_2014!L40,tblCategories_2017!L40))</f>
        <v>1</v>
      </c>
      <c r="M40" s="1">
        <f>IF(IF(uxb_works!$B$46=1,tblCategories_2014!M40,tblCategories_2017!M40)="","",IF(uxb_works!$B$46=1,tblCategories_2014!M40,tblCategories_2017!M40))</f>
        <v>1</v>
      </c>
      <c r="N40" s="1">
        <f>IF(IF(uxb_works!$B$46=1,tblCategories_2014!N40,tblCategories_2017!N40)="","",IF(uxb_works!$B$46=1,tblCategories_2014!N40,tblCategories_2017!N40))</f>
        <v>0</v>
      </c>
      <c r="O40" s="1">
        <f>IF(IF(uxb_works!$B$46=1,tblCategories_2014!O40,tblCategories_2017!O40)="","",IF(uxb_works!$B$46=1,tblCategories_2014!O40,tblCategories_2017!O40))</f>
        <v>0</v>
      </c>
      <c r="P40" s="1">
        <f>IF(IF(uxb_works!$B$46=1,tblCategories_2014!P40,tblCategories_2017!P40)="","",IF(uxb_works!$B$46=1,tblCategories_2014!P40,tblCategories_2017!P40))</f>
        <v>0</v>
      </c>
      <c r="Q40" s="1">
        <f>IF(IF(uxb_works!$B$46=1,tblCategories_2014!Q40,tblCategories_2017!Q40)="","",IF(uxb_works!$B$46=1,tblCategories_2014!Q40,tblCategories_2017!Q40))</f>
        <v>0</v>
      </c>
      <c r="R40" s="1">
        <f>IF(IF(uxb_works!$B$46=1,tblCategories_2014!R40,tblCategories_2017!R40)="","",IF(uxb_works!$B$46=1,tblCategories_2014!R40,tblCategories_2017!R40))</f>
        <v>0</v>
      </c>
      <c r="S40" s="1">
        <f>IF(IF(uxb_works!$B$46=1,tblCategories_2014!S40,tblCategories_2017!S40)="","",IF(uxb_works!$B$46=1,tblCategories_2014!S40,tblCategories_2017!S40))</f>
        <v>0</v>
      </c>
      <c r="T40" s="1">
        <f>IF(IF(uxb_works!$B$46=1,tblCategories_2014!T40,tblCategories_2017!T40)="","",IF(uxb_works!$B$46=1,tblCategories_2014!T40,tblCategories_2017!T40))</f>
        <v>1</v>
      </c>
      <c r="U40" s="1">
        <f>IF(IF(uxb_works!$B$46=1,tblCategories_2014!U40,tblCategories_2017!U40)="","",IF(uxb_works!$B$46=1,tblCategories_2014!U40,tblCategories_2017!U40))</f>
        <v>0</v>
      </c>
      <c r="V40" s="1">
        <f>IF(IF(uxb_works!$B$46=1,tblCategories_2014!V40,tblCategories_2017!V40)="","",IF(uxb_works!$B$46=1,tblCategories_2014!V40,tblCategories_2017!V40))</f>
        <v>1</v>
      </c>
      <c r="W40" s="1">
        <f>IF(IF(uxb_works!$B$46=1,tblCategories_2014!W40,tblCategories_2017!W40)="","",IF(uxb_works!$B$46=1,tblCategories_2014!W40,tblCategories_2017!W40))</f>
        <v>0</v>
      </c>
      <c r="X40" s="1">
        <f>IF(IF(uxb_works!$B$46=1,tblCategories_2014!X40,tblCategories_2017!X40)="","",IF(uxb_works!$B$46=1,tblCategories_2014!X40,tblCategories_2017!X40))</f>
        <v>0</v>
      </c>
      <c r="Y40" s="1">
        <f>IF(IF(uxb_works!$B$46=1,tblCategories_2014!Y40,tblCategories_2017!Y40)="","",IF(uxb_works!$B$46=1,tblCategories_2014!Y40,tblCategories_2017!Y40))</f>
        <v>0</v>
      </c>
      <c r="Z40" s="1" t="str">
        <f>IF(IF(uxb_works!$B$46=1,tblCategories_2014!Z40,tblCategories_2017!Z40)="","",IF(uxb_works!$B$46=1,tblCategories_2014!Z40,tblCategories_2017!Z40))</f>
        <v/>
      </c>
      <c r="AA40" s="53" t="str">
        <f>IF(IF(uxb_works!$B$46=1,tblCategories_2014!AA40,tblCategories_2017!AA40)="","",IF(uxb_works!$B$46=1,tblCategories_2014!AA40,tblCategories_2017!AA40))</f>
        <v/>
      </c>
      <c r="AB40" s="20" t="str">
        <f>IF(IF(uxb_works!$B$46=1,tblCategories_2014!AB40,tblCategories_2017!AB40)="","",IF(uxb_works!$B$46=1,tblCategories_2014!AB40,tblCategories_2017!AB40))</f>
        <v/>
      </c>
      <c r="AC40" s="23">
        <f>IF(IF(uxb_works!$B$46=1,tblCategories_2014!AC40,tblCategories_2017!AC40)="","",IF(uxb_works!$B$46=1,tblCategories_2014!AC40,tblCategories_2017!AC40))</f>
        <v>0</v>
      </c>
      <c r="AD40" s="1" t="str">
        <f>IF(IF(uxb_works!$B$46=1,tblCategories_2014!AD40,tblCategories_2017!AD40)="","",IF(uxb_works!$B$46=1,tblCategories_2014!AD40,tblCategories_2017!AD40))</f>
        <v/>
      </c>
      <c r="AF40" s="1">
        <f>IF(IF(uxb_works!$B$46=1,tblCategories_2014!AF40,tblCategories_2017!AF40)="","",IF(uxb_works!$B$46=1,tblCategories_2014!AF40,tblCategories_2017!AF40))</f>
        <v>1</v>
      </c>
      <c r="AG40" s="1">
        <f>IF(IF(uxb_works!$B$46=1,tblCategories_2014!AG40,tblCategories_2017!AG40)="","",IF(uxb_works!$B$46=1,tblCategories_2014!AG40,tblCategories_2017!AG40))</f>
        <v>0</v>
      </c>
      <c r="AH40" s="1">
        <f>IF(IF(uxb_works!$B$46=1,tblCategories_2014!AH40,tblCategories_2017!AH40)="","",IF(uxb_works!$B$46=1,tblCategories_2014!AH40,tblCategories_2017!AH40))</f>
        <v>0</v>
      </c>
      <c r="AI40" s="1">
        <f>IF(IF(uxb_works!$B$46=1,tblCategories_2014!AI40,tblCategories_2017!AI40)="","",IF(uxb_works!$B$46=1,tblCategories_2014!AI40,tblCategories_2017!AI40))</f>
        <v>0</v>
      </c>
      <c r="AJ40" s="1">
        <f>IF(IF(uxb_works!$B$46=1,tblCategories_2014!AJ40,tblCategories_2017!AJ40)="","",IF(uxb_works!$B$46=1,tblCategories_2014!AJ40,tblCategories_2017!AJ40))</f>
        <v>0</v>
      </c>
      <c r="AK40" s="1">
        <f>IF(IF(uxb_works!$B$46=1,tblCategories_2014!AK40,tblCategories_2017!AK40)="","",IF(uxb_works!$B$46=1,tblCategories_2014!AK40,tblCategories_2017!AK40))</f>
        <v>0</v>
      </c>
      <c r="AL40" s="1">
        <f>IF(IF(uxb_works!$B$46=1,tblCategories_2014!AL40,tblCategories_2017!AL40)="","",IF(uxb_works!$B$46=1,tblCategories_2014!AL40,tblCategories_2017!AL40))</f>
        <v>0</v>
      </c>
      <c r="AM40" s="1">
        <f>IF(IF(uxb_works!$B$46=1,tblCategories_2014!AM40,tblCategories_2017!AM40)="","",IF(uxb_works!$B$46=1,tblCategories_2014!AM40,tblCategories_2017!AM40))</f>
        <v>0</v>
      </c>
      <c r="AN40" s="1">
        <f>IF(IF(uxb_works!$B$46=1,tblCategories_2014!AN40,tblCategories_2017!AN40)="","",IF(uxb_works!$B$46=1,tblCategories_2014!AN40,tblCategories_2017!AN40))</f>
        <v>0</v>
      </c>
      <c r="AO40" s="1">
        <f>IF(IF(uxb_works!$B$46=1,tblCategories_2014!AO40,tblCategories_2017!AO40)="","",IF(uxb_works!$B$46=1,tblCategories_2014!AO40,tblCategories_2017!AO40))</f>
        <v>0</v>
      </c>
      <c r="AP40" s="1">
        <f>IF(IF(uxb_works!$B$46=1,tblCategories_2014!AP40,tblCategories_2017!AP40)="","",IF(uxb_works!$B$46=1,tblCategories_2014!AP40,tblCategories_2017!AP40))</f>
        <v>1</v>
      </c>
      <c r="AQ40" s="1">
        <f>IF(IF(uxb_works!$B$46=1,tblCategories_2014!AQ40,tblCategories_2017!AQ40)="","",IF(uxb_works!$B$46=1,tblCategories_2014!AQ40,tblCategories_2017!AQ40))</f>
        <v>0</v>
      </c>
      <c r="AR40" s="1">
        <f>IF(IF(uxb_works!$B$46=1,tblCategories_2014!AR40,tblCategories_2017!AR40)="","",IF(uxb_works!$B$46=1,tblCategories_2014!AR40,tblCategories_2017!AR40))</f>
        <v>0</v>
      </c>
      <c r="AS40" s="1">
        <f>IF(IF(uxb_works!$B$46=1,tblCategories_2014!AS40,tblCategories_2017!AS40)="","",IF(uxb_works!$B$46=1,tblCategories_2014!AS40,tblCategories_2017!AS40))</f>
        <v>0</v>
      </c>
    </row>
    <row r="41" ht="12.75" spans="1:45">
      <c r="A41" s="1">
        <f>IF(IF(uxb_works!$B$46=1,tblCategories_2014!A41,tblCategories_2017!A41)="","",IF(uxb_works!$B$46=1,tblCategories_2014!A41,tblCategories_2017!A41))</f>
        <v>39</v>
      </c>
      <c r="B41" s="1" t="str">
        <f>IF(IF(uxb_works!$B$46=1,tblCategories_2014!B41,tblCategories_2017!B41)="","",IF(uxb_works!$B$46=1,tblCategories_2014!B41,tblCategories_2017!B41))</f>
        <v/>
      </c>
      <c r="C41" s="57" t="str">
        <f>IF(IF(uxb_works!$B$46=1,tblCategories_2014!C41,tblCategories_2017!C41)="","",IF(uxb_works!$B$46=1,tblCategories_2014!C41,tblCategories_2017!C41))</f>
        <v>3.2.5) Number of attacks on facilities/infrastructure</v>
      </c>
      <c r="D41" s="1" t="str">
        <f>IF(IF(uxb_works!$B$46=1,tblCategories_2014!D41,tblCategories_2017!D41)="","",IF(uxb_works!$B$46=1,tblCategories_2014!D41,tblCategories_2017!D41))</f>
        <v>3.2.5) Number of attacks on facilities/infrastructure</v>
      </c>
      <c r="E41" s="1" t="str">
        <f>IF(IF(uxb_works!$B$46=1,tblCategories_2014!E41,tblCategories_2017!E41)="","",IF(uxb_works!$B$46=1,tblCategories_2014!E41,tblCategories_2017!E41))</f>
        <v/>
      </c>
      <c r="F41" s="23">
        <f>IF(IF(uxb_works!$B$46=1,tblCategories_2014!F41,tblCategories_2017!F41)="","",IF(uxb_works!$B$46=1,tblCategories_2014!F41,tblCategories_2017!F41))</f>
        <v>1</v>
      </c>
      <c r="G41" s="32" t="str">
        <f>IF(IF(uxb_works!$B$46=1,tblCategories_2014!G41,tblCategories_2017!G41)="","",IF(uxb_works!$B$46=1,tblCategories_2014!G41,tblCategories_2017!G41))</f>
        <v/>
      </c>
      <c r="H41" s="1" t="str">
        <f>IF(IF(uxb_works!$B$46=1,tblCategories_2014!H41,tblCategories_2017!H41)="","",IF(uxb_works!$B$46=1,tblCategories_2014!H41,tblCategories_2017!H41))</f>
        <v/>
      </c>
      <c r="I41" s="23" t="str">
        <f>IF(IF(uxb_works!$B$46=1,tblCategories_2014!I41,tblCategories_2017!I41)="","",IF(uxb_works!$B$46=1,tblCategories_2014!I41,tblCategories_2017!I41))</f>
        <v/>
      </c>
      <c r="J41" s="1" t="str">
        <f>IF(IF(uxb_works!$B$46=1,tblCategories_2014!J41,tblCategories_2017!J41)="","",IF(uxb_works!$B$46=1,tblCategories_2014!J41,tblCategories_2017!J41))</f>
        <v/>
      </c>
      <c r="K41" s="1" t="str">
        <f>IF(IF(uxb_works!$B$46=1,tblCategories_2014!K42,tblCategories_2017!K41)="","",IF(uxb_works!$B$46=1,tblCategories_2014!K42,tblCategories_2017!K41))</f>
        <v/>
      </c>
      <c r="L41" s="1">
        <f>IF(IF(uxb_works!$B$46=1,tblCategories_2014!L41,tblCategories_2017!L41)="","",IF(uxb_works!$B$46=1,tblCategories_2014!L41,tblCategories_2017!L41))</f>
        <v>1</v>
      </c>
      <c r="M41" s="1">
        <f>IF(IF(uxb_works!$B$46=1,tblCategories_2014!M41,tblCategories_2017!M41)="","",IF(uxb_works!$B$46=1,tblCategories_2014!M41,tblCategories_2017!M41))</f>
        <v>1</v>
      </c>
      <c r="N41" s="1">
        <f>IF(IF(uxb_works!$B$46=1,tblCategories_2014!N41,tblCategories_2017!N41)="","",IF(uxb_works!$B$46=1,tblCategories_2014!N41,tblCategories_2017!N41))</f>
        <v>0</v>
      </c>
      <c r="O41" s="1">
        <f>IF(IF(uxb_works!$B$46=1,tblCategories_2014!O41,tblCategories_2017!O41)="","",IF(uxb_works!$B$46=1,tblCategories_2014!O41,tblCategories_2017!O41))</f>
        <v>0</v>
      </c>
      <c r="P41" s="1">
        <f>IF(IF(uxb_works!$B$46=1,tblCategories_2014!P41,tblCategories_2017!P41)="","",IF(uxb_works!$B$46=1,tblCategories_2014!P41,tblCategories_2017!P41))</f>
        <v>0</v>
      </c>
      <c r="Q41" s="1">
        <f>IF(IF(uxb_works!$B$46=1,tblCategories_2014!Q41,tblCategories_2017!Q41)="","",IF(uxb_works!$B$46=1,tblCategories_2014!Q41,tblCategories_2017!Q41))</f>
        <v>0</v>
      </c>
      <c r="R41" s="1">
        <f>IF(IF(uxb_works!$B$46=1,tblCategories_2014!R41,tblCategories_2017!R41)="","",IF(uxb_works!$B$46=1,tblCategories_2014!R41,tblCategories_2017!R41))</f>
        <v>0</v>
      </c>
      <c r="S41" s="1">
        <f>IF(IF(uxb_works!$B$46=1,tblCategories_2014!S41,tblCategories_2017!S41)="","",IF(uxb_works!$B$46=1,tblCategories_2014!S41,tblCategories_2017!S41))</f>
        <v>0</v>
      </c>
      <c r="T41" s="1">
        <f>IF(IF(uxb_works!$B$46=1,tblCategories_2014!T41,tblCategories_2017!T41)="","",IF(uxb_works!$B$46=1,tblCategories_2014!T41,tblCategories_2017!T41))</f>
        <v>1</v>
      </c>
      <c r="U41" s="1">
        <f>IF(IF(uxb_works!$B$46=1,tblCategories_2014!U41,tblCategories_2017!U41)="","",IF(uxb_works!$B$46=1,tblCategories_2014!U41,tblCategories_2017!U41))</f>
        <v>0</v>
      </c>
      <c r="V41" s="1">
        <f>IF(IF(uxb_works!$B$46=1,tblCategories_2014!V41,tblCategories_2017!V41)="","",IF(uxb_works!$B$46=1,tblCategories_2014!V41,tblCategories_2017!V41))</f>
        <v>1</v>
      </c>
      <c r="W41" s="1">
        <f>IF(IF(uxb_works!$B$46=1,tblCategories_2014!W41,tblCategories_2017!W41)="","",IF(uxb_works!$B$46=1,tblCategories_2014!W41,tblCategories_2017!W41))</f>
        <v>0</v>
      </c>
      <c r="X41" s="1">
        <f>IF(IF(uxb_works!$B$46=1,tblCategories_2014!X41,tblCategories_2017!X41)="","",IF(uxb_works!$B$46=1,tblCategories_2014!X41,tblCategories_2017!X41))</f>
        <v>0</v>
      </c>
      <c r="Y41" s="1">
        <f>IF(IF(uxb_works!$B$46=1,tblCategories_2014!Y41,tblCategories_2017!Y41)="","",IF(uxb_works!$B$46=1,tblCategories_2014!Y41,tblCategories_2017!Y41))</f>
        <v>0</v>
      </c>
      <c r="Z41" s="1" t="str">
        <f>IF(IF(uxb_works!$B$46=1,tblCategories_2014!Z41,tblCategories_2017!Z41)="","",IF(uxb_works!$B$46=1,tblCategories_2014!Z41,tblCategories_2017!Z41))</f>
        <v/>
      </c>
      <c r="AA41" s="53" t="str">
        <f>IF(IF(uxb_works!$B$46=1,tblCategories_2014!AA41,tblCategories_2017!AA41)="","",IF(uxb_works!$B$46=1,tblCategories_2014!AA41,tblCategories_2017!AA41))</f>
        <v/>
      </c>
      <c r="AB41" s="20" t="str">
        <f>IF(IF(uxb_works!$B$46=1,tblCategories_2014!AB41,tblCategories_2017!AB41)="","",IF(uxb_works!$B$46=1,tblCategories_2014!AB41,tblCategories_2017!AB41))</f>
        <v/>
      </c>
      <c r="AC41" s="23">
        <f>IF(IF(uxb_works!$B$46=1,tblCategories_2014!AC41,tblCategories_2017!AC41)="","",IF(uxb_works!$B$46=1,tblCategories_2014!AC41,tblCategories_2017!AC41))</f>
        <v>0</v>
      </c>
      <c r="AD41" s="1" t="str">
        <f>IF(IF(uxb_works!$B$46=1,tblCategories_2014!AD41,tblCategories_2017!AD41)="","",IF(uxb_works!$B$46=1,tblCategories_2014!AD41,tblCategories_2017!AD41))</f>
        <v/>
      </c>
      <c r="AF41" s="1">
        <f>IF(IF(uxb_works!$B$46=1,tblCategories_2014!AF41,tblCategories_2017!AF41)="","",IF(uxb_works!$B$46=1,tblCategories_2014!AF41,tblCategories_2017!AF41))</f>
        <v>1</v>
      </c>
      <c r="AG41" s="1">
        <f>IF(IF(uxb_works!$B$46=1,tblCategories_2014!AG41,tblCategories_2017!AG41)="","",IF(uxb_works!$B$46=1,tblCategories_2014!AG41,tblCategories_2017!AG41))</f>
        <v>0</v>
      </c>
      <c r="AH41" s="1">
        <f>IF(IF(uxb_works!$B$46=1,tblCategories_2014!AH41,tblCategories_2017!AH41)="","",IF(uxb_works!$B$46=1,tblCategories_2014!AH41,tblCategories_2017!AH41))</f>
        <v>0</v>
      </c>
      <c r="AI41" s="1">
        <f>IF(IF(uxb_works!$B$46=1,tblCategories_2014!AI41,tblCategories_2017!AI41)="","",IF(uxb_works!$B$46=1,tblCategories_2014!AI41,tblCategories_2017!AI41))</f>
        <v>0</v>
      </c>
      <c r="AJ41" s="1">
        <f>IF(IF(uxb_works!$B$46=1,tblCategories_2014!AJ41,tblCategories_2017!AJ41)="","",IF(uxb_works!$B$46=1,tblCategories_2014!AJ41,tblCategories_2017!AJ41))</f>
        <v>0</v>
      </c>
      <c r="AK41" s="1">
        <f>IF(IF(uxb_works!$B$46=1,tblCategories_2014!AK41,tblCategories_2017!AK41)="","",IF(uxb_works!$B$46=1,tblCategories_2014!AK41,tblCategories_2017!AK41))</f>
        <v>0</v>
      </c>
      <c r="AL41" s="1">
        <f>IF(IF(uxb_works!$B$46=1,tblCategories_2014!AL41,tblCategories_2017!AL41)="","",IF(uxb_works!$B$46=1,tblCategories_2014!AL41,tblCategories_2017!AL41))</f>
        <v>0</v>
      </c>
      <c r="AM41" s="1">
        <f>IF(IF(uxb_works!$B$46=1,tblCategories_2014!AM41,tblCategories_2017!AM41)="","",IF(uxb_works!$B$46=1,tblCategories_2014!AM41,tblCategories_2017!AM41))</f>
        <v>0</v>
      </c>
      <c r="AN41" s="1">
        <f>IF(IF(uxb_works!$B$46=1,tblCategories_2014!AN41,tblCategories_2017!AN41)="","",IF(uxb_works!$B$46=1,tblCategories_2014!AN41,tblCategories_2017!AN41))</f>
        <v>0</v>
      </c>
      <c r="AO41" s="1">
        <f>IF(IF(uxb_works!$B$46=1,tblCategories_2014!AO41,tblCategories_2017!AO41)="","",IF(uxb_works!$B$46=1,tblCategories_2014!AO41,tblCategories_2017!AO41))</f>
        <v>0</v>
      </c>
      <c r="AP41" s="1">
        <f>IF(IF(uxb_works!$B$46=1,tblCategories_2014!AP41,tblCategories_2017!AP41)="","",IF(uxb_works!$B$46=1,tblCategories_2014!AP41,tblCategories_2017!AP41))</f>
        <v>1</v>
      </c>
      <c r="AQ41" s="1">
        <f>IF(IF(uxb_works!$B$46=1,tblCategories_2014!AQ41,tblCategories_2017!AQ41)="","",IF(uxb_works!$B$46=1,tblCategories_2014!AQ41,tblCategories_2017!AQ41))</f>
        <v>0</v>
      </c>
      <c r="AR41" s="1">
        <f>IF(IF(uxb_works!$B$46=1,tblCategories_2014!AR41,tblCategories_2017!AR41)="","",IF(uxb_works!$B$46=1,tblCategories_2014!AR41,tblCategories_2017!AR41))</f>
        <v>0</v>
      </c>
      <c r="AS41" s="1">
        <f>IF(IF(uxb_works!$B$46=1,tblCategories_2014!AS41,tblCategories_2017!AS41)="","",IF(uxb_works!$B$46=1,tblCategories_2014!AS41,tblCategories_2017!AS41))</f>
        <v>0</v>
      </c>
    </row>
    <row r="42" ht="12.75" spans="1:45">
      <c r="A42" s="1">
        <f>IF(IF(uxb_works!$B$46=1,tblCategories_2014!A42,tblCategories_2017!A42)="","",IF(uxb_works!$B$46=1,tblCategories_2014!A42,tblCategories_2017!A42))</f>
        <v>40</v>
      </c>
      <c r="B42" s="1" t="str">
        <f>IF(IF(uxb_works!$B$46=1,tblCategories_2014!B42,tblCategories_2017!B42)="","",IF(uxb_works!$B$46=1,tblCategories_2014!B42,tblCategories_2017!B42))</f>
        <v/>
      </c>
      <c r="C42" s="57" t="str">
        <f>IF(IF(uxb_works!$B$46=1,tblCategories_2014!C42,tblCategories_2017!C42)="","",IF(uxb_works!$B$46=1,tblCategories_2014!C42,tblCategories_2017!C42))</f>
        <v>4) PERSONAL SECURITY</v>
      </c>
      <c r="D42" s="1" t="str">
        <f>IF(IF(uxb_works!$B$46=1,tblCategories_2014!D42,tblCategories_2017!D42)="","",IF(uxb_works!$B$46=1,tblCategories_2014!D42,tblCategories_2017!D42))</f>
        <v>4) PERSONAL SECURITY</v>
      </c>
      <c r="E42" s="1" t="str">
        <f>IF(IF(uxb_works!$B$46=1,tblCategories_2014!E42,tblCategories_2017!E42)="","",IF(uxb_works!$B$46=1,tblCategories_2014!E42,tblCategories_2017!E42))</f>
        <v/>
      </c>
      <c r="F42" s="23">
        <f>IF(IF(uxb_works!$B$46=1,tblCategories_2014!F42,tblCategories_2017!F42)="","",IF(uxb_works!$B$46=1,tblCategories_2014!F42,tblCategories_2017!F42))</f>
        <v>1</v>
      </c>
      <c r="G42" s="32" t="str">
        <f>IF(IF(uxb_works!$B$46=1,tblCategories_2014!G42,tblCategories_2017!G42)="","",IF(uxb_works!$B$46=1,tblCategories_2014!G42,tblCategories_2017!G42))</f>
        <v/>
      </c>
      <c r="H42" s="1" t="str">
        <f>IF(IF(uxb_works!$B$46=1,tblCategories_2014!H42,tblCategories_2017!H42)="","",IF(uxb_works!$B$46=1,tblCategories_2014!H42,tblCategories_2017!H42))</f>
        <v/>
      </c>
      <c r="I42" s="23" t="str">
        <f>IF(IF(uxb_works!$B$46=1,tblCategories_2014!I42,tblCategories_2017!I42)="","",IF(uxb_works!$B$46=1,tblCategories_2014!I42,tblCategories_2017!I42))</f>
        <v/>
      </c>
      <c r="J42" s="1" t="str">
        <f>IF(IF(uxb_works!$B$46=1,tblCategories_2014!J42,tblCategories_2017!J42)="","",IF(uxb_works!$B$46=1,tblCategories_2014!J42,tblCategories_2017!J42))</f>
        <v/>
      </c>
      <c r="K42" s="1" t="str">
        <f>IF(IF(uxb_works!$B$46=1,tblCategories_2014!K43,tblCategories_2017!K42)="","",IF(uxb_works!$B$46=1,tblCategories_2014!K43,tblCategories_2017!K42))</f>
        <v/>
      </c>
      <c r="L42" s="1">
        <f>IF(IF(uxb_works!$B$46=1,tblCategories_2014!L42,tblCategories_2017!L42)="","",IF(uxb_works!$B$46=1,tblCategories_2014!L42,tblCategories_2017!L42))</f>
        <v>1</v>
      </c>
      <c r="M42" s="1">
        <f>IF(IF(uxb_works!$B$46=1,tblCategories_2014!M42,tblCategories_2017!M42)="","",IF(uxb_works!$B$46=1,tblCategories_2014!M42,tblCategories_2017!M42))</f>
        <v>1</v>
      </c>
      <c r="N42" s="1">
        <f>IF(IF(uxb_works!$B$46=1,tblCategories_2014!N42,tblCategories_2017!N42)="","",IF(uxb_works!$B$46=1,tblCategories_2014!N42,tblCategories_2017!N42))</f>
        <v>0</v>
      </c>
      <c r="O42" s="1">
        <f>IF(IF(uxb_works!$B$46=1,tblCategories_2014!O42,tblCategories_2017!O42)="","",IF(uxb_works!$B$46=1,tblCategories_2014!O42,tblCategories_2017!O42))</f>
        <v>0</v>
      </c>
      <c r="P42" s="1">
        <f>IF(IF(uxb_works!$B$46=1,tblCategories_2014!P42,tblCategories_2017!P42)="","",IF(uxb_works!$B$46=1,tblCategories_2014!P42,tblCategories_2017!P42))</f>
        <v>0</v>
      </c>
      <c r="Q42" s="1">
        <f>IF(IF(uxb_works!$B$46=1,tblCategories_2014!Q42,tblCategories_2017!Q42)="","",IF(uxb_works!$B$46=1,tblCategories_2014!Q42,tblCategories_2017!Q42))</f>
        <v>0</v>
      </c>
      <c r="R42" s="1">
        <f>IF(IF(uxb_works!$B$46=1,tblCategories_2014!R42,tblCategories_2017!R42)="","",IF(uxb_works!$B$46=1,tblCategories_2014!R42,tblCategories_2017!R42))</f>
        <v>0</v>
      </c>
      <c r="S42" s="1">
        <f>IF(IF(uxb_works!$B$46=1,tblCategories_2014!S42,tblCategories_2017!S42)="","",IF(uxb_works!$B$46=1,tblCategories_2014!S42,tblCategories_2017!S42))</f>
        <v>0</v>
      </c>
      <c r="T42" s="1">
        <f>IF(IF(uxb_works!$B$46=1,tblCategories_2014!T42,tblCategories_2017!T42)="","",IF(uxb_works!$B$46=1,tblCategories_2014!T42,tblCategories_2017!T42))</f>
        <v>0</v>
      </c>
      <c r="U42" s="1">
        <f>IF(IF(uxb_works!$B$46=1,tblCategories_2014!U42,tblCategories_2017!U42)="","",IF(uxb_works!$B$46=1,tblCategories_2014!U42,tblCategories_2017!U42))</f>
        <v>0</v>
      </c>
      <c r="V42" s="1">
        <f>IF(IF(uxb_works!$B$46=1,tblCategories_2014!V42,tblCategories_2017!V42)="","",IF(uxb_works!$B$46=1,tblCategories_2014!V42,tblCategories_2017!V42))</f>
        <v>0</v>
      </c>
      <c r="W42" s="1">
        <f>IF(IF(uxb_works!$B$46=1,tblCategories_2014!W42,tblCategories_2017!W42)="","",IF(uxb_works!$B$46=1,tblCategories_2014!W42,tblCategories_2017!W42))</f>
        <v>1</v>
      </c>
      <c r="X42" s="1">
        <f>IF(IF(uxb_works!$B$46=1,tblCategories_2014!X42,tblCategories_2017!X42)="","",IF(uxb_works!$B$46=1,tblCategories_2014!X42,tblCategories_2017!X42))</f>
        <v>0</v>
      </c>
      <c r="Y42" s="1">
        <f>IF(IF(uxb_works!$B$46=1,tblCategories_2014!Y42,tblCategories_2017!Y42)="","",IF(uxb_works!$B$46=1,tblCategories_2014!Y42,tblCategories_2017!Y42))</f>
        <v>0</v>
      </c>
      <c r="Z42" s="1" t="str">
        <f>IF(IF(uxb_works!$B$46=1,tblCategories_2014!Z42,tblCategories_2017!Z42)="","",IF(uxb_works!$B$46=1,tblCategories_2014!Z42,tblCategories_2017!Z42))</f>
        <v/>
      </c>
      <c r="AA42" s="53" t="str">
        <f>IF(IF(uxb_works!$B$46=1,tblCategories_2014!AA42,tblCategories_2017!AA42)="","",IF(uxb_works!$B$46=1,tblCategories_2014!AA42,tblCategories_2017!AA42))</f>
        <v/>
      </c>
      <c r="AB42" s="20" t="str">
        <f>IF(IF(uxb_works!$B$46=1,tblCategories_2014!AB42,tblCategories_2017!AB42)="","",IF(uxb_works!$B$46=1,tblCategories_2014!AB42,tblCategories_2017!AB42))</f>
        <v/>
      </c>
      <c r="AC42" s="23">
        <f>IF(IF(uxb_works!$B$46=1,tblCategories_2014!AC42,tblCategories_2017!AC42)="","",IF(uxb_works!$B$46=1,tblCategories_2014!AC42,tblCategories_2017!AC42))</f>
        <v>1</v>
      </c>
      <c r="AD42" s="1" t="str">
        <f>IF(IF(uxb_works!$B$46=1,tblCategories_2014!AD42,tblCategories_2017!AD42)="","",IF(uxb_works!$B$46=1,tblCategories_2014!AD42,tblCategories_2017!AD42))</f>
        <v/>
      </c>
      <c r="AF42" s="1">
        <f>IF(IF(uxb_works!$B$46=1,tblCategories_2014!AF42,tblCategories_2017!AF42)="","",IF(uxb_works!$B$46=1,tblCategories_2014!AF42,tblCategories_2017!AF42))</f>
        <v>1</v>
      </c>
      <c r="AG42" s="1">
        <f>IF(IF(uxb_works!$B$46=1,tblCategories_2014!AG42,tblCategories_2017!AG42)="","",IF(uxb_works!$B$46=1,tblCategories_2014!AG42,tblCategories_2017!AG42))</f>
        <v>1</v>
      </c>
      <c r="AH42" s="1">
        <f>IF(IF(uxb_works!$B$46=1,tblCategories_2014!AH42,tblCategories_2017!AH42)="","",IF(uxb_works!$B$46=1,tblCategories_2014!AH42,tblCategories_2017!AH42))</f>
        <v>0</v>
      </c>
      <c r="AI42" s="1">
        <f>IF(IF(uxb_works!$B$46=1,tblCategories_2014!AI42,tblCategories_2017!AI42)="","",IF(uxb_works!$B$46=1,tblCategories_2014!AI42,tblCategories_2017!AI42))</f>
        <v>0</v>
      </c>
      <c r="AJ42" s="1">
        <f>IF(IF(uxb_works!$B$46=1,tblCategories_2014!AJ42,tblCategories_2017!AJ42)="","",IF(uxb_works!$B$46=1,tblCategories_2014!AJ42,tblCategories_2017!AJ42))</f>
        <v>0</v>
      </c>
      <c r="AK42" s="1">
        <f>IF(IF(uxb_works!$B$46=1,tblCategories_2014!AK42,tblCategories_2017!AK42)="","",IF(uxb_works!$B$46=1,tblCategories_2014!AK42,tblCategories_2017!AK42))</f>
        <v>0</v>
      </c>
      <c r="AL42" s="1">
        <f>IF(IF(uxb_works!$B$46=1,tblCategories_2014!AL42,tblCategories_2017!AL42)="","",IF(uxb_works!$B$46=1,tblCategories_2014!AL42,tblCategories_2017!AL42))</f>
        <v>0</v>
      </c>
      <c r="AM42" s="1">
        <f>IF(IF(uxb_works!$B$46=1,tblCategories_2014!AM42,tblCategories_2017!AM42)="","",IF(uxb_works!$B$46=1,tblCategories_2014!AM42,tblCategories_2017!AM42))</f>
        <v>0</v>
      </c>
      <c r="AN42" s="1">
        <f>IF(IF(uxb_works!$B$46=1,tblCategories_2014!AN42,tblCategories_2017!AN42)="","",IF(uxb_works!$B$46=1,tblCategories_2014!AN42,tblCategories_2017!AN42))</f>
        <v>0</v>
      </c>
      <c r="AO42" s="1">
        <f>IF(IF(uxb_works!$B$46=1,tblCategories_2014!AO42,tblCategories_2017!AO42)="","",IF(uxb_works!$B$46=1,tblCategories_2014!AO42,tblCategories_2017!AO42))</f>
        <v>0</v>
      </c>
      <c r="AP42" s="1">
        <f>IF(IF(uxb_works!$B$46=1,tblCategories_2014!AP42,tblCategories_2017!AP42)="","",IF(uxb_works!$B$46=1,tblCategories_2014!AP42,tblCategories_2017!AP42))</f>
        <v>0</v>
      </c>
      <c r="AQ42" s="1">
        <f>IF(IF(uxb_works!$B$46=1,tblCategories_2014!AQ42,tblCategories_2017!AQ42)="","",IF(uxb_works!$B$46=1,tblCategories_2014!AQ42,tblCategories_2017!AQ42))</f>
        <v>0</v>
      </c>
      <c r="AR42" s="1">
        <f>IF(IF(uxb_works!$B$46=1,tblCategories_2014!AR42,tblCategories_2017!AR42)="","",IF(uxb_works!$B$46=1,tblCategories_2014!AR42,tblCategories_2017!AR42))</f>
        <v>0</v>
      </c>
      <c r="AS42" s="1">
        <f>IF(IF(uxb_works!$B$46=1,tblCategories_2014!AS42,tblCategories_2017!AS42)="","",IF(uxb_works!$B$46=1,tblCategories_2014!AS42,tblCategories_2017!AS42))</f>
        <v>0</v>
      </c>
    </row>
    <row r="43" ht="12.75" spans="1:45">
      <c r="A43" s="1">
        <f>IF(IF(uxb_works!$B$46=1,tblCategories_2014!A43,tblCategories_2017!A43)="","",IF(uxb_works!$B$46=1,tblCategories_2014!A43,tblCategories_2017!A43))</f>
        <v>41</v>
      </c>
      <c r="B43" s="1" t="str">
        <f>IF(IF(uxb_works!$B$46=1,tblCategories_2014!B43,tblCategories_2017!B43)="","",IF(uxb_works!$B$46=1,tblCategories_2014!B43,tblCategories_2017!B43))</f>
        <v/>
      </c>
      <c r="C43" s="57" t="str">
        <f>IF(IF(uxb_works!$B$46=1,tblCategories_2014!C43,tblCategories_2017!C43)="","",IF(uxb_works!$B$46=1,tblCategories_2014!C43,tblCategories_2017!C43))</f>
        <v>4.1) Personal security (Inputs)</v>
      </c>
      <c r="D43" s="1" t="str">
        <f>IF(IF(uxb_works!$B$46=1,tblCategories_2014!D43,tblCategories_2017!D43)="","",IF(uxb_works!$B$46=1,tblCategories_2014!D43,tblCategories_2017!D43))</f>
        <v>4.1) Personal security (Inputs)</v>
      </c>
      <c r="E43" s="1" t="str">
        <f>IF(IF(uxb_works!$B$46=1,tblCategories_2014!E43,tblCategories_2017!E43)="","",IF(uxb_works!$B$46=1,tblCategories_2014!E43,tblCategories_2017!E43))</f>
        <v/>
      </c>
      <c r="F43" s="23">
        <f>IF(IF(uxb_works!$B$46=1,tblCategories_2014!F43,tblCategories_2017!F43)="","",IF(uxb_works!$B$46=1,tblCategories_2014!F43,tblCategories_2017!F43))</f>
        <v>1</v>
      </c>
      <c r="G43" s="32" t="str">
        <f>IF(IF(uxb_works!$B$46=1,tblCategories_2014!G43,tblCategories_2017!G43)="","",IF(uxb_works!$B$46=1,tblCategories_2014!G43,tblCategories_2017!G43))</f>
        <v/>
      </c>
      <c r="H43" s="1" t="str">
        <f>IF(IF(uxb_works!$B$46=1,tblCategories_2014!H43,tblCategories_2017!H43)="","",IF(uxb_works!$B$46=1,tblCategories_2014!H43,tblCategories_2017!H43))</f>
        <v/>
      </c>
      <c r="I43" s="23" t="str">
        <f>IF(IF(uxb_works!$B$46=1,tblCategories_2014!I43,tblCategories_2017!I43)="","",IF(uxb_works!$B$46=1,tblCategories_2014!I43,tblCategories_2017!I43))</f>
        <v/>
      </c>
      <c r="J43" s="1" t="str">
        <f>IF(IF(uxb_works!$B$46=1,tblCategories_2014!J43,tblCategories_2017!J43)="","",IF(uxb_works!$B$46=1,tblCategories_2014!J43,tblCategories_2017!J43))</f>
        <v/>
      </c>
      <c r="K43" s="1" t="str">
        <f>IF(IF(uxb_works!$B$46=1,tblCategories_2014!K44,tblCategories_2017!K43)="","",IF(uxb_works!$B$46=1,tblCategories_2014!K44,tblCategories_2017!K43))</f>
        <v/>
      </c>
      <c r="L43" s="1">
        <f>IF(IF(uxb_works!$B$46=1,tblCategories_2014!L43,tblCategories_2017!L43)="","",IF(uxb_works!$B$46=1,tblCategories_2014!L43,tblCategories_2017!L43))</f>
        <v>1</v>
      </c>
      <c r="M43" s="1">
        <f>IF(IF(uxb_works!$B$46=1,tblCategories_2014!M43,tblCategories_2017!M43)="","",IF(uxb_works!$B$46=1,tblCategories_2014!M43,tblCategories_2017!M43))</f>
        <v>1</v>
      </c>
      <c r="N43" s="1">
        <f>IF(IF(uxb_works!$B$46=1,tblCategories_2014!N43,tblCategories_2017!N43)="","",IF(uxb_works!$B$46=1,tblCategories_2014!N43,tblCategories_2017!N43))</f>
        <v>0</v>
      </c>
      <c r="O43" s="1">
        <f>IF(IF(uxb_works!$B$46=1,tblCategories_2014!O43,tblCategories_2017!O43)="","",IF(uxb_works!$B$46=1,tblCategories_2014!O43,tblCategories_2017!O43))</f>
        <v>0</v>
      </c>
      <c r="P43" s="1">
        <f>IF(IF(uxb_works!$B$46=1,tblCategories_2014!P43,tblCategories_2017!P43)="","",IF(uxb_works!$B$46=1,tblCategories_2014!P43,tblCategories_2017!P43))</f>
        <v>0</v>
      </c>
      <c r="Q43" s="1">
        <f>IF(IF(uxb_works!$B$46=1,tblCategories_2014!Q43,tblCategories_2017!Q43)="","",IF(uxb_works!$B$46=1,tblCategories_2014!Q43,tblCategories_2017!Q43))</f>
        <v>0</v>
      </c>
      <c r="R43" s="1">
        <f>IF(IF(uxb_works!$B$46=1,tblCategories_2014!R43,tblCategories_2017!R43)="","",IF(uxb_works!$B$46=1,tblCategories_2014!R43,tblCategories_2017!R43))</f>
        <v>0</v>
      </c>
      <c r="S43" s="1">
        <f>IF(IF(uxb_works!$B$46=1,tblCategories_2014!S43,tblCategories_2017!S43)="","",IF(uxb_works!$B$46=1,tblCategories_2014!S43,tblCategories_2017!S43))</f>
        <v>0</v>
      </c>
      <c r="T43" s="1">
        <f>IF(IF(uxb_works!$B$46=1,tblCategories_2014!T43,tblCategories_2017!T43)="","",IF(uxb_works!$B$46=1,tblCategories_2014!T43,tblCategories_2017!T43))</f>
        <v>0</v>
      </c>
      <c r="U43" s="1">
        <f>IF(IF(uxb_works!$B$46=1,tblCategories_2014!U43,tblCategories_2017!U43)="","",IF(uxb_works!$B$46=1,tblCategories_2014!U43,tblCategories_2017!U43))</f>
        <v>0</v>
      </c>
      <c r="V43" s="1">
        <f>IF(IF(uxb_works!$B$46=1,tblCategories_2014!V43,tblCategories_2017!V43)="","",IF(uxb_works!$B$46=1,tblCategories_2014!V43,tblCategories_2017!V43))</f>
        <v>0</v>
      </c>
      <c r="W43" s="1">
        <f>IF(IF(uxb_works!$B$46=1,tblCategories_2014!W43,tblCategories_2017!W43)="","",IF(uxb_works!$B$46=1,tblCategories_2014!W43,tblCategories_2017!W43))</f>
        <v>1</v>
      </c>
      <c r="X43" s="1">
        <f>IF(IF(uxb_works!$B$46=1,tblCategories_2014!X43,tblCategories_2017!X43)="","",IF(uxb_works!$B$46=1,tblCategories_2014!X43,tblCategories_2017!X43))</f>
        <v>0</v>
      </c>
      <c r="Y43" s="1">
        <f>IF(IF(uxb_works!$B$46=1,tblCategories_2014!Y43,tblCategories_2017!Y43)="","",IF(uxb_works!$B$46=1,tblCategories_2014!Y43,tblCategories_2017!Y43))</f>
        <v>0</v>
      </c>
      <c r="Z43" s="1" t="str">
        <f>IF(IF(uxb_works!$B$46=1,tblCategories_2014!Z43,tblCategories_2017!Z43)="","",IF(uxb_works!$B$46=1,tblCategories_2014!Z43,tblCategories_2017!Z43))</f>
        <v/>
      </c>
      <c r="AA43" s="53" t="str">
        <f>IF(IF(uxb_works!$B$46=1,tblCategories_2014!AA43,tblCategories_2017!AA43)="","",IF(uxb_works!$B$46=1,tblCategories_2014!AA43,tblCategories_2017!AA43))</f>
        <v/>
      </c>
      <c r="AB43" s="20" t="str">
        <f>IF(IF(uxb_works!$B$46=1,tblCategories_2014!AB43,tblCategories_2017!AB43)="","",IF(uxb_works!$B$46=1,tblCategories_2014!AB43,tblCategories_2017!AB43))</f>
        <v/>
      </c>
      <c r="AC43" s="23">
        <f>IF(IF(uxb_works!$B$46=1,tblCategories_2014!AC43,tblCategories_2017!AC43)="","",IF(uxb_works!$B$46=1,tblCategories_2014!AC43,tblCategories_2017!AC43))</f>
        <v>0</v>
      </c>
      <c r="AD43" s="1" t="str">
        <f>IF(IF(uxb_works!$B$46=1,tblCategories_2014!AD43,tblCategories_2017!AD43)="","",IF(uxb_works!$B$46=1,tblCategories_2014!AD43,tblCategories_2017!AD43))</f>
        <v/>
      </c>
      <c r="AF43" s="1">
        <f>IF(IF(uxb_works!$B$46=1,tblCategories_2014!AF43,tblCategories_2017!AF43)="","",IF(uxb_works!$B$46=1,tblCategories_2014!AF43,tblCategories_2017!AF43))</f>
        <v>1</v>
      </c>
      <c r="AG43" s="1">
        <f>IF(IF(uxb_works!$B$46=1,tblCategories_2014!AG43,tblCategories_2017!AG43)="","",IF(uxb_works!$B$46=1,tblCategories_2014!AG43,tblCategories_2017!AG43))</f>
        <v>0</v>
      </c>
      <c r="AH43" s="1">
        <f>IF(IF(uxb_works!$B$46=1,tblCategories_2014!AH43,tblCategories_2017!AH43)="","",IF(uxb_works!$B$46=1,tblCategories_2014!AH43,tblCategories_2017!AH43))</f>
        <v>0</v>
      </c>
      <c r="AI43" s="1">
        <f>IF(IF(uxb_works!$B$46=1,tblCategories_2014!AI43,tblCategories_2017!AI43)="","",IF(uxb_works!$B$46=1,tblCategories_2014!AI43,tblCategories_2017!AI43))</f>
        <v>0</v>
      </c>
      <c r="AJ43" s="1">
        <f>IF(IF(uxb_works!$B$46=1,tblCategories_2014!AJ43,tblCategories_2017!AJ43)="","",IF(uxb_works!$B$46=1,tblCategories_2014!AJ43,tblCategories_2017!AJ43))</f>
        <v>0</v>
      </c>
      <c r="AK43" s="1">
        <f>IF(IF(uxb_works!$B$46=1,tblCategories_2014!AK43,tblCategories_2017!AK43)="","",IF(uxb_works!$B$46=1,tblCategories_2014!AK43,tblCategories_2017!AK43))</f>
        <v>0</v>
      </c>
      <c r="AL43" s="1">
        <f>IF(IF(uxb_works!$B$46=1,tblCategories_2014!AL43,tblCategories_2017!AL43)="","",IF(uxb_works!$B$46=1,tblCategories_2014!AL43,tblCategories_2017!AL43))</f>
        <v>0</v>
      </c>
      <c r="AM43" s="1">
        <f>IF(IF(uxb_works!$B$46=1,tblCategories_2014!AM43,tblCategories_2017!AM43)="","",IF(uxb_works!$B$46=1,tblCategories_2014!AM43,tblCategories_2017!AM43))</f>
        <v>0</v>
      </c>
      <c r="AN43" s="1">
        <f>IF(IF(uxb_works!$B$46=1,tblCategories_2014!AN43,tblCategories_2017!AN43)="","",IF(uxb_works!$B$46=1,tblCategories_2014!AN43,tblCategories_2017!AN43))</f>
        <v>0</v>
      </c>
      <c r="AO43" s="1">
        <f>IF(IF(uxb_works!$B$46=1,tblCategories_2014!AO43,tblCategories_2017!AO43)="","",IF(uxb_works!$B$46=1,tblCategories_2014!AO43,tblCategories_2017!AO43))</f>
        <v>0</v>
      </c>
      <c r="AP43" s="1">
        <f>IF(IF(uxb_works!$B$46=1,tblCategories_2014!AP43,tblCategories_2017!AP43)="","",IF(uxb_works!$B$46=1,tblCategories_2014!AP43,tblCategories_2017!AP43))</f>
        <v>0</v>
      </c>
      <c r="AQ43" s="1">
        <f>IF(IF(uxb_works!$B$46=1,tblCategories_2014!AQ43,tblCategories_2017!AQ43)="","",IF(uxb_works!$B$46=1,tblCategories_2014!AQ43,tblCategories_2017!AQ43))</f>
        <v>1</v>
      </c>
      <c r="AR43" s="1">
        <f>IF(IF(uxb_works!$B$46=1,tblCategories_2014!AR43,tblCategories_2017!AR43)="","",IF(uxb_works!$B$46=1,tblCategories_2014!AR43,tblCategories_2017!AR43))</f>
        <v>0</v>
      </c>
      <c r="AS43" s="1">
        <f>IF(IF(uxb_works!$B$46=1,tblCategories_2014!AS43,tblCategories_2017!AS43)="","",IF(uxb_works!$B$46=1,tblCategories_2014!AS43,tblCategories_2017!AS43))</f>
        <v>0</v>
      </c>
    </row>
    <row r="44" ht="12.75" spans="1:45">
      <c r="A44" s="1">
        <f>IF(IF(uxb_works!$B$46=1,tblCategories_2014!A44,tblCategories_2017!A44)="","",IF(uxb_works!$B$46=1,tblCategories_2014!A44,tblCategories_2017!A44))</f>
        <v>42</v>
      </c>
      <c r="B44" s="1" t="str">
        <f>IF(IF(uxb_works!$B$46=1,tblCategories_2014!B44,tblCategories_2017!B44)="","",IF(uxb_works!$B$46=1,tblCategories_2014!B44,tblCategories_2017!B44))</f>
        <v/>
      </c>
      <c r="C44" s="57" t="str">
        <f>IF(IF(uxb_works!$B$46=1,tblCategories_2014!C44,tblCategories_2017!C44)="","",IF(uxb_works!$B$46=1,tblCategories_2014!C44,tblCategories_2017!C44))</f>
        <v>4.1.1) Level of police engagement</v>
      </c>
      <c r="D44" s="1" t="str">
        <f>IF(IF(uxb_works!$B$46=1,tblCategories_2014!D44,tblCategories_2017!D44)="","",IF(uxb_works!$B$46=1,tblCategories_2014!D44,tblCategories_2017!D44))</f>
        <v>4.1.1) Level of police engagement</v>
      </c>
      <c r="E44" s="1" t="str">
        <f>IF(IF(uxb_works!$B$46=1,tblCategories_2014!E44,tblCategories_2017!E44)="","",IF(uxb_works!$B$46=1,tblCategories_2014!E44,tblCategories_2017!E44))</f>
        <v/>
      </c>
      <c r="F44" s="23">
        <f>IF(IF(uxb_works!$B$46=1,tblCategories_2014!F44,tblCategories_2017!F44)="","",IF(uxb_works!$B$46=1,tblCategories_2014!F44,tblCategories_2017!F44))</f>
        <v>1</v>
      </c>
      <c r="G44" s="32" t="str">
        <f>IF(IF(uxb_works!$B$46=1,tblCategories_2014!G44,tblCategories_2017!G44)="","",IF(uxb_works!$B$46=1,tblCategories_2014!G44,tblCategories_2017!G44))</f>
        <v/>
      </c>
      <c r="H44" s="1" t="str">
        <f>IF(IF(uxb_works!$B$46=1,tblCategories_2014!H44,tblCategories_2017!H44)="","",IF(uxb_works!$B$46=1,tblCategories_2014!H44,tblCategories_2017!H44))</f>
        <v/>
      </c>
      <c r="I44" s="23" t="str">
        <f>IF(IF(uxb_works!$B$46=1,tblCategories_2014!I44,tblCategories_2017!I44)="","",IF(uxb_works!$B$46=1,tblCategories_2014!I44,tblCategories_2017!I44))</f>
        <v/>
      </c>
      <c r="J44" s="1" t="str">
        <f>IF(IF(uxb_works!$B$46=1,tblCategories_2014!J44,tblCategories_2017!J44)="","",IF(uxb_works!$B$46=1,tblCategories_2014!J44,tblCategories_2017!J44))</f>
        <v/>
      </c>
      <c r="K44" s="1" t="str">
        <f>IF(IF(uxb_works!$B$46=1,tblCategories_2014!K45,tblCategories_2017!K44)="","",IF(uxb_works!$B$46=1,tblCategories_2014!K45,tblCategories_2017!K44))</f>
        <v/>
      </c>
      <c r="L44" s="1">
        <f>IF(IF(uxb_works!$B$46=1,tblCategories_2014!L44,tblCategories_2017!L44)="","",IF(uxb_works!$B$46=1,tblCategories_2014!L44,tblCategories_2017!L44))</f>
        <v>1</v>
      </c>
      <c r="M44" s="1">
        <f>IF(IF(uxb_works!$B$46=1,tblCategories_2014!M44,tblCategories_2017!M44)="","",IF(uxb_works!$B$46=1,tblCategories_2014!M44,tblCategories_2017!M44))</f>
        <v>1</v>
      </c>
      <c r="N44" s="1">
        <f>IF(IF(uxb_works!$B$46=1,tblCategories_2014!N44,tblCategories_2017!N44)="","",IF(uxb_works!$B$46=1,tblCategories_2014!N44,tblCategories_2017!N44))</f>
        <v>0</v>
      </c>
      <c r="O44" s="1">
        <f>IF(IF(uxb_works!$B$46=1,tblCategories_2014!O44,tblCategories_2017!O44)="","",IF(uxb_works!$B$46=1,tblCategories_2014!O44,tblCategories_2017!O44))</f>
        <v>0</v>
      </c>
      <c r="P44" s="1">
        <f>IF(IF(uxb_works!$B$46=1,tblCategories_2014!P44,tblCategories_2017!P44)="","",IF(uxb_works!$B$46=1,tblCategories_2014!P44,tblCategories_2017!P44))</f>
        <v>0</v>
      </c>
      <c r="Q44" s="1">
        <f>IF(IF(uxb_works!$B$46=1,tblCategories_2014!Q44,tblCategories_2017!Q44)="","",IF(uxb_works!$B$46=1,tblCategories_2014!Q44,tblCategories_2017!Q44))</f>
        <v>0</v>
      </c>
      <c r="R44" s="1">
        <f>IF(IF(uxb_works!$B$46=1,tblCategories_2014!R44,tblCategories_2017!R44)="","",IF(uxb_works!$B$46=1,tblCategories_2014!R44,tblCategories_2017!R44))</f>
        <v>0</v>
      </c>
      <c r="S44" s="1">
        <f>IF(IF(uxb_works!$B$46=1,tblCategories_2014!S44,tblCategories_2017!S44)="","",IF(uxb_works!$B$46=1,tblCategories_2014!S44,tblCategories_2017!S44))</f>
        <v>0</v>
      </c>
      <c r="T44" s="1">
        <f>IF(IF(uxb_works!$B$46=1,tblCategories_2014!T44,tblCategories_2017!T44)="","",IF(uxb_works!$B$46=1,tblCategories_2014!T44,tblCategories_2017!T44))</f>
        <v>0</v>
      </c>
      <c r="U44" s="1">
        <f>IF(IF(uxb_works!$B$46=1,tblCategories_2014!U44,tblCategories_2017!U44)="","",IF(uxb_works!$B$46=1,tblCategories_2014!U44,tblCategories_2017!U44))</f>
        <v>0</v>
      </c>
      <c r="V44" s="1">
        <f>IF(IF(uxb_works!$B$46=1,tblCategories_2014!V44,tblCategories_2017!V44)="","",IF(uxb_works!$B$46=1,tblCategories_2014!V44,tblCategories_2017!V44))</f>
        <v>0</v>
      </c>
      <c r="W44" s="1">
        <f>IF(IF(uxb_works!$B$46=1,tblCategories_2014!W44,tblCategories_2017!W44)="","",IF(uxb_works!$B$46=1,tblCategories_2014!W44,tblCategories_2017!W44))</f>
        <v>1</v>
      </c>
      <c r="X44" s="1">
        <f>IF(IF(uxb_works!$B$46=1,tblCategories_2014!X44,tblCategories_2017!X44)="","",IF(uxb_works!$B$46=1,tblCategories_2014!X44,tblCategories_2017!X44))</f>
        <v>1</v>
      </c>
      <c r="Y44" s="1">
        <f>IF(IF(uxb_works!$B$46=1,tblCategories_2014!Y44,tblCategories_2017!Y44)="","",IF(uxb_works!$B$46=1,tblCategories_2014!Y44,tblCategories_2017!Y44))</f>
        <v>0</v>
      </c>
      <c r="Z44" s="1" t="str">
        <f>IF(IF(uxb_works!$B$46=1,tblCategories_2014!Z44,tblCategories_2017!Z44)="","",IF(uxb_works!$B$46=1,tblCategories_2014!Z44,tblCategories_2017!Z44))</f>
        <v/>
      </c>
      <c r="AA44" s="53" t="str">
        <f>IF(IF(uxb_works!$B$46=1,tblCategories_2014!AA44,tblCategories_2017!AA44)="","",IF(uxb_works!$B$46=1,tblCategories_2014!AA44,tblCategories_2017!AA44))</f>
        <v/>
      </c>
      <c r="AB44" s="20" t="str">
        <f>IF(IF(uxb_works!$B$46=1,tblCategories_2014!AB44,tblCategories_2017!AB44)="","",IF(uxb_works!$B$46=1,tblCategories_2014!AB44,tblCategories_2017!AB44))</f>
        <v/>
      </c>
      <c r="AC44" s="23">
        <f>IF(IF(uxb_works!$B$46=1,tblCategories_2014!AC44,tblCategories_2017!AC44)="","",IF(uxb_works!$B$46=1,tblCategories_2014!AC44,tblCategories_2017!AC44))</f>
        <v>0</v>
      </c>
      <c r="AD44" s="1" t="str">
        <f>IF(IF(uxb_works!$B$46=1,tblCategories_2014!AD44,tblCategories_2017!AD44)="","",IF(uxb_works!$B$46=1,tblCategories_2014!AD44,tblCategories_2017!AD44))</f>
        <v/>
      </c>
      <c r="AF44" s="1">
        <f>IF(IF(uxb_works!$B$46=1,tblCategories_2014!AF44,tblCategories_2017!AF44)="","",IF(uxb_works!$B$46=1,tblCategories_2014!AF44,tblCategories_2017!AF44))</f>
        <v>1</v>
      </c>
      <c r="AG44" s="1">
        <f>IF(IF(uxb_works!$B$46=1,tblCategories_2014!AG44,tblCategories_2017!AG44)="","",IF(uxb_works!$B$46=1,tblCategories_2014!AG44,tblCategories_2017!AG44))</f>
        <v>0</v>
      </c>
      <c r="AH44" s="1">
        <f>IF(IF(uxb_works!$B$46=1,tblCategories_2014!AH44,tblCategories_2017!AH44)="","",IF(uxb_works!$B$46=1,tblCategories_2014!AH44,tblCategories_2017!AH44))</f>
        <v>0</v>
      </c>
      <c r="AI44" s="1">
        <f>IF(IF(uxb_works!$B$46=1,tblCategories_2014!AI44,tblCategories_2017!AI44)="","",IF(uxb_works!$B$46=1,tblCategories_2014!AI44,tblCategories_2017!AI44))</f>
        <v>0</v>
      </c>
      <c r="AJ44" s="1">
        <f>IF(IF(uxb_works!$B$46=1,tblCategories_2014!AJ44,tblCategories_2017!AJ44)="","",IF(uxb_works!$B$46=1,tblCategories_2014!AJ44,tblCategories_2017!AJ44))</f>
        <v>0</v>
      </c>
      <c r="AK44" s="1">
        <f>IF(IF(uxb_works!$B$46=1,tblCategories_2014!AK44,tblCategories_2017!AK44)="","",IF(uxb_works!$B$46=1,tblCategories_2014!AK44,tblCategories_2017!AK44))</f>
        <v>0</v>
      </c>
      <c r="AL44" s="1">
        <f>IF(IF(uxb_works!$B$46=1,tblCategories_2014!AL44,tblCategories_2017!AL44)="","",IF(uxb_works!$B$46=1,tblCategories_2014!AL44,tblCategories_2017!AL44))</f>
        <v>0</v>
      </c>
      <c r="AM44" s="1">
        <f>IF(IF(uxb_works!$B$46=1,tblCategories_2014!AM44,tblCategories_2017!AM44)="","",IF(uxb_works!$B$46=1,tblCategories_2014!AM44,tblCategories_2017!AM44))</f>
        <v>0</v>
      </c>
      <c r="AN44" s="1">
        <f>IF(IF(uxb_works!$B$46=1,tblCategories_2014!AN44,tblCategories_2017!AN44)="","",IF(uxb_works!$B$46=1,tblCategories_2014!AN44,tblCategories_2017!AN44))</f>
        <v>0</v>
      </c>
      <c r="AO44" s="1">
        <f>IF(IF(uxb_works!$B$46=1,tblCategories_2014!AO44,tblCategories_2017!AO44)="","",IF(uxb_works!$B$46=1,tblCategories_2014!AO44,tblCategories_2017!AO44))</f>
        <v>0</v>
      </c>
      <c r="AP44" s="1">
        <f>IF(IF(uxb_works!$B$46=1,tblCategories_2014!AP44,tblCategories_2017!AP44)="","",IF(uxb_works!$B$46=1,tblCategories_2014!AP44,tblCategories_2017!AP44))</f>
        <v>0</v>
      </c>
      <c r="AQ44" s="1">
        <f>IF(IF(uxb_works!$B$46=1,tblCategories_2014!AQ44,tblCategories_2017!AQ44)="","",IF(uxb_works!$B$46=1,tblCategories_2014!AQ44,tblCategories_2017!AQ44))</f>
        <v>0</v>
      </c>
      <c r="AR44" s="1">
        <f>IF(IF(uxb_works!$B$46=1,tblCategories_2014!AR44,tblCategories_2017!AR44)="","",IF(uxb_works!$B$46=1,tblCategories_2014!AR44,tblCategories_2017!AR44))</f>
        <v>1</v>
      </c>
      <c r="AS44" s="1">
        <f>IF(IF(uxb_works!$B$46=1,tblCategories_2014!AS44,tblCategories_2017!AS44)="","",IF(uxb_works!$B$46=1,tblCategories_2014!AS44,tblCategories_2017!AS44))</f>
        <v>0</v>
      </c>
    </row>
    <row r="45" ht="12.75" spans="1:45">
      <c r="A45" s="1">
        <f>IF(IF(uxb_works!$B$46=1,tblCategories_2014!A45,tblCategories_2017!A45)="","",IF(uxb_works!$B$46=1,tblCategories_2014!A45,tblCategories_2017!A45))</f>
        <v>43</v>
      </c>
      <c r="B45" s="1" t="str">
        <f>IF(IF(uxb_works!$B$46=1,tblCategories_2014!B45,tblCategories_2017!B45)="","",IF(uxb_works!$B$46=1,tblCategories_2014!B45,tblCategories_2017!B45))</f>
        <v/>
      </c>
      <c r="C45" s="57" t="str">
        <f>IF(IF(uxb_works!$B$46=1,tblCategories_2014!C45,tblCategories_2017!C45)="","",IF(uxb_works!$B$46=1,tblCategories_2014!C45,tblCategories_2017!C45))</f>
        <v>4.1.2) Community-based patrolling</v>
      </c>
      <c r="D45" s="1" t="str">
        <f>IF(IF(uxb_works!$B$46=1,tblCategories_2014!D45,tblCategories_2017!D45)="","",IF(uxb_works!$B$46=1,tblCategories_2014!D45,tblCategories_2017!D45))</f>
        <v>4.1.2) Community-based patrolling</v>
      </c>
      <c r="E45" s="1" t="str">
        <f>IF(IF(uxb_works!$B$46=1,tblCategories_2014!E45,tblCategories_2017!E45)="","",IF(uxb_works!$B$46=1,tblCategories_2014!E45,tblCategories_2017!E45))</f>
        <v/>
      </c>
      <c r="F45" s="23">
        <f>IF(IF(uxb_works!$B$46=1,tblCategories_2014!F45,tblCategories_2017!F45)="","",IF(uxb_works!$B$46=1,tblCategories_2014!F45,tblCategories_2017!F45))</f>
        <v>1</v>
      </c>
      <c r="G45" s="32" t="str">
        <f>IF(IF(uxb_works!$B$46=1,tblCategories_2014!G45,tblCategories_2017!G45)="","",IF(uxb_works!$B$46=1,tblCategories_2014!G45,tblCategories_2017!G45))</f>
        <v/>
      </c>
      <c r="H45" s="1" t="str">
        <f>IF(IF(uxb_works!$B$46=1,tblCategories_2014!H45,tblCategories_2017!H45)="","",IF(uxb_works!$B$46=1,tblCategories_2014!H45,tblCategories_2017!H45))</f>
        <v/>
      </c>
      <c r="I45" s="23" t="str">
        <f>IF(IF(uxb_works!$B$46=1,tblCategories_2014!I45,tblCategories_2017!I45)="","",IF(uxb_works!$B$46=1,tblCategories_2014!I45,tblCategories_2017!I45))</f>
        <v/>
      </c>
      <c r="J45" s="1" t="str">
        <f>IF(IF(uxb_works!$B$46=1,tblCategories_2014!J45,tblCategories_2017!J45)="","",IF(uxb_works!$B$46=1,tblCategories_2014!J45,tblCategories_2017!J45))</f>
        <v/>
      </c>
      <c r="K45" s="1" t="str">
        <f>IF(IF(uxb_works!$B$46=1,tblCategories_2014!K46,tblCategories_2017!K45)="","",IF(uxb_works!$B$46=1,tblCategories_2014!K46,tblCategories_2017!K45))</f>
        <v/>
      </c>
      <c r="L45" s="1">
        <f>IF(IF(uxb_works!$B$46=1,tblCategories_2014!L45,tblCategories_2017!L45)="","",IF(uxb_works!$B$46=1,tblCategories_2014!L45,tblCategories_2017!L45))</f>
        <v>1</v>
      </c>
      <c r="M45" s="1">
        <f>IF(IF(uxb_works!$B$46=1,tblCategories_2014!M45,tblCategories_2017!M45)="","",IF(uxb_works!$B$46=1,tblCategories_2014!M45,tblCategories_2017!M45))</f>
        <v>1</v>
      </c>
      <c r="N45" s="1">
        <f>IF(IF(uxb_works!$B$46=1,tblCategories_2014!N45,tblCategories_2017!N45)="","",IF(uxb_works!$B$46=1,tblCategories_2014!N45,tblCategories_2017!N45))</f>
        <v>0</v>
      </c>
      <c r="O45" s="1">
        <f>IF(IF(uxb_works!$B$46=1,tblCategories_2014!O45,tblCategories_2017!O45)="","",IF(uxb_works!$B$46=1,tblCategories_2014!O45,tblCategories_2017!O45))</f>
        <v>0</v>
      </c>
      <c r="P45" s="1">
        <f>IF(IF(uxb_works!$B$46=1,tblCategories_2014!P45,tblCategories_2017!P45)="","",IF(uxb_works!$B$46=1,tblCategories_2014!P45,tblCategories_2017!P45))</f>
        <v>0</v>
      </c>
      <c r="Q45" s="1">
        <f>IF(IF(uxb_works!$B$46=1,tblCategories_2014!Q45,tblCategories_2017!Q45)="","",IF(uxb_works!$B$46=1,tblCategories_2014!Q45,tblCategories_2017!Q45))</f>
        <v>0</v>
      </c>
      <c r="R45" s="1">
        <f>IF(IF(uxb_works!$B$46=1,tblCategories_2014!R45,tblCategories_2017!R45)="","",IF(uxb_works!$B$46=1,tblCategories_2014!R45,tblCategories_2017!R45))</f>
        <v>0</v>
      </c>
      <c r="S45" s="1">
        <f>IF(IF(uxb_works!$B$46=1,tblCategories_2014!S45,tblCategories_2017!S45)="","",IF(uxb_works!$B$46=1,tblCategories_2014!S45,tblCategories_2017!S45))</f>
        <v>0</v>
      </c>
      <c r="T45" s="1">
        <f>IF(IF(uxb_works!$B$46=1,tblCategories_2014!T45,tblCategories_2017!T45)="","",IF(uxb_works!$B$46=1,tblCategories_2014!T45,tblCategories_2017!T45))</f>
        <v>0</v>
      </c>
      <c r="U45" s="1">
        <f>IF(IF(uxb_works!$B$46=1,tblCategories_2014!U45,tblCategories_2017!U45)="","",IF(uxb_works!$B$46=1,tblCategories_2014!U45,tblCategories_2017!U45))</f>
        <v>0</v>
      </c>
      <c r="V45" s="1">
        <f>IF(IF(uxb_works!$B$46=1,tblCategories_2014!V45,tblCategories_2017!V45)="","",IF(uxb_works!$B$46=1,tblCategories_2014!V45,tblCategories_2017!V45))</f>
        <v>0</v>
      </c>
      <c r="W45" s="1">
        <f>IF(IF(uxb_works!$B$46=1,tblCategories_2014!W45,tblCategories_2017!W45)="","",IF(uxb_works!$B$46=1,tblCategories_2014!W45,tblCategories_2017!W45))</f>
        <v>1</v>
      </c>
      <c r="X45" s="1">
        <f>IF(IF(uxb_works!$B$46=1,tblCategories_2014!X45,tblCategories_2017!X45)="","",IF(uxb_works!$B$46=1,tblCategories_2014!X45,tblCategories_2017!X45))</f>
        <v>1</v>
      </c>
      <c r="Y45" s="1">
        <f>IF(IF(uxb_works!$B$46=1,tblCategories_2014!Y45,tblCategories_2017!Y45)="","",IF(uxb_works!$B$46=1,tblCategories_2014!Y45,tblCategories_2017!Y45))</f>
        <v>0</v>
      </c>
      <c r="Z45" s="1" t="str">
        <f>IF(IF(uxb_works!$B$46=1,tblCategories_2014!Z45,tblCategories_2017!Z45)="","",IF(uxb_works!$B$46=1,tblCategories_2014!Z45,tblCategories_2017!Z45))</f>
        <v/>
      </c>
      <c r="AA45" s="53" t="str">
        <f>IF(IF(uxb_works!$B$46=1,tblCategories_2014!AA45,tblCategories_2017!AA45)="","",IF(uxb_works!$B$46=1,tblCategories_2014!AA45,tblCategories_2017!AA45))</f>
        <v/>
      </c>
      <c r="AB45" s="20" t="str">
        <f>IF(IF(uxb_works!$B$46=1,tblCategories_2014!AB45,tblCategories_2017!AB45)="","",IF(uxb_works!$B$46=1,tblCategories_2014!AB45,tblCategories_2017!AB45))</f>
        <v/>
      </c>
      <c r="AC45" s="23">
        <f>IF(IF(uxb_works!$B$46=1,tblCategories_2014!AC45,tblCategories_2017!AC45)="","",IF(uxb_works!$B$46=1,tblCategories_2014!AC45,tblCategories_2017!AC45))</f>
        <v>0</v>
      </c>
      <c r="AD45" s="1" t="str">
        <f>IF(IF(uxb_works!$B$46=1,tblCategories_2014!AD45,tblCategories_2017!AD45)="","",IF(uxb_works!$B$46=1,tblCategories_2014!AD45,tblCategories_2017!AD45))</f>
        <v/>
      </c>
      <c r="AF45" s="1">
        <f>IF(IF(uxb_works!$B$46=1,tblCategories_2014!AF45,tblCategories_2017!AF45)="","",IF(uxb_works!$B$46=1,tblCategories_2014!AF45,tblCategories_2017!AF45))</f>
        <v>1</v>
      </c>
      <c r="AG45" s="1">
        <f>IF(IF(uxb_works!$B$46=1,tblCategories_2014!AG45,tblCategories_2017!AG45)="","",IF(uxb_works!$B$46=1,tblCategories_2014!AG45,tblCategories_2017!AG45))</f>
        <v>0</v>
      </c>
      <c r="AH45" s="1">
        <f>IF(IF(uxb_works!$B$46=1,tblCategories_2014!AH45,tblCategories_2017!AH45)="","",IF(uxb_works!$B$46=1,tblCategories_2014!AH45,tblCategories_2017!AH45))</f>
        <v>0</v>
      </c>
      <c r="AI45" s="1">
        <f>IF(IF(uxb_works!$B$46=1,tblCategories_2014!AI45,tblCategories_2017!AI45)="","",IF(uxb_works!$B$46=1,tblCategories_2014!AI45,tblCategories_2017!AI45))</f>
        <v>0</v>
      </c>
      <c r="AJ45" s="1">
        <f>IF(IF(uxb_works!$B$46=1,tblCategories_2014!AJ45,tblCategories_2017!AJ45)="","",IF(uxb_works!$B$46=1,tblCategories_2014!AJ45,tblCategories_2017!AJ45))</f>
        <v>0</v>
      </c>
      <c r="AK45" s="1">
        <f>IF(IF(uxb_works!$B$46=1,tblCategories_2014!AK45,tblCategories_2017!AK45)="","",IF(uxb_works!$B$46=1,tblCategories_2014!AK45,tblCategories_2017!AK45))</f>
        <v>0</v>
      </c>
      <c r="AL45" s="1">
        <f>IF(IF(uxb_works!$B$46=1,tblCategories_2014!AL45,tblCategories_2017!AL45)="","",IF(uxb_works!$B$46=1,tblCategories_2014!AL45,tblCategories_2017!AL45))</f>
        <v>0</v>
      </c>
      <c r="AM45" s="1">
        <f>IF(IF(uxb_works!$B$46=1,tblCategories_2014!AM45,tblCategories_2017!AM45)="","",IF(uxb_works!$B$46=1,tblCategories_2014!AM45,tblCategories_2017!AM45))</f>
        <v>0</v>
      </c>
      <c r="AN45" s="1">
        <f>IF(IF(uxb_works!$B$46=1,tblCategories_2014!AN45,tblCategories_2017!AN45)="","",IF(uxb_works!$B$46=1,tblCategories_2014!AN45,tblCategories_2017!AN45))</f>
        <v>0</v>
      </c>
      <c r="AO45" s="1">
        <f>IF(IF(uxb_works!$B$46=1,tblCategories_2014!AO45,tblCategories_2017!AO45)="","",IF(uxb_works!$B$46=1,tblCategories_2014!AO45,tblCategories_2017!AO45))</f>
        <v>0</v>
      </c>
      <c r="AP45" s="1">
        <f>IF(IF(uxb_works!$B$46=1,tblCategories_2014!AP45,tblCategories_2017!AP45)="","",IF(uxb_works!$B$46=1,tblCategories_2014!AP45,tblCategories_2017!AP45))</f>
        <v>0</v>
      </c>
      <c r="AQ45" s="1">
        <f>IF(IF(uxb_works!$B$46=1,tblCategories_2014!AQ45,tblCategories_2017!AQ45)="","",IF(uxb_works!$B$46=1,tblCategories_2014!AQ45,tblCategories_2017!AQ45))</f>
        <v>0</v>
      </c>
      <c r="AR45" s="1">
        <f>IF(IF(uxb_works!$B$46=1,tblCategories_2014!AR45,tblCategories_2017!AR45)="","",IF(uxb_works!$B$46=1,tblCategories_2014!AR45,tblCategories_2017!AR45))</f>
        <v>1</v>
      </c>
      <c r="AS45" s="1">
        <f>IF(IF(uxb_works!$B$46=1,tblCategories_2014!AS45,tblCategories_2017!AS45)="","",IF(uxb_works!$B$46=1,tblCategories_2014!AS45,tblCategories_2017!AS45))</f>
        <v>0</v>
      </c>
    </row>
    <row r="46" ht="12.75" spans="1:45">
      <c r="A46" s="1">
        <f>IF(IF(uxb_works!$B$46=1,tblCategories_2014!A46,tblCategories_2017!A46)="","",IF(uxb_works!$B$46=1,tblCategories_2014!A46,tblCategories_2017!A46))</f>
        <v>44</v>
      </c>
      <c r="B46" s="1" t="str">
        <f>IF(IF(uxb_works!$B$46=1,tblCategories_2014!B46,tblCategories_2017!B46)="","",IF(uxb_works!$B$46=1,tblCategories_2014!B46,tblCategories_2017!B46))</f>
        <v/>
      </c>
      <c r="C46" s="57" t="str">
        <f>IF(IF(uxb_works!$B$46=1,tblCategories_2014!C46,tblCategories_2017!C46)="","",IF(uxb_works!$B$46=1,tblCategories_2014!C46,tblCategories_2017!C46))</f>
        <v>4.1.3) Available street-level crime data</v>
      </c>
      <c r="D46" s="1" t="str">
        <f>IF(IF(uxb_works!$B$46=1,tblCategories_2014!D46,tblCategories_2017!D46)="","",IF(uxb_works!$B$46=1,tblCategories_2014!D46,tblCategories_2017!D46))</f>
        <v>4.1.3) Available street-level crime data</v>
      </c>
      <c r="E46" s="1" t="str">
        <f>IF(IF(uxb_works!$B$46=1,tblCategories_2014!E46,tblCategories_2017!E46)="","",IF(uxb_works!$B$46=1,tblCategories_2014!E46,tblCategories_2017!E46))</f>
        <v/>
      </c>
      <c r="F46" s="23">
        <f>IF(IF(uxb_works!$B$46=1,tblCategories_2014!F46,tblCategories_2017!F46)="","",IF(uxb_works!$B$46=1,tblCategories_2014!F46,tblCategories_2017!F46))</f>
        <v>1</v>
      </c>
      <c r="G46" s="32" t="str">
        <f>IF(IF(uxb_works!$B$46=1,tblCategories_2014!G46,tblCategories_2017!G46)="","",IF(uxb_works!$B$46=1,tblCategories_2014!G46,tblCategories_2017!G46))</f>
        <v/>
      </c>
      <c r="H46" s="1" t="str">
        <f>IF(IF(uxb_works!$B$46=1,tblCategories_2014!H46,tblCategories_2017!H46)="","",IF(uxb_works!$B$46=1,tblCategories_2014!H46,tblCategories_2017!H46))</f>
        <v/>
      </c>
      <c r="I46" s="23" t="str">
        <f>IF(IF(uxb_works!$B$46=1,tblCategories_2014!I46,tblCategories_2017!I46)="","",IF(uxb_works!$B$46=1,tblCategories_2014!I46,tblCategories_2017!I46))</f>
        <v/>
      </c>
      <c r="J46" s="1" t="str">
        <f>IF(IF(uxb_works!$B$46=1,tblCategories_2014!J46,tblCategories_2017!J46)="","",IF(uxb_works!$B$46=1,tblCategories_2014!J46,tblCategories_2017!J46))</f>
        <v/>
      </c>
      <c r="K46" s="1" t="str">
        <f>IF(IF(uxb_works!$B$46=1,tblCategories_2014!K47,tblCategories_2017!K46)="","",IF(uxb_works!$B$46=1,tblCategories_2014!K47,tblCategories_2017!K46))</f>
        <v/>
      </c>
      <c r="L46" s="1">
        <f>IF(IF(uxb_works!$B$46=1,tblCategories_2014!L46,tblCategories_2017!L46)="","",IF(uxb_works!$B$46=1,tblCategories_2014!L46,tblCategories_2017!L46))</f>
        <v>1</v>
      </c>
      <c r="M46" s="1">
        <f>IF(IF(uxb_works!$B$46=1,tblCategories_2014!M46,tblCategories_2017!M46)="","",IF(uxb_works!$B$46=1,tblCategories_2014!M46,tblCategories_2017!M46))</f>
        <v>1</v>
      </c>
      <c r="N46" s="1">
        <f>IF(IF(uxb_works!$B$46=1,tblCategories_2014!N46,tblCategories_2017!N46)="","",IF(uxb_works!$B$46=1,tblCategories_2014!N46,tblCategories_2017!N46))</f>
        <v>0</v>
      </c>
      <c r="O46" s="1">
        <f>IF(IF(uxb_works!$B$46=1,tblCategories_2014!O46,tblCategories_2017!O46)="","",IF(uxb_works!$B$46=1,tblCategories_2014!O46,tblCategories_2017!O46))</f>
        <v>0</v>
      </c>
      <c r="P46" s="1">
        <f>IF(IF(uxb_works!$B$46=1,tblCategories_2014!P46,tblCategories_2017!P46)="","",IF(uxb_works!$B$46=1,tblCategories_2014!P46,tblCategories_2017!P46))</f>
        <v>0</v>
      </c>
      <c r="Q46" s="1">
        <f>IF(IF(uxb_works!$B$46=1,tblCategories_2014!Q46,tblCategories_2017!Q46)="","",IF(uxb_works!$B$46=1,tblCategories_2014!Q46,tblCategories_2017!Q46))</f>
        <v>0</v>
      </c>
      <c r="R46" s="1">
        <f>IF(IF(uxb_works!$B$46=1,tblCategories_2014!R46,tblCategories_2017!R46)="","",IF(uxb_works!$B$46=1,tblCategories_2014!R46,tblCategories_2017!R46))</f>
        <v>0</v>
      </c>
      <c r="S46" s="1">
        <f>IF(IF(uxb_works!$B$46=1,tblCategories_2014!S46,tblCategories_2017!S46)="","",IF(uxb_works!$B$46=1,tblCategories_2014!S46,tblCategories_2017!S46))</f>
        <v>0</v>
      </c>
      <c r="T46" s="1">
        <f>IF(IF(uxb_works!$B$46=1,tblCategories_2014!T46,tblCategories_2017!T46)="","",IF(uxb_works!$B$46=1,tblCategories_2014!T46,tblCategories_2017!T46))</f>
        <v>0</v>
      </c>
      <c r="U46" s="1">
        <f>IF(IF(uxb_works!$B$46=1,tblCategories_2014!U46,tblCategories_2017!U46)="","",IF(uxb_works!$B$46=1,tblCategories_2014!U46,tblCategories_2017!U46))</f>
        <v>0</v>
      </c>
      <c r="V46" s="1">
        <f>IF(IF(uxb_works!$B$46=1,tblCategories_2014!V46,tblCategories_2017!V46)="","",IF(uxb_works!$B$46=1,tblCategories_2014!V46,tblCategories_2017!V46))</f>
        <v>0</v>
      </c>
      <c r="W46" s="1">
        <f>IF(IF(uxb_works!$B$46=1,tblCategories_2014!W46,tblCategories_2017!W46)="","",IF(uxb_works!$B$46=1,tblCategories_2014!W46,tblCategories_2017!W46))</f>
        <v>1</v>
      </c>
      <c r="X46" s="1">
        <f>IF(IF(uxb_works!$B$46=1,tblCategories_2014!X46,tblCategories_2017!X46)="","",IF(uxb_works!$B$46=1,tblCategories_2014!X46,tblCategories_2017!X46))</f>
        <v>1</v>
      </c>
      <c r="Y46" s="1">
        <f>IF(IF(uxb_works!$B$46=1,tblCategories_2014!Y46,tblCategories_2017!Y46)="","",IF(uxb_works!$B$46=1,tblCategories_2014!Y46,tblCategories_2017!Y46))</f>
        <v>0</v>
      </c>
      <c r="Z46" s="1" t="str">
        <f>IF(IF(uxb_works!$B$46=1,tblCategories_2014!Z46,tblCategories_2017!Z46)="","",IF(uxb_works!$B$46=1,tblCategories_2014!Z46,tblCategories_2017!Z46))</f>
        <v/>
      </c>
      <c r="AA46" s="53" t="str">
        <f>IF(IF(uxb_works!$B$46=1,tblCategories_2014!AA46,tblCategories_2017!AA46)="","",IF(uxb_works!$B$46=1,tblCategories_2014!AA46,tblCategories_2017!AA46))</f>
        <v/>
      </c>
      <c r="AB46" s="20" t="str">
        <f>IF(IF(uxb_works!$B$46=1,tblCategories_2014!AB46,tblCategories_2017!AB46)="","",IF(uxb_works!$B$46=1,tblCategories_2014!AB46,tblCategories_2017!AB46))</f>
        <v/>
      </c>
      <c r="AC46" s="23">
        <f>IF(IF(uxb_works!$B$46=1,tblCategories_2014!AC46,tblCategories_2017!AC46)="","",IF(uxb_works!$B$46=1,tblCategories_2014!AC46,tblCategories_2017!AC46))</f>
        <v>0</v>
      </c>
      <c r="AD46" s="1" t="str">
        <f>IF(IF(uxb_works!$B$46=1,tblCategories_2014!AD46,tblCategories_2017!AD46)="","",IF(uxb_works!$B$46=1,tblCategories_2014!AD46,tblCategories_2017!AD46))</f>
        <v/>
      </c>
      <c r="AF46" s="1">
        <f>IF(IF(uxb_works!$B$46=1,tblCategories_2014!AF46,tblCategories_2017!AF46)="","",IF(uxb_works!$B$46=1,tblCategories_2014!AF46,tblCategories_2017!AF46))</f>
        <v>1</v>
      </c>
      <c r="AG46" s="1">
        <f>IF(IF(uxb_works!$B$46=1,tblCategories_2014!AG46,tblCategories_2017!AG46)="","",IF(uxb_works!$B$46=1,tblCategories_2014!AG46,tblCategories_2017!AG46))</f>
        <v>0</v>
      </c>
      <c r="AH46" s="1">
        <f>IF(IF(uxb_works!$B$46=1,tblCategories_2014!AH46,tblCategories_2017!AH46)="","",IF(uxb_works!$B$46=1,tblCategories_2014!AH46,tblCategories_2017!AH46))</f>
        <v>0</v>
      </c>
      <c r="AI46" s="1">
        <f>IF(IF(uxb_works!$B$46=1,tblCategories_2014!AI46,tblCategories_2017!AI46)="","",IF(uxb_works!$B$46=1,tblCategories_2014!AI46,tblCategories_2017!AI46))</f>
        <v>0</v>
      </c>
      <c r="AJ46" s="1">
        <f>IF(IF(uxb_works!$B$46=1,tblCategories_2014!AJ46,tblCategories_2017!AJ46)="","",IF(uxb_works!$B$46=1,tblCategories_2014!AJ46,tblCategories_2017!AJ46))</f>
        <v>0</v>
      </c>
      <c r="AK46" s="1">
        <f>IF(IF(uxb_works!$B$46=1,tblCategories_2014!AK46,tblCategories_2017!AK46)="","",IF(uxb_works!$B$46=1,tblCategories_2014!AK46,tblCategories_2017!AK46))</f>
        <v>0</v>
      </c>
      <c r="AL46" s="1">
        <f>IF(IF(uxb_works!$B$46=1,tblCategories_2014!AL46,tblCategories_2017!AL46)="","",IF(uxb_works!$B$46=1,tblCategories_2014!AL46,tblCategories_2017!AL46))</f>
        <v>0</v>
      </c>
      <c r="AM46" s="1">
        <f>IF(IF(uxb_works!$B$46=1,tblCategories_2014!AM46,tblCategories_2017!AM46)="","",IF(uxb_works!$B$46=1,tblCategories_2014!AM46,tblCategories_2017!AM46))</f>
        <v>0</v>
      </c>
      <c r="AN46" s="1">
        <f>IF(IF(uxb_works!$B$46=1,tblCategories_2014!AN46,tblCategories_2017!AN46)="","",IF(uxb_works!$B$46=1,tblCategories_2014!AN46,tblCategories_2017!AN46))</f>
        <v>0</v>
      </c>
      <c r="AO46" s="1">
        <f>IF(IF(uxb_works!$B$46=1,tblCategories_2014!AO46,tblCategories_2017!AO46)="","",IF(uxb_works!$B$46=1,tblCategories_2014!AO46,tblCategories_2017!AO46))</f>
        <v>0</v>
      </c>
      <c r="AP46" s="1">
        <f>IF(IF(uxb_works!$B$46=1,tblCategories_2014!AP46,tblCategories_2017!AP46)="","",IF(uxb_works!$B$46=1,tblCategories_2014!AP46,tblCategories_2017!AP46))</f>
        <v>0</v>
      </c>
      <c r="AQ46" s="1">
        <f>IF(IF(uxb_works!$B$46=1,tblCategories_2014!AQ46,tblCategories_2017!AQ46)="","",IF(uxb_works!$B$46=1,tblCategories_2014!AQ46,tblCategories_2017!AQ46))</f>
        <v>0</v>
      </c>
      <c r="AR46" s="1">
        <f>IF(IF(uxb_works!$B$46=1,tblCategories_2014!AR46,tblCategories_2017!AR46)="","",IF(uxb_works!$B$46=1,tblCategories_2014!AR46,tblCategories_2017!AR46))</f>
        <v>1</v>
      </c>
      <c r="AS46" s="1">
        <f>IF(IF(uxb_works!$B$46=1,tblCategories_2014!AS46,tblCategories_2017!AS46)="","",IF(uxb_works!$B$46=1,tblCategories_2014!AS46,tblCategories_2017!AS46))</f>
        <v>0</v>
      </c>
    </row>
    <row r="47" ht="12.75" spans="1:45">
      <c r="A47" s="1">
        <f>IF(IF(uxb_works!$B$46=1,tblCategories_2014!A47,tblCategories_2017!A47)="","",IF(uxb_works!$B$46=1,tblCategories_2014!A47,tblCategories_2017!A47))</f>
        <v>45</v>
      </c>
      <c r="B47" s="1" t="str">
        <f>IF(IF(uxb_works!$B$46=1,tblCategories_2014!B47,tblCategories_2017!B47)="","",IF(uxb_works!$B$46=1,tblCategories_2014!B47,tblCategories_2017!B47))</f>
        <v/>
      </c>
      <c r="C47" s="57" t="str">
        <f>IF(IF(uxb_works!$B$46=1,tblCategories_2014!C47,tblCategories_2017!C47)="","",IF(uxb_works!$B$46=1,tblCategories_2014!C47,tblCategories_2017!C47))</f>
        <v>4.1.4) Use of data-driven techniques for crime</v>
      </c>
      <c r="D47" s="1" t="str">
        <f>IF(IF(uxb_works!$B$46=1,tblCategories_2014!D47,tblCategories_2017!D47)="","",IF(uxb_works!$B$46=1,tblCategories_2014!D47,tblCategories_2017!D47))</f>
        <v>4.1.4) Use of data-driven techniques for crime</v>
      </c>
      <c r="E47" s="1" t="str">
        <f>IF(IF(uxb_works!$B$46=1,tblCategories_2014!E47,tblCategories_2017!E47)="","",IF(uxb_works!$B$46=1,tblCategories_2014!E47,tblCategories_2017!E47))</f>
        <v/>
      </c>
      <c r="F47" s="23">
        <f>IF(IF(uxb_works!$B$46=1,tblCategories_2014!F47,tblCategories_2017!F47)="","",IF(uxb_works!$B$46=1,tblCategories_2014!F47,tblCategories_2017!F47))</f>
        <v>1</v>
      </c>
      <c r="G47" s="32" t="str">
        <f>IF(IF(uxb_works!$B$46=1,tblCategories_2014!G47,tblCategories_2017!G47)="","",IF(uxb_works!$B$46=1,tblCategories_2014!G47,tblCategories_2017!G47))</f>
        <v/>
      </c>
      <c r="H47" s="1" t="str">
        <f>IF(IF(uxb_works!$B$46=1,tblCategories_2014!H47,tblCategories_2017!H47)="","",IF(uxb_works!$B$46=1,tblCategories_2014!H47,tblCategories_2017!H47))</f>
        <v/>
      </c>
      <c r="I47" s="23" t="str">
        <f>IF(IF(uxb_works!$B$46=1,tblCategories_2014!I47,tblCategories_2017!I47)="","",IF(uxb_works!$B$46=1,tblCategories_2014!I47,tblCategories_2017!I47))</f>
        <v/>
      </c>
      <c r="J47" s="1" t="str">
        <f>IF(IF(uxb_works!$B$46=1,tblCategories_2014!J47,tblCategories_2017!J47)="","",IF(uxb_works!$B$46=1,tblCategories_2014!J47,tblCategories_2017!J47))</f>
        <v/>
      </c>
      <c r="K47" s="1" t="str">
        <f>IF(IF(uxb_works!$B$46=1,tblCategories_2014!K48,tblCategories_2017!K47)="","",IF(uxb_works!$B$46=1,tblCategories_2014!K48,tblCategories_2017!K47))</f>
        <v/>
      </c>
      <c r="L47" s="1">
        <f>IF(IF(uxb_works!$B$46=1,tblCategories_2014!L47,tblCategories_2017!L47)="","",IF(uxb_works!$B$46=1,tblCategories_2014!L47,tblCategories_2017!L47))</f>
        <v>1</v>
      </c>
      <c r="M47" s="1">
        <f>IF(IF(uxb_works!$B$46=1,tblCategories_2014!M47,tblCategories_2017!M47)="","",IF(uxb_works!$B$46=1,tblCategories_2014!M47,tblCategories_2017!M47))</f>
        <v>1</v>
      </c>
      <c r="N47" s="1">
        <f>IF(IF(uxb_works!$B$46=1,tblCategories_2014!N47,tblCategories_2017!N47)="","",IF(uxb_works!$B$46=1,tblCategories_2014!N47,tblCategories_2017!N47))</f>
        <v>0</v>
      </c>
      <c r="O47" s="1">
        <f>IF(IF(uxb_works!$B$46=1,tblCategories_2014!O47,tblCategories_2017!O47)="","",IF(uxb_works!$B$46=1,tblCategories_2014!O47,tblCategories_2017!O47))</f>
        <v>0</v>
      </c>
      <c r="P47" s="1">
        <f>IF(IF(uxb_works!$B$46=1,tblCategories_2014!P47,tblCategories_2017!P47)="","",IF(uxb_works!$B$46=1,tblCategories_2014!P47,tblCategories_2017!P47))</f>
        <v>0</v>
      </c>
      <c r="Q47" s="1">
        <f>IF(IF(uxb_works!$B$46=1,tblCategories_2014!Q47,tblCategories_2017!Q47)="","",IF(uxb_works!$B$46=1,tblCategories_2014!Q47,tblCategories_2017!Q47))</f>
        <v>0</v>
      </c>
      <c r="R47" s="1">
        <f>IF(IF(uxb_works!$B$46=1,tblCategories_2014!R47,tblCategories_2017!R47)="","",IF(uxb_works!$B$46=1,tblCategories_2014!R47,tblCategories_2017!R47))</f>
        <v>0</v>
      </c>
      <c r="S47" s="1">
        <f>IF(IF(uxb_works!$B$46=1,tblCategories_2014!S47,tblCategories_2017!S47)="","",IF(uxb_works!$B$46=1,tblCategories_2014!S47,tblCategories_2017!S47))</f>
        <v>0</v>
      </c>
      <c r="T47" s="1">
        <f>IF(IF(uxb_works!$B$46=1,tblCategories_2014!T47,tblCategories_2017!T47)="","",IF(uxb_works!$B$46=1,tblCategories_2014!T47,tblCategories_2017!T47))</f>
        <v>0</v>
      </c>
      <c r="U47" s="1">
        <f>IF(IF(uxb_works!$B$46=1,tblCategories_2014!U47,tblCategories_2017!U47)="","",IF(uxb_works!$B$46=1,tblCategories_2014!U47,tblCategories_2017!U47))</f>
        <v>0</v>
      </c>
      <c r="V47" s="1">
        <f>IF(IF(uxb_works!$B$46=1,tblCategories_2014!V47,tblCategories_2017!V47)="","",IF(uxb_works!$B$46=1,tblCategories_2014!V47,tblCategories_2017!V47))</f>
        <v>0</v>
      </c>
      <c r="W47" s="1">
        <f>IF(IF(uxb_works!$B$46=1,tblCategories_2014!W47,tblCategories_2017!W47)="","",IF(uxb_works!$B$46=1,tblCategories_2014!W47,tblCategories_2017!W47))</f>
        <v>1</v>
      </c>
      <c r="X47" s="1">
        <f>IF(IF(uxb_works!$B$46=1,tblCategories_2014!X47,tblCategories_2017!X47)="","",IF(uxb_works!$B$46=1,tblCategories_2014!X47,tblCategories_2017!X47))</f>
        <v>1</v>
      </c>
      <c r="Y47" s="1">
        <f>IF(IF(uxb_works!$B$46=1,tblCategories_2014!Y47,tblCategories_2017!Y47)="","",IF(uxb_works!$B$46=1,tblCategories_2014!Y47,tblCategories_2017!Y47))</f>
        <v>0</v>
      </c>
      <c r="Z47" s="1" t="str">
        <f>IF(IF(uxb_works!$B$46=1,tblCategories_2014!Z47,tblCategories_2017!Z47)="","",IF(uxb_works!$B$46=1,tblCategories_2014!Z47,tblCategories_2017!Z47))</f>
        <v/>
      </c>
      <c r="AA47" s="53" t="str">
        <f>IF(IF(uxb_works!$B$46=1,tblCategories_2014!AA47,tblCategories_2017!AA47)="","",IF(uxb_works!$B$46=1,tblCategories_2014!AA47,tblCategories_2017!AA47))</f>
        <v/>
      </c>
      <c r="AB47" s="20" t="str">
        <f>IF(IF(uxb_works!$B$46=1,tblCategories_2014!AB47,tblCategories_2017!AB47)="","",IF(uxb_works!$B$46=1,tblCategories_2014!AB47,tblCategories_2017!AB47))</f>
        <v/>
      </c>
      <c r="AC47" s="23">
        <f>IF(IF(uxb_works!$B$46=1,tblCategories_2014!AC47,tblCategories_2017!AC47)="","",IF(uxb_works!$B$46=1,tblCategories_2014!AC47,tblCategories_2017!AC47))</f>
        <v>0</v>
      </c>
      <c r="AD47" s="1" t="str">
        <f>IF(IF(uxb_works!$B$46=1,tblCategories_2014!AD47,tblCategories_2017!AD47)="","",IF(uxb_works!$B$46=1,tblCategories_2014!AD47,tblCategories_2017!AD47))</f>
        <v/>
      </c>
      <c r="AF47" s="1">
        <f>IF(IF(uxb_works!$B$46=1,tblCategories_2014!AF47,tblCategories_2017!AF47)="","",IF(uxb_works!$B$46=1,tblCategories_2014!AF47,tblCategories_2017!AF47))</f>
        <v>1</v>
      </c>
      <c r="AG47" s="1">
        <f>IF(IF(uxb_works!$B$46=1,tblCategories_2014!AG47,tblCategories_2017!AG47)="","",IF(uxb_works!$B$46=1,tblCategories_2014!AG47,tblCategories_2017!AG47))</f>
        <v>0</v>
      </c>
      <c r="AH47" s="1">
        <f>IF(IF(uxb_works!$B$46=1,tblCategories_2014!AH47,tblCategories_2017!AH47)="","",IF(uxb_works!$B$46=1,tblCategories_2014!AH47,tblCategories_2017!AH47))</f>
        <v>0</v>
      </c>
      <c r="AI47" s="1">
        <f>IF(IF(uxb_works!$B$46=1,tblCategories_2014!AI47,tblCategories_2017!AI47)="","",IF(uxb_works!$B$46=1,tblCategories_2014!AI47,tblCategories_2017!AI47))</f>
        <v>0</v>
      </c>
      <c r="AJ47" s="1">
        <f>IF(IF(uxb_works!$B$46=1,tblCategories_2014!AJ47,tblCategories_2017!AJ47)="","",IF(uxb_works!$B$46=1,tblCategories_2014!AJ47,tblCategories_2017!AJ47))</f>
        <v>0</v>
      </c>
      <c r="AK47" s="1">
        <f>IF(IF(uxb_works!$B$46=1,tblCategories_2014!AK47,tblCategories_2017!AK47)="","",IF(uxb_works!$B$46=1,tblCategories_2014!AK47,tblCategories_2017!AK47))</f>
        <v>0</v>
      </c>
      <c r="AL47" s="1">
        <f>IF(IF(uxb_works!$B$46=1,tblCategories_2014!AL47,tblCategories_2017!AL47)="","",IF(uxb_works!$B$46=1,tblCategories_2014!AL47,tblCategories_2017!AL47))</f>
        <v>0</v>
      </c>
      <c r="AM47" s="1">
        <f>IF(IF(uxb_works!$B$46=1,tblCategories_2014!AM47,tblCategories_2017!AM47)="","",IF(uxb_works!$B$46=1,tblCategories_2014!AM47,tblCategories_2017!AM47))</f>
        <v>0</v>
      </c>
      <c r="AN47" s="1">
        <f>IF(IF(uxb_works!$B$46=1,tblCategories_2014!AN47,tblCategories_2017!AN47)="","",IF(uxb_works!$B$46=1,tblCategories_2014!AN47,tblCategories_2017!AN47))</f>
        <v>0</v>
      </c>
      <c r="AO47" s="1">
        <f>IF(IF(uxb_works!$B$46=1,tblCategories_2014!AO47,tblCategories_2017!AO47)="","",IF(uxb_works!$B$46=1,tblCategories_2014!AO47,tblCategories_2017!AO47))</f>
        <v>0</v>
      </c>
      <c r="AP47" s="1">
        <f>IF(IF(uxb_works!$B$46=1,tblCategories_2014!AP47,tblCategories_2017!AP47)="","",IF(uxb_works!$B$46=1,tblCategories_2014!AP47,tblCategories_2017!AP47))</f>
        <v>0</v>
      </c>
      <c r="AQ47" s="1">
        <f>IF(IF(uxb_works!$B$46=1,tblCategories_2014!AQ47,tblCategories_2017!AQ47)="","",IF(uxb_works!$B$46=1,tblCategories_2014!AQ47,tblCategories_2017!AQ47))</f>
        <v>0</v>
      </c>
      <c r="AR47" s="1">
        <f>IF(IF(uxb_works!$B$46=1,tblCategories_2014!AR47,tblCategories_2017!AR47)="","",IF(uxb_works!$B$46=1,tblCategories_2014!AR47,tblCategories_2017!AR47))</f>
        <v>1</v>
      </c>
      <c r="AS47" s="1">
        <f>IF(IF(uxb_works!$B$46=1,tblCategories_2014!AS47,tblCategories_2017!AS47)="","",IF(uxb_works!$B$46=1,tblCategories_2014!AS47,tblCategories_2017!AS47))</f>
        <v>0</v>
      </c>
    </row>
    <row r="48" ht="12.75" spans="1:45">
      <c r="A48" s="1">
        <f>IF(IF(uxb_works!$B$46=1,tblCategories_2014!A48,tblCategories_2017!A48)="","",IF(uxb_works!$B$46=1,tblCategories_2014!A48,tblCategories_2017!A48))</f>
        <v>46</v>
      </c>
      <c r="B48" s="1" t="str">
        <f>IF(IF(uxb_works!$B$46=1,tblCategories_2014!B48,tblCategories_2017!B48)="","",IF(uxb_works!$B$46=1,tblCategories_2014!B48,tblCategories_2017!B48))</f>
        <v/>
      </c>
      <c r="C48" s="57" t="str">
        <f>IF(IF(uxb_works!$B$46=1,tblCategories_2014!C48,tblCategories_2017!C48)="","",IF(uxb_works!$B$46=1,tblCategories_2014!C48,tblCategories_2017!C48))</f>
        <v>4.1.5) Private security measures</v>
      </c>
      <c r="D48" s="1" t="str">
        <f>IF(IF(uxb_works!$B$46=1,tblCategories_2014!D48,tblCategories_2017!D48)="","",IF(uxb_works!$B$46=1,tblCategories_2014!D48,tblCategories_2017!D48))</f>
        <v>4.1.5) Private security measures</v>
      </c>
      <c r="E48" s="1" t="str">
        <f>IF(IF(uxb_works!$B$46=1,tblCategories_2014!E48,tblCategories_2017!E48)="","",IF(uxb_works!$B$46=1,tblCategories_2014!E48,tblCategories_2017!E48))</f>
        <v/>
      </c>
      <c r="F48" s="23">
        <f>IF(IF(uxb_works!$B$46=1,tblCategories_2014!F48,tblCategories_2017!F48)="","",IF(uxb_works!$B$46=1,tblCategories_2014!F48,tblCategories_2017!F48))</f>
        <v>1</v>
      </c>
      <c r="G48" s="32" t="str">
        <f>IF(IF(uxb_works!$B$46=1,tblCategories_2014!G48,tblCategories_2017!G48)="","",IF(uxb_works!$B$46=1,tblCategories_2014!G48,tblCategories_2017!G48))</f>
        <v/>
      </c>
      <c r="H48" s="1" t="str">
        <f>IF(IF(uxb_works!$B$46=1,tblCategories_2014!H48,tblCategories_2017!H48)="","",IF(uxb_works!$B$46=1,tblCategories_2014!H48,tblCategories_2017!H48))</f>
        <v/>
      </c>
      <c r="I48" s="23" t="str">
        <f>IF(IF(uxb_works!$B$46=1,tblCategories_2014!I48,tblCategories_2017!I48)="","",IF(uxb_works!$B$46=1,tblCategories_2014!I48,tblCategories_2017!I48))</f>
        <v/>
      </c>
      <c r="J48" s="1" t="str">
        <f>IF(IF(uxb_works!$B$46=1,tblCategories_2014!J48,tblCategories_2017!J48)="","",IF(uxb_works!$B$46=1,tblCategories_2014!J48,tblCategories_2017!J48))</f>
        <v/>
      </c>
      <c r="K48" s="1" t="str">
        <f>IF(IF(uxb_works!$B$46=1,tblCategories_2014!K49,tblCategories_2017!K48)="","",IF(uxb_works!$B$46=1,tblCategories_2014!K49,tblCategories_2017!K48))</f>
        <v/>
      </c>
      <c r="L48" s="1">
        <f>IF(IF(uxb_works!$B$46=1,tblCategories_2014!L48,tblCategories_2017!L48)="","",IF(uxb_works!$B$46=1,tblCategories_2014!L48,tblCategories_2017!L48))</f>
        <v>1</v>
      </c>
      <c r="M48" s="1">
        <f>IF(IF(uxb_works!$B$46=1,tblCategories_2014!M48,tblCategories_2017!M48)="","",IF(uxb_works!$B$46=1,tblCategories_2014!M48,tblCategories_2017!M48))</f>
        <v>1</v>
      </c>
      <c r="N48" s="1">
        <f>IF(IF(uxb_works!$B$46=1,tblCategories_2014!N48,tblCategories_2017!N48)="","",IF(uxb_works!$B$46=1,tblCategories_2014!N48,tblCategories_2017!N48))</f>
        <v>0</v>
      </c>
      <c r="O48" s="1">
        <f>IF(IF(uxb_works!$B$46=1,tblCategories_2014!O48,tblCategories_2017!O48)="","",IF(uxb_works!$B$46=1,tblCategories_2014!O48,tblCategories_2017!O48))</f>
        <v>0</v>
      </c>
      <c r="P48" s="1">
        <f>IF(IF(uxb_works!$B$46=1,tblCategories_2014!P48,tblCategories_2017!P48)="","",IF(uxb_works!$B$46=1,tblCategories_2014!P48,tblCategories_2017!P48))</f>
        <v>0</v>
      </c>
      <c r="Q48" s="1">
        <f>IF(IF(uxb_works!$B$46=1,tblCategories_2014!Q48,tblCategories_2017!Q48)="","",IF(uxb_works!$B$46=1,tblCategories_2014!Q48,tblCategories_2017!Q48))</f>
        <v>0</v>
      </c>
      <c r="R48" s="1">
        <f>IF(IF(uxb_works!$B$46=1,tblCategories_2014!R48,tblCategories_2017!R48)="","",IF(uxb_works!$B$46=1,tblCategories_2014!R48,tblCategories_2017!R48))</f>
        <v>0</v>
      </c>
      <c r="S48" s="1">
        <f>IF(IF(uxb_works!$B$46=1,tblCategories_2014!S48,tblCategories_2017!S48)="","",IF(uxb_works!$B$46=1,tblCategories_2014!S48,tblCategories_2017!S48))</f>
        <v>0</v>
      </c>
      <c r="T48" s="1">
        <f>IF(IF(uxb_works!$B$46=1,tblCategories_2014!T48,tblCategories_2017!T48)="","",IF(uxb_works!$B$46=1,tblCategories_2014!T48,tblCategories_2017!T48))</f>
        <v>0</v>
      </c>
      <c r="U48" s="1">
        <f>IF(IF(uxb_works!$B$46=1,tblCategories_2014!U48,tblCategories_2017!U48)="","",IF(uxb_works!$B$46=1,tblCategories_2014!U48,tblCategories_2017!U48))</f>
        <v>0</v>
      </c>
      <c r="V48" s="1">
        <f>IF(IF(uxb_works!$B$46=1,tblCategories_2014!V48,tblCategories_2017!V48)="","",IF(uxb_works!$B$46=1,tblCategories_2014!V48,tblCategories_2017!V48))</f>
        <v>0</v>
      </c>
      <c r="W48" s="1">
        <f>IF(IF(uxb_works!$B$46=1,tblCategories_2014!W48,tblCategories_2017!W48)="","",IF(uxb_works!$B$46=1,tblCategories_2014!W48,tblCategories_2017!W48))</f>
        <v>1</v>
      </c>
      <c r="X48" s="1">
        <f>IF(IF(uxb_works!$B$46=1,tblCategories_2014!X48,tblCategories_2017!X48)="","",IF(uxb_works!$B$46=1,tblCategories_2014!X48,tblCategories_2017!X48))</f>
        <v>1</v>
      </c>
      <c r="Y48" s="1">
        <f>IF(IF(uxb_works!$B$46=1,tblCategories_2014!Y48,tblCategories_2017!Y48)="","",IF(uxb_works!$B$46=1,tblCategories_2014!Y48,tblCategories_2017!Y48))</f>
        <v>0</v>
      </c>
      <c r="Z48" s="1" t="str">
        <f>IF(IF(uxb_works!$B$46=1,tblCategories_2014!Z48,tblCategories_2017!Z48)="","",IF(uxb_works!$B$46=1,tblCategories_2014!Z48,tblCategories_2017!Z48))</f>
        <v/>
      </c>
      <c r="AA48" s="53" t="str">
        <f>IF(IF(uxb_works!$B$46=1,tblCategories_2014!AA48,tblCategories_2017!AA48)="","",IF(uxb_works!$B$46=1,tblCategories_2014!AA48,tblCategories_2017!AA48))</f>
        <v/>
      </c>
      <c r="AB48" s="20" t="str">
        <f>IF(IF(uxb_works!$B$46=1,tblCategories_2014!AB48,tblCategories_2017!AB48)="","",IF(uxb_works!$B$46=1,tblCategories_2014!AB48,tblCategories_2017!AB48))</f>
        <v/>
      </c>
      <c r="AC48" s="23">
        <f>IF(IF(uxb_works!$B$46=1,tblCategories_2014!AC48,tblCategories_2017!AC48)="","",IF(uxb_works!$B$46=1,tblCategories_2014!AC48,tblCategories_2017!AC48))</f>
        <v>0</v>
      </c>
      <c r="AD48" s="1" t="str">
        <f>IF(IF(uxb_works!$B$46=1,tblCategories_2014!AD48,tblCategories_2017!AD48)="","",IF(uxb_works!$B$46=1,tblCategories_2014!AD48,tblCategories_2017!AD48))</f>
        <v/>
      </c>
      <c r="AF48" s="1">
        <f>IF(IF(uxb_works!$B$46=1,tblCategories_2014!AF48,tblCategories_2017!AF48)="","",IF(uxb_works!$B$46=1,tblCategories_2014!AF48,tblCategories_2017!AF48))</f>
        <v>1</v>
      </c>
      <c r="AG48" s="1">
        <f>IF(IF(uxb_works!$B$46=1,tblCategories_2014!AG48,tblCategories_2017!AG48)="","",IF(uxb_works!$B$46=1,tblCategories_2014!AG48,tblCategories_2017!AG48))</f>
        <v>0</v>
      </c>
      <c r="AH48" s="1">
        <f>IF(IF(uxb_works!$B$46=1,tblCategories_2014!AH48,tblCategories_2017!AH48)="","",IF(uxb_works!$B$46=1,tblCategories_2014!AH48,tblCategories_2017!AH48))</f>
        <v>0</v>
      </c>
      <c r="AI48" s="1">
        <f>IF(IF(uxb_works!$B$46=1,tblCategories_2014!AI48,tblCategories_2017!AI48)="","",IF(uxb_works!$B$46=1,tblCategories_2014!AI48,tblCategories_2017!AI48))</f>
        <v>0</v>
      </c>
      <c r="AJ48" s="1">
        <f>IF(IF(uxb_works!$B$46=1,tblCategories_2014!AJ48,tblCategories_2017!AJ48)="","",IF(uxb_works!$B$46=1,tblCategories_2014!AJ48,tblCategories_2017!AJ48))</f>
        <v>0</v>
      </c>
      <c r="AK48" s="1">
        <f>IF(IF(uxb_works!$B$46=1,tblCategories_2014!AK48,tblCategories_2017!AK48)="","",IF(uxb_works!$B$46=1,tblCategories_2014!AK48,tblCategories_2017!AK48))</f>
        <v>0</v>
      </c>
      <c r="AL48" s="1">
        <f>IF(IF(uxb_works!$B$46=1,tblCategories_2014!AL48,tblCategories_2017!AL48)="","",IF(uxb_works!$B$46=1,tblCategories_2014!AL48,tblCategories_2017!AL48))</f>
        <v>0</v>
      </c>
      <c r="AM48" s="1">
        <f>IF(IF(uxb_works!$B$46=1,tblCategories_2014!AM48,tblCategories_2017!AM48)="","",IF(uxb_works!$B$46=1,tblCategories_2014!AM48,tblCategories_2017!AM48))</f>
        <v>0</v>
      </c>
      <c r="AN48" s="1">
        <f>IF(IF(uxb_works!$B$46=1,tblCategories_2014!AN48,tblCategories_2017!AN48)="","",IF(uxb_works!$B$46=1,tblCategories_2014!AN48,tblCategories_2017!AN48))</f>
        <v>0</v>
      </c>
      <c r="AO48" s="1">
        <f>IF(IF(uxb_works!$B$46=1,tblCategories_2014!AO48,tblCategories_2017!AO48)="","",IF(uxb_works!$B$46=1,tblCategories_2014!AO48,tblCategories_2017!AO48))</f>
        <v>0</v>
      </c>
      <c r="AP48" s="1">
        <f>IF(IF(uxb_works!$B$46=1,tblCategories_2014!AP48,tblCategories_2017!AP48)="","",IF(uxb_works!$B$46=1,tblCategories_2014!AP48,tblCategories_2017!AP48))</f>
        <v>0</v>
      </c>
      <c r="AQ48" s="1">
        <f>IF(IF(uxb_works!$B$46=1,tblCategories_2014!AQ48,tblCategories_2017!AQ48)="","",IF(uxb_works!$B$46=1,tblCategories_2014!AQ48,tblCategories_2017!AQ48))</f>
        <v>0</v>
      </c>
      <c r="AR48" s="1">
        <f>IF(IF(uxb_works!$B$46=1,tblCategories_2014!AR48,tblCategories_2017!AR48)="","",IF(uxb_works!$B$46=1,tblCategories_2014!AR48,tblCategories_2017!AR48))</f>
        <v>1</v>
      </c>
      <c r="AS48" s="1">
        <f>IF(IF(uxb_works!$B$46=1,tblCategories_2014!AS48,tblCategories_2017!AS48)="","",IF(uxb_works!$B$46=1,tblCategories_2014!AS48,tblCategories_2017!AS48))</f>
        <v>0</v>
      </c>
    </row>
    <row r="49" ht="12.75" spans="1:45">
      <c r="A49" s="1">
        <f>IF(IF(uxb_works!$B$46=1,tblCategories_2014!A49,tblCategories_2017!A49)="","",IF(uxb_works!$B$46=1,tblCategories_2014!A49,tblCategories_2017!A49))</f>
        <v>47</v>
      </c>
      <c r="B49" s="1" t="str">
        <f>IF(IF(uxb_works!$B$46=1,tblCategories_2014!B49,tblCategories_2017!B49)="","",IF(uxb_works!$B$46=1,tblCategories_2014!B49,tblCategories_2017!B49))</f>
        <v/>
      </c>
      <c r="C49" s="57" t="str">
        <f>IF(IF(uxb_works!$B$46=1,tblCategories_2014!C49,tblCategories_2017!C49)="","",IF(uxb_works!$B$46=1,tblCategories_2014!C49,tblCategories_2017!C49))</f>
        <v>4.1.6) Gun regulation and enforcement</v>
      </c>
      <c r="D49" s="1" t="str">
        <f>IF(IF(uxb_works!$B$46=1,tblCategories_2014!D49,tblCategories_2017!D49)="","",IF(uxb_works!$B$46=1,tblCategories_2014!D49,tblCategories_2017!D49))</f>
        <v>4.1.6) Gun regulation and enforcement</v>
      </c>
      <c r="E49" s="1" t="str">
        <f>IF(IF(uxb_works!$B$46=1,tblCategories_2014!E49,tblCategories_2017!E49)="","",IF(uxb_works!$B$46=1,tblCategories_2014!E49,tblCategories_2017!E49))</f>
        <v/>
      </c>
      <c r="F49" s="23">
        <f>IF(IF(uxb_works!$B$46=1,tblCategories_2014!F49,tblCategories_2017!F49)="","",IF(uxb_works!$B$46=1,tblCategories_2014!F49,tblCategories_2017!F49))</f>
        <v>1</v>
      </c>
      <c r="G49" s="32" t="str">
        <f>IF(IF(uxb_works!$B$46=1,tblCategories_2014!G49,tblCategories_2017!G49)="","",IF(uxb_works!$B$46=1,tblCategories_2014!G49,tblCategories_2017!G49))</f>
        <v/>
      </c>
      <c r="H49" s="1" t="str">
        <f>IF(IF(uxb_works!$B$46=1,tblCategories_2014!H49,tblCategories_2017!H49)="","",IF(uxb_works!$B$46=1,tblCategories_2014!H49,tblCategories_2017!H49))</f>
        <v/>
      </c>
      <c r="I49" s="23" t="str">
        <f>IF(IF(uxb_works!$B$46=1,tblCategories_2014!I49,tblCategories_2017!I49)="","",IF(uxb_works!$B$46=1,tblCategories_2014!I49,tblCategories_2017!I49))</f>
        <v/>
      </c>
      <c r="J49" s="1" t="str">
        <f>IF(IF(uxb_works!$B$46=1,tblCategories_2014!J49,tblCategories_2017!J49)="","",IF(uxb_works!$B$46=1,tblCategories_2014!J49,tblCategories_2017!J49))</f>
        <v/>
      </c>
      <c r="K49" s="1" t="str">
        <f>IF(IF(uxb_works!$B$46=1,tblCategories_2014!K50,tblCategories_2017!K49)="","",IF(uxb_works!$B$46=1,tblCategories_2014!K50,tblCategories_2017!K49))</f>
        <v/>
      </c>
      <c r="L49" s="1">
        <f>IF(IF(uxb_works!$B$46=1,tblCategories_2014!L49,tblCategories_2017!L49)="","",IF(uxb_works!$B$46=1,tblCategories_2014!L49,tblCategories_2017!L49))</f>
        <v>1</v>
      </c>
      <c r="M49" s="1">
        <f>IF(IF(uxb_works!$B$46=1,tblCategories_2014!M49,tblCategories_2017!M49)="","",IF(uxb_works!$B$46=1,tblCategories_2014!M49,tblCategories_2017!M49))</f>
        <v>1</v>
      </c>
      <c r="N49" s="1">
        <f>IF(IF(uxb_works!$B$46=1,tblCategories_2014!N49,tblCategories_2017!N49)="","",IF(uxb_works!$B$46=1,tblCategories_2014!N49,tblCategories_2017!N49))</f>
        <v>0</v>
      </c>
      <c r="O49" s="1">
        <f>IF(IF(uxb_works!$B$46=1,tblCategories_2014!O49,tblCategories_2017!O49)="","",IF(uxb_works!$B$46=1,tblCategories_2014!O49,tblCategories_2017!O49))</f>
        <v>0</v>
      </c>
      <c r="P49" s="1">
        <f>IF(IF(uxb_works!$B$46=1,tblCategories_2014!P49,tblCategories_2017!P49)="","",IF(uxb_works!$B$46=1,tblCategories_2014!P49,tblCategories_2017!P49))</f>
        <v>0</v>
      </c>
      <c r="Q49" s="1">
        <f>IF(IF(uxb_works!$B$46=1,tblCategories_2014!Q49,tblCategories_2017!Q49)="","",IF(uxb_works!$B$46=1,tblCategories_2014!Q49,tblCategories_2017!Q49))</f>
        <v>0</v>
      </c>
      <c r="R49" s="1">
        <f>IF(IF(uxb_works!$B$46=1,tblCategories_2014!R49,tblCategories_2017!R49)="","",IF(uxb_works!$B$46=1,tblCategories_2014!R49,tblCategories_2017!R49))</f>
        <v>0</v>
      </c>
      <c r="S49" s="1">
        <f>IF(IF(uxb_works!$B$46=1,tblCategories_2014!S49,tblCategories_2017!S49)="","",IF(uxb_works!$B$46=1,tblCategories_2014!S49,tblCategories_2017!S49))</f>
        <v>0</v>
      </c>
      <c r="T49" s="1">
        <f>IF(IF(uxb_works!$B$46=1,tblCategories_2014!T49,tblCategories_2017!T49)="","",IF(uxb_works!$B$46=1,tblCategories_2014!T49,tblCategories_2017!T49))</f>
        <v>0</v>
      </c>
      <c r="U49" s="1">
        <f>IF(IF(uxb_works!$B$46=1,tblCategories_2014!U49,tblCategories_2017!U49)="","",IF(uxb_works!$B$46=1,tblCategories_2014!U49,tblCategories_2017!U49))</f>
        <v>0</v>
      </c>
      <c r="V49" s="1">
        <f>IF(IF(uxb_works!$B$46=1,tblCategories_2014!V49,tblCategories_2017!V49)="","",IF(uxb_works!$B$46=1,tblCategories_2014!V49,tblCategories_2017!V49))</f>
        <v>0</v>
      </c>
      <c r="W49" s="1">
        <f>IF(IF(uxb_works!$B$46=1,tblCategories_2014!W49,tblCategories_2017!W49)="","",IF(uxb_works!$B$46=1,tblCategories_2014!W49,tblCategories_2017!W49))</f>
        <v>1</v>
      </c>
      <c r="X49" s="1">
        <f>IF(IF(uxb_works!$B$46=1,tblCategories_2014!X49,tblCategories_2017!X49)="","",IF(uxb_works!$B$46=1,tblCategories_2014!X49,tblCategories_2017!X49))</f>
        <v>1</v>
      </c>
      <c r="Y49" s="1">
        <f>IF(IF(uxb_works!$B$46=1,tblCategories_2014!Y49,tblCategories_2017!Y49)="","",IF(uxb_works!$B$46=1,tblCategories_2014!Y49,tblCategories_2017!Y49))</f>
        <v>0</v>
      </c>
      <c r="Z49" s="1" t="str">
        <f>IF(IF(uxb_works!$B$46=1,tblCategories_2014!Z49,tblCategories_2017!Z49)="","",IF(uxb_works!$B$46=1,tblCategories_2014!Z49,tblCategories_2017!Z49))</f>
        <v/>
      </c>
      <c r="AA49" s="53" t="str">
        <f>IF(IF(uxb_works!$B$46=1,tblCategories_2014!AA49,tblCategories_2017!AA49)="","",IF(uxb_works!$B$46=1,tblCategories_2014!AA49,tblCategories_2017!AA49))</f>
        <v/>
      </c>
      <c r="AB49" s="20" t="str">
        <f>IF(IF(uxb_works!$B$46=1,tblCategories_2014!AB49,tblCategories_2017!AB49)="","",IF(uxb_works!$B$46=1,tblCategories_2014!AB49,tblCategories_2017!AB49))</f>
        <v/>
      </c>
      <c r="AC49" s="23">
        <f>IF(IF(uxb_works!$B$46=1,tblCategories_2014!AC49,tblCategories_2017!AC49)="","",IF(uxb_works!$B$46=1,tblCategories_2014!AC49,tblCategories_2017!AC49))</f>
        <v>0</v>
      </c>
      <c r="AD49" s="1" t="str">
        <f>IF(IF(uxb_works!$B$46=1,tblCategories_2014!AD49,tblCategories_2017!AD49)="","",IF(uxb_works!$B$46=1,tblCategories_2014!AD49,tblCategories_2017!AD49))</f>
        <v/>
      </c>
      <c r="AF49" s="1">
        <f>IF(IF(uxb_works!$B$46=1,tblCategories_2014!AF49,tblCategories_2017!AF49)="","",IF(uxb_works!$B$46=1,tblCategories_2014!AF49,tblCategories_2017!AF49))</f>
        <v>1</v>
      </c>
      <c r="AG49" s="1">
        <f>IF(IF(uxb_works!$B$46=1,tblCategories_2014!AG49,tblCategories_2017!AG49)="","",IF(uxb_works!$B$46=1,tblCategories_2014!AG49,tblCategories_2017!AG49))</f>
        <v>0</v>
      </c>
      <c r="AH49" s="1">
        <f>IF(IF(uxb_works!$B$46=1,tblCategories_2014!AH49,tblCategories_2017!AH49)="","",IF(uxb_works!$B$46=1,tblCategories_2014!AH49,tblCategories_2017!AH49))</f>
        <v>0</v>
      </c>
      <c r="AI49" s="1">
        <f>IF(IF(uxb_works!$B$46=1,tblCategories_2014!AI49,tblCategories_2017!AI49)="","",IF(uxb_works!$B$46=1,tblCategories_2014!AI49,tblCategories_2017!AI49))</f>
        <v>0</v>
      </c>
      <c r="AJ49" s="1">
        <f>IF(IF(uxb_works!$B$46=1,tblCategories_2014!AJ49,tblCategories_2017!AJ49)="","",IF(uxb_works!$B$46=1,tblCategories_2014!AJ49,tblCategories_2017!AJ49))</f>
        <v>0</v>
      </c>
      <c r="AK49" s="1">
        <f>IF(IF(uxb_works!$B$46=1,tblCategories_2014!AK49,tblCategories_2017!AK49)="","",IF(uxb_works!$B$46=1,tblCategories_2014!AK49,tblCategories_2017!AK49))</f>
        <v>0</v>
      </c>
      <c r="AL49" s="1">
        <f>IF(IF(uxb_works!$B$46=1,tblCategories_2014!AL49,tblCategories_2017!AL49)="","",IF(uxb_works!$B$46=1,tblCategories_2014!AL49,tblCategories_2017!AL49))</f>
        <v>0</v>
      </c>
      <c r="AM49" s="1">
        <f>IF(IF(uxb_works!$B$46=1,tblCategories_2014!AM49,tblCategories_2017!AM49)="","",IF(uxb_works!$B$46=1,tblCategories_2014!AM49,tblCategories_2017!AM49))</f>
        <v>0</v>
      </c>
      <c r="AN49" s="1">
        <f>IF(IF(uxb_works!$B$46=1,tblCategories_2014!AN49,tblCategories_2017!AN49)="","",IF(uxb_works!$B$46=1,tblCategories_2014!AN49,tblCategories_2017!AN49))</f>
        <v>0</v>
      </c>
      <c r="AO49" s="1">
        <f>IF(IF(uxb_works!$B$46=1,tblCategories_2014!AO49,tblCategories_2017!AO49)="","",IF(uxb_works!$B$46=1,tblCategories_2014!AO49,tblCategories_2017!AO49))</f>
        <v>0</v>
      </c>
      <c r="AP49" s="1">
        <f>IF(IF(uxb_works!$B$46=1,tblCategories_2014!AP49,tblCategories_2017!AP49)="","",IF(uxb_works!$B$46=1,tblCategories_2014!AP49,tblCategories_2017!AP49))</f>
        <v>0</v>
      </c>
      <c r="AQ49" s="1">
        <f>IF(IF(uxb_works!$B$46=1,tblCategories_2014!AQ49,tblCategories_2017!AQ49)="","",IF(uxb_works!$B$46=1,tblCategories_2014!AQ49,tblCategories_2017!AQ49))</f>
        <v>0</v>
      </c>
      <c r="AR49" s="1">
        <f>IF(IF(uxb_works!$B$46=1,tblCategories_2014!AR49,tblCategories_2017!AR49)="","",IF(uxb_works!$B$46=1,tblCategories_2014!AR49,tblCategories_2017!AR49))</f>
        <v>1</v>
      </c>
      <c r="AS49" s="1">
        <f>IF(IF(uxb_works!$B$46=1,tblCategories_2014!AS49,tblCategories_2017!AS49)="","",IF(uxb_works!$B$46=1,tblCategories_2014!AS49,tblCategories_2017!AS49))</f>
        <v>0</v>
      </c>
    </row>
    <row r="50" ht="12.75" spans="1:45">
      <c r="A50" s="1">
        <f>IF(IF(uxb_works!$B$46=1,tblCategories_2014!A50,tblCategories_2017!A50)="","",IF(uxb_works!$B$46=1,tblCategories_2014!A50,tblCategories_2017!A50))</f>
        <v>48</v>
      </c>
      <c r="B50" s="1" t="str">
        <f>IF(IF(uxb_works!$B$46=1,tblCategories_2014!B50,tblCategories_2017!B50)="","",IF(uxb_works!$B$46=1,tblCategories_2014!B50,tblCategories_2017!B50))</f>
        <v/>
      </c>
      <c r="C50" s="57" t="str">
        <f>IF(IF(uxb_works!$B$46=1,tblCategories_2014!C50,tblCategories_2017!C50)="","",IF(uxb_works!$B$46=1,tblCategories_2014!C50,tblCategories_2017!C50))</f>
        <v>4.1.7) Political stability risk</v>
      </c>
      <c r="D50" s="1" t="str">
        <f>IF(IF(uxb_works!$B$46=1,tblCategories_2014!D50,tblCategories_2017!D50)="","",IF(uxb_works!$B$46=1,tblCategories_2014!D50,tblCategories_2017!D50))</f>
        <v>4.1.7) Political stability risk</v>
      </c>
      <c r="E50" s="1" t="str">
        <f>IF(IF(uxb_works!$B$46=1,tblCategories_2014!E50,tblCategories_2017!E50)="","",IF(uxb_works!$B$46=1,tblCategories_2014!E50,tblCategories_2017!E50))</f>
        <v/>
      </c>
      <c r="F50" s="23">
        <f>IF(IF(uxb_works!$B$46=1,tblCategories_2014!F50,tblCategories_2017!F50)="","",IF(uxb_works!$B$46=1,tblCategories_2014!F50,tblCategories_2017!F50))</f>
        <v>1</v>
      </c>
      <c r="G50" s="32" t="str">
        <f>IF(IF(uxb_works!$B$46=1,tblCategories_2014!G50,tblCategories_2017!G50)="","",IF(uxb_works!$B$46=1,tblCategories_2014!G50,tblCategories_2017!G50))</f>
        <v/>
      </c>
      <c r="H50" s="1" t="str">
        <f>IF(IF(uxb_works!$B$46=1,tblCategories_2014!H50,tblCategories_2017!H50)="","",IF(uxb_works!$B$46=1,tblCategories_2014!H50,tblCategories_2017!H50))</f>
        <v/>
      </c>
      <c r="I50" s="23" t="str">
        <f>IF(IF(uxb_works!$B$46=1,tblCategories_2014!I50,tblCategories_2017!I50)="","",IF(uxb_works!$B$46=1,tblCategories_2014!I50,tblCategories_2017!I50))</f>
        <v/>
      </c>
      <c r="J50" s="1" t="str">
        <f>IF(IF(uxb_works!$B$46=1,tblCategories_2014!J50,tblCategories_2017!J50)="","",IF(uxb_works!$B$46=1,tblCategories_2014!J50,tblCategories_2017!J50))</f>
        <v/>
      </c>
      <c r="K50" s="1" t="str">
        <f>IF(IF(uxb_works!$B$46=1,tblCategories_2014!K51,tblCategories_2017!K50)="","",IF(uxb_works!$B$46=1,tblCategories_2014!K51,tblCategories_2017!K50))</f>
        <v/>
      </c>
      <c r="L50" s="1">
        <f>IF(IF(uxb_works!$B$46=1,tblCategories_2014!L50,tblCategories_2017!L50)="","",IF(uxb_works!$B$46=1,tblCategories_2014!L50,tblCategories_2017!L50))</f>
        <v>1</v>
      </c>
      <c r="M50" s="1">
        <f>IF(IF(uxb_works!$B$46=1,tblCategories_2014!M50,tblCategories_2017!M50)="","",IF(uxb_works!$B$46=1,tblCategories_2014!M50,tblCategories_2017!M50))</f>
        <v>1</v>
      </c>
      <c r="N50" s="1">
        <f>IF(IF(uxb_works!$B$46=1,tblCategories_2014!N50,tblCategories_2017!N50)="","",IF(uxb_works!$B$46=1,tblCategories_2014!N50,tblCategories_2017!N50))</f>
        <v>0</v>
      </c>
      <c r="O50" s="1">
        <f>IF(IF(uxb_works!$B$46=1,tblCategories_2014!O50,tblCategories_2017!O50)="","",IF(uxb_works!$B$46=1,tblCategories_2014!O50,tblCategories_2017!O50))</f>
        <v>0</v>
      </c>
      <c r="P50" s="1">
        <f>IF(IF(uxb_works!$B$46=1,tblCategories_2014!P50,tblCategories_2017!P50)="","",IF(uxb_works!$B$46=1,tblCategories_2014!P50,tblCategories_2017!P50))</f>
        <v>0</v>
      </c>
      <c r="Q50" s="1">
        <f>IF(IF(uxb_works!$B$46=1,tblCategories_2014!Q50,tblCategories_2017!Q50)="","",IF(uxb_works!$B$46=1,tblCategories_2014!Q50,tblCategories_2017!Q50))</f>
        <v>0</v>
      </c>
      <c r="R50" s="1">
        <f>IF(IF(uxb_works!$B$46=1,tblCategories_2014!R50,tblCategories_2017!R50)="","",IF(uxb_works!$B$46=1,tblCategories_2014!R50,tblCategories_2017!R50))</f>
        <v>0</v>
      </c>
      <c r="S50" s="1">
        <f>IF(IF(uxb_works!$B$46=1,tblCategories_2014!S50,tblCategories_2017!S50)="","",IF(uxb_works!$B$46=1,tblCategories_2014!S50,tblCategories_2017!S50))</f>
        <v>0</v>
      </c>
      <c r="T50" s="1">
        <f>IF(IF(uxb_works!$B$46=1,tblCategories_2014!T50,tblCategories_2017!T50)="","",IF(uxb_works!$B$46=1,tblCategories_2014!T50,tblCategories_2017!T50))</f>
        <v>0</v>
      </c>
      <c r="U50" s="1">
        <f>IF(IF(uxb_works!$B$46=1,tblCategories_2014!U50,tblCategories_2017!U50)="","",IF(uxb_works!$B$46=1,tblCategories_2014!U50,tblCategories_2017!U50))</f>
        <v>0</v>
      </c>
      <c r="V50" s="1">
        <f>IF(IF(uxb_works!$B$46=1,tblCategories_2014!V50,tblCategories_2017!V50)="","",IF(uxb_works!$B$46=1,tblCategories_2014!V50,tblCategories_2017!V50))</f>
        <v>0</v>
      </c>
      <c r="W50" s="1">
        <f>IF(IF(uxb_works!$B$46=1,tblCategories_2014!W50,tblCategories_2017!W50)="","",IF(uxb_works!$B$46=1,tblCategories_2014!W50,tblCategories_2017!W50))</f>
        <v>1</v>
      </c>
      <c r="X50" s="1">
        <f>IF(IF(uxb_works!$B$46=1,tblCategories_2014!X50,tblCategories_2017!X50)="","",IF(uxb_works!$B$46=1,tblCategories_2014!X50,tblCategories_2017!X50))</f>
        <v>1</v>
      </c>
      <c r="Y50" s="1">
        <f>IF(IF(uxb_works!$B$46=1,tblCategories_2014!Y50,tblCategories_2017!Y50)="","",IF(uxb_works!$B$46=1,tblCategories_2014!Y50,tblCategories_2017!Y50))</f>
        <v>0</v>
      </c>
      <c r="Z50" s="1" t="str">
        <f>IF(IF(uxb_works!$B$46=1,tblCategories_2014!Z50,tblCategories_2017!Z50)="","",IF(uxb_works!$B$46=1,tblCategories_2014!Z50,tblCategories_2017!Z50))</f>
        <v/>
      </c>
      <c r="AA50" s="53" t="str">
        <f>IF(IF(uxb_works!$B$46=1,tblCategories_2014!AA50,tblCategories_2017!AA50)="","",IF(uxb_works!$B$46=1,tblCategories_2014!AA50,tblCategories_2017!AA50))</f>
        <v/>
      </c>
      <c r="AB50" s="20" t="str">
        <f>IF(IF(uxb_works!$B$46=1,tblCategories_2014!AB50,tblCategories_2017!AB50)="","",IF(uxb_works!$B$46=1,tblCategories_2014!AB50,tblCategories_2017!AB50))</f>
        <v/>
      </c>
      <c r="AC50" s="23">
        <f>IF(IF(uxb_works!$B$46=1,tblCategories_2014!AC50,tblCategories_2017!AC50)="","",IF(uxb_works!$B$46=1,tblCategories_2014!AC50,tblCategories_2017!AC50))</f>
        <v>0</v>
      </c>
      <c r="AD50" s="1" t="str">
        <f>IF(IF(uxb_works!$B$46=1,tblCategories_2014!AD50,tblCategories_2017!AD50)="","",IF(uxb_works!$B$46=1,tblCategories_2014!AD50,tblCategories_2017!AD50))</f>
        <v/>
      </c>
      <c r="AF50" s="1">
        <f>IF(IF(uxb_works!$B$46=1,tblCategories_2014!AF50,tblCategories_2017!AF50)="","",IF(uxb_works!$B$46=1,tblCategories_2014!AF50,tblCategories_2017!AF50))</f>
        <v>1</v>
      </c>
      <c r="AG50" s="1">
        <f>IF(IF(uxb_works!$B$46=1,tblCategories_2014!AG50,tblCategories_2017!AG50)="","",IF(uxb_works!$B$46=1,tblCategories_2014!AG50,tblCategories_2017!AG50))</f>
        <v>0</v>
      </c>
      <c r="AH50" s="1">
        <f>IF(IF(uxb_works!$B$46=1,tblCategories_2014!AH50,tblCategories_2017!AH50)="","",IF(uxb_works!$B$46=1,tblCategories_2014!AH50,tblCategories_2017!AH50))</f>
        <v>0</v>
      </c>
      <c r="AI50" s="1">
        <f>IF(IF(uxb_works!$B$46=1,tblCategories_2014!AI50,tblCategories_2017!AI50)="","",IF(uxb_works!$B$46=1,tblCategories_2014!AI50,tblCategories_2017!AI50))</f>
        <v>0</v>
      </c>
      <c r="AJ50" s="1">
        <f>IF(IF(uxb_works!$B$46=1,tblCategories_2014!AJ50,tblCategories_2017!AJ50)="","",IF(uxb_works!$B$46=1,tblCategories_2014!AJ50,tblCategories_2017!AJ50))</f>
        <v>0</v>
      </c>
      <c r="AK50" s="1">
        <f>IF(IF(uxb_works!$B$46=1,tblCategories_2014!AK50,tblCategories_2017!AK50)="","",IF(uxb_works!$B$46=1,tblCategories_2014!AK50,tblCategories_2017!AK50))</f>
        <v>0</v>
      </c>
      <c r="AL50" s="1">
        <f>IF(IF(uxb_works!$B$46=1,tblCategories_2014!AL50,tblCategories_2017!AL50)="","",IF(uxb_works!$B$46=1,tblCategories_2014!AL50,tblCategories_2017!AL50))</f>
        <v>0</v>
      </c>
      <c r="AM50" s="1">
        <f>IF(IF(uxb_works!$B$46=1,tblCategories_2014!AM50,tblCategories_2017!AM50)="","",IF(uxb_works!$B$46=1,tblCategories_2014!AM50,tblCategories_2017!AM50))</f>
        <v>0</v>
      </c>
      <c r="AN50" s="1">
        <f>IF(IF(uxb_works!$B$46=1,tblCategories_2014!AN50,tblCategories_2017!AN50)="","",IF(uxb_works!$B$46=1,tblCategories_2014!AN50,tblCategories_2017!AN50))</f>
        <v>0</v>
      </c>
      <c r="AO50" s="1">
        <f>IF(IF(uxb_works!$B$46=1,tblCategories_2014!AO50,tblCategories_2017!AO50)="","",IF(uxb_works!$B$46=1,tblCategories_2014!AO50,tblCategories_2017!AO50))</f>
        <v>0</v>
      </c>
      <c r="AP50" s="1">
        <f>IF(IF(uxb_works!$B$46=1,tblCategories_2014!AP50,tblCategories_2017!AP50)="","",IF(uxb_works!$B$46=1,tblCategories_2014!AP50,tblCategories_2017!AP50))</f>
        <v>0</v>
      </c>
      <c r="AQ50" s="1">
        <f>IF(IF(uxb_works!$B$46=1,tblCategories_2014!AQ50,tblCategories_2017!AQ50)="","",IF(uxb_works!$B$46=1,tblCategories_2014!AQ50,tblCategories_2017!AQ50))</f>
        <v>0</v>
      </c>
      <c r="AR50" s="1">
        <f>IF(IF(uxb_works!$B$46=1,tblCategories_2014!AR50,tblCategories_2017!AR50)="","",IF(uxb_works!$B$46=1,tblCategories_2014!AR50,tblCategories_2017!AR50))</f>
        <v>1</v>
      </c>
      <c r="AS50" s="1">
        <f>IF(IF(uxb_works!$B$46=1,tblCategories_2014!AS50,tblCategories_2017!AS50)="","",IF(uxb_works!$B$46=1,tblCategories_2014!AS50,tblCategories_2017!AS50))</f>
        <v>0</v>
      </c>
    </row>
    <row r="51" ht="12.75" spans="1:45">
      <c r="A51" s="1">
        <f>IF(IF(uxb_works!$B$46=1,tblCategories_2014!A51,tblCategories_2017!A51)="","",IF(uxb_works!$B$46=1,tblCategories_2014!A51,tblCategories_2017!A51))</f>
        <v>49</v>
      </c>
      <c r="B51" s="1" t="str">
        <f>IF(IF(uxb_works!$B$46=1,tblCategories_2014!B51,tblCategories_2017!B51)="","",IF(uxb_works!$B$46=1,tblCategories_2014!B51,tblCategories_2017!B51))</f>
        <v/>
      </c>
      <c r="C51" s="57" t="str">
        <f>IF(IF(uxb_works!$B$46=1,tblCategories_2014!C51,tblCategories_2017!C51)="","",IF(uxb_works!$B$46=1,tblCategories_2014!C51,tblCategories_2017!C51))</f>
        <v>4.2) Personal security (Outputs)</v>
      </c>
      <c r="D51" s="1" t="str">
        <f>IF(IF(uxb_works!$B$46=1,tblCategories_2014!D51,tblCategories_2017!D51)="","",IF(uxb_works!$B$46=1,tblCategories_2014!D51,tblCategories_2017!D51))</f>
        <v>4.2) Personal security (Outputs)</v>
      </c>
      <c r="E51" s="1" t="str">
        <f>IF(IF(uxb_works!$B$46=1,tblCategories_2014!E51,tblCategories_2017!E51)="","",IF(uxb_works!$B$46=1,tblCategories_2014!E51,tblCategories_2017!E51))</f>
        <v/>
      </c>
      <c r="F51" s="23">
        <f>IF(IF(uxb_works!$B$46=1,tblCategories_2014!F51,tblCategories_2017!F51)="","",IF(uxb_works!$B$46=1,tblCategories_2014!F51,tblCategories_2017!F51))</f>
        <v>1</v>
      </c>
      <c r="G51" s="32" t="str">
        <f>IF(IF(uxb_works!$B$46=1,tblCategories_2014!G51,tblCategories_2017!G51)="","",IF(uxb_works!$B$46=1,tblCategories_2014!G51,tblCategories_2017!G51))</f>
        <v/>
      </c>
      <c r="H51" s="1" t="str">
        <f>IF(IF(uxb_works!$B$46=1,tblCategories_2014!H51,tblCategories_2017!H51)="","",IF(uxb_works!$B$46=1,tblCategories_2014!H51,tblCategories_2017!H51))</f>
        <v/>
      </c>
      <c r="I51" s="23" t="str">
        <f>IF(IF(uxb_works!$B$46=1,tblCategories_2014!I51,tblCategories_2017!I51)="","",IF(uxb_works!$B$46=1,tblCategories_2014!I51,tblCategories_2017!I51))</f>
        <v/>
      </c>
      <c r="J51" s="1" t="str">
        <f>IF(IF(uxb_works!$B$46=1,tblCategories_2014!J51,tblCategories_2017!J51)="","",IF(uxb_works!$B$46=1,tblCategories_2014!J51,tblCategories_2017!J51))</f>
        <v/>
      </c>
      <c r="K51" s="1" t="str">
        <f>IF(IF(uxb_works!$B$46=1,tblCategories_2014!K52,tblCategories_2017!K51)="","",IF(uxb_works!$B$46=1,tblCategories_2014!K52,tblCategories_2017!K51))</f>
        <v/>
      </c>
      <c r="L51" s="1">
        <f>IF(IF(uxb_works!$B$46=1,tblCategories_2014!L51,tblCategories_2017!L51)="","",IF(uxb_works!$B$46=1,tblCategories_2014!L51,tblCategories_2017!L51))</f>
        <v>1</v>
      </c>
      <c r="M51" s="1">
        <f>IF(IF(uxb_works!$B$46=1,tblCategories_2014!M51,tblCategories_2017!M51)="","",IF(uxb_works!$B$46=1,tblCategories_2014!M51,tblCategories_2017!M51))</f>
        <v>1</v>
      </c>
      <c r="N51" s="1">
        <f>IF(IF(uxb_works!$B$46=1,tblCategories_2014!N51,tblCategories_2017!N51)="","",IF(uxb_works!$B$46=1,tblCategories_2014!N51,tblCategories_2017!N51))</f>
        <v>0</v>
      </c>
      <c r="O51" s="1">
        <f>IF(IF(uxb_works!$B$46=1,tblCategories_2014!O51,tblCategories_2017!O51)="","",IF(uxb_works!$B$46=1,tblCategories_2014!O51,tblCategories_2017!O51))</f>
        <v>0</v>
      </c>
      <c r="P51" s="1">
        <f>IF(IF(uxb_works!$B$46=1,tblCategories_2014!P51,tblCategories_2017!P51)="","",IF(uxb_works!$B$46=1,tblCategories_2014!P51,tblCategories_2017!P51))</f>
        <v>0</v>
      </c>
      <c r="Q51" s="1">
        <f>IF(IF(uxb_works!$B$46=1,tblCategories_2014!Q51,tblCategories_2017!Q51)="","",IF(uxb_works!$B$46=1,tblCategories_2014!Q51,tblCategories_2017!Q51))</f>
        <v>0</v>
      </c>
      <c r="R51" s="1">
        <f>IF(IF(uxb_works!$B$46=1,tblCategories_2014!R51,tblCategories_2017!R51)="","",IF(uxb_works!$B$46=1,tblCategories_2014!R51,tblCategories_2017!R51))</f>
        <v>0</v>
      </c>
      <c r="S51" s="1">
        <f>IF(IF(uxb_works!$B$46=1,tblCategories_2014!S51,tblCategories_2017!S51)="","",IF(uxb_works!$B$46=1,tblCategories_2014!S51,tblCategories_2017!S51))</f>
        <v>0</v>
      </c>
      <c r="T51" s="1">
        <f>IF(IF(uxb_works!$B$46=1,tblCategories_2014!T51,tblCategories_2017!T51)="","",IF(uxb_works!$B$46=1,tblCategories_2014!T51,tblCategories_2017!T51))</f>
        <v>0</v>
      </c>
      <c r="U51" s="1">
        <f>IF(IF(uxb_works!$B$46=1,tblCategories_2014!U51,tblCategories_2017!U51)="","",IF(uxb_works!$B$46=1,tblCategories_2014!U51,tblCategories_2017!U51))</f>
        <v>0</v>
      </c>
      <c r="V51" s="1">
        <f>IF(IF(uxb_works!$B$46=1,tblCategories_2014!V51,tblCategories_2017!V51)="","",IF(uxb_works!$B$46=1,tblCategories_2014!V51,tblCategories_2017!V51))</f>
        <v>0</v>
      </c>
      <c r="W51" s="1">
        <f>IF(IF(uxb_works!$B$46=1,tblCategories_2014!W51,tblCategories_2017!W51)="","",IF(uxb_works!$B$46=1,tblCategories_2014!W51,tblCategories_2017!W51))</f>
        <v>1</v>
      </c>
      <c r="X51" s="1">
        <f>IF(IF(uxb_works!$B$46=1,tblCategories_2014!X51,tblCategories_2017!X51)="","",IF(uxb_works!$B$46=1,tblCategories_2014!X51,tblCategories_2017!X51))</f>
        <v>0</v>
      </c>
      <c r="Y51" s="1">
        <f>IF(IF(uxb_works!$B$46=1,tblCategories_2014!Y51,tblCategories_2017!Y51)="","",IF(uxb_works!$B$46=1,tblCategories_2014!Y51,tblCategories_2017!Y51))</f>
        <v>0</v>
      </c>
      <c r="Z51" s="1" t="str">
        <f>IF(IF(uxb_works!$B$46=1,tblCategories_2014!Z51,tblCategories_2017!Z51)="","",IF(uxb_works!$B$46=1,tblCategories_2014!Z51,tblCategories_2017!Z51))</f>
        <v/>
      </c>
      <c r="AA51" s="53" t="str">
        <f>IF(IF(uxb_works!$B$46=1,tblCategories_2014!AA51,tblCategories_2017!AA51)="","",IF(uxb_works!$B$46=1,tblCategories_2014!AA51,tblCategories_2017!AA51))</f>
        <v/>
      </c>
      <c r="AB51" s="20" t="str">
        <f>IF(IF(uxb_works!$B$46=1,tblCategories_2014!AB51,tblCategories_2017!AB51)="","",IF(uxb_works!$B$46=1,tblCategories_2014!AB51,tblCategories_2017!AB51))</f>
        <v/>
      </c>
      <c r="AC51" s="23">
        <f>IF(IF(uxb_works!$B$46=1,tblCategories_2014!AC51,tblCategories_2017!AC51)="","",IF(uxb_works!$B$46=1,tblCategories_2014!AC51,tblCategories_2017!AC51))</f>
        <v>0</v>
      </c>
      <c r="AD51" s="1" t="str">
        <f>IF(IF(uxb_works!$B$46=1,tblCategories_2014!AD51,tblCategories_2017!AD51)="","",IF(uxb_works!$B$46=1,tblCategories_2014!AD51,tblCategories_2017!AD51))</f>
        <v/>
      </c>
      <c r="AF51" s="1">
        <f>IF(IF(uxb_works!$B$46=1,tblCategories_2014!AF51,tblCategories_2017!AF51)="","",IF(uxb_works!$B$46=1,tblCategories_2014!AF51,tblCategories_2017!AF51))</f>
        <v>1</v>
      </c>
      <c r="AG51" s="1">
        <f>IF(IF(uxb_works!$B$46=1,tblCategories_2014!AG51,tblCategories_2017!AG51)="","",IF(uxb_works!$B$46=1,tblCategories_2014!AG51,tblCategories_2017!AG51))</f>
        <v>0</v>
      </c>
      <c r="AH51" s="1">
        <f>IF(IF(uxb_works!$B$46=1,tblCategories_2014!AH51,tblCategories_2017!AH51)="","",IF(uxb_works!$B$46=1,tblCategories_2014!AH51,tblCategories_2017!AH51))</f>
        <v>0</v>
      </c>
      <c r="AI51" s="1">
        <f>IF(IF(uxb_works!$B$46=1,tblCategories_2014!AI51,tblCategories_2017!AI51)="","",IF(uxb_works!$B$46=1,tblCategories_2014!AI51,tblCategories_2017!AI51))</f>
        <v>0</v>
      </c>
      <c r="AJ51" s="1">
        <f>IF(IF(uxb_works!$B$46=1,tblCategories_2014!AJ51,tblCategories_2017!AJ51)="","",IF(uxb_works!$B$46=1,tblCategories_2014!AJ51,tblCategories_2017!AJ51))</f>
        <v>0</v>
      </c>
      <c r="AK51" s="1">
        <f>IF(IF(uxb_works!$B$46=1,tblCategories_2014!AK51,tblCategories_2017!AK51)="","",IF(uxb_works!$B$46=1,tblCategories_2014!AK51,tblCategories_2017!AK51))</f>
        <v>0</v>
      </c>
      <c r="AL51" s="1">
        <f>IF(IF(uxb_works!$B$46=1,tblCategories_2014!AL51,tblCategories_2017!AL51)="","",IF(uxb_works!$B$46=1,tblCategories_2014!AL51,tblCategories_2017!AL51))</f>
        <v>0</v>
      </c>
      <c r="AM51" s="1">
        <f>IF(IF(uxb_works!$B$46=1,tblCategories_2014!AM51,tblCategories_2017!AM51)="","",IF(uxb_works!$B$46=1,tblCategories_2014!AM51,tblCategories_2017!AM51))</f>
        <v>0</v>
      </c>
      <c r="AN51" s="1">
        <f>IF(IF(uxb_works!$B$46=1,tblCategories_2014!AN51,tblCategories_2017!AN51)="","",IF(uxb_works!$B$46=1,tblCategories_2014!AN51,tblCategories_2017!AN51))</f>
        <v>0</v>
      </c>
      <c r="AO51" s="1">
        <f>IF(IF(uxb_works!$B$46=1,tblCategories_2014!AO51,tblCategories_2017!AO51)="","",IF(uxb_works!$B$46=1,tblCategories_2014!AO51,tblCategories_2017!AO51))</f>
        <v>0</v>
      </c>
      <c r="AP51" s="1">
        <f>IF(IF(uxb_works!$B$46=1,tblCategories_2014!AP51,tblCategories_2017!AP51)="","",IF(uxb_works!$B$46=1,tblCategories_2014!AP51,tblCategories_2017!AP51))</f>
        <v>0</v>
      </c>
      <c r="AQ51" s="1">
        <f>IF(IF(uxb_works!$B$46=1,tblCategories_2014!AQ51,tblCategories_2017!AQ51)="","",IF(uxb_works!$B$46=1,tblCategories_2014!AQ51,tblCategories_2017!AQ51))</f>
        <v>1</v>
      </c>
      <c r="AR51" s="1">
        <f>IF(IF(uxb_works!$B$46=1,tblCategories_2014!AR51,tblCategories_2017!AR51)="","",IF(uxb_works!$B$46=1,tblCategories_2014!AR51,tblCategories_2017!AR51))</f>
        <v>0</v>
      </c>
      <c r="AS51" s="1">
        <f>IF(IF(uxb_works!$B$46=1,tblCategories_2014!AS51,tblCategories_2017!AS51)="","",IF(uxb_works!$B$46=1,tblCategories_2014!AS51,tblCategories_2017!AS51))</f>
        <v>0</v>
      </c>
    </row>
    <row r="52" ht="12.75" spans="1:45">
      <c r="A52" s="1">
        <f>IF(IF(uxb_works!$B$46=1,tblCategories_2014!A52,tblCategories_2017!A52)="","",IF(uxb_works!$B$46=1,tblCategories_2014!A52,tblCategories_2017!A52))</f>
        <v>50</v>
      </c>
      <c r="B52" s="1" t="str">
        <f>IF(IF(uxb_works!$B$46=1,tblCategories_2014!B52,tblCategories_2017!B52)="","",IF(uxb_works!$B$46=1,tblCategories_2014!B52,tblCategories_2017!B52))</f>
        <v/>
      </c>
      <c r="C52" s="57" t="str">
        <f>IF(IF(uxb_works!$B$46=1,tblCategories_2014!C52,tblCategories_2017!C52)="","",IF(uxb_works!$B$46=1,tblCategories_2014!C52,tblCategories_2017!C52))</f>
        <v>4.2.1) Prevalence of petty crime</v>
      </c>
      <c r="D52" s="1" t="str">
        <f>IF(IF(uxb_works!$B$46=1,tblCategories_2014!D52,tblCategories_2017!D52)="","",IF(uxb_works!$B$46=1,tblCategories_2014!D52,tblCategories_2017!D52))</f>
        <v>4.2.1) Prevalence of petty crime</v>
      </c>
      <c r="E52" s="1" t="str">
        <f>IF(IF(uxb_works!$B$46=1,tblCategories_2014!E52,tblCategories_2017!E52)="","",IF(uxb_works!$B$46=1,tblCategories_2014!E52,tblCategories_2017!E52))</f>
        <v/>
      </c>
      <c r="F52" s="23">
        <f>IF(IF(uxb_works!$B$46=1,tblCategories_2014!F52,tblCategories_2017!F52)="","",IF(uxb_works!$B$46=1,tblCategories_2014!F52,tblCategories_2017!F52))</f>
        <v>1</v>
      </c>
      <c r="G52" s="32" t="str">
        <f>IF(IF(uxb_works!$B$46=1,tblCategories_2014!G52,tblCategories_2017!G52)="","",IF(uxb_works!$B$46=1,tblCategories_2014!G52,tblCategories_2017!G52))</f>
        <v/>
      </c>
      <c r="H52" s="1" t="str">
        <f>IF(IF(uxb_works!$B$46=1,tblCategories_2014!H52,tblCategories_2017!H52)="","",IF(uxb_works!$B$46=1,tblCategories_2014!H52,tblCategories_2017!H52))</f>
        <v/>
      </c>
      <c r="I52" s="23" t="str">
        <f>IF(IF(uxb_works!$B$46=1,tblCategories_2014!I52,tblCategories_2017!I52)="","",IF(uxb_works!$B$46=1,tblCategories_2014!I52,tblCategories_2017!I52))</f>
        <v/>
      </c>
      <c r="J52" s="1" t="str">
        <f>IF(IF(uxb_works!$B$46=1,tblCategories_2014!J52,tblCategories_2017!J52)="","",IF(uxb_works!$B$46=1,tblCategories_2014!J52,tblCategories_2017!J52))</f>
        <v/>
      </c>
      <c r="K52" s="1" t="str">
        <f>IF(IF(uxb_works!$B$46=1,tblCategories_2014!K53,tblCategories_2017!K52)="","",IF(uxb_works!$B$46=1,tblCategories_2014!K53,tblCategories_2017!K52))</f>
        <v/>
      </c>
      <c r="L52" s="1">
        <f>IF(IF(uxb_works!$B$46=1,tblCategories_2014!L52,tblCategories_2017!L52)="","",IF(uxb_works!$B$46=1,tblCategories_2014!L52,tblCategories_2017!L52))</f>
        <v>1</v>
      </c>
      <c r="M52" s="1">
        <f>IF(IF(uxb_works!$B$46=1,tblCategories_2014!M52,tblCategories_2017!M52)="","",IF(uxb_works!$B$46=1,tblCategories_2014!M52,tblCategories_2017!M52))</f>
        <v>1</v>
      </c>
      <c r="N52" s="1">
        <f>IF(IF(uxb_works!$B$46=1,tblCategories_2014!N52,tblCategories_2017!N52)="","",IF(uxb_works!$B$46=1,tblCategories_2014!N52,tblCategories_2017!N52))</f>
        <v>0</v>
      </c>
      <c r="O52" s="1">
        <f>IF(IF(uxb_works!$B$46=1,tblCategories_2014!O52,tblCategories_2017!O52)="","",IF(uxb_works!$B$46=1,tblCategories_2014!O52,tblCategories_2017!O52))</f>
        <v>0</v>
      </c>
      <c r="P52" s="1">
        <f>IF(IF(uxb_works!$B$46=1,tblCategories_2014!P52,tblCategories_2017!P52)="","",IF(uxb_works!$B$46=1,tblCategories_2014!P52,tblCategories_2017!P52))</f>
        <v>0</v>
      </c>
      <c r="Q52" s="1">
        <f>IF(IF(uxb_works!$B$46=1,tblCategories_2014!Q52,tblCategories_2017!Q52)="","",IF(uxb_works!$B$46=1,tblCategories_2014!Q52,tblCategories_2017!Q52))</f>
        <v>0</v>
      </c>
      <c r="R52" s="1">
        <f>IF(IF(uxb_works!$B$46=1,tblCategories_2014!R52,tblCategories_2017!R52)="","",IF(uxb_works!$B$46=1,tblCategories_2014!R52,tblCategories_2017!R52))</f>
        <v>0</v>
      </c>
      <c r="S52" s="1">
        <f>IF(IF(uxb_works!$B$46=1,tblCategories_2014!S52,tblCategories_2017!S52)="","",IF(uxb_works!$B$46=1,tblCategories_2014!S52,tblCategories_2017!S52))</f>
        <v>0</v>
      </c>
      <c r="T52" s="1">
        <f>IF(IF(uxb_works!$B$46=1,tblCategories_2014!T52,tblCategories_2017!T52)="","",IF(uxb_works!$B$46=1,tblCategories_2014!T52,tblCategories_2017!T52))</f>
        <v>0</v>
      </c>
      <c r="U52" s="1">
        <f>IF(IF(uxb_works!$B$46=1,tblCategories_2014!U52,tblCategories_2017!U52)="","",IF(uxb_works!$B$46=1,tblCategories_2014!U52,tblCategories_2017!U52))</f>
        <v>0</v>
      </c>
      <c r="V52" s="1">
        <f>IF(IF(uxb_works!$B$46=1,tblCategories_2014!V52,tblCategories_2017!V52)="","",IF(uxb_works!$B$46=1,tblCategories_2014!V52,tblCategories_2017!V52))</f>
        <v>0</v>
      </c>
      <c r="W52" s="1">
        <f>IF(IF(uxb_works!$B$46=1,tblCategories_2014!W52,tblCategories_2017!W52)="","",IF(uxb_works!$B$46=1,tblCategories_2014!W52,tblCategories_2017!W52))</f>
        <v>1</v>
      </c>
      <c r="X52" s="1">
        <f>IF(IF(uxb_works!$B$46=1,tblCategories_2014!X52,tblCategories_2017!X52)="","",IF(uxb_works!$B$46=1,tblCategories_2014!X52,tblCategories_2017!X52))</f>
        <v>0</v>
      </c>
      <c r="Y52" s="1">
        <f>IF(IF(uxb_works!$B$46=1,tblCategories_2014!Y52,tblCategories_2017!Y52)="","",IF(uxb_works!$B$46=1,tblCategories_2014!Y52,tblCategories_2017!Y52))</f>
        <v>1</v>
      </c>
      <c r="Z52" s="1" t="str">
        <f>IF(IF(uxb_works!$B$46=1,tblCategories_2014!Z52,tblCategories_2017!Z52)="","",IF(uxb_works!$B$46=1,tblCategories_2014!Z52,tblCategories_2017!Z52))</f>
        <v/>
      </c>
      <c r="AA52" s="53" t="str">
        <f>IF(IF(uxb_works!$B$46=1,tblCategories_2014!AA52,tblCategories_2017!AA52)="","",IF(uxb_works!$B$46=1,tblCategories_2014!AA52,tblCategories_2017!AA52))</f>
        <v/>
      </c>
      <c r="AB52" s="20" t="str">
        <f>IF(IF(uxb_works!$B$46=1,tblCategories_2014!AB52,tblCategories_2017!AB52)="","",IF(uxb_works!$B$46=1,tblCategories_2014!AB52,tblCategories_2017!AB52))</f>
        <v/>
      </c>
      <c r="AC52" s="23">
        <f>IF(IF(uxb_works!$B$46=1,tblCategories_2014!AC52,tblCategories_2017!AC52)="","",IF(uxb_works!$B$46=1,tblCategories_2014!AC52,tblCategories_2017!AC52))</f>
        <v>0</v>
      </c>
      <c r="AD52" s="1" t="str">
        <f>IF(IF(uxb_works!$B$46=1,tblCategories_2014!AD52,tblCategories_2017!AD52)="","",IF(uxb_works!$B$46=1,tblCategories_2014!AD52,tblCategories_2017!AD52))</f>
        <v/>
      </c>
      <c r="AF52" s="1">
        <f>IF(IF(uxb_works!$B$46=1,tblCategories_2014!AF52,tblCategories_2017!AF52)="","",IF(uxb_works!$B$46=1,tblCategories_2014!AF52,tblCategories_2017!AF52))</f>
        <v>1</v>
      </c>
      <c r="AG52" s="1">
        <f>IF(IF(uxb_works!$B$46=1,tblCategories_2014!AG52,tblCategories_2017!AG52)="","",IF(uxb_works!$B$46=1,tblCategories_2014!AG52,tblCategories_2017!AG52))</f>
        <v>0</v>
      </c>
      <c r="AH52" s="1">
        <f>IF(IF(uxb_works!$B$46=1,tblCategories_2014!AH52,tblCategories_2017!AH52)="","",IF(uxb_works!$B$46=1,tblCategories_2014!AH52,tblCategories_2017!AH52))</f>
        <v>0</v>
      </c>
      <c r="AI52" s="1">
        <f>IF(IF(uxb_works!$B$46=1,tblCategories_2014!AI52,tblCategories_2017!AI52)="","",IF(uxb_works!$B$46=1,tblCategories_2014!AI52,tblCategories_2017!AI52))</f>
        <v>0</v>
      </c>
      <c r="AJ52" s="1">
        <f>IF(IF(uxb_works!$B$46=1,tblCategories_2014!AJ52,tblCategories_2017!AJ52)="","",IF(uxb_works!$B$46=1,tblCategories_2014!AJ52,tblCategories_2017!AJ52))</f>
        <v>0</v>
      </c>
      <c r="AK52" s="1">
        <f>IF(IF(uxb_works!$B$46=1,tblCategories_2014!AK52,tblCategories_2017!AK52)="","",IF(uxb_works!$B$46=1,tblCategories_2014!AK52,tblCategories_2017!AK52))</f>
        <v>0</v>
      </c>
      <c r="AL52" s="1">
        <f>IF(IF(uxb_works!$B$46=1,tblCategories_2014!AL52,tblCategories_2017!AL52)="","",IF(uxb_works!$B$46=1,tblCategories_2014!AL52,tblCategories_2017!AL52))</f>
        <v>0</v>
      </c>
      <c r="AM52" s="1">
        <f>IF(IF(uxb_works!$B$46=1,tblCategories_2014!AM52,tblCategories_2017!AM52)="","",IF(uxb_works!$B$46=1,tblCategories_2014!AM52,tblCategories_2017!AM52))</f>
        <v>0</v>
      </c>
      <c r="AN52" s="1">
        <f>IF(IF(uxb_works!$B$46=1,tblCategories_2014!AN52,tblCategories_2017!AN52)="","",IF(uxb_works!$B$46=1,tblCategories_2014!AN52,tblCategories_2017!AN52))</f>
        <v>0</v>
      </c>
      <c r="AO52" s="1">
        <f>IF(IF(uxb_works!$B$46=1,tblCategories_2014!AO52,tblCategories_2017!AO52)="","",IF(uxb_works!$B$46=1,tblCategories_2014!AO52,tblCategories_2017!AO52))</f>
        <v>0</v>
      </c>
      <c r="AP52" s="1">
        <f>IF(IF(uxb_works!$B$46=1,tblCategories_2014!AP52,tblCategories_2017!AP52)="","",IF(uxb_works!$B$46=1,tblCategories_2014!AP52,tblCategories_2017!AP52))</f>
        <v>0</v>
      </c>
      <c r="AQ52" s="1">
        <f>IF(IF(uxb_works!$B$46=1,tblCategories_2014!AQ52,tblCategories_2017!AQ52)="","",IF(uxb_works!$B$46=1,tblCategories_2014!AQ52,tblCategories_2017!AQ52))</f>
        <v>0</v>
      </c>
      <c r="AR52" s="1">
        <f>IF(IF(uxb_works!$B$46=1,tblCategories_2014!AR52,tblCategories_2017!AR52)="","",IF(uxb_works!$B$46=1,tblCategories_2014!AR52,tblCategories_2017!AR52))</f>
        <v>0</v>
      </c>
      <c r="AS52" s="1">
        <f>IF(IF(uxb_works!$B$46=1,tblCategories_2014!AS52,tblCategories_2017!AS52)="","",IF(uxb_works!$B$46=1,tblCategories_2014!AS52,tblCategories_2017!AS52))</f>
        <v>1</v>
      </c>
    </row>
    <row r="53" ht="12.75" spans="1:45">
      <c r="A53" s="1">
        <f>IF(IF(uxb_works!$B$46=1,tblCategories_2014!A53,tblCategories_2017!A53)="","",IF(uxb_works!$B$46=1,tblCategories_2014!A53,tblCategories_2017!A53))</f>
        <v>51</v>
      </c>
      <c r="B53" s="1" t="str">
        <f>IF(IF(uxb_works!$B$46=1,tblCategories_2014!B53,tblCategories_2017!B53)="","",IF(uxb_works!$B$46=1,tblCategories_2014!B53,tblCategories_2017!B53))</f>
        <v/>
      </c>
      <c r="C53" s="57" t="str">
        <f>IF(IF(uxb_works!$B$46=1,tblCategories_2014!C53,tblCategories_2017!C53)="","",IF(uxb_works!$B$46=1,tblCategories_2014!C53,tblCategories_2017!C53))</f>
        <v>4.2.2) Prevalence of violent crime</v>
      </c>
      <c r="D53" s="1" t="str">
        <f>IF(IF(uxb_works!$B$46=1,tblCategories_2014!D53,tblCategories_2017!D53)="","",IF(uxb_works!$B$46=1,tblCategories_2014!D53,tblCategories_2017!D53))</f>
        <v>4.2.2) Prevalence of violent crime</v>
      </c>
      <c r="E53" s="1" t="str">
        <f>IF(IF(uxb_works!$B$46=1,tblCategories_2014!E53,tblCategories_2017!E53)="","",IF(uxb_works!$B$46=1,tblCategories_2014!E53,tblCategories_2017!E53))</f>
        <v/>
      </c>
      <c r="F53" s="23">
        <f>IF(IF(uxb_works!$B$46=1,tblCategories_2014!F53,tblCategories_2017!F53)="","",IF(uxb_works!$B$46=1,tblCategories_2014!F53,tblCategories_2017!F53))</f>
        <v>1</v>
      </c>
      <c r="G53" s="32" t="str">
        <f>IF(IF(uxb_works!$B$46=1,tblCategories_2014!G53,tblCategories_2017!G53)="","",IF(uxb_works!$B$46=1,tblCategories_2014!G53,tblCategories_2017!G53))</f>
        <v/>
      </c>
      <c r="H53" s="1" t="str">
        <f>IF(IF(uxb_works!$B$46=1,tblCategories_2014!H53,tblCategories_2017!H53)="","",IF(uxb_works!$B$46=1,tblCategories_2014!H53,tblCategories_2017!H53))</f>
        <v/>
      </c>
      <c r="I53" s="23" t="str">
        <f>IF(IF(uxb_works!$B$46=1,tblCategories_2014!I53,tblCategories_2017!I53)="","",IF(uxb_works!$B$46=1,tblCategories_2014!I53,tblCategories_2017!I53))</f>
        <v/>
      </c>
      <c r="J53" s="1" t="str">
        <f>IF(IF(uxb_works!$B$46=1,tblCategories_2014!J53,tblCategories_2017!J53)="","",IF(uxb_works!$B$46=1,tblCategories_2014!J53,tblCategories_2017!J53))</f>
        <v/>
      </c>
      <c r="K53" s="1" t="str">
        <f>IF(IF(uxb_works!$B$46=1,tblCategories_2014!K54,tblCategories_2017!K53)="","",IF(uxb_works!$B$46=1,tblCategories_2014!K54,tblCategories_2017!K53))</f>
        <v/>
      </c>
      <c r="L53" s="1">
        <f>IF(IF(uxb_works!$B$46=1,tblCategories_2014!L53,tblCategories_2017!L53)="","",IF(uxb_works!$B$46=1,tblCategories_2014!L53,tblCategories_2017!L53))</f>
        <v>1</v>
      </c>
      <c r="M53" s="1">
        <f>IF(IF(uxb_works!$B$46=1,tblCategories_2014!M53,tblCategories_2017!M53)="","",IF(uxb_works!$B$46=1,tblCategories_2014!M53,tblCategories_2017!M53))</f>
        <v>1</v>
      </c>
      <c r="N53" s="1">
        <f>IF(IF(uxb_works!$B$46=1,tblCategories_2014!N53,tblCategories_2017!N53)="","",IF(uxb_works!$B$46=1,tblCategories_2014!N53,tblCategories_2017!N53))</f>
        <v>0</v>
      </c>
      <c r="O53" s="1">
        <f>IF(IF(uxb_works!$B$46=1,tblCategories_2014!O53,tblCategories_2017!O53)="","",IF(uxb_works!$B$46=1,tblCategories_2014!O53,tblCategories_2017!O53))</f>
        <v>0</v>
      </c>
      <c r="P53" s="1">
        <f>IF(IF(uxb_works!$B$46=1,tblCategories_2014!P53,tblCategories_2017!P53)="","",IF(uxb_works!$B$46=1,tblCategories_2014!P53,tblCategories_2017!P53))</f>
        <v>0</v>
      </c>
      <c r="Q53" s="1">
        <f>IF(IF(uxb_works!$B$46=1,tblCategories_2014!Q53,tblCategories_2017!Q53)="","",IF(uxb_works!$B$46=1,tblCategories_2014!Q53,tblCategories_2017!Q53))</f>
        <v>0</v>
      </c>
      <c r="R53" s="1">
        <f>IF(IF(uxb_works!$B$46=1,tblCategories_2014!R53,tblCategories_2017!R53)="","",IF(uxb_works!$B$46=1,tblCategories_2014!R53,tblCategories_2017!R53))</f>
        <v>0</v>
      </c>
      <c r="S53" s="1">
        <f>IF(IF(uxb_works!$B$46=1,tblCategories_2014!S53,tblCategories_2017!S53)="","",IF(uxb_works!$B$46=1,tblCategories_2014!S53,tblCategories_2017!S53))</f>
        <v>0</v>
      </c>
      <c r="T53" s="1">
        <f>IF(IF(uxb_works!$B$46=1,tblCategories_2014!T53,tblCategories_2017!T53)="","",IF(uxb_works!$B$46=1,tblCategories_2014!T53,tblCategories_2017!T53))</f>
        <v>0</v>
      </c>
      <c r="U53" s="1">
        <f>IF(IF(uxb_works!$B$46=1,tblCategories_2014!U53,tblCategories_2017!U53)="","",IF(uxb_works!$B$46=1,tblCategories_2014!U53,tblCategories_2017!U53))</f>
        <v>0</v>
      </c>
      <c r="V53" s="1">
        <f>IF(IF(uxb_works!$B$46=1,tblCategories_2014!V53,tblCategories_2017!V53)="","",IF(uxb_works!$B$46=1,tblCategories_2014!V53,tblCategories_2017!V53))</f>
        <v>0</v>
      </c>
      <c r="W53" s="1">
        <f>IF(IF(uxb_works!$B$46=1,tblCategories_2014!W53,tblCategories_2017!W53)="","",IF(uxb_works!$B$46=1,tblCategories_2014!W53,tblCategories_2017!W53))</f>
        <v>1</v>
      </c>
      <c r="X53" s="1">
        <f>IF(IF(uxb_works!$B$46=1,tblCategories_2014!X53,tblCategories_2017!X53)="","",IF(uxb_works!$B$46=1,tblCategories_2014!X53,tblCategories_2017!X53))</f>
        <v>0</v>
      </c>
      <c r="Y53" s="1">
        <f>IF(IF(uxb_works!$B$46=1,tblCategories_2014!Y53,tblCategories_2017!Y53)="","",IF(uxb_works!$B$46=1,tblCategories_2014!Y53,tblCategories_2017!Y53))</f>
        <v>1</v>
      </c>
      <c r="Z53" s="1" t="str">
        <f>IF(IF(uxb_works!$B$46=1,tblCategories_2014!Z53,tblCategories_2017!Z53)="","",IF(uxb_works!$B$46=1,tblCategories_2014!Z53,tblCategories_2017!Z53))</f>
        <v/>
      </c>
      <c r="AA53" s="53" t="str">
        <f>IF(IF(uxb_works!$B$46=1,tblCategories_2014!AA53,tblCategories_2017!AA53)="","",IF(uxb_works!$B$46=1,tblCategories_2014!AA53,tblCategories_2017!AA53))</f>
        <v/>
      </c>
      <c r="AB53" s="20" t="str">
        <f>IF(IF(uxb_works!$B$46=1,tblCategories_2014!AB53,tblCategories_2017!AB53)="","",IF(uxb_works!$B$46=1,tblCategories_2014!AB53,tblCategories_2017!AB53))</f>
        <v/>
      </c>
      <c r="AC53" s="23">
        <f>IF(IF(uxb_works!$B$46=1,tblCategories_2014!AC53,tblCategories_2017!AC53)="","",IF(uxb_works!$B$46=1,tblCategories_2014!AC53,tblCategories_2017!AC53))</f>
        <v>0</v>
      </c>
      <c r="AD53" s="1" t="str">
        <f>IF(IF(uxb_works!$B$46=1,tblCategories_2014!AD53,tblCategories_2017!AD53)="","",IF(uxb_works!$B$46=1,tblCategories_2014!AD53,tblCategories_2017!AD53))</f>
        <v/>
      </c>
      <c r="AF53" s="1">
        <f>IF(IF(uxb_works!$B$46=1,tblCategories_2014!AF53,tblCategories_2017!AF53)="","",IF(uxb_works!$B$46=1,tblCategories_2014!AF53,tblCategories_2017!AF53))</f>
        <v>1</v>
      </c>
      <c r="AG53" s="1">
        <f>IF(IF(uxb_works!$B$46=1,tblCategories_2014!AG53,tblCategories_2017!AG53)="","",IF(uxb_works!$B$46=1,tblCategories_2014!AG53,tblCategories_2017!AG53))</f>
        <v>0</v>
      </c>
      <c r="AH53" s="1">
        <f>IF(IF(uxb_works!$B$46=1,tblCategories_2014!AH53,tblCategories_2017!AH53)="","",IF(uxb_works!$B$46=1,tblCategories_2014!AH53,tblCategories_2017!AH53))</f>
        <v>0</v>
      </c>
      <c r="AI53" s="1">
        <f>IF(IF(uxb_works!$B$46=1,tblCategories_2014!AI53,tblCategories_2017!AI53)="","",IF(uxb_works!$B$46=1,tblCategories_2014!AI53,tblCategories_2017!AI53))</f>
        <v>0</v>
      </c>
      <c r="AJ53" s="1">
        <f>IF(IF(uxb_works!$B$46=1,tblCategories_2014!AJ53,tblCategories_2017!AJ53)="","",IF(uxb_works!$B$46=1,tblCategories_2014!AJ53,tblCategories_2017!AJ53))</f>
        <v>0</v>
      </c>
      <c r="AK53" s="1">
        <f>IF(IF(uxb_works!$B$46=1,tblCategories_2014!AK53,tblCategories_2017!AK53)="","",IF(uxb_works!$B$46=1,tblCategories_2014!AK53,tblCategories_2017!AK53))</f>
        <v>0</v>
      </c>
      <c r="AL53" s="1">
        <f>IF(IF(uxb_works!$B$46=1,tblCategories_2014!AL53,tblCategories_2017!AL53)="","",IF(uxb_works!$B$46=1,tblCategories_2014!AL53,tblCategories_2017!AL53))</f>
        <v>0</v>
      </c>
      <c r="AM53" s="1">
        <f>IF(IF(uxb_works!$B$46=1,tblCategories_2014!AM53,tblCategories_2017!AM53)="","",IF(uxb_works!$B$46=1,tblCategories_2014!AM53,tblCategories_2017!AM53))</f>
        <v>0</v>
      </c>
      <c r="AN53" s="1">
        <f>IF(IF(uxb_works!$B$46=1,tblCategories_2014!AN53,tblCategories_2017!AN53)="","",IF(uxb_works!$B$46=1,tblCategories_2014!AN53,tblCategories_2017!AN53))</f>
        <v>0</v>
      </c>
      <c r="AO53" s="1">
        <f>IF(IF(uxb_works!$B$46=1,tblCategories_2014!AO53,tblCategories_2017!AO53)="","",IF(uxb_works!$B$46=1,tblCategories_2014!AO53,tblCategories_2017!AO53))</f>
        <v>0</v>
      </c>
      <c r="AP53" s="1">
        <f>IF(IF(uxb_works!$B$46=1,tblCategories_2014!AP53,tblCategories_2017!AP53)="","",IF(uxb_works!$B$46=1,tblCategories_2014!AP53,tblCategories_2017!AP53))</f>
        <v>0</v>
      </c>
      <c r="AQ53" s="1">
        <f>IF(IF(uxb_works!$B$46=1,tblCategories_2014!AQ53,tblCategories_2017!AQ53)="","",IF(uxb_works!$B$46=1,tblCategories_2014!AQ53,tblCategories_2017!AQ53))</f>
        <v>0</v>
      </c>
      <c r="AR53" s="1">
        <f>IF(IF(uxb_works!$B$46=1,tblCategories_2014!AR53,tblCategories_2017!AR53)="","",IF(uxb_works!$B$46=1,tblCategories_2014!AR53,tblCategories_2017!AR53))</f>
        <v>0</v>
      </c>
      <c r="AS53" s="1">
        <f>IF(IF(uxb_works!$B$46=1,tblCategories_2014!AS53,tblCategories_2017!AS53)="","",IF(uxb_works!$B$46=1,tblCategories_2014!AS53,tblCategories_2017!AS53))</f>
        <v>1</v>
      </c>
    </row>
    <row r="54" ht="12.75" spans="1:45">
      <c r="A54" s="1">
        <f>IF(IF(uxb_works!$B$46=1,tblCategories_2014!A54,tblCategories_2017!A54)="","",IF(uxb_works!$B$46=1,tblCategories_2014!A54,tblCategories_2017!A54))</f>
        <v>52</v>
      </c>
      <c r="B54" s="1" t="str">
        <f>IF(IF(uxb_works!$B$46=1,tblCategories_2014!B54,tblCategories_2017!B54)="","",IF(uxb_works!$B$46=1,tblCategories_2014!B54,tblCategories_2017!B54))</f>
        <v/>
      </c>
      <c r="C54" s="57" t="str">
        <f>IF(IF(uxb_works!$B$46=1,tblCategories_2014!C54,tblCategories_2017!C54)="","",IF(uxb_works!$B$46=1,tblCategories_2014!C54,tblCategories_2017!C54))</f>
        <v>4.2.3) Organised crime</v>
      </c>
      <c r="D54" s="1" t="str">
        <f>IF(IF(uxb_works!$B$46=1,tblCategories_2014!D54,tblCategories_2017!D54)="","",IF(uxb_works!$B$46=1,tblCategories_2014!D54,tblCategories_2017!D54))</f>
        <v>4.2.3) Organised crime</v>
      </c>
      <c r="E54" s="1" t="str">
        <f>IF(IF(uxb_works!$B$46=1,tblCategories_2014!E54,tblCategories_2017!E54)="","",IF(uxb_works!$B$46=1,tblCategories_2014!E54,tblCategories_2017!E54))</f>
        <v/>
      </c>
      <c r="F54" s="23">
        <f>IF(IF(uxb_works!$B$46=1,tblCategories_2014!F54,tblCategories_2017!F54)="","",IF(uxb_works!$B$46=1,tblCategories_2014!F54,tblCategories_2017!F54))</f>
        <v>1</v>
      </c>
      <c r="G54" s="32" t="str">
        <f>IF(IF(uxb_works!$B$46=1,tblCategories_2014!G54,tblCategories_2017!G54)="","",IF(uxb_works!$B$46=1,tblCategories_2014!G54,tblCategories_2017!G54))</f>
        <v/>
      </c>
      <c r="H54" s="1" t="str">
        <f>IF(IF(uxb_works!$B$46=1,tblCategories_2014!H54,tblCategories_2017!H54)="","",IF(uxb_works!$B$46=1,tblCategories_2014!H54,tblCategories_2017!H54))</f>
        <v/>
      </c>
      <c r="I54" s="23" t="str">
        <f>IF(IF(uxb_works!$B$46=1,tblCategories_2014!I54,tblCategories_2017!I54)="","",IF(uxb_works!$B$46=1,tblCategories_2014!I54,tblCategories_2017!I54))</f>
        <v/>
      </c>
      <c r="J54" s="1" t="str">
        <f>IF(IF(uxb_works!$B$46=1,tblCategories_2014!J54,tblCategories_2017!J54)="","",IF(uxb_works!$B$46=1,tblCategories_2014!J54,tblCategories_2017!J54))</f>
        <v/>
      </c>
      <c r="K54" s="1" t="str">
        <f>IF(IF(uxb_works!$B$46=1,tblCategories_2014!K55,tblCategories_2017!K54)="","",IF(uxb_works!$B$46=1,tblCategories_2014!K55,tblCategories_2017!K54))</f>
        <v/>
      </c>
      <c r="L54" s="1">
        <f>IF(IF(uxb_works!$B$46=1,tblCategories_2014!L54,tblCategories_2017!L54)="","",IF(uxb_works!$B$46=1,tblCategories_2014!L54,tblCategories_2017!L54))</f>
        <v>1</v>
      </c>
      <c r="M54" s="1">
        <f>IF(IF(uxb_works!$B$46=1,tblCategories_2014!M54,tblCategories_2017!M54)="","",IF(uxb_works!$B$46=1,tblCategories_2014!M54,tblCategories_2017!M54))</f>
        <v>1</v>
      </c>
      <c r="N54" s="1">
        <f>IF(IF(uxb_works!$B$46=1,tblCategories_2014!N54,tblCategories_2017!N54)="","",IF(uxb_works!$B$46=1,tblCategories_2014!N54,tblCategories_2017!N54))</f>
        <v>0</v>
      </c>
      <c r="O54" s="1">
        <f>IF(IF(uxb_works!$B$46=1,tblCategories_2014!O54,tblCategories_2017!O54)="","",IF(uxb_works!$B$46=1,tblCategories_2014!O54,tblCategories_2017!O54))</f>
        <v>0</v>
      </c>
      <c r="P54" s="1">
        <f>IF(IF(uxb_works!$B$46=1,tblCategories_2014!P54,tblCategories_2017!P54)="","",IF(uxb_works!$B$46=1,tblCategories_2014!P54,tblCategories_2017!P54))</f>
        <v>0</v>
      </c>
      <c r="Q54" s="1">
        <f>IF(IF(uxb_works!$B$46=1,tblCategories_2014!Q54,tblCategories_2017!Q54)="","",IF(uxb_works!$B$46=1,tblCategories_2014!Q54,tblCategories_2017!Q54))</f>
        <v>0</v>
      </c>
      <c r="R54" s="1">
        <f>IF(IF(uxb_works!$B$46=1,tblCategories_2014!R54,tblCategories_2017!R54)="","",IF(uxb_works!$B$46=1,tblCategories_2014!R54,tblCategories_2017!R54))</f>
        <v>0</v>
      </c>
      <c r="S54" s="1">
        <f>IF(IF(uxb_works!$B$46=1,tblCategories_2014!S54,tblCategories_2017!S54)="","",IF(uxb_works!$B$46=1,tblCategories_2014!S54,tblCategories_2017!S54))</f>
        <v>0</v>
      </c>
      <c r="T54" s="1">
        <f>IF(IF(uxb_works!$B$46=1,tblCategories_2014!T54,tblCategories_2017!T54)="","",IF(uxb_works!$B$46=1,tblCategories_2014!T54,tblCategories_2017!T54))</f>
        <v>0</v>
      </c>
      <c r="U54" s="1">
        <f>IF(IF(uxb_works!$B$46=1,tblCategories_2014!U54,tblCategories_2017!U54)="","",IF(uxb_works!$B$46=1,tblCategories_2014!U54,tblCategories_2017!U54))</f>
        <v>0</v>
      </c>
      <c r="V54" s="1">
        <f>IF(IF(uxb_works!$B$46=1,tblCategories_2014!V54,tblCategories_2017!V54)="","",IF(uxb_works!$B$46=1,tblCategories_2014!V54,tblCategories_2017!V54))</f>
        <v>0</v>
      </c>
      <c r="W54" s="1">
        <f>IF(IF(uxb_works!$B$46=1,tblCategories_2014!W54,tblCategories_2017!W54)="","",IF(uxb_works!$B$46=1,tblCategories_2014!W54,tblCategories_2017!W54))</f>
        <v>1</v>
      </c>
      <c r="X54" s="1">
        <f>IF(IF(uxb_works!$B$46=1,tblCategories_2014!X54,tblCategories_2017!X54)="","",IF(uxb_works!$B$46=1,tblCategories_2014!X54,tblCategories_2017!X54))</f>
        <v>0</v>
      </c>
      <c r="Y54" s="1">
        <f>IF(IF(uxb_works!$B$46=1,tblCategories_2014!Y54,tblCategories_2017!Y54)="","",IF(uxb_works!$B$46=1,tblCategories_2014!Y54,tblCategories_2017!Y54))</f>
        <v>1</v>
      </c>
      <c r="Z54" s="1" t="str">
        <f>IF(IF(uxb_works!$B$46=1,tblCategories_2014!Z54,tblCategories_2017!Z54)="","",IF(uxb_works!$B$46=1,tblCategories_2014!Z54,tblCategories_2017!Z54))</f>
        <v/>
      </c>
      <c r="AA54" s="53" t="str">
        <f>IF(IF(uxb_works!$B$46=1,tblCategories_2014!AA54,tblCategories_2017!AA54)="","",IF(uxb_works!$B$46=1,tblCategories_2014!AA54,tblCategories_2017!AA54))</f>
        <v/>
      </c>
      <c r="AB54" s="20" t="str">
        <f>IF(IF(uxb_works!$B$46=1,tblCategories_2014!AB54,tblCategories_2017!AB54)="","",IF(uxb_works!$B$46=1,tblCategories_2014!AB54,tblCategories_2017!AB54))</f>
        <v/>
      </c>
      <c r="AC54" s="23">
        <f>IF(IF(uxb_works!$B$46=1,tblCategories_2014!AC54,tblCategories_2017!AC54)="","",IF(uxb_works!$B$46=1,tblCategories_2014!AC54,tblCategories_2017!AC54))</f>
        <v>0</v>
      </c>
      <c r="AD54" s="1" t="str">
        <f>IF(IF(uxb_works!$B$46=1,tblCategories_2014!AD54,tblCategories_2017!AD54)="","",IF(uxb_works!$B$46=1,tblCategories_2014!AD54,tblCategories_2017!AD54))</f>
        <v/>
      </c>
      <c r="AF54" s="1">
        <f>IF(IF(uxb_works!$B$46=1,tblCategories_2014!AF54,tblCategories_2017!AF54)="","",IF(uxb_works!$B$46=1,tblCategories_2014!AF54,tblCategories_2017!AF54))</f>
        <v>1</v>
      </c>
      <c r="AG54" s="1">
        <f>IF(IF(uxb_works!$B$46=1,tblCategories_2014!AG54,tblCategories_2017!AG54)="","",IF(uxb_works!$B$46=1,tblCategories_2014!AG54,tblCategories_2017!AG54))</f>
        <v>0</v>
      </c>
      <c r="AH54" s="1">
        <f>IF(IF(uxb_works!$B$46=1,tblCategories_2014!AH54,tblCategories_2017!AH54)="","",IF(uxb_works!$B$46=1,tblCategories_2014!AH54,tblCategories_2017!AH54))</f>
        <v>0</v>
      </c>
      <c r="AI54" s="1">
        <f>IF(IF(uxb_works!$B$46=1,tblCategories_2014!AI54,tblCategories_2017!AI54)="","",IF(uxb_works!$B$46=1,tblCategories_2014!AI54,tblCategories_2017!AI54))</f>
        <v>0</v>
      </c>
      <c r="AJ54" s="1">
        <f>IF(IF(uxb_works!$B$46=1,tblCategories_2014!AJ54,tblCategories_2017!AJ54)="","",IF(uxb_works!$B$46=1,tblCategories_2014!AJ54,tblCategories_2017!AJ54))</f>
        <v>0</v>
      </c>
      <c r="AK54" s="1">
        <f>IF(IF(uxb_works!$B$46=1,tblCategories_2014!AK54,tblCategories_2017!AK54)="","",IF(uxb_works!$B$46=1,tblCategories_2014!AK54,tblCategories_2017!AK54))</f>
        <v>0</v>
      </c>
      <c r="AL54" s="1">
        <f>IF(IF(uxb_works!$B$46=1,tblCategories_2014!AL54,tblCategories_2017!AL54)="","",IF(uxb_works!$B$46=1,tblCategories_2014!AL54,tblCategories_2017!AL54))</f>
        <v>0</v>
      </c>
      <c r="AM54" s="1">
        <f>IF(IF(uxb_works!$B$46=1,tblCategories_2014!AM54,tblCategories_2017!AM54)="","",IF(uxb_works!$B$46=1,tblCategories_2014!AM54,tblCategories_2017!AM54))</f>
        <v>0</v>
      </c>
      <c r="AN54" s="1">
        <f>IF(IF(uxb_works!$B$46=1,tblCategories_2014!AN54,tblCategories_2017!AN54)="","",IF(uxb_works!$B$46=1,tblCategories_2014!AN54,tblCategories_2017!AN54))</f>
        <v>0</v>
      </c>
      <c r="AO54" s="1">
        <f>IF(IF(uxb_works!$B$46=1,tblCategories_2014!AO54,tblCategories_2017!AO54)="","",IF(uxb_works!$B$46=1,tblCategories_2014!AO54,tblCategories_2017!AO54))</f>
        <v>0</v>
      </c>
      <c r="AP54" s="1">
        <f>IF(IF(uxb_works!$B$46=1,tblCategories_2014!AP54,tblCategories_2017!AP54)="","",IF(uxb_works!$B$46=1,tblCategories_2014!AP54,tblCategories_2017!AP54))</f>
        <v>0</v>
      </c>
      <c r="AQ54" s="1">
        <f>IF(IF(uxb_works!$B$46=1,tblCategories_2014!AQ54,tblCategories_2017!AQ54)="","",IF(uxb_works!$B$46=1,tblCategories_2014!AQ54,tblCategories_2017!AQ54))</f>
        <v>0</v>
      </c>
      <c r="AR54" s="1">
        <f>IF(IF(uxb_works!$B$46=1,tblCategories_2014!AR54,tblCategories_2017!AR54)="","",IF(uxb_works!$B$46=1,tblCategories_2014!AR54,tblCategories_2017!AR54))</f>
        <v>0</v>
      </c>
      <c r="AS54" s="1">
        <f>IF(IF(uxb_works!$B$46=1,tblCategories_2014!AS54,tblCategories_2017!AS54)="","",IF(uxb_works!$B$46=1,tblCategories_2014!AS54,tblCategories_2017!AS54))</f>
        <v>1</v>
      </c>
    </row>
    <row r="55" ht="12.75" spans="1:45">
      <c r="A55" s="1">
        <f>IF(IF(uxb_works!$B$46=1,tblCategories_2014!A55,tblCategories_2017!A55)="","",IF(uxb_works!$B$46=1,tblCategories_2014!A55,tblCategories_2017!A55))</f>
        <v>53</v>
      </c>
      <c r="B55" s="1" t="str">
        <f>IF(IF(uxb_works!$B$46=1,tblCategories_2014!B55,tblCategories_2017!B55)="","",IF(uxb_works!$B$46=1,tblCategories_2014!B55,tblCategories_2017!B55))</f>
        <v/>
      </c>
      <c r="C55" s="57" t="str">
        <f>IF(IF(uxb_works!$B$46=1,tblCategories_2014!C55,tblCategories_2017!C55)="","",IF(uxb_works!$B$46=1,tblCategories_2014!C55,tblCategories_2017!C55))</f>
        <v>4.2.4) Level of corruption</v>
      </c>
      <c r="D55" s="1" t="str">
        <f>IF(IF(uxb_works!$B$46=1,tblCategories_2014!D55,tblCategories_2017!D55)="","",IF(uxb_works!$B$46=1,tblCategories_2014!D55,tblCategories_2017!D55))</f>
        <v>4.2.4) Level of corruption</v>
      </c>
      <c r="E55" s="1" t="str">
        <f>IF(IF(uxb_works!$B$46=1,tblCategories_2014!E55,tblCategories_2017!E55)="","",IF(uxb_works!$B$46=1,tblCategories_2014!E55,tblCategories_2017!E55))</f>
        <v/>
      </c>
      <c r="F55" s="23">
        <f>IF(IF(uxb_works!$B$46=1,tblCategories_2014!F55,tblCategories_2017!F55)="","",IF(uxb_works!$B$46=1,tblCategories_2014!F55,tblCategories_2017!F55))</f>
        <v>1</v>
      </c>
      <c r="G55" s="32" t="str">
        <f>IF(IF(uxb_works!$B$46=1,tblCategories_2014!G55,tblCategories_2017!G55)="","",IF(uxb_works!$B$46=1,tblCategories_2014!G55,tblCategories_2017!G55))</f>
        <v/>
      </c>
      <c r="H55" s="1" t="str">
        <f>IF(IF(uxb_works!$B$46=1,tblCategories_2014!H55,tblCategories_2017!H55)="","",IF(uxb_works!$B$46=1,tblCategories_2014!H55,tblCategories_2017!H55))</f>
        <v/>
      </c>
      <c r="I55" s="23" t="str">
        <f>IF(IF(uxb_works!$B$46=1,tblCategories_2014!I55,tblCategories_2017!I55)="","",IF(uxb_works!$B$46=1,tblCategories_2014!I55,tblCategories_2017!I55))</f>
        <v/>
      </c>
      <c r="J55" s="1" t="str">
        <f>IF(IF(uxb_works!$B$46=1,tblCategories_2014!J55,tblCategories_2017!J55)="","",IF(uxb_works!$B$46=1,tblCategories_2014!J55,tblCategories_2017!J55))</f>
        <v/>
      </c>
      <c r="K55" s="1" t="str">
        <f>IF(IF(uxb_works!$B$46=1,tblCategories_2014!K56,tblCategories_2017!K55)="","",IF(uxb_works!$B$46=1,tblCategories_2014!K56,tblCategories_2017!K55))</f>
        <v/>
      </c>
      <c r="L55" s="1">
        <f>IF(IF(uxb_works!$B$46=1,tblCategories_2014!L55,tblCategories_2017!L55)="","",IF(uxb_works!$B$46=1,tblCategories_2014!L55,tblCategories_2017!L55))</f>
        <v>1</v>
      </c>
      <c r="M55" s="1">
        <f>IF(IF(uxb_works!$B$46=1,tblCategories_2014!M55,tblCategories_2017!M55)="","",IF(uxb_works!$B$46=1,tblCategories_2014!M55,tblCategories_2017!M55))</f>
        <v>1</v>
      </c>
      <c r="N55" s="1">
        <f>IF(IF(uxb_works!$B$46=1,tblCategories_2014!N55,tblCategories_2017!N55)="","",IF(uxb_works!$B$46=1,tblCategories_2014!N55,tblCategories_2017!N55))</f>
        <v>0</v>
      </c>
      <c r="O55" s="1">
        <f>IF(IF(uxb_works!$B$46=1,tblCategories_2014!O55,tblCategories_2017!O55)="","",IF(uxb_works!$B$46=1,tblCategories_2014!O55,tblCategories_2017!O55))</f>
        <v>0</v>
      </c>
      <c r="P55" s="1">
        <f>IF(IF(uxb_works!$B$46=1,tblCategories_2014!P55,tblCategories_2017!P55)="","",IF(uxb_works!$B$46=1,tblCategories_2014!P55,tblCategories_2017!P55))</f>
        <v>0</v>
      </c>
      <c r="Q55" s="1">
        <f>IF(IF(uxb_works!$B$46=1,tblCategories_2014!Q55,tblCategories_2017!Q55)="","",IF(uxb_works!$B$46=1,tblCategories_2014!Q55,tblCategories_2017!Q55))</f>
        <v>0</v>
      </c>
      <c r="R55" s="1">
        <f>IF(IF(uxb_works!$B$46=1,tblCategories_2014!R55,tblCategories_2017!R55)="","",IF(uxb_works!$B$46=1,tblCategories_2014!R55,tblCategories_2017!R55))</f>
        <v>0</v>
      </c>
      <c r="S55" s="1">
        <f>IF(IF(uxb_works!$B$46=1,tblCategories_2014!S55,tblCategories_2017!S55)="","",IF(uxb_works!$B$46=1,tblCategories_2014!S55,tblCategories_2017!S55))</f>
        <v>0</v>
      </c>
      <c r="T55" s="1">
        <f>IF(IF(uxb_works!$B$46=1,tblCategories_2014!T55,tblCategories_2017!T55)="","",IF(uxb_works!$B$46=1,tblCategories_2014!T55,tblCategories_2017!T55))</f>
        <v>0</v>
      </c>
      <c r="U55" s="1">
        <f>IF(IF(uxb_works!$B$46=1,tblCategories_2014!U55,tblCategories_2017!U55)="","",IF(uxb_works!$B$46=1,tblCategories_2014!U55,tblCategories_2017!U55))</f>
        <v>0</v>
      </c>
      <c r="V55" s="1">
        <f>IF(IF(uxb_works!$B$46=1,tblCategories_2014!V55,tblCategories_2017!V55)="","",IF(uxb_works!$B$46=1,tblCategories_2014!V55,tblCategories_2017!V55))</f>
        <v>0</v>
      </c>
      <c r="W55" s="1">
        <f>IF(IF(uxb_works!$B$46=1,tblCategories_2014!W55,tblCategories_2017!W55)="","",IF(uxb_works!$B$46=1,tblCategories_2014!W55,tblCategories_2017!W55))</f>
        <v>1</v>
      </c>
      <c r="X55" s="1">
        <f>IF(IF(uxb_works!$B$46=1,tblCategories_2014!X55,tblCategories_2017!X55)="","",IF(uxb_works!$B$46=1,tblCategories_2014!X55,tblCategories_2017!X55))</f>
        <v>0</v>
      </c>
      <c r="Y55" s="1">
        <f>IF(IF(uxb_works!$B$46=1,tblCategories_2014!Y55,tblCategories_2017!Y55)="","",IF(uxb_works!$B$46=1,tblCategories_2014!Y55,tblCategories_2017!Y55))</f>
        <v>1</v>
      </c>
      <c r="Z55" s="1" t="str">
        <f>IF(IF(uxb_works!$B$46=1,tblCategories_2014!Z55,tblCategories_2017!Z55)="","",IF(uxb_works!$B$46=1,tblCategories_2014!Z55,tblCategories_2017!Z55))</f>
        <v/>
      </c>
      <c r="AA55" s="53" t="str">
        <f>IF(IF(uxb_works!$B$46=1,tblCategories_2014!AA55,tblCategories_2017!AA55)="","",IF(uxb_works!$B$46=1,tblCategories_2014!AA55,tblCategories_2017!AA55))</f>
        <v/>
      </c>
      <c r="AB55" s="20" t="str">
        <f>IF(IF(uxb_works!$B$46=1,tblCategories_2014!AB55,tblCategories_2017!AB55)="","",IF(uxb_works!$B$46=1,tblCategories_2014!AB55,tblCategories_2017!AB55))</f>
        <v/>
      </c>
      <c r="AC55" s="23">
        <f>IF(IF(uxb_works!$B$46=1,tblCategories_2014!AC55,tblCategories_2017!AC55)="","",IF(uxb_works!$B$46=1,tblCategories_2014!AC55,tblCategories_2017!AC55))</f>
        <v>0</v>
      </c>
      <c r="AD55" s="1" t="str">
        <f>IF(IF(uxb_works!$B$46=1,tblCategories_2014!AD55,tblCategories_2017!AD55)="","",IF(uxb_works!$B$46=1,tblCategories_2014!AD55,tblCategories_2017!AD55))</f>
        <v/>
      </c>
      <c r="AF55" s="1">
        <f>IF(IF(uxb_works!$B$46=1,tblCategories_2014!AF55,tblCategories_2017!AF55)="","",IF(uxb_works!$B$46=1,tblCategories_2014!AF55,tblCategories_2017!AF55))</f>
        <v>1</v>
      </c>
      <c r="AG55" s="1">
        <f>IF(IF(uxb_works!$B$46=1,tblCategories_2014!AG55,tblCategories_2017!AG55)="","",IF(uxb_works!$B$46=1,tblCategories_2014!AG55,tblCategories_2017!AG55))</f>
        <v>0</v>
      </c>
      <c r="AH55" s="1">
        <f>IF(IF(uxb_works!$B$46=1,tblCategories_2014!AH55,tblCategories_2017!AH55)="","",IF(uxb_works!$B$46=1,tblCategories_2014!AH55,tblCategories_2017!AH55))</f>
        <v>0</v>
      </c>
      <c r="AI55" s="1">
        <f>IF(IF(uxb_works!$B$46=1,tblCategories_2014!AI55,tblCategories_2017!AI55)="","",IF(uxb_works!$B$46=1,tblCategories_2014!AI55,tblCategories_2017!AI55))</f>
        <v>0</v>
      </c>
      <c r="AJ55" s="1">
        <f>IF(IF(uxb_works!$B$46=1,tblCategories_2014!AJ55,tblCategories_2017!AJ55)="","",IF(uxb_works!$B$46=1,tblCategories_2014!AJ55,tblCategories_2017!AJ55))</f>
        <v>0</v>
      </c>
      <c r="AK55" s="1">
        <f>IF(IF(uxb_works!$B$46=1,tblCategories_2014!AK55,tblCategories_2017!AK55)="","",IF(uxb_works!$B$46=1,tblCategories_2014!AK55,tblCategories_2017!AK55))</f>
        <v>0</v>
      </c>
      <c r="AL55" s="1">
        <f>IF(IF(uxb_works!$B$46=1,tblCategories_2014!AL55,tblCategories_2017!AL55)="","",IF(uxb_works!$B$46=1,tblCategories_2014!AL55,tblCategories_2017!AL55))</f>
        <v>0</v>
      </c>
      <c r="AM55" s="1">
        <f>IF(IF(uxb_works!$B$46=1,tblCategories_2014!AM55,tblCategories_2017!AM55)="","",IF(uxb_works!$B$46=1,tblCategories_2014!AM55,tblCategories_2017!AM55))</f>
        <v>0</v>
      </c>
      <c r="AN55" s="1">
        <f>IF(IF(uxb_works!$B$46=1,tblCategories_2014!AN55,tblCategories_2017!AN55)="","",IF(uxb_works!$B$46=1,tblCategories_2014!AN55,tblCategories_2017!AN55))</f>
        <v>0</v>
      </c>
      <c r="AO55" s="1">
        <f>IF(IF(uxb_works!$B$46=1,tblCategories_2014!AO55,tblCategories_2017!AO55)="","",IF(uxb_works!$B$46=1,tblCategories_2014!AO55,tblCategories_2017!AO55))</f>
        <v>0</v>
      </c>
      <c r="AP55" s="1">
        <f>IF(IF(uxb_works!$B$46=1,tblCategories_2014!AP55,tblCategories_2017!AP55)="","",IF(uxb_works!$B$46=1,tblCategories_2014!AP55,tblCategories_2017!AP55))</f>
        <v>0</v>
      </c>
      <c r="AQ55" s="1">
        <f>IF(IF(uxb_works!$B$46=1,tblCategories_2014!AQ55,tblCategories_2017!AQ55)="","",IF(uxb_works!$B$46=1,tblCategories_2014!AQ55,tblCategories_2017!AQ55))</f>
        <v>0</v>
      </c>
      <c r="AR55" s="1">
        <f>IF(IF(uxb_works!$B$46=1,tblCategories_2014!AR55,tblCategories_2017!AR55)="","",IF(uxb_works!$B$46=1,tblCategories_2014!AR55,tblCategories_2017!AR55))</f>
        <v>0</v>
      </c>
      <c r="AS55" s="1">
        <f>IF(IF(uxb_works!$B$46=1,tblCategories_2014!AS55,tblCategories_2017!AS55)="","",IF(uxb_works!$B$46=1,tblCategories_2014!AS55,tblCategories_2017!AS55))</f>
        <v>1</v>
      </c>
    </row>
    <row r="56" ht="12.75" spans="1:45">
      <c r="A56" s="1">
        <f>IF(IF(uxb_works!$B$46=1,tblCategories_2014!A56,tblCategories_2017!A56)="","",IF(uxb_works!$B$46=1,tblCategories_2014!A56,tblCategories_2017!A56))</f>
        <v>54</v>
      </c>
      <c r="B56" s="1" t="str">
        <f>IF(IF(uxb_works!$B$46=1,tblCategories_2014!B56,tblCategories_2017!B56)="","",IF(uxb_works!$B$46=1,tblCategories_2014!B56,tblCategories_2017!B56))</f>
        <v/>
      </c>
      <c r="C56" s="57" t="str">
        <f>IF(IF(uxb_works!$B$46=1,tblCategories_2014!C56,tblCategories_2017!C56)="","",IF(uxb_works!$B$46=1,tblCategories_2014!C56,tblCategories_2017!C56))</f>
        <v>4.2.5) Rate of drug use </v>
      </c>
      <c r="D56" s="1" t="str">
        <f>IF(IF(uxb_works!$B$46=1,tblCategories_2014!D56,tblCategories_2017!D56)="","",IF(uxb_works!$B$46=1,tblCategories_2014!D56,tblCategories_2017!D56))</f>
        <v>4.2.5) Rate of drug use </v>
      </c>
      <c r="E56" s="1" t="str">
        <f>IF(IF(uxb_works!$B$46=1,tblCategories_2014!E56,tblCategories_2017!E56)="","",IF(uxb_works!$B$46=1,tblCategories_2014!E56,tblCategories_2017!E56))</f>
        <v/>
      </c>
      <c r="F56" s="23">
        <f>IF(IF(uxb_works!$B$46=1,tblCategories_2014!F56,tblCategories_2017!F56)="","",IF(uxb_works!$B$46=1,tblCategories_2014!F56,tblCategories_2017!F56))</f>
        <v>1</v>
      </c>
      <c r="G56" s="32" t="str">
        <f>IF(IF(uxb_works!$B$46=1,tblCategories_2014!G56,tblCategories_2017!G56)="","",IF(uxb_works!$B$46=1,tblCategories_2014!G56,tblCategories_2017!G56))</f>
        <v/>
      </c>
      <c r="H56" s="1" t="str">
        <f>IF(IF(uxb_works!$B$46=1,tblCategories_2014!H56,tblCategories_2017!H56)="","",IF(uxb_works!$B$46=1,tblCategories_2014!H56,tblCategories_2017!H56))</f>
        <v/>
      </c>
      <c r="I56" s="23" t="str">
        <f>IF(IF(uxb_works!$B$46=1,tblCategories_2014!I56,tblCategories_2017!I56)="","",IF(uxb_works!$B$46=1,tblCategories_2014!I56,tblCategories_2017!I56))</f>
        <v/>
      </c>
      <c r="J56" s="1" t="str">
        <f>IF(IF(uxb_works!$B$46=1,tblCategories_2014!J56,tblCategories_2017!J56)="","",IF(uxb_works!$B$46=1,tblCategories_2014!J56,tblCategories_2017!J56))</f>
        <v/>
      </c>
      <c r="K56" s="1" t="str">
        <f>IF(IF(uxb_works!$B$46=1,tblCategories_2014!K57,tblCategories_2017!K56)="","",IF(uxb_works!$B$46=1,tblCategories_2014!K57,tblCategories_2017!K56))</f>
        <v/>
      </c>
      <c r="L56" s="1">
        <f>IF(IF(uxb_works!$B$46=1,tblCategories_2014!L56,tblCategories_2017!L56)="","",IF(uxb_works!$B$46=1,tblCategories_2014!L56,tblCategories_2017!L56))</f>
        <v>1</v>
      </c>
      <c r="M56" s="1">
        <f>IF(IF(uxb_works!$B$46=1,tblCategories_2014!M56,tblCategories_2017!M56)="","",IF(uxb_works!$B$46=1,tblCategories_2014!M56,tblCategories_2017!M56))</f>
        <v>1</v>
      </c>
      <c r="N56" s="1">
        <f>IF(IF(uxb_works!$B$46=1,tblCategories_2014!N56,tblCategories_2017!N56)="","",IF(uxb_works!$B$46=1,tblCategories_2014!N56,tblCategories_2017!N56))</f>
        <v>0</v>
      </c>
      <c r="O56" s="1">
        <f>IF(IF(uxb_works!$B$46=1,tblCategories_2014!O56,tblCategories_2017!O56)="","",IF(uxb_works!$B$46=1,tblCategories_2014!O56,tblCategories_2017!O56))</f>
        <v>0</v>
      </c>
      <c r="P56" s="1">
        <f>IF(IF(uxb_works!$B$46=1,tblCategories_2014!P56,tblCategories_2017!P56)="","",IF(uxb_works!$B$46=1,tblCategories_2014!P56,tblCategories_2017!P56))</f>
        <v>0</v>
      </c>
      <c r="Q56" s="1">
        <f>IF(IF(uxb_works!$B$46=1,tblCategories_2014!Q56,tblCategories_2017!Q56)="","",IF(uxb_works!$B$46=1,tblCategories_2014!Q56,tblCategories_2017!Q56))</f>
        <v>0</v>
      </c>
      <c r="R56" s="1">
        <f>IF(IF(uxb_works!$B$46=1,tblCategories_2014!R56,tblCategories_2017!R56)="","",IF(uxb_works!$B$46=1,tblCategories_2014!R56,tblCategories_2017!R56))</f>
        <v>0</v>
      </c>
      <c r="S56" s="1">
        <f>IF(IF(uxb_works!$B$46=1,tblCategories_2014!S56,tblCategories_2017!S56)="","",IF(uxb_works!$B$46=1,tblCategories_2014!S56,tblCategories_2017!S56))</f>
        <v>0</v>
      </c>
      <c r="T56" s="1">
        <f>IF(IF(uxb_works!$B$46=1,tblCategories_2014!T56,tblCategories_2017!T56)="","",IF(uxb_works!$B$46=1,tblCategories_2014!T56,tblCategories_2017!T56))</f>
        <v>0</v>
      </c>
      <c r="U56" s="1">
        <f>IF(IF(uxb_works!$B$46=1,tblCategories_2014!U56,tblCategories_2017!U56)="","",IF(uxb_works!$B$46=1,tblCategories_2014!U56,tblCategories_2017!U56))</f>
        <v>0</v>
      </c>
      <c r="V56" s="1">
        <f>IF(IF(uxb_works!$B$46=1,tblCategories_2014!V56,tblCategories_2017!V56)="","",IF(uxb_works!$B$46=1,tblCategories_2014!V56,tblCategories_2017!V56))</f>
        <v>0</v>
      </c>
      <c r="W56" s="1">
        <f>IF(IF(uxb_works!$B$46=1,tblCategories_2014!W56,tblCategories_2017!W56)="","",IF(uxb_works!$B$46=1,tblCategories_2014!W56,tblCategories_2017!W56))</f>
        <v>1</v>
      </c>
      <c r="X56" s="1">
        <f>IF(IF(uxb_works!$B$46=1,tblCategories_2014!X56,tblCategories_2017!X56)="","",IF(uxb_works!$B$46=1,tblCategories_2014!X56,tblCategories_2017!X56))</f>
        <v>0</v>
      </c>
      <c r="Y56" s="1">
        <f>IF(IF(uxb_works!$B$46=1,tblCategories_2014!Y56,tblCategories_2017!Y56)="","",IF(uxb_works!$B$46=1,tblCategories_2014!Y56,tblCategories_2017!Y56))</f>
        <v>1</v>
      </c>
      <c r="Z56" s="1" t="str">
        <f>IF(IF(uxb_works!$B$46=1,tblCategories_2014!Z56,tblCategories_2017!Z56)="","",IF(uxb_works!$B$46=1,tblCategories_2014!Z56,tblCategories_2017!Z56))</f>
        <v/>
      </c>
      <c r="AA56" s="53" t="str">
        <f>IF(IF(uxb_works!$B$46=1,tblCategories_2014!AA56,tblCategories_2017!AA56)="","",IF(uxb_works!$B$46=1,tblCategories_2014!AA56,tblCategories_2017!AA56))</f>
        <v/>
      </c>
      <c r="AB56" s="20" t="str">
        <f>IF(IF(uxb_works!$B$46=1,tblCategories_2014!AB56,tblCategories_2017!AB56)="","",IF(uxb_works!$B$46=1,tblCategories_2014!AB56,tblCategories_2017!AB56))</f>
        <v/>
      </c>
      <c r="AC56" s="23">
        <f>IF(IF(uxb_works!$B$46=1,tblCategories_2014!AC56,tblCategories_2017!AC56)="","",IF(uxb_works!$B$46=1,tblCategories_2014!AC56,tblCategories_2017!AC56))</f>
        <v>0</v>
      </c>
      <c r="AD56" s="1" t="str">
        <f>IF(IF(uxb_works!$B$46=1,tblCategories_2014!AD56,tblCategories_2017!AD56)="","",IF(uxb_works!$B$46=1,tblCategories_2014!AD56,tblCategories_2017!AD56))</f>
        <v/>
      </c>
      <c r="AF56" s="1">
        <f>IF(IF(uxb_works!$B$46=1,tblCategories_2014!AF56,tblCategories_2017!AF56)="","",IF(uxb_works!$B$46=1,tblCategories_2014!AF56,tblCategories_2017!AF56))</f>
        <v>1</v>
      </c>
      <c r="AG56" s="1">
        <f>IF(IF(uxb_works!$B$46=1,tblCategories_2014!AG56,tblCategories_2017!AG56)="","",IF(uxb_works!$B$46=1,tblCategories_2014!AG56,tblCategories_2017!AG56))</f>
        <v>0</v>
      </c>
      <c r="AH56" s="1">
        <f>IF(IF(uxb_works!$B$46=1,tblCategories_2014!AH56,tblCategories_2017!AH56)="","",IF(uxb_works!$B$46=1,tblCategories_2014!AH56,tblCategories_2017!AH56))</f>
        <v>0</v>
      </c>
      <c r="AI56" s="1">
        <f>IF(IF(uxb_works!$B$46=1,tblCategories_2014!AI56,tblCategories_2017!AI56)="","",IF(uxb_works!$B$46=1,tblCategories_2014!AI56,tblCategories_2017!AI56))</f>
        <v>0</v>
      </c>
      <c r="AJ56" s="1">
        <f>IF(IF(uxb_works!$B$46=1,tblCategories_2014!AJ56,tblCategories_2017!AJ56)="","",IF(uxb_works!$B$46=1,tblCategories_2014!AJ56,tblCategories_2017!AJ56))</f>
        <v>0</v>
      </c>
      <c r="AK56" s="1">
        <f>IF(IF(uxb_works!$B$46=1,tblCategories_2014!AK56,tblCategories_2017!AK56)="","",IF(uxb_works!$B$46=1,tblCategories_2014!AK56,tblCategories_2017!AK56))</f>
        <v>0</v>
      </c>
      <c r="AL56" s="1">
        <f>IF(IF(uxb_works!$B$46=1,tblCategories_2014!AL56,tblCategories_2017!AL56)="","",IF(uxb_works!$B$46=1,tblCategories_2014!AL56,tblCategories_2017!AL56))</f>
        <v>0</v>
      </c>
      <c r="AM56" s="1">
        <f>IF(IF(uxb_works!$B$46=1,tblCategories_2014!AM56,tblCategories_2017!AM56)="","",IF(uxb_works!$B$46=1,tblCategories_2014!AM56,tblCategories_2017!AM56))</f>
        <v>0</v>
      </c>
      <c r="AN56" s="1">
        <f>IF(IF(uxb_works!$B$46=1,tblCategories_2014!AN56,tblCategories_2017!AN56)="","",IF(uxb_works!$B$46=1,tblCategories_2014!AN56,tblCategories_2017!AN56))</f>
        <v>0</v>
      </c>
      <c r="AO56" s="1">
        <f>IF(IF(uxb_works!$B$46=1,tblCategories_2014!AO56,tblCategories_2017!AO56)="","",IF(uxb_works!$B$46=1,tblCategories_2014!AO56,tblCategories_2017!AO56))</f>
        <v>0</v>
      </c>
      <c r="AP56" s="1">
        <f>IF(IF(uxb_works!$B$46=1,tblCategories_2014!AP56,tblCategories_2017!AP56)="","",IF(uxb_works!$B$46=1,tblCategories_2014!AP56,tblCategories_2017!AP56))</f>
        <v>0</v>
      </c>
      <c r="AQ56" s="1">
        <f>IF(IF(uxb_works!$B$46=1,tblCategories_2014!AQ56,tblCategories_2017!AQ56)="","",IF(uxb_works!$B$46=1,tblCategories_2014!AQ56,tblCategories_2017!AQ56))</f>
        <v>0</v>
      </c>
      <c r="AR56" s="1">
        <f>IF(IF(uxb_works!$B$46=1,tblCategories_2014!AR56,tblCategories_2017!AR56)="","",IF(uxb_works!$B$46=1,tblCategories_2014!AR56,tblCategories_2017!AR56))</f>
        <v>0</v>
      </c>
      <c r="AS56" s="1">
        <f>IF(IF(uxb_works!$B$46=1,tblCategories_2014!AS56,tblCategories_2017!AS56)="","",IF(uxb_works!$B$46=1,tblCategories_2014!AS56,tblCategories_2017!AS56))</f>
        <v>1</v>
      </c>
    </row>
    <row r="57" ht="12.75" spans="1:45">
      <c r="A57" s="1">
        <f>IF(IF(uxb_works!$B$46=1,tblCategories_2014!A57,tblCategories_2017!A57)="","",IF(uxb_works!$B$46=1,tblCategories_2014!A57,tblCategories_2017!A57))</f>
        <v>55</v>
      </c>
      <c r="B57" s="1" t="str">
        <f>IF(IF(uxb_works!$B$46=1,tblCategories_2014!B57,tblCategories_2017!B57)="","",IF(uxb_works!$B$46=1,tblCategories_2014!B57,tblCategories_2017!B57))</f>
        <v/>
      </c>
      <c r="C57" s="57" t="str">
        <f>IF(IF(uxb_works!$B$46=1,tblCategories_2014!C57,tblCategories_2017!C57)="","",IF(uxb_works!$B$46=1,tblCategories_2014!C57,tblCategories_2017!C57))</f>
        <v>4.2.6) Frequency of terrorist attacks </v>
      </c>
      <c r="D57" s="1" t="str">
        <f>IF(IF(uxb_works!$B$46=1,tblCategories_2014!D57,tblCategories_2017!D57)="","",IF(uxb_works!$B$46=1,tblCategories_2014!D57,tblCategories_2017!D57))</f>
        <v>4.2.6) Frequency of terrorist attacks </v>
      </c>
      <c r="E57" s="1" t="str">
        <f>IF(IF(uxb_works!$B$46=1,tblCategories_2014!E57,tblCategories_2017!E57)="","",IF(uxb_works!$B$46=1,tblCategories_2014!E57,tblCategories_2017!E57))</f>
        <v/>
      </c>
      <c r="F57" s="23">
        <f>IF(IF(uxb_works!$B$46=1,tblCategories_2014!F57,tblCategories_2017!F57)="","",IF(uxb_works!$B$46=1,tblCategories_2014!F57,tblCategories_2017!F57))</f>
        <v>1</v>
      </c>
      <c r="G57" s="32" t="str">
        <f>IF(IF(uxb_works!$B$46=1,tblCategories_2014!G57,tblCategories_2017!G57)="","",IF(uxb_works!$B$46=1,tblCategories_2014!G57,tblCategories_2017!G57))</f>
        <v/>
      </c>
      <c r="H57" s="1" t="str">
        <f>IF(IF(uxb_works!$B$46=1,tblCategories_2014!H57,tblCategories_2017!H57)="","",IF(uxb_works!$B$46=1,tblCategories_2014!H57,tblCategories_2017!H57))</f>
        <v/>
      </c>
      <c r="I57" s="23" t="str">
        <f>IF(IF(uxb_works!$B$46=1,tblCategories_2014!I57,tblCategories_2017!I57)="","",IF(uxb_works!$B$46=1,tblCategories_2014!I57,tblCategories_2017!I57))</f>
        <v/>
      </c>
      <c r="J57" s="1" t="str">
        <f>IF(IF(uxb_works!$B$46=1,tblCategories_2014!J57,tblCategories_2017!J57)="","",IF(uxb_works!$B$46=1,tblCategories_2014!J57,tblCategories_2017!J57))</f>
        <v/>
      </c>
      <c r="K57" s="1" t="str">
        <f>IF(IF(uxb_works!$B$46=1,tblCategories_2014!K58,tblCategories_2017!K57)="","",IF(uxb_works!$B$46=1,tblCategories_2014!K58,tblCategories_2017!K57))</f>
        <v/>
      </c>
      <c r="L57" s="1">
        <f>IF(IF(uxb_works!$B$46=1,tblCategories_2014!L57,tblCategories_2017!L57)="","",IF(uxb_works!$B$46=1,tblCategories_2014!L57,tblCategories_2017!L57))</f>
        <v>1</v>
      </c>
      <c r="M57" s="1">
        <f>IF(IF(uxb_works!$B$46=1,tblCategories_2014!M57,tblCategories_2017!M57)="","",IF(uxb_works!$B$46=1,tblCategories_2014!M57,tblCategories_2017!M57))</f>
        <v>1</v>
      </c>
      <c r="N57" s="1">
        <f>IF(IF(uxb_works!$B$46=1,tblCategories_2014!N57,tblCategories_2017!N57)="","",IF(uxb_works!$B$46=1,tblCategories_2014!N57,tblCategories_2017!N57))</f>
        <v>0</v>
      </c>
      <c r="O57" s="1">
        <f>IF(IF(uxb_works!$B$46=1,tblCategories_2014!O57,tblCategories_2017!O57)="","",IF(uxb_works!$B$46=1,tblCategories_2014!O57,tblCategories_2017!O57))</f>
        <v>0</v>
      </c>
      <c r="P57" s="1">
        <f>IF(IF(uxb_works!$B$46=1,tblCategories_2014!P57,tblCategories_2017!P57)="","",IF(uxb_works!$B$46=1,tblCategories_2014!P57,tblCategories_2017!P57))</f>
        <v>0</v>
      </c>
      <c r="Q57" s="1">
        <f>IF(IF(uxb_works!$B$46=1,tblCategories_2014!Q57,tblCategories_2017!Q57)="","",IF(uxb_works!$B$46=1,tblCategories_2014!Q57,tblCategories_2017!Q57))</f>
        <v>0</v>
      </c>
      <c r="R57" s="1">
        <f>IF(IF(uxb_works!$B$46=1,tblCategories_2014!R57,tblCategories_2017!R57)="","",IF(uxb_works!$B$46=1,tblCategories_2014!R57,tblCategories_2017!R57))</f>
        <v>0</v>
      </c>
      <c r="S57" s="1">
        <f>IF(IF(uxb_works!$B$46=1,tblCategories_2014!S57,tblCategories_2017!S57)="","",IF(uxb_works!$B$46=1,tblCategories_2014!S57,tblCategories_2017!S57))</f>
        <v>0</v>
      </c>
      <c r="T57" s="1">
        <f>IF(IF(uxb_works!$B$46=1,tblCategories_2014!T57,tblCategories_2017!T57)="","",IF(uxb_works!$B$46=1,tblCategories_2014!T57,tblCategories_2017!T57))</f>
        <v>0</v>
      </c>
      <c r="U57" s="1">
        <f>IF(IF(uxb_works!$B$46=1,tblCategories_2014!U57,tblCategories_2017!U57)="","",IF(uxb_works!$B$46=1,tblCategories_2014!U57,tblCategories_2017!U57))</f>
        <v>0</v>
      </c>
      <c r="V57" s="1">
        <f>IF(IF(uxb_works!$B$46=1,tblCategories_2014!V57,tblCategories_2017!V57)="","",IF(uxb_works!$B$46=1,tblCategories_2014!V57,tblCategories_2017!V57))</f>
        <v>0</v>
      </c>
      <c r="W57" s="1">
        <f>IF(IF(uxb_works!$B$46=1,tblCategories_2014!W57,tblCategories_2017!W57)="","",IF(uxb_works!$B$46=1,tblCategories_2014!W57,tblCategories_2017!W57))</f>
        <v>1</v>
      </c>
      <c r="X57" s="1">
        <f>IF(IF(uxb_works!$B$46=1,tblCategories_2014!X57,tblCategories_2017!X57)="","",IF(uxb_works!$B$46=1,tblCategories_2014!X57,tblCategories_2017!X57))</f>
        <v>0</v>
      </c>
      <c r="Y57" s="1">
        <f>IF(IF(uxb_works!$B$46=1,tblCategories_2014!Y57,tblCategories_2017!Y57)="","",IF(uxb_works!$B$46=1,tblCategories_2014!Y57,tblCategories_2017!Y57))</f>
        <v>1</v>
      </c>
      <c r="Z57" s="1" t="str">
        <f>IF(IF(uxb_works!$B$46=1,tblCategories_2014!Z57,tblCategories_2017!Z57)="","",IF(uxb_works!$B$46=1,tblCategories_2014!Z57,tblCategories_2017!Z57))</f>
        <v/>
      </c>
      <c r="AA57" s="53" t="str">
        <f>IF(IF(uxb_works!$B$46=1,tblCategories_2014!AA57,tblCategories_2017!AA57)="","",IF(uxb_works!$B$46=1,tblCategories_2014!AA57,tblCategories_2017!AA57))</f>
        <v/>
      </c>
      <c r="AB57" s="20" t="str">
        <f>IF(IF(uxb_works!$B$46=1,tblCategories_2014!AB57,tblCategories_2017!AB57)="","",IF(uxb_works!$B$46=1,tblCategories_2014!AB57,tblCategories_2017!AB57))</f>
        <v/>
      </c>
      <c r="AC57" s="23">
        <f>IF(IF(uxb_works!$B$46=1,tblCategories_2014!AC57,tblCategories_2017!AC57)="","",IF(uxb_works!$B$46=1,tblCategories_2014!AC57,tblCategories_2017!AC57))</f>
        <v>0</v>
      </c>
      <c r="AD57" s="1" t="str">
        <f>IF(IF(uxb_works!$B$46=1,tblCategories_2014!AD57,tblCategories_2017!AD57)="","",IF(uxb_works!$B$46=1,tblCategories_2014!AD57,tblCategories_2017!AD57))</f>
        <v/>
      </c>
      <c r="AF57" s="1">
        <f>IF(IF(uxb_works!$B$46=1,tblCategories_2014!AF57,tblCategories_2017!AF57)="","",IF(uxb_works!$B$46=1,tblCategories_2014!AF57,tblCategories_2017!AF57))</f>
        <v>1</v>
      </c>
      <c r="AG57" s="1">
        <f>IF(IF(uxb_works!$B$46=1,tblCategories_2014!AG57,tblCategories_2017!AG57)="","",IF(uxb_works!$B$46=1,tblCategories_2014!AG57,tblCategories_2017!AG57))</f>
        <v>0</v>
      </c>
      <c r="AH57" s="1">
        <f>IF(IF(uxb_works!$B$46=1,tblCategories_2014!AH57,tblCategories_2017!AH57)="","",IF(uxb_works!$B$46=1,tblCategories_2014!AH57,tblCategories_2017!AH57))</f>
        <v>0</v>
      </c>
      <c r="AI57" s="1">
        <f>IF(IF(uxb_works!$B$46=1,tblCategories_2014!AI57,tblCategories_2017!AI57)="","",IF(uxb_works!$B$46=1,tblCategories_2014!AI57,tblCategories_2017!AI57))</f>
        <v>0</v>
      </c>
      <c r="AJ57" s="1">
        <f>IF(IF(uxb_works!$B$46=1,tblCategories_2014!AJ57,tblCategories_2017!AJ57)="","",IF(uxb_works!$B$46=1,tblCategories_2014!AJ57,tblCategories_2017!AJ57))</f>
        <v>0</v>
      </c>
      <c r="AK57" s="1">
        <f>IF(IF(uxb_works!$B$46=1,tblCategories_2014!AK57,tblCategories_2017!AK57)="","",IF(uxb_works!$B$46=1,tblCategories_2014!AK57,tblCategories_2017!AK57))</f>
        <v>0</v>
      </c>
      <c r="AL57" s="1">
        <f>IF(IF(uxb_works!$B$46=1,tblCategories_2014!AL57,tblCategories_2017!AL57)="","",IF(uxb_works!$B$46=1,tblCategories_2014!AL57,tblCategories_2017!AL57))</f>
        <v>0</v>
      </c>
      <c r="AM57" s="1">
        <f>IF(IF(uxb_works!$B$46=1,tblCategories_2014!AM57,tblCategories_2017!AM57)="","",IF(uxb_works!$B$46=1,tblCategories_2014!AM57,tblCategories_2017!AM57))</f>
        <v>0</v>
      </c>
      <c r="AN57" s="1">
        <f>IF(IF(uxb_works!$B$46=1,tblCategories_2014!AN57,tblCategories_2017!AN57)="","",IF(uxb_works!$B$46=1,tblCategories_2014!AN57,tblCategories_2017!AN57))</f>
        <v>0</v>
      </c>
      <c r="AO57" s="1">
        <f>IF(IF(uxb_works!$B$46=1,tblCategories_2014!AO57,tblCategories_2017!AO57)="","",IF(uxb_works!$B$46=1,tblCategories_2014!AO57,tblCategories_2017!AO57))</f>
        <v>0</v>
      </c>
      <c r="AP57" s="1">
        <f>IF(IF(uxb_works!$B$46=1,tblCategories_2014!AP57,tblCategories_2017!AP57)="","",IF(uxb_works!$B$46=1,tblCategories_2014!AP57,tblCategories_2017!AP57))</f>
        <v>0</v>
      </c>
      <c r="AQ57" s="1">
        <f>IF(IF(uxb_works!$B$46=1,tblCategories_2014!AQ57,tblCategories_2017!AQ57)="","",IF(uxb_works!$B$46=1,tblCategories_2014!AQ57,tblCategories_2017!AQ57))</f>
        <v>0</v>
      </c>
      <c r="AR57" s="1">
        <f>IF(IF(uxb_works!$B$46=1,tblCategories_2014!AR57,tblCategories_2017!AR57)="","",IF(uxb_works!$B$46=1,tblCategories_2014!AR57,tblCategories_2017!AR57))</f>
        <v>0</v>
      </c>
      <c r="AS57" s="1">
        <f>IF(IF(uxb_works!$B$46=1,tblCategories_2014!AS57,tblCategories_2017!AS57)="","",IF(uxb_works!$B$46=1,tblCategories_2014!AS57,tblCategories_2017!AS57))</f>
        <v>1</v>
      </c>
    </row>
    <row r="58" ht="12.75" spans="1:45">
      <c r="A58" s="1">
        <f>IF(IF(uxb_works!$B$46=1,tblCategories_2014!A58,tblCategories_2017!A58)="","",IF(uxb_works!$B$46=1,tblCategories_2014!A58,tblCategories_2017!A58))</f>
        <v>56</v>
      </c>
      <c r="B58" s="1" t="str">
        <f>IF(IF(uxb_works!$B$46=1,tblCategories_2014!B58,tblCategories_2017!B58)="","",IF(uxb_works!$B$46=1,tblCategories_2014!B58,tblCategories_2017!B58))</f>
        <v/>
      </c>
      <c r="C58" s="57" t="str">
        <f>IF(IF(uxb_works!$B$46=1,tblCategories_2014!C58,tblCategories_2017!C58)="","",IF(uxb_works!$B$46=1,tblCategories_2014!C58,tblCategories_2017!C58))</f>
        <v>4.2.7) Severity of terrorist attacks</v>
      </c>
      <c r="D58" s="1" t="str">
        <f>IF(IF(uxb_works!$B$46=1,tblCategories_2014!D58,tblCategories_2017!D58)="","",IF(uxb_works!$B$46=1,tblCategories_2014!D58,tblCategories_2017!D58))</f>
        <v>4.2.7) Severity of terrorist attacks</v>
      </c>
      <c r="E58" s="1" t="str">
        <f>IF(IF(uxb_works!$B$46=1,tblCategories_2014!E58,tblCategories_2017!E58)="","",IF(uxb_works!$B$46=1,tblCategories_2014!E58,tblCategories_2017!E58))</f>
        <v/>
      </c>
      <c r="F58" s="23">
        <f>IF(IF(uxb_works!$B$46=1,tblCategories_2014!F58,tblCategories_2017!F58)="","",IF(uxb_works!$B$46=1,tblCategories_2014!F58,tblCategories_2017!F58))</f>
        <v>1</v>
      </c>
      <c r="G58" s="32" t="str">
        <f>IF(IF(uxb_works!$B$46=1,tblCategories_2014!G58,tblCategories_2017!G58)="","",IF(uxb_works!$B$46=1,tblCategories_2014!G58,tblCategories_2017!G58))</f>
        <v/>
      </c>
      <c r="H58" s="1" t="str">
        <f>IF(IF(uxb_works!$B$46=1,tblCategories_2014!H58,tblCategories_2017!H58)="","",IF(uxb_works!$B$46=1,tblCategories_2014!H58,tblCategories_2017!H58))</f>
        <v/>
      </c>
      <c r="I58" s="23" t="str">
        <f>IF(IF(uxb_works!$B$46=1,tblCategories_2014!I58,tblCategories_2017!I58)="","",IF(uxb_works!$B$46=1,tblCategories_2014!I58,tblCategories_2017!I58))</f>
        <v/>
      </c>
      <c r="J58" s="1" t="str">
        <f>IF(IF(uxb_works!$B$46=1,tblCategories_2014!J58,tblCategories_2017!J58)="","",IF(uxb_works!$B$46=1,tblCategories_2014!J58,tblCategories_2017!J58))</f>
        <v/>
      </c>
      <c r="K58" s="1" t="str">
        <f>IF(IF(uxb_works!$B$46=1,tblCategories_2014!K59,tblCategories_2017!K58)="","",IF(uxb_works!$B$46=1,tblCategories_2014!K59,tblCategories_2017!K58))</f>
        <v/>
      </c>
      <c r="L58" s="1">
        <f>IF(IF(uxb_works!$B$46=1,tblCategories_2014!L58,tblCategories_2017!L58)="","",IF(uxb_works!$B$46=1,tblCategories_2014!L58,tblCategories_2017!L58))</f>
        <v>1</v>
      </c>
      <c r="M58" s="1">
        <f>IF(IF(uxb_works!$B$46=1,tblCategories_2014!M58,tblCategories_2017!M58)="","",IF(uxb_works!$B$46=1,tblCategories_2014!M58,tblCategories_2017!M58))</f>
        <v>1</v>
      </c>
      <c r="N58" s="1">
        <f>IF(IF(uxb_works!$B$46=1,tblCategories_2014!N58,tblCategories_2017!N58)="","",IF(uxb_works!$B$46=1,tblCategories_2014!N58,tblCategories_2017!N58))</f>
        <v>0</v>
      </c>
      <c r="O58" s="1">
        <f>IF(IF(uxb_works!$B$46=1,tblCategories_2014!O58,tblCategories_2017!O58)="","",IF(uxb_works!$B$46=1,tblCategories_2014!O58,tblCategories_2017!O58))</f>
        <v>0</v>
      </c>
      <c r="P58" s="1">
        <f>IF(IF(uxb_works!$B$46=1,tblCategories_2014!P58,tblCategories_2017!P58)="","",IF(uxb_works!$B$46=1,tblCategories_2014!P58,tblCategories_2017!P58))</f>
        <v>0</v>
      </c>
      <c r="Q58" s="1">
        <f>IF(IF(uxb_works!$B$46=1,tblCategories_2014!Q58,tblCategories_2017!Q58)="","",IF(uxb_works!$B$46=1,tblCategories_2014!Q58,tblCategories_2017!Q58))</f>
        <v>0</v>
      </c>
      <c r="R58" s="1">
        <f>IF(IF(uxb_works!$B$46=1,tblCategories_2014!R58,tblCategories_2017!R58)="","",IF(uxb_works!$B$46=1,tblCategories_2014!R58,tblCategories_2017!R58))</f>
        <v>0</v>
      </c>
      <c r="S58" s="1">
        <f>IF(IF(uxb_works!$B$46=1,tblCategories_2014!S58,tblCategories_2017!S58)="","",IF(uxb_works!$B$46=1,tblCategories_2014!S58,tblCategories_2017!S58))</f>
        <v>0</v>
      </c>
      <c r="T58" s="1">
        <f>IF(IF(uxb_works!$B$46=1,tblCategories_2014!T58,tblCategories_2017!T58)="","",IF(uxb_works!$B$46=1,tblCategories_2014!T58,tblCategories_2017!T58))</f>
        <v>0</v>
      </c>
      <c r="U58" s="1">
        <f>IF(IF(uxb_works!$B$46=1,tblCategories_2014!U58,tblCategories_2017!U58)="","",IF(uxb_works!$B$46=1,tblCategories_2014!U58,tblCategories_2017!U58))</f>
        <v>0</v>
      </c>
      <c r="V58" s="1">
        <f>IF(IF(uxb_works!$B$46=1,tblCategories_2014!V58,tblCategories_2017!V58)="","",IF(uxb_works!$B$46=1,tblCategories_2014!V58,tblCategories_2017!V58))</f>
        <v>0</v>
      </c>
      <c r="W58" s="1">
        <f>IF(IF(uxb_works!$B$46=1,tblCategories_2014!W58,tblCategories_2017!W58)="","",IF(uxb_works!$B$46=1,tblCategories_2014!W58,tblCategories_2017!W58))</f>
        <v>1</v>
      </c>
      <c r="X58" s="1">
        <f>IF(IF(uxb_works!$B$46=1,tblCategories_2014!X58,tblCategories_2017!X58)="","",IF(uxb_works!$B$46=1,tblCategories_2014!X58,tblCategories_2017!X58))</f>
        <v>0</v>
      </c>
      <c r="Y58" s="1">
        <f>IF(IF(uxb_works!$B$46=1,tblCategories_2014!Y58,tblCategories_2017!Y58)="","",IF(uxb_works!$B$46=1,tblCategories_2014!Y58,tblCategories_2017!Y58))</f>
        <v>1</v>
      </c>
      <c r="Z58" s="1" t="str">
        <f>IF(IF(uxb_works!$B$46=1,tblCategories_2014!Z58,tblCategories_2017!Z58)="","",IF(uxb_works!$B$46=1,tblCategories_2014!Z58,tblCategories_2017!Z58))</f>
        <v/>
      </c>
      <c r="AA58" s="53" t="str">
        <f>IF(IF(uxb_works!$B$46=1,tblCategories_2014!AA58,tblCategories_2017!AA58)="","",IF(uxb_works!$B$46=1,tblCategories_2014!AA58,tblCategories_2017!AA58))</f>
        <v/>
      </c>
      <c r="AB58" s="20" t="str">
        <f>IF(IF(uxb_works!$B$46=1,tblCategories_2014!AB58,tblCategories_2017!AB58)="","",IF(uxb_works!$B$46=1,tblCategories_2014!AB58,tblCategories_2017!AB58))</f>
        <v/>
      </c>
      <c r="AC58" s="23">
        <f>IF(IF(uxb_works!$B$46=1,tblCategories_2014!AC58,tblCategories_2017!AC58)="","",IF(uxb_works!$B$46=1,tblCategories_2014!AC58,tblCategories_2017!AC58))</f>
        <v>0</v>
      </c>
      <c r="AD58" s="1" t="str">
        <f>IF(IF(uxb_works!$B$46=1,tblCategories_2014!AD58,tblCategories_2017!AD58)="","",IF(uxb_works!$B$46=1,tblCategories_2014!AD58,tblCategories_2017!AD58))</f>
        <v/>
      </c>
      <c r="AF58" s="1">
        <f>IF(IF(uxb_works!$B$46=1,tblCategories_2014!AF58,tblCategories_2017!AF58)="","",IF(uxb_works!$B$46=1,tblCategories_2014!AF58,tblCategories_2017!AF58))</f>
        <v>1</v>
      </c>
      <c r="AG58" s="1">
        <f>IF(IF(uxb_works!$B$46=1,tblCategories_2014!AG58,tblCategories_2017!AG58)="","",IF(uxb_works!$B$46=1,tblCategories_2014!AG58,tblCategories_2017!AG58))</f>
        <v>0</v>
      </c>
      <c r="AH58" s="1">
        <f>IF(IF(uxb_works!$B$46=1,tblCategories_2014!AH58,tblCategories_2017!AH58)="","",IF(uxb_works!$B$46=1,tblCategories_2014!AH58,tblCategories_2017!AH58))</f>
        <v>0</v>
      </c>
      <c r="AI58" s="1">
        <f>IF(IF(uxb_works!$B$46=1,tblCategories_2014!AI58,tblCategories_2017!AI58)="","",IF(uxb_works!$B$46=1,tblCategories_2014!AI58,tblCategories_2017!AI58))</f>
        <v>0</v>
      </c>
      <c r="AJ58" s="1">
        <f>IF(IF(uxb_works!$B$46=1,tblCategories_2014!AJ58,tblCategories_2017!AJ58)="","",IF(uxb_works!$B$46=1,tblCategories_2014!AJ58,tblCategories_2017!AJ58))</f>
        <v>0</v>
      </c>
      <c r="AK58" s="1">
        <f>IF(IF(uxb_works!$B$46=1,tblCategories_2014!AK58,tblCategories_2017!AK58)="","",IF(uxb_works!$B$46=1,tblCategories_2014!AK58,tblCategories_2017!AK58))</f>
        <v>0</v>
      </c>
      <c r="AL58" s="1">
        <f>IF(IF(uxb_works!$B$46=1,tblCategories_2014!AL58,tblCategories_2017!AL58)="","",IF(uxb_works!$B$46=1,tblCategories_2014!AL58,tblCategories_2017!AL58))</f>
        <v>0</v>
      </c>
      <c r="AM58" s="1">
        <f>IF(IF(uxb_works!$B$46=1,tblCategories_2014!AM58,tblCategories_2017!AM58)="","",IF(uxb_works!$B$46=1,tblCategories_2014!AM58,tblCategories_2017!AM58))</f>
        <v>0</v>
      </c>
      <c r="AN58" s="1">
        <f>IF(IF(uxb_works!$B$46=1,tblCategories_2014!AN58,tblCategories_2017!AN58)="","",IF(uxb_works!$B$46=1,tblCategories_2014!AN58,tblCategories_2017!AN58))</f>
        <v>0</v>
      </c>
      <c r="AO58" s="1">
        <f>IF(IF(uxb_works!$B$46=1,tblCategories_2014!AO58,tblCategories_2017!AO58)="","",IF(uxb_works!$B$46=1,tblCategories_2014!AO58,tblCategories_2017!AO58))</f>
        <v>0</v>
      </c>
      <c r="AP58" s="1">
        <f>IF(IF(uxb_works!$B$46=1,tblCategories_2014!AP58,tblCategories_2017!AP58)="","",IF(uxb_works!$B$46=1,tblCategories_2014!AP58,tblCategories_2017!AP58))</f>
        <v>0</v>
      </c>
      <c r="AQ58" s="1">
        <f>IF(IF(uxb_works!$B$46=1,tblCategories_2014!AQ58,tblCategories_2017!AQ58)="","",IF(uxb_works!$B$46=1,tblCategories_2014!AQ58,tblCategories_2017!AQ58))</f>
        <v>0</v>
      </c>
      <c r="AR58" s="1">
        <f>IF(IF(uxb_works!$B$46=1,tblCategories_2014!AR58,tblCategories_2017!AR58)="","",IF(uxb_works!$B$46=1,tblCategories_2014!AR58,tblCategories_2017!AR58))</f>
        <v>0</v>
      </c>
      <c r="AS58" s="1">
        <f>IF(IF(uxb_works!$B$46=1,tblCategories_2014!AS58,tblCategories_2017!AS58)="","",IF(uxb_works!$B$46=1,tblCategories_2014!AS58,tblCategories_2017!AS58))</f>
        <v>1</v>
      </c>
    </row>
    <row r="59" ht="12.75" spans="1:45">
      <c r="A59" s="1">
        <f>IF(IF(uxb_works!$B$46=1,tblCategories_2014!A59,tblCategories_2017!A59)="","",IF(uxb_works!$B$46=1,tblCategories_2014!A59,tblCategories_2017!A59))</f>
        <v>57</v>
      </c>
      <c r="B59" s="1" t="str">
        <f>IF(IF(uxb_works!$B$46=1,tblCategories_2014!B59,tblCategories_2017!B59)="","",IF(uxb_works!$B$46=1,tblCategories_2014!B59,tblCategories_2017!B59))</f>
        <v/>
      </c>
      <c r="C59" s="57" t="str">
        <f>IF(IF(uxb_works!$B$46=1,tblCategories_2014!C59,tblCategories_2017!C59)="","",IF(uxb_works!$B$46=1,tblCategories_2014!C59,tblCategories_2017!C59))</f>
        <v>4.2.8) Gender safety</v>
      </c>
      <c r="D59" s="1" t="str">
        <f>IF(IF(uxb_works!$B$46=1,tblCategories_2014!D59,tblCategories_2017!D59)="","",IF(uxb_works!$B$46=1,tblCategories_2014!D59,tblCategories_2017!D59))</f>
        <v>4.2.8) Gender safety</v>
      </c>
      <c r="E59" s="1" t="str">
        <f>IF(IF(uxb_works!$B$46=1,tblCategories_2014!E59,tblCategories_2017!E59)="","",IF(uxb_works!$B$46=1,tblCategories_2014!E59,tblCategories_2017!E59))</f>
        <v/>
      </c>
      <c r="F59" s="23">
        <f>IF(IF(uxb_works!$B$46=1,tblCategories_2014!F59,tblCategories_2017!F59)="","",IF(uxb_works!$B$46=1,tblCategories_2014!F59,tblCategories_2017!F59))</f>
        <v>1</v>
      </c>
      <c r="G59" s="32" t="str">
        <f>IF(IF(uxb_works!$B$46=1,tblCategories_2014!G59,tblCategories_2017!G59)="","",IF(uxb_works!$B$46=1,tblCategories_2014!G59,tblCategories_2017!G59))</f>
        <v/>
      </c>
      <c r="H59" s="1" t="str">
        <f>IF(IF(uxb_works!$B$46=1,tblCategories_2014!H59,tblCategories_2017!H59)="","",IF(uxb_works!$B$46=1,tblCategories_2014!H59,tblCategories_2017!H59))</f>
        <v/>
      </c>
      <c r="I59" s="23" t="str">
        <f>IF(IF(uxb_works!$B$46=1,tblCategories_2014!I59,tblCategories_2017!I59)="","",IF(uxb_works!$B$46=1,tblCategories_2014!I59,tblCategories_2017!I59))</f>
        <v/>
      </c>
      <c r="J59" s="1" t="str">
        <f>IF(IF(uxb_works!$B$46=1,tblCategories_2014!J59,tblCategories_2017!J59)="","",IF(uxb_works!$B$46=1,tblCategories_2014!J59,tblCategories_2017!J59))</f>
        <v/>
      </c>
      <c r="K59" s="1" t="str">
        <f>IF(IF(uxb_works!$B$46=1,tblCategories_2014!K60,tblCategories_2017!K59)="","",IF(uxb_works!$B$46=1,tblCategories_2014!K60,tblCategories_2017!K59))</f>
        <v/>
      </c>
      <c r="L59" s="1">
        <f>IF(IF(uxb_works!$B$46=1,tblCategories_2014!L59,tblCategories_2017!L59)="","",IF(uxb_works!$B$46=1,tblCategories_2014!L59,tblCategories_2017!L59))</f>
        <v>1</v>
      </c>
      <c r="M59" s="1">
        <f>IF(IF(uxb_works!$B$46=1,tblCategories_2014!M59,tblCategories_2017!M59)="","",IF(uxb_works!$B$46=1,tblCategories_2014!M59,tblCategories_2017!M59))</f>
        <v>1</v>
      </c>
      <c r="N59" s="1">
        <f>IF(IF(uxb_works!$B$46=1,tblCategories_2014!N59,tblCategories_2017!N59)="","",IF(uxb_works!$B$46=1,tblCategories_2014!N59,tblCategories_2017!N59))</f>
        <v>0</v>
      </c>
      <c r="O59" s="1">
        <f>IF(IF(uxb_works!$B$46=1,tblCategories_2014!O59,tblCategories_2017!O59)="","",IF(uxb_works!$B$46=1,tblCategories_2014!O59,tblCategories_2017!O59))</f>
        <v>0</v>
      </c>
      <c r="P59" s="1">
        <f>IF(IF(uxb_works!$B$46=1,tblCategories_2014!P59,tblCategories_2017!P59)="","",IF(uxb_works!$B$46=1,tblCategories_2014!P59,tblCategories_2017!P59))</f>
        <v>0</v>
      </c>
      <c r="Q59" s="1">
        <f>IF(IF(uxb_works!$B$46=1,tblCategories_2014!Q59,tblCategories_2017!Q59)="","",IF(uxb_works!$B$46=1,tblCategories_2014!Q59,tblCategories_2017!Q59))</f>
        <v>0</v>
      </c>
      <c r="R59" s="1">
        <f>IF(IF(uxb_works!$B$46=1,tblCategories_2014!R59,tblCategories_2017!R59)="","",IF(uxb_works!$B$46=1,tblCategories_2014!R59,tblCategories_2017!R59))</f>
        <v>0</v>
      </c>
      <c r="S59" s="1">
        <f>IF(IF(uxb_works!$B$46=1,tblCategories_2014!S59,tblCategories_2017!S59)="","",IF(uxb_works!$B$46=1,tblCategories_2014!S59,tblCategories_2017!S59))</f>
        <v>0</v>
      </c>
      <c r="T59" s="1">
        <f>IF(IF(uxb_works!$B$46=1,tblCategories_2014!T59,tblCategories_2017!T59)="","",IF(uxb_works!$B$46=1,tblCategories_2014!T59,tblCategories_2017!T59))</f>
        <v>0</v>
      </c>
      <c r="U59" s="1">
        <f>IF(IF(uxb_works!$B$46=1,tblCategories_2014!U59,tblCategories_2017!U59)="","",IF(uxb_works!$B$46=1,tblCategories_2014!U59,tblCategories_2017!U59))</f>
        <v>0</v>
      </c>
      <c r="V59" s="1">
        <f>IF(IF(uxb_works!$B$46=1,tblCategories_2014!V59,tblCategories_2017!V59)="","",IF(uxb_works!$B$46=1,tblCategories_2014!V59,tblCategories_2017!V59))</f>
        <v>0</v>
      </c>
      <c r="W59" s="1">
        <f>IF(IF(uxb_works!$B$46=1,tblCategories_2014!W59,tblCategories_2017!W59)="","",IF(uxb_works!$B$46=1,tblCategories_2014!W59,tblCategories_2017!W59))</f>
        <v>1</v>
      </c>
      <c r="X59" s="1">
        <f>IF(IF(uxb_works!$B$46=1,tblCategories_2014!X59,tblCategories_2017!X59)="","",IF(uxb_works!$B$46=1,tblCategories_2014!X59,tblCategories_2017!X59))</f>
        <v>0</v>
      </c>
      <c r="Y59" s="1">
        <f>IF(IF(uxb_works!$B$46=1,tblCategories_2014!Y59,tblCategories_2017!Y59)="","",IF(uxb_works!$B$46=1,tblCategories_2014!Y59,tblCategories_2017!Y59))</f>
        <v>1</v>
      </c>
      <c r="Z59" s="1" t="str">
        <f>IF(IF(uxb_works!$B$46=1,tblCategories_2014!Z59,tblCategories_2017!Z59)="","",IF(uxb_works!$B$46=1,tblCategories_2014!Z59,tblCategories_2017!Z59))</f>
        <v/>
      </c>
      <c r="AA59" s="53" t="str">
        <f>IF(IF(uxb_works!$B$46=1,tblCategories_2014!AA59,tblCategories_2017!AA59)="","",IF(uxb_works!$B$46=1,tblCategories_2014!AA59,tblCategories_2017!AA59))</f>
        <v/>
      </c>
      <c r="AB59" s="20" t="str">
        <f>IF(IF(uxb_works!$B$46=1,tblCategories_2014!AB59,tblCategories_2017!AB59)="","",IF(uxb_works!$B$46=1,tblCategories_2014!AB59,tblCategories_2017!AB59))</f>
        <v/>
      </c>
      <c r="AC59" s="23">
        <f>IF(IF(uxb_works!$B$46=1,tblCategories_2014!AC59,tblCategories_2017!AC59)="","",IF(uxb_works!$B$46=1,tblCategories_2014!AC59,tblCategories_2017!AC59))</f>
        <v>0</v>
      </c>
      <c r="AD59" s="1" t="str">
        <f>IF(IF(uxb_works!$B$46=1,tblCategories_2014!AD59,tblCategories_2017!AD59)="","",IF(uxb_works!$B$46=1,tblCategories_2014!AD59,tblCategories_2017!AD59))</f>
        <v/>
      </c>
      <c r="AF59" s="1">
        <f>IF(IF(uxb_works!$B$46=1,tblCategories_2014!AF59,tblCategories_2017!AF59)="","",IF(uxb_works!$B$46=1,tblCategories_2014!AF59,tblCategories_2017!AF59))</f>
        <v>1</v>
      </c>
      <c r="AG59" s="1">
        <f>IF(IF(uxb_works!$B$46=1,tblCategories_2014!AG59,tblCategories_2017!AG59)="","",IF(uxb_works!$B$46=1,tblCategories_2014!AG59,tblCategories_2017!AG59))</f>
        <v>0</v>
      </c>
      <c r="AH59" s="1">
        <f>IF(IF(uxb_works!$B$46=1,tblCategories_2014!AH59,tblCategories_2017!AH59)="","",IF(uxb_works!$B$46=1,tblCategories_2014!AH59,tblCategories_2017!AH59))</f>
        <v>0</v>
      </c>
      <c r="AI59" s="1">
        <f>IF(IF(uxb_works!$B$46=1,tblCategories_2014!AI59,tblCategories_2017!AI59)="","",IF(uxb_works!$B$46=1,tblCategories_2014!AI59,tblCategories_2017!AI59))</f>
        <v>0</v>
      </c>
      <c r="AJ59" s="1">
        <f>IF(IF(uxb_works!$B$46=1,tblCategories_2014!AJ59,tblCategories_2017!AJ59)="","",IF(uxb_works!$B$46=1,tblCategories_2014!AJ59,tblCategories_2017!AJ59))</f>
        <v>0</v>
      </c>
      <c r="AK59" s="1">
        <f>IF(IF(uxb_works!$B$46=1,tblCategories_2014!AK59,tblCategories_2017!AK59)="","",IF(uxb_works!$B$46=1,tblCategories_2014!AK59,tblCategories_2017!AK59))</f>
        <v>0</v>
      </c>
      <c r="AL59" s="1">
        <f>IF(IF(uxb_works!$B$46=1,tblCategories_2014!AL59,tblCategories_2017!AL59)="","",IF(uxb_works!$B$46=1,tblCategories_2014!AL59,tblCategories_2017!AL59))</f>
        <v>0</v>
      </c>
      <c r="AM59" s="1">
        <f>IF(IF(uxb_works!$B$46=1,tblCategories_2014!AM59,tblCategories_2017!AM59)="","",IF(uxb_works!$B$46=1,tblCategories_2014!AM59,tblCategories_2017!AM59))</f>
        <v>0</v>
      </c>
      <c r="AN59" s="1">
        <f>IF(IF(uxb_works!$B$46=1,tblCategories_2014!AN59,tblCategories_2017!AN59)="","",IF(uxb_works!$B$46=1,tblCategories_2014!AN59,tblCategories_2017!AN59))</f>
        <v>0</v>
      </c>
      <c r="AO59" s="1">
        <f>IF(IF(uxb_works!$B$46=1,tblCategories_2014!AO59,tblCategories_2017!AO59)="","",IF(uxb_works!$B$46=1,tblCategories_2014!AO59,tblCategories_2017!AO59))</f>
        <v>0</v>
      </c>
      <c r="AP59" s="1">
        <f>IF(IF(uxb_works!$B$46=1,tblCategories_2014!AP59,tblCategories_2017!AP59)="","",IF(uxb_works!$B$46=1,tblCategories_2014!AP59,tblCategories_2017!AP59))</f>
        <v>0</v>
      </c>
      <c r="AQ59" s="1">
        <f>IF(IF(uxb_works!$B$46=1,tblCategories_2014!AQ59,tblCategories_2017!AQ59)="","",IF(uxb_works!$B$46=1,tblCategories_2014!AQ59,tblCategories_2017!AQ59))</f>
        <v>0</v>
      </c>
      <c r="AR59" s="1">
        <f>IF(IF(uxb_works!$B$46=1,tblCategories_2014!AR59,tblCategories_2017!AR59)="","",IF(uxb_works!$B$46=1,tblCategories_2014!AR59,tblCategories_2017!AR59))</f>
        <v>0</v>
      </c>
      <c r="AS59" s="1">
        <f>IF(IF(uxb_works!$B$46=1,tblCategories_2014!AS59,tblCategories_2017!AS59)="","",IF(uxb_works!$B$46=1,tblCategories_2014!AS59,tblCategories_2017!AS59))</f>
        <v>1</v>
      </c>
    </row>
    <row r="60" ht="12.75" spans="1:45">
      <c r="A60" s="1">
        <f>IF(IF(uxb_works!$B$46=1,tblCategories_2014!A60,tblCategories_2017!A60)="","",IF(uxb_works!$B$46=1,tblCategories_2014!A60,tblCategories_2017!A60))</f>
        <v>58</v>
      </c>
      <c r="B60" s="1" t="str">
        <f>IF(IF(uxb_works!$B$46=1,tblCategories_2014!B60,tblCategories_2017!B60)="","",IF(uxb_works!$B$46=1,tblCategories_2014!B60,tblCategories_2017!B60))</f>
        <v/>
      </c>
      <c r="C60" s="57" t="str">
        <f>IF(IF(uxb_works!$B$46=1,tblCategories_2014!C60,tblCategories_2017!C60)="","",IF(uxb_works!$B$46=1,tblCategories_2014!C60,tblCategories_2017!C60))</f>
        <v>4.2.9) Perceptions of safety</v>
      </c>
      <c r="D60" s="1" t="str">
        <f>IF(IF(uxb_works!$B$46=1,tblCategories_2014!D60,tblCategories_2017!D60)="","",IF(uxb_works!$B$46=1,tblCategories_2014!D60,tblCategories_2017!D60))</f>
        <v>4.2.9) Perceptions of safety</v>
      </c>
      <c r="E60" s="1" t="str">
        <f>IF(IF(uxb_works!$B$46=1,tblCategories_2014!E60,tblCategories_2017!E60)="","",IF(uxb_works!$B$46=1,tblCategories_2014!E60,tblCategories_2017!E60))</f>
        <v/>
      </c>
      <c r="F60" s="23">
        <f>IF(IF(uxb_works!$B$46=1,tblCategories_2014!F60,tblCategories_2017!F60)="","",IF(uxb_works!$B$46=1,tblCategories_2014!F60,tblCategories_2017!F60))</f>
        <v>1</v>
      </c>
      <c r="G60" s="32" t="str">
        <f>IF(IF(uxb_works!$B$46=1,tblCategories_2014!G60,tblCategories_2017!G60)="","",IF(uxb_works!$B$46=1,tblCategories_2014!G60,tblCategories_2017!G60))</f>
        <v/>
      </c>
      <c r="H60" s="1" t="str">
        <f>IF(IF(uxb_works!$B$46=1,tblCategories_2014!H60,tblCategories_2017!H60)="","",IF(uxb_works!$B$46=1,tblCategories_2014!H60,tblCategories_2017!H60))</f>
        <v/>
      </c>
      <c r="I60" s="23" t="str">
        <f>IF(IF(uxb_works!$B$46=1,tblCategories_2014!I60,tblCategories_2017!I60)="","",IF(uxb_works!$B$46=1,tblCategories_2014!I60,tblCategories_2017!I60))</f>
        <v/>
      </c>
      <c r="J60" s="1" t="str">
        <f>IF(IF(uxb_works!$B$46=1,tblCategories_2014!J60,tblCategories_2017!J60)="","",IF(uxb_works!$B$46=1,tblCategories_2014!J60,tblCategories_2017!J60))</f>
        <v/>
      </c>
      <c r="K60" s="1" t="str">
        <f>IF(IF(uxb_works!$B$46=1,tblCategories_2014!K61,tblCategories_2017!K60)="","",IF(uxb_works!$B$46=1,tblCategories_2014!K61,tblCategories_2017!K60))</f>
        <v/>
      </c>
      <c r="L60" s="1">
        <f>IF(IF(uxb_works!$B$46=1,tblCategories_2014!L60,tblCategories_2017!L60)="","",IF(uxb_works!$B$46=1,tblCategories_2014!L60,tblCategories_2017!L60))</f>
        <v>1</v>
      </c>
      <c r="M60" s="1">
        <f>IF(IF(uxb_works!$B$46=1,tblCategories_2014!M60,tblCategories_2017!M60)="","",IF(uxb_works!$B$46=1,tblCategories_2014!M60,tblCategories_2017!M60))</f>
        <v>1</v>
      </c>
      <c r="N60" s="1">
        <f>IF(IF(uxb_works!$B$46=1,tblCategories_2014!N60,tblCategories_2017!N60)="","",IF(uxb_works!$B$46=1,tblCategories_2014!N60,tblCategories_2017!N60))</f>
        <v>0</v>
      </c>
      <c r="O60" s="1">
        <f>IF(IF(uxb_works!$B$46=1,tblCategories_2014!O60,tblCategories_2017!O60)="","",IF(uxb_works!$B$46=1,tblCategories_2014!O60,tblCategories_2017!O60))</f>
        <v>0</v>
      </c>
      <c r="P60" s="1">
        <f>IF(IF(uxb_works!$B$46=1,tblCategories_2014!P60,tblCategories_2017!P60)="","",IF(uxb_works!$B$46=1,tblCategories_2014!P60,tblCategories_2017!P60))</f>
        <v>0</v>
      </c>
      <c r="Q60" s="1">
        <f>IF(IF(uxb_works!$B$46=1,tblCategories_2014!Q60,tblCategories_2017!Q60)="","",IF(uxb_works!$B$46=1,tblCategories_2014!Q60,tblCategories_2017!Q60))</f>
        <v>0</v>
      </c>
      <c r="R60" s="1">
        <f>IF(IF(uxb_works!$B$46=1,tblCategories_2014!R60,tblCategories_2017!R60)="","",IF(uxb_works!$B$46=1,tblCategories_2014!R60,tblCategories_2017!R60))</f>
        <v>0</v>
      </c>
      <c r="S60" s="1">
        <f>IF(IF(uxb_works!$B$46=1,tblCategories_2014!S60,tblCategories_2017!S60)="","",IF(uxb_works!$B$46=1,tblCategories_2014!S60,tblCategories_2017!S60))</f>
        <v>0</v>
      </c>
      <c r="T60" s="1">
        <f>IF(IF(uxb_works!$B$46=1,tblCategories_2014!T60,tblCategories_2017!T60)="","",IF(uxb_works!$B$46=1,tblCategories_2014!T60,tblCategories_2017!T60))</f>
        <v>0</v>
      </c>
      <c r="U60" s="1">
        <f>IF(IF(uxb_works!$B$46=1,tblCategories_2014!U60,tblCategories_2017!U60)="","",IF(uxb_works!$B$46=1,tblCategories_2014!U60,tblCategories_2017!U60))</f>
        <v>0</v>
      </c>
      <c r="V60" s="1">
        <f>IF(IF(uxb_works!$B$46=1,tblCategories_2014!V60,tblCategories_2017!V60)="","",IF(uxb_works!$B$46=1,tblCategories_2014!V60,tblCategories_2017!V60))</f>
        <v>0</v>
      </c>
      <c r="W60" s="1">
        <f>IF(IF(uxb_works!$B$46=1,tblCategories_2014!W60,tblCategories_2017!W60)="","",IF(uxb_works!$B$46=1,tblCategories_2014!W60,tblCategories_2017!W60))</f>
        <v>1</v>
      </c>
      <c r="X60" s="1">
        <f>IF(IF(uxb_works!$B$46=1,tblCategories_2014!X60,tblCategories_2017!X60)="","",IF(uxb_works!$B$46=1,tblCategories_2014!X60,tblCategories_2017!X60))</f>
        <v>0</v>
      </c>
      <c r="Y60" s="1">
        <f>IF(IF(uxb_works!$B$46=1,tblCategories_2014!Y60,tblCategories_2017!Y60)="","",IF(uxb_works!$B$46=1,tblCategories_2014!Y60,tblCategories_2017!Y60))</f>
        <v>1</v>
      </c>
      <c r="Z60" s="1" t="str">
        <f>IF(IF(uxb_works!$B$46=1,tblCategories_2014!Z60,tblCategories_2017!Z60)="","",IF(uxb_works!$B$46=1,tblCategories_2014!Z60,tblCategories_2017!Z60))</f>
        <v/>
      </c>
      <c r="AA60" s="53" t="str">
        <f>IF(IF(uxb_works!$B$46=1,tblCategories_2014!AA60,tblCategories_2017!AA60)="","",IF(uxb_works!$B$46=1,tblCategories_2014!AA60,tblCategories_2017!AA60))</f>
        <v/>
      </c>
      <c r="AB60" s="20" t="str">
        <f>IF(IF(uxb_works!$B$46=1,tblCategories_2014!AB60,tblCategories_2017!AB60)="","",IF(uxb_works!$B$46=1,tblCategories_2014!AB60,tblCategories_2017!AB60))</f>
        <v/>
      </c>
      <c r="AC60" s="23">
        <f>IF(IF(uxb_works!$B$46=1,tblCategories_2014!AC60,tblCategories_2017!AC60)="","",IF(uxb_works!$B$46=1,tblCategories_2014!AC60,tblCategories_2017!AC60))</f>
        <v>0</v>
      </c>
      <c r="AD60" s="1" t="str">
        <f>IF(IF(uxb_works!$B$46=1,tblCategories_2014!AD60,tblCategories_2017!AD60)="","",IF(uxb_works!$B$46=1,tblCategories_2014!AD60,tblCategories_2017!AD60))</f>
        <v/>
      </c>
      <c r="AF60" s="1">
        <f>IF(IF(uxb_works!$B$46=1,tblCategories_2014!AF60,tblCategories_2017!AF60)="","",IF(uxb_works!$B$46=1,tblCategories_2014!AF60,tblCategories_2017!AF60))</f>
        <v>1</v>
      </c>
      <c r="AG60" s="1">
        <f>IF(IF(uxb_works!$B$46=1,tblCategories_2014!AG60,tblCategories_2017!AG60)="","",IF(uxb_works!$B$46=1,tblCategories_2014!AG60,tblCategories_2017!AG60))</f>
        <v>0</v>
      </c>
      <c r="AH60" s="1">
        <f>IF(IF(uxb_works!$B$46=1,tblCategories_2014!AH60,tblCategories_2017!AH60)="","",IF(uxb_works!$B$46=1,tblCategories_2014!AH60,tblCategories_2017!AH60))</f>
        <v>0</v>
      </c>
      <c r="AI60" s="1">
        <f>IF(IF(uxb_works!$B$46=1,tblCategories_2014!AI60,tblCategories_2017!AI60)="","",IF(uxb_works!$B$46=1,tblCategories_2014!AI60,tblCategories_2017!AI60))</f>
        <v>0</v>
      </c>
      <c r="AJ60" s="1">
        <f>IF(IF(uxb_works!$B$46=1,tblCategories_2014!AJ60,tblCategories_2017!AJ60)="","",IF(uxb_works!$B$46=1,tblCategories_2014!AJ60,tblCategories_2017!AJ60))</f>
        <v>0</v>
      </c>
      <c r="AK60" s="1">
        <f>IF(IF(uxb_works!$B$46=1,tblCategories_2014!AK60,tblCategories_2017!AK60)="","",IF(uxb_works!$B$46=1,tblCategories_2014!AK60,tblCategories_2017!AK60))</f>
        <v>0</v>
      </c>
      <c r="AL60" s="1">
        <f>IF(IF(uxb_works!$B$46=1,tblCategories_2014!AL60,tblCategories_2017!AL60)="","",IF(uxb_works!$B$46=1,tblCategories_2014!AL60,tblCategories_2017!AL60))</f>
        <v>0</v>
      </c>
      <c r="AM60" s="1">
        <f>IF(IF(uxb_works!$B$46=1,tblCategories_2014!AM60,tblCategories_2017!AM60)="","",IF(uxb_works!$B$46=1,tblCategories_2014!AM60,tblCategories_2017!AM60))</f>
        <v>0</v>
      </c>
      <c r="AN60" s="1">
        <f>IF(IF(uxb_works!$B$46=1,tblCategories_2014!AN60,tblCategories_2017!AN60)="","",IF(uxb_works!$B$46=1,tblCategories_2014!AN60,tblCategories_2017!AN60))</f>
        <v>0</v>
      </c>
      <c r="AO60" s="1">
        <f>IF(IF(uxb_works!$B$46=1,tblCategories_2014!AO60,tblCategories_2017!AO60)="","",IF(uxb_works!$B$46=1,tblCategories_2014!AO60,tblCategories_2017!AO60))</f>
        <v>0</v>
      </c>
      <c r="AP60" s="1">
        <f>IF(IF(uxb_works!$B$46=1,tblCategories_2014!AP60,tblCategories_2017!AP60)="","",IF(uxb_works!$B$46=1,tblCategories_2014!AP60,tblCategories_2017!AP60))</f>
        <v>0</v>
      </c>
      <c r="AQ60" s="1">
        <f>IF(IF(uxb_works!$B$46=1,tblCategories_2014!AQ60,tblCategories_2017!AQ60)="","",IF(uxb_works!$B$46=1,tblCategories_2014!AQ60,tblCategories_2017!AQ60))</f>
        <v>0</v>
      </c>
      <c r="AR60" s="1">
        <f>IF(IF(uxb_works!$B$46=1,tblCategories_2014!AR60,tblCategories_2017!AR60)="","",IF(uxb_works!$B$46=1,tblCategories_2014!AR60,tblCategories_2017!AR60))</f>
        <v>0</v>
      </c>
      <c r="AS60" s="1">
        <f>IF(IF(uxb_works!$B$46=1,tblCategories_2014!AS60,tblCategories_2017!AS60)="","",IF(uxb_works!$B$46=1,tblCategories_2014!AS60,tblCategories_2017!AS60))</f>
        <v>1</v>
      </c>
    </row>
    <row r="61" ht="12.75" spans="1:45">
      <c r="A61" s="1">
        <f>IF(IF(uxb_works!$B$46=1,tblCategories_2014!A61,tblCategories_2017!A61)="","",IF(uxb_works!$B$46=1,tblCategories_2014!A61,tblCategories_2017!A61))</f>
        <v>59</v>
      </c>
      <c r="B61" s="1" t="str">
        <f>IF(IF(uxb_works!$B$46=1,tblCategories_2014!B61,tblCategories_2017!B61)="","",IF(uxb_works!$B$46=1,tblCategories_2014!B61,tblCategories_2017!B61))</f>
        <v/>
      </c>
      <c r="C61" s="57" t="str">
        <f>IF(IF(uxb_works!$B$46=1,tblCategories_2014!C61,tblCategories_2017!C61)="","",IF(uxb_works!$B$46=1,tblCategories_2014!C61,tblCategories_2017!C61))</f>
        <v>4.2.10) Threat of terrorism</v>
      </c>
      <c r="D61" s="1" t="str">
        <f>IF(IF(uxb_works!$B$46=1,tblCategories_2014!D61,tblCategories_2017!D61)="","",IF(uxb_works!$B$46=1,tblCategories_2014!D61,tblCategories_2017!D61))</f>
        <v>4.2.10) Threat of terrorism</v>
      </c>
      <c r="E61" s="1" t="str">
        <f>IF(IF(uxb_works!$B$46=1,tblCategories_2014!E61,tblCategories_2017!E61)="","",IF(uxb_works!$B$46=1,tblCategories_2014!E61,tblCategories_2017!E61))</f>
        <v/>
      </c>
      <c r="F61" s="23">
        <f>IF(IF(uxb_works!$B$46=1,tblCategories_2014!F61,tblCategories_2017!F61)="","",IF(uxb_works!$B$46=1,tblCategories_2014!F61,tblCategories_2017!F61))</f>
        <v>1</v>
      </c>
      <c r="G61" s="32" t="str">
        <f>IF(IF(uxb_works!$B$46=1,tblCategories_2014!G61,tblCategories_2017!G61)="","",IF(uxb_works!$B$46=1,tblCategories_2014!G61,tblCategories_2017!G61))</f>
        <v/>
      </c>
      <c r="H61" s="1" t="str">
        <f>IF(IF(uxb_works!$B$46=1,tblCategories_2014!H61,tblCategories_2017!H61)="","",IF(uxb_works!$B$46=1,tblCategories_2014!H61,tblCategories_2017!H61))</f>
        <v/>
      </c>
      <c r="I61" s="23" t="str">
        <f>IF(IF(uxb_works!$B$46=1,tblCategories_2014!I61,tblCategories_2017!I61)="","",IF(uxb_works!$B$46=1,tblCategories_2014!I61,tblCategories_2017!I61))</f>
        <v/>
      </c>
      <c r="J61" s="1" t="str">
        <f>IF(IF(uxb_works!$B$46=1,tblCategories_2014!J61,tblCategories_2017!J61)="","",IF(uxb_works!$B$46=1,tblCategories_2014!J61,tblCategories_2017!J61))</f>
        <v/>
      </c>
      <c r="K61" s="1" t="str">
        <f>IF(IF(uxb_works!$B$46=1,tblCategories_2014!K62,tblCategories_2017!K61)="","",IF(uxb_works!$B$46=1,tblCategories_2014!K62,tblCategories_2017!K61))</f>
        <v/>
      </c>
      <c r="L61" s="1">
        <f>IF(IF(uxb_works!$B$46=1,tblCategories_2014!L61,tblCategories_2017!L61)="","",IF(uxb_works!$B$46=1,tblCategories_2014!L61,tblCategories_2017!L61))</f>
        <v>1</v>
      </c>
      <c r="M61" s="1">
        <f>IF(IF(uxb_works!$B$46=1,tblCategories_2014!M61,tblCategories_2017!M61)="","",IF(uxb_works!$B$46=1,tblCategories_2014!M61,tblCategories_2017!M61))</f>
        <v>1</v>
      </c>
      <c r="N61" s="1">
        <f>IF(IF(uxb_works!$B$46=1,tblCategories_2014!N61,tblCategories_2017!N61)="","",IF(uxb_works!$B$46=1,tblCategories_2014!N61,tblCategories_2017!N61))</f>
        <v>0</v>
      </c>
      <c r="O61" s="1">
        <f>IF(IF(uxb_works!$B$46=1,tblCategories_2014!O61,tblCategories_2017!O61)="","",IF(uxb_works!$B$46=1,tblCategories_2014!O61,tblCategories_2017!O61))</f>
        <v>0</v>
      </c>
      <c r="P61" s="1">
        <f>IF(IF(uxb_works!$B$46=1,tblCategories_2014!P61,tblCategories_2017!P61)="","",IF(uxb_works!$B$46=1,tblCategories_2014!P61,tblCategories_2017!P61))</f>
        <v>0</v>
      </c>
      <c r="Q61" s="1">
        <f>IF(IF(uxb_works!$B$46=1,tblCategories_2014!Q61,tblCategories_2017!Q61)="","",IF(uxb_works!$B$46=1,tblCategories_2014!Q61,tblCategories_2017!Q61))</f>
        <v>0</v>
      </c>
      <c r="R61" s="1">
        <f>IF(IF(uxb_works!$B$46=1,tblCategories_2014!R61,tblCategories_2017!R61)="","",IF(uxb_works!$B$46=1,tblCategories_2014!R61,tblCategories_2017!R61))</f>
        <v>0</v>
      </c>
      <c r="S61" s="1">
        <f>IF(IF(uxb_works!$B$46=1,tblCategories_2014!S61,tblCategories_2017!S61)="","",IF(uxb_works!$B$46=1,tblCategories_2014!S61,tblCategories_2017!S61))</f>
        <v>0</v>
      </c>
      <c r="T61" s="1">
        <f>IF(IF(uxb_works!$B$46=1,tblCategories_2014!T61,tblCategories_2017!T61)="","",IF(uxb_works!$B$46=1,tblCategories_2014!T61,tblCategories_2017!T61))</f>
        <v>0</v>
      </c>
      <c r="U61" s="1">
        <f>IF(IF(uxb_works!$B$46=1,tblCategories_2014!U61,tblCategories_2017!U61)="","",IF(uxb_works!$B$46=1,tblCategories_2014!U61,tblCategories_2017!U61))</f>
        <v>0</v>
      </c>
      <c r="V61" s="1">
        <f>IF(IF(uxb_works!$B$46=1,tblCategories_2014!V61,tblCategories_2017!V61)="","",IF(uxb_works!$B$46=1,tblCategories_2014!V61,tblCategories_2017!V61))</f>
        <v>0</v>
      </c>
      <c r="W61" s="1">
        <f>IF(IF(uxb_works!$B$46=1,tblCategories_2014!W61,tblCategories_2017!W61)="","",IF(uxb_works!$B$46=1,tblCategories_2014!W61,tblCategories_2017!W61))</f>
        <v>1</v>
      </c>
      <c r="X61" s="1">
        <f>IF(IF(uxb_works!$B$46=1,tblCategories_2014!X61,tblCategories_2017!X61)="","",IF(uxb_works!$B$46=1,tblCategories_2014!X61,tblCategories_2017!X61))</f>
        <v>0</v>
      </c>
      <c r="Y61" s="1">
        <f>IF(IF(uxb_works!$B$46=1,tblCategories_2014!Y61,tblCategories_2017!Y61)="","",IF(uxb_works!$B$46=1,tblCategories_2014!Y61,tblCategories_2017!Y61))</f>
        <v>1</v>
      </c>
      <c r="Z61" s="1" t="str">
        <f>IF(IF(uxb_works!$B$46=1,tblCategories_2014!Z61,tblCategories_2017!Z61)="","",IF(uxb_works!$B$46=1,tblCategories_2014!Z61,tblCategories_2017!Z61))</f>
        <v/>
      </c>
      <c r="AA61" s="53" t="str">
        <f>IF(IF(uxb_works!$B$46=1,tblCategories_2014!AA61,tblCategories_2017!AA61)="","",IF(uxb_works!$B$46=1,tblCategories_2014!AA61,tblCategories_2017!AA61))</f>
        <v/>
      </c>
      <c r="AB61" s="20" t="str">
        <f>IF(IF(uxb_works!$B$46=1,tblCategories_2014!AB61,tblCategories_2017!AB61)="","",IF(uxb_works!$B$46=1,tblCategories_2014!AB61,tblCategories_2017!AB61))</f>
        <v/>
      </c>
      <c r="AC61" s="23">
        <f>IF(IF(uxb_works!$B$46=1,tblCategories_2014!AC61,tblCategories_2017!AC61)="","",IF(uxb_works!$B$46=1,tblCategories_2014!AC61,tblCategories_2017!AC61))</f>
        <v>0</v>
      </c>
      <c r="AD61" s="1" t="str">
        <f>IF(IF(uxb_works!$B$46=1,tblCategories_2014!AD61,tblCategories_2017!AD61)="","",IF(uxb_works!$B$46=1,tblCategories_2014!AD61,tblCategories_2017!AD61))</f>
        <v/>
      </c>
      <c r="AF61" s="1">
        <f>IF(IF(uxb_works!$B$46=1,tblCategories_2014!AF61,tblCategories_2017!AF61)="","",IF(uxb_works!$B$46=1,tblCategories_2014!AF61,tblCategories_2017!AF61))</f>
        <v>1</v>
      </c>
      <c r="AG61" s="1">
        <f>IF(IF(uxb_works!$B$46=1,tblCategories_2014!AG61,tblCategories_2017!AG61)="","",IF(uxb_works!$B$46=1,tblCategories_2014!AG61,tblCategories_2017!AG61))</f>
        <v>0</v>
      </c>
      <c r="AH61" s="1">
        <f>IF(IF(uxb_works!$B$46=1,tblCategories_2014!AH61,tblCategories_2017!AH61)="","",IF(uxb_works!$B$46=1,tblCategories_2014!AH61,tblCategories_2017!AH61))</f>
        <v>0</v>
      </c>
      <c r="AI61" s="1">
        <f>IF(IF(uxb_works!$B$46=1,tblCategories_2014!AI61,tblCategories_2017!AI61)="","",IF(uxb_works!$B$46=1,tblCategories_2014!AI61,tblCategories_2017!AI61))</f>
        <v>0</v>
      </c>
      <c r="AJ61" s="1">
        <f>IF(IF(uxb_works!$B$46=1,tblCategories_2014!AJ61,tblCategories_2017!AJ61)="","",IF(uxb_works!$B$46=1,tblCategories_2014!AJ61,tblCategories_2017!AJ61))</f>
        <v>0</v>
      </c>
      <c r="AK61" s="1">
        <f>IF(IF(uxb_works!$B$46=1,tblCategories_2014!AK61,tblCategories_2017!AK61)="","",IF(uxb_works!$B$46=1,tblCategories_2014!AK61,tblCategories_2017!AK61))</f>
        <v>0</v>
      </c>
      <c r="AL61" s="1">
        <f>IF(IF(uxb_works!$B$46=1,tblCategories_2014!AL61,tblCategories_2017!AL61)="","",IF(uxb_works!$B$46=1,tblCategories_2014!AL61,tblCategories_2017!AL61))</f>
        <v>0</v>
      </c>
      <c r="AM61" s="1">
        <f>IF(IF(uxb_works!$B$46=1,tblCategories_2014!AM61,tblCategories_2017!AM61)="","",IF(uxb_works!$B$46=1,tblCategories_2014!AM61,tblCategories_2017!AM61))</f>
        <v>0</v>
      </c>
      <c r="AN61" s="1">
        <f>IF(IF(uxb_works!$B$46=1,tblCategories_2014!AN61,tblCategories_2017!AN61)="","",IF(uxb_works!$B$46=1,tblCategories_2014!AN61,tblCategories_2017!AN61))</f>
        <v>0</v>
      </c>
      <c r="AO61" s="1">
        <f>IF(IF(uxb_works!$B$46=1,tblCategories_2014!AO61,tblCategories_2017!AO61)="","",IF(uxb_works!$B$46=1,tblCategories_2014!AO61,tblCategories_2017!AO61))</f>
        <v>0</v>
      </c>
      <c r="AP61" s="1">
        <f>IF(IF(uxb_works!$B$46=1,tblCategories_2014!AP61,tblCategories_2017!AP61)="","",IF(uxb_works!$B$46=1,tblCategories_2014!AP61,tblCategories_2017!AP61))</f>
        <v>0</v>
      </c>
      <c r="AQ61" s="1">
        <f>IF(IF(uxb_works!$B$46=1,tblCategories_2014!AQ61,tblCategories_2017!AQ61)="","",IF(uxb_works!$B$46=1,tblCategories_2014!AQ61,tblCategories_2017!AQ61))</f>
        <v>0</v>
      </c>
      <c r="AR61" s="1">
        <f>IF(IF(uxb_works!$B$46=1,tblCategories_2014!AR61,tblCategories_2017!AR61)="","",IF(uxb_works!$B$46=1,tblCategories_2014!AR61,tblCategories_2017!AR61))</f>
        <v>0</v>
      </c>
      <c r="AS61" s="1">
        <f>IF(IF(uxb_works!$B$46=1,tblCategories_2014!AS61,tblCategories_2017!AS61)="","",IF(uxb_works!$B$46=1,tblCategories_2014!AS61,tblCategories_2017!AS61))</f>
        <v>1</v>
      </c>
    </row>
    <row r="62" ht="12.75" spans="1:45">
      <c r="A62" s="1">
        <f>IF(IF(uxb_works!$B$46=1,tblCategories_2014!A62,tblCategories_2017!A62)="","",IF(uxb_works!$B$46=1,tblCategories_2014!A62,tblCategories_2017!A62))</f>
        <v>60</v>
      </c>
      <c r="B62" s="1" t="str">
        <f>IF(IF(uxb_works!$B$46=1,tblCategories_2014!B62,tblCategories_2017!B62)="","",IF(uxb_works!$B$46=1,tblCategories_2014!B62,tblCategories_2017!B62))</f>
        <v/>
      </c>
      <c r="C62" s="57" t="str">
        <f>IF(IF(uxb_works!$B$46=1,tblCategories_2014!C62,tblCategories_2017!C62)="","",IF(uxb_works!$B$46=1,tblCategories_2014!C62,tblCategories_2017!C62))</f>
        <v>4.2.11) Threat of military conflict</v>
      </c>
      <c r="D62" s="1" t="str">
        <f>IF(IF(uxb_works!$B$46=1,tblCategories_2014!D62,tblCategories_2017!D62)="","",IF(uxb_works!$B$46=1,tblCategories_2014!D62,tblCategories_2017!D62))</f>
        <v>4.2.11) Threat of military conflict</v>
      </c>
      <c r="E62" s="1" t="str">
        <f>IF(IF(uxb_works!$B$46=1,tblCategories_2014!E62,tblCategories_2017!E62)="","",IF(uxb_works!$B$46=1,tblCategories_2014!E62,tblCategories_2017!E62))</f>
        <v/>
      </c>
      <c r="F62" s="23">
        <f>IF(IF(uxb_works!$B$46=1,tblCategories_2014!F62,tblCategories_2017!F62)="","",IF(uxb_works!$B$46=1,tblCategories_2014!F62,tblCategories_2017!F62))</f>
        <v>1</v>
      </c>
      <c r="G62" s="32" t="str">
        <f>IF(IF(uxb_works!$B$46=1,tblCategories_2014!G62,tblCategories_2017!G62)="","",IF(uxb_works!$B$46=1,tblCategories_2014!G62,tblCategories_2017!G62))</f>
        <v/>
      </c>
      <c r="H62" s="1" t="str">
        <f>IF(IF(uxb_works!$B$46=1,tblCategories_2014!H62,tblCategories_2017!H62)="","",IF(uxb_works!$B$46=1,tblCategories_2014!H62,tblCategories_2017!H62))</f>
        <v/>
      </c>
      <c r="I62" s="23" t="str">
        <f>IF(IF(uxb_works!$B$46=1,tblCategories_2014!I62,tblCategories_2017!I62)="","",IF(uxb_works!$B$46=1,tblCategories_2014!I62,tblCategories_2017!I62))</f>
        <v/>
      </c>
      <c r="J62" s="1" t="str">
        <f>IF(IF(uxb_works!$B$46=1,tblCategories_2014!J62,tblCategories_2017!J62)="","",IF(uxb_works!$B$46=1,tblCategories_2014!J62,tblCategories_2017!J62))</f>
        <v/>
      </c>
      <c r="K62" s="1" t="str">
        <f>IF(IF(uxb_works!$B$46=1,tblCategories_2014!K63,tblCategories_2017!K62)="","",IF(uxb_works!$B$46=1,tblCategories_2014!K63,tblCategories_2017!K62))</f>
        <v/>
      </c>
      <c r="L62" s="1">
        <f>IF(IF(uxb_works!$B$46=1,tblCategories_2014!L62,tblCategories_2017!L62)="","",IF(uxb_works!$B$46=1,tblCategories_2014!L62,tblCategories_2017!L62))</f>
        <v>1</v>
      </c>
      <c r="M62" s="1">
        <f>IF(IF(uxb_works!$B$46=1,tblCategories_2014!M62,tblCategories_2017!M62)="","",IF(uxb_works!$B$46=1,tblCategories_2014!M62,tblCategories_2017!M62))</f>
        <v>1</v>
      </c>
      <c r="N62" s="1">
        <f>IF(IF(uxb_works!$B$46=1,tblCategories_2014!N62,tblCategories_2017!N62)="","",IF(uxb_works!$B$46=1,tblCategories_2014!N62,tblCategories_2017!N62))</f>
        <v>0</v>
      </c>
      <c r="O62" s="1">
        <f>IF(IF(uxb_works!$B$46=1,tblCategories_2014!O62,tblCategories_2017!O62)="","",IF(uxb_works!$B$46=1,tblCategories_2014!O62,tblCategories_2017!O62))</f>
        <v>0</v>
      </c>
      <c r="P62" s="1">
        <f>IF(IF(uxb_works!$B$46=1,tblCategories_2014!P62,tblCategories_2017!P62)="","",IF(uxb_works!$B$46=1,tblCategories_2014!P62,tblCategories_2017!P62))</f>
        <v>0</v>
      </c>
      <c r="Q62" s="1">
        <f>IF(IF(uxb_works!$B$46=1,tblCategories_2014!Q62,tblCategories_2017!Q62)="","",IF(uxb_works!$B$46=1,tblCategories_2014!Q62,tblCategories_2017!Q62))</f>
        <v>0</v>
      </c>
      <c r="R62" s="1">
        <f>IF(IF(uxb_works!$B$46=1,tblCategories_2014!R62,tblCategories_2017!R62)="","",IF(uxb_works!$B$46=1,tblCategories_2014!R62,tblCategories_2017!R62))</f>
        <v>0</v>
      </c>
      <c r="S62" s="1">
        <f>IF(IF(uxb_works!$B$46=1,tblCategories_2014!S62,tblCategories_2017!S62)="","",IF(uxb_works!$B$46=1,tblCategories_2014!S62,tblCategories_2017!S62))</f>
        <v>0</v>
      </c>
      <c r="T62" s="1">
        <f>IF(IF(uxb_works!$B$46=1,tblCategories_2014!T62,tblCategories_2017!T62)="","",IF(uxb_works!$B$46=1,tblCategories_2014!T62,tblCategories_2017!T62))</f>
        <v>0</v>
      </c>
      <c r="U62" s="1">
        <f>IF(IF(uxb_works!$B$46=1,tblCategories_2014!U62,tblCategories_2017!U62)="","",IF(uxb_works!$B$46=1,tblCategories_2014!U62,tblCategories_2017!U62))</f>
        <v>0</v>
      </c>
      <c r="V62" s="1">
        <f>IF(IF(uxb_works!$B$46=1,tblCategories_2014!V62,tblCategories_2017!V62)="","",IF(uxb_works!$B$46=1,tblCategories_2014!V62,tblCategories_2017!V62))</f>
        <v>0</v>
      </c>
      <c r="W62" s="1">
        <f>IF(IF(uxb_works!$B$46=1,tblCategories_2014!W62,tblCategories_2017!W62)="","",IF(uxb_works!$B$46=1,tblCategories_2014!W62,tblCategories_2017!W62))</f>
        <v>1</v>
      </c>
      <c r="X62" s="1">
        <f>IF(IF(uxb_works!$B$46=1,tblCategories_2014!X62,tblCategories_2017!X62)="","",IF(uxb_works!$B$46=1,tblCategories_2014!X62,tblCategories_2017!X62))</f>
        <v>0</v>
      </c>
      <c r="Y62" s="1">
        <f>IF(IF(uxb_works!$B$46=1,tblCategories_2014!Y62,tblCategories_2017!Y62)="","",IF(uxb_works!$B$46=1,tblCategories_2014!Y62,tblCategories_2017!Y62))</f>
        <v>1</v>
      </c>
      <c r="Z62" s="1" t="str">
        <f>IF(IF(uxb_works!$B$46=1,tblCategories_2014!Z62,tblCategories_2017!Z62)="","",IF(uxb_works!$B$46=1,tblCategories_2014!Z62,tblCategories_2017!Z62))</f>
        <v/>
      </c>
      <c r="AA62" s="53" t="str">
        <f>IF(IF(uxb_works!$B$46=1,tblCategories_2014!AA62,tblCategories_2017!AA62)="","",IF(uxb_works!$B$46=1,tblCategories_2014!AA62,tblCategories_2017!AA62))</f>
        <v/>
      </c>
      <c r="AB62" s="20" t="str">
        <f>IF(IF(uxb_works!$B$46=1,tblCategories_2014!AB62,tblCategories_2017!AB62)="","",IF(uxb_works!$B$46=1,tblCategories_2014!AB62,tblCategories_2017!AB62))</f>
        <v/>
      </c>
      <c r="AC62" s="23">
        <f>IF(IF(uxb_works!$B$46=1,tblCategories_2014!AC62,tblCategories_2017!AC62)="","",IF(uxb_works!$B$46=1,tblCategories_2014!AC62,tblCategories_2017!AC62))</f>
        <v>0</v>
      </c>
      <c r="AD62" s="1" t="str">
        <f>IF(IF(uxb_works!$B$46=1,tblCategories_2014!AD62,tblCategories_2017!AD62)="","",IF(uxb_works!$B$46=1,tblCategories_2014!AD62,tblCategories_2017!AD62))</f>
        <v/>
      </c>
      <c r="AF62" s="1">
        <f>IF(IF(uxb_works!$B$46=1,tblCategories_2014!AF62,tblCategories_2017!AF62)="","",IF(uxb_works!$B$46=1,tblCategories_2014!AF62,tblCategories_2017!AF62))</f>
        <v>1</v>
      </c>
      <c r="AG62" s="1">
        <f>IF(IF(uxb_works!$B$46=1,tblCategories_2014!AG62,tblCategories_2017!AG62)="","",IF(uxb_works!$B$46=1,tblCategories_2014!AG62,tblCategories_2017!AG62))</f>
        <v>0</v>
      </c>
      <c r="AH62" s="1">
        <f>IF(IF(uxb_works!$B$46=1,tblCategories_2014!AH62,tblCategories_2017!AH62)="","",IF(uxb_works!$B$46=1,tblCategories_2014!AH62,tblCategories_2017!AH62))</f>
        <v>0</v>
      </c>
      <c r="AI62" s="1">
        <f>IF(IF(uxb_works!$B$46=1,tblCategories_2014!AI62,tblCategories_2017!AI62)="","",IF(uxb_works!$B$46=1,tblCategories_2014!AI62,tblCategories_2017!AI62))</f>
        <v>0</v>
      </c>
      <c r="AJ62" s="1">
        <f>IF(IF(uxb_works!$B$46=1,tblCategories_2014!AJ62,tblCategories_2017!AJ62)="","",IF(uxb_works!$B$46=1,tblCategories_2014!AJ62,tblCategories_2017!AJ62))</f>
        <v>0</v>
      </c>
      <c r="AK62" s="1">
        <f>IF(IF(uxb_works!$B$46=1,tblCategories_2014!AK62,tblCategories_2017!AK62)="","",IF(uxb_works!$B$46=1,tblCategories_2014!AK62,tblCategories_2017!AK62))</f>
        <v>0</v>
      </c>
      <c r="AL62" s="1">
        <f>IF(IF(uxb_works!$B$46=1,tblCategories_2014!AL62,tblCategories_2017!AL62)="","",IF(uxb_works!$B$46=1,tblCategories_2014!AL62,tblCategories_2017!AL62))</f>
        <v>0</v>
      </c>
      <c r="AM62" s="1">
        <f>IF(IF(uxb_works!$B$46=1,tblCategories_2014!AM62,tblCategories_2017!AM62)="","",IF(uxb_works!$B$46=1,tblCategories_2014!AM62,tblCategories_2017!AM62))</f>
        <v>0</v>
      </c>
      <c r="AN62" s="1">
        <f>IF(IF(uxb_works!$B$46=1,tblCategories_2014!AN62,tblCategories_2017!AN62)="","",IF(uxb_works!$B$46=1,tblCategories_2014!AN62,tblCategories_2017!AN62))</f>
        <v>0</v>
      </c>
      <c r="AO62" s="1">
        <f>IF(IF(uxb_works!$B$46=1,tblCategories_2014!AO62,tblCategories_2017!AO62)="","",IF(uxb_works!$B$46=1,tblCategories_2014!AO62,tblCategories_2017!AO62))</f>
        <v>0</v>
      </c>
      <c r="AP62" s="1">
        <f>IF(IF(uxb_works!$B$46=1,tblCategories_2014!AP62,tblCategories_2017!AP62)="","",IF(uxb_works!$B$46=1,tblCategories_2014!AP62,tblCategories_2017!AP62))</f>
        <v>0</v>
      </c>
      <c r="AQ62" s="1">
        <f>IF(IF(uxb_works!$B$46=1,tblCategories_2014!AQ62,tblCategories_2017!AQ62)="","",IF(uxb_works!$B$46=1,tblCategories_2014!AQ62,tblCategories_2017!AQ62))</f>
        <v>0</v>
      </c>
      <c r="AR62" s="1">
        <f>IF(IF(uxb_works!$B$46=1,tblCategories_2014!AR62,tblCategories_2017!AR62)="","",IF(uxb_works!$B$46=1,tblCategories_2014!AR62,tblCategories_2017!AR62))</f>
        <v>0</v>
      </c>
      <c r="AS62" s="1">
        <f>IF(IF(uxb_works!$B$46=1,tblCategories_2014!AS62,tblCategories_2017!AS62)="","",IF(uxb_works!$B$46=1,tblCategories_2014!AS62,tblCategories_2017!AS62))</f>
        <v>1</v>
      </c>
    </row>
    <row r="63" ht="12.75" spans="1:45">
      <c r="A63" s="1">
        <f>IF(IF(uxb_works!$B$46=1,tblCategories_2014!A63,tblCategories_2017!A63)="","",IF(uxb_works!$B$46=1,tblCategories_2014!A63,tblCategories_2017!A63))</f>
        <v>61</v>
      </c>
      <c r="B63" s="1" t="str">
        <f>IF(IF(uxb_works!$B$46=1,tblCategories_2014!B63,tblCategories_2017!B63)="","",IF(uxb_works!$B$46=1,tblCategories_2014!B63,tblCategories_2017!B63))</f>
        <v/>
      </c>
      <c r="C63" s="57" t="str">
        <f>IF(IF(uxb_works!$B$46=1,tblCategories_2014!C63,tblCategories_2017!C63)="","",IF(uxb_works!$B$46=1,tblCategories_2014!C63,tblCategories_2017!C63))</f>
        <v>4.2.12) Threat of civil unrest</v>
      </c>
      <c r="D63" s="1" t="str">
        <f>IF(IF(uxb_works!$B$46=1,tblCategories_2014!D63,tblCategories_2017!D63)="","",IF(uxb_works!$B$46=1,tblCategories_2014!D63,tblCategories_2017!D63))</f>
        <v>4.2.12) Threat of civil unrest</v>
      </c>
      <c r="E63" s="1" t="str">
        <f>IF(IF(uxb_works!$B$46=1,tblCategories_2014!E63,tblCategories_2017!E63)="","",IF(uxb_works!$B$46=1,tblCategories_2014!E63,tblCategories_2017!E63))</f>
        <v/>
      </c>
      <c r="F63" s="23">
        <f>IF(IF(uxb_works!$B$46=1,tblCategories_2014!F63,tblCategories_2017!F63)="","",IF(uxb_works!$B$46=1,tblCategories_2014!F63,tblCategories_2017!F63))</f>
        <v>1</v>
      </c>
      <c r="G63" s="32" t="str">
        <f>IF(IF(uxb_works!$B$46=1,tblCategories_2014!G63,tblCategories_2017!G63)="","",IF(uxb_works!$B$46=1,tblCategories_2014!G63,tblCategories_2017!G63))</f>
        <v/>
      </c>
      <c r="H63" s="1" t="str">
        <f>IF(IF(uxb_works!$B$46=1,tblCategories_2014!H63,tblCategories_2017!H63)="","",IF(uxb_works!$B$46=1,tblCategories_2014!H63,tblCategories_2017!H63))</f>
        <v/>
      </c>
      <c r="I63" s="23" t="str">
        <f>IF(IF(uxb_works!$B$46=1,tblCategories_2014!I63,tblCategories_2017!I63)="","",IF(uxb_works!$B$46=1,tblCategories_2014!I63,tblCategories_2017!I63))</f>
        <v/>
      </c>
      <c r="J63" s="1" t="str">
        <f>IF(IF(uxb_works!$B$46=1,tblCategories_2014!J63,tblCategories_2017!J63)="","",IF(uxb_works!$B$46=1,tblCategories_2014!J63,tblCategories_2017!J63))</f>
        <v/>
      </c>
      <c r="K63" s="1" t="str">
        <f>IF(IF(uxb_works!$B$46=1,tblCategories_2014!K64,tblCategories_2017!K63)="","",IF(uxb_works!$B$46=1,tblCategories_2014!K64,tblCategories_2017!K63))</f>
        <v/>
      </c>
      <c r="L63" s="1">
        <f>IF(IF(uxb_works!$B$46=1,tblCategories_2014!L63,tblCategories_2017!L63)="","",IF(uxb_works!$B$46=1,tblCategories_2014!L63,tblCategories_2017!L63))</f>
        <v>1</v>
      </c>
      <c r="M63" s="1">
        <f>IF(IF(uxb_works!$B$46=1,tblCategories_2014!M63,tblCategories_2017!M63)="","",IF(uxb_works!$B$46=1,tblCategories_2014!M63,tblCategories_2017!M63))</f>
        <v>1</v>
      </c>
      <c r="N63" s="1">
        <f>IF(IF(uxb_works!$B$46=1,tblCategories_2014!N63,tblCategories_2017!N63)="","",IF(uxb_works!$B$46=1,tblCategories_2014!N63,tblCategories_2017!N63))</f>
        <v>0</v>
      </c>
      <c r="O63" s="1">
        <f>IF(IF(uxb_works!$B$46=1,tblCategories_2014!O63,tblCategories_2017!O63)="","",IF(uxb_works!$B$46=1,tblCategories_2014!O63,tblCategories_2017!O63))</f>
        <v>0</v>
      </c>
      <c r="P63" s="1">
        <f>IF(IF(uxb_works!$B$46=1,tblCategories_2014!P63,tblCategories_2017!P63)="","",IF(uxb_works!$B$46=1,tblCategories_2014!P63,tblCategories_2017!P63))</f>
        <v>0</v>
      </c>
      <c r="Q63" s="1">
        <f>IF(IF(uxb_works!$B$46=1,tblCategories_2014!Q63,tblCategories_2017!Q63)="","",IF(uxb_works!$B$46=1,tblCategories_2014!Q63,tblCategories_2017!Q63))</f>
        <v>0</v>
      </c>
      <c r="R63" s="1">
        <f>IF(IF(uxb_works!$B$46=1,tblCategories_2014!R63,tblCategories_2017!R63)="","",IF(uxb_works!$B$46=1,tblCategories_2014!R63,tblCategories_2017!R63))</f>
        <v>0</v>
      </c>
      <c r="S63" s="1">
        <f>IF(IF(uxb_works!$B$46=1,tblCategories_2014!S63,tblCategories_2017!S63)="","",IF(uxb_works!$B$46=1,tblCategories_2014!S63,tblCategories_2017!S63))</f>
        <v>0</v>
      </c>
      <c r="T63" s="1">
        <f>IF(IF(uxb_works!$B$46=1,tblCategories_2014!T63,tblCategories_2017!T63)="","",IF(uxb_works!$B$46=1,tblCategories_2014!T63,tblCategories_2017!T63))</f>
        <v>0</v>
      </c>
      <c r="U63" s="1">
        <f>IF(IF(uxb_works!$B$46=1,tblCategories_2014!U63,tblCategories_2017!U63)="","",IF(uxb_works!$B$46=1,tblCategories_2014!U63,tblCategories_2017!U63))</f>
        <v>0</v>
      </c>
      <c r="V63" s="1">
        <f>IF(IF(uxb_works!$B$46=1,tblCategories_2014!V63,tblCategories_2017!V63)="","",IF(uxb_works!$B$46=1,tblCategories_2014!V63,tblCategories_2017!V63))</f>
        <v>0</v>
      </c>
      <c r="W63" s="1">
        <f>IF(IF(uxb_works!$B$46=1,tblCategories_2014!W63,tblCategories_2017!W63)="","",IF(uxb_works!$B$46=1,tblCategories_2014!W63,tblCategories_2017!W63))</f>
        <v>1</v>
      </c>
      <c r="X63" s="1">
        <f>IF(IF(uxb_works!$B$46=1,tblCategories_2014!X63,tblCategories_2017!X63)="","",IF(uxb_works!$B$46=1,tblCategories_2014!X63,tblCategories_2017!X63))</f>
        <v>0</v>
      </c>
      <c r="Y63" s="1">
        <f>IF(IF(uxb_works!$B$46=1,tblCategories_2014!Y63,tblCategories_2017!Y63)="","",IF(uxb_works!$B$46=1,tblCategories_2014!Y63,tblCategories_2017!Y63))</f>
        <v>1</v>
      </c>
      <c r="Z63" s="1" t="str">
        <f>IF(IF(uxb_works!$B$46=1,tblCategories_2014!Z63,tblCategories_2017!Z63)="","",IF(uxb_works!$B$46=1,tblCategories_2014!Z63,tblCategories_2017!Z63))</f>
        <v/>
      </c>
      <c r="AA63" s="53" t="str">
        <f>IF(IF(uxb_works!$B$46=1,tblCategories_2014!AA63,tblCategories_2017!AA63)="","",IF(uxb_works!$B$46=1,tblCategories_2014!AA63,tblCategories_2017!AA63))</f>
        <v/>
      </c>
      <c r="AB63" s="20" t="str">
        <f>IF(IF(uxb_works!$B$46=1,tblCategories_2014!AB63,tblCategories_2017!AB63)="","",IF(uxb_works!$B$46=1,tblCategories_2014!AB63,tblCategories_2017!AB63))</f>
        <v/>
      </c>
      <c r="AC63" s="23">
        <f>IF(IF(uxb_works!$B$46=1,tblCategories_2014!AC63,tblCategories_2017!AC63)="","",IF(uxb_works!$B$46=1,tblCategories_2014!AC63,tblCategories_2017!AC63))</f>
        <v>0</v>
      </c>
      <c r="AD63" s="1" t="str">
        <f>IF(IF(uxb_works!$B$46=1,tblCategories_2014!AD63,tblCategories_2017!AD63)="","",IF(uxb_works!$B$46=1,tblCategories_2014!AD63,tblCategories_2017!AD63))</f>
        <v/>
      </c>
      <c r="AF63" s="1">
        <f>IF(IF(uxb_works!$B$46=1,tblCategories_2014!AF63,tblCategories_2017!AF63)="","",IF(uxb_works!$B$46=1,tblCategories_2014!AF63,tblCategories_2017!AF63))</f>
        <v>1</v>
      </c>
      <c r="AG63" s="1">
        <f>IF(IF(uxb_works!$B$46=1,tblCategories_2014!AG63,tblCategories_2017!AG63)="","",IF(uxb_works!$B$46=1,tblCategories_2014!AG63,tblCategories_2017!AG63))</f>
        <v>0</v>
      </c>
      <c r="AH63" s="1">
        <f>IF(IF(uxb_works!$B$46=1,tblCategories_2014!AH63,tblCategories_2017!AH63)="","",IF(uxb_works!$B$46=1,tblCategories_2014!AH63,tblCategories_2017!AH63))</f>
        <v>0</v>
      </c>
      <c r="AI63" s="1">
        <f>IF(IF(uxb_works!$B$46=1,tblCategories_2014!AI63,tblCategories_2017!AI63)="","",IF(uxb_works!$B$46=1,tblCategories_2014!AI63,tblCategories_2017!AI63))</f>
        <v>0</v>
      </c>
      <c r="AJ63" s="1">
        <f>IF(IF(uxb_works!$B$46=1,tblCategories_2014!AJ63,tblCategories_2017!AJ63)="","",IF(uxb_works!$B$46=1,tblCategories_2014!AJ63,tblCategories_2017!AJ63))</f>
        <v>0</v>
      </c>
      <c r="AK63" s="1">
        <f>IF(IF(uxb_works!$B$46=1,tblCategories_2014!AK63,tblCategories_2017!AK63)="","",IF(uxb_works!$B$46=1,tblCategories_2014!AK63,tblCategories_2017!AK63))</f>
        <v>0</v>
      </c>
      <c r="AL63" s="1">
        <f>IF(IF(uxb_works!$B$46=1,tblCategories_2014!AL63,tblCategories_2017!AL63)="","",IF(uxb_works!$B$46=1,tblCategories_2014!AL63,tblCategories_2017!AL63))</f>
        <v>0</v>
      </c>
      <c r="AM63" s="1">
        <f>IF(IF(uxb_works!$B$46=1,tblCategories_2014!AM63,tblCategories_2017!AM63)="","",IF(uxb_works!$B$46=1,tblCategories_2014!AM63,tblCategories_2017!AM63))</f>
        <v>0</v>
      </c>
      <c r="AN63" s="1">
        <f>IF(IF(uxb_works!$B$46=1,tblCategories_2014!AN63,tblCategories_2017!AN63)="","",IF(uxb_works!$B$46=1,tblCategories_2014!AN63,tblCategories_2017!AN63))</f>
        <v>0</v>
      </c>
      <c r="AO63" s="1">
        <f>IF(IF(uxb_works!$B$46=1,tblCategories_2014!AO63,tblCategories_2017!AO63)="","",IF(uxb_works!$B$46=1,tblCategories_2014!AO63,tblCategories_2017!AO63))</f>
        <v>0</v>
      </c>
      <c r="AP63" s="1">
        <f>IF(IF(uxb_works!$B$46=1,tblCategories_2014!AP63,tblCategories_2017!AP63)="","",IF(uxb_works!$B$46=1,tblCategories_2014!AP63,tblCategories_2017!AP63))</f>
        <v>0</v>
      </c>
      <c r="AQ63" s="1">
        <f>IF(IF(uxb_works!$B$46=1,tblCategories_2014!AQ63,tblCategories_2017!AQ63)="","",IF(uxb_works!$B$46=1,tblCategories_2014!AQ63,tblCategories_2017!AQ63))</f>
        <v>0</v>
      </c>
      <c r="AR63" s="1">
        <f>IF(IF(uxb_works!$B$46=1,tblCategories_2014!AR63,tblCategories_2017!AR63)="","",IF(uxb_works!$B$46=1,tblCategories_2014!AR63,tblCategories_2017!AR63))</f>
        <v>0</v>
      </c>
      <c r="AS63" s="1">
        <f>IF(IF(uxb_works!$B$46=1,tblCategories_2014!AS63,tblCategories_2017!AS63)="","",IF(uxb_works!$B$46=1,tblCategories_2014!AS63,tblCategories_2017!AS63))</f>
        <v>1</v>
      </c>
    </row>
  </sheetData>
  <pageMargins left="0.551181102362205" right="0.551181102362205" top="0.590551181102362" bottom="0.78740157480315" header="0.511811023622047" footer="0.511811023622047"/>
  <pageSetup paperSize="9" scale="27" orientation="landscape"/>
  <headerFooter alignWithMargins="0">
    <oddHeader>&amp;RSafe Cities Index : 2017</oddHead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FFC000"/>
    <pageSetUpPr fitToPage="1"/>
  </sheetPr>
  <dimension ref="A1:AS57"/>
  <sheetViews>
    <sheetView showRowColHeaders="0" zoomScale="90" zoomScaleNormal="90" workbookViewId="0">
      <pane xSplit="3" ySplit="1" topLeftCell="AE2" activePane="bottomRight" state="frozen"/>
      <selection/>
      <selection pane="topRight"/>
      <selection pane="bottomLeft"/>
      <selection pane="bottomRight" activeCell="AN35" sqref="AN35"/>
    </sheetView>
  </sheetViews>
  <sheetFormatPr defaultColWidth="9.14285714285714" defaultRowHeight="11.25"/>
  <cols>
    <col min="1" max="2" width="9.14285714285714" style="1"/>
    <col min="3" max="3" width="69.8571428571429" style="1" customWidth="1"/>
    <col min="4" max="4" width="9.14285714285714" style="1"/>
    <col min="5" max="5" width="6.42857142857143" style="1" customWidth="1"/>
    <col min="6" max="6" width="9.14285714285714" style="1"/>
    <col min="7" max="7" width="9.14285714285714" style="19"/>
    <col min="8" max="8" width="18.2857142857143" style="1" customWidth="1"/>
    <col min="9" max="26" width="9.14285714285714" style="1"/>
    <col min="27" max="27" width="9.14285714285714" style="53"/>
    <col min="28" max="29" width="9.14285714285714" style="20"/>
    <col min="30" max="16384" width="9.14285714285714" style="1"/>
  </cols>
  <sheetData>
    <row r="1" spans="1:45">
      <c r="A1" s="21" t="s">
        <v>373</v>
      </c>
      <c r="B1" s="21" t="s">
        <v>945</v>
      </c>
      <c r="C1" s="21" t="s">
        <v>97</v>
      </c>
      <c r="D1" s="21" t="s">
        <v>946</v>
      </c>
      <c r="E1" s="21" t="s">
        <v>947</v>
      </c>
      <c r="F1" s="54" t="s">
        <v>948</v>
      </c>
      <c r="G1" s="55" t="s">
        <v>949</v>
      </c>
      <c r="M1" s="1">
        <v>1</v>
      </c>
      <c r="N1" s="1">
        <v>2</v>
      </c>
      <c r="O1" s="1">
        <v>3</v>
      </c>
      <c r="P1" s="1">
        <v>4</v>
      </c>
      <c r="Q1" s="1">
        <v>5</v>
      </c>
      <c r="R1" s="1">
        <v>6</v>
      </c>
      <c r="S1" s="1">
        <v>7</v>
      </c>
      <c r="T1" s="1">
        <v>8</v>
      </c>
      <c r="U1" s="1">
        <v>9</v>
      </c>
      <c r="V1" s="1">
        <v>10</v>
      </c>
      <c r="W1" s="1">
        <v>11</v>
      </c>
      <c r="X1" s="1">
        <v>12</v>
      </c>
      <c r="Y1" s="1">
        <v>13</v>
      </c>
      <c r="AD1" s="1" t="s">
        <v>950</v>
      </c>
      <c r="AG1" s="1">
        <v>1</v>
      </c>
      <c r="AH1" s="1">
        <v>2</v>
      </c>
      <c r="AI1" s="1">
        <v>3</v>
      </c>
      <c r="AJ1" s="1">
        <v>4</v>
      </c>
      <c r="AK1" s="1">
        <v>5</v>
      </c>
      <c r="AL1" s="1">
        <v>6</v>
      </c>
      <c r="AM1" s="1">
        <v>7</v>
      </c>
      <c r="AN1" s="1">
        <v>8</v>
      </c>
      <c r="AO1" s="1">
        <v>9</v>
      </c>
      <c r="AP1" s="1">
        <v>10</v>
      </c>
      <c r="AQ1" s="1">
        <v>11</v>
      </c>
      <c r="AR1" s="1">
        <v>12</v>
      </c>
      <c r="AS1" s="1">
        <v>13</v>
      </c>
    </row>
    <row r="2" spans="1:45">
      <c r="A2" s="1">
        <v>0</v>
      </c>
      <c r="C2" s="1" t="s">
        <v>46</v>
      </c>
      <c r="D2" s="1" t="str">
        <f t="shared" ref="D2:D57" si="0">C2</f>
        <v>&lt;none&gt;</v>
      </c>
      <c r="F2" s="22">
        <v>0</v>
      </c>
      <c r="G2" s="56"/>
      <c r="I2" s="23"/>
      <c r="K2" s="1" t="s">
        <v>951</v>
      </c>
      <c r="M2" s="1" t="str">
        <f>INDEX($K$2:$K$6,M1)</f>
        <v>All</v>
      </c>
      <c r="N2" s="1" t="str">
        <f t="shared" ref="N2:Y2" si="1">INDEX($K$2:$K$14,N1)</f>
        <v> 1) DIGITAL SECURITY</v>
      </c>
      <c r="O2" s="1" t="str">
        <f t="shared" si="1"/>
        <v>  1.1) Digital security (Inputs)</v>
      </c>
      <c r="P2" s="1" t="str">
        <f t="shared" si="1"/>
        <v>  1.2) Digital security (Outputs)</v>
      </c>
      <c r="Q2" s="1" t="str">
        <f t="shared" si="1"/>
        <v> 2) HEALTH SECURITY</v>
      </c>
      <c r="R2" s="1" t="str">
        <f t="shared" si="1"/>
        <v>  2.1) Health security (Inputs)</v>
      </c>
      <c r="S2" s="1" t="str">
        <f t="shared" si="1"/>
        <v>  2.2) Health security (Outputs)</v>
      </c>
      <c r="T2" s="1" t="str">
        <f t="shared" si="1"/>
        <v> 3) INFRASTRUCTURE SECURITY</v>
      </c>
      <c r="U2" s="1" t="str">
        <f t="shared" si="1"/>
        <v>  3.1) Infrastructure security (Inputs)</v>
      </c>
      <c r="V2" s="1" t="str">
        <f t="shared" si="1"/>
        <v>  3.2) Infrastructure security (Outputs)</v>
      </c>
      <c r="W2" s="1" t="str">
        <f t="shared" si="1"/>
        <v> 4) PERSONAL SECURITY</v>
      </c>
      <c r="X2" s="1" t="str">
        <f t="shared" si="1"/>
        <v>  4.1) Personal security (Inputs)</v>
      </c>
      <c r="Y2" s="1" t="str">
        <f t="shared" si="1"/>
        <v>  4.2) Personal security (Outputs)</v>
      </c>
      <c r="AE2" s="1" t="s">
        <v>951</v>
      </c>
      <c r="AG2" s="1" t="str">
        <f>INDEX($K$2:$K$6,AG1)</f>
        <v>All</v>
      </c>
      <c r="AH2" s="1" t="str">
        <f t="shared" ref="AH2:AS2" si="2">INDEX($K$2:$K$14,AH1)</f>
        <v> 1) DIGITAL SECURITY</v>
      </c>
      <c r="AI2" s="1" t="str">
        <f t="shared" si="2"/>
        <v>  1.1) Digital security (Inputs)</v>
      </c>
      <c r="AJ2" s="1" t="str">
        <f t="shared" si="2"/>
        <v>  1.2) Digital security (Outputs)</v>
      </c>
      <c r="AK2" s="1" t="str">
        <f t="shared" si="2"/>
        <v> 2) HEALTH SECURITY</v>
      </c>
      <c r="AL2" s="1" t="str">
        <f t="shared" si="2"/>
        <v>  2.1) Health security (Inputs)</v>
      </c>
      <c r="AM2" s="1" t="str">
        <f t="shared" si="2"/>
        <v>  2.2) Health security (Outputs)</v>
      </c>
      <c r="AN2" s="1" t="str">
        <f t="shared" si="2"/>
        <v> 3) INFRASTRUCTURE SECURITY</v>
      </c>
      <c r="AO2" s="1" t="str">
        <f t="shared" si="2"/>
        <v>  3.1) Infrastructure security (Inputs)</v>
      </c>
      <c r="AP2" s="1" t="str">
        <f t="shared" si="2"/>
        <v>  3.2) Infrastructure security (Outputs)</v>
      </c>
      <c r="AQ2" s="1" t="str">
        <f t="shared" si="2"/>
        <v> 4) PERSONAL SECURITY</v>
      </c>
      <c r="AR2" s="1" t="str">
        <f t="shared" si="2"/>
        <v>  4.1) Personal security (Inputs)</v>
      </c>
      <c r="AS2" s="1" t="str">
        <f t="shared" si="2"/>
        <v>  4.2) Personal security (Outputs)</v>
      </c>
    </row>
    <row r="3" ht="12.75" spans="1:45">
      <c r="A3" s="1">
        <f>A2+1</f>
        <v>1</v>
      </c>
      <c r="C3" s="57" t="str">
        <f>tblIndiSets_2014_O!C75</f>
        <v> 1) DIGITAL SECURITY</v>
      </c>
      <c r="D3" s="1" t="str">
        <f t="shared" si="0"/>
        <v> 1) DIGITAL SECURITY</v>
      </c>
      <c r="F3" s="23">
        <f>INDEX(M3:Y3,uxb_works!$B$39)</f>
        <v>1</v>
      </c>
      <c r="G3" s="32"/>
      <c r="H3" s="1" t="s">
        <v>353</v>
      </c>
      <c r="I3" s="23">
        <f>uxb_works!B7</f>
        <v>0</v>
      </c>
      <c r="K3" s="1" t="str">
        <f>tblIndiSets!C79</f>
        <v> 1) DIGITAL SECURITY</v>
      </c>
      <c r="L3" s="1">
        <v>1</v>
      </c>
      <c r="M3" s="1">
        <v>1</v>
      </c>
      <c r="N3" s="1">
        <v>1</v>
      </c>
      <c r="O3" s="1">
        <v>0</v>
      </c>
      <c r="P3" s="1">
        <v>0</v>
      </c>
      <c r="Q3" s="1">
        <v>0</v>
      </c>
      <c r="R3" s="1">
        <v>0</v>
      </c>
      <c r="S3" s="1">
        <v>0</v>
      </c>
      <c r="T3" s="1">
        <v>0</v>
      </c>
      <c r="U3" s="1">
        <v>0</v>
      </c>
      <c r="V3" s="1">
        <v>0</v>
      </c>
      <c r="W3" s="1">
        <v>0</v>
      </c>
      <c r="X3" s="1">
        <v>0</v>
      </c>
      <c r="Y3" s="1">
        <v>0</v>
      </c>
      <c r="AC3" s="23">
        <f>INDEX(AG3:AT3,uxb_works!$B$39)</f>
        <v>1</v>
      </c>
      <c r="AE3" s="1" t="str">
        <f>K3</f>
        <v> 1) DIGITAL SECURITY</v>
      </c>
      <c r="AF3" s="1">
        <v>1</v>
      </c>
      <c r="AG3" s="1">
        <v>1</v>
      </c>
      <c r="AH3" s="1">
        <v>0</v>
      </c>
      <c r="AI3" s="1">
        <f t="shared" ref="AI3:AS3" si="3">O3</f>
        <v>0</v>
      </c>
      <c r="AJ3" s="1">
        <f t="shared" si="3"/>
        <v>0</v>
      </c>
      <c r="AK3" s="1">
        <f t="shared" si="3"/>
        <v>0</v>
      </c>
      <c r="AL3" s="1">
        <f t="shared" si="3"/>
        <v>0</v>
      </c>
      <c r="AM3" s="1">
        <f t="shared" si="3"/>
        <v>0</v>
      </c>
      <c r="AN3" s="1">
        <f t="shared" si="3"/>
        <v>0</v>
      </c>
      <c r="AO3" s="1">
        <f t="shared" si="3"/>
        <v>0</v>
      </c>
      <c r="AP3" s="1">
        <f t="shared" si="3"/>
        <v>0</v>
      </c>
      <c r="AQ3" s="1">
        <f t="shared" si="3"/>
        <v>0</v>
      </c>
      <c r="AR3" s="1">
        <f t="shared" si="3"/>
        <v>0</v>
      </c>
      <c r="AS3" s="1">
        <f t="shared" si="3"/>
        <v>0</v>
      </c>
    </row>
    <row r="4" ht="12.75" spans="1:45">
      <c r="A4" s="1">
        <f t="shared" ref="A4:A57" si="4">A3+1</f>
        <v>2</v>
      </c>
      <c r="C4" s="57" t="str">
        <f>tblIndiSets_2014_O!C76</f>
        <v>  1.1) Digital Security (Inputs)</v>
      </c>
      <c r="D4" s="1" t="str">
        <f t="shared" si="0"/>
        <v>  1.1) Digital Security (Inputs)</v>
      </c>
      <c r="F4" s="23">
        <f>INDEX(M4:Y4,uxb_works!$B$39)</f>
        <v>1</v>
      </c>
      <c r="G4" s="32"/>
      <c r="H4" s="1" t="s">
        <v>952</v>
      </c>
      <c r="I4" s="23">
        <v>1</v>
      </c>
      <c r="K4" s="1" t="str">
        <f>tblIndiSets!C80</f>
        <v>  1.1) Digital security (Inputs)</v>
      </c>
      <c r="L4" s="1">
        <v>1</v>
      </c>
      <c r="M4" s="1">
        <v>1</v>
      </c>
      <c r="N4" s="1">
        <v>1</v>
      </c>
      <c r="O4" s="1">
        <v>1</v>
      </c>
      <c r="P4" s="1">
        <v>0</v>
      </c>
      <c r="Q4" s="1">
        <v>0</v>
      </c>
      <c r="R4" s="1">
        <v>0</v>
      </c>
      <c r="S4" s="1">
        <v>0</v>
      </c>
      <c r="T4" s="1">
        <v>0</v>
      </c>
      <c r="U4" s="1">
        <v>0</v>
      </c>
      <c r="V4" s="1">
        <v>0</v>
      </c>
      <c r="W4" s="1">
        <v>0</v>
      </c>
      <c r="X4" s="1">
        <v>0</v>
      </c>
      <c r="Y4" s="1">
        <v>0</v>
      </c>
      <c r="AC4" s="23">
        <f>INDEX(AG4:AT4,uxb_works!$B$39)</f>
        <v>0</v>
      </c>
      <c r="AE4" s="1" t="str">
        <f>K4</f>
        <v>  1.1) Digital security (Inputs)</v>
      </c>
      <c r="AF4" s="1">
        <v>1</v>
      </c>
      <c r="AG4" s="1">
        <v>0</v>
      </c>
      <c r="AH4" s="1">
        <f t="shared" ref="AH4:AH57" si="5">N4</f>
        <v>1</v>
      </c>
      <c r="AI4" s="1">
        <v>0</v>
      </c>
      <c r="AJ4" s="1">
        <f t="shared" ref="AJ4:AJ57" si="6">P4</f>
        <v>0</v>
      </c>
      <c r="AK4" s="1">
        <f t="shared" ref="AK4:AK57" si="7">Q4</f>
        <v>0</v>
      </c>
      <c r="AL4" s="1">
        <f t="shared" ref="AL4:AL57" si="8">R4</f>
        <v>0</v>
      </c>
      <c r="AM4" s="1">
        <f t="shared" ref="AM4:AM57" si="9">S4</f>
        <v>0</v>
      </c>
      <c r="AN4" s="1">
        <f t="shared" ref="AN4:AN57" si="10">T4</f>
        <v>0</v>
      </c>
      <c r="AO4" s="1">
        <f t="shared" ref="AO4:AO57" si="11">U4</f>
        <v>0</v>
      </c>
      <c r="AP4" s="1">
        <f t="shared" ref="AP4:AP57" si="12">V4</f>
        <v>0</v>
      </c>
      <c r="AQ4" s="1">
        <f t="shared" ref="AQ4:AQ41" si="13">W4</f>
        <v>0</v>
      </c>
      <c r="AR4" s="1">
        <f t="shared" ref="AR4:AR57" si="14">X4</f>
        <v>0</v>
      </c>
      <c r="AS4" s="1">
        <f t="shared" ref="AS4:AS57" si="15">Y4</f>
        <v>0</v>
      </c>
    </row>
    <row r="5" ht="12.75" spans="1:45">
      <c r="A5" s="1">
        <f t="shared" si="4"/>
        <v>3</v>
      </c>
      <c r="C5" s="57" t="str">
        <f>tblIndiSets_2014_O!C77</f>
        <v>   1.1.1) Privacy policy</v>
      </c>
      <c r="D5" s="1" t="str">
        <f t="shared" si="0"/>
        <v>   1.1.1) Privacy policy</v>
      </c>
      <c r="F5" s="23">
        <f>INDEX(M5:Y5,uxb_works!$B$39)</f>
        <v>1</v>
      </c>
      <c r="G5" s="32"/>
      <c r="I5" s="23"/>
      <c r="K5" s="1" t="str">
        <f>tblIndiSets!C81</f>
        <v>  1.2) Digital security (Outputs)</v>
      </c>
      <c r="L5" s="1">
        <v>1</v>
      </c>
      <c r="M5" s="1">
        <v>1</v>
      </c>
      <c r="N5" s="1">
        <v>1</v>
      </c>
      <c r="O5" s="1">
        <v>1</v>
      </c>
      <c r="P5" s="1">
        <v>0</v>
      </c>
      <c r="Q5" s="1">
        <v>0</v>
      </c>
      <c r="R5" s="1">
        <v>0</v>
      </c>
      <c r="S5" s="1">
        <v>0</v>
      </c>
      <c r="T5" s="1">
        <v>0</v>
      </c>
      <c r="U5" s="1">
        <v>0</v>
      </c>
      <c r="V5" s="1">
        <v>0</v>
      </c>
      <c r="W5" s="1">
        <v>0</v>
      </c>
      <c r="X5" s="1">
        <v>0</v>
      </c>
      <c r="Y5" s="1">
        <v>0</v>
      </c>
      <c r="AC5" s="23">
        <f>INDEX(AG5:AT5,uxb_works!$B$39)</f>
        <v>0</v>
      </c>
      <c r="AE5" s="1" t="str">
        <f>K5</f>
        <v>  1.2) Digital security (Outputs)</v>
      </c>
      <c r="AF5" s="1">
        <v>1</v>
      </c>
      <c r="AG5" s="1">
        <v>0</v>
      </c>
      <c r="AH5" s="1">
        <v>0</v>
      </c>
      <c r="AI5" s="1">
        <f t="shared" ref="AI5:AI57" si="16">O5</f>
        <v>1</v>
      </c>
      <c r="AJ5" s="1">
        <f t="shared" si="6"/>
        <v>0</v>
      </c>
      <c r="AK5" s="1">
        <f t="shared" si="7"/>
        <v>0</v>
      </c>
      <c r="AL5" s="1">
        <f t="shared" si="8"/>
        <v>0</v>
      </c>
      <c r="AM5" s="1">
        <f t="shared" si="9"/>
        <v>0</v>
      </c>
      <c r="AN5" s="1">
        <f t="shared" si="10"/>
        <v>0</v>
      </c>
      <c r="AO5" s="1">
        <f t="shared" si="11"/>
        <v>0</v>
      </c>
      <c r="AP5" s="1">
        <f t="shared" si="12"/>
        <v>0</v>
      </c>
      <c r="AQ5" s="1">
        <f t="shared" si="13"/>
        <v>0</v>
      </c>
      <c r="AR5" s="1">
        <f t="shared" si="14"/>
        <v>0</v>
      </c>
      <c r="AS5" s="1">
        <f t="shared" si="15"/>
        <v>0</v>
      </c>
    </row>
    <row r="6" ht="12.75" spans="1:45">
      <c r="A6" s="1">
        <f t="shared" si="4"/>
        <v>4</v>
      </c>
      <c r="C6" s="57" t="str">
        <f>tblIndiSets_2014_O!C78</f>
        <v>   1.1.2) Citizen awareness of digital threats</v>
      </c>
      <c r="D6" s="1" t="str">
        <f t="shared" si="0"/>
        <v>   1.1.2) Citizen awareness of digital threats</v>
      </c>
      <c r="F6" s="23">
        <f>INDEX(M6:Y6,uxb_works!$B$39)</f>
        <v>1</v>
      </c>
      <c r="G6" s="32"/>
      <c r="K6" s="1" t="str">
        <f>tblIndiSets!C82</f>
        <v> 2) HEALTH SECURITY</v>
      </c>
      <c r="L6" s="1">
        <v>1</v>
      </c>
      <c r="M6" s="1">
        <v>1</v>
      </c>
      <c r="N6" s="1">
        <v>1</v>
      </c>
      <c r="O6" s="1">
        <v>1</v>
      </c>
      <c r="P6" s="1">
        <v>0</v>
      </c>
      <c r="Q6" s="1">
        <v>0</v>
      </c>
      <c r="R6" s="1">
        <v>0</v>
      </c>
      <c r="S6" s="1">
        <v>0</v>
      </c>
      <c r="T6" s="1">
        <v>0</v>
      </c>
      <c r="U6" s="1">
        <v>0</v>
      </c>
      <c r="V6" s="1">
        <v>0</v>
      </c>
      <c r="W6" s="1">
        <v>0</v>
      </c>
      <c r="X6" s="1">
        <v>0</v>
      </c>
      <c r="Y6" s="1">
        <v>0</v>
      </c>
      <c r="AC6" s="23">
        <f>INDEX(AG6:AT6,uxb_works!$B$39)</f>
        <v>0</v>
      </c>
      <c r="AE6" s="1" t="str">
        <f>K6</f>
        <v> 2) HEALTH SECURITY</v>
      </c>
      <c r="AF6" s="1">
        <v>1</v>
      </c>
      <c r="AG6" s="1">
        <v>0</v>
      </c>
      <c r="AH6" s="1">
        <v>0</v>
      </c>
      <c r="AI6" s="1">
        <f t="shared" si="16"/>
        <v>1</v>
      </c>
      <c r="AJ6" s="1">
        <f t="shared" si="6"/>
        <v>0</v>
      </c>
      <c r="AK6" s="1">
        <f t="shared" si="7"/>
        <v>0</v>
      </c>
      <c r="AL6" s="1">
        <f t="shared" si="8"/>
        <v>0</v>
      </c>
      <c r="AM6" s="1">
        <f t="shared" si="9"/>
        <v>0</v>
      </c>
      <c r="AN6" s="1">
        <f t="shared" si="10"/>
        <v>0</v>
      </c>
      <c r="AO6" s="1">
        <f t="shared" si="11"/>
        <v>0</v>
      </c>
      <c r="AP6" s="1">
        <f t="shared" si="12"/>
        <v>0</v>
      </c>
      <c r="AQ6" s="1">
        <f t="shared" si="13"/>
        <v>0</v>
      </c>
      <c r="AR6" s="1">
        <f t="shared" si="14"/>
        <v>0</v>
      </c>
      <c r="AS6" s="1">
        <f t="shared" si="15"/>
        <v>0</v>
      </c>
    </row>
    <row r="7" ht="15" customHeight="1" spans="1:45">
      <c r="A7" s="1">
        <f t="shared" si="4"/>
        <v>5</v>
      </c>
      <c r="C7" s="57" t="str">
        <f>tblIndiSets_2014_O!C79</f>
        <v>   1.1.3) Public-private partnerships</v>
      </c>
      <c r="D7" s="1" t="str">
        <f t="shared" si="0"/>
        <v>   1.1.3) Public-private partnerships</v>
      </c>
      <c r="F7" s="23">
        <f>INDEX(M7:Y7,uxb_works!$B$39)</f>
        <v>1</v>
      </c>
      <c r="G7" s="32"/>
      <c r="K7" s="1" t="str">
        <f>tblIndiSets!C83</f>
        <v>  2.1) Health security (Inputs)</v>
      </c>
      <c r="L7" s="1">
        <v>1</v>
      </c>
      <c r="M7" s="1">
        <v>1</v>
      </c>
      <c r="N7" s="1">
        <v>1</v>
      </c>
      <c r="O7" s="1">
        <v>1</v>
      </c>
      <c r="P7" s="1">
        <v>0</v>
      </c>
      <c r="Q7" s="1">
        <v>0</v>
      </c>
      <c r="R7" s="1">
        <v>0</v>
      </c>
      <c r="S7" s="1">
        <v>0</v>
      </c>
      <c r="T7" s="1">
        <v>0</v>
      </c>
      <c r="U7" s="1">
        <v>0</v>
      </c>
      <c r="V7" s="1">
        <v>0</v>
      </c>
      <c r="W7" s="1">
        <v>0</v>
      </c>
      <c r="X7" s="1">
        <v>0</v>
      </c>
      <c r="Y7" s="1">
        <v>0</v>
      </c>
      <c r="AC7" s="23">
        <f>INDEX(AG7:AT7,uxb_works!$B$39)</f>
        <v>0</v>
      </c>
      <c r="AF7" s="1">
        <v>1</v>
      </c>
      <c r="AG7" s="1">
        <v>0</v>
      </c>
      <c r="AH7" s="1">
        <v>0</v>
      </c>
      <c r="AI7" s="1">
        <f t="shared" si="16"/>
        <v>1</v>
      </c>
      <c r="AJ7" s="1">
        <f t="shared" si="6"/>
        <v>0</v>
      </c>
      <c r="AK7" s="1">
        <f t="shared" si="7"/>
        <v>0</v>
      </c>
      <c r="AL7" s="1">
        <f t="shared" si="8"/>
        <v>0</v>
      </c>
      <c r="AM7" s="1">
        <f t="shared" si="9"/>
        <v>0</v>
      </c>
      <c r="AN7" s="1">
        <f t="shared" si="10"/>
        <v>0</v>
      </c>
      <c r="AO7" s="1">
        <f t="shared" si="11"/>
        <v>0</v>
      </c>
      <c r="AP7" s="1">
        <f t="shared" si="12"/>
        <v>0</v>
      </c>
      <c r="AQ7" s="1">
        <f t="shared" si="13"/>
        <v>0</v>
      </c>
      <c r="AR7" s="1">
        <f t="shared" si="14"/>
        <v>0</v>
      </c>
      <c r="AS7" s="1">
        <f t="shared" si="15"/>
        <v>0</v>
      </c>
    </row>
    <row r="8" ht="15" customHeight="1" spans="1:45">
      <c r="A8" s="1">
        <f t="shared" si="4"/>
        <v>6</v>
      </c>
      <c r="C8" s="57" t="str">
        <f>tblIndiSets_2014_O!C80</f>
        <v>   1.1.4) Level of technology employed</v>
      </c>
      <c r="D8" s="1" t="str">
        <f t="shared" si="0"/>
        <v>   1.1.4) Level of technology employed</v>
      </c>
      <c r="F8" s="23">
        <f>INDEX(M8:Y8,uxb_works!$B$39)</f>
        <v>1</v>
      </c>
      <c r="G8" s="32"/>
      <c r="K8" s="1" t="str">
        <f>tblIndiSets!C84</f>
        <v>  2.2) Health security (Outputs)</v>
      </c>
      <c r="L8" s="1">
        <v>1</v>
      </c>
      <c r="M8" s="1">
        <v>1</v>
      </c>
      <c r="N8" s="1">
        <v>1</v>
      </c>
      <c r="O8" s="1">
        <v>1</v>
      </c>
      <c r="P8" s="1">
        <v>0</v>
      </c>
      <c r="Q8" s="1">
        <v>0</v>
      </c>
      <c r="R8" s="1">
        <v>0</v>
      </c>
      <c r="S8" s="1">
        <v>0</v>
      </c>
      <c r="T8" s="1">
        <v>0</v>
      </c>
      <c r="U8" s="1">
        <v>0</v>
      </c>
      <c r="V8" s="1">
        <v>0</v>
      </c>
      <c r="W8" s="1">
        <v>0</v>
      </c>
      <c r="X8" s="1">
        <v>0</v>
      </c>
      <c r="Y8" s="1">
        <v>0</v>
      </c>
      <c r="AC8" s="23">
        <f>INDEX(AG8:AT8,uxb_works!$B$39)</f>
        <v>0</v>
      </c>
      <c r="AF8" s="1">
        <v>1</v>
      </c>
      <c r="AG8" s="1">
        <v>0</v>
      </c>
      <c r="AH8" s="1">
        <v>0</v>
      </c>
      <c r="AI8" s="1">
        <f t="shared" si="16"/>
        <v>1</v>
      </c>
      <c r="AJ8" s="1">
        <f t="shared" si="6"/>
        <v>0</v>
      </c>
      <c r="AK8" s="1">
        <f t="shared" si="7"/>
        <v>0</v>
      </c>
      <c r="AL8" s="1">
        <f t="shared" si="8"/>
        <v>0</v>
      </c>
      <c r="AM8" s="1">
        <f t="shared" si="9"/>
        <v>0</v>
      </c>
      <c r="AN8" s="1">
        <f t="shared" si="10"/>
        <v>0</v>
      </c>
      <c r="AO8" s="1">
        <f t="shared" si="11"/>
        <v>0</v>
      </c>
      <c r="AP8" s="1">
        <f t="shared" si="12"/>
        <v>0</v>
      </c>
      <c r="AQ8" s="1">
        <f t="shared" si="13"/>
        <v>0</v>
      </c>
      <c r="AR8" s="1">
        <f t="shared" si="14"/>
        <v>0</v>
      </c>
      <c r="AS8" s="1">
        <f t="shared" si="15"/>
        <v>0</v>
      </c>
    </row>
    <row r="9" ht="15" customHeight="1" spans="1:45">
      <c r="A9" s="1">
        <f t="shared" si="4"/>
        <v>7</v>
      </c>
      <c r="C9" s="57" t="str">
        <f>tblIndiSets_2014_O!C81</f>
        <v>   1.1.5) Dedicated cyber security teams</v>
      </c>
      <c r="D9" s="1" t="str">
        <f t="shared" si="0"/>
        <v>   1.1.5) Dedicated cyber security teams</v>
      </c>
      <c r="F9" s="23">
        <f>INDEX(M9:Y9,uxb_works!$B$39)</f>
        <v>1</v>
      </c>
      <c r="G9" s="32"/>
      <c r="K9" s="1" t="str">
        <f>tblIndiSets!C85</f>
        <v> 3) INFRASTRUCTURE SECURITY</v>
      </c>
      <c r="L9" s="1">
        <v>1</v>
      </c>
      <c r="M9" s="1">
        <v>1</v>
      </c>
      <c r="N9" s="1">
        <v>1</v>
      </c>
      <c r="O9" s="1">
        <v>1</v>
      </c>
      <c r="P9" s="1">
        <v>0</v>
      </c>
      <c r="Q9" s="1">
        <v>0</v>
      </c>
      <c r="R9" s="1">
        <v>0</v>
      </c>
      <c r="S9" s="1">
        <v>0</v>
      </c>
      <c r="T9" s="1">
        <v>0</v>
      </c>
      <c r="U9" s="1">
        <v>0</v>
      </c>
      <c r="V9" s="1">
        <v>0</v>
      </c>
      <c r="W9" s="1">
        <v>0</v>
      </c>
      <c r="X9" s="1">
        <v>0</v>
      </c>
      <c r="Y9" s="1">
        <v>0</v>
      </c>
      <c r="AC9" s="23">
        <f>INDEX(AG9:AT9,uxb_works!$B$39)</f>
        <v>0</v>
      </c>
      <c r="AF9" s="1">
        <v>1</v>
      </c>
      <c r="AG9" s="1">
        <v>0</v>
      </c>
      <c r="AH9" s="1">
        <v>0</v>
      </c>
      <c r="AI9" s="1">
        <f t="shared" si="16"/>
        <v>1</v>
      </c>
      <c r="AJ9" s="1">
        <f t="shared" si="6"/>
        <v>0</v>
      </c>
      <c r="AK9" s="1">
        <f t="shared" si="7"/>
        <v>0</v>
      </c>
      <c r="AL9" s="1">
        <f t="shared" si="8"/>
        <v>0</v>
      </c>
      <c r="AM9" s="1">
        <f t="shared" si="9"/>
        <v>0</v>
      </c>
      <c r="AN9" s="1">
        <f t="shared" si="10"/>
        <v>0</v>
      </c>
      <c r="AO9" s="1">
        <f t="shared" si="11"/>
        <v>0</v>
      </c>
      <c r="AP9" s="1">
        <f t="shared" si="12"/>
        <v>0</v>
      </c>
      <c r="AQ9" s="1">
        <f t="shared" si="13"/>
        <v>0</v>
      </c>
      <c r="AR9" s="1">
        <f t="shared" si="14"/>
        <v>0</v>
      </c>
      <c r="AS9" s="1">
        <f t="shared" si="15"/>
        <v>0</v>
      </c>
    </row>
    <row r="10" ht="15" customHeight="1" spans="1:45">
      <c r="A10" s="1">
        <f t="shared" si="4"/>
        <v>8</v>
      </c>
      <c r="C10" s="57" t="str">
        <f>tblIndiSets_2014_O!C82</f>
        <v>  1.2) Digital Security (Outputs)</v>
      </c>
      <c r="D10" s="1" t="str">
        <f t="shared" si="0"/>
        <v>  1.2) Digital Security (Outputs)</v>
      </c>
      <c r="F10" s="23">
        <f>INDEX(M10:Y10,uxb_works!$B$39)</f>
        <v>1</v>
      </c>
      <c r="G10" s="32"/>
      <c r="K10" s="1" t="str">
        <f>tblIndiSets!C86</f>
        <v>  3.1) Infrastructure security (Inputs)</v>
      </c>
      <c r="L10" s="1">
        <v>1</v>
      </c>
      <c r="M10" s="1">
        <v>1</v>
      </c>
      <c r="N10" s="1">
        <v>1</v>
      </c>
      <c r="O10" s="1">
        <v>0</v>
      </c>
      <c r="P10" s="1">
        <v>0</v>
      </c>
      <c r="Q10" s="1">
        <v>0</v>
      </c>
      <c r="R10" s="1">
        <v>0</v>
      </c>
      <c r="S10" s="1">
        <v>0</v>
      </c>
      <c r="T10" s="1">
        <v>0</v>
      </c>
      <c r="U10" s="1">
        <v>0</v>
      </c>
      <c r="V10" s="1">
        <v>0</v>
      </c>
      <c r="W10" s="1">
        <v>0</v>
      </c>
      <c r="X10" s="1">
        <v>0</v>
      </c>
      <c r="Y10" s="1">
        <v>0</v>
      </c>
      <c r="AC10" s="23">
        <f>INDEX(AG10:AT10,uxb_works!$B$39)</f>
        <v>0</v>
      </c>
      <c r="AF10" s="1">
        <v>1</v>
      </c>
      <c r="AG10" s="1">
        <v>0</v>
      </c>
      <c r="AH10" s="1">
        <f t="shared" si="5"/>
        <v>1</v>
      </c>
      <c r="AI10" s="1">
        <f t="shared" si="16"/>
        <v>0</v>
      </c>
      <c r="AJ10" s="1">
        <f t="shared" si="6"/>
        <v>0</v>
      </c>
      <c r="AK10" s="1">
        <f t="shared" si="7"/>
        <v>0</v>
      </c>
      <c r="AL10" s="1">
        <f t="shared" si="8"/>
        <v>0</v>
      </c>
      <c r="AM10" s="1">
        <f t="shared" si="9"/>
        <v>0</v>
      </c>
      <c r="AN10" s="1">
        <f t="shared" si="10"/>
        <v>0</v>
      </c>
      <c r="AO10" s="1">
        <f t="shared" si="11"/>
        <v>0</v>
      </c>
      <c r="AP10" s="1">
        <f t="shared" si="12"/>
        <v>0</v>
      </c>
      <c r="AQ10" s="1">
        <f t="shared" si="13"/>
        <v>0</v>
      </c>
      <c r="AR10" s="1">
        <f t="shared" si="14"/>
        <v>0</v>
      </c>
      <c r="AS10" s="1">
        <f t="shared" si="15"/>
        <v>0</v>
      </c>
    </row>
    <row r="11" ht="15" customHeight="1" spans="1:45">
      <c r="A11" s="1">
        <f t="shared" si="4"/>
        <v>9</v>
      </c>
      <c r="C11" s="57" t="str">
        <f>tblIndiSets_2014_O!C83</f>
        <v>   1.2.1) Frequency of identity theft</v>
      </c>
      <c r="D11" s="1" t="str">
        <f t="shared" si="0"/>
        <v>   1.2.1) Frequency of identity theft</v>
      </c>
      <c r="F11" s="23">
        <f>INDEX(M11:Y11,uxb_works!$B$39)</f>
        <v>1</v>
      </c>
      <c r="G11" s="32"/>
      <c r="K11" s="1" t="str">
        <f>tblIndiSets!C87</f>
        <v>  3.2) Infrastructure security (Outputs)</v>
      </c>
      <c r="L11" s="1">
        <v>1</v>
      </c>
      <c r="M11" s="1">
        <v>1</v>
      </c>
      <c r="N11" s="1">
        <v>1</v>
      </c>
      <c r="O11" s="1">
        <v>0</v>
      </c>
      <c r="P11" s="1">
        <v>1</v>
      </c>
      <c r="Q11" s="1">
        <v>0</v>
      </c>
      <c r="R11" s="1">
        <v>0</v>
      </c>
      <c r="S11" s="1">
        <v>0</v>
      </c>
      <c r="T11" s="1">
        <v>0</v>
      </c>
      <c r="U11" s="1">
        <v>0</v>
      </c>
      <c r="V11" s="1">
        <v>0</v>
      </c>
      <c r="W11" s="1">
        <v>0</v>
      </c>
      <c r="X11" s="1">
        <v>0</v>
      </c>
      <c r="Y11" s="1">
        <v>0</v>
      </c>
      <c r="AC11" s="23">
        <f>INDEX(AG11:AT11,uxb_works!$B$39)</f>
        <v>0</v>
      </c>
      <c r="AF11" s="1">
        <v>1</v>
      </c>
      <c r="AG11" s="1">
        <v>0</v>
      </c>
      <c r="AH11" s="1">
        <v>0</v>
      </c>
      <c r="AI11" s="1">
        <f t="shared" si="16"/>
        <v>0</v>
      </c>
      <c r="AJ11" s="1">
        <f t="shared" si="6"/>
        <v>1</v>
      </c>
      <c r="AK11" s="1">
        <f t="shared" si="7"/>
        <v>0</v>
      </c>
      <c r="AL11" s="1">
        <f t="shared" si="8"/>
        <v>0</v>
      </c>
      <c r="AM11" s="1">
        <f t="shared" si="9"/>
        <v>0</v>
      </c>
      <c r="AN11" s="1">
        <f t="shared" si="10"/>
        <v>0</v>
      </c>
      <c r="AO11" s="1">
        <f t="shared" si="11"/>
        <v>0</v>
      </c>
      <c r="AP11" s="1">
        <f t="shared" si="12"/>
        <v>0</v>
      </c>
      <c r="AQ11" s="1">
        <f t="shared" si="13"/>
        <v>0</v>
      </c>
      <c r="AR11" s="1">
        <f t="shared" si="14"/>
        <v>0</v>
      </c>
      <c r="AS11" s="1">
        <f t="shared" si="15"/>
        <v>0</v>
      </c>
    </row>
    <row r="12" ht="15" customHeight="1" spans="1:45">
      <c r="A12" s="1">
        <f t="shared" si="4"/>
        <v>10</v>
      </c>
      <c r="C12" s="57" t="str">
        <f>tblIndiSets_2014_O!C84</f>
        <v>   1.2.2) Percentage of computers infected</v>
      </c>
      <c r="D12" s="1" t="str">
        <f t="shared" si="0"/>
        <v>   1.2.2) Percentage of computers infected</v>
      </c>
      <c r="F12" s="23">
        <f>INDEX(M12:Y12,uxb_works!$B$39)</f>
        <v>1</v>
      </c>
      <c r="G12" s="32"/>
      <c r="K12" s="1" t="str">
        <f>tblIndiSets!C88</f>
        <v> 4) PERSONAL SECURITY</v>
      </c>
      <c r="L12" s="1">
        <v>1</v>
      </c>
      <c r="M12" s="1">
        <v>1</v>
      </c>
      <c r="N12" s="1">
        <v>1</v>
      </c>
      <c r="O12" s="1">
        <v>0</v>
      </c>
      <c r="P12" s="1">
        <v>1</v>
      </c>
      <c r="Q12" s="1">
        <v>0</v>
      </c>
      <c r="R12" s="1">
        <v>0</v>
      </c>
      <c r="S12" s="1">
        <v>0</v>
      </c>
      <c r="T12" s="1">
        <v>0</v>
      </c>
      <c r="U12" s="1">
        <v>0</v>
      </c>
      <c r="V12" s="1">
        <v>0</v>
      </c>
      <c r="W12" s="1">
        <v>0</v>
      </c>
      <c r="X12" s="1">
        <v>0</v>
      </c>
      <c r="Y12" s="1">
        <v>0</v>
      </c>
      <c r="AC12" s="23">
        <f>INDEX(AG12:AT12,uxb_works!$B$39)</f>
        <v>0</v>
      </c>
      <c r="AF12" s="1">
        <v>1</v>
      </c>
      <c r="AG12" s="1">
        <v>0</v>
      </c>
      <c r="AH12" s="1">
        <v>0</v>
      </c>
      <c r="AI12" s="1">
        <f t="shared" si="16"/>
        <v>0</v>
      </c>
      <c r="AJ12" s="1">
        <f t="shared" si="6"/>
        <v>1</v>
      </c>
      <c r="AK12" s="1">
        <f t="shared" si="7"/>
        <v>0</v>
      </c>
      <c r="AL12" s="1">
        <f t="shared" si="8"/>
        <v>0</v>
      </c>
      <c r="AM12" s="1">
        <f t="shared" si="9"/>
        <v>0</v>
      </c>
      <c r="AN12" s="1">
        <f t="shared" si="10"/>
        <v>0</v>
      </c>
      <c r="AO12" s="1">
        <f t="shared" si="11"/>
        <v>0</v>
      </c>
      <c r="AP12" s="1">
        <f t="shared" si="12"/>
        <v>0</v>
      </c>
      <c r="AQ12" s="1">
        <f t="shared" si="13"/>
        <v>0</v>
      </c>
      <c r="AR12" s="1">
        <f t="shared" si="14"/>
        <v>0</v>
      </c>
      <c r="AS12" s="1">
        <f t="shared" si="15"/>
        <v>0</v>
      </c>
    </row>
    <row r="13" ht="15" customHeight="1" spans="1:45">
      <c r="A13" s="1">
        <f t="shared" si="4"/>
        <v>11</v>
      </c>
      <c r="C13" s="57" t="str">
        <f>tblIndiSets_2014_O!C85</f>
        <v>   1.2.3) Percent with internet access</v>
      </c>
      <c r="D13" s="1" t="str">
        <f t="shared" si="0"/>
        <v>   1.2.3) Percent with internet access</v>
      </c>
      <c r="F13" s="23">
        <f>INDEX(M13:Y13,uxb_works!$B$39)</f>
        <v>1</v>
      </c>
      <c r="G13" s="32"/>
      <c r="K13" s="1" t="str">
        <f>tblIndiSets!C89</f>
        <v>  4.1) Personal security (Inputs)</v>
      </c>
      <c r="L13" s="1">
        <v>1</v>
      </c>
      <c r="M13" s="1">
        <v>1</v>
      </c>
      <c r="N13" s="1">
        <v>1</v>
      </c>
      <c r="O13" s="1">
        <v>0</v>
      </c>
      <c r="P13" s="1">
        <v>1</v>
      </c>
      <c r="Q13" s="1">
        <v>0</v>
      </c>
      <c r="R13" s="1">
        <v>0</v>
      </c>
      <c r="S13" s="1">
        <v>0</v>
      </c>
      <c r="T13" s="1">
        <v>0</v>
      </c>
      <c r="U13" s="1">
        <v>0</v>
      </c>
      <c r="V13" s="1">
        <v>0</v>
      </c>
      <c r="W13" s="1">
        <v>0</v>
      </c>
      <c r="X13" s="1">
        <v>0</v>
      </c>
      <c r="Y13" s="1">
        <v>0</v>
      </c>
      <c r="AC13" s="23">
        <f>INDEX(AG13:AT13,uxb_works!$B$39)</f>
        <v>0</v>
      </c>
      <c r="AF13" s="1">
        <v>1</v>
      </c>
      <c r="AG13" s="1">
        <v>0</v>
      </c>
      <c r="AH13" s="1">
        <v>0</v>
      </c>
      <c r="AI13" s="1">
        <f t="shared" si="16"/>
        <v>0</v>
      </c>
      <c r="AJ13" s="1">
        <f t="shared" si="6"/>
        <v>1</v>
      </c>
      <c r="AK13" s="1">
        <f t="shared" si="7"/>
        <v>0</v>
      </c>
      <c r="AL13" s="1">
        <f t="shared" si="8"/>
        <v>0</v>
      </c>
      <c r="AM13" s="1">
        <f t="shared" si="9"/>
        <v>0</v>
      </c>
      <c r="AN13" s="1">
        <f t="shared" si="10"/>
        <v>0</v>
      </c>
      <c r="AO13" s="1">
        <f t="shared" si="11"/>
        <v>0</v>
      </c>
      <c r="AP13" s="1">
        <f t="shared" si="12"/>
        <v>0</v>
      </c>
      <c r="AQ13" s="1">
        <f t="shared" si="13"/>
        <v>0</v>
      </c>
      <c r="AR13" s="1">
        <f t="shared" si="14"/>
        <v>0</v>
      </c>
      <c r="AS13" s="1">
        <f t="shared" si="15"/>
        <v>0</v>
      </c>
    </row>
    <row r="14" ht="15" customHeight="1" spans="1:45">
      <c r="A14" s="1">
        <f t="shared" si="4"/>
        <v>12</v>
      </c>
      <c r="C14" s="57" t="str">
        <f>tblIndiSets_2014_O!C86</f>
        <v> 2) HEALTH SECURITY</v>
      </c>
      <c r="D14" s="1" t="str">
        <f t="shared" si="0"/>
        <v> 2) HEALTH SECURITY</v>
      </c>
      <c r="F14" s="23">
        <f>INDEX(M14:Y14,uxb_works!$B$39)</f>
        <v>1</v>
      </c>
      <c r="G14" s="32"/>
      <c r="K14" s="1" t="str">
        <f>tblIndiSets!C90</f>
        <v>  4.2) Personal security (Outputs)</v>
      </c>
      <c r="L14" s="1">
        <v>1</v>
      </c>
      <c r="M14" s="1">
        <v>1</v>
      </c>
      <c r="N14" s="1">
        <v>0</v>
      </c>
      <c r="O14" s="1">
        <v>0</v>
      </c>
      <c r="P14" s="1">
        <v>0</v>
      </c>
      <c r="Q14" s="1">
        <v>1</v>
      </c>
      <c r="R14" s="1">
        <v>0</v>
      </c>
      <c r="S14" s="1">
        <v>0</v>
      </c>
      <c r="T14" s="1">
        <v>0</v>
      </c>
      <c r="U14" s="1">
        <v>0</v>
      </c>
      <c r="V14" s="1">
        <v>0</v>
      </c>
      <c r="W14" s="1">
        <v>0</v>
      </c>
      <c r="X14" s="1">
        <v>0</v>
      </c>
      <c r="Y14" s="1">
        <v>0</v>
      </c>
      <c r="AC14" s="23">
        <f>INDEX(AG14:AT14,uxb_works!$B$39)</f>
        <v>1</v>
      </c>
      <c r="AF14" s="1">
        <v>1</v>
      </c>
      <c r="AG14" s="1">
        <v>1</v>
      </c>
      <c r="AH14" s="1">
        <f t="shared" si="5"/>
        <v>0</v>
      </c>
      <c r="AI14" s="1">
        <f t="shared" si="16"/>
        <v>0</v>
      </c>
      <c r="AJ14" s="1">
        <f t="shared" si="6"/>
        <v>0</v>
      </c>
      <c r="AK14" s="1">
        <v>0</v>
      </c>
      <c r="AL14" s="1">
        <f t="shared" si="8"/>
        <v>0</v>
      </c>
      <c r="AM14" s="1">
        <f t="shared" si="9"/>
        <v>0</v>
      </c>
      <c r="AN14" s="1">
        <f t="shared" si="10"/>
        <v>0</v>
      </c>
      <c r="AO14" s="1">
        <f t="shared" si="11"/>
        <v>0</v>
      </c>
      <c r="AP14" s="1">
        <f t="shared" si="12"/>
        <v>0</v>
      </c>
      <c r="AQ14" s="1">
        <f t="shared" si="13"/>
        <v>0</v>
      </c>
      <c r="AR14" s="1">
        <f t="shared" si="14"/>
        <v>0</v>
      </c>
      <c r="AS14" s="1">
        <f t="shared" si="15"/>
        <v>0</v>
      </c>
    </row>
    <row r="15" ht="15" customHeight="1" spans="1:45">
      <c r="A15" s="1">
        <f t="shared" si="4"/>
        <v>13</v>
      </c>
      <c r="C15" s="57" t="str">
        <f>tblIndiSets_2014_O!C87</f>
        <v>  2.1) Health Security (Inputs)</v>
      </c>
      <c r="D15" s="1" t="str">
        <f t="shared" si="0"/>
        <v>  2.1) Health Security (Inputs)</v>
      </c>
      <c r="F15" s="23">
        <f>INDEX(M15:Y15,uxb_works!$B$39)</f>
        <v>1</v>
      </c>
      <c r="G15" s="32"/>
      <c r="L15" s="1">
        <v>1</v>
      </c>
      <c r="M15" s="1">
        <v>1</v>
      </c>
      <c r="N15" s="1">
        <v>0</v>
      </c>
      <c r="O15" s="1">
        <v>0</v>
      </c>
      <c r="P15" s="1">
        <v>0</v>
      </c>
      <c r="Q15" s="1">
        <v>1</v>
      </c>
      <c r="R15" s="1">
        <v>1</v>
      </c>
      <c r="S15" s="1">
        <v>0</v>
      </c>
      <c r="T15" s="1">
        <v>0</v>
      </c>
      <c r="U15" s="1">
        <v>0</v>
      </c>
      <c r="V15" s="1">
        <v>0</v>
      </c>
      <c r="W15" s="1">
        <v>0</v>
      </c>
      <c r="X15" s="1">
        <v>0</v>
      </c>
      <c r="Y15" s="1">
        <v>0</v>
      </c>
      <c r="AC15" s="23">
        <f>INDEX(AG15:AT15,uxb_works!$B$39)</f>
        <v>0</v>
      </c>
      <c r="AF15" s="1">
        <v>1</v>
      </c>
      <c r="AG15" s="1">
        <v>0</v>
      </c>
      <c r="AH15" s="1">
        <f t="shared" si="5"/>
        <v>0</v>
      </c>
      <c r="AI15" s="1">
        <f t="shared" si="16"/>
        <v>0</v>
      </c>
      <c r="AJ15" s="1">
        <f t="shared" si="6"/>
        <v>0</v>
      </c>
      <c r="AK15" s="1">
        <v>1</v>
      </c>
      <c r="AL15" s="1">
        <v>0</v>
      </c>
      <c r="AM15" s="1">
        <f t="shared" si="9"/>
        <v>0</v>
      </c>
      <c r="AN15" s="1">
        <f t="shared" si="10"/>
        <v>0</v>
      </c>
      <c r="AO15" s="1">
        <f t="shared" si="11"/>
        <v>0</v>
      </c>
      <c r="AP15" s="1">
        <f t="shared" si="12"/>
        <v>0</v>
      </c>
      <c r="AQ15" s="1">
        <f t="shared" si="13"/>
        <v>0</v>
      </c>
      <c r="AR15" s="1">
        <f t="shared" si="14"/>
        <v>0</v>
      </c>
      <c r="AS15" s="1">
        <f t="shared" si="15"/>
        <v>0</v>
      </c>
    </row>
    <row r="16" ht="15" customHeight="1" spans="1:45">
      <c r="A16" s="1">
        <f t="shared" si="4"/>
        <v>14</v>
      </c>
      <c r="C16" s="57" t="str">
        <f>tblIndiSets_2014_O!C88</f>
        <v>   2.1.1) Environmental policies</v>
      </c>
      <c r="D16" s="1" t="str">
        <f t="shared" si="0"/>
        <v>   2.1.1) Environmental policies</v>
      </c>
      <c r="F16" s="23">
        <f>INDEX(M16:Y16,uxb_works!$B$39)</f>
        <v>1</v>
      </c>
      <c r="G16" s="32"/>
      <c r="L16" s="1">
        <v>1</v>
      </c>
      <c r="M16" s="1">
        <v>1</v>
      </c>
      <c r="N16" s="1">
        <v>0</v>
      </c>
      <c r="O16" s="1">
        <v>0</v>
      </c>
      <c r="P16" s="1">
        <v>0</v>
      </c>
      <c r="Q16" s="1">
        <v>1</v>
      </c>
      <c r="R16" s="1">
        <v>1</v>
      </c>
      <c r="S16" s="1">
        <v>0</v>
      </c>
      <c r="T16" s="1">
        <v>0</v>
      </c>
      <c r="U16" s="1">
        <v>0</v>
      </c>
      <c r="V16" s="1">
        <v>0</v>
      </c>
      <c r="W16" s="1">
        <v>0</v>
      </c>
      <c r="X16" s="1">
        <v>0</v>
      </c>
      <c r="Y16" s="1">
        <v>0</v>
      </c>
      <c r="AC16" s="23">
        <f>INDEX(AG16:AT16,uxb_works!$B$39)</f>
        <v>0</v>
      </c>
      <c r="AF16" s="1">
        <v>1</v>
      </c>
      <c r="AG16" s="1">
        <v>0</v>
      </c>
      <c r="AH16" s="1">
        <f t="shared" si="5"/>
        <v>0</v>
      </c>
      <c r="AI16" s="1">
        <f t="shared" si="16"/>
        <v>0</v>
      </c>
      <c r="AJ16" s="1">
        <f t="shared" si="6"/>
        <v>0</v>
      </c>
      <c r="AK16" s="1">
        <v>0</v>
      </c>
      <c r="AL16" s="1">
        <f t="shared" si="8"/>
        <v>1</v>
      </c>
      <c r="AM16" s="1">
        <f t="shared" si="9"/>
        <v>0</v>
      </c>
      <c r="AN16" s="1">
        <f t="shared" si="10"/>
        <v>0</v>
      </c>
      <c r="AO16" s="1">
        <f t="shared" si="11"/>
        <v>0</v>
      </c>
      <c r="AP16" s="1">
        <f t="shared" si="12"/>
        <v>0</v>
      </c>
      <c r="AQ16" s="1">
        <f t="shared" si="13"/>
        <v>0</v>
      </c>
      <c r="AR16" s="1">
        <f t="shared" si="14"/>
        <v>0</v>
      </c>
      <c r="AS16" s="1">
        <f t="shared" si="15"/>
        <v>0</v>
      </c>
    </row>
    <row r="17" ht="15" customHeight="1" spans="1:45">
      <c r="A17" s="1">
        <f t="shared" si="4"/>
        <v>15</v>
      </c>
      <c r="C17" s="57" t="str">
        <f>tblIndiSets_2014_O!C89</f>
        <v>   2.1.2) Access to healthcare</v>
      </c>
      <c r="D17" s="1" t="str">
        <f t="shared" si="0"/>
        <v>   2.1.2) Access to healthcare</v>
      </c>
      <c r="F17" s="23">
        <f>INDEX(M17:Y17,uxb_works!$B$39)</f>
        <v>1</v>
      </c>
      <c r="G17" s="32"/>
      <c r="L17" s="1">
        <v>1</v>
      </c>
      <c r="M17" s="1">
        <v>1</v>
      </c>
      <c r="N17" s="1">
        <v>0</v>
      </c>
      <c r="O17" s="1">
        <v>0</v>
      </c>
      <c r="P17" s="1">
        <v>0</v>
      </c>
      <c r="Q17" s="1">
        <v>1</v>
      </c>
      <c r="R17" s="1">
        <v>1</v>
      </c>
      <c r="S17" s="1">
        <v>0</v>
      </c>
      <c r="T17" s="1">
        <v>0</v>
      </c>
      <c r="U17" s="1">
        <v>0</v>
      </c>
      <c r="V17" s="1">
        <v>0</v>
      </c>
      <c r="W17" s="1">
        <v>0</v>
      </c>
      <c r="X17" s="1">
        <v>0</v>
      </c>
      <c r="Y17" s="1">
        <v>0</v>
      </c>
      <c r="AC17" s="23">
        <f>INDEX(AG17:AT17,uxb_works!$B$39)</f>
        <v>0</v>
      </c>
      <c r="AF17" s="1">
        <v>1</v>
      </c>
      <c r="AG17" s="1">
        <v>0</v>
      </c>
      <c r="AH17" s="1">
        <f t="shared" si="5"/>
        <v>0</v>
      </c>
      <c r="AI17" s="1">
        <f t="shared" si="16"/>
        <v>0</v>
      </c>
      <c r="AJ17" s="1">
        <f t="shared" si="6"/>
        <v>0</v>
      </c>
      <c r="AK17" s="1">
        <v>0</v>
      </c>
      <c r="AL17" s="1">
        <f t="shared" si="8"/>
        <v>1</v>
      </c>
      <c r="AM17" s="1">
        <f t="shared" si="9"/>
        <v>0</v>
      </c>
      <c r="AN17" s="1">
        <f t="shared" si="10"/>
        <v>0</v>
      </c>
      <c r="AO17" s="1">
        <f t="shared" si="11"/>
        <v>0</v>
      </c>
      <c r="AP17" s="1">
        <f t="shared" si="12"/>
        <v>0</v>
      </c>
      <c r="AQ17" s="1">
        <f t="shared" si="13"/>
        <v>0</v>
      </c>
      <c r="AR17" s="1">
        <f t="shared" si="14"/>
        <v>0</v>
      </c>
      <c r="AS17" s="1">
        <f t="shared" si="15"/>
        <v>0</v>
      </c>
    </row>
    <row r="18" ht="15" customHeight="1" spans="1:45">
      <c r="A18" s="1">
        <f t="shared" si="4"/>
        <v>16</v>
      </c>
      <c r="C18" s="57" t="str">
        <f>tblIndiSets_2014_O!C90</f>
        <v>   2.1.3) No. of beds per 1000</v>
      </c>
      <c r="D18" s="1" t="str">
        <f t="shared" si="0"/>
        <v>   2.1.3) No. of beds per 1000</v>
      </c>
      <c r="F18" s="23">
        <f>INDEX(M18:Y18,uxb_works!$B$39)</f>
        <v>1</v>
      </c>
      <c r="G18" s="32"/>
      <c r="L18" s="1">
        <v>1</v>
      </c>
      <c r="M18" s="1">
        <v>1</v>
      </c>
      <c r="N18" s="1">
        <v>0</v>
      </c>
      <c r="O18" s="1">
        <v>0</v>
      </c>
      <c r="P18" s="1">
        <v>0</v>
      </c>
      <c r="Q18" s="1">
        <v>1</v>
      </c>
      <c r="R18" s="1">
        <v>1</v>
      </c>
      <c r="S18" s="1">
        <v>0</v>
      </c>
      <c r="T18" s="1">
        <v>0</v>
      </c>
      <c r="U18" s="1">
        <v>0</v>
      </c>
      <c r="V18" s="1">
        <v>0</v>
      </c>
      <c r="W18" s="1">
        <v>0</v>
      </c>
      <c r="X18" s="1">
        <v>0</v>
      </c>
      <c r="Y18" s="1">
        <v>0</v>
      </c>
      <c r="AC18" s="23">
        <f>INDEX(AG18:AT18,uxb_works!$B$39)</f>
        <v>0</v>
      </c>
      <c r="AF18" s="1">
        <v>1</v>
      </c>
      <c r="AG18" s="1">
        <v>0</v>
      </c>
      <c r="AH18" s="1">
        <f t="shared" si="5"/>
        <v>0</v>
      </c>
      <c r="AI18" s="1">
        <f t="shared" si="16"/>
        <v>0</v>
      </c>
      <c r="AJ18" s="1">
        <f t="shared" si="6"/>
        <v>0</v>
      </c>
      <c r="AK18" s="1">
        <v>0</v>
      </c>
      <c r="AL18" s="1">
        <f t="shared" si="8"/>
        <v>1</v>
      </c>
      <c r="AM18" s="1">
        <f t="shared" si="9"/>
        <v>0</v>
      </c>
      <c r="AN18" s="1">
        <f t="shared" si="10"/>
        <v>0</v>
      </c>
      <c r="AO18" s="1">
        <f t="shared" si="11"/>
        <v>0</v>
      </c>
      <c r="AP18" s="1">
        <f t="shared" si="12"/>
        <v>0</v>
      </c>
      <c r="AQ18" s="1">
        <f t="shared" si="13"/>
        <v>0</v>
      </c>
      <c r="AR18" s="1">
        <f t="shared" si="14"/>
        <v>0</v>
      </c>
      <c r="AS18" s="1">
        <f t="shared" si="15"/>
        <v>0</v>
      </c>
    </row>
    <row r="19" ht="15" customHeight="1" spans="1:45">
      <c r="A19" s="1">
        <f t="shared" si="4"/>
        <v>17</v>
      </c>
      <c r="C19" s="57" t="str">
        <f>tblIndiSets_2014_O!C91</f>
        <v>   2.1.4) Number of doctors per 1000</v>
      </c>
      <c r="D19" s="1" t="str">
        <f t="shared" si="0"/>
        <v>   2.1.4) Number of doctors per 1000</v>
      </c>
      <c r="F19" s="23">
        <f>INDEX(M19:Y19,uxb_works!$B$39)</f>
        <v>1</v>
      </c>
      <c r="G19" s="32"/>
      <c r="L19" s="1">
        <v>1</v>
      </c>
      <c r="M19" s="1">
        <v>1</v>
      </c>
      <c r="N19" s="1">
        <v>0</v>
      </c>
      <c r="O19" s="1">
        <v>0</v>
      </c>
      <c r="P19" s="1">
        <v>0</v>
      </c>
      <c r="Q19" s="1">
        <v>1</v>
      </c>
      <c r="R19" s="1">
        <v>1</v>
      </c>
      <c r="S19" s="1">
        <v>0</v>
      </c>
      <c r="T19" s="1">
        <v>0</v>
      </c>
      <c r="U19" s="1">
        <v>0</v>
      </c>
      <c r="V19" s="1">
        <v>0</v>
      </c>
      <c r="W19" s="1">
        <v>0</v>
      </c>
      <c r="X19" s="1">
        <v>0</v>
      </c>
      <c r="Y19" s="1">
        <v>0</v>
      </c>
      <c r="AC19" s="23">
        <f>INDEX(AG19:AT19,uxb_works!$B$39)</f>
        <v>0</v>
      </c>
      <c r="AF19" s="1">
        <v>1</v>
      </c>
      <c r="AG19" s="1">
        <v>0</v>
      </c>
      <c r="AH19" s="1">
        <f t="shared" si="5"/>
        <v>0</v>
      </c>
      <c r="AI19" s="1">
        <f t="shared" si="16"/>
        <v>0</v>
      </c>
      <c r="AJ19" s="1">
        <f t="shared" si="6"/>
        <v>0</v>
      </c>
      <c r="AK19" s="1">
        <v>0</v>
      </c>
      <c r="AL19" s="1">
        <f t="shared" si="8"/>
        <v>1</v>
      </c>
      <c r="AM19" s="1">
        <f t="shared" si="9"/>
        <v>0</v>
      </c>
      <c r="AN19" s="1">
        <f t="shared" si="10"/>
        <v>0</v>
      </c>
      <c r="AO19" s="1">
        <f t="shared" si="11"/>
        <v>0</v>
      </c>
      <c r="AP19" s="1">
        <f t="shared" si="12"/>
        <v>0</v>
      </c>
      <c r="AQ19" s="1">
        <f t="shared" si="13"/>
        <v>0</v>
      </c>
      <c r="AR19" s="1">
        <f t="shared" si="14"/>
        <v>0</v>
      </c>
      <c r="AS19" s="1">
        <f t="shared" si="15"/>
        <v>0</v>
      </c>
    </row>
    <row r="20" ht="15" customHeight="1" spans="1:45">
      <c r="A20" s="1">
        <f t="shared" si="4"/>
        <v>18</v>
      </c>
      <c r="C20" s="57" t="str">
        <f>tblIndiSets_2014_O!C92</f>
        <v>   2.1.5) Access to safe and quality food</v>
      </c>
      <c r="D20" s="1" t="str">
        <f t="shared" si="0"/>
        <v>   2.1.5) Access to safe and quality food</v>
      </c>
      <c r="F20" s="23">
        <f>INDEX(M20:Y20,uxb_works!$B$39)</f>
        <v>1</v>
      </c>
      <c r="G20" s="32"/>
      <c r="L20" s="1">
        <v>1</v>
      </c>
      <c r="M20" s="1">
        <v>1</v>
      </c>
      <c r="N20" s="1">
        <v>0</v>
      </c>
      <c r="O20" s="1">
        <v>0</v>
      </c>
      <c r="P20" s="1">
        <v>0</v>
      </c>
      <c r="Q20" s="1">
        <v>1</v>
      </c>
      <c r="R20" s="1">
        <v>1</v>
      </c>
      <c r="S20" s="1">
        <v>0</v>
      </c>
      <c r="T20" s="1">
        <v>0</v>
      </c>
      <c r="U20" s="1">
        <v>0</v>
      </c>
      <c r="V20" s="1">
        <v>0</v>
      </c>
      <c r="W20" s="1">
        <v>0</v>
      </c>
      <c r="X20" s="1">
        <v>0</v>
      </c>
      <c r="Y20" s="1">
        <v>0</v>
      </c>
      <c r="AC20" s="23">
        <f>INDEX(AG20:AT20,uxb_works!$B$39)</f>
        <v>0</v>
      </c>
      <c r="AF20" s="1">
        <v>1</v>
      </c>
      <c r="AG20" s="1">
        <v>0</v>
      </c>
      <c r="AH20" s="1">
        <f t="shared" si="5"/>
        <v>0</v>
      </c>
      <c r="AI20" s="1">
        <f t="shared" si="16"/>
        <v>0</v>
      </c>
      <c r="AJ20" s="1">
        <f t="shared" si="6"/>
        <v>0</v>
      </c>
      <c r="AK20" s="1">
        <v>0</v>
      </c>
      <c r="AL20" s="1">
        <f t="shared" si="8"/>
        <v>1</v>
      </c>
      <c r="AM20" s="1">
        <f t="shared" si="9"/>
        <v>0</v>
      </c>
      <c r="AN20" s="1">
        <f t="shared" si="10"/>
        <v>0</v>
      </c>
      <c r="AO20" s="1">
        <f t="shared" si="11"/>
        <v>0</v>
      </c>
      <c r="AP20" s="1">
        <f t="shared" si="12"/>
        <v>0</v>
      </c>
      <c r="AQ20" s="1">
        <f t="shared" si="13"/>
        <v>0</v>
      </c>
      <c r="AR20" s="1">
        <f t="shared" si="14"/>
        <v>0</v>
      </c>
      <c r="AS20" s="1">
        <f t="shared" si="15"/>
        <v>0</v>
      </c>
    </row>
    <row r="21" ht="15" customHeight="1" spans="1:45">
      <c r="A21" s="1">
        <f t="shared" si="4"/>
        <v>19</v>
      </c>
      <c r="C21" s="57" t="str">
        <f>tblIndiSets_2014_O!C93</f>
        <v>   2.1.6) Quality of health services</v>
      </c>
      <c r="D21" s="1" t="str">
        <f t="shared" si="0"/>
        <v>   2.1.6) Quality of health services</v>
      </c>
      <c r="F21" s="23">
        <f>INDEX(M21:Y21,uxb_works!$B$39)</f>
        <v>1</v>
      </c>
      <c r="G21" s="32"/>
      <c r="L21" s="1">
        <v>1</v>
      </c>
      <c r="M21" s="1">
        <v>1</v>
      </c>
      <c r="N21" s="1">
        <v>0</v>
      </c>
      <c r="O21" s="1">
        <v>0</v>
      </c>
      <c r="P21" s="1">
        <v>0</v>
      </c>
      <c r="Q21" s="1">
        <v>1</v>
      </c>
      <c r="R21" s="1">
        <v>1</v>
      </c>
      <c r="S21" s="1">
        <v>0</v>
      </c>
      <c r="T21" s="1">
        <v>0</v>
      </c>
      <c r="U21" s="1">
        <v>0</v>
      </c>
      <c r="V21" s="1">
        <v>0</v>
      </c>
      <c r="W21" s="1">
        <v>0</v>
      </c>
      <c r="X21" s="1">
        <v>0</v>
      </c>
      <c r="Y21" s="1">
        <v>0</v>
      </c>
      <c r="AC21" s="23">
        <f>INDEX(AG21:AT21,uxb_works!$B$39)</f>
        <v>0</v>
      </c>
      <c r="AF21" s="1">
        <v>1</v>
      </c>
      <c r="AG21" s="1">
        <v>0</v>
      </c>
      <c r="AH21" s="1">
        <f t="shared" si="5"/>
        <v>0</v>
      </c>
      <c r="AI21" s="1">
        <f t="shared" si="16"/>
        <v>0</v>
      </c>
      <c r="AJ21" s="1">
        <f t="shared" si="6"/>
        <v>0</v>
      </c>
      <c r="AK21" s="1">
        <v>0</v>
      </c>
      <c r="AL21" s="1">
        <f t="shared" si="8"/>
        <v>1</v>
      </c>
      <c r="AM21" s="1">
        <f t="shared" si="9"/>
        <v>0</v>
      </c>
      <c r="AN21" s="1">
        <f t="shared" si="10"/>
        <v>0</v>
      </c>
      <c r="AO21" s="1">
        <f t="shared" si="11"/>
        <v>0</v>
      </c>
      <c r="AP21" s="1">
        <f t="shared" si="12"/>
        <v>0</v>
      </c>
      <c r="AQ21" s="1">
        <f t="shared" si="13"/>
        <v>0</v>
      </c>
      <c r="AR21" s="1">
        <f t="shared" si="14"/>
        <v>0</v>
      </c>
      <c r="AS21" s="1">
        <f t="shared" si="15"/>
        <v>0</v>
      </c>
    </row>
    <row r="22" ht="15" customHeight="1" spans="1:45">
      <c r="A22" s="1">
        <f t="shared" si="4"/>
        <v>20</v>
      </c>
      <c r="C22" s="57" t="str">
        <f>tblIndiSets_2014_O!C94</f>
        <v>  2.2) Health Security (Outputs)</v>
      </c>
      <c r="D22" s="1" t="str">
        <f t="shared" si="0"/>
        <v>  2.2) Health Security (Outputs)</v>
      </c>
      <c r="F22" s="23">
        <f>INDEX(M22:Y22,uxb_works!$B$39)</f>
        <v>1</v>
      </c>
      <c r="G22" s="32"/>
      <c r="L22" s="1">
        <v>1</v>
      </c>
      <c r="M22" s="1">
        <v>1</v>
      </c>
      <c r="N22" s="1">
        <v>0</v>
      </c>
      <c r="O22" s="1">
        <v>0</v>
      </c>
      <c r="P22" s="1">
        <v>0</v>
      </c>
      <c r="Q22" s="1">
        <v>1</v>
      </c>
      <c r="R22" s="1">
        <v>0</v>
      </c>
      <c r="S22" s="1">
        <v>1</v>
      </c>
      <c r="T22" s="1">
        <v>0</v>
      </c>
      <c r="U22" s="1">
        <v>0</v>
      </c>
      <c r="V22" s="1">
        <v>0</v>
      </c>
      <c r="W22" s="1">
        <v>0</v>
      </c>
      <c r="X22" s="1">
        <v>0</v>
      </c>
      <c r="Y22" s="1">
        <v>0</v>
      </c>
      <c r="AC22" s="23">
        <f>INDEX(AG22:AT22,uxb_works!$B$39)</f>
        <v>0</v>
      </c>
      <c r="AF22" s="1">
        <v>1</v>
      </c>
      <c r="AG22" s="1">
        <v>0</v>
      </c>
      <c r="AH22" s="1">
        <f t="shared" si="5"/>
        <v>0</v>
      </c>
      <c r="AI22" s="1">
        <f t="shared" si="16"/>
        <v>0</v>
      </c>
      <c r="AJ22" s="1">
        <f t="shared" si="6"/>
        <v>0</v>
      </c>
      <c r="AK22" s="1">
        <f t="shared" si="7"/>
        <v>1</v>
      </c>
      <c r="AL22" s="1">
        <f t="shared" si="8"/>
        <v>0</v>
      </c>
      <c r="AM22" s="1">
        <v>0</v>
      </c>
      <c r="AN22" s="1">
        <f t="shared" si="10"/>
        <v>0</v>
      </c>
      <c r="AO22" s="1">
        <f t="shared" si="11"/>
        <v>0</v>
      </c>
      <c r="AP22" s="1">
        <f t="shared" si="12"/>
        <v>0</v>
      </c>
      <c r="AQ22" s="1">
        <f t="shared" si="13"/>
        <v>0</v>
      </c>
      <c r="AR22" s="1">
        <f t="shared" si="14"/>
        <v>0</v>
      </c>
      <c r="AS22" s="1">
        <f t="shared" si="15"/>
        <v>0</v>
      </c>
    </row>
    <row r="23" ht="15" customHeight="1" spans="1:45">
      <c r="A23" s="1">
        <f t="shared" si="4"/>
        <v>21</v>
      </c>
      <c r="C23" s="57" t="str">
        <f>tblIndiSets_2014_O!C95</f>
        <v>   2.2.1) Air quality</v>
      </c>
      <c r="D23" s="1" t="str">
        <f t="shared" si="0"/>
        <v>   2.2.1) Air quality</v>
      </c>
      <c r="F23" s="23">
        <f>INDEX(M23:Y23,uxb_works!$B$39)</f>
        <v>1</v>
      </c>
      <c r="G23" s="32"/>
      <c r="L23" s="1">
        <v>1</v>
      </c>
      <c r="M23" s="1">
        <v>1</v>
      </c>
      <c r="N23" s="1">
        <v>0</v>
      </c>
      <c r="O23" s="1">
        <v>0</v>
      </c>
      <c r="P23" s="1">
        <v>0</v>
      </c>
      <c r="Q23" s="1">
        <v>1</v>
      </c>
      <c r="R23" s="1">
        <v>0</v>
      </c>
      <c r="S23" s="1">
        <v>1</v>
      </c>
      <c r="T23" s="1">
        <v>0</v>
      </c>
      <c r="U23" s="1">
        <v>0</v>
      </c>
      <c r="V23" s="1">
        <v>0</v>
      </c>
      <c r="W23" s="1">
        <v>0</v>
      </c>
      <c r="X23" s="1">
        <v>0</v>
      </c>
      <c r="Y23" s="1">
        <v>0</v>
      </c>
      <c r="AC23" s="23">
        <f>INDEX(AG23:AT23,uxb_works!$B$39)</f>
        <v>0</v>
      </c>
      <c r="AF23" s="1">
        <v>1</v>
      </c>
      <c r="AG23" s="1">
        <v>0</v>
      </c>
      <c r="AH23" s="1">
        <f t="shared" si="5"/>
        <v>0</v>
      </c>
      <c r="AI23" s="1">
        <f t="shared" si="16"/>
        <v>0</v>
      </c>
      <c r="AJ23" s="1">
        <f t="shared" si="6"/>
        <v>0</v>
      </c>
      <c r="AK23" s="1">
        <v>0</v>
      </c>
      <c r="AL23" s="1">
        <f t="shared" si="8"/>
        <v>0</v>
      </c>
      <c r="AM23" s="1">
        <f t="shared" si="9"/>
        <v>1</v>
      </c>
      <c r="AN23" s="1">
        <f t="shared" si="10"/>
        <v>0</v>
      </c>
      <c r="AO23" s="1">
        <f t="shared" si="11"/>
        <v>0</v>
      </c>
      <c r="AP23" s="1">
        <f t="shared" si="12"/>
        <v>0</v>
      </c>
      <c r="AQ23" s="1">
        <f t="shared" si="13"/>
        <v>0</v>
      </c>
      <c r="AR23" s="1">
        <f t="shared" si="14"/>
        <v>0</v>
      </c>
      <c r="AS23" s="1">
        <f t="shared" si="15"/>
        <v>0</v>
      </c>
    </row>
    <row r="24" ht="15" customHeight="1" spans="1:45">
      <c r="A24" s="1">
        <f t="shared" si="4"/>
        <v>22</v>
      </c>
      <c r="C24" s="57" t="str">
        <f>tblIndiSets_2014_O!C96</f>
        <v>   2.2.2) Water quality</v>
      </c>
      <c r="D24" s="1" t="str">
        <f t="shared" si="0"/>
        <v>   2.2.2) Water quality</v>
      </c>
      <c r="F24" s="23">
        <f>INDEX(M24:Y24,uxb_works!$B$39)</f>
        <v>1</v>
      </c>
      <c r="G24" s="32"/>
      <c r="L24" s="1">
        <v>1</v>
      </c>
      <c r="M24" s="1">
        <v>1</v>
      </c>
      <c r="N24" s="1">
        <v>0</v>
      </c>
      <c r="O24" s="1">
        <v>0</v>
      </c>
      <c r="P24" s="1">
        <v>0</v>
      </c>
      <c r="Q24" s="1">
        <v>1</v>
      </c>
      <c r="R24" s="1">
        <v>0</v>
      </c>
      <c r="S24" s="1">
        <v>1</v>
      </c>
      <c r="T24" s="1">
        <v>0</v>
      </c>
      <c r="U24" s="1">
        <v>0</v>
      </c>
      <c r="V24" s="1">
        <v>0</v>
      </c>
      <c r="W24" s="1">
        <v>0</v>
      </c>
      <c r="X24" s="1">
        <v>0</v>
      </c>
      <c r="Y24" s="1">
        <v>0</v>
      </c>
      <c r="AC24" s="23">
        <f>INDEX(AG24:AT24,uxb_works!$B$39)</f>
        <v>0</v>
      </c>
      <c r="AF24" s="1">
        <v>1</v>
      </c>
      <c r="AG24" s="1">
        <v>0</v>
      </c>
      <c r="AH24" s="1">
        <f t="shared" si="5"/>
        <v>0</v>
      </c>
      <c r="AI24" s="1">
        <f t="shared" si="16"/>
        <v>0</v>
      </c>
      <c r="AJ24" s="1">
        <f t="shared" si="6"/>
        <v>0</v>
      </c>
      <c r="AK24" s="1">
        <v>0</v>
      </c>
      <c r="AL24" s="1">
        <f t="shared" si="8"/>
        <v>0</v>
      </c>
      <c r="AM24" s="1">
        <f t="shared" si="9"/>
        <v>1</v>
      </c>
      <c r="AN24" s="1">
        <f t="shared" si="10"/>
        <v>0</v>
      </c>
      <c r="AO24" s="1">
        <f t="shared" si="11"/>
        <v>0</v>
      </c>
      <c r="AP24" s="1">
        <f t="shared" si="12"/>
        <v>0</v>
      </c>
      <c r="AQ24" s="1">
        <f t="shared" si="13"/>
        <v>0</v>
      </c>
      <c r="AR24" s="1">
        <f t="shared" si="14"/>
        <v>0</v>
      </c>
      <c r="AS24" s="1">
        <f t="shared" si="15"/>
        <v>0</v>
      </c>
    </row>
    <row r="25" ht="15" customHeight="1" spans="1:45">
      <c r="A25" s="1">
        <f t="shared" si="4"/>
        <v>23</v>
      </c>
      <c r="C25" s="57" t="str">
        <f>tblIndiSets_2014_O!C97</f>
        <v>   2.2.3) Life expectancy</v>
      </c>
      <c r="D25" s="1" t="str">
        <f t="shared" si="0"/>
        <v>   2.2.3) Life expectancy</v>
      </c>
      <c r="F25" s="23">
        <f>INDEX(M25:Y25,uxb_works!$B$39)</f>
        <v>1</v>
      </c>
      <c r="G25" s="32"/>
      <c r="L25" s="1">
        <v>1</v>
      </c>
      <c r="M25" s="1">
        <v>1</v>
      </c>
      <c r="N25" s="1">
        <v>0</v>
      </c>
      <c r="O25" s="1">
        <v>0</v>
      </c>
      <c r="P25" s="1">
        <v>0</v>
      </c>
      <c r="Q25" s="1">
        <v>1</v>
      </c>
      <c r="R25" s="1">
        <v>0</v>
      </c>
      <c r="S25" s="1">
        <v>1</v>
      </c>
      <c r="T25" s="1">
        <v>0</v>
      </c>
      <c r="U25" s="1">
        <v>0</v>
      </c>
      <c r="V25" s="1">
        <v>0</v>
      </c>
      <c r="W25" s="1">
        <v>0</v>
      </c>
      <c r="X25" s="1">
        <v>0</v>
      </c>
      <c r="Y25" s="1">
        <v>0</v>
      </c>
      <c r="AC25" s="23">
        <f>INDEX(AG25:AT25,uxb_works!$B$39)</f>
        <v>0</v>
      </c>
      <c r="AF25" s="1">
        <v>1</v>
      </c>
      <c r="AG25" s="1">
        <v>0</v>
      </c>
      <c r="AH25" s="1">
        <f t="shared" si="5"/>
        <v>0</v>
      </c>
      <c r="AI25" s="1">
        <f t="shared" si="16"/>
        <v>0</v>
      </c>
      <c r="AJ25" s="1">
        <f t="shared" si="6"/>
        <v>0</v>
      </c>
      <c r="AK25" s="1">
        <v>0</v>
      </c>
      <c r="AL25" s="1">
        <f t="shared" si="8"/>
        <v>0</v>
      </c>
      <c r="AM25" s="1">
        <f t="shared" si="9"/>
        <v>1</v>
      </c>
      <c r="AN25" s="1">
        <f t="shared" si="10"/>
        <v>0</v>
      </c>
      <c r="AO25" s="1">
        <f t="shared" si="11"/>
        <v>0</v>
      </c>
      <c r="AP25" s="1">
        <f t="shared" si="12"/>
        <v>0</v>
      </c>
      <c r="AQ25" s="1">
        <f t="shared" si="13"/>
        <v>0</v>
      </c>
      <c r="AR25" s="1">
        <f t="shared" si="14"/>
        <v>0</v>
      </c>
      <c r="AS25" s="1">
        <f t="shared" si="15"/>
        <v>0</v>
      </c>
    </row>
    <row r="26" ht="15" customHeight="1" spans="1:45">
      <c r="A26" s="1">
        <f t="shared" si="4"/>
        <v>24</v>
      </c>
      <c r="C26" s="57" t="str">
        <f>tblIndiSets_2014_O!C98</f>
        <v>   2.2.4) Infant mortality (deaths per 1,000 live births)</v>
      </c>
      <c r="D26" s="1" t="str">
        <f t="shared" si="0"/>
        <v>   2.2.4) Infant mortality (deaths per 1,000 live births)</v>
      </c>
      <c r="F26" s="23">
        <f>INDEX(M26:Y26,uxb_works!$B$39)</f>
        <v>1</v>
      </c>
      <c r="G26" s="32"/>
      <c r="L26" s="1">
        <v>1</v>
      </c>
      <c r="M26" s="1">
        <v>1</v>
      </c>
      <c r="N26" s="1">
        <v>0</v>
      </c>
      <c r="O26" s="1">
        <v>0</v>
      </c>
      <c r="P26" s="1">
        <v>0</v>
      </c>
      <c r="Q26" s="1">
        <v>1</v>
      </c>
      <c r="R26" s="1">
        <v>0</v>
      </c>
      <c r="S26" s="1">
        <v>1</v>
      </c>
      <c r="T26" s="1">
        <v>0</v>
      </c>
      <c r="U26" s="1">
        <v>0</v>
      </c>
      <c r="V26" s="1">
        <v>0</v>
      </c>
      <c r="W26" s="1">
        <v>0</v>
      </c>
      <c r="X26" s="1">
        <v>0</v>
      </c>
      <c r="Y26" s="1">
        <v>0</v>
      </c>
      <c r="AC26" s="23">
        <f>INDEX(AG26:AT26,uxb_works!$B$39)</f>
        <v>0</v>
      </c>
      <c r="AF26" s="1">
        <v>1</v>
      </c>
      <c r="AG26" s="1">
        <v>0</v>
      </c>
      <c r="AH26" s="1">
        <f t="shared" si="5"/>
        <v>0</v>
      </c>
      <c r="AI26" s="1">
        <f t="shared" si="16"/>
        <v>0</v>
      </c>
      <c r="AJ26" s="1">
        <f t="shared" si="6"/>
        <v>0</v>
      </c>
      <c r="AK26" s="1">
        <v>0</v>
      </c>
      <c r="AL26" s="1">
        <f t="shared" si="8"/>
        <v>0</v>
      </c>
      <c r="AM26" s="1">
        <f t="shared" si="9"/>
        <v>1</v>
      </c>
      <c r="AN26" s="1">
        <f t="shared" si="10"/>
        <v>0</v>
      </c>
      <c r="AO26" s="1">
        <f t="shared" si="11"/>
        <v>0</v>
      </c>
      <c r="AP26" s="1">
        <f t="shared" si="12"/>
        <v>0</v>
      </c>
      <c r="AQ26" s="1">
        <f t="shared" si="13"/>
        <v>0</v>
      </c>
      <c r="AR26" s="1">
        <f t="shared" si="14"/>
        <v>0</v>
      </c>
      <c r="AS26" s="1">
        <f t="shared" si="15"/>
        <v>0</v>
      </c>
    </row>
    <row r="27" ht="15" customHeight="1" spans="1:45">
      <c r="A27" s="1">
        <f t="shared" si="4"/>
        <v>25</v>
      </c>
      <c r="C27" s="57" t="str">
        <f>tblIndiSets_2014_O!C99</f>
        <v>   2.2.5) Cancer mortality rate ( Cancer deaths per 100,000)</v>
      </c>
      <c r="D27" s="1" t="str">
        <f t="shared" si="0"/>
        <v>   2.2.5) Cancer mortality rate ( Cancer deaths per 100,000)</v>
      </c>
      <c r="F27" s="23">
        <f>INDEX(M27:Y27,uxb_works!$B$39)</f>
        <v>1</v>
      </c>
      <c r="G27" s="32"/>
      <c r="L27" s="1">
        <v>1</v>
      </c>
      <c r="M27" s="1">
        <v>1</v>
      </c>
      <c r="N27" s="1">
        <v>0</v>
      </c>
      <c r="O27" s="1">
        <v>0</v>
      </c>
      <c r="P27" s="1">
        <v>0</v>
      </c>
      <c r="Q27" s="1">
        <v>1</v>
      </c>
      <c r="R27" s="1">
        <v>0</v>
      </c>
      <c r="S27" s="1">
        <v>1</v>
      </c>
      <c r="T27" s="1">
        <v>0</v>
      </c>
      <c r="U27" s="1">
        <v>0</v>
      </c>
      <c r="V27" s="1">
        <v>0</v>
      </c>
      <c r="W27" s="1">
        <v>0</v>
      </c>
      <c r="X27" s="1">
        <v>0</v>
      </c>
      <c r="Y27" s="1">
        <v>0</v>
      </c>
      <c r="AC27" s="23">
        <f>INDEX(AG27:AT27,uxb_works!$B$39)</f>
        <v>0</v>
      </c>
      <c r="AF27" s="1">
        <v>1</v>
      </c>
      <c r="AG27" s="1">
        <v>0</v>
      </c>
      <c r="AH27" s="1">
        <f t="shared" si="5"/>
        <v>0</v>
      </c>
      <c r="AI27" s="1">
        <f t="shared" si="16"/>
        <v>0</v>
      </c>
      <c r="AJ27" s="1">
        <f t="shared" si="6"/>
        <v>0</v>
      </c>
      <c r="AK27" s="1">
        <v>0</v>
      </c>
      <c r="AL27" s="1">
        <f t="shared" si="8"/>
        <v>0</v>
      </c>
      <c r="AM27" s="1">
        <f t="shared" si="9"/>
        <v>1</v>
      </c>
      <c r="AN27" s="1">
        <f t="shared" si="10"/>
        <v>0</v>
      </c>
      <c r="AO27" s="1">
        <f t="shared" si="11"/>
        <v>0</v>
      </c>
      <c r="AP27" s="1">
        <f t="shared" si="12"/>
        <v>0</v>
      </c>
      <c r="AQ27" s="1">
        <f t="shared" si="13"/>
        <v>0</v>
      </c>
      <c r="AR27" s="1">
        <f t="shared" si="14"/>
        <v>0</v>
      </c>
      <c r="AS27" s="1">
        <f t="shared" si="15"/>
        <v>0</v>
      </c>
    </row>
    <row r="28" ht="15" customHeight="1" spans="1:45">
      <c r="A28" s="1">
        <f t="shared" si="4"/>
        <v>26</v>
      </c>
      <c r="C28" s="57" t="str">
        <f>tblIndiSets_2014_O!C100</f>
        <v> 3) INFRASTRUCTURE SECURITY</v>
      </c>
      <c r="D28" s="1" t="str">
        <f t="shared" si="0"/>
        <v> 3) INFRASTRUCTURE SECURITY</v>
      </c>
      <c r="F28" s="23">
        <f>INDEX(M28:Y28,uxb_works!$B$39)</f>
        <v>1</v>
      </c>
      <c r="G28" s="32"/>
      <c r="L28" s="1">
        <v>1</v>
      </c>
      <c r="M28" s="1">
        <v>1</v>
      </c>
      <c r="N28" s="1">
        <v>0</v>
      </c>
      <c r="O28" s="1">
        <v>0</v>
      </c>
      <c r="P28" s="1">
        <v>0</v>
      </c>
      <c r="Q28" s="1">
        <v>0</v>
      </c>
      <c r="R28" s="1">
        <v>0</v>
      </c>
      <c r="S28" s="1">
        <v>0</v>
      </c>
      <c r="T28" s="1">
        <v>1</v>
      </c>
      <c r="U28" s="1">
        <v>0</v>
      </c>
      <c r="V28" s="1">
        <v>0</v>
      </c>
      <c r="W28" s="1">
        <v>0</v>
      </c>
      <c r="X28" s="1">
        <v>0</v>
      </c>
      <c r="Y28" s="1">
        <v>0</v>
      </c>
      <c r="AC28" s="23">
        <f>INDEX(AG28:AT28,uxb_works!$B$39)</f>
        <v>1</v>
      </c>
      <c r="AF28" s="1">
        <v>1</v>
      </c>
      <c r="AG28" s="1">
        <v>1</v>
      </c>
      <c r="AH28" s="1">
        <f t="shared" si="5"/>
        <v>0</v>
      </c>
      <c r="AI28" s="1">
        <f t="shared" si="16"/>
        <v>0</v>
      </c>
      <c r="AJ28" s="1">
        <f t="shared" si="6"/>
        <v>0</v>
      </c>
      <c r="AK28" s="1">
        <v>0</v>
      </c>
      <c r="AL28" s="1">
        <f t="shared" si="8"/>
        <v>0</v>
      </c>
      <c r="AM28" s="1">
        <f t="shared" si="9"/>
        <v>0</v>
      </c>
      <c r="AN28" s="1">
        <v>0</v>
      </c>
      <c r="AO28" s="1">
        <f t="shared" si="11"/>
        <v>0</v>
      </c>
      <c r="AP28" s="1">
        <f t="shared" si="12"/>
        <v>0</v>
      </c>
      <c r="AQ28" s="1">
        <f t="shared" si="13"/>
        <v>0</v>
      </c>
      <c r="AR28" s="1">
        <f t="shared" si="14"/>
        <v>0</v>
      </c>
      <c r="AS28" s="1">
        <f t="shared" si="15"/>
        <v>0</v>
      </c>
    </row>
    <row r="29" ht="15" customHeight="1" spans="1:45">
      <c r="A29" s="1">
        <f t="shared" si="4"/>
        <v>27</v>
      </c>
      <c r="C29" s="57" t="str">
        <f>tblIndiSets_2014_O!C101</f>
        <v>  3.1) Infrastructure Security (Inputs)</v>
      </c>
      <c r="D29" s="1" t="str">
        <f t="shared" si="0"/>
        <v>  3.1) Infrastructure Security (Inputs)</v>
      </c>
      <c r="F29" s="23">
        <f>INDEX(M29:Y29,uxb_works!$B$39)</f>
        <v>1</v>
      </c>
      <c r="G29" s="32"/>
      <c r="L29" s="1">
        <v>1</v>
      </c>
      <c r="M29" s="1">
        <v>1</v>
      </c>
      <c r="N29" s="1">
        <v>0</v>
      </c>
      <c r="O29" s="1">
        <v>0</v>
      </c>
      <c r="P29" s="1">
        <v>0</v>
      </c>
      <c r="Q29" s="1">
        <v>0</v>
      </c>
      <c r="R29" s="1">
        <v>0</v>
      </c>
      <c r="S29" s="1">
        <v>0</v>
      </c>
      <c r="T29" s="1">
        <v>1</v>
      </c>
      <c r="U29" s="1">
        <v>0</v>
      </c>
      <c r="V29" s="1">
        <v>0</v>
      </c>
      <c r="W29" s="1">
        <v>0</v>
      </c>
      <c r="X29" s="1">
        <v>0</v>
      </c>
      <c r="Y29" s="1">
        <v>0</v>
      </c>
      <c r="AC29" s="23">
        <f>INDEX(AG29:AT29,uxb_works!$B$39)</f>
        <v>0</v>
      </c>
      <c r="AF29" s="1">
        <v>1</v>
      </c>
      <c r="AG29" s="1">
        <v>0</v>
      </c>
      <c r="AH29" s="1">
        <f t="shared" si="5"/>
        <v>0</v>
      </c>
      <c r="AI29" s="1">
        <f t="shared" si="16"/>
        <v>0</v>
      </c>
      <c r="AJ29" s="1">
        <f t="shared" si="6"/>
        <v>0</v>
      </c>
      <c r="AK29" s="1">
        <f t="shared" si="7"/>
        <v>0</v>
      </c>
      <c r="AL29" s="1">
        <f t="shared" si="8"/>
        <v>0</v>
      </c>
      <c r="AM29" s="1">
        <f t="shared" si="9"/>
        <v>0</v>
      </c>
      <c r="AN29" s="1">
        <f t="shared" si="10"/>
        <v>1</v>
      </c>
      <c r="AO29" s="1">
        <f t="shared" si="11"/>
        <v>0</v>
      </c>
      <c r="AP29" s="1">
        <f t="shared" si="12"/>
        <v>0</v>
      </c>
      <c r="AQ29" s="1">
        <f t="shared" si="13"/>
        <v>0</v>
      </c>
      <c r="AR29" s="1">
        <f t="shared" si="14"/>
        <v>0</v>
      </c>
      <c r="AS29" s="1">
        <f t="shared" si="15"/>
        <v>0</v>
      </c>
    </row>
    <row r="30" ht="15" customHeight="1" spans="1:45">
      <c r="A30" s="1">
        <f t="shared" si="4"/>
        <v>28</v>
      </c>
      <c r="C30" s="57" t="str">
        <f>tblIndiSets_2014_O!C102</f>
        <v>   3.1.1) Enforcement of transport safety</v>
      </c>
      <c r="D30" s="1" t="str">
        <f t="shared" si="0"/>
        <v>   3.1.1) Enforcement of transport safety</v>
      </c>
      <c r="F30" s="23">
        <f>INDEX(M30:Y30,uxb_works!$B$39)</f>
        <v>1</v>
      </c>
      <c r="G30" s="32"/>
      <c r="L30" s="1">
        <v>1</v>
      </c>
      <c r="M30" s="1">
        <v>1</v>
      </c>
      <c r="N30" s="1">
        <v>0</v>
      </c>
      <c r="O30" s="1">
        <v>0</v>
      </c>
      <c r="P30" s="1">
        <v>0</v>
      </c>
      <c r="Q30" s="1">
        <v>0</v>
      </c>
      <c r="R30" s="1">
        <v>0</v>
      </c>
      <c r="S30" s="1">
        <v>0</v>
      </c>
      <c r="T30" s="1">
        <v>1</v>
      </c>
      <c r="U30" s="1">
        <v>1</v>
      </c>
      <c r="V30" s="1">
        <v>0</v>
      </c>
      <c r="W30" s="1">
        <v>0</v>
      </c>
      <c r="X30" s="1">
        <v>0</v>
      </c>
      <c r="Y30" s="1">
        <v>0</v>
      </c>
      <c r="AC30" s="23">
        <f>INDEX(AG30:AT30,uxb_works!$B$39)</f>
        <v>0</v>
      </c>
      <c r="AF30" s="1">
        <v>1</v>
      </c>
      <c r="AG30" s="1">
        <v>0</v>
      </c>
      <c r="AH30" s="1">
        <f t="shared" si="5"/>
        <v>0</v>
      </c>
      <c r="AI30" s="1">
        <f t="shared" si="16"/>
        <v>0</v>
      </c>
      <c r="AJ30" s="1">
        <f t="shared" si="6"/>
        <v>0</v>
      </c>
      <c r="AK30" s="1">
        <f t="shared" si="7"/>
        <v>0</v>
      </c>
      <c r="AL30" s="1">
        <f t="shared" si="8"/>
        <v>0</v>
      </c>
      <c r="AM30" s="1">
        <f t="shared" si="9"/>
        <v>0</v>
      </c>
      <c r="AN30" s="1">
        <v>0</v>
      </c>
      <c r="AO30" s="1">
        <f t="shared" si="11"/>
        <v>1</v>
      </c>
      <c r="AP30" s="1">
        <f t="shared" si="12"/>
        <v>0</v>
      </c>
      <c r="AQ30" s="1">
        <f t="shared" si="13"/>
        <v>0</v>
      </c>
      <c r="AR30" s="1">
        <f t="shared" si="14"/>
        <v>0</v>
      </c>
      <c r="AS30" s="1">
        <f t="shared" si="15"/>
        <v>0</v>
      </c>
    </row>
    <row r="31" ht="15" customHeight="1" spans="1:45">
      <c r="A31" s="1">
        <f t="shared" si="4"/>
        <v>29</v>
      </c>
      <c r="C31" s="57" t="str">
        <f>tblIndiSets_2014_O!C103</f>
        <v>   3.1.2) Pedestrian friendliness</v>
      </c>
      <c r="D31" s="1" t="str">
        <f t="shared" si="0"/>
        <v>   3.1.2) Pedestrian friendliness</v>
      </c>
      <c r="F31" s="23">
        <f>INDEX(M31:Y31,uxb_works!$B$39)</f>
        <v>1</v>
      </c>
      <c r="G31" s="32"/>
      <c r="L31" s="1">
        <v>1</v>
      </c>
      <c r="M31" s="1">
        <v>1</v>
      </c>
      <c r="N31" s="1">
        <v>0</v>
      </c>
      <c r="O31" s="1">
        <v>0</v>
      </c>
      <c r="P31" s="1">
        <v>0</v>
      </c>
      <c r="Q31" s="1">
        <v>0</v>
      </c>
      <c r="R31" s="1">
        <v>0</v>
      </c>
      <c r="S31" s="1">
        <v>0</v>
      </c>
      <c r="T31" s="1">
        <v>1</v>
      </c>
      <c r="U31" s="1">
        <v>1</v>
      </c>
      <c r="V31" s="1">
        <v>0</v>
      </c>
      <c r="W31" s="1">
        <v>0</v>
      </c>
      <c r="X31" s="1">
        <v>0</v>
      </c>
      <c r="Y31" s="1">
        <v>0</v>
      </c>
      <c r="AC31" s="23">
        <f>INDEX(AG31:AT31,uxb_works!$B$39)</f>
        <v>0</v>
      </c>
      <c r="AF31" s="1">
        <v>1</v>
      </c>
      <c r="AG31" s="1">
        <v>0</v>
      </c>
      <c r="AH31" s="1">
        <f t="shared" si="5"/>
        <v>0</v>
      </c>
      <c r="AI31" s="1">
        <f t="shared" si="16"/>
        <v>0</v>
      </c>
      <c r="AJ31" s="1">
        <f t="shared" si="6"/>
        <v>0</v>
      </c>
      <c r="AK31" s="1">
        <f t="shared" si="7"/>
        <v>0</v>
      </c>
      <c r="AL31" s="1">
        <f t="shared" si="8"/>
        <v>0</v>
      </c>
      <c r="AM31" s="1">
        <f t="shared" si="9"/>
        <v>0</v>
      </c>
      <c r="AN31" s="1">
        <v>0</v>
      </c>
      <c r="AO31" s="1">
        <f t="shared" si="11"/>
        <v>1</v>
      </c>
      <c r="AP31" s="1">
        <f t="shared" si="12"/>
        <v>0</v>
      </c>
      <c r="AQ31" s="1">
        <f t="shared" si="13"/>
        <v>0</v>
      </c>
      <c r="AR31" s="1">
        <f t="shared" si="14"/>
        <v>0</v>
      </c>
      <c r="AS31" s="1">
        <f t="shared" si="15"/>
        <v>0</v>
      </c>
    </row>
    <row r="32" ht="15" customHeight="1" spans="1:45">
      <c r="A32" s="1">
        <f t="shared" si="4"/>
        <v>30</v>
      </c>
      <c r="C32" s="57" t="str">
        <f>tblIndiSets_2014_O!C104</f>
        <v>   3.1.3) Quality of road infrastructure</v>
      </c>
      <c r="D32" s="1" t="str">
        <f t="shared" si="0"/>
        <v>   3.1.3) Quality of road infrastructure</v>
      </c>
      <c r="F32" s="23">
        <f>INDEX(M32:Y32,uxb_works!$B$39)</f>
        <v>1</v>
      </c>
      <c r="G32" s="32"/>
      <c r="L32" s="1">
        <v>1</v>
      </c>
      <c r="M32" s="1">
        <v>1</v>
      </c>
      <c r="N32" s="1">
        <v>0</v>
      </c>
      <c r="O32" s="1">
        <v>0</v>
      </c>
      <c r="P32" s="1">
        <v>0</v>
      </c>
      <c r="Q32" s="1">
        <v>0</v>
      </c>
      <c r="R32" s="1">
        <v>0</v>
      </c>
      <c r="S32" s="1">
        <v>0</v>
      </c>
      <c r="T32" s="1">
        <v>1</v>
      </c>
      <c r="U32" s="1">
        <v>1</v>
      </c>
      <c r="V32" s="1">
        <v>0</v>
      </c>
      <c r="W32" s="1">
        <v>0</v>
      </c>
      <c r="X32" s="1">
        <v>0</v>
      </c>
      <c r="Y32" s="1">
        <v>0</v>
      </c>
      <c r="AC32" s="23">
        <f>INDEX(AG32:AT32,uxb_works!$B$39)</f>
        <v>0</v>
      </c>
      <c r="AF32" s="1">
        <v>1</v>
      </c>
      <c r="AG32" s="1">
        <v>0</v>
      </c>
      <c r="AH32" s="1">
        <f t="shared" si="5"/>
        <v>0</v>
      </c>
      <c r="AI32" s="1">
        <f t="shared" si="16"/>
        <v>0</v>
      </c>
      <c r="AJ32" s="1">
        <f t="shared" si="6"/>
        <v>0</v>
      </c>
      <c r="AK32" s="1">
        <f t="shared" si="7"/>
        <v>0</v>
      </c>
      <c r="AL32" s="1">
        <f t="shared" si="8"/>
        <v>0</v>
      </c>
      <c r="AM32" s="1">
        <f t="shared" si="9"/>
        <v>0</v>
      </c>
      <c r="AN32" s="1">
        <v>0</v>
      </c>
      <c r="AO32" s="1">
        <f t="shared" si="11"/>
        <v>1</v>
      </c>
      <c r="AP32" s="1">
        <f t="shared" si="12"/>
        <v>0</v>
      </c>
      <c r="AQ32" s="1">
        <f t="shared" si="13"/>
        <v>0</v>
      </c>
      <c r="AR32" s="1">
        <f t="shared" si="14"/>
        <v>0</v>
      </c>
      <c r="AS32" s="1">
        <f t="shared" si="15"/>
        <v>0</v>
      </c>
    </row>
    <row r="33" ht="15" customHeight="1" spans="1:45">
      <c r="A33" s="1">
        <f t="shared" si="4"/>
        <v>31</v>
      </c>
      <c r="C33" s="57" t="str">
        <f>tblIndiSets_2014_O!C105</f>
        <v>   3.1.4) Quality of electricity infrastructure</v>
      </c>
      <c r="D33" s="1" t="str">
        <f t="shared" si="0"/>
        <v>   3.1.4) Quality of electricity infrastructure</v>
      </c>
      <c r="F33" s="23">
        <f>INDEX(M33:Y33,uxb_works!$B$39)</f>
        <v>1</v>
      </c>
      <c r="G33" s="32"/>
      <c r="L33" s="1">
        <v>1</v>
      </c>
      <c r="M33" s="1">
        <v>1</v>
      </c>
      <c r="N33" s="1">
        <v>0</v>
      </c>
      <c r="O33" s="1">
        <v>0</v>
      </c>
      <c r="P33" s="1">
        <v>0</v>
      </c>
      <c r="Q33" s="1">
        <v>0</v>
      </c>
      <c r="R33" s="1">
        <v>0</v>
      </c>
      <c r="S33" s="1">
        <v>0</v>
      </c>
      <c r="T33" s="1">
        <v>1</v>
      </c>
      <c r="U33" s="1">
        <v>1</v>
      </c>
      <c r="V33" s="1">
        <v>0</v>
      </c>
      <c r="W33" s="1">
        <v>0</v>
      </c>
      <c r="X33" s="1">
        <v>0</v>
      </c>
      <c r="Y33" s="1">
        <v>0</v>
      </c>
      <c r="AC33" s="23">
        <f>INDEX(AG33:AT33,uxb_works!$B$39)</f>
        <v>0</v>
      </c>
      <c r="AF33" s="1">
        <v>1</v>
      </c>
      <c r="AG33" s="1">
        <v>0</v>
      </c>
      <c r="AH33" s="1">
        <f t="shared" si="5"/>
        <v>0</v>
      </c>
      <c r="AI33" s="1">
        <f t="shared" si="16"/>
        <v>0</v>
      </c>
      <c r="AJ33" s="1">
        <f t="shared" si="6"/>
        <v>0</v>
      </c>
      <c r="AK33" s="1">
        <f t="shared" si="7"/>
        <v>0</v>
      </c>
      <c r="AL33" s="1">
        <f t="shared" si="8"/>
        <v>0</v>
      </c>
      <c r="AM33" s="1">
        <f t="shared" si="9"/>
        <v>0</v>
      </c>
      <c r="AN33" s="1">
        <v>0</v>
      </c>
      <c r="AO33" s="1">
        <f t="shared" si="11"/>
        <v>1</v>
      </c>
      <c r="AP33" s="1">
        <f t="shared" si="12"/>
        <v>0</v>
      </c>
      <c r="AQ33" s="1">
        <f t="shared" si="13"/>
        <v>0</v>
      </c>
      <c r="AR33" s="1">
        <f t="shared" si="14"/>
        <v>0</v>
      </c>
      <c r="AS33" s="1">
        <f t="shared" si="15"/>
        <v>0</v>
      </c>
    </row>
    <row r="34" ht="15" customHeight="1" spans="1:45">
      <c r="A34" s="1">
        <f t="shared" si="4"/>
        <v>32</v>
      </c>
      <c r="C34" s="57" t="str">
        <f>tblIndiSets_2014_O!C106</f>
        <v>   3.1.5) Disaster Management/Business Continuity Plan</v>
      </c>
      <c r="D34" s="1" t="str">
        <f t="shared" si="0"/>
        <v>   3.1.5) Disaster Management/Business Continuity Plan</v>
      </c>
      <c r="F34" s="23">
        <f>INDEX(M34:Y34,uxb_works!$B$39)</f>
        <v>1</v>
      </c>
      <c r="G34" s="32"/>
      <c r="L34" s="1">
        <v>1</v>
      </c>
      <c r="M34" s="1">
        <v>1</v>
      </c>
      <c r="N34" s="1">
        <v>0</v>
      </c>
      <c r="O34" s="1">
        <v>0</v>
      </c>
      <c r="P34" s="1">
        <v>0</v>
      </c>
      <c r="Q34" s="1">
        <v>0</v>
      </c>
      <c r="R34" s="1">
        <v>0</v>
      </c>
      <c r="S34" s="1">
        <v>0</v>
      </c>
      <c r="T34" s="1">
        <v>1</v>
      </c>
      <c r="U34" s="1">
        <v>1</v>
      </c>
      <c r="V34" s="1">
        <v>0</v>
      </c>
      <c r="W34" s="1">
        <v>0</v>
      </c>
      <c r="X34" s="1">
        <v>0</v>
      </c>
      <c r="Y34" s="1">
        <v>0</v>
      </c>
      <c r="AC34" s="23">
        <f>INDEX(AG34:AT34,uxb_works!$B$39)</f>
        <v>0</v>
      </c>
      <c r="AF34" s="1">
        <v>1</v>
      </c>
      <c r="AG34" s="1">
        <v>0</v>
      </c>
      <c r="AH34" s="1">
        <f t="shared" si="5"/>
        <v>0</v>
      </c>
      <c r="AI34" s="1">
        <f t="shared" si="16"/>
        <v>0</v>
      </c>
      <c r="AJ34" s="1">
        <f t="shared" si="6"/>
        <v>0</v>
      </c>
      <c r="AK34" s="1">
        <f t="shared" si="7"/>
        <v>0</v>
      </c>
      <c r="AL34" s="1">
        <f t="shared" si="8"/>
        <v>0</v>
      </c>
      <c r="AM34" s="1">
        <f t="shared" si="9"/>
        <v>0</v>
      </c>
      <c r="AN34" s="1">
        <v>0</v>
      </c>
      <c r="AO34" s="1">
        <f t="shared" si="11"/>
        <v>1</v>
      </c>
      <c r="AP34" s="1">
        <f t="shared" si="12"/>
        <v>0</v>
      </c>
      <c r="AQ34" s="1">
        <f t="shared" si="13"/>
        <v>0</v>
      </c>
      <c r="AR34" s="1">
        <f t="shared" si="14"/>
        <v>0</v>
      </c>
      <c r="AS34" s="1">
        <f t="shared" si="15"/>
        <v>0</v>
      </c>
    </row>
    <row r="35" ht="15" customHeight="1" spans="1:45">
      <c r="A35" s="1">
        <f t="shared" si="4"/>
        <v>33</v>
      </c>
      <c r="C35" s="57" t="str">
        <f>tblIndiSets_2014_O!C107</f>
        <v>  3.2) Infrastructure Security (Outputs)</v>
      </c>
      <c r="D35" s="1" t="str">
        <f t="shared" si="0"/>
        <v>  3.2) Infrastructure Security (Outputs)</v>
      </c>
      <c r="F35" s="23">
        <f>INDEX(M35:Y35,uxb_works!$B$39)</f>
        <v>1</v>
      </c>
      <c r="G35" s="32"/>
      <c r="L35" s="1">
        <v>1</v>
      </c>
      <c r="M35" s="1">
        <v>1</v>
      </c>
      <c r="N35" s="1">
        <v>0</v>
      </c>
      <c r="O35" s="1">
        <v>0</v>
      </c>
      <c r="P35" s="1">
        <v>0</v>
      </c>
      <c r="Q35" s="1">
        <v>0</v>
      </c>
      <c r="R35" s="1">
        <v>0</v>
      </c>
      <c r="S35" s="1">
        <v>0</v>
      </c>
      <c r="T35" s="1">
        <v>1</v>
      </c>
      <c r="U35" s="1">
        <v>0</v>
      </c>
      <c r="V35" s="1">
        <v>0</v>
      </c>
      <c r="W35" s="1">
        <v>0</v>
      </c>
      <c r="X35" s="1">
        <v>0</v>
      </c>
      <c r="Y35" s="1">
        <v>0</v>
      </c>
      <c r="AC35" s="23">
        <f>INDEX(AG35:AT35,uxb_works!$B$39)</f>
        <v>0</v>
      </c>
      <c r="AF35" s="1">
        <v>1</v>
      </c>
      <c r="AG35" s="1">
        <v>0</v>
      </c>
      <c r="AH35" s="1">
        <f t="shared" si="5"/>
        <v>0</v>
      </c>
      <c r="AI35" s="1">
        <f t="shared" si="16"/>
        <v>0</v>
      </c>
      <c r="AJ35" s="1">
        <f t="shared" si="6"/>
        <v>0</v>
      </c>
      <c r="AK35" s="1">
        <f t="shared" si="7"/>
        <v>0</v>
      </c>
      <c r="AL35" s="1">
        <f t="shared" si="8"/>
        <v>0</v>
      </c>
      <c r="AM35" s="1">
        <f t="shared" si="9"/>
        <v>0</v>
      </c>
      <c r="AN35" s="1">
        <f t="shared" si="10"/>
        <v>1</v>
      </c>
      <c r="AO35" s="1">
        <f t="shared" si="11"/>
        <v>0</v>
      </c>
      <c r="AP35" s="1">
        <f t="shared" si="12"/>
        <v>0</v>
      </c>
      <c r="AQ35" s="1">
        <f t="shared" si="13"/>
        <v>0</v>
      </c>
      <c r="AR35" s="1">
        <f t="shared" si="14"/>
        <v>0</v>
      </c>
      <c r="AS35" s="1">
        <f t="shared" si="15"/>
        <v>0</v>
      </c>
    </row>
    <row r="36" ht="15" customHeight="1" spans="1:45">
      <c r="A36" s="1">
        <f t="shared" si="4"/>
        <v>34</v>
      </c>
      <c r="C36" s="57" t="str">
        <f>tblIndiSets_2014_O!C108</f>
        <v>   3.2.1) Death from natural disasters</v>
      </c>
      <c r="D36" s="1" t="str">
        <f t="shared" si="0"/>
        <v>   3.2.1) Death from natural disasters</v>
      </c>
      <c r="F36" s="23">
        <f>INDEX(M36:Y36,uxb_works!$B$39)</f>
        <v>1</v>
      </c>
      <c r="G36" s="32"/>
      <c r="L36" s="1">
        <v>1</v>
      </c>
      <c r="M36" s="1">
        <v>1</v>
      </c>
      <c r="N36" s="1">
        <v>0</v>
      </c>
      <c r="O36" s="1">
        <v>0</v>
      </c>
      <c r="P36" s="1">
        <v>0</v>
      </c>
      <c r="Q36" s="1">
        <v>0</v>
      </c>
      <c r="R36" s="1">
        <v>0</v>
      </c>
      <c r="S36" s="1">
        <v>0</v>
      </c>
      <c r="T36" s="1">
        <v>1</v>
      </c>
      <c r="U36" s="1">
        <v>0</v>
      </c>
      <c r="V36" s="1">
        <v>1</v>
      </c>
      <c r="W36" s="1">
        <v>0</v>
      </c>
      <c r="X36" s="1">
        <v>0</v>
      </c>
      <c r="Y36" s="1">
        <v>0</v>
      </c>
      <c r="AC36" s="23">
        <f>INDEX(AG36:AT36,uxb_works!$B$39)</f>
        <v>0</v>
      </c>
      <c r="AF36" s="1">
        <v>1</v>
      </c>
      <c r="AG36" s="1">
        <v>0</v>
      </c>
      <c r="AH36" s="1">
        <f t="shared" si="5"/>
        <v>0</v>
      </c>
      <c r="AI36" s="1">
        <f t="shared" si="16"/>
        <v>0</v>
      </c>
      <c r="AJ36" s="1">
        <f t="shared" si="6"/>
        <v>0</v>
      </c>
      <c r="AK36" s="1">
        <f t="shared" si="7"/>
        <v>0</v>
      </c>
      <c r="AL36" s="1">
        <f t="shared" si="8"/>
        <v>0</v>
      </c>
      <c r="AM36" s="1">
        <f t="shared" si="9"/>
        <v>0</v>
      </c>
      <c r="AN36" s="1">
        <v>0</v>
      </c>
      <c r="AO36" s="1">
        <f t="shared" si="11"/>
        <v>0</v>
      </c>
      <c r="AP36" s="1">
        <f t="shared" si="12"/>
        <v>1</v>
      </c>
      <c r="AQ36" s="1">
        <f t="shared" si="13"/>
        <v>0</v>
      </c>
      <c r="AR36" s="1">
        <f t="shared" si="14"/>
        <v>0</v>
      </c>
      <c r="AS36" s="1">
        <f t="shared" si="15"/>
        <v>0</v>
      </c>
    </row>
    <row r="37" ht="15" customHeight="1" spans="1:45">
      <c r="A37" s="1">
        <f t="shared" si="4"/>
        <v>35</v>
      </c>
      <c r="C37" s="57" t="str">
        <f>tblIndiSets_2014_O!C109</f>
        <v>   3.2.2) Frequency of vehicular accidents</v>
      </c>
      <c r="D37" s="1" t="str">
        <f t="shared" si="0"/>
        <v>   3.2.2) Frequency of vehicular accidents</v>
      </c>
      <c r="F37" s="23">
        <f>INDEX(M37:Y37,uxb_works!$B$39)</f>
        <v>1</v>
      </c>
      <c r="G37" s="32"/>
      <c r="L37" s="1">
        <v>1</v>
      </c>
      <c r="M37" s="1">
        <v>1</v>
      </c>
      <c r="N37" s="1">
        <v>0</v>
      </c>
      <c r="O37" s="1">
        <v>0</v>
      </c>
      <c r="P37" s="1">
        <v>0</v>
      </c>
      <c r="Q37" s="1">
        <v>0</v>
      </c>
      <c r="R37" s="1">
        <v>0</v>
      </c>
      <c r="S37" s="1">
        <v>0</v>
      </c>
      <c r="T37" s="1">
        <v>1</v>
      </c>
      <c r="U37" s="1">
        <v>0</v>
      </c>
      <c r="V37" s="1">
        <v>1</v>
      </c>
      <c r="W37" s="1">
        <v>0</v>
      </c>
      <c r="X37" s="1">
        <v>0</v>
      </c>
      <c r="Y37" s="1">
        <v>0</v>
      </c>
      <c r="AC37" s="23">
        <f>INDEX(AG37:AT37,uxb_works!$B$39)</f>
        <v>0</v>
      </c>
      <c r="AF37" s="1">
        <v>1</v>
      </c>
      <c r="AG37" s="1">
        <v>0</v>
      </c>
      <c r="AH37" s="1">
        <f t="shared" si="5"/>
        <v>0</v>
      </c>
      <c r="AI37" s="1">
        <f t="shared" si="16"/>
        <v>0</v>
      </c>
      <c r="AJ37" s="1">
        <f t="shared" si="6"/>
        <v>0</v>
      </c>
      <c r="AK37" s="1">
        <f t="shared" si="7"/>
        <v>0</v>
      </c>
      <c r="AL37" s="1">
        <f t="shared" si="8"/>
        <v>0</v>
      </c>
      <c r="AM37" s="1">
        <f t="shared" si="9"/>
        <v>0</v>
      </c>
      <c r="AN37" s="1">
        <v>0</v>
      </c>
      <c r="AO37" s="1">
        <f t="shared" si="11"/>
        <v>0</v>
      </c>
      <c r="AP37" s="1">
        <f t="shared" si="12"/>
        <v>1</v>
      </c>
      <c r="AQ37" s="1">
        <f t="shared" si="13"/>
        <v>0</v>
      </c>
      <c r="AR37" s="1">
        <f t="shared" si="14"/>
        <v>0</v>
      </c>
      <c r="AS37" s="1">
        <f t="shared" si="15"/>
        <v>0</v>
      </c>
    </row>
    <row r="38" ht="15" customHeight="1" spans="1:45">
      <c r="A38" s="1">
        <f t="shared" si="4"/>
        <v>36</v>
      </c>
      <c r="C38" s="57" t="str">
        <f>tblIndiSets_2014_O!C110</f>
        <v>   3.2.3) Frequency of pedestrian deaths</v>
      </c>
      <c r="D38" s="1" t="str">
        <f t="shared" si="0"/>
        <v>   3.2.3) Frequency of pedestrian deaths</v>
      </c>
      <c r="F38" s="23">
        <f>INDEX(M38:Y38,uxb_works!$B$39)</f>
        <v>1</v>
      </c>
      <c r="G38" s="32"/>
      <c r="L38" s="1">
        <v>1</v>
      </c>
      <c r="M38" s="1">
        <v>1</v>
      </c>
      <c r="N38" s="1">
        <v>0</v>
      </c>
      <c r="O38" s="1">
        <v>0</v>
      </c>
      <c r="P38" s="1">
        <v>0</v>
      </c>
      <c r="Q38" s="1">
        <v>0</v>
      </c>
      <c r="R38" s="1">
        <v>0</v>
      </c>
      <c r="S38" s="1">
        <v>0</v>
      </c>
      <c r="T38" s="1">
        <v>1</v>
      </c>
      <c r="U38" s="1">
        <v>0</v>
      </c>
      <c r="V38" s="1">
        <v>1</v>
      </c>
      <c r="W38" s="1">
        <v>0</v>
      </c>
      <c r="X38" s="1">
        <v>0</v>
      </c>
      <c r="Y38" s="1">
        <v>0</v>
      </c>
      <c r="AC38" s="23">
        <f>INDEX(AG38:AT38,uxb_works!$B$39)</f>
        <v>0</v>
      </c>
      <c r="AF38" s="1">
        <v>1</v>
      </c>
      <c r="AG38" s="1">
        <v>0</v>
      </c>
      <c r="AH38" s="1">
        <f t="shared" si="5"/>
        <v>0</v>
      </c>
      <c r="AI38" s="1">
        <f t="shared" si="16"/>
        <v>0</v>
      </c>
      <c r="AJ38" s="1">
        <f t="shared" si="6"/>
        <v>0</v>
      </c>
      <c r="AK38" s="1">
        <f t="shared" si="7"/>
        <v>0</v>
      </c>
      <c r="AL38" s="1">
        <f t="shared" si="8"/>
        <v>0</v>
      </c>
      <c r="AM38" s="1">
        <f t="shared" si="9"/>
        <v>0</v>
      </c>
      <c r="AN38" s="1">
        <v>0</v>
      </c>
      <c r="AO38" s="1">
        <f t="shared" si="11"/>
        <v>0</v>
      </c>
      <c r="AP38" s="1">
        <f t="shared" si="12"/>
        <v>1</v>
      </c>
      <c r="AQ38" s="1">
        <f t="shared" si="13"/>
        <v>0</v>
      </c>
      <c r="AR38" s="1">
        <f t="shared" si="14"/>
        <v>0</v>
      </c>
      <c r="AS38" s="1">
        <f t="shared" si="15"/>
        <v>0</v>
      </c>
    </row>
    <row r="39" ht="15" customHeight="1" spans="1:45">
      <c r="A39" s="1">
        <f t="shared" si="4"/>
        <v>37</v>
      </c>
      <c r="C39" s="57" t="str">
        <f>tblIndiSets_2014_O!C111</f>
        <v>   3.2.4) Percent living in urban slums</v>
      </c>
      <c r="D39" s="1" t="str">
        <f t="shared" si="0"/>
        <v>   3.2.4) Percent living in urban slums</v>
      </c>
      <c r="F39" s="23">
        <f>INDEX(M39:Y39,uxb_works!$B$39)</f>
        <v>1</v>
      </c>
      <c r="G39" s="32"/>
      <c r="L39" s="1">
        <v>1</v>
      </c>
      <c r="M39" s="1">
        <v>1</v>
      </c>
      <c r="N39" s="1">
        <v>0</v>
      </c>
      <c r="O39" s="1">
        <v>0</v>
      </c>
      <c r="P39" s="1">
        <v>0</v>
      </c>
      <c r="Q39" s="1">
        <v>0</v>
      </c>
      <c r="R39" s="1">
        <v>0</v>
      </c>
      <c r="S39" s="1">
        <v>0</v>
      </c>
      <c r="T39" s="1">
        <v>1</v>
      </c>
      <c r="U39" s="1">
        <v>0</v>
      </c>
      <c r="V39" s="1">
        <v>1</v>
      </c>
      <c r="W39" s="1">
        <v>0</v>
      </c>
      <c r="X39" s="1">
        <v>0</v>
      </c>
      <c r="Y39" s="1">
        <v>0</v>
      </c>
      <c r="AC39" s="23">
        <f>INDEX(AG39:AT39,uxb_works!$B$39)</f>
        <v>0</v>
      </c>
      <c r="AF39" s="1">
        <v>1</v>
      </c>
      <c r="AG39" s="1">
        <v>0</v>
      </c>
      <c r="AH39" s="1">
        <f t="shared" si="5"/>
        <v>0</v>
      </c>
      <c r="AI39" s="1">
        <f t="shared" si="16"/>
        <v>0</v>
      </c>
      <c r="AJ39" s="1">
        <f t="shared" si="6"/>
        <v>0</v>
      </c>
      <c r="AK39" s="1">
        <f t="shared" si="7"/>
        <v>0</v>
      </c>
      <c r="AL39" s="1">
        <f t="shared" si="8"/>
        <v>0</v>
      </c>
      <c r="AM39" s="1">
        <f t="shared" si="9"/>
        <v>0</v>
      </c>
      <c r="AN39" s="1">
        <v>0</v>
      </c>
      <c r="AO39" s="1">
        <f t="shared" si="11"/>
        <v>0</v>
      </c>
      <c r="AP39" s="1">
        <f t="shared" si="12"/>
        <v>1</v>
      </c>
      <c r="AQ39" s="1">
        <f t="shared" si="13"/>
        <v>0</v>
      </c>
      <c r="AR39" s="1">
        <f t="shared" si="14"/>
        <v>0</v>
      </c>
      <c r="AS39" s="1">
        <f t="shared" si="15"/>
        <v>0</v>
      </c>
    </row>
    <row r="40" ht="15" customHeight="1" spans="1:45">
      <c r="A40" s="1">
        <f t="shared" si="4"/>
        <v>38</v>
      </c>
      <c r="C40" s="57" t="str">
        <f>tblIndiSets_2014_O!C112</f>
        <v> 4) PERSONAL SECURITY</v>
      </c>
      <c r="D40" s="1" t="str">
        <f t="shared" si="0"/>
        <v> 4) PERSONAL SECURITY</v>
      </c>
      <c r="F40" s="23">
        <f>INDEX(M40:Y40,uxb_works!$B$39)</f>
        <v>1</v>
      </c>
      <c r="G40" s="32"/>
      <c r="L40" s="1">
        <v>1</v>
      </c>
      <c r="M40" s="1">
        <v>1</v>
      </c>
      <c r="N40" s="1">
        <v>0</v>
      </c>
      <c r="O40" s="1">
        <v>0</v>
      </c>
      <c r="P40" s="1">
        <v>0</v>
      </c>
      <c r="Q40" s="1">
        <v>0</v>
      </c>
      <c r="R40" s="1">
        <v>0</v>
      </c>
      <c r="S40" s="1">
        <v>0</v>
      </c>
      <c r="T40" s="1">
        <v>0</v>
      </c>
      <c r="U40" s="1">
        <v>0</v>
      </c>
      <c r="V40" s="1">
        <v>0</v>
      </c>
      <c r="W40" s="1">
        <v>1</v>
      </c>
      <c r="X40" s="1">
        <v>0</v>
      </c>
      <c r="Y40" s="1">
        <v>0</v>
      </c>
      <c r="AC40" s="23">
        <f>INDEX(AG40:AT40,uxb_works!$B$39)</f>
        <v>1</v>
      </c>
      <c r="AF40" s="1">
        <v>1</v>
      </c>
      <c r="AG40" s="1">
        <v>1</v>
      </c>
      <c r="AH40" s="1">
        <f t="shared" si="5"/>
        <v>0</v>
      </c>
      <c r="AI40" s="1">
        <f t="shared" si="16"/>
        <v>0</v>
      </c>
      <c r="AJ40" s="1">
        <f t="shared" si="6"/>
        <v>0</v>
      </c>
      <c r="AK40" s="1">
        <f t="shared" si="7"/>
        <v>0</v>
      </c>
      <c r="AL40" s="1">
        <f t="shared" si="8"/>
        <v>0</v>
      </c>
      <c r="AM40" s="1">
        <f t="shared" si="9"/>
        <v>0</v>
      </c>
      <c r="AN40" s="1">
        <v>0</v>
      </c>
      <c r="AO40" s="1">
        <f t="shared" si="11"/>
        <v>0</v>
      </c>
      <c r="AP40" s="1">
        <f t="shared" si="12"/>
        <v>0</v>
      </c>
      <c r="AQ40" s="1">
        <v>0</v>
      </c>
      <c r="AR40" s="1">
        <f t="shared" si="14"/>
        <v>0</v>
      </c>
      <c r="AS40" s="1">
        <f t="shared" si="15"/>
        <v>0</v>
      </c>
    </row>
    <row r="41" ht="15" customHeight="1" spans="1:45">
      <c r="A41" s="1">
        <f t="shared" si="4"/>
        <v>39</v>
      </c>
      <c r="C41" s="57" t="str">
        <f>tblIndiSets_2014_O!C113</f>
        <v>  4.1) Personal Security (Inputs)</v>
      </c>
      <c r="D41" s="1" t="str">
        <f t="shared" si="0"/>
        <v>  4.1) Personal Security (Inputs)</v>
      </c>
      <c r="F41" s="23">
        <f>INDEX(M41:Y41,uxb_works!$B$39)</f>
        <v>1</v>
      </c>
      <c r="G41" s="32"/>
      <c r="L41" s="1">
        <v>1</v>
      </c>
      <c r="M41" s="1">
        <v>1</v>
      </c>
      <c r="N41" s="1">
        <v>0</v>
      </c>
      <c r="O41" s="1">
        <v>0</v>
      </c>
      <c r="P41" s="1">
        <v>0</v>
      </c>
      <c r="Q41" s="1">
        <v>0</v>
      </c>
      <c r="R41" s="1">
        <v>0</v>
      </c>
      <c r="S41" s="1">
        <v>0</v>
      </c>
      <c r="T41" s="1">
        <v>0</v>
      </c>
      <c r="U41" s="1">
        <v>0</v>
      </c>
      <c r="V41" s="1">
        <v>0</v>
      </c>
      <c r="W41" s="1">
        <v>1</v>
      </c>
      <c r="X41" s="1">
        <v>0</v>
      </c>
      <c r="Y41" s="1">
        <v>0</v>
      </c>
      <c r="AC41" s="23">
        <f>INDEX(AG41:AT41,uxb_works!$B$39)</f>
        <v>0</v>
      </c>
      <c r="AF41" s="1">
        <v>1</v>
      </c>
      <c r="AG41" s="1">
        <v>0</v>
      </c>
      <c r="AH41" s="1">
        <f t="shared" si="5"/>
        <v>0</v>
      </c>
      <c r="AI41" s="1">
        <f t="shared" si="16"/>
        <v>0</v>
      </c>
      <c r="AJ41" s="1">
        <f t="shared" si="6"/>
        <v>0</v>
      </c>
      <c r="AK41" s="1">
        <f t="shared" si="7"/>
        <v>0</v>
      </c>
      <c r="AL41" s="1">
        <f t="shared" si="8"/>
        <v>0</v>
      </c>
      <c r="AM41" s="1">
        <f t="shared" si="9"/>
        <v>0</v>
      </c>
      <c r="AN41" s="1">
        <f t="shared" si="10"/>
        <v>0</v>
      </c>
      <c r="AO41" s="1">
        <f t="shared" si="11"/>
        <v>0</v>
      </c>
      <c r="AP41" s="1">
        <f t="shared" si="12"/>
        <v>0</v>
      </c>
      <c r="AQ41" s="1">
        <f t="shared" si="13"/>
        <v>1</v>
      </c>
      <c r="AR41" s="1">
        <f t="shared" si="14"/>
        <v>0</v>
      </c>
      <c r="AS41" s="1">
        <f t="shared" si="15"/>
        <v>0</v>
      </c>
    </row>
    <row r="42" ht="15" customHeight="1" spans="1:45">
      <c r="A42" s="1">
        <f t="shared" si="4"/>
        <v>40</v>
      </c>
      <c r="C42" s="57" t="str">
        <f>tblIndiSets_2014_O!C114</f>
        <v>   4.1.1) Level of police engagement</v>
      </c>
      <c r="D42" s="1" t="str">
        <f t="shared" si="0"/>
        <v>   4.1.1) Level of police engagement</v>
      </c>
      <c r="F42" s="23">
        <f>INDEX(M42:Y42,uxb_works!$B$39)</f>
        <v>1</v>
      </c>
      <c r="G42" s="32"/>
      <c r="L42" s="1">
        <v>1</v>
      </c>
      <c r="M42" s="1">
        <v>1</v>
      </c>
      <c r="N42" s="1">
        <v>0</v>
      </c>
      <c r="O42" s="1">
        <v>0</v>
      </c>
      <c r="P42" s="1">
        <v>0</v>
      </c>
      <c r="Q42" s="1">
        <v>0</v>
      </c>
      <c r="R42" s="1">
        <v>0</v>
      </c>
      <c r="S42" s="1">
        <v>0</v>
      </c>
      <c r="T42" s="1">
        <v>0</v>
      </c>
      <c r="U42" s="1">
        <v>0</v>
      </c>
      <c r="V42" s="1">
        <v>0</v>
      </c>
      <c r="W42" s="1">
        <v>1</v>
      </c>
      <c r="X42" s="1">
        <v>1</v>
      </c>
      <c r="Y42" s="1">
        <v>0</v>
      </c>
      <c r="AC42" s="23">
        <f>INDEX(AG42:AT42,uxb_works!$B$39)</f>
        <v>0</v>
      </c>
      <c r="AF42" s="1">
        <v>1</v>
      </c>
      <c r="AG42" s="1">
        <v>0</v>
      </c>
      <c r="AH42" s="1">
        <f t="shared" si="5"/>
        <v>0</v>
      </c>
      <c r="AI42" s="1">
        <f t="shared" si="16"/>
        <v>0</v>
      </c>
      <c r="AJ42" s="1">
        <f t="shared" si="6"/>
        <v>0</v>
      </c>
      <c r="AK42" s="1">
        <f t="shared" si="7"/>
        <v>0</v>
      </c>
      <c r="AL42" s="1">
        <f t="shared" si="8"/>
        <v>0</v>
      </c>
      <c r="AM42" s="1">
        <f t="shared" si="9"/>
        <v>0</v>
      </c>
      <c r="AN42" s="1">
        <f t="shared" si="10"/>
        <v>0</v>
      </c>
      <c r="AO42" s="1">
        <f t="shared" si="11"/>
        <v>0</v>
      </c>
      <c r="AP42" s="1">
        <f t="shared" si="12"/>
        <v>0</v>
      </c>
      <c r="AQ42" s="1">
        <v>0</v>
      </c>
      <c r="AR42" s="1">
        <f t="shared" si="14"/>
        <v>1</v>
      </c>
      <c r="AS42" s="1">
        <f t="shared" si="15"/>
        <v>0</v>
      </c>
    </row>
    <row r="43" ht="15" customHeight="1" spans="1:45">
      <c r="A43" s="1">
        <f t="shared" si="4"/>
        <v>41</v>
      </c>
      <c r="C43" s="57" t="str">
        <f>tblIndiSets_2014_O!C115</f>
        <v>   4.1.2) Community-based patrolling</v>
      </c>
      <c r="D43" s="1" t="str">
        <f t="shared" si="0"/>
        <v>   4.1.2) Community-based patrolling</v>
      </c>
      <c r="F43" s="23">
        <f>INDEX(M43:Y43,uxb_works!$B$39)</f>
        <v>1</v>
      </c>
      <c r="G43" s="32"/>
      <c r="L43" s="1">
        <v>1</v>
      </c>
      <c r="M43" s="1">
        <v>1</v>
      </c>
      <c r="N43" s="1">
        <v>0</v>
      </c>
      <c r="O43" s="1">
        <v>0</v>
      </c>
      <c r="P43" s="1">
        <v>0</v>
      </c>
      <c r="Q43" s="1">
        <v>0</v>
      </c>
      <c r="R43" s="1">
        <v>0</v>
      </c>
      <c r="S43" s="1">
        <v>0</v>
      </c>
      <c r="T43" s="1">
        <v>0</v>
      </c>
      <c r="U43" s="1">
        <v>0</v>
      </c>
      <c r="V43" s="1">
        <v>0</v>
      </c>
      <c r="W43" s="1">
        <v>1</v>
      </c>
      <c r="X43" s="1">
        <v>1</v>
      </c>
      <c r="Y43" s="1">
        <v>0</v>
      </c>
      <c r="AC43" s="23">
        <f>INDEX(AG43:AT43,uxb_works!$B$39)</f>
        <v>0</v>
      </c>
      <c r="AF43" s="1">
        <v>1</v>
      </c>
      <c r="AG43" s="1">
        <v>0</v>
      </c>
      <c r="AH43" s="1">
        <f t="shared" si="5"/>
        <v>0</v>
      </c>
      <c r="AI43" s="1">
        <f t="shared" si="16"/>
        <v>0</v>
      </c>
      <c r="AJ43" s="1">
        <f t="shared" si="6"/>
        <v>0</v>
      </c>
      <c r="AK43" s="1">
        <f t="shared" si="7"/>
        <v>0</v>
      </c>
      <c r="AL43" s="1">
        <f t="shared" si="8"/>
        <v>0</v>
      </c>
      <c r="AM43" s="1">
        <f t="shared" si="9"/>
        <v>0</v>
      </c>
      <c r="AN43" s="1">
        <f t="shared" si="10"/>
        <v>0</v>
      </c>
      <c r="AO43" s="1">
        <f t="shared" si="11"/>
        <v>0</v>
      </c>
      <c r="AP43" s="1">
        <f t="shared" si="12"/>
        <v>0</v>
      </c>
      <c r="AQ43" s="1">
        <v>0</v>
      </c>
      <c r="AR43" s="1">
        <f t="shared" si="14"/>
        <v>1</v>
      </c>
      <c r="AS43" s="1">
        <f t="shared" si="15"/>
        <v>0</v>
      </c>
    </row>
    <row r="44" ht="15" customHeight="1" spans="1:45">
      <c r="A44" s="1">
        <f t="shared" si="4"/>
        <v>42</v>
      </c>
      <c r="C44" s="57" t="str">
        <f>tblIndiSets_2014_O!C116</f>
        <v>   4.1.3) Availability of street-level crime data</v>
      </c>
      <c r="D44" s="1" t="str">
        <f t="shared" si="0"/>
        <v>   4.1.3) Availability of street-level crime data</v>
      </c>
      <c r="F44" s="23">
        <f>INDEX(M44:Y44,uxb_works!$B$39)</f>
        <v>1</v>
      </c>
      <c r="G44" s="32"/>
      <c r="L44" s="1">
        <v>1</v>
      </c>
      <c r="M44" s="1">
        <v>1</v>
      </c>
      <c r="N44" s="1">
        <v>0</v>
      </c>
      <c r="O44" s="1">
        <v>0</v>
      </c>
      <c r="P44" s="1">
        <v>0</v>
      </c>
      <c r="Q44" s="1">
        <v>0</v>
      </c>
      <c r="R44" s="1">
        <v>0</v>
      </c>
      <c r="S44" s="1">
        <v>0</v>
      </c>
      <c r="T44" s="1">
        <v>0</v>
      </c>
      <c r="U44" s="1">
        <v>0</v>
      </c>
      <c r="V44" s="1">
        <v>0</v>
      </c>
      <c r="W44" s="1">
        <v>1</v>
      </c>
      <c r="X44" s="1">
        <v>1</v>
      </c>
      <c r="Y44" s="1">
        <v>0</v>
      </c>
      <c r="AC44" s="23">
        <f>INDEX(AG44:AT44,uxb_works!$B$39)</f>
        <v>0</v>
      </c>
      <c r="AF44" s="1">
        <v>1</v>
      </c>
      <c r="AG44" s="1">
        <v>0</v>
      </c>
      <c r="AH44" s="1">
        <f t="shared" si="5"/>
        <v>0</v>
      </c>
      <c r="AI44" s="1">
        <f t="shared" si="16"/>
        <v>0</v>
      </c>
      <c r="AJ44" s="1">
        <f t="shared" si="6"/>
        <v>0</v>
      </c>
      <c r="AK44" s="1">
        <f t="shared" si="7"/>
        <v>0</v>
      </c>
      <c r="AL44" s="1">
        <f t="shared" si="8"/>
        <v>0</v>
      </c>
      <c r="AM44" s="1">
        <f t="shared" si="9"/>
        <v>0</v>
      </c>
      <c r="AN44" s="1">
        <f t="shared" si="10"/>
        <v>0</v>
      </c>
      <c r="AO44" s="1">
        <f t="shared" si="11"/>
        <v>0</v>
      </c>
      <c r="AP44" s="1">
        <f t="shared" si="12"/>
        <v>0</v>
      </c>
      <c r="AQ44" s="1">
        <v>0</v>
      </c>
      <c r="AR44" s="1">
        <f t="shared" si="14"/>
        <v>1</v>
      </c>
      <c r="AS44" s="1">
        <f t="shared" si="15"/>
        <v>0</v>
      </c>
    </row>
    <row r="45" ht="15" customHeight="1" spans="1:45">
      <c r="A45" s="1">
        <f t="shared" si="4"/>
        <v>43</v>
      </c>
      <c r="C45" s="57" t="str">
        <f>tblIndiSets_2014_O!C117</f>
        <v>   4.1.4) Use of data-driven techniques for crime</v>
      </c>
      <c r="D45" s="1" t="str">
        <f t="shared" si="0"/>
        <v>   4.1.4) Use of data-driven techniques for crime</v>
      </c>
      <c r="F45" s="23">
        <f>INDEX(M45:Y45,uxb_works!$B$39)</f>
        <v>1</v>
      </c>
      <c r="G45" s="32"/>
      <c r="L45" s="1">
        <v>1</v>
      </c>
      <c r="M45" s="1">
        <v>1</v>
      </c>
      <c r="N45" s="1">
        <v>0</v>
      </c>
      <c r="O45" s="1">
        <v>0</v>
      </c>
      <c r="P45" s="1">
        <v>0</v>
      </c>
      <c r="Q45" s="1">
        <v>0</v>
      </c>
      <c r="R45" s="1">
        <v>0</v>
      </c>
      <c r="S45" s="1">
        <v>0</v>
      </c>
      <c r="T45" s="1">
        <v>0</v>
      </c>
      <c r="U45" s="1">
        <v>0</v>
      </c>
      <c r="V45" s="1">
        <v>0</v>
      </c>
      <c r="W45" s="1">
        <v>1</v>
      </c>
      <c r="X45" s="1">
        <v>1</v>
      </c>
      <c r="Y45" s="1">
        <v>0</v>
      </c>
      <c r="AC45" s="23">
        <f>INDEX(AG45:AT45,uxb_works!$B$39)</f>
        <v>0</v>
      </c>
      <c r="AF45" s="1">
        <v>1</v>
      </c>
      <c r="AG45" s="1">
        <v>0</v>
      </c>
      <c r="AH45" s="1">
        <f t="shared" si="5"/>
        <v>0</v>
      </c>
      <c r="AI45" s="1">
        <f t="shared" si="16"/>
        <v>0</v>
      </c>
      <c r="AJ45" s="1">
        <f t="shared" si="6"/>
        <v>0</v>
      </c>
      <c r="AK45" s="1">
        <f t="shared" si="7"/>
        <v>0</v>
      </c>
      <c r="AL45" s="1">
        <f t="shared" si="8"/>
        <v>0</v>
      </c>
      <c r="AM45" s="1">
        <f t="shared" si="9"/>
        <v>0</v>
      </c>
      <c r="AN45" s="1">
        <f t="shared" si="10"/>
        <v>0</v>
      </c>
      <c r="AO45" s="1">
        <f t="shared" si="11"/>
        <v>0</v>
      </c>
      <c r="AP45" s="1">
        <f t="shared" si="12"/>
        <v>0</v>
      </c>
      <c r="AQ45" s="1">
        <v>0</v>
      </c>
      <c r="AR45" s="1">
        <f t="shared" si="14"/>
        <v>1</v>
      </c>
      <c r="AS45" s="1">
        <f t="shared" si="15"/>
        <v>0</v>
      </c>
    </row>
    <row r="46" ht="15" customHeight="1" spans="1:45">
      <c r="A46" s="1">
        <f t="shared" si="4"/>
        <v>44</v>
      </c>
      <c r="C46" s="57" t="str">
        <f>tblIndiSets_2014_O!C118</f>
        <v>   4.1.5) Private security measures</v>
      </c>
      <c r="D46" s="1" t="str">
        <f t="shared" si="0"/>
        <v>   4.1.5) Private security measures</v>
      </c>
      <c r="F46" s="23">
        <f>INDEX(M46:Y46,uxb_works!$B$39)</f>
        <v>1</v>
      </c>
      <c r="G46" s="32"/>
      <c r="L46" s="1">
        <v>1</v>
      </c>
      <c r="M46" s="1">
        <v>1</v>
      </c>
      <c r="N46" s="1">
        <v>0</v>
      </c>
      <c r="O46" s="1">
        <v>0</v>
      </c>
      <c r="P46" s="1">
        <v>0</v>
      </c>
      <c r="Q46" s="1">
        <v>0</v>
      </c>
      <c r="R46" s="1">
        <v>0</v>
      </c>
      <c r="S46" s="1">
        <v>0</v>
      </c>
      <c r="T46" s="1">
        <v>0</v>
      </c>
      <c r="U46" s="1">
        <v>0</v>
      </c>
      <c r="V46" s="1">
        <v>0</v>
      </c>
      <c r="W46" s="1">
        <v>1</v>
      </c>
      <c r="X46" s="1">
        <v>1</v>
      </c>
      <c r="Y46" s="1">
        <v>0</v>
      </c>
      <c r="AC46" s="23">
        <f>INDEX(AG46:AT46,uxb_works!$B$39)</f>
        <v>0</v>
      </c>
      <c r="AF46" s="1">
        <v>1</v>
      </c>
      <c r="AG46" s="1">
        <v>0</v>
      </c>
      <c r="AH46" s="1">
        <f t="shared" si="5"/>
        <v>0</v>
      </c>
      <c r="AI46" s="1">
        <f t="shared" si="16"/>
        <v>0</v>
      </c>
      <c r="AJ46" s="1">
        <f t="shared" si="6"/>
        <v>0</v>
      </c>
      <c r="AK46" s="1">
        <f t="shared" si="7"/>
        <v>0</v>
      </c>
      <c r="AL46" s="1">
        <f t="shared" si="8"/>
        <v>0</v>
      </c>
      <c r="AM46" s="1">
        <f t="shared" si="9"/>
        <v>0</v>
      </c>
      <c r="AN46" s="1">
        <f t="shared" si="10"/>
        <v>0</v>
      </c>
      <c r="AO46" s="1">
        <f t="shared" si="11"/>
        <v>0</v>
      </c>
      <c r="AP46" s="1">
        <f t="shared" si="12"/>
        <v>0</v>
      </c>
      <c r="AQ46" s="1">
        <v>0</v>
      </c>
      <c r="AR46" s="1">
        <f t="shared" si="14"/>
        <v>1</v>
      </c>
      <c r="AS46" s="1">
        <f t="shared" si="15"/>
        <v>0</v>
      </c>
    </row>
    <row r="47" ht="15" customHeight="1" spans="1:45">
      <c r="A47" s="1">
        <f t="shared" si="4"/>
        <v>45</v>
      </c>
      <c r="C47" s="57" t="str">
        <f>tblIndiSets_2014_O!C119</f>
        <v>   4.1.6) Gun regulation and enforcement</v>
      </c>
      <c r="D47" s="1" t="str">
        <f t="shared" si="0"/>
        <v>   4.1.6) Gun regulation and enforcement</v>
      </c>
      <c r="F47" s="23">
        <f>INDEX(M47:Y47,uxb_works!$B$39)</f>
        <v>1</v>
      </c>
      <c r="G47" s="32"/>
      <c r="L47" s="1">
        <v>1</v>
      </c>
      <c r="M47" s="1">
        <v>1</v>
      </c>
      <c r="N47" s="1">
        <v>0</v>
      </c>
      <c r="O47" s="1">
        <v>0</v>
      </c>
      <c r="P47" s="1">
        <v>0</v>
      </c>
      <c r="Q47" s="1">
        <v>0</v>
      </c>
      <c r="R47" s="1">
        <v>0</v>
      </c>
      <c r="S47" s="1">
        <v>0</v>
      </c>
      <c r="T47" s="1">
        <v>0</v>
      </c>
      <c r="U47" s="1">
        <v>0</v>
      </c>
      <c r="V47" s="1">
        <v>0</v>
      </c>
      <c r="W47" s="1">
        <v>1</v>
      </c>
      <c r="X47" s="1">
        <v>1</v>
      </c>
      <c r="Y47" s="1">
        <v>0</v>
      </c>
      <c r="AC47" s="23">
        <f>INDEX(AG47:AT47,uxb_works!$B$39)</f>
        <v>0</v>
      </c>
      <c r="AF47" s="1">
        <v>1</v>
      </c>
      <c r="AG47" s="1">
        <v>0</v>
      </c>
      <c r="AH47" s="1">
        <f t="shared" si="5"/>
        <v>0</v>
      </c>
      <c r="AI47" s="1">
        <f t="shared" si="16"/>
        <v>0</v>
      </c>
      <c r="AJ47" s="1">
        <f t="shared" si="6"/>
        <v>0</v>
      </c>
      <c r="AK47" s="1">
        <f t="shared" si="7"/>
        <v>0</v>
      </c>
      <c r="AL47" s="1">
        <f t="shared" si="8"/>
        <v>0</v>
      </c>
      <c r="AM47" s="1">
        <f t="shared" si="9"/>
        <v>0</v>
      </c>
      <c r="AN47" s="1">
        <f t="shared" si="10"/>
        <v>0</v>
      </c>
      <c r="AO47" s="1">
        <f t="shared" si="11"/>
        <v>0</v>
      </c>
      <c r="AP47" s="1">
        <f t="shared" si="12"/>
        <v>0</v>
      </c>
      <c r="AQ47" s="1">
        <v>0</v>
      </c>
      <c r="AR47" s="1">
        <f t="shared" si="14"/>
        <v>1</v>
      </c>
      <c r="AS47" s="1">
        <f t="shared" si="15"/>
        <v>0</v>
      </c>
    </row>
    <row r="48" ht="15" customHeight="1" spans="1:45">
      <c r="A48" s="1">
        <f t="shared" si="4"/>
        <v>46</v>
      </c>
      <c r="C48" s="57" t="str">
        <f>tblIndiSets_2014_O!C120</f>
        <v>   4.1.7) Political Stability Risk</v>
      </c>
      <c r="D48" s="1" t="str">
        <f t="shared" si="0"/>
        <v>   4.1.7) Political Stability Risk</v>
      </c>
      <c r="F48" s="23">
        <f>INDEX(M48:Y48,uxb_works!$B$39)</f>
        <v>1</v>
      </c>
      <c r="G48" s="32"/>
      <c r="L48" s="1">
        <v>1</v>
      </c>
      <c r="M48" s="1">
        <v>1</v>
      </c>
      <c r="N48" s="1">
        <v>0</v>
      </c>
      <c r="O48" s="1">
        <v>0</v>
      </c>
      <c r="P48" s="1">
        <v>0</v>
      </c>
      <c r="Q48" s="1">
        <v>0</v>
      </c>
      <c r="R48" s="1">
        <v>0</v>
      </c>
      <c r="S48" s="1">
        <v>0</v>
      </c>
      <c r="T48" s="1">
        <v>0</v>
      </c>
      <c r="U48" s="1">
        <v>0</v>
      </c>
      <c r="V48" s="1">
        <v>0</v>
      </c>
      <c r="W48" s="1">
        <v>1</v>
      </c>
      <c r="X48" s="1">
        <v>1</v>
      </c>
      <c r="Y48" s="1">
        <v>0</v>
      </c>
      <c r="AC48" s="23">
        <f>INDEX(AG48:AT48,uxb_works!$B$39)</f>
        <v>0</v>
      </c>
      <c r="AF48" s="1">
        <v>1</v>
      </c>
      <c r="AG48" s="1">
        <v>0</v>
      </c>
      <c r="AH48" s="1">
        <f t="shared" si="5"/>
        <v>0</v>
      </c>
      <c r="AI48" s="1">
        <f t="shared" si="16"/>
        <v>0</v>
      </c>
      <c r="AJ48" s="1">
        <f t="shared" si="6"/>
        <v>0</v>
      </c>
      <c r="AK48" s="1">
        <f t="shared" si="7"/>
        <v>0</v>
      </c>
      <c r="AL48" s="1">
        <f t="shared" si="8"/>
        <v>0</v>
      </c>
      <c r="AM48" s="1">
        <f t="shared" si="9"/>
        <v>0</v>
      </c>
      <c r="AN48" s="1">
        <f t="shared" si="10"/>
        <v>0</v>
      </c>
      <c r="AO48" s="1">
        <f t="shared" si="11"/>
        <v>0</v>
      </c>
      <c r="AP48" s="1">
        <f t="shared" si="12"/>
        <v>0</v>
      </c>
      <c r="AQ48" s="1">
        <v>0</v>
      </c>
      <c r="AR48" s="1">
        <f t="shared" si="14"/>
        <v>1</v>
      </c>
      <c r="AS48" s="1">
        <f t="shared" si="15"/>
        <v>0</v>
      </c>
    </row>
    <row r="49" ht="15" customHeight="1" spans="1:45">
      <c r="A49" s="1">
        <f t="shared" si="4"/>
        <v>47</v>
      </c>
      <c r="C49" s="57" t="str">
        <f>tblIndiSets_2014_O!C121</f>
        <v>  4.2) Personal Security (Outputs)</v>
      </c>
      <c r="D49" s="1" t="str">
        <f t="shared" si="0"/>
        <v>  4.2) Personal Security (Outputs)</v>
      </c>
      <c r="F49" s="23">
        <f>INDEX(M49:Y49,uxb_works!$B$39)</f>
        <v>1</v>
      </c>
      <c r="G49" s="32"/>
      <c r="L49" s="1">
        <v>1</v>
      </c>
      <c r="M49" s="1">
        <v>1</v>
      </c>
      <c r="N49" s="1">
        <v>0</v>
      </c>
      <c r="O49" s="1">
        <v>0</v>
      </c>
      <c r="P49" s="1">
        <v>0</v>
      </c>
      <c r="Q49" s="1">
        <v>0</v>
      </c>
      <c r="R49" s="1">
        <v>0</v>
      </c>
      <c r="S49" s="1">
        <v>0</v>
      </c>
      <c r="T49" s="1">
        <v>0</v>
      </c>
      <c r="U49" s="1">
        <v>0</v>
      </c>
      <c r="V49" s="1">
        <v>0</v>
      </c>
      <c r="W49" s="1">
        <v>1</v>
      </c>
      <c r="X49" s="1">
        <v>0</v>
      </c>
      <c r="Y49" s="1">
        <v>0</v>
      </c>
      <c r="AC49" s="23">
        <f>INDEX(AG49:AT49,uxb_works!$B$39)</f>
        <v>0</v>
      </c>
      <c r="AF49" s="1">
        <v>1</v>
      </c>
      <c r="AG49" s="1">
        <v>0</v>
      </c>
      <c r="AH49" s="1">
        <f t="shared" si="5"/>
        <v>0</v>
      </c>
      <c r="AI49" s="1">
        <f t="shared" si="16"/>
        <v>0</v>
      </c>
      <c r="AJ49" s="1">
        <f t="shared" si="6"/>
        <v>0</v>
      </c>
      <c r="AK49" s="1">
        <f t="shared" si="7"/>
        <v>0</v>
      </c>
      <c r="AL49" s="1">
        <f t="shared" si="8"/>
        <v>0</v>
      </c>
      <c r="AM49" s="1">
        <f t="shared" si="9"/>
        <v>0</v>
      </c>
      <c r="AN49" s="1">
        <f t="shared" si="10"/>
        <v>0</v>
      </c>
      <c r="AO49" s="1">
        <f t="shared" si="11"/>
        <v>0</v>
      </c>
      <c r="AP49" s="1">
        <f t="shared" si="12"/>
        <v>0</v>
      </c>
      <c r="AQ49" s="1">
        <v>1</v>
      </c>
      <c r="AR49" s="1">
        <f t="shared" si="14"/>
        <v>0</v>
      </c>
      <c r="AS49" s="1">
        <f t="shared" si="15"/>
        <v>0</v>
      </c>
    </row>
    <row r="50" ht="15" customHeight="1" spans="1:45">
      <c r="A50" s="1">
        <f t="shared" si="4"/>
        <v>48</v>
      </c>
      <c r="C50" s="57" t="str">
        <f>tblIndiSets_2014_O!C122</f>
        <v>   4.2.1) Prevalence of petty crime</v>
      </c>
      <c r="D50" s="1" t="str">
        <f t="shared" si="0"/>
        <v>   4.2.1) Prevalence of petty crime</v>
      </c>
      <c r="F50" s="23">
        <f>INDEX(M50:Y50,uxb_works!$B$39)</f>
        <v>1</v>
      </c>
      <c r="G50" s="32"/>
      <c r="L50" s="1">
        <v>1</v>
      </c>
      <c r="M50" s="1">
        <v>1</v>
      </c>
      <c r="N50" s="1">
        <v>0</v>
      </c>
      <c r="O50" s="1">
        <v>0</v>
      </c>
      <c r="P50" s="1">
        <v>0</v>
      </c>
      <c r="Q50" s="1">
        <v>0</v>
      </c>
      <c r="R50" s="1">
        <v>0</v>
      </c>
      <c r="S50" s="1">
        <v>0</v>
      </c>
      <c r="T50" s="1">
        <v>0</v>
      </c>
      <c r="U50" s="1">
        <v>0</v>
      </c>
      <c r="V50" s="1">
        <v>0</v>
      </c>
      <c r="W50" s="1">
        <v>1</v>
      </c>
      <c r="X50" s="1">
        <v>0</v>
      </c>
      <c r="Y50" s="1">
        <v>1</v>
      </c>
      <c r="AC50" s="23">
        <f>INDEX(AG50:AT50,uxb_works!$B$39)</f>
        <v>0</v>
      </c>
      <c r="AF50" s="1">
        <v>1</v>
      </c>
      <c r="AG50" s="1">
        <v>0</v>
      </c>
      <c r="AH50" s="1">
        <f t="shared" si="5"/>
        <v>0</v>
      </c>
      <c r="AI50" s="1">
        <f t="shared" si="16"/>
        <v>0</v>
      </c>
      <c r="AJ50" s="1">
        <f t="shared" si="6"/>
        <v>0</v>
      </c>
      <c r="AK50" s="1">
        <f t="shared" si="7"/>
        <v>0</v>
      </c>
      <c r="AL50" s="1">
        <f t="shared" si="8"/>
        <v>0</v>
      </c>
      <c r="AM50" s="1">
        <f t="shared" si="9"/>
        <v>0</v>
      </c>
      <c r="AN50" s="1">
        <f t="shared" si="10"/>
        <v>0</v>
      </c>
      <c r="AO50" s="1">
        <f t="shared" si="11"/>
        <v>0</v>
      </c>
      <c r="AP50" s="1">
        <f t="shared" si="12"/>
        <v>0</v>
      </c>
      <c r="AQ50" s="1">
        <v>0</v>
      </c>
      <c r="AR50" s="1">
        <f t="shared" si="14"/>
        <v>0</v>
      </c>
      <c r="AS50" s="1">
        <v>1</v>
      </c>
    </row>
    <row r="51" ht="15" customHeight="1" spans="1:45">
      <c r="A51" s="1">
        <f t="shared" si="4"/>
        <v>49</v>
      </c>
      <c r="C51" s="57" t="str">
        <f>tblIndiSets_2014_O!C123</f>
        <v>   4.2.2) Prevalence of violence crime</v>
      </c>
      <c r="D51" s="1" t="str">
        <f t="shared" si="0"/>
        <v>   4.2.2) Prevalence of violence crime</v>
      </c>
      <c r="F51" s="23">
        <f>INDEX(M51:Y51,uxb_works!$B$39)</f>
        <v>1</v>
      </c>
      <c r="G51" s="32"/>
      <c r="L51" s="1">
        <v>1</v>
      </c>
      <c r="M51" s="1">
        <v>1</v>
      </c>
      <c r="N51" s="1">
        <v>0</v>
      </c>
      <c r="O51" s="1">
        <v>0</v>
      </c>
      <c r="P51" s="1">
        <v>0</v>
      </c>
      <c r="Q51" s="1">
        <v>0</v>
      </c>
      <c r="R51" s="1">
        <v>0</v>
      </c>
      <c r="S51" s="1">
        <v>0</v>
      </c>
      <c r="T51" s="1">
        <v>0</v>
      </c>
      <c r="U51" s="1">
        <v>0</v>
      </c>
      <c r="V51" s="1">
        <v>0</v>
      </c>
      <c r="W51" s="1">
        <v>1</v>
      </c>
      <c r="X51" s="1">
        <v>0</v>
      </c>
      <c r="Y51" s="1">
        <v>1</v>
      </c>
      <c r="AC51" s="23">
        <f>INDEX(AG51:AT51,uxb_works!$B$39)</f>
        <v>0</v>
      </c>
      <c r="AF51" s="1">
        <v>1</v>
      </c>
      <c r="AG51" s="1">
        <v>0</v>
      </c>
      <c r="AH51" s="1">
        <f t="shared" si="5"/>
        <v>0</v>
      </c>
      <c r="AI51" s="1">
        <f t="shared" si="16"/>
        <v>0</v>
      </c>
      <c r="AJ51" s="1">
        <f t="shared" si="6"/>
        <v>0</v>
      </c>
      <c r="AK51" s="1">
        <f t="shared" si="7"/>
        <v>0</v>
      </c>
      <c r="AL51" s="1">
        <f t="shared" si="8"/>
        <v>0</v>
      </c>
      <c r="AM51" s="1">
        <f t="shared" si="9"/>
        <v>0</v>
      </c>
      <c r="AN51" s="1">
        <f t="shared" si="10"/>
        <v>0</v>
      </c>
      <c r="AO51" s="1">
        <f t="shared" si="11"/>
        <v>0</v>
      </c>
      <c r="AP51" s="1">
        <f t="shared" si="12"/>
        <v>0</v>
      </c>
      <c r="AQ51" s="1">
        <v>0</v>
      </c>
      <c r="AR51" s="1">
        <f t="shared" si="14"/>
        <v>0</v>
      </c>
      <c r="AS51" s="1">
        <f t="shared" si="15"/>
        <v>1</v>
      </c>
    </row>
    <row r="52" ht="15" customHeight="1" spans="1:45">
      <c r="A52" s="1">
        <f t="shared" si="4"/>
        <v>50</v>
      </c>
      <c r="C52" s="57" t="str">
        <f>tblIndiSets_2014_O!C124</f>
        <v>   4.2.3) Criminal gang activity</v>
      </c>
      <c r="D52" s="1" t="str">
        <f t="shared" si="0"/>
        <v>   4.2.3) Criminal gang activity</v>
      </c>
      <c r="F52" s="23">
        <f>INDEX(M52:Y52,uxb_works!$B$39)</f>
        <v>1</v>
      </c>
      <c r="G52" s="32"/>
      <c r="L52" s="1">
        <v>1</v>
      </c>
      <c r="M52" s="1">
        <v>1</v>
      </c>
      <c r="N52" s="1">
        <v>0</v>
      </c>
      <c r="O52" s="1">
        <v>0</v>
      </c>
      <c r="P52" s="1">
        <v>0</v>
      </c>
      <c r="Q52" s="1">
        <v>0</v>
      </c>
      <c r="R52" s="1">
        <v>0</v>
      </c>
      <c r="S52" s="1">
        <v>0</v>
      </c>
      <c r="T52" s="1">
        <v>0</v>
      </c>
      <c r="U52" s="1">
        <v>0</v>
      </c>
      <c r="V52" s="1">
        <v>0</v>
      </c>
      <c r="W52" s="1">
        <v>1</v>
      </c>
      <c r="X52" s="1">
        <v>0</v>
      </c>
      <c r="Y52" s="1">
        <v>1</v>
      </c>
      <c r="AC52" s="23">
        <f>INDEX(AG52:AT52,uxb_works!$B$39)</f>
        <v>0</v>
      </c>
      <c r="AF52" s="1">
        <v>1</v>
      </c>
      <c r="AG52" s="1">
        <v>0</v>
      </c>
      <c r="AH52" s="1">
        <f t="shared" si="5"/>
        <v>0</v>
      </c>
      <c r="AI52" s="1">
        <f t="shared" si="16"/>
        <v>0</v>
      </c>
      <c r="AJ52" s="1">
        <f t="shared" si="6"/>
        <v>0</v>
      </c>
      <c r="AK52" s="1">
        <f t="shared" si="7"/>
        <v>0</v>
      </c>
      <c r="AL52" s="1">
        <f t="shared" si="8"/>
        <v>0</v>
      </c>
      <c r="AM52" s="1">
        <f t="shared" si="9"/>
        <v>0</v>
      </c>
      <c r="AN52" s="1">
        <f t="shared" si="10"/>
        <v>0</v>
      </c>
      <c r="AO52" s="1">
        <f t="shared" si="11"/>
        <v>0</v>
      </c>
      <c r="AP52" s="1">
        <f t="shared" si="12"/>
        <v>0</v>
      </c>
      <c r="AQ52" s="1">
        <v>0</v>
      </c>
      <c r="AR52" s="1">
        <f t="shared" si="14"/>
        <v>0</v>
      </c>
      <c r="AS52" s="1">
        <f t="shared" si="15"/>
        <v>1</v>
      </c>
    </row>
    <row r="53" ht="15" customHeight="1" spans="1:45">
      <c r="A53" s="1">
        <f t="shared" si="4"/>
        <v>51</v>
      </c>
      <c r="C53" s="57" t="str">
        <f>tblIndiSets_2014_O!C125</f>
        <v>   4.2.4) Level of corruption in police force</v>
      </c>
      <c r="D53" s="1" t="str">
        <f t="shared" si="0"/>
        <v>   4.2.4) Level of corruption in police force</v>
      </c>
      <c r="F53" s="23">
        <f>INDEX(M53:Y53,uxb_works!$B$39)</f>
        <v>1</v>
      </c>
      <c r="G53" s="32"/>
      <c r="L53" s="1">
        <v>1</v>
      </c>
      <c r="M53" s="1">
        <v>1</v>
      </c>
      <c r="N53" s="1">
        <v>0</v>
      </c>
      <c r="O53" s="1">
        <v>0</v>
      </c>
      <c r="P53" s="1">
        <v>0</v>
      </c>
      <c r="Q53" s="1">
        <v>0</v>
      </c>
      <c r="R53" s="1">
        <v>0</v>
      </c>
      <c r="S53" s="1">
        <v>0</v>
      </c>
      <c r="T53" s="1">
        <v>0</v>
      </c>
      <c r="U53" s="1">
        <v>0</v>
      </c>
      <c r="V53" s="1">
        <v>0</v>
      </c>
      <c r="W53" s="1">
        <v>1</v>
      </c>
      <c r="X53" s="1">
        <v>0</v>
      </c>
      <c r="Y53" s="1">
        <v>1</v>
      </c>
      <c r="AC53" s="23">
        <f>INDEX(AG53:AT53,uxb_works!$B$39)</f>
        <v>0</v>
      </c>
      <c r="AF53" s="1">
        <v>1</v>
      </c>
      <c r="AG53" s="1">
        <v>0</v>
      </c>
      <c r="AH53" s="1">
        <f t="shared" si="5"/>
        <v>0</v>
      </c>
      <c r="AI53" s="1">
        <f t="shared" si="16"/>
        <v>0</v>
      </c>
      <c r="AJ53" s="1">
        <f t="shared" si="6"/>
        <v>0</v>
      </c>
      <c r="AK53" s="1">
        <f t="shared" si="7"/>
        <v>0</v>
      </c>
      <c r="AL53" s="1">
        <f t="shared" si="8"/>
        <v>0</v>
      </c>
      <c r="AM53" s="1">
        <f t="shared" si="9"/>
        <v>0</v>
      </c>
      <c r="AN53" s="1">
        <f t="shared" si="10"/>
        <v>0</v>
      </c>
      <c r="AO53" s="1">
        <f t="shared" si="11"/>
        <v>0</v>
      </c>
      <c r="AP53" s="1">
        <f t="shared" si="12"/>
        <v>0</v>
      </c>
      <c r="AQ53" s="1">
        <v>0</v>
      </c>
      <c r="AR53" s="1">
        <f t="shared" si="14"/>
        <v>0</v>
      </c>
      <c r="AS53" s="1">
        <f t="shared" si="15"/>
        <v>1</v>
      </c>
    </row>
    <row r="54" ht="15" customHeight="1" spans="1:45">
      <c r="A54" s="1">
        <f t="shared" si="4"/>
        <v>52</v>
      </c>
      <c r="C54" s="57" t="str">
        <f>tblIndiSets_2014_O!C126</f>
        <v>   4.2.5) Rate of drug use</v>
      </c>
      <c r="D54" s="1" t="str">
        <f t="shared" si="0"/>
        <v>   4.2.5) Rate of drug use</v>
      </c>
      <c r="F54" s="23">
        <f>INDEX(M54:Y54,uxb_works!$B$39)</f>
        <v>1</v>
      </c>
      <c r="G54" s="32"/>
      <c r="L54" s="1">
        <v>1</v>
      </c>
      <c r="M54" s="1">
        <v>1</v>
      </c>
      <c r="N54" s="1">
        <v>0</v>
      </c>
      <c r="O54" s="1">
        <v>0</v>
      </c>
      <c r="P54" s="1">
        <v>0</v>
      </c>
      <c r="Q54" s="1">
        <v>0</v>
      </c>
      <c r="R54" s="1">
        <v>0</v>
      </c>
      <c r="S54" s="1">
        <v>0</v>
      </c>
      <c r="T54" s="1">
        <v>0</v>
      </c>
      <c r="U54" s="1">
        <v>0</v>
      </c>
      <c r="V54" s="1">
        <v>0</v>
      </c>
      <c r="W54" s="1">
        <v>1</v>
      </c>
      <c r="X54" s="1">
        <v>0</v>
      </c>
      <c r="Y54" s="1">
        <v>1</v>
      </c>
      <c r="AC54" s="23">
        <f>INDEX(AG54:AT54,uxb_works!$B$39)</f>
        <v>0</v>
      </c>
      <c r="AF54" s="1">
        <v>1</v>
      </c>
      <c r="AG54" s="1">
        <v>0</v>
      </c>
      <c r="AH54" s="1">
        <f t="shared" si="5"/>
        <v>0</v>
      </c>
      <c r="AI54" s="1">
        <f t="shared" si="16"/>
        <v>0</v>
      </c>
      <c r="AJ54" s="1">
        <f t="shared" si="6"/>
        <v>0</v>
      </c>
      <c r="AK54" s="1">
        <f t="shared" si="7"/>
        <v>0</v>
      </c>
      <c r="AL54" s="1">
        <f t="shared" si="8"/>
        <v>0</v>
      </c>
      <c r="AM54" s="1">
        <f t="shared" si="9"/>
        <v>0</v>
      </c>
      <c r="AN54" s="1">
        <f t="shared" si="10"/>
        <v>0</v>
      </c>
      <c r="AO54" s="1">
        <f t="shared" si="11"/>
        <v>0</v>
      </c>
      <c r="AP54" s="1">
        <f t="shared" si="12"/>
        <v>0</v>
      </c>
      <c r="AQ54" s="1">
        <v>0</v>
      </c>
      <c r="AR54" s="1">
        <f t="shared" si="14"/>
        <v>0</v>
      </c>
      <c r="AS54" s="1">
        <f t="shared" si="15"/>
        <v>1</v>
      </c>
    </row>
    <row r="55" ht="15" customHeight="1" spans="1:45">
      <c r="A55" s="1">
        <f t="shared" si="4"/>
        <v>53</v>
      </c>
      <c r="C55" s="57" t="str">
        <f>tblIndiSets_2014_O!C127</f>
        <v>   4.2.6) Frequency of terrorist attacks</v>
      </c>
      <c r="D55" s="1" t="str">
        <f t="shared" si="0"/>
        <v>   4.2.6) Frequency of terrorist attacks</v>
      </c>
      <c r="F55" s="23">
        <f>INDEX(M55:Y55,uxb_works!$B$39)</f>
        <v>1</v>
      </c>
      <c r="G55" s="32"/>
      <c r="L55" s="1">
        <v>1</v>
      </c>
      <c r="M55" s="1">
        <v>1</v>
      </c>
      <c r="N55" s="1">
        <v>0</v>
      </c>
      <c r="O55" s="1">
        <v>0</v>
      </c>
      <c r="P55" s="1">
        <v>0</v>
      </c>
      <c r="Q55" s="1">
        <v>0</v>
      </c>
      <c r="R55" s="1">
        <v>0</v>
      </c>
      <c r="S55" s="1">
        <v>0</v>
      </c>
      <c r="T55" s="1">
        <v>0</v>
      </c>
      <c r="U55" s="1">
        <v>0</v>
      </c>
      <c r="V55" s="1">
        <v>0</v>
      </c>
      <c r="W55" s="1">
        <v>1</v>
      </c>
      <c r="X55" s="1">
        <v>0</v>
      </c>
      <c r="Y55" s="1">
        <v>1</v>
      </c>
      <c r="AC55" s="23">
        <f>INDEX(AG55:AT55,uxb_works!$B$39)</f>
        <v>0</v>
      </c>
      <c r="AF55" s="1">
        <v>1</v>
      </c>
      <c r="AG55" s="1">
        <v>0</v>
      </c>
      <c r="AH55" s="1">
        <f t="shared" si="5"/>
        <v>0</v>
      </c>
      <c r="AI55" s="1">
        <f t="shared" si="16"/>
        <v>0</v>
      </c>
      <c r="AJ55" s="1">
        <f t="shared" si="6"/>
        <v>0</v>
      </c>
      <c r="AK55" s="1">
        <f t="shared" si="7"/>
        <v>0</v>
      </c>
      <c r="AL55" s="1">
        <f t="shared" si="8"/>
        <v>0</v>
      </c>
      <c r="AM55" s="1">
        <f t="shared" si="9"/>
        <v>0</v>
      </c>
      <c r="AN55" s="1">
        <f t="shared" si="10"/>
        <v>0</v>
      </c>
      <c r="AO55" s="1">
        <f t="shared" si="11"/>
        <v>0</v>
      </c>
      <c r="AP55" s="1">
        <f t="shared" si="12"/>
        <v>0</v>
      </c>
      <c r="AQ55" s="1">
        <v>0</v>
      </c>
      <c r="AR55" s="1">
        <f t="shared" si="14"/>
        <v>0</v>
      </c>
      <c r="AS55" s="1">
        <f t="shared" si="15"/>
        <v>1</v>
      </c>
    </row>
    <row r="56" ht="15" customHeight="1" spans="1:45">
      <c r="A56" s="1">
        <f t="shared" si="4"/>
        <v>54</v>
      </c>
      <c r="C56" s="57" t="str">
        <f>tblIndiSets_2014_O!C128</f>
        <v>   4.2.7) Gender safety</v>
      </c>
      <c r="D56" s="1" t="str">
        <f t="shared" si="0"/>
        <v>   4.2.7) Gender safety</v>
      </c>
      <c r="F56" s="23">
        <f>INDEX(M56:Y56,uxb_works!$B$39)</f>
        <v>1</v>
      </c>
      <c r="G56" s="32"/>
      <c r="L56" s="1">
        <v>1</v>
      </c>
      <c r="M56" s="1">
        <v>1</v>
      </c>
      <c r="N56" s="1">
        <v>0</v>
      </c>
      <c r="O56" s="1">
        <v>0</v>
      </c>
      <c r="P56" s="1">
        <v>0</v>
      </c>
      <c r="Q56" s="1">
        <v>0</v>
      </c>
      <c r="R56" s="1">
        <v>0</v>
      </c>
      <c r="S56" s="1">
        <v>0</v>
      </c>
      <c r="T56" s="1">
        <v>0</v>
      </c>
      <c r="U56" s="1">
        <v>0</v>
      </c>
      <c r="V56" s="1">
        <v>0</v>
      </c>
      <c r="W56" s="1">
        <v>1</v>
      </c>
      <c r="X56" s="1">
        <v>0</v>
      </c>
      <c r="Y56" s="1">
        <v>1</v>
      </c>
      <c r="AC56" s="23">
        <f>INDEX(AG56:AT56,uxb_works!$B$39)</f>
        <v>0</v>
      </c>
      <c r="AF56" s="1">
        <v>1</v>
      </c>
      <c r="AG56" s="1">
        <v>0</v>
      </c>
      <c r="AH56" s="1">
        <f t="shared" si="5"/>
        <v>0</v>
      </c>
      <c r="AI56" s="1">
        <f t="shared" si="16"/>
        <v>0</v>
      </c>
      <c r="AJ56" s="1">
        <f t="shared" si="6"/>
        <v>0</v>
      </c>
      <c r="AK56" s="1">
        <f t="shared" si="7"/>
        <v>0</v>
      </c>
      <c r="AL56" s="1">
        <f t="shared" si="8"/>
        <v>0</v>
      </c>
      <c r="AM56" s="1">
        <f t="shared" si="9"/>
        <v>0</v>
      </c>
      <c r="AN56" s="1">
        <f t="shared" si="10"/>
        <v>0</v>
      </c>
      <c r="AO56" s="1">
        <f t="shared" si="11"/>
        <v>0</v>
      </c>
      <c r="AP56" s="1">
        <f t="shared" si="12"/>
        <v>0</v>
      </c>
      <c r="AQ56" s="1">
        <v>0</v>
      </c>
      <c r="AR56" s="1">
        <f t="shared" si="14"/>
        <v>0</v>
      </c>
      <c r="AS56" s="1">
        <f t="shared" si="15"/>
        <v>1</v>
      </c>
    </row>
    <row r="57" ht="15" customHeight="1" spans="1:45">
      <c r="A57" s="1">
        <f t="shared" si="4"/>
        <v>55</v>
      </c>
      <c r="C57" s="57" t="str">
        <f>tblIndiSets_2014_O!C129</f>
        <v>   4.2.8) Perceptions of safety</v>
      </c>
      <c r="D57" s="1" t="str">
        <f t="shared" si="0"/>
        <v>   4.2.8) Perceptions of safety</v>
      </c>
      <c r="F57" s="23">
        <f>INDEX(M57:Y57,uxb_works!$B$39)</f>
        <v>1</v>
      </c>
      <c r="G57" s="32"/>
      <c r="L57" s="1">
        <v>1</v>
      </c>
      <c r="M57" s="1">
        <v>1</v>
      </c>
      <c r="N57" s="1">
        <v>0</v>
      </c>
      <c r="O57" s="1">
        <v>0</v>
      </c>
      <c r="P57" s="1">
        <v>0</v>
      </c>
      <c r="Q57" s="1">
        <v>0</v>
      </c>
      <c r="R57" s="1">
        <v>0</v>
      </c>
      <c r="S57" s="1">
        <v>0</v>
      </c>
      <c r="T57" s="1">
        <v>0</v>
      </c>
      <c r="U57" s="1">
        <v>0</v>
      </c>
      <c r="V57" s="1">
        <v>0</v>
      </c>
      <c r="W57" s="1">
        <v>1</v>
      </c>
      <c r="X57" s="1">
        <v>0</v>
      </c>
      <c r="Y57" s="1">
        <v>1</v>
      </c>
      <c r="AC57" s="23">
        <f>INDEX(AG57:AT57,uxb_works!$B$39)</f>
        <v>0</v>
      </c>
      <c r="AF57" s="1">
        <v>1</v>
      </c>
      <c r="AG57" s="1">
        <v>0</v>
      </c>
      <c r="AH57" s="1">
        <f t="shared" si="5"/>
        <v>0</v>
      </c>
      <c r="AI57" s="1">
        <f t="shared" si="16"/>
        <v>0</v>
      </c>
      <c r="AJ57" s="1">
        <f t="shared" si="6"/>
        <v>0</v>
      </c>
      <c r="AK57" s="1">
        <f t="shared" si="7"/>
        <v>0</v>
      </c>
      <c r="AL57" s="1">
        <f t="shared" si="8"/>
        <v>0</v>
      </c>
      <c r="AM57" s="1">
        <f t="shared" si="9"/>
        <v>0</v>
      </c>
      <c r="AN57" s="1">
        <f t="shared" si="10"/>
        <v>0</v>
      </c>
      <c r="AO57" s="1">
        <f t="shared" si="11"/>
        <v>0</v>
      </c>
      <c r="AP57" s="1">
        <f t="shared" si="12"/>
        <v>0</v>
      </c>
      <c r="AQ57" s="1">
        <v>0</v>
      </c>
      <c r="AR57" s="1">
        <f t="shared" si="14"/>
        <v>0</v>
      </c>
      <c r="AS57" s="1">
        <f t="shared" si="15"/>
        <v>1</v>
      </c>
    </row>
  </sheetData>
  <pageMargins left="0.551181102362205" right="0.551181102362205" top="0.590551181102362" bottom="0.78740157480315" header="0.511811023622047" footer="0.511811023622047"/>
  <pageSetup paperSize="9" scale="27" orientation="landscape"/>
  <headerFooter alignWithMargins="0">
    <oddHeader>&amp;RSafe Cities Index : 2017</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FFC000"/>
    <pageSetUpPr fitToPage="1"/>
  </sheetPr>
  <dimension ref="A1:AS63"/>
  <sheetViews>
    <sheetView showRowColHeaders="0" zoomScale="90" zoomScaleNormal="90" workbookViewId="0">
      <pane xSplit="3" ySplit="1" topLeftCell="AD27" activePane="bottomRight" state="frozen"/>
      <selection/>
      <selection pane="topRight"/>
      <selection pane="bottomLeft"/>
      <selection pane="bottomRight" activeCell="AQ52" sqref="AQ52"/>
    </sheetView>
  </sheetViews>
  <sheetFormatPr defaultColWidth="9.14285714285714" defaultRowHeight="11.25"/>
  <cols>
    <col min="1" max="2" width="9.14285714285714" style="1"/>
    <col min="3" max="3" width="69.8571428571429" style="1" customWidth="1"/>
    <col min="4" max="4" width="9.14285714285714" style="1"/>
    <col min="5" max="5" width="6.42857142857143" style="1" customWidth="1"/>
    <col min="6" max="6" width="9.14285714285714" style="1"/>
    <col min="7" max="7" width="9.14285714285714" style="19"/>
    <col min="8" max="8" width="18.2857142857143" style="1" customWidth="1"/>
    <col min="9" max="26" width="9.14285714285714" style="1"/>
    <col min="27" max="27" width="9.14285714285714" style="53"/>
    <col min="28" max="29" width="9.14285714285714" style="20"/>
    <col min="30" max="16384" width="9.14285714285714" style="1"/>
  </cols>
  <sheetData>
    <row r="1" spans="1:45">
      <c r="A1" s="21" t="s">
        <v>373</v>
      </c>
      <c r="B1" s="21" t="s">
        <v>945</v>
      </c>
      <c r="C1" s="21" t="s">
        <v>97</v>
      </c>
      <c r="D1" s="21" t="s">
        <v>946</v>
      </c>
      <c r="E1" s="21" t="s">
        <v>947</v>
      </c>
      <c r="F1" s="54" t="s">
        <v>948</v>
      </c>
      <c r="G1" s="55" t="s">
        <v>949</v>
      </c>
      <c r="M1" s="1">
        <v>1</v>
      </c>
      <c r="N1" s="1">
        <v>2</v>
      </c>
      <c r="O1" s="1">
        <v>3</v>
      </c>
      <c r="P1" s="1">
        <v>4</v>
      </c>
      <c r="Q1" s="1">
        <v>5</v>
      </c>
      <c r="R1" s="1">
        <v>6</v>
      </c>
      <c r="S1" s="1">
        <v>7</v>
      </c>
      <c r="T1" s="1">
        <v>8</v>
      </c>
      <c r="U1" s="1">
        <v>9</v>
      </c>
      <c r="V1" s="1">
        <v>10</v>
      </c>
      <c r="W1" s="1">
        <v>11</v>
      </c>
      <c r="X1" s="1">
        <v>12</v>
      </c>
      <c r="Y1" s="1">
        <v>13</v>
      </c>
      <c r="AD1" s="1" t="s">
        <v>950</v>
      </c>
      <c r="AG1" s="1">
        <v>1</v>
      </c>
      <c r="AH1" s="1">
        <v>2</v>
      </c>
      <c r="AI1" s="1">
        <v>3</v>
      </c>
      <c r="AJ1" s="1">
        <v>4</v>
      </c>
      <c r="AK1" s="1">
        <v>5</v>
      </c>
      <c r="AL1" s="1">
        <v>6</v>
      </c>
      <c r="AM1" s="1">
        <v>7</v>
      </c>
      <c r="AN1" s="1">
        <v>8</v>
      </c>
      <c r="AO1" s="1">
        <v>9</v>
      </c>
      <c r="AP1" s="1">
        <v>10</v>
      </c>
      <c r="AQ1" s="1">
        <v>11</v>
      </c>
      <c r="AR1" s="1">
        <v>12</v>
      </c>
      <c r="AS1" s="1">
        <v>13</v>
      </c>
    </row>
    <row r="2" spans="1:45">
      <c r="A2" s="1">
        <v>0</v>
      </c>
      <c r="C2" s="1" t="s">
        <v>46</v>
      </c>
      <c r="D2" s="1" t="str">
        <f t="shared" ref="D2:D44" si="0">C2</f>
        <v>&lt;none&gt;</v>
      </c>
      <c r="F2" s="22">
        <v>0</v>
      </c>
      <c r="G2" s="56"/>
      <c r="I2" s="23"/>
      <c r="K2" s="1" t="s">
        <v>951</v>
      </c>
      <c r="M2" s="1" t="str">
        <f>INDEX($K$2:$K$7,M1)</f>
        <v>All</v>
      </c>
      <c r="N2" s="1" t="str">
        <f>INDEX($K$2:$K$14,N1)</f>
        <v> 1) DIGITAL SECURITY</v>
      </c>
      <c r="O2" s="1" t="str">
        <f t="shared" ref="O2:Y2" si="1">INDEX($K$2:$K$14,O1)</f>
        <v>  1.1) Digital security (Inputs)</v>
      </c>
      <c r="P2" s="1" t="str">
        <f t="shared" si="1"/>
        <v>  1.2) Digital security (Outputs)</v>
      </c>
      <c r="Q2" s="1" t="str">
        <f t="shared" si="1"/>
        <v> 2) HEALTH SECURITY</v>
      </c>
      <c r="R2" s="1" t="str">
        <f t="shared" si="1"/>
        <v>  2.1) Health security (Inputs)</v>
      </c>
      <c r="S2" s="1" t="str">
        <f t="shared" si="1"/>
        <v>  2.2) Health security (Outputs)</v>
      </c>
      <c r="T2" s="1" t="str">
        <f t="shared" si="1"/>
        <v> 3) INFRASTRUCTURE SECURITY</v>
      </c>
      <c r="U2" s="1" t="str">
        <f t="shared" si="1"/>
        <v>  3.1) Infrastructure security (Inputs)</v>
      </c>
      <c r="V2" s="1" t="str">
        <f t="shared" si="1"/>
        <v>  3.2) Infrastructure security (Outputs)</v>
      </c>
      <c r="W2" s="1" t="str">
        <f t="shared" si="1"/>
        <v> 4) PERSONAL SECURITY</v>
      </c>
      <c r="X2" s="1" t="str">
        <f t="shared" si="1"/>
        <v>  4.1) Personal security (Inputs)</v>
      </c>
      <c r="Y2" s="1" t="str">
        <f t="shared" si="1"/>
        <v>  4.2) Personal security (Outputs)</v>
      </c>
      <c r="AE2" s="1" t="s">
        <v>951</v>
      </c>
      <c r="AG2" s="1" t="str">
        <f>INDEX($K$2:$K$7,AG1)</f>
        <v>All</v>
      </c>
      <c r="AH2" s="1" t="str">
        <f>INDEX($K$2:$K$14,AH1)</f>
        <v> 1) DIGITAL SECURITY</v>
      </c>
      <c r="AI2" s="1" t="str">
        <f t="shared" ref="AI2:AS2" si="2">INDEX($K$2:$K$14,AI1)</f>
        <v>  1.1) Digital security (Inputs)</v>
      </c>
      <c r="AJ2" s="1" t="str">
        <f t="shared" si="2"/>
        <v>  1.2) Digital security (Outputs)</v>
      </c>
      <c r="AK2" s="1" t="str">
        <f t="shared" si="2"/>
        <v> 2) HEALTH SECURITY</v>
      </c>
      <c r="AL2" s="1" t="str">
        <f t="shared" si="2"/>
        <v>  2.1) Health security (Inputs)</v>
      </c>
      <c r="AM2" s="1" t="str">
        <f t="shared" si="2"/>
        <v>  2.2) Health security (Outputs)</v>
      </c>
      <c r="AN2" s="1" t="str">
        <f t="shared" si="2"/>
        <v> 3) INFRASTRUCTURE SECURITY</v>
      </c>
      <c r="AO2" s="1" t="str">
        <f t="shared" si="2"/>
        <v>  3.1) Infrastructure security (Inputs)</v>
      </c>
      <c r="AP2" s="1" t="str">
        <f t="shared" si="2"/>
        <v>  3.2) Infrastructure security (Outputs)</v>
      </c>
      <c r="AQ2" s="1" t="str">
        <f t="shared" si="2"/>
        <v> 4) PERSONAL SECURITY</v>
      </c>
      <c r="AR2" s="1" t="str">
        <f t="shared" si="2"/>
        <v>  4.1) Personal security (Inputs)</v>
      </c>
      <c r="AS2" s="1" t="str">
        <f t="shared" si="2"/>
        <v>  4.2) Personal security (Outputs)</v>
      </c>
    </row>
    <row r="3" ht="12.75" spans="1:45">
      <c r="A3" s="1">
        <f>A2+1</f>
        <v>1</v>
      </c>
      <c r="C3" s="57" t="str">
        <f>tblIndicators!AE3</f>
        <v>1) DIGITAL SECURITY</v>
      </c>
      <c r="D3" s="1" t="str">
        <f t="shared" si="0"/>
        <v>1) DIGITAL SECURITY</v>
      </c>
      <c r="F3" s="23">
        <f>INDEX(M3:Y3,uxb_works!$B$39)</f>
        <v>1</v>
      </c>
      <c r="G3" s="32"/>
      <c r="H3" s="1" t="s">
        <v>353</v>
      </c>
      <c r="I3" s="23">
        <f>uxb_works!B7</f>
        <v>0</v>
      </c>
      <c r="K3" s="1" t="str">
        <f>tblIndiSets!C79</f>
        <v> 1) DIGITAL SECURITY</v>
      </c>
      <c r="L3" s="1">
        <v>1</v>
      </c>
      <c r="M3" s="1">
        <v>1</v>
      </c>
      <c r="N3" s="1">
        <v>1</v>
      </c>
      <c r="O3" s="1">
        <v>0</v>
      </c>
      <c r="P3" s="1">
        <v>0</v>
      </c>
      <c r="Q3" s="1">
        <v>0</v>
      </c>
      <c r="R3" s="1">
        <v>0</v>
      </c>
      <c r="S3" s="1">
        <v>0</v>
      </c>
      <c r="T3" s="1">
        <v>0</v>
      </c>
      <c r="U3" s="1">
        <v>0</v>
      </c>
      <c r="V3" s="1">
        <v>0</v>
      </c>
      <c r="W3" s="1">
        <v>0</v>
      </c>
      <c r="X3" s="1">
        <v>0</v>
      </c>
      <c r="Y3" s="1">
        <v>0</v>
      </c>
      <c r="AC3" s="23">
        <f>INDEX(AG3:AT3,uxb_works!$B$39)</f>
        <v>1</v>
      </c>
      <c r="AE3" s="1" t="str">
        <f>K3</f>
        <v> 1) DIGITAL SECURITY</v>
      </c>
      <c r="AF3" s="1">
        <v>1</v>
      </c>
      <c r="AG3" s="1">
        <v>1</v>
      </c>
      <c r="AH3" s="1">
        <v>0</v>
      </c>
      <c r="AI3" s="1">
        <f t="shared" ref="AI3:AS18" si="3">O3</f>
        <v>0</v>
      </c>
      <c r="AJ3" s="1">
        <f t="shared" si="3"/>
        <v>0</v>
      </c>
      <c r="AK3" s="1">
        <f t="shared" si="3"/>
        <v>0</v>
      </c>
      <c r="AL3" s="1">
        <f t="shared" si="3"/>
        <v>0</v>
      </c>
      <c r="AM3" s="1">
        <f t="shared" si="3"/>
        <v>0</v>
      </c>
      <c r="AN3" s="1">
        <f t="shared" si="3"/>
        <v>0</v>
      </c>
      <c r="AO3" s="1">
        <f t="shared" si="3"/>
        <v>0</v>
      </c>
      <c r="AP3" s="1">
        <f t="shared" si="3"/>
        <v>0</v>
      </c>
      <c r="AQ3" s="1">
        <f t="shared" si="3"/>
        <v>0</v>
      </c>
      <c r="AR3" s="1">
        <f t="shared" si="3"/>
        <v>0</v>
      </c>
      <c r="AS3" s="1">
        <f t="shared" si="3"/>
        <v>0</v>
      </c>
    </row>
    <row r="4" ht="12.75" spans="1:45">
      <c r="A4" s="1">
        <f t="shared" ref="A4:A63" si="4">A3+1</f>
        <v>2</v>
      </c>
      <c r="C4" s="57" t="str">
        <f>tblIndicators!AE4</f>
        <v>1.1) Digital security (Inputs)</v>
      </c>
      <c r="D4" s="1" t="str">
        <f t="shared" si="0"/>
        <v>1.1) Digital security (Inputs)</v>
      </c>
      <c r="F4" s="23">
        <f>INDEX(M4:Y4,uxb_works!$B$39)</f>
        <v>1</v>
      </c>
      <c r="G4" s="32"/>
      <c r="H4" s="1" t="s">
        <v>952</v>
      </c>
      <c r="I4" s="23">
        <v>1</v>
      </c>
      <c r="K4" s="1" t="str">
        <f>tblIndiSets!C80</f>
        <v>  1.1) Digital security (Inputs)</v>
      </c>
      <c r="L4" s="1">
        <v>1</v>
      </c>
      <c r="M4" s="1">
        <v>1</v>
      </c>
      <c r="N4" s="1">
        <v>1</v>
      </c>
      <c r="O4" s="1">
        <v>0</v>
      </c>
      <c r="P4" s="1">
        <v>0</v>
      </c>
      <c r="Q4" s="1">
        <v>0</v>
      </c>
      <c r="R4" s="1">
        <v>0</v>
      </c>
      <c r="S4" s="1">
        <v>0</v>
      </c>
      <c r="T4" s="1">
        <v>0</v>
      </c>
      <c r="U4" s="1">
        <v>0</v>
      </c>
      <c r="V4" s="1">
        <v>0</v>
      </c>
      <c r="W4" s="1">
        <v>0</v>
      </c>
      <c r="X4" s="1">
        <v>0</v>
      </c>
      <c r="Y4" s="1">
        <v>0</v>
      </c>
      <c r="AC4" s="23">
        <f>INDEX(AG4:AT4,uxb_works!$B$39)</f>
        <v>0</v>
      </c>
      <c r="AE4" s="1" t="str">
        <f>K4</f>
        <v>  1.1) Digital security (Inputs)</v>
      </c>
      <c r="AF4" s="1">
        <v>1</v>
      </c>
      <c r="AG4" s="1">
        <v>0</v>
      </c>
      <c r="AH4" s="1">
        <f>N4</f>
        <v>1</v>
      </c>
      <c r="AI4" s="1">
        <f t="shared" si="3"/>
        <v>0</v>
      </c>
      <c r="AJ4" s="1">
        <f t="shared" si="3"/>
        <v>0</v>
      </c>
      <c r="AK4" s="1">
        <f t="shared" si="3"/>
        <v>0</v>
      </c>
      <c r="AL4" s="1">
        <f t="shared" si="3"/>
        <v>0</v>
      </c>
      <c r="AM4" s="1">
        <f t="shared" si="3"/>
        <v>0</v>
      </c>
      <c r="AN4" s="1">
        <f t="shared" si="3"/>
        <v>0</v>
      </c>
      <c r="AO4" s="1">
        <f t="shared" si="3"/>
        <v>0</v>
      </c>
      <c r="AP4" s="1">
        <f t="shared" si="3"/>
        <v>0</v>
      </c>
      <c r="AQ4" s="1">
        <f t="shared" si="3"/>
        <v>0</v>
      </c>
      <c r="AR4" s="1">
        <f t="shared" si="3"/>
        <v>0</v>
      </c>
      <c r="AS4" s="1">
        <f t="shared" si="3"/>
        <v>0</v>
      </c>
    </row>
    <row r="5" ht="12.75" spans="1:45">
      <c r="A5" s="1">
        <f t="shared" si="4"/>
        <v>3</v>
      </c>
      <c r="C5" s="57" t="str">
        <f>tblIndicators!AE5</f>
        <v>1.1.1) Privacy policy</v>
      </c>
      <c r="D5" s="1" t="str">
        <f t="shared" si="0"/>
        <v>1.1.1) Privacy policy</v>
      </c>
      <c r="F5" s="23">
        <f>INDEX(M5:Y5,uxb_works!$B$39)</f>
        <v>1</v>
      </c>
      <c r="G5" s="32"/>
      <c r="I5" s="23"/>
      <c r="K5" s="1" t="str">
        <f>tblIndiSets!C81</f>
        <v>  1.2) Digital security (Outputs)</v>
      </c>
      <c r="L5" s="1">
        <v>1</v>
      </c>
      <c r="M5" s="1">
        <v>1</v>
      </c>
      <c r="N5" s="1">
        <v>1</v>
      </c>
      <c r="O5" s="1">
        <v>1</v>
      </c>
      <c r="P5" s="1">
        <v>0</v>
      </c>
      <c r="Q5" s="1">
        <v>0</v>
      </c>
      <c r="R5" s="1">
        <v>0</v>
      </c>
      <c r="S5" s="1">
        <v>0</v>
      </c>
      <c r="T5" s="1">
        <v>0</v>
      </c>
      <c r="U5" s="1">
        <v>0</v>
      </c>
      <c r="V5" s="1">
        <v>0</v>
      </c>
      <c r="W5" s="1">
        <v>0</v>
      </c>
      <c r="X5" s="1">
        <v>0</v>
      </c>
      <c r="Y5" s="1">
        <v>0</v>
      </c>
      <c r="AC5" s="23">
        <f>INDEX(AG5:AT5,uxb_works!$B$39)</f>
        <v>0</v>
      </c>
      <c r="AE5" s="1" t="str">
        <f>K5</f>
        <v>  1.2) Digital security (Outputs)</v>
      </c>
      <c r="AF5" s="1">
        <v>1</v>
      </c>
      <c r="AG5" s="1">
        <v>0</v>
      </c>
      <c r="AH5" s="1">
        <v>0</v>
      </c>
      <c r="AI5" s="1">
        <f t="shared" si="3"/>
        <v>1</v>
      </c>
      <c r="AJ5" s="1">
        <f t="shared" si="3"/>
        <v>0</v>
      </c>
      <c r="AK5" s="1">
        <f t="shared" si="3"/>
        <v>0</v>
      </c>
      <c r="AL5" s="1">
        <f t="shared" si="3"/>
        <v>0</v>
      </c>
      <c r="AM5" s="1">
        <f t="shared" si="3"/>
        <v>0</v>
      </c>
      <c r="AN5" s="1">
        <f t="shared" si="3"/>
        <v>0</v>
      </c>
      <c r="AO5" s="1">
        <f t="shared" si="3"/>
        <v>0</v>
      </c>
      <c r="AP5" s="1">
        <f t="shared" si="3"/>
        <v>0</v>
      </c>
      <c r="AQ5" s="1">
        <f t="shared" si="3"/>
        <v>0</v>
      </c>
      <c r="AR5" s="1">
        <f t="shared" si="3"/>
        <v>0</v>
      </c>
      <c r="AS5" s="1">
        <f t="shared" si="3"/>
        <v>0</v>
      </c>
    </row>
    <row r="6" ht="12.75" spans="1:45">
      <c r="A6" s="1">
        <f t="shared" si="4"/>
        <v>4</v>
      </c>
      <c r="C6" s="57" t="str">
        <f>tblIndicators!AE6</f>
        <v>1.1.2) Citizen awareness of digital threats</v>
      </c>
      <c r="D6" s="1" t="str">
        <f t="shared" si="0"/>
        <v>1.1.2) Citizen awareness of digital threats</v>
      </c>
      <c r="F6" s="23">
        <f>INDEX(M6:Y6,uxb_works!$B$39)</f>
        <v>1</v>
      </c>
      <c r="G6" s="32"/>
      <c r="K6" s="1" t="str">
        <f>tblIndiSets!C82</f>
        <v> 2) HEALTH SECURITY</v>
      </c>
      <c r="L6" s="1">
        <v>1</v>
      </c>
      <c r="M6" s="1">
        <v>1</v>
      </c>
      <c r="N6" s="1">
        <v>1</v>
      </c>
      <c r="O6" s="1">
        <v>1</v>
      </c>
      <c r="P6" s="1">
        <v>0</v>
      </c>
      <c r="Q6" s="1">
        <v>0</v>
      </c>
      <c r="R6" s="1">
        <v>0</v>
      </c>
      <c r="S6" s="1">
        <v>0</v>
      </c>
      <c r="T6" s="1">
        <v>0</v>
      </c>
      <c r="U6" s="1">
        <v>0</v>
      </c>
      <c r="V6" s="1">
        <v>0</v>
      </c>
      <c r="W6" s="1">
        <v>0</v>
      </c>
      <c r="X6" s="1">
        <v>0</v>
      </c>
      <c r="Y6" s="1">
        <v>0</v>
      </c>
      <c r="AC6" s="23">
        <f>INDEX(AG6:AT6,uxb_works!$B$39)</f>
        <v>0</v>
      </c>
      <c r="AE6" s="1" t="str">
        <f>K6</f>
        <v> 2) HEALTH SECURITY</v>
      </c>
      <c r="AF6" s="1">
        <v>1</v>
      </c>
      <c r="AG6" s="1">
        <v>0</v>
      </c>
      <c r="AH6" s="1">
        <v>0</v>
      </c>
      <c r="AI6" s="1">
        <f t="shared" si="3"/>
        <v>1</v>
      </c>
      <c r="AJ6" s="1">
        <f t="shared" si="3"/>
        <v>0</v>
      </c>
      <c r="AK6" s="1">
        <f t="shared" si="3"/>
        <v>0</v>
      </c>
      <c r="AL6" s="1">
        <f t="shared" si="3"/>
        <v>0</v>
      </c>
      <c r="AM6" s="1">
        <f t="shared" si="3"/>
        <v>0</v>
      </c>
      <c r="AN6" s="1">
        <f t="shared" si="3"/>
        <v>0</v>
      </c>
      <c r="AO6" s="1">
        <f t="shared" si="3"/>
        <v>0</v>
      </c>
      <c r="AP6" s="1">
        <f t="shared" si="3"/>
        <v>0</v>
      </c>
      <c r="AQ6" s="1">
        <f t="shared" si="3"/>
        <v>0</v>
      </c>
      <c r="AR6" s="1">
        <f t="shared" si="3"/>
        <v>0</v>
      </c>
      <c r="AS6" s="1">
        <f t="shared" si="3"/>
        <v>0</v>
      </c>
    </row>
    <row r="7" ht="15" customHeight="1" spans="1:45">
      <c r="A7" s="1">
        <f t="shared" si="4"/>
        <v>5</v>
      </c>
      <c r="C7" s="57" t="str">
        <f>tblIndicators!AE7</f>
        <v>1.1.3) Public-private partnerships</v>
      </c>
      <c r="D7" s="1" t="str">
        <f t="shared" si="0"/>
        <v>1.1.3) Public-private partnerships</v>
      </c>
      <c r="F7" s="23">
        <f>INDEX(M7:Y7,uxb_works!$B$39)</f>
        <v>1</v>
      </c>
      <c r="G7" s="32"/>
      <c r="K7" s="1" t="str">
        <f>tblIndiSets!C83</f>
        <v>  2.1) Health security (Inputs)</v>
      </c>
      <c r="L7" s="1">
        <v>1</v>
      </c>
      <c r="M7" s="1">
        <v>1</v>
      </c>
      <c r="N7" s="1">
        <v>1</v>
      </c>
      <c r="O7" s="1">
        <v>1</v>
      </c>
      <c r="P7" s="1">
        <v>0</v>
      </c>
      <c r="Q7" s="1">
        <v>0</v>
      </c>
      <c r="R7" s="1">
        <v>0</v>
      </c>
      <c r="S7" s="1">
        <v>0</v>
      </c>
      <c r="T7" s="1">
        <v>0</v>
      </c>
      <c r="U7" s="1">
        <v>0</v>
      </c>
      <c r="V7" s="1">
        <v>0</v>
      </c>
      <c r="W7" s="1">
        <v>0</v>
      </c>
      <c r="X7" s="1">
        <v>0</v>
      </c>
      <c r="Y7" s="1">
        <v>0</v>
      </c>
      <c r="AC7" s="23">
        <f>INDEX(AG7:AT7,uxb_works!$B$39)</f>
        <v>0</v>
      </c>
      <c r="AF7" s="1">
        <v>1</v>
      </c>
      <c r="AG7" s="1">
        <v>0</v>
      </c>
      <c r="AH7" s="1">
        <v>0</v>
      </c>
      <c r="AI7" s="1">
        <f t="shared" si="3"/>
        <v>1</v>
      </c>
      <c r="AJ7" s="1">
        <f t="shared" si="3"/>
        <v>0</v>
      </c>
      <c r="AK7" s="1">
        <f t="shared" si="3"/>
        <v>0</v>
      </c>
      <c r="AL7" s="1">
        <f t="shared" si="3"/>
        <v>0</v>
      </c>
      <c r="AM7" s="1">
        <f t="shared" si="3"/>
        <v>0</v>
      </c>
      <c r="AN7" s="1">
        <f t="shared" si="3"/>
        <v>0</v>
      </c>
      <c r="AO7" s="1">
        <f t="shared" si="3"/>
        <v>0</v>
      </c>
      <c r="AP7" s="1">
        <f t="shared" si="3"/>
        <v>0</v>
      </c>
      <c r="AQ7" s="1">
        <f t="shared" si="3"/>
        <v>0</v>
      </c>
      <c r="AR7" s="1">
        <f t="shared" si="3"/>
        <v>0</v>
      </c>
      <c r="AS7" s="1">
        <f t="shared" si="3"/>
        <v>0</v>
      </c>
    </row>
    <row r="8" ht="15" customHeight="1" spans="1:45">
      <c r="A8" s="1">
        <f t="shared" si="4"/>
        <v>6</v>
      </c>
      <c r="C8" s="57" t="str">
        <f>tblIndicators!AE8</f>
        <v>1.1.4) Level of technology employed</v>
      </c>
      <c r="D8" s="1" t="str">
        <f t="shared" si="0"/>
        <v>1.1.4) Level of technology employed</v>
      </c>
      <c r="F8" s="23">
        <f>INDEX(M8:Y8,uxb_works!$B$39)</f>
        <v>1</v>
      </c>
      <c r="G8" s="32"/>
      <c r="K8" s="1" t="str">
        <f>tblIndiSets!C84</f>
        <v>  2.2) Health security (Outputs)</v>
      </c>
      <c r="L8" s="1">
        <v>1</v>
      </c>
      <c r="M8" s="1">
        <v>1</v>
      </c>
      <c r="N8" s="1">
        <v>1</v>
      </c>
      <c r="O8" s="1">
        <v>1</v>
      </c>
      <c r="P8" s="1">
        <v>0</v>
      </c>
      <c r="Q8" s="1">
        <v>0</v>
      </c>
      <c r="R8" s="1">
        <v>0</v>
      </c>
      <c r="S8" s="1">
        <v>0</v>
      </c>
      <c r="T8" s="1">
        <v>0</v>
      </c>
      <c r="U8" s="1">
        <v>0</v>
      </c>
      <c r="V8" s="1">
        <v>0</v>
      </c>
      <c r="W8" s="1">
        <v>0</v>
      </c>
      <c r="X8" s="1">
        <v>0</v>
      </c>
      <c r="Y8" s="1">
        <v>0</v>
      </c>
      <c r="AC8" s="23">
        <f>INDEX(AG8:AT8,uxb_works!$B$39)</f>
        <v>0</v>
      </c>
      <c r="AF8" s="1">
        <v>1</v>
      </c>
      <c r="AG8" s="1">
        <v>0</v>
      </c>
      <c r="AH8" s="1">
        <v>0</v>
      </c>
      <c r="AI8" s="1">
        <f t="shared" si="3"/>
        <v>1</v>
      </c>
      <c r="AJ8" s="1">
        <f t="shared" si="3"/>
        <v>0</v>
      </c>
      <c r="AK8" s="1">
        <f t="shared" si="3"/>
        <v>0</v>
      </c>
      <c r="AL8" s="1">
        <f t="shared" si="3"/>
        <v>0</v>
      </c>
      <c r="AM8" s="1">
        <f t="shared" si="3"/>
        <v>0</v>
      </c>
      <c r="AN8" s="1">
        <f t="shared" si="3"/>
        <v>0</v>
      </c>
      <c r="AO8" s="1">
        <f t="shared" si="3"/>
        <v>0</v>
      </c>
      <c r="AP8" s="1">
        <f t="shared" si="3"/>
        <v>0</v>
      </c>
      <c r="AQ8" s="1">
        <f t="shared" si="3"/>
        <v>0</v>
      </c>
      <c r="AR8" s="1">
        <f t="shared" si="3"/>
        <v>0</v>
      </c>
      <c r="AS8" s="1">
        <f t="shared" si="3"/>
        <v>0</v>
      </c>
    </row>
    <row r="9" ht="15" customHeight="1" spans="1:45">
      <c r="A9" s="1">
        <f t="shared" si="4"/>
        <v>7</v>
      </c>
      <c r="C9" s="57" t="str">
        <f>tblIndicators!AE9</f>
        <v>1.1.5) Dedicated cyber security teams</v>
      </c>
      <c r="D9" s="1" t="str">
        <f t="shared" si="0"/>
        <v>1.1.5) Dedicated cyber security teams</v>
      </c>
      <c r="F9" s="23">
        <f>INDEX(M9:Y9,uxb_works!$B$39)</f>
        <v>1</v>
      </c>
      <c r="G9" s="32"/>
      <c r="K9" s="1" t="str">
        <f>tblIndiSets!C85</f>
        <v> 3) INFRASTRUCTURE SECURITY</v>
      </c>
      <c r="L9" s="1">
        <v>1</v>
      </c>
      <c r="M9" s="1">
        <v>1</v>
      </c>
      <c r="N9" s="1">
        <v>1</v>
      </c>
      <c r="O9" s="1">
        <v>1</v>
      </c>
      <c r="P9" s="1">
        <v>0</v>
      </c>
      <c r="Q9" s="1">
        <v>0</v>
      </c>
      <c r="R9" s="1">
        <v>0</v>
      </c>
      <c r="S9" s="1">
        <v>0</v>
      </c>
      <c r="T9" s="1">
        <v>0</v>
      </c>
      <c r="U9" s="1">
        <v>0</v>
      </c>
      <c r="V9" s="1">
        <v>0</v>
      </c>
      <c r="W9" s="1">
        <v>0</v>
      </c>
      <c r="X9" s="1">
        <v>0</v>
      </c>
      <c r="Y9" s="1">
        <v>0</v>
      </c>
      <c r="AC9" s="23">
        <f>INDEX(AG9:AT9,uxb_works!$B$39)</f>
        <v>0</v>
      </c>
      <c r="AF9" s="1">
        <v>1</v>
      </c>
      <c r="AG9" s="1">
        <v>0</v>
      </c>
      <c r="AH9" s="1">
        <v>0</v>
      </c>
      <c r="AI9" s="1">
        <f t="shared" si="3"/>
        <v>1</v>
      </c>
      <c r="AJ9" s="1">
        <f t="shared" si="3"/>
        <v>0</v>
      </c>
      <c r="AK9" s="1">
        <f t="shared" si="3"/>
        <v>0</v>
      </c>
      <c r="AL9" s="1">
        <f t="shared" si="3"/>
        <v>0</v>
      </c>
      <c r="AM9" s="1">
        <f t="shared" si="3"/>
        <v>0</v>
      </c>
      <c r="AN9" s="1">
        <f t="shared" si="3"/>
        <v>0</v>
      </c>
      <c r="AO9" s="1">
        <f t="shared" si="3"/>
        <v>0</v>
      </c>
      <c r="AP9" s="1">
        <f t="shared" si="3"/>
        <v>0</v>
      </c>
      <c r="AQ9" s="1">
        <f t="shared" si="3"/>
        <v>0</v>
      </c>
      <c r="AR9" s="1">
        <f t="shared" si="3"/>
        <v>0</v>
      </c>
      <c r="AS9" s="1">
        <f t="shared" si="3"/>
        <v>0</v>
      </c>
    </row>
    <row r="10" ht="15" customHeight="1" spans="1:45">
      <c r="A10" s="1">
        <f t="shared" si="4"/>
        <v>8</v>
      </c>
      <c r="C10" s="57" t="str">
        <f>tblIndicators!AE10</f>
        <v>1.2) Digital security (Outputs)</v>
      </c>
      <c r="D10" s="1" t="str">
        <f t="shared" si="0"/>
        <v>1.2) Digital security (Outputs)</v>
      </c>
      <c r="F10" s="23">
        <f>INDEX(M10:Y10,uxb_works!$B$39)</f>
        <v>1</v>
      </c>
      <c r="G10" s="32"/>
      <c r="K10" s="1" t="str">
        <f>tblIndiSets!C86</f>
        <v>  3.1) Infrastructure security (Inputs)</v>
      </c>
      <c r="L10" s="1">
        <v>1</v>
      </c>
      <c r="M10" s="1">
        <v>1</v>
      </c>
      <c r="N10" s="1">
        <v>1</v>
      </c>
      <c r="O10" s="1">
        <v>0</v>
      </c>
      <c r="P10" s="1">
        <v>0</v>
      </c>
      <c r="Q10" s="1">
        <v>0</v>
      </c>
      <c r="R10" s="1">
        <v>0</v>
      </c>
      <c r="S10" s="1">
        <v>0</v>
      </c>
      <c r="T10" s="1">
        <v>0</v>
      </c>
      <c r="U10" s="1">
        <v>0</v>
      </c>
      <c r="V10" s="1">
        <v>0</v>
      </c>
      <c r="W10" s="1">
        <v>0</v>
      </c>
      <c r="X10" s="1">
        <v>0</v>
      </c>
      <c r="Y10" s="1">
        <v>0</v>
      </c>
      <c r="AC10" s="23">
        <f>INDEX(AG10:AT10,uxb_works!$B$39)</f>
        <v>0</v>
      </c>
      <c r="AF10" s="1">
        <v>1</v>
      </c>
      <c r="AG10" s="1">
        <v>0</v>
      </c>
      <c r="AH10" s="1">
        <f>N10</f>
        <v>1</v>
      </c>
      <c r="AI10" s="1">
        <f t="shared" si="3"/>
        <v>0</v>
      </c>
      <c r="AJ10" s="1">
        <f t="shared" si="3"/>
        <v>0</v>
      </c>
      <c r="AK10" s="1">
        <f t="shared" si="3"/>
        <v>0</v>
      </c>
      <c r="AL10" s="1">
        <f t="shared" si="3"/>
        <v>0</v>
      </c>
      <c r="AM10" s="1">
        <f t="shared" si="3"/>
        <v>0</v>
      </c>
      <c r="AN10" s="1">
        <f t="shared" si="3"/>
        <v>0</v>
      </c>
      <c r="AO10" s="1">
        <f t="shared" si="3"/>
        <v>0</v>
      </c>
      <c r="AP10" s="1">
        <f t="shared" si="3"/>
        <v>0</v>
      </c>
      <c r="AQ10" s="1">
        <f t="shared" si="3"/>
        <v>0</v>
      </c>
      <c r="AR10" s="1">
        <f t="shared" si="3"/>
        <v>0</v>
      </c>
      <c r="AS10" s="1">
        <f t="shared" si="3"/>
        <v>0</v>
      </c>
    </row>
    <row r="11" ht="15" customHeight="1" spans="1:45">
      <c r="A11" s="1">
        <f t="shared" si="4"/>
        <v>9</v>
      </c>
      <c r="C11" s="57" t="str">
        <f>tblIndicators!AE11</f>
        <v>1.2.1) Frequency of identity theft</v>
      </c>
      <c r="D11" s="1" t="str">
        <f t="shared" si="0"/>
        <v>1.2.1) Frequency of identity theft</v>
      </c>
      <c r="F11" s="23">
        <f>INDEX(M11:Y11,uxb_works!$B$39)</f>
        <v>1</v>
      </c>
      <c r="G11" s="32"/>
      <c r="K11" s="1" t="str">
        <f>tblIndiSets!C87</f>
        <v>  3.2) Infrastructure security (Outputs)</v>
      </c>
      <c r="L11" s="1">
        <v>1</v>
      </c>
      <c r="M11" s="1">
        <v>1</v>
      </c>
      <c r="N11" s="1">
        <v>1</v>
      </c>
      <c r="O11" s="1">
        <v>0</v>
      </c>
      <c r="P11" s="1">
        <v>1</v>
      </c>
      <c r="Q11" s="1">
        <v>0</v>
      </c>
      <c r="R11" s="1">
        <v>0</v>
      </c>
      <c r="S11" s="1">
        <v>0</v>
      </c>
      <c r="T11" s="1">
        <v>0</v>
      </c>
      <c r="U11" s="1">
        <v>0</v>
      </c>
      <c r="V11" s="1">
        <v>0</v>
      </c>
      <c r="W11" s="1">
        <v>0</v>
      </c>
      <c r="X11" s="1">
        <v>0</v>
      </c>
      <c r="Y11" s="1">
        <v>0</v>
      </c>
      <c r="AC11" s="23">
        <f>INDEX(AG11:AT11,uxb_works!$B$39)</f>
        <v>0</v>
      </c>
      <c r="AF11" s="1">
        <v>1</v>
      </c>
      <c r="AG11" s="1">
        <v>0</v>
      </c>
      <c r="AH11" s="1">
        <v>0</v>
      </c>
      <c r="AI11" s="1">
        <f t="shared" si="3"/>
        <v>0</v>
      </c>
      <c r="AJ11" s="1">
        <f t="shared" si="3"/>
        <v>1</v>
      </c>
      <c r="AK11" s="1">
        <f t="shared" si="3"/>
        <v>0</v>
      </c>
      <c r="AL11" s="1">
        <f t="shared" si="3"/>
        <v>0</v>
      </c>
      <c r="AM11" s="1">
        <f t="shared" si="3"/>
        <v>0</v>
      </c>
      <c r="AN11" s="1">
        <f t="shared" si="3"/>
        <v>0</v>
      </c>
      <c r="AO11" s="1">
        <f t="shared" si="3"/>
        <v>0</v>
      </c>
      <c r="AP11" s="1">
        <f t="shared" si="3"/>
        <v>0</v>
      </c>
      <c r="AQ11" s="1">
        <f t="shared" si="3"/>
        <v>0</v>
      </c>
      <c r="AR11" s="1">
        <f t="shared" si="3"/>
        <v>0</v>
      </c>
      <c r="AS11" s="1">
        <f t="shared" si="3"/>
        <v>0</v>
      </c>
    </row>
    <row r="12" ht="15" customHeight="1" spans="1:45">
      <c r="A12" s="1">
        <f t="shared" si="4"/>
        <v>10</v>
      </c>
      <c r="C12" s="57" t="str">
        <f>tblIndicators!AE12</f>
        <v>1.2.2) Percentage of computers infected</v>
      </c>
      <c r="D12" s="1" t="str">
        <f t="shared" si="0"/>
        <v>1.2.2) Percentage of computers infected</v>
      </c>
      <c r="F12" s="23">
        <f>INDEX(M12:Y12,uxb_works!$B$39)</f>
        <v>1</v>
      </c>
      <c r="G12" s="32"/>
      <c r="K12" s="1" t="str">
        <f>tblIndiSets!C88</f>
        <v> 4) PERSONAL SECURITY</v>
      </c>
      <c r="L12" s="1">
        <v>1</v>
      </c>
      <c r="M12" s="1">
        <v>1</v>
      </c>
      <c r="N12" s="1">
        <v>1</v>
      </c>
      <c r="O12" s="1">
        <v>0</v>
      </c>
      <c r="P12" s="1">
        <v>1</v>
      </c>
      <c r="Q12" s="1">
        <v>0</v>
      </c>
      <c r="R12" s="1">
        <v>0</v>
      </c>
      <c r="S12" s="1">
        <v>0</v>
      </c>
      <c r="T12" s="1">
        <v>0</v>
      </c>
      <c r="U12" s="1">
        <v>0</v>
      </c>
      <c r="V12" s="1">
        <v>0</v>
      </c>
      <c r="W12" s="1">
        <v>0</v>
      </c>
      <c r="X12" s="1">
        <v>0</v>
      </c>
      <c r="Y12" s="1">
        <v>0</v>
      </c>
      <c r="AC12" s="23">
        <f>INDEX(AG12:AT12,uxb_works!$B$39)</f>
        <v>0</v>
      </c>
      <c r="AF12" s="1">
        <v>1</v>
      </c>
      <c r="AG12" s="1">
        <v>0</v>
      </c>
      <c r="AH12" s="1">
        <v>0</v>
      </c>
      <c r="AI12" s="1">
        <f t="shared" si="3"/>
        <v>0</v>
      </c>
      <c r="AJ12" s="1">
        <f t="shared" si="3"/>
        <v>1</v>
      </c>
      <c r="AK12" s="1">
        <f t="shared" si="3"/>
        <v>0</v>
      </c>
      <c r="AL12" s="1">
        <f t="shared" si="3"/>
        <v>0</v>
      </c>
      <c r="AM12" s="1">
        <f t="shared" si="3"/>
        <v>0</v>
      </c>
      <c r="AN12" s="1">
        <f t="shared" si="3"/>
        <v>0</v>
      </c>
      <c r="AO12" s="1">
        <f t="shared" si="3"/>
        <v>0</v>
      </c>
      <c r="AP12" s="1">
        <f t="shared" si="3"/>
        <v>0</v>
      </c>
      <c r="AQ12" s="1">
        <f t="shared" si="3"/>
        <v>0</v>
      </c>
      <c r="AR12" s="1">
        <f t="shared" si="3"/>
        <v>0</v>
      </c>
      <c r="AS12" s="1">
        <f t="shared" si="3"/>
        <v>0</v>
      </c>
    </row>
    <row r="13" ht="15" customHeight="1" spans="1:45">
      <c r="A13" s="1">
        <f t="shared" si="4"/>
        <v>11</v>
      </c>
      <c r="C13" s="57" t="str">
        <f>tblIndicators!AE13</f>
        <v>1.2.3) Percentage with Internet access</v>
      </c>
      <c r="D13" s="1" t="str">
        <f t="shared" si="0"/>
        <v>1.2.3) Percentage with Internet access</v>
      </c>
      <c r="F13" s="23">
        <f>INDEX(M13:Y13,uxb_works!$B$39)</f>
        <v>1</v>
      </c>
      <c r="G13" s="32"/>
      <c r="K13" s="1" t="str">
        <f>tblIndiSets!C89</f>
        <v>  4.1) Personal security (Inputs)</v>
      </c>
      <c r="L13" s="1">
        <v>1</v>
      </c>
      <c r="M13" s="1">
        <v>1</v>
      </c>
      <c r="N13" s="1">
        <v>1</v>
      </c>
      <c r="O13" s="1">
        <v>0</v>
      </c>
      <c r="P13" s="1">
        <v>1</v>
      </c>
      <c r="Q13" s="1">
        <v>0</v>
      </c>
      <c r="R13" s="1">
        <v>0</v>
      </c>
      <c r="S13" s="1">
        <v>0</v>
      </c>
      <c r="T13" s="1">
        <v>0</v>
      </c>
      <c r="U13" s="1">
        <v>0</v>
      </c>
      <c r="V13" s="1">
        <v>0</v>
      </c>
      <c r="W13" s="1">
        <v>0</v>
      </c>
      <c r="X13" s="1">
        <v>0</v>
      </c>
      <c r="Y13" s="1">
        <v>0</v>
      </c>
      <c r="AC13" s="23">
        <f>INDEX(AG13:AT13,uxb_works!$B$39)</f>
        <v>0</v>
      </c>
      <c r="AF13" s="1">
        <v>1</v>
      </c>
      <c r="AG13" s="1">
        <v>0</v>
      </c>
      <c r="AH13" s="1">
        <v>0</v>
      </c>
      <c r="AI13" s="1">
        <f t="shared" si="3"/>
        <v>0</v>
      </c>
      <c r="AJ13" s="1">
        <f t="shared" si="3"/>
        <v>1</v>
      </c>
      <c r="AK13" s="1">
        <f t="shared" si="3"/>
        <v>0</v>
      </c>
      <c r="AL13" s="1">
        <f t="shared" si="3"/>
        <v>0</v>
      </c>
      <c r="AM13" s="1">
        <f t="shared" si="3"/>
        <v>0</v>
      </c>
      <c r="AN13" s="1">
        <f t="shared" si="3"/>
        <v>0</v>
      </c>
      <c r="AO13" s="1">
        <f t="shared" si="3"/>
        <v>0</v>
      </c>
      <c r="AP13" s="1">
        <f t="shared" si="3"/>
        <v>0</v>
      </c>
      <c r="AQ13" s="1">
        <f t="shared" si="3"/>
        <v>0</v>
      </c>
      <c r="AR13" s="1">
        <f t="shared" si="3"/>
        <v>0</v>
      </c>
      <c r="AS13" s="1">
        <f t="shared" si="3"/>
        <v>0</v>
      </c>
    </row>
    <row r="14" ht="15" customHeight="1" spans="1:45">
      <c r="A14" s="1">
        <f t="shared" si="4"/>
        <v>12</v>
      </c>
      <c r="C14" s="57" t="str">
        <f>tblIndicators!AE14</f>
        <v>2) HEALTH SECURITY</v>
      </c>
      <c r="D14" s="1" t="str">
        <f t="shared" si="0"/>
        <v>2) HEALTH SECURITY</v>
      </c>
      <c r="F14" s="23">
        <f>INDEX(M14:Y14,uxb_works!$B$39)</f>
        <v>1</v>
      </c>
      <c r="G14" s="32"/>
      <c r="K14" s="1" t="str">
        <f>tblIndiSets!C90</f>
        <v>  4.2) Personal security (Outputs)</v>
      </c>
      <c r="L14" s="1">
        <v>1</v>
      </c>
      <c r="M14" s="1">
        <v>1</v>
      </c>
      <c r="N14" s="1">
        <v>0</v>
      </c>
      <c r="O14" s="1">
        <v>0</v>
      </c>
      <c r="P14" s="1">
        <v>0</v>
      </c>
      <c r="Q14" s="1">
        <v>1</v>
      </c>
      <c r="R14" s="1">
        <v>0</v>
      </c>
      <c r="S14" s="1">
        <v>0</v>
      </c>
      <c r="T14" s="1">
        <v>0</v>
      </c>
      <c r="U14" s="1">
        <v>0</v>
      </c>
      <c r="V14" s="1">
        <v>0</v>
      </c>
      <c r="W14" s="1">
        <v>0</v>
      </c>
      <c r="X14" s="1">
        <v>0</v>
      </c>
      <c r="Y14" s="1">
        <v>0</v>
      </c>
      <c r="AC14" s="23">
        <f>INDEX(AG14:AT14,uxb_works!$B$39)</f>
        <v>1</v>
      </c>
      <c r="AF14" s="1">
        <v>1</v>
      </c>
      <c r="AG14" s="1">
        <v>1</v>
      </c>
      <c r="AH14" s="1">
        <v>0</v>
      </c>
      <c r="AI14" s="1">
        <f t="shared" si="3"/>
        <v>0</v>
      </c>
      <c r="AJ14" s="1">
        <f t="shared" si="3"/>
        <v>0</v>
      </c>
      <c r="AK14" s="1">
        <v>0</v>
      </c>
      <c r="AL14" s="1">
        <f t="shared" si="3"/>
        <v>0</v>
      </c>
      <c r="AM14" s="1">
        <f t="shared" si="3"/>
        <v>0</v>
      </c>
      <c r="AN14" s="1">
        <f t="shared" si="3"/>
        <v>0</v>
      </c>
      <c r="AO14" s="1">
        <f t="shared" si="3"/>
        <v>0</v>
      </c>
      <c r="AP14" s="1">
        <f t="shared" si="3"/>
        <v>0</v>
      </c>
      <c r="AQ14" s="1">
        <f t="shared" si="3"/>
        <v>0</v>
      </c>
      <c r="AR14" s="1">
        <f t="shared" si="3"/>
        <v>0</v>
      </c>
      <c r="AS14" s="1">
        <f t="shared" si="3"/>
        <v>0</v>
      </c>
    </row>
    <row r="15" ht="15" customHeight="1" spans="1:45">
      <c r="A15" s="1">
        <f t="shared" si="4"/>
        <v>13</v>
      </c>
      <c r="C15" s="57" t="str">
        <f>tblIndicators!AE15</f>
        <v>2.1) Health security (Inputs)</v>
      </c>
      <c r="D15" s="1" t="str">
        <f t="shared" si="0"/>
        <v>2.1) Health security (Inputs)</v>
      </c>
      <c r="F15" s="23">
        <f>INDEX(M15:Y15,uxb_works!$B$39)</f>
        <v>1</v>
      </c>
      <c r="G15" s="32"/>
      <c r="L15" s="1">
        <v>1</v>
      </c>
      <c r="M15" s="1">
        <v>1</v>
      </c>
      <c r="N15" s="1">
        <v>0</v>
      </c>
      <c r="O15" s="1">
        <v>0</v>
      </c>
      <c r="P15" s="1">
        <v>0</v>
      </c>
      <c r="Q15" s="1">
        <v>1</v>
      </c>
      <c r="R15" s="1">
        <v>0</v>
      </c>
      <c r="S15" s="1">
        <v>0</v>
      </c>
      <c r="T15" s="1">
        <v>0</v>
      </c>
      <c r="U15" s="1">
        <v>0</v>
      </c>
      <c r="V15" s="1">
        <v>0</v>
      </c>
      <c r="W15" s="1">
        <v>0</v>
      </c>
      <c r="X15" s="1">
        <v>0</v>
      </c>
      <c r="Y15" s="1">
        <v>0</v>
      </c>
      <c r="AC15" s="23">
        <f>INDEX(AG15:AT15,uxb_works!$B$39)</f>
        <v>0</v>
      </c>
      <c r="AF15" s="1">
        <v>1</v>
      </c>
      <c r="AG15" s="1">
        <v>0</v>
      </c>
      <c r="AH15" s="1">
        <f t="shared" ref="AH15:AH44" si="5">N15</f>
        <v>0</v>
      </c>
      <c r="AI15" s="1">
        <f t="shared" si="3"/>
        <v>0</v>
      </c>
      <c r="AJ15" s="1">
        <f t="shared" si="3"/>
        <v>0</v>
      </c>
      <c r="AK15" s="1">
        <f t="shared" si="3"/>
        <v>1</v>
      </c>
      <c r="AL15" s="1">
        <f t="shared" si="3"/>
        <v>0</v>
      </c>
      <c r="AM15" s="1">
        <f t="shared" si="3"/>
        <v>0</v>
      </c>
      <c r="AN15" s="1">
        <f t="shared" si="3"/>
        <v>0</v>
      </c>
      <c r="AO15" s="1">
        <f t="shared" si="3"/>
        <v>0</v>
      </c>
      <c r="AP15" s="1">
        <f t="shared" si="3"/>
        <v>0</v>
      </c>
      <c r="AQ15" s="1">
        <f t="shared" si="3"/>
        <v>0</v>
      </c>
      <c r="AR15" s="1">
        <f t="shared" si="3"/>
        <v>0</v>
      </c>
      <c r="AS15" s="1">
        <f t="shared" si="3"/>
        <v>0</v>
      </c>
    </row>
    <row r="16" ht="15" customHeight="1" spans="1:45">
      <c r="A16" s="1">
        <f t="shared" si="4"/>
        <v>14</v>
      </c>
      <c r="C16" s="57" t="str">
        <f>tblIndicators!AE16</f>
        <v>2.1.1) Environmental policies</v>
      </c>
      <c r="D16" s="1" t="str">
        <f t="shared" si="0"/>
        <v>2.1.1) Environmental policies</v>
      </c>
      <c r="F16" s="23">
        <f>INDEX(M16:Y16,uxb_works!$B$39)</f>
        <v>1</v>
      </c>
      <c r="G16" s="32"/>
      <c r="L16" s="1">
        <v>1</v>
      </c>
      <c r="M16" s="1">
        <v>1</v>
      </c>
      <c r="N16" s="1">
        <v>0</v>
      </c>
      <c r="O16" s="1">
        <v>0</v>
      </c>
      <c r="P16" s="1">
        <v>0</v>
      </c>
      <c r="Q16" s="1">
        <v>1</v>
      </c>
      <c r="R16" s="1">
        <v>1</v>
      </c>
      <c r="S16" s="1">
        <v>0</v>
      </c>
      <c r="T16" s="1">
        <v>0</v>
      </c>
      <c r="U16" s="1">
        <v>0</v>
      </c>
      <c r="V16" s="1">
        <v>0</v>
      </c>
      <c r="W16" s="1">
        <v>0</v>
      </c>
      <c r="X16" s="1">
        <v>0</v>
      </c>
      <c r="Y16" s="1">
        <v>0</v>
      </c>
      <c r="AC16" s="23">
        <f>INDEX(AG16:AT16,uxb_works!$B$39)</f>
        <v>0</v>
      </c>
      <c r="AF16" s="1">
        <v>1</v>
      </c>
      <c r="AG16" s="1">
        <v>0</v>
      </c>
      <c r="AH16" s="1">
        <f t="shared" si="5"/>
        <v>0</v>
      </c>
      <c r="AI16" s="1">
        <f t="shared" si="3"/>
        <v>0</v>
      </c>
      <c r="AJ16" s="1">
        <f t="shared" si="3"/>
        <v>0</v>
      </c>
      <c r="AK16" s="1">
        <v>0</v>
      </c>
      <c r="AL16" s="1">
        <f t="shared" si="3"/>
        <v>1</v>
      </c>
      <c r="AM16" s="1">
        <f t="shared" si="3"/>
        <v>0</v>
      </c>
      <c r="AN16" s="1">
        <f t="shared" si="3"/>
        <v>0</v>
      </c>
      <c r="AO16" s="1">
        <f t="shared" si="3"/>
        <v>0</v>
      </c>
      <c r="AP16" s="1">
        <f t="shared" si="3"/>
        <v>0</v>
      </c>
      <c r="AQ16" s="1">
        <f t="shared" si="3"/>
        <v>0</v>
      </c>
      <c r="AR16" s="1">
        <f t="shared" si="3"/>
        <v>0</v>
      </c>
      <c r="AS16" s="1">
        <f t="shared" si="3"/>
        <v>0</v>
      </c>
    </row>
    <row r="17" ht="15" customHeight="1" spans="1:45">
      <c r="A17" s="1">
        <f t="shared" si="4"/>
        <v>15</v>
      </c>
      <c r="C17" s="57" t="str">
        <f>tblIndicators!AE17</f>
        <v>2.1.2) Access to healthcare</v>
      </c>
      <c r="D17" s="1" t="str">
        <f t="shared" si="0"/>
        <v>2.1.2) Access to healthcare</v>
      </c>
      <c r="F17" s="23">
        <f>INDEX(M17:Y17,uxb_works!$B$39)</f>
        <v>1</v>
      </c>
      <c r="G17" s="32"/>
      <c r="L17" s="1">
        <v>1</v>
      </c>
      <c r="M17" s="1">
        <v>1</v>
      </c>
      <c r="N17" s="1">
        <v>0</v>
      </c>
      <c r="O17" s="1">
        <v>0</v>
      </c>
      <c r="P17" s="1">
        <v>0</v>
      </c>
      <c r="Q17" s="1">
        <v>1</v>
      </c>
      <c r="R17" s="1">
        <v>1</v>
      </c>
      <c r="S17" s="1">
        <v>0</v>
      </c>
      <c r="T17" s="1">
        <v>0</v>
      </c>
      <c r="U17" s="1">
        <v>0</v>
      </c>
      <c r="V17" s="1">
        <v>0</v>
      </c>
      <c r="W17" s="1">
        <v>0</v>
      </c>
      <c r="X17" s="1">
        <v>0</v>
      </c>
      <c r="Y17" s="1">
        <v>0</v>
      </c>
      <c r="AC17" s="23">
        <f>INDEX(AG17:AT17,uxb_works!$B$39)</f>
        <v>0</v>
      </c>
      <c r="AF17" s="1">
        <v>1</v>
      </c>
      <c r="AG17" s="1">
        <v>0</v>
      </c>
      <c r="AH17" s="1">
        <f t="shared" si="5"/>
        <v>0</v>
      </c>
      <c r="AI17" s="1">
        <f t="shared" si="3"/>
        <v>0</v>
      </c>
      <c r="AJ17" s="1">
        <f t="shared" si="3"/>
        <v>0</v>
      </c>
      <c r="AK17" s="1">
        <v>0</v>
      </c>
      <c r="AL17" s="1">
        <f t="shared" si="3"/>
        <v>1</v>
      </c>
      <c r="AM17" s="1">
        <f t="shared" si="3"/>
        <v>0</v>
      </c>
      <c r="AN17" s="1">
        <f t="shared" si="3"/>
        <v>0</v>
      </c>
      <c r="AO17" s="1">
        <f t="shared" si="3"/>
        <v>0</v>
      </c>
      <c r="AP17" s="1">
        <f t="shared" si="3"/>
        <v>0</v>
      </c>
      <c r="AQ17" s="1">
        <f t="shared" si="3"/>
        <v>0</v>
      </c>
      <c r="AR17" s="1">
        <f t="shared" si="3"/>
        <v>0</v>
      </c>
      <c r="AS17" s="1">
        <f t="shared" si="3"/>
        <v>0</v>
      </c>
    </row>
    <row r="18" ht="15" customHeight="1" spans="1:45">
      <c r="A18" s="1">
        <f t="shared" si="4"/>
        <v>16</v>
      </c>
      <c r="C18" s="57" t="str">
        <f>tblIndicators!AE18</f>
        <v>2.1.3) No. of beds per 1,000</v>
      </c>
      <c r="D18" s="1" t="str">
        <f t="shared" si="0"/>
        <v>2.1.3) No. of beds per 1,000</v>
      </c>
      <c r="F18" s="23">
        <f>INDEX(M18:Y18,uxb_works!$B$39)</f>
        <v>1</v>
      </c>
      <c r="G18" s="32"/>
      <c r="L18" s="1">
        <v>1</v>
      </c>
      <c r="M18" s="1">
        <v>1</v>
      </c>
      <c r="N18" s="1">
        <v>0</v>
      </c>
      <c r="O18" s="1">
        <v>0</v>
      </c>
      <c r="P18" s="1">
        <v>0</v>
      </c>
      <c r="Q18" s="1">
        <v>1</v>
      </c>
      <c r="R18" s="1">
        <v>1</v>
      </c>
      <c r="S18" s="1">
        <v>0</v>
      </c>
      <c r="T18" s="1">
        <v>0</v>
      </c>
      <c r="U18" s="1">
        <v>0</v>
      </c>
      <c r="V18" s="1">
        <v>0</v>
      </c>
      <c r="W18" s="1">
        <v>0</v>
      </c>
      <c r="X18" s="1">
        <v>0</v>
      </c>
      <c r="Y18" s="1">
        <v>0</v>
      </c>
      <c r="AC18" s="23">
        <f>INDEX(AG18:AT18,uxb_works!$B$39)</f>
        <v>0</v>
      </c>
      <c r="AF18" s="1">
        <v>1</v>
      </c>
      <c r="AG18" s="1">
        <v>0</v>
      </c>
      <c r="AH18" s="1">
        <f t="shared" si="5"/>
        <v>0</v>
      </c>
      <c r="AI18" s="1">
        <f t="shared" si="3"/>
        <v>0</v>
      </c>
      <c r="AJ18" s="1">
        <f t="shared" si="3"/>
        <v>0</v>
      </c>
      <c r="AK18" s="1">
        <v>0</v>
      </c>
      <c r="AL18" s="1">
        <f t="shared" si="3"/>
        <v>1</v>
      </c>
      <c r="AM18" s="1">
        <f t="shared" si="3"/>
        <v>0</v>
      </c>
      <c r="AN18" s="1">
        <f t="shared" si="3"/>
        <v>0</v>
      </c>
      <c r="AO18" s="1">
        <f t="shared" si="3"/>
        <v>0</v>
      </c>
      <c r="AP18" s="1">
        <f t="shared" si="3"/>
        <v>0</v>
      </c>
      <c r="AQ18" s="1">
        <f t="shared" si="3"/>
        <v>0</v>
      </c>
      <c r="AR18" s="1">
        <f t="shared" si="3"/>
        <v>0</v>
      </c>
      <c r="AS18" s="1">
        <f t="shared" si="3"/>
        <v>0</v>
      </c>
    </row>
    <row r="19" ht="15" customHeight="1" spans="1:45">
      <c r="A19" s="1">
        <f t="shared" si="4"/>
        <v>17</v>
      </c>
      <c r="C19" s="57" t="str">
        <f>tblIndicators!AE19</f>
        <v>2.1.4) No. of doctors per 1,000</v>
      </c>
      <c r="D19" s="1" t="str">
        <f t="shared" si="0"/>
        <v>2.1.4) No. of doctors per 1,000</v>
      </c>
      <c r="F19" s="23">
        <f>INDEX(M19:Y19,uxb_works!$B$39)</f>
        <v>1</v>
      </c>
      <c r="G19" s="32"/>
      <c r="L19" s="1">
        <v>1</v>
      </c>
      <c r="M19" s="1">
        <v>1</v>
      </c>
      <c r="N19" s="1">
        <v>0</v>
      </c>
      <c r="O19" s="1">
        <v>0</v>
      </c>
      <c r="P19" s="1">
        <v>0</v>
      </c>
      <c r="Q19" s="1">
        <v>1</v>
      </c>
      <c r="R19" s="1">
        <v>1</v>
      </c>
      <c r="S19" s="1">
        <v>0</v>
      </c>
      <c r="T19" s="1">
        <v>0</v>
      </c>
      <c r="U19" s="1">
        <v>0</v>
      </c>
      <c r="V19" s="1">
        <v>0</v>
      </c>
      <c r="W19" s="1">
        <v>0</v>
      </c>
      <c r="X19" s="1">
        <v>0</v>
      </c>
      <c r="Y19" s="1">
        <v>0</v>
      </c>
      <c r="AC19" s="23">
        <f>INDEX(AG19:AT19,uxb_works!$B$39)</f>
        <v>0</v>
      </c>
      <c r="AF19" s="1">
        <v>1</v>
      </c>
      <c r="AG19" s="1">
        <v>0</v>
      </c>
      <c r="AH19" s="1">
        <f t="shared" si="5"/>
        <v>0</v>
      </c>
      <c r="AI19" s="1">
        <f t="shared" ref="AI19:AI44" si="6">O19</f>
        <v>0</v>
      </c>
      <c r="AJ19" s="1">
        <f t="shared" ref="AJ19:AJ44" si="7">P19</f>
        <v>0</v>
      </c>
      <c r="AK19" s="1">
        <v>0</v>
      </c>
      <c r="AL19" s="1">
        <f t="shared" ref="AL19:AS44" si="8">R19</f>
        <v>1</v>
      </c>
      <c r="AM19" s="1">
        <f t="shared" si="8"/>
        <v>0</v>
      </c>
      <c r="AN19" s="1">
        <f t="shared" si="8"/>
        <v>0</v>
      </c>
      <c r="AO19" s="1">
        <f t="shared" si="8"/>
        <v>0</v>
      </c>
      <c r="AP19" s="1">
        <f t="shared" si="8"/>
        <v>0</v>
      </c>
      <c r="AQ19" s="1">
        <f t="shared" si="8"/>
        <v>0</v>
      </c>
      <c r="AR19" s="1">
        <f t="shared" si="8"/>
        <v>0</v>
      </c>
      <c r="AS19" s="1">
        <f t="shared" si="8"/>
        <v>0</v>
      </c>
    </row>
    <row r="20" ht="15" customHeight="1" spans="1:45">
      <c r="A20" s="1">
        <f t="shared" si="4"/>
        <v>18</v>
      </c>
      <c r="C20" s="57" t="str">
        <f>tblIndicators!AE20</f>
        <v>2.1.5) Access to safe and quality food</v>
      </c>
      <c r="D20" s="1" t="str">
        <f t="shared" si="0"/>
        <v>2.1.5) Access to safe and quality food</v>
      </c>
      <c r="F20" s="23">
        <f>INDEX(M20:Y20,uxb_works!$B$39)</f>
        <v>1</v>
      </c>
      <c r="G20" s="32"/>
      <c r="L20" s="1">
        <v>1</v>
      </c>
      <c r="M20" s="1">
        <v>1</v>
      </c>
      <c r="N20" s="1">
        <v>0</v>
      </c>
      <c r="O20" s="1">
        <v>0</v>
      </c>
      <c r="P20" s="1">
        <v>0</v>
      </c>
      <c r="Q20" s="1">
        <v>1</v>
      </c>
      <c r="R20" s="1">
        <v>1</v>
      </c>
      <c r="S20" s="1">
        <v>0</v>
      </c>
      <c r="T20" s="1">
        <v>0</v>
      </c>
      <c r="U20" s="1">
        <v>0</v>
      </c>
      <c r="V20" s="1">
        <v>0</v>
      </c>
      <c r="W20" s="1">
        <v>0</v>
      </c>
      <c r="X20" s="1">
        <v>0</v>
      </c>
      <c r="Y20" s="1">
        <v>0</v>
      </c>
      <c r="AC20" s="23">
        <f>INDEX(AG20:AT20,uxb_works!$B$39)</f>
        <v>0</v>
      </c>
      <c r="AF20" s="1">
        <v>1</v>
      </c>
      <c r="AG20" s="1">
        <v>0</v>
      </c>
      <c r="AH20" s="1">
        <f t="shared" si="5"/>
        <v>0</v>
      </c>
      <c r="AI20" s="1">
        <f t="shared" si="6"/>
        <v>0</v>
      </c>
      <c r="AJ20" s="1">
        <f t="shared" si="7"/>
        <v>0</v>
      </c>
      <c r="AK20" s="1">
        <v>0</v>
      </c>
      <c r="AL20" s="1">
        <f t="shared" si="8"/>
        <v>1</v>
      </c>
      <c r="AM20" s="1">
        <f t="shared" si="8"/>
        <v>0</v>
      </c>
      <c r="AN20" s="1">
        <f t="shared" si="8"/>
        <v>0</v>
      </c>
      <c r="AO20" s="1">
        <f t="shared" si="8"/>
        <v>0</v>
      </c>
      <c r="AP20" s="1">
        <f t="shared" si="8"/>
        <v>0</v>
      </c>
      <c r="AQ20" s="1">
        <f t="shared" si="8"/>
        <v>0</v>
      </c>
      <c r="AR20" s="1">
        <f t="shared" si="8"/>
        <v>0</v>
      </c>
      <c r="AS20" s="1">
        <f t="shared" si="8"/>
        <v>0</v>
      </c>
    </row>
    <row r="21" ht="15" customHeight="1" spans="1:45">
      <c r="A21" s="1">
        <f t="shared" si="4"/>
        <v>19</v>
      </c>
      <c r="C21" s="57" t="str">
        <f>tblIndicators!AE21</f>
        <v>2.1.6) Quality of health services</v>
      </c>
      <c r="D21" s="1" t="str">
        <f t="shared" si="0"/>
        <v>2.1.6) Quality of health services</v>
      </c>
      <c r="F21" s="23">
        <f>INDEX(M21:Y21,uxb_works!$B$39)</f>
        <v>1</v>
      </c>
      <c r="G21" s="32"/>
      <c r="L21" s="1">
        <v>1</v>
      </c>
      <c r="M21" s="1">
        <v>1</v>
      </c>
      <c r="N21" s="1">
        <v>0</v>
      </c>
      <c r="O21" s="1">
        <v>0</v>
      </c>
      <c r="P21" s="1">
        <v>0</v>
      </c>
      <c r="Q21" s="1">
        <v>1</v>
      </c>
      <c r="R21" s="1">
        <v>1</v>
      </c>
      <c r="S21" s="1">
        <v>0</v>
      </c>
      <c r="T21" s="1">
        <v>0</v>
      </c>
      <c r="U21" s="1">
        <v>0</v>
      </c>
      <c r="V21" s="1">
        <v>0</v>
      </c>
      <c r="W21" s="1">
        <v>0</v>
      </c>
      <c r="X21" s="1">
        <v>0</v>
      </c>
      <c r="Y21" s="1">
        <v>0</v>
      </c>
      <c r="AC21" s="23">
        <f>INDEX(AG21:AT21,uxb_works!$B$39)</f>
        <v>0</v>
      </c>
      <c r="AF21" s="1">
        <v>1</v>
      </c>
      <c r="AG21" s="1">
        <v>0</v>
      </c>
      <c r="AH21" s="1">
        <f t="shared" si="5"/>
        <v>0</v>
      </c>
      <c r="AI21" s="1">
        <f t="shared" si="6"/>
        <v>0</v>
      </c>
      <c r="AJ21" s="1">
        <f t="shared" si="7"/>
        <v>0</v>
      </c>
      <c r="AK21" s="1">
        <v>0</v>
      </c>
      <c r="AL21" s="1">
        <f t="shared" si="8"/>
        <v>1</v>
      </c>
      <c r="AM21" s="1">
        <f t="shared" si="8"/>
        <v>0</v>
      </c>
      <c r="AN21" s="1">
        <f t="shared" si="8"/>
        <v>0</v>
      </c>
      <c r="AO21" s="1">
        <f t="shared" si="8"/>
        <v>0</v>
      </c>
      <c r="AP21" s="1">
        <f t="shared" si="8"/>
        <v>0</v>
      </c>
      <c r="AQ21" s="1">
        <f t="shared" si="8"/>
        <v>0</v>
      </c>
      <c r="AR21" s="1">
        <f t="shared" si="8"/>
        <v>0</v>
      </c>
      <c r="AS21" s="1">
        <f t="shared" si="8"/>
        <v>0</v>
      </c>
    </row>
    <row r="22" ht="15" customHeight="1" spans="1:45">
      <c r="A22" s="1">
        <f t="shared" si="4"/>
        <v>20</v>
      </c>
      <c r="C22" s="57" t="str">
        <f>tblIndicators!AE22</f>
        <v>2.2) Health security (Outputs)</v>
      </c>
      <c r="D22" s="1" t="str">
        <f t="shared" si="0"/>
        <v>2.2) Health security (Outputs)</v>
      </c>
      <c r="F22" s="23">
        <f>INDEX(M22:Y22,uxb_works!$B$39)</f>
        <v>1</v>
      </c>
      <c r="G22" s="32"/>
      <c r="L22" s="1">
        <v>1</v>
      </c>
      <c r="M22" s="1">
        <v>1</v>
      </c>
      <c r="N22" s="1">
        <v>0</v>
      </c>
      <c r="O22" s="1">
        <v>0</v>
      </c>
      <c r="P22" s="1">
        <v>0</v>
      </c>
      <c r="Q22" s="1">
        <v>1</v>
      </c>
      <c r="R22" s="1">
        <v>0</v>
      </c>
      <c r="S22" s="1">
        <v>0</v>
      </c>
      <c r="T22" s="1">
        <v>0</v>
      </c>
      <c r="U22" s="1">
        <v>0</v>
      </c>
      <c r="V22" s="1">
        <v>0</v>
      </c>
      <c r="W22" s="1">
        <v>0</v>
      </c>
      <c r="X22" s="1">
        <v>0</v>
      </c>
      <c r="Y22" s="1">
        <v>0</v>
      </c>
      <c r="AC22" s="23">
        <f>INDEX(AG22:AT22,uxb_works!$B$39)</f>
        <v>0</v>
      </c>
      <c r="AF22" s="1">
        <v>1</v>
      </c>
      <c r="AG22" s="1">
        <v>0</v>
      </c>
      <c r="AH22" s="1">
        <f t="shared" si="5"/>
        <v>0</v>
      </c>
      <c r="AI22" s="1">
        <f t="shared" si="6"/>
        <v>0</v>
      </c>
      <c r="AJ22" s="1">
        <f t="shared" si="7"/>
        <v>0</v>
      </c>
      <c r="AK22" s="1">
        <f>Q22</f>
        <v>1</v>
      </c>
      <c r="AL22" s="1">
        <f t="shared" si="8"/>
        <v>0</v>
      </c>
      <c r="AM22" s="1">
        <f t="shared" si="8"/>
        <v>0</v>
      </c>
      <c r="AN22" s="1">
        <f t="shared" si="8"/>
        <v>0</v>
      </c>
      <c r="AO22" s="1">
        <f t="shared" si="8"/>
        <v>0</v>
      </c>
      <c r="AP22" s="1">
        <f t="shared" si="8"/>
        <v>0</v>
      </c>
      <c r="AQ22" s="1">
        <f t="shared" si="8"/>
        <v>0</v>
      </c>
      <c r="AR22" s="1">
        <f t="shared" si="8"/>
        <v>0</v>
      </c>
      <c r="AS22" s="1">
        <f t="shared" si="8"/>
        <v>0</v>
      </c>
    </row>
    <row r="23" ht="15" customHeight="1" spans="1:45">
      <c r="A23" s="1">
        <f t="shared" si="4"/>
        <v>21</v>
      </c>
      <c r="C23" s="57" t="str">
        <f>tblIndicators!AE23</f>
        <v>2.2.1) Air quality (PM 2.5 levels)</v>
      </c>
      <c r="D23" s="1" t="str">
        <f t="shared" si="0"/>
        <v>2.2.1) Air quality (PM 2.5 levels)</v>
      </c>
      <c r="F23" s="23">
        <f>INDEX(M23:Y23,uxb_works!$B$39)</f>
        <v>1</v>
      </c>
      <c r="G23" s="32"/>
      <c r="L23" s="1">
        <v>1</v>
      </c>
      <c r="M23" s="1">
        <v>1</v>
      </c>
      <c r="N23" s="1">
        <v>0</v>
      </c>
      <c r="O23" s="1">
        <v>0</v>
      </c>
      <c r="P23" s="1">
        <v>0</v>
      </c>
      <c r="Q23" s="1">
        <v>1</v>
      </c>
      <c r="R23" s="1">
        <v>0</v>
      </c>
      <c r="S23" s="1">
        <v>1</v>
      </c>
      <c r="T23" s="1">
        <v>0</v>
      </c>
      <c r="U23" s="1">
        <v>0</v>
      </c>
      <c r="V23" s="1">
        <v>0</v>
      </c>
      <c r="W23" s="1">
        <v>0</v>
      </c>
      <c r="X23" s="1">
        <v>0</v>
      </c>
      <c r="Y23" s="1">
        <v>0</v>
      </c>
      <c r="AC23" s="23">
        <f>INDEX(AG23:AT23,uxb_works!$B$39)</f>
        <v>0</v>
      </c>
      <c r="AF23" s="1">
        <v>1</v>
      </c>
      <c r="AG23" s="1">
        <v>0</v>
      </c>
      <c r="AH23" s="1">
        <f t="shared" si="5"/>
        <v>0</v>
      </c>
      <c r="AI23" s="1">
        <f t="shared" si="6"/>
        <v>0</v>
      </c>
      <c r="AJ23" s="1">
        <f t="shared" si="7"/>
        <v>0</v>
      </c>
      <c r="AK23" s="1">
        <v>0</v>
      </c>
      <c r="AL23" s="1">
        <f t="shared" si="8"/>
        <v>0</v>
      </c>
      <c r="AM23" s="1">
        <f t="shared" si="8"/>
        <v>1</v>
      </c>
      <c r="AN23" s="1">
        <f t="shared" si="8"/>
        <v>0</v>
      </c>
      <c r="AO23" s="1">
        <f t="shared" si="8"/>
        <v>0</v>
      </c>
      <c r="AP23" s="1">
        <f t="shared" si="8"/>
        <v>0</v>
      </c>
      <c r="AQ23" s="1">
        <f t="shared" si="8"/>
        <v>0</v>
      </c>
      <c r="AR23" s="1">
        <f t="shared" si="8"/>
        <v>0</v>
      </c>
      <c r="AS23" s="1">
        <f t="shared" si="8"/>
        <v>0</v>
      </c>
    </row>
    <row r="24" ht="15" customHeight="1" spans="1:45">
      <c r="A24" s="1">
        <f t="shared" si="4"/>
        <v>22</v>
      </c>
      <c r="C24" s="57" t="str">
        <f>tblIndicators!AE24</f>
        <v>2.2.2) Water quality</v>
      </c>
      <c r="D24" s="1" t="str">
        <f t="shared" si="0"/>
        <v>2.2.2) Water quality</v>
      </c>
      <c r="F24" s="23">
        <f>INDEX(M24:Y24,uxb_works!$B$39)</f>
        <v>1</v>
      </c>
      <c r="G24" s="32"/>
      <c r="L24" s="1">
        <v>1</v>
      </c>
      <c r="M24" s="1">
        <v>1</v>
      </c>
      <c r="N24" s="1">
        <v>0</v>
      </c>
      <c r="O24" s="1">
        <v>0</v>
      </c>
      <c r="P24" s="1">
        <v>0</v>
      </c>
      <c r="Q24" s="1">
        <v>1</v>
      </c>
      <c r="R24" s="1">
        <v>0</v>
      </c>
      <c r="S24" s="1">
        <v>1</v>
      </c>
      <c r="T24" s="1">
        <v>0</v>
      </c>
      <c r="U24" s="1">
        <v>0</v>
      </c>
      <c r="V24" s="1">
        <v>0</v>
      </c>
      <c r="W24" s="1">
        <v>0</v>
      </c>
      <c r="X24" s="1">
        <v>0</v>
      </c>
      <c r="Y24" s="1">
        <v>0</v>
      </c>
      <c r="AC24" s="23">
        <f>INDEX(AG24:AT24,uxb_works!$B$39)</f>
        <v>0</v>
      </c>
      <c r="AF24" s="1">
        <v>1</v>
      </c>
      <c r="AG24" s="1">
        <v>0</v>
      </c>
      <c r="AH24" s="1">
        <f t="shared" si="5"/>
        <v>0</v>
      </c>
      <c r="AI24" s="1">
        <f t="shared" si="6"/>
        <v>0</v>
      </c>
      <c r="AJ24" s="1">
        <f t="shared" si="7"/>
        <v>0</v>
      </c>
      <c r="AK24" s="1">
        <v>0</v>
      </c>
      <c r="AL24" s="1">
        <f t="shared" si="8"/>
        <v>0</v>
      </c>
      <c r="AM24" s="1">
        <f t="shared" si="8"/>
        <v>1</v>
      </c>
      <c r="AN24" s="1">
        <f t="shared" si="8"/>
        <v>0</v>
      </c>
      <c r="AO24" s="1">
        <f t="shared" si="8"/>
        <v>0</v>
      </c>
      <c r="AP24" s="1">
        <f t="shared" si="8"/>
        <v>0</v>
      </c>
      <c r="AQ24" s="1">
        <f t="shared" si="8"/>
        <v>0</v>
      </c>
      <c r="AR24" s="1">
        <f t="shared" si="8"/>
        <v>0</v>
      </c>
      <c r="AS24" s="1">
        <f t="shared" si="8"/>
        <v>0</v>
      </c>
    </row>
    <row r="25" ht="15" customHeight="1" spans="1:45">
      <c r="A25" s="1">
        <f t="shared" si="4"/>
        <v>23</v>
      </c>
      <c r="C25" s="57" t="str">
        <f>tblIndicators!AE25</f>
        <v>2.2.3) Life expectancy years</v>
      </c>
      <c r="D25" s="1" t="str">
        <f t="shared" si="0"/>
        <v>2.2.3) Life expectancy years</v>
      </c>
      <c r="F25" s="23">
        <f>INDEX(M25:Y25,uxb_works!$B$39)</f>
        <v>1</v>
      </c>
      <c r="G25" s="32"/>
      <c r="L25" s="1">
        <v>1</v>
      </c>
      <c r="M25" s="1">
        <v>1</v>
      </c>
      <c r="N25" s="1">
        <v>0</v>
      </c>
      <c r="O25" s="1">
        <v>0</v>
      </c>
      <c r="P25" s="1">
        <v>0</v>
      </c>
      <c r="Q25" s="1">
        <v>1</v>
      </c>
      <c r="R25" s="1">
        <v>0</v>
      </c>
      <c r="S25" s="1">
        <v>1</v>
      </c>
      <c r="T25" s="1">
        <v>0</v>
      </c>
      <c r="U25" s="1">
        <v>0</v>
      </c>
      <c r="V25" s="1">
        <v>0</v>
      </c>
      <c r="W25" s="1">
        <v>0</v>
      </c>
      <c r="X25" s="1">
        <v>0</v>
      </c>
      <c r="Y25" s="1">
        <v>0</v>
      </c>
      <c r="AC25" s="23">
        <f>INDEX(AG25:AT25,uxb_works!$B$39)</f>
        <v>0</v>
      </c>
      <c r="AF25" s="1">
        <v>1</v>
      </c>
      <c r="AG25" s="1">
        <v>0</v>
      </c>
      <c r="AH25" s="1">
        <f t="shared" si="5"/>
        <v>0</v>
      </c>
      <c r="AI25" s="1">
        <f t="shared" si="6"/>
        <v>0</v>
      </c>
      <c r="AJ25" s="1">
        <f t="shared" si="7"/>
        <v>0</v>
      </c>
      <c r="AK25" s="1">
        <v>0</v>
      </c>
      <c r="AL25" s="1">
        <f t="shared" si="8"/>
        <v>0</v>
      </c>
      <c r="AM25" s="1">
        <f t="shared" si="8"/>
        <v>1</v>
      </c>
      <c r="AN25" s="1">
        <f t="shared" si="8"/>
        <v>0</v>
      </c>
      <c r="AO25" s="1">
        <f t="shared" si="8"/>
        <v>0</v>
      </c>
      <c r="AP25" s="1">
        <f t="shared" si="8"/>
        <v>0</v>
      </c>
      <c r="AQ25" s="1">
        <f t="shared" si="8"/>
        <v>0</v>
      </c>
      <c r="AR25" s="1">
        <f t="shared" si="8"/>
        <v>0</v>
      </c>
      <c r="AS25" s="1">
        <f t="shared" si="8"/>
        <v>0</v>
      </c>
    </row>
    <row r="26" ht="15" customHeight="1" spans="1:45">
      <c r="A26" s="1">
        <f t="shared" si="4"/>
        <v>24</v>
      </c>
      <c r="C26" s="57" t="str">
        <f>tblIndicators!AE26</f>
        <v>2.2.4) Infant mortality</v>
      </c>
      <c r="D26" s="1" t="str">
        <f t="shared" si="0"/>
        <v>2.2.4) Infant mortality</v>
      </c>
      <c r="F26" s="23">
        <f>INDEX(M26:Y26,uxb_works!$B$39)</f>
        <v>1</v>
      </c>
      <c r="G26" s="32"/>
      <c r="L26" s="1">
        <v>1</v>
      </c>
      <c r="M26" s="1">
        <v>1</v>
      </c>
      <c r="N26" s="1">
        <v>0</v>
      </c>
      <c r="O26" s="1">
        <v>0</v>
      </c>
      <c r="P26" s="1">
        <v>0</v>
      </c>
      <c r="Q26" s="1">
        <v>1</v>
      </c>
      <c r="R26" s="1">
        <v>0</v>
      </c>
      <c r="S26" s="1">
        <v>1</v>
      </c>
      <c r="T26" s="1">
        <v>0</v>
      </c>
      <c r="U26" s="1">
        <v>0</v>
      </c>
      <c r="V26" s="1">
        <v>0</v>
      </c>
      <c r="W26" s="1">
        <v>0</v>
      </c>
      <c r="X26" s="1">
        <v>0</v>
      </c>
      <c r="Y26" s="1">
        <v>0</v>
      </c>
      <c r="AC26" s="23">
        <f>INDEX(AG26:AT26,uxb_works!$B$39)</f>
        <v>0</v>
      </c>
      <c r="AF26" s="1">
        <v>1</v>
      </c>
      <c r="AG26" s="1">
        <v>0</v>
      </c>
      <c r="AH26" s="1">
        <f t="shared" si="5"/>
        <v>0</v>
      </c>
      <c r="AI26" s="1">
        <f t="shared" si="6"/>
        <v>0</v>
      </c>
      <c r="AJ26" s="1">
        <f t="shared" si="7"/>
        <v>0</v>
      </c>
      <c r="AK26" s="1">
        <v>0</v>
      </c>
      <c r="AL26" s="1">
        <f t="shared" si="8"/>
        <v>0</v>
      </c>
      <c r="AM26" s="1">
        <f t="shared" si="8"/>
        <v>1</v>
      </c>
      <c r="AN26" s="1">
        <f t="shared" si="8"/>
        <v>0</v>
      </c>
      <c r="AO26" s="1">
        <f t="shared" si="8"/>
        <v>0</v>
      </c>
      <c r="AP26" s="1">
        <f t="shared" si="8"/>
        <v>0</v>
      </c>
      <c r="AQ26" s="1">
        <f t="shared" si="8"/>
        <v>0</v>
      </c>
      <c r="AR26" s="1">
        <f t="shared" si="8"/>
        <v>0</v>
      </c>
      <c r="AS26" s="1">
        <f t="shared" si="8"/>
        <v>0</v>
      </c>
    </row>
    <row r="27" ht="15" customHeight="1" spans="1:45">
      <c r="A27" s="1">
        <f t="shared" si="4"/>
        <v>25</v>
      </c>
      <c r="C27" s="57" t="str">
        <f>tblIndicators!AE27</f>
        <v>2.2.5) Cancer mortality rate</v>
      </c>
      <c r="D27" s="1" t="str">
        <f t="shared" si="0"/>
        <v>2.2.5) Cancer mortality rate</v>
      </c>
      <c r="F27" s="23">
        <f>INDEX(M27:Y27,uxb_works!$B$39)</f>
        <v>1</v>
      </c>
      <c r="G27" s="32"/>
      <c r="L27" s="1">
        <v>1</v>
      </c>
      <c r="M27" s="1">
        <v>1</v>
      </c>
      <c r="N27" s="1">
        <v>0</v>
      </c>
      <c r="O27" s="1">
        <v>0</v>
      </c>
      <c r="P27" s="1">
        <v>0</v>
      </c>
      <c r="Q27" s="1">
        <v>1</v>
      </c>
      <c r="R27" s="1">
        <v>0</v>
      </c>
      <c r="S27" s="1">
        <v>1</v>
      </c>
      <c r="T27" s="1">
        <v>0</v>
      </c>
      <c r="U27" s="1">
        <v>0</v>
      </c>
      <c r="V27" s="1">
        <v>0</v>
      </c>
      <c r="W27" s="1">
        <v>0</v>
      </c>
      <c r="X27" s="1">
        <v>0</v>
      </c>
      <c r="Y27" s="1">
        <v>0</v>
      </c>
      <c r="AC27" s="23">
        <f>INDEX(AG27:AT27,uxb_works!$B$39)</f>
        <v>0</v>
      </c>
      <c r="AF27" s="1">
        <v>1</v>
      </c>
      <c r="AG27" s="1">
        <v>0</v>
      </c>
      <c r="AH27" s="1">
        <f t="shared" si="5"/>
        <v>0</v>
      </c>
      <c r="AI27" s="1">
        <f t="shared" si="6"/>
        <v>0</v>
      </c>
      <c r="AJ27" s="1">
        <f t="shared" si="7"/>
        <v>0</v>
      </c>
      <c r="AK27" s="1">
        <v>0</v>
      </c>
      <c r="AL27" s="1">
        <f t="shared" si="8"/>
        <v>0</v>
      </c>
      <c r="AM27" s="1">
        <f t="shared" si="8"/>
        <v>1</v>
      </c>
      <c r="AN27" s="1">
        <f t="shared" si="8"/>
        <v>0</v>
      </c>
      <c r="AO27" s="1">
        <f t="shared" si="8"/>
        <v>0</v>
      </c>
      <c r="AP27" s="1">
        <f t="shared" si="8"/>
        <v>0</v>
      </c>
      <c r="AQ27" s="1">
        <f t="shared" si="8"/>
        <v>0</v>
      </c>
      <c r="AR27" s="1">
        <f t="shared" si="8"/>
        <v>0</v>
      </c>
      <c r="AS27" s="1">
        <f t="shared" si="8"/>
        <v>0</v>
      </c>
    </row>
    <row r="28" ht="15" customHeight="1" spans="1:45">
      <c r="A28" s="1">
        <f t="shared" si="4"/>
        <v>26</v>
      </c>
      <c r="C28" s="57" t="str">
        <f>tblIndicators!AE28</f>
        <v>2.2.6) Number of attacks using biological, chemical and/or radiological weapons</v>
      </c>
      <c r="D28" s="1" t="str">
        <f t="shared" si="0"/>
        <v>2.2.6) Number of attacks using biological, chemical and/or radiological weapons</v>
      </c>
      <c r="F28" s="23">
        <f>INDEX(M28:Y28,uxb_works!$B$39)</f>
        <v>1</v>
      </c>
      <c r="G28" s="32"/>
      <c r="L28" s="1">
        <v>1</v>
      </c>
      <c r="M28" s="1">
        <v>1</v>
      </c>
      <c r="N28" s="1">
        <v>0</v>
      </c>
      <c r="O28" s="1">
        <v>0</v>
      </c>
      <c r="P28" s="1">
        <v>0</v>
      </c>
      <c r="Q28" s="1">
        <v>1</v>
      </c>
      <c r="R28" s="1">
        <v>0</v>
      </c>
      <c r="S28" s="1">
        <v>1</v>
      </c>
      <c r="T28" s="1">
        <v>0</v>
      </c>
      <c r="U28" s="1">
        <v>0</v>
      </c>
      <c r="V28" s="1">
        <v>0</v>
      </c>
      <c r="W28" s="1">
        <v>0</v>
      </c>
      <c r="X28" s="1">
        <v>0</v>
      </c>
      <c r="Y28" s="1">
        <v>0</v>
      </c>
      <c r="AC28" s="23">
        <f>INDEX(AG28:AT28,uxb_works!$B$39)</f>
        <v>0</v>
      </c>
      <c r="AF28" s="1">
        <v>1</v>
      </c>
      <c r="AG28" s="1">
        <v>0</v>
      </c>
      <c r="AH28" s="1">
        <f t="shared" si="5"/>
        <v>0</v>
      </c>
      <c r="AI28" s="1">
        <f t="shared" si="6"/>
        <v>0</v>
      </c>
      <c r="AJ28" s="1">
        <f t="shared" si="7"/>
        <v>0</v>
      </c>
      <c r="AK28" s="1">
        <v>0</v>
      </c>
      <c r="AL28" s="1">
        <f t="shared" si="8"/>
        <v>0</v>
      </c>
      <c r="AM28" s="1">
        <f t="shared" si="8"/>
        <v>1</v>
      </c>
      <c r="AN28" s="1">
        <f t="shared" si="8"/>
        <v>0</v>
      </c>
      <c r="AO28" s="1">
        <f t="shared" si="8"/>
        <v>0</v>
      </c>
      <c r="AP28" s="1">
        <f t="shared" si="8"/>
        <v>0</v>
      </c>
      <c r="AQ28" s="1">
        <f t="shared" si="8"/>
        <v>0</v>
      </c>
      <c r="AR28" s="1">
        <f t="shared" si="8"/>
        <v>0</v>
      </c>
      <c r="AS28" s="1">
        <f t="shared" si="8"/>
        <v>0</v>
      </c>
    </row>
    <row r="29" ht="15" customHeight="1" spans="1:45">
      <c r="A29" s="1">
        <f t="shared" si="4"/>
        <v>27</v>
      </c>
      <c r="C29" s="57" t="str">
        <f>tblIndicators!AE29</f>
        <v>3) INFRASTRUCTURE SECURITY</v>
      </c>
      <c r="D29" s="1" t="str">
        <f t="shared" si="0"/>
        <v>3) INFRASTRUCTURE SECURITY</v>
      </c>
      <c r="F29" s="23">
        <f>INDEX(M29:Y29,uxb_works!$B$39)</f>
        <v>1</v>
      </c>
      <c r="G29" s="32"/>
      <c r="L29" s="1">
        <v>1</v>
      </c>
      <c r="M29" s="1">
        <v>1</v>
      </c>
      <c r="N29" s="1">
        <v>0</v>
      </c>
      <c r="O29" s="1">
        <v>0</v>
      </c>
      <c r="P29" s="1">
        <v>0</v>
      </c>
      <c r="Q29" s="1">
        <v>0</v>
      </c>
      <c r="R29" s="1">
        <v>0</v>
      </c>
      <c r="S29" s="1">
        <v>0</v>
      </c>
      <c r="T29" s="1">
        <v>1</v>
      </c>
      <c r="U29" s="1">
        <v>0</v>
      </c>
      <c r="V29" s="1">
        <v>0</v>
      </c>
      <c r="W29" s="1">
        <v>0</v>
      </c>
      <c r="X29" s="1">
        <v>0</v>
      </c>
      <c r="Y29" s="1">
        <v>0</v>
      </c>
      <c r="AC29" s="23">
        <f>INDEX(AG29:AT29,uxb_works!$B$39)</f>
        <v>1</v>
      </c>
      <c r="AF29" s="1">
        <v>1</v>
      </c>
      <c r="AG29" s="1">
        <v>1</v>
      </c>
      <c r="AH29" s="1">
        <f t="shared" si="5"/>
        <v>0</v>
      </c>
      <c r="AI29" s="1">
        <f t="shared" si="6"/>
        <v>0</v>
      </c>
      <c r="AJ29" s="1">
        <f t="shared" si="7"/>
        <v>0</v>
      </c>
      <c r="AK29" s="1">
        <f t="shared" ref="AK29:AK44" si="9">Q29</f>
        <v>0</v>
      </c>
      <c r="AL29" s="1">
        <f t="shared" si="8"/>
        <v>0</v>
      </c>
      <c r="AM29" s="1">
        <f t="shared" si="8"/>
        <v>0</v>
      </c>
      <c r="AN29" s="1">
        <v>0</v>
      </c>
      <c r="AO29" s="1">
        <f t="shared" si="8"/>
        <v>0</v>
      </c>
      <c r="AP29" s="1">
        <f t="shared" si="8"/>
        <v>0</v>
      </c>
      <c r="AQ29" s="1">
        <f t="shared" si="8"/>
        <v>0</v>
      </c>
      <c r="AR29" s="1">
        <f t="shared" si="8"/>
        <v>0</v>
      </c>
      <c r="AS29" s="1">
        <f t="shared" si="8"/>
        <v>0</v>
      </c>
    </row>
    <row r="30" ht="15" customHeight="1" spans="1:45">
      <c r="A30" s="1">
        <f t="shared" si="4"/>
        <v>28</v>
      </c>
      <c r="C30" s="57" t="str">
        <f>tblIndicators!AE30</f>
        <v>3.1) Infrastructure security (Inputs)</v>
      </c>
      <c r="D30" s="1" t="str">
        <f t="shared" si="0"/>
        <v>3.1) Infrastructure security (Inputs)</v>
      </c>
      <c r="F30" s="23">
        <f>INDEX(M30:Y30,uxb_works!$B$39)</f>
        <v>1</v>
      </c>
      <c r="G30" s="32"/>
      <c r="L30" s="1">
        <v>1</v>
      </c>
      <c r="M30" s="1">
        <v>1</v>
      </c>
      <c r="N30" s="1">
        <v>0</v>
      </c>
      <c r="O30" s="1">
        <v>0</v>
      </c>
      <c r="P30" s="1">
        <v>0</v>
      </c>
      <c r="Q30" s="1">
        <v>0</v>
      </c>
      <c r="R30" s="1">
        <v>0</v>
      </c>
      <c r="S30" s="1">
        <v>0</v>
      </c>
      <c r="T30" s="1">
        <v>1</v>
      </c>
      <c r="U30" s="1">
        <v>0</v>
      </c>
      <c r="V30" s="1">
        <v>0</v>
      </c>
      <c r="W30" s="1">
        <v>0</v>
      </c>
      <c r="X30" s="1">
        <v>0</v>
      </c>
      <c r="Y30" s="1">
        <v>0</v>
      </c>
      <c r="AC30" s="23">
        <f>INDEX(AG30:AT30,uxb_works!$B$39)</f>
        <v>0</v>
      </c>
      <c r="AF30" s="1">
        <v>1</v>
      </c>
      <c r="AG30" s="1">
        <v>0</v>
      </c>
      <c r="AH30" s="1">
        <f t="shared" si="5"/>
        <v>0</v>
      </c>
      <c r="AI30" s="1">
        <f t="shared" si="6"/>
        <v>0</v>
      </c>
      <c r="AJ30" s="1">
        <f t="shared" si="7"/>
        <v>0</v>
      </c>
      <c r="AK30" s="1">
        <f t="shared" si="9"/>
        <v>0</v>
      </c>
      <c r="AL30" s="1">
        <f t="shared" si="8"/>
        <v>0</v>
      </c>
      <c r="AM30" s="1">
        <f t="shared" si="8"/>
        <v>0</v>
      </c>
      <c r="AN30" s="1">
        <f t="shared" si="8"/>
        <v>1</v>
      </c>
      <c r="AO30" s="1">
        <f t="shared" si="8"/>
        <v>0</v>
      </c>
      <c r="AP30" s="1">
        <f t="shared" si="8"/>
        <v>0</v>
      </c>
      <c r="AQ30" s="1">
        <f t="shared" si="8"/>
        <v>0</v>
      </c>
      <c r="AR30" s="1">
        <f t="shared" si="8"/>
        <v>0</v>
      </c>
      <c r="AS30" s="1">
        <f t="shared" si="8"/>
        <v>0</v>
      </c>
    </row>
    <row r="31" ht="15" customHeight="1" spans="1:45">
      <c r="A31" s="1">
        <f t="shared" si="4"/>
        <v>29</v>
      </c>
      <c r="C31" s="57" t="str">
        <f>tblIndicators!AE31</f>
        <v>3.1.1) Enforcement of transport safety</v>
      </c>
      <c r="D31" s="1" t="str">
        <f t="shared" si="0"/>
        <v>3.1.1) Enforcement of transport safety</v>
      </c>
      <c r="F31" s="23">
        <f>INDEX(M31:Y31,uxb_works!$B$39)</f>
        <v>1</v>
      </c>
      <c r="G31" s="32"/>
      <c r="L31" s="1">
        <v>1</v>
      </c>
      <c r="M31" s="1">
        <v>1</v>
      </c>
      <c r="N31" s="1">
        <v>0</v>
      </c>
      <c r="O31" s="1">
        <v>0</v>
      </c>
      <c r="P31" s="1">
        <v>0</v>
      </c>
      <c r="Q31" s="1">
        <v>0</v>
      </c>
      <c r="R31" s="1">
        <v>0</v>
      </c>
      <c r="S31" s="1">
        <v>0</v>
      </c>
      <c r="T31" s="1">
        <v>1</v>
      </c>
      <c r="U31" s="1">
        <v>1</v>
      </c>
      <c r="V31" s="1">
        <v>0</v>
      </c>
      <c r="W31" s="1">
        <v>0</v>
      </c>
      <c r="X31" s="1">
        <v>0</v>
      </c>
      <c r="Y31" s="1">
        <v>0</v>
      </c>
      <c r="AC31" s="23">
        <f>INDEX(AG31:AT31,uxb_works!$B$39)</f>
        <v>0</v>
      </c>
      <c r="AF31" s="1">
        <v>1</v>
      </c>
      <c r="AG31" s="1">
        <v>0</v>
      </c>
      <c r="AH31" s="1">
        <f t="shared" si="5"/>
        <v>0</v>
      </c>
      <c r="AI31" s="1">
        <f t="shared" si="6"/>
        <v>0</v>
      </c>
      <c r="AJ31" s="1">
        <f t="shared" si="7"/>
        <v>0</v>
      </c>
      <c r="AK31" s="1">
        <f t="shared" si="9"/>
        <v>0</v>
      </c>
      <c r="AL31" s="1">
        <f t="shared" si="8"/>
        <v>0</v>
      </c>
      <c r="AM31" s="1">
        <f t="shared" si="8"/>
        <v>0</v>
      </c>
      <c r="AN31" s="1">
        <v>0</v>
      </c>
      <c r="AO31" s="1">
        <f t="shared" si="8"/>
        <v>1</v>
      </c>
      <c r="AP31" s="1">
        <f t="shared" si="8"/>
        <v>0</v>
      </c>
      <c r="AQ31" s="1">
        <f t="shared" si="8"/>
        <v>0</v>
      </c>
      <c r="AR31" s="1">
        <f t="shared" si="8"/>
        <v>0</v>
      </c>
      <c r="AS31" s="1">
        <f t="shared" si="8"/>
        <v>0</v>
      </c>
    </row>
    <row r="32" ht="15" customHeight="1" spans="1:45">
      <c r="A32" s="1">
        <f t="shared" si="4"/>
        <v>30</v>
      </c>
      <c r="C32" s="57" t="str">
        <f>tblIndicators!AE32</f>
        <v>3.1.2) Pedestrian friendliness</v>
      </c>
      <c r="D32" s="1" t="str">
        <f t="shared" si="0"/>
        <v>3.1.2) Pedestrian friendliness</v>
      </c>
      <c r="F32" s="23">
        <f>INDEX(M32:Y32,uxb_works!$B$39)</f>
        <v>1</v>
      </c>
      <c r="G32" s="32"/>
      <c r="L32" s="1">
        <v>1</v>
      </c>
      <c r="M32" s="1">
        <v>1</v>
      </c>
      <c r="N32" s="1">
        <v>0</v>
      </c>
      <c r="O32" s="1">
        <v>0</v>
      </c>
      <c r="P32" s="1">
        <v>0</v>
      </c>
      <c r="Q32" s="1">
        <v>0</v>
      </c>
      <c r="R32" s="1">
        <v>0</v>
      </c>
      <c r="S32" s="1">
        <v>0</v>
      </c>
      <c r="T32" s="1">
        <v>1</v>
      </c>
      <c r="U32" s="1">
        <v>1</v>
      </c>
      <c r="V32" s="1">
        <v>0</v>
      </c>
      <c r="W32" s="1">
        <v>0</v>
      </c>
      <c r="X32" s="1">
        <v>0</v>
      </c>
      <c r="Y32" s="1">
        <v>0</v>
      </c>
      <c r="AC32" s="23">
        <f>INDEX(AG32:AT32,uxb_works!$B$39)</f>
        <v>0</v>
      </c>
      <c r="AF32" s="1">
        <v>1</v>
      </c>
      <c r="AG32" s="1">
        <v>0</v>
      </c>
      <c r="AH32" s="1">
        <f t="shared" si="5"/>
        <v>0</v>
      </c>
      <c r="AI32" s="1">
        <f t="shared" si="6"/>
        <v>0</v>
      </c>
      <c r="AJ32" s="1">
        <f t="shared" si="7"/>
        <v>0</v>
      </c>
      <c r="AK32" s="1">
        <f t="shared" si="9"/>
        <v>0</v>
      </c>
      <c r="AL32" s="1">
        <f t="shared" si="8"/>
        <v>0</v>
      </c>
      <c r="AM32" s="1">
        <f t="shared" si="8"/>
        <v>0</v>
      </c>
      <c r="AN32" s="1">
        <v>0</v>
      </c>
      <c r="AO32" s="1">
        <f t="shared" si="8"/>
        <v>1</v>
      </c>
      <c r="AP32" s="1">
        <f t="shared" si="8"/>
        <v>0</v>
      </c>
      <c r="AQ32" s="1">
        <f t="shared" si="8"/>
        <v>0</v>
      </c>
      <c r="AR32" s="1">
        <f t="shared" si="8"/>
        <v>0</v>
      </c>
      <c r="AS32" s="1">
        <f t="shared" si="8"/>
        <v>0</v>
      </c>
    </row>
    <row r="33" ht="15" customHeight="1" spans="1:45">
      <c r="A33" s="1">
        <f t="shared" si="4"/>
        <v>31</v>
      </c>
      <c r="C33" s="57" t="str">
        <f>tblIndicators!AE33</f>
        <v>3.1.3) Quality of road infrastructure</v>
      </c>
      <c r="D33" s="1" t="str">
        <f t="shared" si="0"/>
        <v>3.1.3) Quality of road infrastructure</v>
      </c>
      <c r="F33" s="23">
        <f>INDEX(M33:Y33,uxb_works!$B$39)</f>
        <v>1</v>
      </c>
      <c r="G33" s="32"/>
      <c r="L33" s="1">
        <v>1</v>
      </c>
      <c r="M33" s="1">
        <v>1</v>
      </c>
      <c r="N33" s="1">
        <v>0</v>
      </c>
      <c r="O33" s="1">
        <v>0</v>
      </c>
      <c r="P33" s="1">
        <v>0</v>
      </c>
      <c r="Q33" s="1">
        <v>0</v>
      </c>
      <c r="R33" s="1">
        <v>0</v>
      </c>
      <c r="S33" s="1">
        <v>0</v>
      </c>
      <c r="T33" s="1">
        <v>1</v>
      </c>
      <c r="U33" s="1">
        <v>1</v>
      </c>
      <c r="V33" s="1">
        <v>0</v>
      </c>
      <c r="W33" s="1">
        <v>0</v>
      </c>
      <c r="X33" s="1">
        <v>0</v>
      </c>
      <c r="Y33" s="1">
        <v>0</v>
      </c>
      <c r="AC33" s="23">
        <f>INDEX(AG33:AT33,uxb_works!$B$39)</f>
        <v>0</v>
      </c>
      <c r="AF33" s="1">
        <v>1</v>
      </c>
      <c r="AG33" s="1">
        <v>0</v>
      </c>
      <c r="AH33" s="1">
        <f t="shared" si="5"/>
        <v>0</v>
      </c>
      <c r="AI33" s="1">
        <f t="shared" si="6"/>
        <v>0</v>
      </c>
      <c r="AJ33" s="1">
        <f t="shared" si="7"/>
        <v>0</v>
      </c>
      <c r="AK33" s="1">
        <f t="shared" si="9"/>
        <v>0</v>
      </c>
      <c r="AL33" s="1">
        <f t="shared" si="8"/>
        <v>0</v>
      </c>
      <c r="AM33" s="1">
        <f t="shared" si="8"/>
        <v>0</v>
      </c>
      <c r="AN33" s="1">
        <v>0</v>
      </c>
      <c r="AO33" s="1">
        <f t="shared" si="8"/>
        <v>1</v>
      </c>
      <c r="AP33" s="1">
        <f t="shared" si="8"/>
        <v>0</v>
      </c>
      <c r="AQ33" s="1">
        <f t="shared" si="8"/>
        <v>0</v>
      </c>
      <c r="AR33" s="1">
        <f t="shared" si="8"/>
        <v>0</v>
      </c>
      <c r="AS33" s="1">
        <f t="shared" si="8"/>
        <v>0</v>
      </c>
    </row>
    <row r="34" ht="15" customHeight="1" spans="1:45">
      <c r="A34" s="1">
        <f t="shared" si="4"/>
        <v>32</v>
      </c>
      <c r="C34" s="57" t="str">
        <f>tblIndicators!AE34</f>
        <v>3.1.4) Quality of electricity infrastructure</v>
      </c>
      <c r="D34" s="1" t="str">
        <f t="shared" si="0"/>
        <v>3.1.4) Quality of electricity infrastructure</v>
      </c>
      <c r="F34" s="23">
        <f>INDEX(M34:Y34,uxb_works!$B$39)</f>
        <v>1</v>
      </c>
      <c r="G34" s="32"/>
      <c r="L34" s="1">
        <v>1</v>
      </c>
      <c r="M34" s="1">
        <v>1</v>
      </c>
      <c r="N34" s="1">
        <v>0</v>
      </c>
      <c r="O34" s="1">
        <v>0</v>
      </c>
      <c r="P34" s="1">
        <v>0</v>
      </c>
      <c r="Q34" s="1">
        <v>0</v>
      </c>
      <c r="R34" s="1">
        <v>0</v>
      </c>
      <c r="S34" s="1">
        <v>0</v>
      </c>
      <c r="T34" s="1">
        <v>1</v>
      </c>
      <c r="U34" s="1">
        <v>1</v>
      </c>
      <c r="V34" s="1">
        <v>0</v>
      </c>
      <c r="W34" s="1">
        <v>0</v>
      </c>
      <c r="X34" s="1">
        <v>0</v>
      </c>
      <c r="Y34" s="1">
        <v>0</v>
      </c>
      <c r="AC34" s="23">
        <f>INDEX(AG34:AT34,uxb_works!$B$39)</f>
        <v>0</v>
      </c>
      <c r="AF34" s="1">
        <v>1</v>
      </c>
      <c r="AG34" s="1">
        <v>0</v>
      </c>
      <c r="AH34" s="1">
        <f t="shared" si="5"/>
        <v>0</v>
      </c>
      <c r="AI34" s="1">
        <f t="shared" si="6"/>
        <v>0</v>
      </c>
      <c r="AJ34" s="1">
        <f t="shared" si="7"/>
        <v>0</v>
      </c>
      <c r="AK34" s="1">
        <f t="shared" si="9"/>
        <v>0</v>
      </c>
      <c r="AL34" s="1">
        <f t="shared" si="8"/>
        <v>0</v>
      </c>
      <c r="AM34" s="1">
        <f t="shared" si="8"/>
        <v>0</v>
      </c>
      <c r="AN34" s="1">
        <v>0</v>
      </c>
      <c r="AO34" s="1">
        <f t="shared" si="8"/>
        <v>1</v>
      </c>
      <c r="AP34" s="1">
        <f t="shared" si="8"/>
        <v>0</v>
      </c>
      <c r="AQ34" s="1">
        <f t="shared" si="8"/>
        <v>0</v>
      </c>
      <c r="AR34" s="1">
        <f t="shared" si="8"/>
        <v>0</v>
      </c>
      <c r="AS34" s="1">
        <f t="shared" si="8"/>
        <v>0</v>
      </c>
    </row>
    <row r="35" ht="15" customHeight="1" spans="1:45">
      <c r="A35" s="1">
        <f t="shared" si="4"/>
        <v>33</v>
      </c>
      <c r="C35" s="57" t="str">
        <f>tblIndicators!AE35</f>
        <v>3.1.5) Disaster management/business continuity plan</v>
      </c>
      <c r="D35" s="1" t="str">
        <f t="shared" si="0"/>
        <v>3.1.5) Disaster management/business continuity plan</v>
      </c>
      <c r="F35" s="23">
        <f>INDEX(M35:Y35,uxb_works!$B$39)</f>
        <v>1</v>
      </c>
      <c r="G35" s="32"/>
      <c r="L35" s="1">
        <v>1</v>
      </c>
      <c r="M35" s="1">
        <v>1</v>
      </c>
      <c r="N35" s="1">
        <v>0</v>
      </c>
      <c r="O35" s="1">
        <v>0</v>
      </c>
      <c r="P35" s="1">
        <v>0</v>
      </c>
      <c r="Q35" s="1">
        <v>0</v>
      </c>
      <c r="R35" s="1">
        <v>0</v>
      </c>
      <c r="S35" s="1">
        <v>0</v>
      </c>
      <c r="T35" s="1">
        <v>1</v>
      </c>
      <c r="U35" s="1">
        <v>1</v>
      </c>
      <c r="V35" s="1">
        <v>0</v>
      </c>
      <c r="W35" s="1">
        <v>0</v>
      </c>
      <c r="X35" s="1">
        <v>0</v>
      </c>
      <c r="Y35" s="1">
        <v>0</v>
      </c>
      <c r="AC35" s="23">
        <f>INDEX(AG35:AT35,uxb_works!$B$39)</f>
        <v>0</v>
      </c>
      <c r="AF35" s="1">
        <v>1</v>
      </c>
      <c r="AG35" s="1">
        <v>0</v>
      </c>
      <c r="AH35" s="1">
        <f t="shared" si="5"/>
        <v>0</v>
      </c>
      <c r="AI35" s="1">
        <f t="shared" si="6"/>
        <v>0</v>
      </c>
      <c r="AJ35" s="1">
        <f t="shared" si="7"/>
        <v>0</v>
      </c>
      <c r="AK35" s="1">
        <f t="shared" si="9"/>
        <v>0</v>
      </c>
      <c r="AL35" s="1">
        <f t="shared" si="8"/>
        <v>0</v>
      </c>
      <c r="AM35" s="1">
        <f t="shared" si="8"/>
        <v>0</v>
      </c>
      <c r="AN35" s="1">
        <v>0</v>
      </c>
      <c r="AO35" s="1">
        <f t="shared" si="8"/>
        <v>1</v>
      </c>
      <c r="AP35" s="1">
        <f t="shared" si="8"/>
        <v>0</v>
      </c>
      <c r="AQ35" s="1">
        <f t="shared" si="8"/>
        <v>0</v>
      </c>
      <c r="AR35" s="1">
        <f t="shared" si="8"/>
        <v>0</v>
      </c>
      <c r="AS35" s="1">
        <f t="shared" si="8"/>
        <v>0</v>
      </c>
    </row>
    <row r="36" ht="15" customHeight="1" spans="1:45">
      <c r="A36" s="1">
        <f t="shared" si="4"/>
        <v>34</v>
      </c>
      <c r="C36" s="57" t="str">
        <f>tblIndicators!AE36</f>
        <v>3.2) Infrastructure security (Outputs)</v>
      </c>
      <c r="D36" s="1" t="str">
        <f t="shared" si="0"/>
        <v>3.2) Infrastructure security (Outputs)</v>
      </c>
      <c r="F36" s="23">
        <f>INDEX(M36:Y36,uxb_works!$B$39)</f>
        <v>1</v>
      </c>
      <c r="G36" s="32"/>
      <c r="L36" s="1">
        <v>1</v>
      </c>
      <c r="M36" s="1">
        <v>1</v>
      </c>
      <c r="N36" s="1">
        <v>0</v>
      </c>
      <c r="O36" s="1">
        <v>0</v>
      </c>
      <c r="P36" s="1">
        <v>0</v>
      </c>
      <c r="Q36" s="1">
        <v>0</v>
      </c>
      <c r="R36" s="1">
        <v>0</v>
      </c>
      <c r="S36" s="1">
        <v>0</v>
      </c>
      <c r="T36" s="1">
        <v>1</v>
      </c>
      <c r="U36" s="1">
        <v>0</v>
      </c>
      <c r="V36" s="1">
        <v>0</v>
      </c>
      <c r="W36" s="1">
        <v>0</v>
      </c>
      <c r="X36" s="1">
        <v>0</v>
      </c>
      <c r="Y36" s="1">
        <v>0</v>
      </c>
      <c r="AC36" s="23">
        <f>INDEX(AG36:AT36,uxb_works!$B$39)</f>
        <v>0</v>
      </c>
      <c r="AF36" s="1">
        <v>1</v>
      </c>
      <c r="AG36" s="1">
        <v>0</v>
      </c>
      <c r="AH36" s="1">
        <f t="shared" si="5"/>
        <v>0</v>
      </c>
      <c r="AI36" s="1">
        <f t="shared" si="6"/>
        <v>0</v>
      </c>
      <c r="AJ36" s="1">
        <f t="shared" si="7"/>
        <v>0</v>
      </c>
      <c r="AK36" s="1">
        <f t="shared" si="9"/>
        <v>0</v>
      </c>
      <c r="AL36" s="1">
        <f t="shared" si="8"/>
        <v>0</v>
      </c>
      <c r="AM36" s="1">
        <f t="shared" si="8"/>
        <v>0</v>
      </c>
      <c r="AN36" s="1">
        <f t="shared" si="8"/>
        <v>1</v>
      </c>
      <c r="AO36" s="1">
        <f t="shared" si="8"/>
        <v>0</v>
      </c>
      <c r="AP36" s="1">
        <f t="shared" si="8"/>
        <v>0</v>
      </c>
      <c r="AQ36" s="1">
        <f t="shared" si="8"/>
        <v>0</v>
      </c>
      <c r="AR36" s="1">
        <f t="shared" si="8"/>
        <v>0</v>
      </c>
      <c r="AS36" s="1">
        <f t="shared" si="8"/>
        <v>0</v>
      </c>
    </row>
    <row r="37" ht="15" customHeight="1" spans="1:45">
      <c r="A37" s="1">
        <f t="shared" si="4"/>
        <v>35</v>
      </c>
      <c r="C37" s="57" t="str">
        <f>tblIndicators!AE37</f>
        <v>3.2.1) Deaths from natural disaster</v>
      </c>
      <c r="D37" s="1" t="str">
        <f t="shared" si="0"/>
        <v>3.2.1) Deaths from natural disaster</v>
      </c>
      <c r="F37" s="23">
        <f>INDEX(M37:Y37,uxb_works!$B$39)</f>
        <v>1</v>
      </c>
      <c r="G37" s="32"/>
      <c r="L37" s="1">
        <v>1</v>
      </c>
      <c r="M37" s="1">
        <v>1</v>
      </c>
      <c r="N37" s="1">
        <v>0</v>
      </c>
      <c r="O37" s="1">
        <v>0</v>
      </c>
      <c r="P37" s="1">
        <v>0</v>
      </c>
      <c r="Q37" s="1">
        <v>0</v>
      </c>
      <c r="R37" s="1">
        <v>0</v>
      </c>
      <c r="S37" s="1">
        <v>0</v>
      </c>
      <c r="T37" s="1">
        <v>1</v>
      </c>
      <c r="U37" s="1">
        <v>0</v>
      </c>
      <c r="V37" s="1">
        <v>1</v>
      </c>
      <c r="W37" s="1">
        <v>0</v>
      </c>
      <c r="X37" s="1">
        <v>0</v>
      </c>
      <c r="Y37" s="1">
        <v>0</v>
      </c>
      <c r="AC37" s="23">
        <f>INDEX(AG37:AT37,uxb_works!$B$39)</f>
        <v>0</v>
      </c>
      <c r="AF37" s="1">
        <v>1</v>
      </c>
      <c r="AG37" s="1">
        <v>0</v>
      </c>
      <c r="AH37" s="1">
        <f t="shared" si="5"/>
        <v>0</v>
      </c>
      <c r="AI37" s="1">
        <f t="shared" si="6"/>
        <v>0</v>
      </c>
      <c r="AJ37" s="1">
        <f t="shared" si="7"/>
        <v>0</v>
      </c>
      <c r="AK37" s="1">
        <f t="shared" si="9"/>
        <v>0</v>
      </c>
      <c r="AL37" s="1">
        <f t="shared" si="8"/>
        <v>0</v>
      </c>
      <c r="AM37" s="1">
        <f t="shared" si="8"/>
        <v>0</v>
      </c>
      <c r="AN37" s="1">
        <v>0</v>
      </c>
      <c r="AO37" s="1">
        <f t="shared" si="8"/>
        <v>0</v>
      </c>
      <c r="AP37" s="1">
        <f t="shared" si="8"/>
        <v>1</v>
      </c>
      <c r="AQ37" s="1">
        <f t="shared" si="8"/>
        <v>0</v>
      </c>
      <c r="AR37" s="1">
        <f t="shared" si="8"/>
        <v>0</v>
      </c>
      <c r="AS37" s="1">
        <f t="shared" si="8"/>
        <v>0</v>
      </c>
    </row>
    <row r="38" ht="15" customHeight="1" spans="1:45">
      <c r="A38" s="1">
        <f t="shared" si="4"/>
        <v>36</v>
      </c>
      <c r="C38" s="57" t="str">
        <f>tblIndicators!AE38</f>
        <v>3.2.2) Frequency of vehicular accidents</v>
      </c>
      <c r="D38" s="1" t="str">
        <f t="shared" si="0"/>
        <v>3.2.2) Frequency of vehicular accidents</v>
      </c>
      <c r="F38" s="23">
        <f>INDEX(M38:Y38,uxb_works!$B$39)</f>
        <v>1</v>
      </c>
      <c r="G38" s="32"/>
      <c r="L38" s="1">
        <v>1</v>
      </c>
      <c r="M38" s="1">
        <v>1</v>
      </c>
      <c r="N38" s="1">
        <v>0</v>
      </c>
      <c r="O38" s="1">
        <v>0</v>
      </c>
      <c r="P38" s="1">
        <v>0</v>
      </c>
      <c r="Q38" s="1">
        <v>0</v>
      </c>
      <c r="R38" s="1">
        <v>0</v>
      </c>
      <c r="S38" s="1">
        <v>0</v>
      </c>
      <c r="T38" s="1">
        <v>1</v>
      </c>
      <c r="U38" s="1">
        <v>0</v>
      </c>
      <c r="V38" s="1">
        <v>1</v>
      </c>
      <c r="W38" s="1">
        <v>0</v>
      </c>
      <c r="X38" s="1">
        <v>0</v>
      </c>
      <c r="Y38" s="1">
        <v>0</v>
      </c>
      <c r="AC38" s="23">
        <f>INDEX(AG38:AT38,uxb_works!$B$39)</f>
        <v>0</v>
      </c>
      <c r="AF38" s="1">
        <v>1</v>
      </c>
      <c r="AG38" s="1">
        <v>0</v>
      </c>
      <c r="AH38" s="1">
        <f t="shared" si="5"/>
        <v>0</v>
      </c>
      <c r="AI38" s="1">
        <f t="shared" si="6"/>
        <v>0</v>
      </c>
      <c r="AJ38" s="1">
        <f t="shared" si="7"/>
        <v>0</v>
      </c>
      <c r="AK38" s="1">
        <f t="shared" si="9"/>
        <v>0</v>
      </c>
      <c r="AL38" s="1">
        <f t="shared" si="8"/>
        <v>0</v>
      </c>
      <c r="AM38" s="1">
        <f t="shared" si="8"/>
        <v>0</v>
      </c>
      <c r="AN38" s="1">
        <v>0</v>
      </c>
      <c r="AO38" s="1">
        <f t="shared" si="8"/>
        <v>0</v>
      </c>
      <c r="AP38" s="1">
        <f t="shared" si="8"/>
        <v>1</v>
      </c>
      <c r="AQ38" s="1">
        <f t="shared" si="8"/>
        <v>0</v>
      </c>
      <c r="AR38" s="1">
        <f t="shared" si="8"/>
        <v>0</v>
      </c>
      <c r="AS38" s="1">
        <f t="shared" si="8"/>
        <v>0</v>
      </c>
    </row>
    <row r="39" ht="15" customHeight="1" spans="1:45">
      <c r="A39" s="1">
        <f t="shared" si="4"/>
        <v>37</v>
      </c>
      <c r="C39" s="57" t="str">
        <f>tblIndicators!AE39</f>
        <v>3.2.3) Frequency of pedestrian deaths</v>
      </c>
      <c r="D39" s="1" t="str">
        <f t="shared" si="0"/>
        <v>3.2.3) Frequency of pedestrian deaths</v>
      </c>
      <c r="F39" s="23">
        <f>INDEX(M39:Y39,uxb_works!$B$39)</f>
        <v>1</v>
      </c>
      <c r="G39" s="32"/>
      <c r="L39" s="1">
        <v>1</v>
      </c>
      <c r="M39" s="1">
        <v>1</v>
      </c>
      <c r="N39" s="1">
        <v>0</v>
      </c>
      <c r="O39" s="1">
        <v>0</v>
      </c>
      <c r="P39" s="1">
        <v>0</v>
      </c>
      <c r="Q39" s="1">
        <v>0</v>
      </c>
      <c r="R39" s="1">
        <v>0</v>
      </c>
      <c r="S39" s="1">
        <v>0</v>
      </c>
      <c r="T39" s="1">
        <v>1</v>
      </c>
      <c r="U39" s="1">
        <v>0</v>
      </c>
      <c r="V39" s="1">
        <v>1</v>
      </c>
      <c r="W39" s="1">
        <v>0</v>
      </c>
      <c r="X39" s="1">
        <v>0</v>
      </c>
      <c r="Y39" s="1">
        <v>0</v>
      </c>
      <c r="AC39" s="23">
        <f>INDEX(AG39:AT39,uxb_works!$B$39)</f>
        <v>0</v>
      </c>
      <c r="AF39" s="1">
        <v>1</v>
      </c>
      <c r="AG39" s="1">
        <v>0</v>
      </c>
      <c r="AH39" s="1">
        <f t="shared" si="5"/>
        <v>0</v>
      </c>
      <c r="AI39" s="1">
        <f t="shared" si="6"/>
        <v>0</v>
      </c>
      <c r="AJ39" s="1">
        <f t="shared" si="7"/>
        <v>0</v>
      </c>
      <c r="AK39" s="1">
        <f t="shared" si="9"/>
        <v>0</v>
      </c>
      <c r="AL39" s="1">
        <f t="shared" si="8"/>
        <v>0</v>
      </c>
      <c r="AM39" s="1">
        <f t="shared" si="8"/>
        <v>0</v>
      </c>
      <c r="AN39" s="1">
        <v>0</v>
      </c>
      <c r="AO39" s="1">
        <f t="shared" si="8"/>
        <v>0</v>
      </c>
      <c r="AP39" s="1">
        <f t="shared" si="8"/>
        <v>1</v>
      </c>
      <c r="AQ39" s="1">
        <f t="shared" si="8"/>
        <v>0</v>
      </c>
      <c r="AR39" s="1">
        <f t="shared" si="8"/>
        <v>0</v>
      </c>
      <c r="AS39" s="1">
        <f t="shared" si="8"/>
        <v>0</v>
      </c>
    </row>
    <row r="40" ht="15" customHeight="1" spans="1:45">
      <c r="A40" s="1">
        <f t="shared" si="4"/>
        <v>38</v>
      </c>
      <c r="C40" s="57" t="str">
        <f>tblIndicators!AE40</f>
        <v>3.2.4) Percentage living in slums</v>
      </c>
      <c r="D40" s="1" t="str">
        <f t="shared" si="0"/>
        <v>3.2.4) Percentage living in slums</v>
      </c>
      <c r="F40" s="23">
        <f>INDEX(M40:Y40,uxb_works!$B$39)</f>
        <v>1</v>
      </c>
      <c r="G40" s="32"/>
      <c r="L40" s="1">
        <v>1</v>
      </c>
      <c r="M40" s="1">
        <v>1</v>
      </c>
      <c r="N40" s="1">
        <v>0</v>
      </c>
      <c r="O40" s="1">
        <v>0</v>
      </c>
      <c r="P40" s="1">
        <v>0</v>
      </c>
      <c r="Q40" s="1">
        <v>0</v>
      </c>
      <c r="R40" s="1">
        <v>0</v>
      </c>
      <c r="S40" s="1">
        <v>0</v>
      </c>
      <c r="T40" s="1">
        <v>1</v>
      </c>
      <c r="U40" s="1">
        <v>0</v>
      </c>
      <c r="V40" s="1">
        <v>1</v>
      </c>
      <c r="W40" s="1">
        <v>0</v>
      </c>
      <c r="X40" s="1">
        <v>0</v>
      </c>
      <c r="Y40" s="1">
        <v>0</v>
      </c>
      <c r="AC40" s="23">
        <f>INDEX(AG40:AT40,uxb_works!$B$39)</f>
        <v>0</v>
      </c>
      <c r="AF40" s="1">
        <v>1</v>
      </c>
      <c r="AG40" s="1">
        <v>0</v>
      </c>
      <c r="AH40" s="1">
        <f t="shared" si="5"/>
        <v>0</v>
      </c>
      <c r="AI40" s="1">
        <f t="shared" si="6"/>
        <v>0</v>
      </c>
      <c r="AJ40" s="1">
        <f t="shared" si="7"/>
        <v>0</v>
      </c>
      <c r="AK40" s="1">
        <f t="shared" si="9"/>
        <v>0</v>
      </c>
      <c r="AL40" s="1">
        <f t="shared" si="8"/>
        <v>0</v>
      </c>
      <c r="AM40" s="1">
        <f t="shared" si="8"/>
        <v>0</v>
      </c>
      <c r="AN40" s="1">
        <v>0</v>
      </c>
      <c r="AO40" s="1">
        <f t="shared" si="8"/>
        <v>0</v>
      </c>
      <c r="AP40" s="1">
        <f t="shared" si="8"/>
        <v>1</v>
      </c>
      <c r="AQ40" s="1">
        <f t="shared" si="8"/>
        <v>0</v>
      </c>
      <c r="AR40" s="1">
        <f t="shared" si="8"/>
        <v>0</v>
      </c>
      <c r="AS40" s="1">
        <f t="shared" si="8"/>
        <v>0</v>
      </c>
    </row>
    <row r="41" ht="15" customHeight="1" spans="1:45">
      <c r="A41" s="1">
        <f t="shared" si="4"/>
        <v>39</v>
      </c>
      <c r="C41" s="57" t="str">
        <f>tblIndicators!AE41</f>
        <v>3.2.5) Number of attacks on facilities/infrastructure</v>
      </c>
      <c r="D41" s="1" t="str">
        <f t="shared" si="0"/>
        <v>3.2.5) Number of attacks on facilities/infrastructure</v>
      </c>
      <c r="F41" s="23">
        <f>INDEX(M41:Y41,uxb_works!$B$39)</f>
        <v>1</v>
      </c>
      <c r="G41" s="32"/>
      <c r="L41" s="1">
        <v>1</v>
      </c>
      <c r="M41" s="1">
        <v>1</v>
      </c>
      <c r="N41" s="1">
        <v>0</v>
      </c>
      <c r="O41" s="1">
        <v>0</v>
      </c>
      <c r="P41" s="1">
        <v>0</v>
      </c>
      <c r="Q41" s="1">
        <v>0</v>
      </c>
      <c r="R41" s="1">
        <v>0</v>
      </c>
      <c r="S41" s="1">
        <v>0</v>
      </c>
      <c r="T41" s="1">
        <v>1</v>
      </c>
      <c r="U41" s="1">
        <v>0</v>
      </c>
      <c r="V41" s="1">
        <v>1</v>
      </c>
      <c r="W41" s="1">
        <v>0</v>
      </c>
      <c r="X41" s="1">
        <v>0</v>
      </c>
      <c r="Y41" s="1">
        <v>0</v>
      </c>
      <c r="AC41" s="23">
        <f>INDEX(AG41:AT41,uxb_works!$B$39)</f>
        <v>0</v>
      </c>
      <c r="AF41" s="1">
        <v>1</v>
      </c>
      <c r="AG41" s="1">
        <v>0</v>
      </c>
      <c r="AH41" s="1">
        <f t="shared" si="5"/>
        <v>0</v>
      </c>
      <c r="AI41" s="1">
        <f t="shared" si="6"/>
        <v>0</v>
      </c>
      <c r="AJ41" s="1">
        <f t="shared" si="7"/>
        <v>0</v>
      </c>
      <c r="AK41" s="1">
        <f t="shared" si="9"/>
        <v>0</v>
      </c>
      <c r="AL41" s="1">
        <f t="shared" si="8"/>
        <v>0</v>
      </c>
      <c r="AM41" s="1">
        <f t="shared" si="8"/>
        <v>0</v>
      </c>
      <c r="AN41" s="1">
        <v>0</v>
      </c>
      <c r="AO41" s="1">
        <f t="shared" si="8"/>
        <v>0</v>
      </c>
      <c r="AP41" s="1">
        <f t="shared" si="8"/>
        <v>1</v>
      </c>
      <c r="AQ41" s="1">
        <f t="shared" si="8"/>
        <v>0</v>
      </c>
      <c r="AR41" s="1">
        <f t="shared" si="8"/>
        <v>0</v>
      </c>
      <c r="AS41" s="1">
        <f t="shared" si="8"/>
        <v>0</v>
      </c>
    </row>
    <row r="42" ht="15" customHeight="1" spans="1:45">
      <c r="A42" s="1">
        <f t="shared" si="4"/>
        <v>40</v>
      </c>
      <c r="C42" s="57" t="str">
        <f>tblIndicators!AE42</f>
        <v>4) PERSONAL SECURITY</v>
      </c>
      <c r="D42" s="1" t="str">
        <f t="shared" si="0"/>
        <v>4) PERSONAL SECURITY</v>
      </c>
      <c r="F42" s="23">
        <f>INDEX(M42:Y42,uxb_works!$B$39)</f>
        <v>1</v>
      </c>
      <c r="G42" s="32"/>
      <c r="L42" s="1">
        <v>1</v>
      </c>
      <c r="M42" s="1">
        <v>1</v>
      </c>
      <c r="N42" s="1">
        <v>0</v>
      </c>
      <c r="O42" s="1">
        <v>0</v>
      </c>
      <c r="P42" s="1">
        <v>0</v>
      </c>
      <c r="Q42" s="1">
        <v>0</v>
      </c>
      <c r="R42" s="1">
        <v>0</v>
      </c>
      <c r="S42" s="1">
        <v>0</v>
      </c>
      <c r="T42" s="1">
        <v>0</v>
      </c>
      <c r="U42" s="1">
        <v>0</v>
      </c>
      <c r="V42" s="1">
        <v>0</v>
      </c>
      <c r="W42" s="1">
        <v>1</v>
      </c>
      <c r="X42" s="1">
        <v>0</v>
      </c>
      <c r="Y42" s="1">
        <v>0</v>
      </c>
      <c r="AC42" s="23">
        <f>INDEX(AG42:AT42,uxb_works!$B$39)</f>
        <v>1</v>
      </c>
      <c r="AF42" s="1">
        <v>1</v>
      </c>
      <c r="AG42" s="1">
        <v>1</v>
      </c>
      <c r="AH42" s="1">
        <f t="shared" si="5"/>
        <v>0</v>
      </c>
      <c r="AI42" s="1">
        <f t="shared" si="6"/>
        <v>0</v>
      </c>
      <c r="AJ42" s="1">
        <f t="shared" si="7"/>
        <v>0</v>
      </c>
      <c r="AK42" s="1">
        <f t="shared" si="9"/>
        <v>0</v>
      </c>
      <c r="AL42" s="1">
        <f t="shared" si="8"/>
        <v>0</v>
      </c>
      <c r="AM42" s="1">
        <f t="shared" si="8"/>
        <v>0</v>
      </c>
      <c r="AN42" s="1">
        <f t="shared" si="8"/>
        <v>0</v>
      </c>
      <c r="AO42" s="1">
        <f t="shared" si="8"/>
        <v>0</v>
      </c>
      <c r="AP42" s="1">
        <f t="shared" si="8"/>
        <v>0</v>
      </c>
      <c r="AQ42" s="1">
        <v>0</v>
      </c>
      <c r="AR42" s="1">
        <f t="shared" si="8"/>
        <v>0</v>
      </c>
      <c r="AS42" s="1">
        <f t="shared" si="8"/>
        <v>0</v>
      </c>
    </row>
    <row r="43" ht="15" customHeight="1" spans="1:45">
      <c r="A43" s="1">
        <f t="shared" si="4"/>
        <v>41</v>
      </c>
      <c r="C43" s="57" t="str">
        <f>tblIndicators!AE43</f>
        <v>4.1) Personal security (Inputs)</v>
      </c>
      <c r="D43" s="1" t="str">
        <f t="shared" si="0"/>
        <v>4.1) Personal security (Inputs)</v>
      </c>
      <c r="F43" s="23">
        <f>INDEX(M43:Y43,uxb_works!$B$39)</f>
        <v>1</v>
      </c>
      <c r="G43" s="32"/>
      <c r="L43" s="1">
        <v>1</v>
      </c>
      <c r="M43" s="1">
        <v>1</v>
      </c>
      <c r="N43" s="1">
        <v>0</v>
      </c>
      <c r="O43" s="1">
        <v>0</v>
      </c>
      <c r="P43" s="1">
        <v>0</v>
      </c>
      <c r="Q43" s="1">
        <v>0</v>
      </c>
      <c r="R43" s="1">
        <v>0</v>
      </c>
      <c r="S43" s="1">
        <v>0</v>
      </c>
      <c r="T43" s="1">
        <v>0</v>
      </c>
      <c r="U43" s="1">
        <v>0</v>
      </c>
      <c r="V43" s="1">
        <v>0</v>
      </c>
      <c r="W43" s="1">
        <v>1</v>
      </c>
      <c r="X43" s="1">
        <v>0</v>
      </c>
      <c r="Y43" s="1">
        <v>0</v>
      </c>
      <c r="AC43" s="23">
        <f>INDEX(AG43:AT43,uxb_works!$B$39)</f>
        <v>0</v>
      </c>
      <c r="AF43" s="1">
        <v>1</v>
      </c>
      <c r="AG43" s="1">
        <v>0</v>
      </c>
      <c r="AH43" s="1">
        <f t="shared" si="5"/>
        <v>0</v>
      </c>
      <c r="AI43" s="1">
        <f t="shared" si="6"/>
        <v>0</v>
      </c>
      <c r="AJ43" s="1">
        <f t="shared" si="7"/>
        <v>0</v>
      </c>
      <c r="AK43" s="1">
        <f t="shared" si="9"/>
        <v>0</v>
      </c>
      <c r="AL43" s="1">
        <f t="shared" si="8"/>
        <v>0</v>
      </c>
      <c r="AM43" s="1">
        <f t="shared" si="8"/>
        <v>0</v>
      </c>
      <c r="AN43" s="1">
        <f t="shared" si="8"/>
        <v>0</v>
      </c>
      <c r="AO43" s="1">
        <f t="shared" si="8"/>
        <v>0</v>
      </c>
      <c r="AP43" s="1">
        <f t="shared" si="8"/>
        <v>0</v>
      </c>
      <c r="AQ43" s="1">
        <v>1</v>
      </c>
      <c r="AR43" s="1">
        <f t="shared" si="8"/>
        <v>0</v>
      </c>
      <c r="AS43" s="1">
        <f t="shared" si="8"/>
        <v>0</v>
      </c>
    </row>
    <row r="44" ht="15" customHeight="1" spans="1:45">
      <c r="A44" s="1">
        <f t="shared" si="4"/>
        <v>42</v>
      </c>
      <c r="C44" s="57" t="str">
        <f>tblIndicators!AE44</f>
        <v>4.1.1) Level of police engagement</v>
      </c>
      <c r="D44" s="1" t="str">
        <f t="shared" si="0"/>
        <v>4.1.1) Level of police engagement</v>
      </c>
      <c r="F44" s="23">
        <f>INDEX(M44:Y44,uxb_works!$B$39)</f>
        <v>1</v>
      </c>
      <c r="G44" s="32"/>
      <c r="L44" s="1">
        <v>1</v>
      </c>
      <c r="M44" s="1">
        <v>1</v>
      </c>
      <c r="N44" s="1">
        <v>0</v>
      </c>
      <c r="O44" s="1">
        <v>0</v>
      </c>
      <c r="P44" s="1">
        <v>0</v>
      </c>
      <c r="Q44" s="1">
        <v>0</v>
      </c>
      <c r="R44" s="1">
        <v>0</v>
      </c>
      <c r="S44" s="1">
        <v>0</v>
      </c>
      <c r="T44" s="1">
        <v>0</v>
      </c>
      <c r="U44" s="1">
        <v>0</v>
      </c>
      <c r="V44" s="1">
        <v>0</v>
      </c>
      <c r="W44" s="1">
        <v>1</v>
      </c>
      <c r="X44" s="1">
        <v>1</v>
      </c>
      <c r="Y44" s="1">
        <v>0</v>
      </c>
      <c r="AC44" s="23">
        <f>INDEX(AG44:AT44,uxb_works!$B$39)</f>
        <v>0</v>
      </c>
      <c r="AF44" s="1">
        <v>1</v>
      </c>
      <c r="AG44" s="1">
        <v>0</v>
      </c>
      <c r="AH44" s="1">
        <f t="shared" si="5"/>
        <v>0</v>
      </c>
      <c r="AI44" s="1">
        <f t="shared" si="6"/>
        <v>0</v>
      </c>
      <c r="AJ44" s="1">
        <f t="shared" si="7"/>
        <v>0</v>
      </c>
      <c r="AK44" s="1">
        <f t="shared" si="9"/>
        <v>0</v>
      </c>
      <c r="AL44" s="1">
        <f t="shared" si="8"/>
        <v>0</v>
      </c>
      <c r="AM44" s="1">
        <f t="shared" si="8"/>
        <v>0</v>
      </c>
      <c r="AN44" s="1">
        <f t="shared" si="8"/>
        <v>0</v>
      </c>
      <c r="AO44" s="1">
        <f t="shared" si="8"/>
        <v>0</v>
      </c>
      <c r="AP44" s="1">
        <f t="shared" si="8"/>
        <v>0</v>
      </c>
      <c r="AQ44" s="1">
        <v>0</v>
      </c>
      <c r="AR44" s="1">
        <f t="shared" si="8"/>
        <v>1</v>
      </c>
      <c r="AS44" s="1">
        <f t="shared" si="8"/>
        <v>0</v>
      </c>
    </row>
    <row r="45" ht="15" customHeight="1" spans="1:45">
      <c r="A45" s="1">
        <f t="shared" si="4"/>
        <v>43</v>
      </c>
      <c r="C45" s="57" t="str">
        <f>tblIndicators!AE45</f>
        <v>4.1.2) Community-based patrolling</v>
      </c>
      <c r="D45" s="1" t="str">
        <f t="shared" ref="D45:D63" si="10">C45</f>
        <v>4.1.2) Community-based patrolling</v>
      </c>
      <c r="F45" s="23">
        <f>INDEX(M45:Y45,uxb_works!$B$39)</f>
        <v>1</v>
      </c>
      <c r="G45" s="32"/>
      <c r="L45" s="1">
        <v>1</v>
      </c>
      <c r="M45" s="1">
        <v>1</v>
      </c>
      <c r="N45" s="1">
        <v>0</v>
      </c>
      <c r="O45" s="1">
        <v>0</v>
      </c>
      <c r="P45" s="1">
        <v>0</v>
      </c>
      <c r="Q45" s="1">
        <v>0</v>
      </c>
      <c r="R45" s="1">
        <v>0</v>
      </c>
      <c r="S45" s="1">
        <v>0</v>
      </c>
      <c r="T45" s="1">
        <v>0</v>
      </c>
      <c r="U45" s="1">
        <v>0</v>
      </c>
      <c r="V45" s="1">
        <v>0</v>
      </c>
      <c r="W45" s="1">
        <v>1</v>
      </c>
      <c r="X45" s="1">
        <v>1</v>
      </c>
      <c r="Y45" s="1">
        <v>0</v>
      </c>
      <c r="AC45" s="23">
        <f>INDEX(AG45:AT45,uxb_works!$B$39)</f>
        <v>0</v>
      </c>
      <c r="AF45" s="1">
        <v>1</v>
      </c>
      <c r="AG45" s="1">
        <v>0</v>
      </c>
      <c r="AH45" s="1">
        <f t="shared" ref="AH45:AH63" si="11">N45</f>
        <v>0</v>
      </c>
      <c r="AI45" s="1">
        <f t="shared" ref="AI45:AI63" si="12">O45</f>
        <v>0</v>
      </c>
      <c r="AJ45" s="1">
        <f t="shared" ref="AJ45:AJ63" si="13">P45</f>
        <v>0</v>
      </c>
      <c r="AK45" s="1">
        <f t="shared" ref="AK45:AS63" si="14">Q45</f>
        <v>0</v>
      </c>
      <c r="AL45" s="1">
        <f t="shared" si="14"/>
        <v>0</v>
      </c>
      <c r="AM45" s="1">
        <f t="shared" si="14"/>
        <v>0</v>
      </c>
      <c r="AN45" s="1">
        <f t="shared" si="14"/>
        <v>0</v>
      </c>
      <c r="AO45" s="1">
        <f t="shared" si="14"/>
        <v>0</v>
      </c>
      <c r="AP45" s="1">
        <f t="shared" si="14"/>
        <v>0</v>
      </c>
      <c r="AQ45" s="1">
        <v>0</v>
      </c>
      <c r="AR45" s="1">
        <f t="shared" si="14"/>
        <v>1</v>
      </c>
      <c r="AS45" s="1">
        <f t="shared" si="14"/>
        <v>0</v>
      </c>
    </row>
    <row r="46" ht="15" customHeight="1" spans="1:45">
      <c r="A46" s="1">
        <f t="shared" si="4"/>
        <v>44</v>
      </c>
      <c r="C46" s="57" t="str">
        <f>tblIndicators!AE46</f>
        <v>4.1.3) Available street-level crime data</v>
      </c>
      <c r="D46" s="1" t="str">
        <f t="shared" si="10"/>
        <v>4.1.3) Available street-level crime data</v>
      </c>
      <c r="F46" s="23">
        <f>INDEX(M46:Y46,uxb_works!$B$39)</f>
        <v>1</v>
      </c>
      <c r="G46" s="32"/>
      <c r="L46" s="1">
        <v>1</v>
      </c>
      <c r="M46" s="1">
        <v>1</v>
      </c>
      <c r="N46" s="1">
        <v>0</v>
      </c>
      <c r="O46" s="1">
        <v>0</v>
      </c>
      <c r="P46" s="1">
        <v>0</v>
      </c>
      <c r="Q46" s="1">
        <v>0</v>
      </c>
      <c r="R46" s="1">
        <v>0</v>
      </c>
      <c r="S46" s="1">
        <v>0</v>
      </c>
      <c r="T46" s="1">
        <v>0</v>
      </c>
      <c r="U46" s="1">
        <v>0</v>
      </c>
      <c r="V46" s="1">
        <v>0</v>
      </c>
      <c r="W46" s="1">
        <v>1</v>
      </c>
      <c r="X46" s="1">
        <v>1</v>
      </c>
      <c r="Y46" s="1">
        <v>0</v>
      </c>
      <c r="AC46" s="23">
        <f>INDEX(AG46:AT46,uxb_works!$B$39)</f>
        <v>0</v>
      </c>
      <c r="AF46" s="1">
        <v>1</v>
      </c>
      <c r="AG46" s="1">
        <v>0</v>
      </c>
      <c r="AH46" s="1">
        <f t="shared" si="11"/>
        <v>0</v>
      </c>
      <c r="AI46" s="1">
        <f t="shared" si="12"/>
        <v>0</v>
      </c>
      <c r="AJ46" s="1">
        <f t="shared" si="13"/>
        <v>0</v>
      </c>
      <c r="AK46" s="1">
        <f t="shared" si="14"/>
        <v>0</v>
      </c>
      <c r="AL46" s="1">
        <f t="shared" si="14"/>
        <v>0</v>
      </c>
      <c r="AM46" s="1">
        <f t="shared" si="14"/>
        <v>0</v>
      </c>
      <c r="AN46" s="1">
        <f t="shared" si="14"/>
        <v>0</v>
      </c>
      <c r="AO46" s="1">
        <f t="shared" si="14"/>
        <v>0</v>
      </c>
      <c r="AP46" s="1">
        <f t="shared" si="14"/>
        <v>0</v>
      </c>
      <c r="AQ46" s="1">
        <v>0</v>
      </c>
      <c r="AR46" s="1">
        <f t="shared" si="14"/>
        <v>1</v>
      </c>
      <c r="AS46" s="1">
        <f t="shared" si="14"/>
        <v>0</v>
      </c>
    </row>
    <row r="47" ht="15" customHeight="1" spans="1:45">
      <c r="A47" s="1">
        <f t="shared" si="4"/>
        <v>45</v>
      </c>
      <c r="C47" s="57" t="str">
        <f>tblIndicators!AE47</f>
        <v>4.1.4) Use of data-driven techniques for crime</v>
      </c>
      <c r="D47" s="1" t="str">
        <f t="shared" si="10"/>
        <v>4.1.4) Use of data-driven techniques for crime</v>
      </c>
      <c r="F47" s="23">
        <f>INDEX(M47:Y47,uxb_works!$B$39)</f>
        <v>1</v>
      </c>
      <c r="G47" s="32"/>
      <c r="L47" s="1">
        <v>1</v>
      </c>
      <c r="M47" s="1">
        <v>1</v>
      </c>
      <c r="N47" s="1">
        <v>0</v>
      </c>
      <c r="O47" s="1">
        <v>0</v>
      </c>
      <c r="P47" s="1">
        <v>0</v>
      </c>
      <c r="Q47" s="1">
        <v>0</v>
      </c>
      <c r="R47" s="1">
        <v>0</v>
      </c>
      <c r="S47" s="1">
        <v>0</v>
      </c>
      <c r="T47" s="1">
        <v>0</v>
      </c>
      <c r="U47" s="1">
        <v>0</v>
      </c>
      <c r="V47" s="1">
        <v>0</v>
      </c>
      <c r="W47" s="1">
        <v>1</v>
      </c>
      <c r="X47" s="1">
        <v>1</v>
      </c>
      <c r="Y47" s="1">
        <v>0</v>
      </c>
      <c r="AC47" s="23">
        <f>INDEX(AG47:AT47,uxb_works!$B$39)</f>
        <v>0</v>
      </c>
      <c r="AF47" s="1">
        <v>1</v>
      </c>
      <c r="AG47" s="1">
        <v>0</v>
      </c>
      <c r="AH47" s="1">
        <f t="shared" si="11"/>
        <v>0</v>
      </c>
      <c r="AI47" s="1">
        <f t="shared" si="12"/>
        <v>0</v>
      </c>
      <c r="AJ47" s="1">
        <f t="shared" si="13"/>
        <v>0</v>
      </c>
      <c r="AK47" s="1">
        <f t="shared" si="14"/>
        <v>0</v>
      </c>
      <c r="AL47" s="1">
        <f t="shared" si="14"/>
        <v>0</v>
      </c>
      <c r="AM47" s="1">
        <f t="shared" si="14"/>
        <v>0</v>
      </c>
      <c r="AN47" s="1">
        <f t="shared" si="14"/>
        <v>0</v>
      </c>
      <c r="AO47" s="1">
        <f t="shared" si="14"/>
        <v>0</v>
      </c>
      <c r="AP47" s="1">
        <f t="shared" si="14"/>
        <v>0</v>
      </c>
      <c r="AQ47" s="1">
        <v>0</v>
      </c>
      <c r="AR47" s="1">
        <f t="shared" si="14"/>
        <v>1</v>
      </c>
      <c r="AS47" s="1">
        <f t="shared" si="14"/>
        <v>0</v>
      </c>
    </row>
    <row r="48" ht="15" customHeight="1" spans="1:45">
      <c r="A48" s="1">
        <f t="shared" si="4"/>
        <v>46</v>
      </c>
      <c r="C48" s="57" t="str">
        <f>tblIndicators!AE48</f>
        <v>4.1.5) Private security measures</v>
      </c>
      <c r="D48" s="1" t="str">
        <f t="shared" si="10"/>
        <v>4.1.5) Private security measures</v>
      </c>
      <c r="F48" s="23">
        <f>INDEX(M48:Y48,uxb_works!$B$39)</f>
        <v>1</v>
      </c>
      <c r="G48" s="32"/>
      <c r="L48" s="1">
        <v>1</v>
      </c>
      <c r="M48" s="1">
        <v>1</v>
      </c>
      <c r="N48" s="1">
        <v>0</v>
      </c>
      <c r="O48" s="1">
        <v>0</v>
      </c>
      <c r="P48" s="1">
        <v>0</v>
      </c>
      <c r="Q48" s="1">
        <v>0</v>
      </c>
      <c r="R48" s="1">
        <v>0</v>
      </c>
      <c r="S48" s="1">
        <v>0</v>
      </c>
      <c r="T48" s="1">
        <v>0</v>
      </c>
      <c r="U48" s="1">
        <v>0</v>
      </c>
      <c r="V48" s="1">
        <v>0</v>
      </c>
      <c r="W48" s="1">
        <v>1</v>
      </c>
      <c r="X48" s="1">
        <v>1</v>
      </c>
      <c r="Y48" s="1">
        <v>0</v>
      </c>
      <c r="AC48" s="23">
        <f>INDEX(AG48:AT48,uxb_works!$B$39)</f>
        <v>0</v>
      </c>
      <c r="AF48" s="1">
        <v>1</v>
      </c>
      <c r="AG48" s="1">
        <v>0</v>
      </c>
      <c r="AH48" s="1">
        <f t="shared" si="11"/>
        <v>0</v>
      </c>
      <c r="AI48" s="1">
        <f t="shared" si="12"/>
        <v>0</v>
      </c>
      <c r="AJ48" s="1">
        <f t="shared" si="13"/>
        <v>0</v>
      </c>
      <c r="AK48" s="1">
        <f t="shared" si="14"/>
        <v>0</v>
      </c>
      <c r="AL48" s="1">
        <f t="shared" si="14"/>
        <v>0</v>
      </c>
      <c r="AM48" s="1">
        <f t="shared" si="14"/>
        <v>0</v>
      </c>
      <c r="AN48" s="1">
        <f t="shared" si="14"/>
        <v>0</v>
      </c>
      <c r="AO48" s="1">
        <f t="shared" si="14"/>
        <v>0</v>
      </c>
      <c r="AP48" s="1">
        <f t="shared" si="14"/>
        <v>0</v>
      </c>
      <c r="AQ48" s="1">
        <v>0</v>
      </c>
      <c r="AR48" s="1">
        <f t="shared" si="14"/>
        <v>1</v>
      </c>
      <c r="AS48" s="1">
        <f t="shared" si="14"/>
        <v>0</v>
      </c>
    </row>
    <row r="49" ht="15" customHeight="1" spans="1:45">
      <c r="A49" s="1">
        <f t="shared" si="4"/>
        <v>47</v>
      </c>
      <c r="C49" s="57" t="str">
        <f>tblIndicators!AE49</f>
        <v>4.1.6) Gun regulation and enforcement</v>
      </c>
      <c r="D49" s="1" t="str">
        <f t="shared" si="10"/>
        <v>4.1.6) Gun regulation and enforcement</v>
      </c>
      <c r="F49" s="23">
        <f>INDEX(M49:Y49,uxb_works!$B$39)</f>
        <v>1</v>
      </c>
      <c r="G49" s="32"/>
      <c r="L49" s="1">
        <v>1</v>
      </c>
      <c r="M49" s="1">
        <v>1</v>
      </c>
      <c r="N49" s="1">
        <v>0</v>
      </c>
      <c r="O49" s="1">
        <v>0</v>
      </c>
      <c r="P49" s="1">
        <v>0</v>
      </c>
      <c r="Q49" s="1">
        <v>0</v>
      </c>
      <c r="R49" s="1">
        <v>0</v>
      </c>
      <c r="S49" s="1">
        <v>0</v>
      </c>
      <c r="T49" s="1">
        <v>0</v>
      </c>
      <c r="U49" s="1">
        <v>0</v>
      </c>
      <c r="V49" s="1">
        <v>0</v>
      </c>
      <c r="W49" s="1">
        <v>1</v>
      </c>
      <c r="X49" s="1">
        <v>1</v>
      </c>
      <c r="Y49" s="1">
        <v>0</v>
      </c>
      <c r="AC49" s="23">
        <f>INDEX(AG49:AT49,uxb_works!$B$39)</f>
        <v>0</v>
      </c>
      <c r="AF49" s="1">
        <v>1</v>
      </c>
      <c r="AG49" s="1">
        <v>0</v>
      </c>
      <c r="AH49" s="1">
        <f t="shared" si="11"/>
        <v>0</v>
      </c>
      <c r="AI49" s="1">
        <f t="shared" si="12"/>
        <v>0</v>
      </c>
      <c r="AJ49" s="1">
        <f t="shared" si="13"/>
        <v>0</v>
      </c>
      <c r="AK49" s="1">
        <f t="shared" si="14"/>
        <v>0</v>
      </c>
      <c r="AL49" s="1">
        <f t="shared" si="14"/>
        <v>0</v>
      </c>
      <c r="AM49" s="1">
        <f t="shared" si="14"/>
        <v>0</v>
      </c>
      <c r="AN49" s="1">
        <f t="shared" si="14"/>
        <v>0</v>
      </c>
      <c r="AO49" s="1">
        <f t="shared" si="14"/>
        <v>0</v>
      </c>
      <c r="AP49" s="1">
        <f t="shared" si="14"/>
        <v>0</v>
      </c>
      <c r="AQ49" s="1">
        <v>0</v>
      </c>
      <c r="AR49" s="1">
        <f t="shared" si="14"/>
        <v>1</v>
      </c>
      <c r="AS49" s="1">
        <f t="shared" si="14"/>
        <v>0</v>
      </c>
    </row>
    <row r="50" ht="15" customHeight="1" spans="1:45">
      <c r="A50" s="1">
        <f t="shared" si="4"/>
        <v>48</v>
      </c>
      <c r="C50" s="57" t="str">
        <f>tblIndicators!AE50</f>
        <v>4.1.7) Political stability risk</v>
      </c>
      <c r="D50" s="1" t="str">
        <f t="shared" si="10"/>
        <v>4.1.7) Political stability risk</v>
      </c>
      <c r="F50" s="23">
        <f>INDEX(M50:Y50,uxb_works!$B$39)</f>
        <v>1</v>
      </c>
      <c r="G50" s="32"/>
      <c r="L50" s="1">
        <v>1</v>
      </c>
      <c r="M50" s="1">
        <v>1</v>
      </c>
      <c r="N50" s="1">
        <v>0</v>
      </c>
      <c r="O50" s="1">
        <v>0</v>
      </c>
      <c r="P50" s="1">
        <v>0</v>
      </c>
      <c r="Q50" s="1">
        <v>0</v>
      </c>
      <c r="R50" s="1">
        <v>0</v>
      </c>
      <c r="S50" s="1">
        <v>0</v>
      </c>
      <c r="T50" s="1">
        <v>0</v>
      </c>
      <c r="U50" s="1">
        <v>0</v>
      </c>
      <c r="V50" s="1">
        <v>0</v>
      </c>
      <c r="W50" s="1">
        <v>1</v>
      </c>
      <c r="X50" s="1">
        <v>1</v>
      </c>
      <c r="Y50" s="1">
        <v>0</v>
      </c>
      <c r="AC50" s="23">
        <f>INDEX(AG50:AT50,uxb_works!$B$39)</f>
        <v>0</v>
      </c>
      <c r="AF50" s="1">
        <v>1</v>
      </c>
      <c r="AG50" s="1">
        <v>0</v>
      </c>
      <c r="AH50" s="1">
        <f t="shared" si="11"/>
        <v>0</v>
      </c>
      <c r="AI50" s="1">
        <f t="shared" si="12"/>
        <v>0</v>
      </c>
      <c r="AJ50" s="1">
        <f t="shared" si="13"/>
        <v>0</v>
      </c>
      <c r="AK50" s="1">
        <f t="shared" si="14"/>
        <v>0</v>
      </c>
      <c r="AL50" s="1">
        <f t="shared" si="14"/>
        <v>0</v>
      </c>
      <c r="AM50" s="1">
        <f t="shared" si="14"/>
        <v>0</v>
      </c>
      <c r="AN50" s="1">
        <f t="shared" si="14"/>
        <v>0</v>
      </c>
      <c r="AO50" s="1">
        <f t="shared" si="14"/>
        <v>0</v>
      </c>
      <c r="AP50" s="1">
        <f t="shared" si="14"/>
        <v>0</v>
      </c>
      <c r="AQ50" s="1">
        <v>0</v>
      </c>
      <c r="AR50" s="1">
        <f t="shared" si="14"/>
        <v>1</v>
      </c>
      <c r="AS50" s="1">
        <f t="shared" si="14"/>
        <v>0</v>
      </c>
    </row>
    <row r="51" ht="15" customHeight="1" spans="1:45">
      <c r="A51" s="1">
        <f t="shared" si="4"/>
        <v>49</v>
      </c>
      <c r="C51" s="57" t="str">
        <f>tblIndicators!AE51</f>
        <v>4.2) Personal security (Outputs)</v>
      </c>
      <c r="D51" s="1" t="str">
        <f t="shared" si="10"/>
        <v>4.2) Personal security (Outputs)</v>
      </c>
      <c r="F51" s="23">
        <f>INDEX(M51:Y51,uxb_works!$B$39)</f>
        <v>1</v>
      </c>
      <c r="G51" s="32"/>
      <c r="L51" s="1">
        <v>1</v>
      </c>
      <c r="M51" s="1">
        <v>1</v>
      </c>
      <c r="N51" s="1">
        <v>0</v>
      </c>
      <c r="O51" s="1">
        <v>0</v>
      </c>
      <c r="P51" s="1">
        <v>0</v>
      </c>
      <c r="Q51" s="1">
        <v>0</v>
      </c>
      <c r="R51" s="1">
        <v>0</v>
      </c>
      <c r="S51" s="1">
        <v>0</v>
      </c>
      <c r="T51" s="1">
        <v>0</v>
      </c>
      <c r="U51" s="1">
        <v>0</v>
      </c>
      <c r="V51" s="1">
        <v>0</v>
      </c>
      <c r="W51" s="1">
        <v>1</v>
      </c>
      <c r="X51" s="1">
        <v>0</v>
      </c>
      <c r="Y51" s="1">
        <v>0</v>
      </c>
      <c r="AC51" s="23">
        <f>INDEX(AG51:AT51,uxb_works!$B$39)</f>
        <v>0</v>
      </c>
      <c r="AF51" s="1">
        <v>1</v>
      </c>
      <c r="AG51" s="1">
        <v>0</v>
      </c>
      <c r="AH51" s="1">
        <f t="shared" si="11"/>
        <v>0</v>
      </c>
      <c r="AI51" s="1">
        <f t="shared" si="12"/>
        <v>0</v>
      </c>
      <c r="AJ51" s="1">
        <f t="shared" si="13"/>
        <v>0</v>
      </c>
      <c r="AK51" s="1">
        <f t="shared" si="14"/>
        <v>0</v>
      </c>
      <c r="AL51" s="1">
        <f t="shared" si="14"/>
        <v>0</v>
      </c>
      <c r="AM51" s="1">
        <f t="shared" si="14"/>
        <v>0</v>
      </c>
      <c r="AN51" s="1">
        <f t="shared" si="14"/>
        <v>0</v>
      </c>
      <c r="AO51" s="1">
        <f t="shared" si="14"/>
        <v>0</v>
      </c>
      <c r="AP51" s="1">
        <f t="shared" si="14"/>
        <v>0</v>
      </c>
      <c r="AQ51" s="1">
        <v>1</v>
      </c>
      <c r="AR51" s="1">
        <f t="shared" si="14"/>
        <v>0</v>
      </c>
      <c r="AS51" s="1">
        <f t="shared" si="14"/>
        <v>0</v>
      </c>
    </row>
    <row r="52" ht="15" customHeight="1" spans="1:45">
      <c r="A52" s="1">
        <f t="shared" si="4"/>
        <v>50</v>
      </c>
      <c r="C52" s="57" t="str">
        <f>tblIndicators!AE52</f>
        <v>4.2.1) Prevalence of petty crime</v>
      </c>
      <c r="D52" s="1" t="str">
        <f t="shared" si="10"/>
        <v>4.2.1) Prevalence of petty crime</v>
      </c>
      <c r="F52" s="23">
        <f>INDEX(M52:Y52,uxb_works!$B$39)</f>
        <v>1</v>
      </c>
      <c r="G52" s="32"/>
      <c r="L52" s="1">
        <v>1</v>
      </c>
      <c r="M52" s="1">
        <v>1</v>
      </c>
      <c r="N52" s="1">
        <v>0</v>
      </c>
      <c r="O52" s="1">
        <v>0</v>
      </c>
      <c r="P52" s="1">
        <v>0</v>
      </c>
      <c r="Q52" s="1">
        <v>0</v>
      </c>
      <c r="R52" s="1">
        <v>0</v>
      </c>
      <c r="S52" s="1">
        <v>0</v>
      </c>
      <c r="T52" s="1">
        <v>0</v>
      </c>
      <c r="U52" s="1">
        <v>0</v>
      </c>
      <c r="V52" s="1">
        <v>0</v>
      </c>
      <c r="W52" s="1">
        <v>1</v>
      </c>
      <c r="X52" s="1">
        <v>0</v>
      </c>
      <c r="Y52" s="1">
        <v>1</v>
      </c>
      <c r="AC52" s="23">
        <f>INDEX(AG52:AT52,uxb_works!$B$39)</f>
        <v>0</v>
      </c>
      <c r="AF52" s="1">
        <v>1</v>
      </c>
      <c r="AG52" s="1">
        <v>0</v>
      </c>
      <c r="AH52" s="1">
        <f t="shared" si="11"/>
        <v>0</v>
      </c>
      <c r="AI52" s="1">
        <f t="shared" si="12"/>
        <v>0</v>
      </c>
      <c r="AJ52" s="1">
        <f t="shared" si="13"/>
        <v>0</v>
      </c>
      <c r="AK52" s="1">
        <f t="shared" si="14"/>
        <v>0</v>
      </c>
      <c r="AL52" s="1">
        <f t="shared" si="14"/>
        <v>0</v>
      </c>
      <c r="AM52" s="1">
        <f t="shared" si="14"/>
        <v>0</v>
      </c>
      <c r="AN52" s="1">
        <f t="shared" si="14"/>
        <v>0</v>
      </c>
      <c r="AO52" s="1">
        <f t="shared" si="14"/>
        <v>0</v>
      </c>
      <c r="AP52" s="1">
        <f t="shared" si="14"/>
        <v>0</v>
      </c>
      <c r="AQ52" s="1">
        <v>0</v>
      </c>
      <c r="AR52" s="1">
        <f t="shared" si="14"/>
        <v>0</v>
      </c>
      <c r="AS52" s="1">
        <f t="shared" si="14"/>
        <v>1</v>
      </c>
    </row>
    <row r="53" ht="15" customHeight="1" spans="1:45">
      <c r="A53" s="1">
        <f t="shared" si="4"/>
        <v>51</v>
      </c>
      <c r="C53" s="57" t="str">
        <f>tblIndicators!AE53</f>
        <v>4.2.2) Prevalence of violent crime</v>
      </c>
      <c r="D53" s="1" t="str">
        <f t="shared" si="10"/>
        <v>4.2.2) Prevalence of violent crime</v>
      </c>
      <c r="F53" s="23">
        <f>INDEX(M53:Y53,uxb_works!$B$39)</f>
        <v>1</v>
      </c>
      <c r="G53" s="32"/>
      <c r="L53" s="1">
        <v>1</v>
      </c>
      <c r="M53" s="1">
        <v>1</v>
      </c>
      <c r="N53" s="1">
        <v>0</v>
      </c>
      <c r="O53" s="1">
        <v>0</v>
      </c>
      <c r="P53" s="1">
        <v>0</v>
      </c>
      <c r="Q53" s="1">
        <v>0</v>
      </c>
      <c r="R53" s="1">
        <v>0</v>
      </c>
      <c r="S53" s="1">
        <v>0</v>
      </c>
      <c r="T53" s="1">
        <v>0</v>
      </c>
      <c r="U53" s="1">
        <v>0</v>
      </c>
      <c r="V53" s="1">
        <v>0</v>
      </c>
      <c r="W53" s="1">
        <v>1</v>
      </c>
      <c r="X53" s="1">
        <v>0</v>
      </c>
      <c r="Y53" s="1">
        <v>1</v>
      </c>
      <c r="AC53" s="23">
        <f>INDEX(AG53:AT53,uxb_works!$B$39)</f>
        <v>0</v>
      </c>
      <c r="AF53" s="1">
        <v>1</v>
      </c>
      <c r="AG53" s="1">
        <v>0</v>
      </c>
      <c r="AH53" s="1">
        <f t="shared" si="11"/>
        <v>0</v>
      </c>
      <c r="AI53" s="1">
        <f t="shared" si="12"/>
        <v>0</v>
      </c>
      <c r="AJ53" s="1">
        <f t="shared" si="13"/>
        <v>0</v>
      </c>
      <c r="AK53" s="1">
        <f t="shared" si="14"/>
        <v>0</v>
      </c>
      <c r="AL53" s="1">
        <f t="shared" si="14"/>
        <v>0</v>
      </c>
      <c r="AM53" s="1">
        <f t="shared" si="14"/>
        <v>0</v>
      </c>
      <c r="AN53" s="1">
        <f t="shared" si="14"/>
        <v>0</v>
      </c>
      <c r="AO53" s="1">
        <f t="shared" si="14"/>
        <v>0</v>
      </c>
      <c r="AP53" s="1">
        <f t="shared" si="14"/>
        <v>0</v>
      </c>
      <c r="AQ53" s="1">
        <v>0</v>
      </c>
      <c r="AR53" s="1">
        <f t="shared" si="14"/>
        <v>0</v>
      </c>
      <c r="AS53" s="1">
        <f t="shared" si="14"/>
        <v>1</v>
      </c>
    </row>
    <row r="54" ht="15" customHeight="1" spans="1:45">
      <c r="A54" s="1">
        <f t="shared" si="4"/>
        <v>52</v>
      </c>
      <c r="C54" s="57" t="str">
        <f>tblIndicators!AE54</f>
        <v>4.2.3) Organised crime</v>
      </c>
      <c r="D54" s="1" t="str">
        <f t="shared" si="10"/>
        <v>4.2.3) Organised crime</v>
      </c>
      <c r="F54" s="23">
        <f>INDEX(M54:Y54,uxb_works!$B$39)</f>
        <v>1</v>
      </c>
      <c r="G54" s="32"/>
      <c r="L54" s="1">
        <v>1</v>
      </c>
      <c r="M54" s="1">
        <v>1</v>
      </c>
      <c r="N54" s="1">
        <v>0</v>
      </c>
      <c r="O54" s="1">
        <v>0</v>
      </c>
      <c r="P54" s="1">
        <v>0</v>
      </c>
      <c r="Q54" s="1">
        <v>0</v>
      </c>
      <c r="R54" s="1">
        <v>0</v>
      </c>
      <c r="S54" s="1">
        <v>0</v>
      </c>
      <c r="T54" s="1">
        <v>0</v>
      </c>
      <c r="U54" s="1">
        <v>0</v>
      </c>
      <c r="V54" s="1">
        <v>0</v>
      </c>
      <c r="W54" s="1">
        <v>1</v>
      </c>
      <c r="X54" s="1">
        <v>0</v>
      </c>
      <c r="Y54" s="1">
        <v>1</v>
      </c>
      <c r="AC54" s="23">
        <f>INDEX(AG54:AT54,uxb_works!$B$39)</f>
        <v>0</v>
      </c>
      <c r="AF54" s="1">
        <v>1</v>
      </c>
      <c r="AG54" s="1">
        <v>0</v>
      </c>
      <c r="AH54" s="1">
        <f t="shared" si="11"/>
        <v>0</v>
      </c>
      <c r="AI54" s="1">
        <f t="shared" si="12"/>
        <v>0</v>
      </c>
      <c r="AJ54" s="1">
        <f t="shared" si="13"/>
        <v>0</v>
      </c>
      <c r="AK54" s="1">
        <f t="shared" si="14"/>
        <v>0</v>
      </c>
      <c r="AL54" s="1">
        <f t="shared" si="14"/>
        <v>0</v>
      </c>
      <c r="AM54" s="1">
        <f t="shared" si="14"/>
        <v>0</v>
      </c>
      <c r="AN54" s="1">
        <f t="shared" si="14"/>
        <v>0</v>
      </c>
      <c r="AO54" s="1">
        <f t="shared" si="14"/>
        <v>0</v>
      </c>
      <c r="AP54" s="1">
        <f t="shared" si="14"/>
        <v>0</v>
      </c>
      <c r="AQ54" s="1">
        <v>0</v>
      </c>
      <c r="AR54" s="1">
        <f t="shared" si="14"/>
        <v>0</v>
      </c>
      <c r="AS54" s="1">
        <f t="shared" si="14"/>
        <v>1</v>
      </c>
    </row>
    <row r="55" ht="15" customHeight="1" spans="1:45">
      <c r="A55" s="1">
        <f t="shared" si="4"/>
        <v>53</v>
      </c>
      <c r="C55" s="57" t="str">
        <f>tblIndicators!AE55</f>
        <v>4.2.4) Level of corruption</v>
      </c>
      <c r="D55" s="1" t="str">
        <f t="shared" si="10"/>
        <v>4.2.4) Level of corruption</v>
      </c>
      <c r="F55" s="23">
        <f>INDEX(M55:Y55,uxb_works!$B$39)</f>
        <v>1</v>
      </c>
      <c r="G55" s="32"/>
      <c r="L55" s="1">
        <v>1</v>
      </c>
      <c r="M55" s="1">
        <v>1</v>
      </c>
      <c r="N55" s="1">
        <v>0</v>
      </c>
      <c r="O55" s="1">
        <v>0</v>
      </c>
      <c r="P55" s="1">
        <v>0</v>
      </c>
      <c r="Q55" s="1">
        <v>0</v>
      </c>
      <c r="R55" s="1">
        <v>0</v>
      </c>
      <c r="S55" s="1">
        <v>0</v>
      </c>
      <c r="T55" s="1">
        <v>0</v>
      </c>
      <c r="U55" s="1">
        <v>0</v>
      </c>
      <c r="V55" s="1">
        <v>0</v>
      </c>
      <c r="W55" s="1">
        <v>1</v>
      </c>
      <c r="X55" s="1">
        <v>0</v>
      </c>
      <c r="Y55" s="1">
        <v>1</v>
      </c>
      <c r="AC55" s="23">
        <f>INDEX(AG55:AT55,uxb_works!$B$39)</f>
        <v>0</v>
      </c>
      <c r="AF55" s="1">
        <v>1</v>
      </c>
      <c r="AG55" s="1">
        <v>0</v>
      </c>
      <c r="AH55" s="1">
        <f t="shared" si="11"/>
        <v>0</v>
      </c>
      <c r="AI55" s="1">
        <f t="shared" si="12"/>
        <v>0</v>
      </c>
      <c r="AJ55" s="1">
        <f t="shared" si="13"/>
        <v>0</v>
      </c>
      <c r="AK55" s="1">
        <f t="shared" si="14"/>
        <v>0</v>
      </c>
      <c r="AL55" s="1">
        <f t="shared" si="14"/>
        <v>0</v>
      </c>
      <c r="AM55" s="1">
        <f t="shared" si="14"/>
        <v>0</v>
      </c>
      <c r="AN55" s="1">
        <f t="shared" si="14"/>
        <v>0</v>
      </c>
      <c r="AO55" s="1">
        <f t="shared" si="14"/>
        <v>0</v>
      </c>
      <c r="AP55" s="1">
        <f t="shared" si="14"/>
        <v>0</v>
      </c>
      <c r="AQ55" s="1">
        <v>0</v>
      </c>
      <c r="AR55" s="1">
        <f t="shared" si="14"/>
        <v>0</v>
      </c>
      <c r="AS55" s="1">
        <f t="shared" si="14"/>
        <v>1</v>
      </c>
    </row>
    <row r="56" ht="15" customHeight="1" spans="1:45">
      <c r="A56" s="1">
        <f t="shared" si="4"/>
        <v>54</v>
      </c>
      <c r="C56" s="57" t="str">
        <f>tblIndicators!AE56</f>
        <v>4.2.5) Rate of drug use </v>
      </c>
      <c r="D56" s="1" t="str">
        <f t="shared" si="10"/>
        <v>4.2.5) Rate of drug use </v>
      </c>
      <c r="F56" s="23">
        <f>INDEX(M56:Y56,uxb_works!$B$39)</f>
        <v>1</v>
      </c>
      <c r="G56" s="32"/>
      <c r="L56" s="1">
        <v>1</v>
      </c>
      <c r="M56" s="1">
        <v>1</v>
      </c>
      <c r="N56" s="1">
        <v>0</v>
      </c>
      <c r="O56" s="1">
        <v>0</v>
      </c>
      <c r="P56" s="1">
        <v>0</v>
      </c>
      <c r="Q56" s="1">
        <v>0</v>
      </c>
      <c r="R56" s="1">
        <v>0</v>
      </c>
      <c r="S56" s="1">
        <v>0</v>
      </c>
      <c r="T56" s="1">
        <v>0</v>
      </c>
      <c r="U56" s="1">
        <v>0</v>
      </c>
      <c r="V56" s="1">
        <v>0</v>
      </c>
      <c r="W56" s="1">
        <v>1</v>
      </c>
      <c r="X56" s="1">
        <v>0</v>
      </c>
      <c r="Y56" s="1">
        <v>1</v>
      </c>
      <c r="AC56" s="23">
        <f>INDEX(AG56:AT56,uxb_works!$B$39)</f>
        <v>0</v>
      </c>
      <c r="AF56" s="1">
        <v>1</v>
      </c>
      <c r="AG56" s="1">
        <v>0</v>
      </c>
      <c r="AH56" s="1">
        <f t="shared" si="11"/>
        <v>0</v>
      </c>
      <c r="AI56" s="1">
        <f t="shared" si="12"/>
        <v>0</v>
      </c>
      <c r="AJ56" s="1">
        <f t="shared" si="13"/>
        <v>0</v>
      </c>
      <c r="AK56" s="1">
        <f t="shared" si="14"/>
        <v>0</v>
      </c>
      <c r="AL56" s="1">
        <f t="shared" si="14"/>
        <v>0</v>
      </c>
      <c r="AM56" s="1">
        <f t="shared" si="14"/>
        <v>0</v>
      </c>
      <c r="AN56" s="1">
        <f t="shared" si="14"/>
        <v>0</v>
      </c>
      <c r="AO56" s="1">
        <f t="shared" si="14"/>
        <v>0</v>
      </c>
      <c r="AP56" s="1">
        <f t="shared" si="14"/>
        <v>0</v>
      </c>
      <c r="AQ56" s="1">
        <v>0</v>
      </c>
      <c r="AR56" s="1">
        <f t="shared" si="14"/>
        <v>0</v>
      </c>
      <c r="AS56" s="1">
        <f t="shared" si="14"/>
        <v>1</v>
      </c>
    </row>
    <row r="57" ht="15" customHeight="1" spans="1:45">
      <c r="A57" s="1">
        <f t="shared" si="4"/>
        <v>55</v>
      </c>
      <c r="C57" s="57" t="str">
        <f>tblIndicators!AE57</f>
        <v>4.2.6) Frequency of terrorist attacks </v>
      </c>
      <c r="D57" s="1" t="str">
        <f t="shared" si="10"/>
        <v>4.2.6) Frequency of terrorist attacks </v>
      </c>
      <c r="F57" s="23">
        <f>INDEX(M57:Y57,uxb_works!$B$39)</f>
        <v>1</v>
      </c>
      <c r="G57" s="32"/>
      <c r="L57" s="1">
        <v>1</v>
      </c>
      <c r="M57" s="1">
        <v>1</v>
      </c>
      <c r="N57" s="1">
        <v>0</v>
      </c>
      <c r="O57" s="1">
        <v>0</v>
      </c>
      <c r="P57" s="1">
        <v>0</v>
      </c>
      <c r="Q57" s="1">
        <v>0</v>
      </c>
      <c r="R57" s="1">
        <v>0</v>
      </c>
      <c r="S57" s="1">
        <v>0</v>
      </c>
      <c r="T57" s="1">
        <v>0</v>
      </c>
      <c r="U57" s="1">
        <v>0</v>
      </c>
      <c r="V57" s="1">
        <v>0</v>
      </c>
      <c r="W57" s="1">
        <v>1</v>
      </c>
      <c r="X57" s="1">
        <v>0</v>
      </c>
      <c r="Y57" s="1">
        <v>1</v>
      </c>
      <c r="AC57" s="23">
        <f>INDEX(AG57:AT57,uxb_works!$B$39)</f>
        <v>0</v>
      </c>
      <c r="AF57" s="1">
        <v>1</v>
      </c>
      <c r="AG57" s="1">
        <v>0</v>
      </c>
      <c r="AH57" s="1">
        <f t="shared" si="11"/>
        <v>0</v>
      </c>
      <c r="AI57" s="1">
        <f t="shared" si="12"/>
        <v>0</v>
      </c>
      <c r="AJ57" s="1">
        <f t="shared" si="13"/>
        <v>0</v>
      </c>
      <c r="AK57" s="1">
        <f t="shared" si="14"/>
        <v>0</v>
      </c>
      <c r="AL57" s="1">
        <f t="shared" si="14"/>
        <v>0</v>
      </c>
      <c r="AM57" s="1">
        <f t="shared" si="14"/>
        <v>0</v>
      </c>
      <c r="AN57" s="1">
        <f t="shared" si="14"/>
        <v>0</v>
      </c>
      <c r="AO57" s="1">
        <f t="shared" si="14"/>
        <v>0</v>
      </c>
      <c r="AP57" s="1">
        <f t="shared" si="14"/>
        <v>0</v>
      </c>
      <c r="AQ57" s="1">
        <v>0</v>
      </c>
      <c r="AR57" s="1">
        <f t="shared" si="14"/>
        <v>0</v>
      </c>
      <c r="AS57" s="1">
        <f t="shared" si="14"/>
        <v>1</v>
      </c>
    </row>
    <row r="58" ht="15" customHeight="1" spans="1:45">
      <c r="A58" s="1">
        <f t="shared" si="4"/>
        <v>56</v>
      </c>
      <c r="C58" s="57" t="str">
        <f>tblIndicators!AE58</f>
        <v>4.2.7) Severity of terrorist attacks</v>
      </c>
      <c r="D58" s="1" t="str">
        <f t="shared" si="10"/>
        <v>4.2.7) Severity of terrorist attacks</v>
      </c>
      <c r="F58" s="23">
        <f>INDEX(M58:Y58,uxb_works!$B$39)</f>
        <v>1</v>
      </c>
      <c r="G58" s="32"/>
      <c r="L58" s="1">
        <v>1</v>
      </c>
      <c r="M58" s="1">
        <v>1</v>
      </c>
      <c r="N58" s="1">
        <v>0</v>
      </c>
      <c r="O58" s="1">
        <v>0</v>
      </c>
      <c r="P58" s="1">
        <v>0</v>
      </c>
      <c r="Q58" s="1">
        <v>0</v>
      </c>
      <c r="R58" s="1">
        <v>0</v>
      </c>
      <c r="S58" s="1">
        <v>0</v>
      </c>
      <c r="T58" s="1">
        <v>0</v>
      </c>
      <c r="U58" s="1">
        <v>0</v>
      </c>
      <c r="V58" s="1">
        <v>0</v>
      </c>
      <c r="W58" s="1">
        <v>1</v>
      </c>
      <c r="X58" s="1">
        <v>0</v>
      </c>
      <c r="Y58" s="1">
        <v>1</v>
      </c>
      <c r="AC58" s="23">
        <f>INDEX(AG58:AT58,uxb_works!$B$39)</f>
        <v>0</v>
      </c>
      <c r="AF58" s="1">
        <v>1</v>
      </c>
      <c r="AG58" s="1">
        <v>0</v>
      </c>
      <c r="AH58" s="1">
        <f t="shared" si="11"/>
        <v>0</v>
      </c>
      <c r="AI58" s="1">
        <f t="shared" si="12"/>
        <v>0</v>
      </c>
      <c r="AJ58" s="1">
        <f t="shared" si="13"/>
        <v>0</v>
      </c>
      <c r="AK58" s="1">
        <f t="shared" si="14"/>
        <v>0</v>
      </c>
      <c r="AL58" s="1">
        <f t="shared" si="14"/>
        <v>0</v>
      </c>
      <c r="AM58" s="1">
        <f t="shared" si="14"/>
        <v>0</v>
      </c>
      <c r="AN58" s="1">
        <f t="shared" si="14"/>
        <v>0</v>
      </c>
      <c r="AO58" s="1">
        <f t="shared" si="14"/>
        <v>0</v>
      </c>
      <c r="AP58" s="1">
        <f t="shared" si="14"/>
        <v>0</v>
      </c>
      <c r="AQ58" s="1">
        <v>0</v>
      </c>
      <c r="AR58" s="1">
        <f t="shared" si="14"/>
        <v>0</v>
      </c>
      <c r="AS58" s="1">
        <f t="shared" si="14"/>
        <v>1</v>
      </c>
    </row>
    <row r="59" ht="15" customHeight="1" spans="1:45">
      <c r="A59" s="1">
        <f t="shared" si="4"/>
        <v>57</v>
      </c>
      <c r="C59" s="57" t="str">
        <f>tblIndicators!AE59</f>
        <v>4.2.8) Gender safety</v>
      </c>
      <c r="D59" s="1" t="str">
        <f t="shared" si="10"/>
        <v>4.2.8) Gender safety</v>
      </c>
      <c r="F59" s="23">
        <f>INDEX(M59:Y59,uxb_works!$B$39)</f>
        <v>1</v>
      </c>
      <c r="G59" s="32"/>
      <c r="L59" s="1">
        <v>1</v>
      </c>
      <c r="M59" s="1">
        <v>1</v>
      </c>
      <c r="N59" s="1">
        <v>0</v>
      </c>
      <c r="O59" s="1">
        <v>0</v>
      </c>
      <c r="P59" s="1">
        <v>0</v>
      </c>
      <c r="Q59" s="1">
        <v>0</v>
      </c>
      <c r="R59" s="1">
        <v>0</v>
      </c>
      <c r="S59" s="1">
        <v>0</v>
      </c>
      <c r="T59" s="1">
        <v>0</v>
      </c>
      <c r="U59" s="1">
        <v>0</v>
      </c>
      <c r="V59" s="1">
        <v>0</v>
      </c>
      <c r="W59" s="1">
        <v>1</v>
      </c>
      <c r="X59" s="1">
        <v>0</v>
      </c>
      <c r="Y59" s="1">
        <v>1</v>
      </c>
      <c r="AC59" s="23">
        <f>INDEX(AG59:AT59,uxb_works!$B$39)</f>
        <v>0</v>
      </c>
      <c r="AF59" s="1">
        <v>1</v>
      </c>
      <c r="AG59" s="1">
        <v>0</v>
      </c>
      <c r="AH59" s="1">
        <f t="shared" si="11"/>
        <v>0</v>
      </c>
      <c r="AI59" s="1">
        <f t="shared" si="12"/>
        <v>0</v>
      </c>
      <c r="AJ59" s="1">
        <f t="shared" si="13"/>
        <v>0</v>
      </c>
      <c r="AK59" s="1">
        <f t="shared" si="14"/>
        <v>0</v>
      </c>
      <c r="AL59" s="1">
        <f t="shared" si="14"/>
        <v>0</v>
      </c>
      <c r="AM59" s="1">
        <f t="shared" si="14"/>
        <v>0</v>
      </c>
      <c r="AN59" s="1">
        <f t="shared" si="14"/>
        <v>0</v>
      </c>
      <c r="AO59" s="1">
        <f t="shared" si="14"/>
        <v>0</v>
      </c>
      <c r="AP59" s="1">
        <f t="shared" si="14"/>
        <v>0</v>
      </c>
      <c r="AQ59" s="1">
        <v>0</v>
      </c>
      <c r="AR59" s="1">
        <f t="shared" si="14"/>
        <v>0</v>
      </c>
      <c r="AS59" s="1">
        <f t="shared" si="14"/>
        <v>1</v>
      </c>
    </row>
    <row r="60" ht="15" customHeight="1" spans="1:45">
      <c r="A60" s="1">
        <f t="shared" si="4"/>
        <v>58</v>
      </c>
      <c r="C60" s="57" t="str">
        <f>tblIndicators!AE60</f>
        <v>4.2.9) Perceptions of safety</v>
      </c>
      <c r="D60" s="1" t="str">
        <f t="shared" si="10"/>
        <v>4.2.9) Perceptions of safety</v>
      </c>
      <c r="F60" s="23">
        <f>INDEX(M60:Y60,uxb_works!$B$39)</f>
        <v>1</v>
      </c>
      <c r="G60" s="32"/>
      <c r="L60" s="1">
        <v>1</v>
      </c>
      <c r="M60" s="1">
        <v>1</v>
      </c>
      <c r="N60" s="1">
        <v>0</v>
      </c>
      <c r="O60" s="1">
        <v>0</v>
      </c>
      <c r="P60" s="1">
        <v>0</v>
      </c>
      <c r="Q60" s="1">
        <v>0</v>
      </c>
      <c r="R60" s="1">
        <v>0</v>
      </c>
      <c r="S60" s="1">
        <v>0</v>
      </c>
      <c r="T60" s="1">
        <v>0</v>
      </c>
      <c r="U60" s="1">
        <v>0</v>
      </c>
      <c r="V60" s="1">
        <v>0</v>
      </c>
      <c r="W60" s="1">
        <v>1</v>
      </c>
      <c r="X60" s="1">
        <v>0</v>
      </c>
      <c r="Y60" s="1">
        <v>1</v>
      </c>
      <c r="AC60" s="23">
        <f>INDEX(AG60:AT60,uxb_works!$B$39)</f>
        <v>0</v>
      </c>
      <c r="AF60" s="1">
        <v>1</v>
      </c>
      <c r="AG60" s="1">
        <v>0</v>
      </c>
      <c r="AH60" s="1">
        <f t="shared" si="11"/>
        <v>0</v>
      </c>
      <c r="AI60" s="1">
        <f t="shared" si="12"/>
        <v>0</v>
      </c>
      <c r="AJ60" s="1">
        <f t="shared" si="13"/>
        <v>0</v>
      </c>
      <c r="AK60" s="1">
        <f t="shared" si="14"/>
        <v>0</v>
      </c>
      <c r="AL60" s="1">
        <f t="shared" si="14"/>
        <v>0</v>
      </c>
      <c r="AM60" s="1">
        <f t="shared" si="14"/>
        <v>0</v>
      </c>
      <c r="AN60" s="1">
        <f t="shared" si="14"/>
        <v>0</v>
      </c>
      <c r="AO60" s="1">
        <f t="shared" si="14"/>
        <v>0</v>
      </c>
      <c r="AP60" s="1">
        <f t="shared" si="14"/>
        <v>0</v>
      </c>
      <c r="AQ60" s="1">
        <v>0</v>
      </c>
      <c r="AR60" s="1">
        <f t="shared" si="14"/>
        <v>0</v>
      </c>
      <c r="AS60" s="1">
        <f t="shared" si="14"/>
        <v>1</v>
      </c>
    </row>
    <row r="61" ht="15" customHeight="1" spans="1:45">
      <c r="A61" s="1">
        <f t="shared" si="4"/>
        <v>59</v>
      </c>
      <c r="C61" s="57" t="str">
        <f>tblIndicators!AE61</f>
        <v>4.2.10) Threat of terrorism</v>
      </c>
      <c r="D61" s="1" t="str">
        <f t="shared" si="10"/>
        <v>4.2.10) Threat of terrorism</v>
      </c>
      <c r="F61" s="23">
        <f>INDEX(M61:Y61,uxb_works!$B$39)</f>
        <v>1</v>
      </c>
      <c r="G61" s="32"/>
      <c r="L61" s="1">
        <v>1</v>
      </c>
      <c r="M61" s="1">
        <v>1</v>
      </c>
      <c r="N61" s="1">
        <v>0</v>
      </c>
      <c r="O61" s="1">
        <v>0</v>
      </c>
      <c r="P61" s="1">
        <v>0</v>
      </c>
      <c r="Q61" s="1">
        <v>0</v>
      </c>
      <c r="R61" s="1">
        <v>0</v>
      </c>
      <c r="S61" s="1">
        <v>0</v>
      </c>
      <c r="T61" s="1">
        <v>0</v>
      </c>
      <c r="U61" s="1">
        <v>0</v>
      </c>
      <c r="V61" s="1">
        <v>0</v>
      </c>
      <c r="W61" s="1">
        <v>1</v>
      </c>
      <c r="X61" s="1">
        <v>0</v>
      </c>
      <c r="Y61" s="1">
        <v>1</v>
      </c>
      <c r="AC61" s="23">
        <f>INDEX(AG61:AT61,uxb_works!$B$39)</f>
        <v>0</v>
      </c>
      <c r="AF61" s="1">
        <v>1</v>
      </c>
      <c r="AG61" s="1">
        <v>0</v>
      </c>
      <c r="AH61" s="1">
        <f t="shared" si="11"/>
        <v>0</v>
      </c>
      <c r="AI61" s="1">
        <f t="shared" si="12"/>
        <v>0</v>
      </c>
      <c r="AJ61" s="1">
        <f t="shared" si="13"/>
        <v>0</v>
      </c>
      <c r="AK61" s="1">
        <f t="shared" si="14"/>
        <v>0</v>
      </c>
      <c r="AL61" s="1">
        <f t="shared" si="14"/>
        <v>0</v>
      </c>
      <c r="AM61" s="1">
        <f t="shared" si="14"/>
        <v>0</v>
      </c>
      <c r="AN61" s="1">
        <f t="shared" si="14"/>
        <v>0</v>
      </c>
      <c r="AO61" s="1">
        <f t="shared" si="14"/>
        <v>0</v>
      </c>
      <c r="AP61" s="1">
        <f t="shared" si="14"/>
        <v>0</v>
      </c>
      <c r="AQ61" s="1">
        <v>0</v>
      </c>
      <c r="AR61" s="1">
        <f t="shared" si="14"/>
        <v>0</v>
      </c>
      <c r="AS61" s="1">
        <f t="shared" si="14"/>
        <v>1</v>
      </c>
    </row>
    <row r="62" ht="15" customHeight="1" spans="1:45">
      <c r="A62" s="1">
        <f t="shared" si="4"/>
        <v>60</v>
      </c>
      <c r="C62" s="57" t="str">
        <f>tblIndicators!AE62</f>
        <v>4.2.11) Threat of military conflict</v>
      </c>
      <c r="D62" s="1" t="str">
        <f t="shared" si="10"/>
        <v>4.2.11) Threat of military conflict</v>
      </c>
      <c r="F62" s="23">
        <f>INDEX(M62:Y62,uxb_works!$B$39)</f>
        <v>1</v>
      </c>
      <c r="G62" s="32"/>
      <c r="L62" s="1">
        <v>1</v>
      </c>
      <c r="M62" s="1">
        <v>1</v>
      </c>
      <c r="N62" s="1">
        <v>0</v>
      </c>
      <c r="O62" s="1">
        <v>0</v>
      </c>
      <c r="P62" s="1">
        <v>0</v>
      </c>
      <c r="Q62" s="1">
        <v>0</v>
      </c>
      <c r="R62" s="1">
        <v>0</v>
      </c>
      <c r="S62" s="1">
        <v>0</v>
      </c>
      <c r="T62" s="1">
        <v>0</v>
      </c>
      <c r="U62" s="1">
        <v>0</v>
      </c>
      <c r="V62" s="1">
        <v>0</v>
      </c>
      <c r="W62" s="1">
        <v>1</v>
      </c>
      <c r="X62" s="1">
        <v>0</v>
      </c>
      <c r="Y62" s="1">
        <v>1</v>
      </c>
      <c r="AC62" s="23">
        <f>INDEX(AG62:AT62,uxb_works!$B$39)</f>
        <v>0</v>
      </c>
      <c r="AF62" s="1">
        <v>1</v>
      </c>
      <c r="AG62" s="1">
        <v>0</v>
      </c>
      <c r="AH62" s="1">
        <f t="shared" si="11"/>
        <v>0</v>
      </c>
      <c r="AI62" s="1">
        <f t="shared" si="12"/>
        <v>0</v>
      </c>
      <c r="AJ62" s="1">
        <f t="shared" si="13"/>
        <v>0</v>
      </c>
      <c r="AK62" s="1">
        <f t="shared" si="14"/>
        <v>0</v>
      </c>
      <c r="AL62" s="1">
        <f t="shared" si="14"/>
        <v>0</v>
      </c>
      <c r="AM62" s="1">
        <f t="shared" si="14"/>
        <v>0</v>
      </c>
      <c r="AN62" s="1">
        <f t="shared" si="14"/>
        <v>0</v>
      </c>
      <c r="AO62" s="1">
        <f t="shared" si="14"/>
        <v>0</v>
      </c>
      <c r="AP62" s="1">
        <f t="shared" si="14"/>
        <v>0</v>
      </c>
      <c r="AQ62" s="1">
        <v>0</v>
      </c>
      <c r="AR62" s="1">
        <f t="shared" si="14"/>
        <v>0</v>
      </c>
      <c r="AS62" s="1">
        <f t="shared" si="14"/>
        <v>1</v>
      </c>
    </row>
    <row r="63" ht="15" customHeight="1" spans="1:45">
      <c r="A63" s="1">
        <f t="shared" si="4"/>
        <v>61</v>
      </c>
      <c r="C63" s="57" t="str">
        <f>tblIndicators!AE63</f>
        <v>4.2.12) Threat of civil unrest</v>
      </c>
      <c r="D63" s="1" t="str">
        <f t="shared" si="10"/>
        <v>4.2.12) Threat of civil unrest</v>
      </c>
      <c r="F63" s="23">
        <f>INDEX(M63:Y63,uxb_works!$B$39)</f>
        <v>1</v>
      </c>
      <c r="G63" s="32"/>
      <c r="L63" s="1">
        <v>1</v>
      </c>
      <c r="M63" s="1">
        <v>1</v>
      </c>
      <c r="N63" s="1">
        <v>0</v>
      </c>
      <c r="O63" s="1">
        <v>0</v>
      </c>
      <c r="P63" s="1">
        <v>0</v>
      </c>
      <c r="Q63" s="1">
        <v>0</v>
      </c>
      <c r="R63" s="1">
        <v>0</v>
      </c>
      <c r="S63" s="1">
        <v>0</v>
      </c>
      <c r="T63" s="1">
        <v>0</v>
      </c>
      <c r="U63" s="1">
        <v>0</v>
      </c>
      <c r="V63" s="1">
        <v>0</v>
      </c>
      <c r="W63" s="1">
        <v>1</v>
      </c>
      <c r="X63" s="1">
        <v>0</v>
      </c>
      <c r="Y63" s="1">
        <v>1</v>
      </c>
      <c r="AC63" s="23">
        <f>INDEX(AG63:AT63,uxb_works!$B$39)</f>
        <v>0</v>
      </c>
      <c r="AF63" s="1">
        <v>1</v>
      </c>
      <c r="AG63" s="1">
        <v>0</v>
      </c>
      <c r="AH63" s="1">
        <f t="shared" si="11"/>
        <v>0</v>
      </c>
      <c r="AI63" s="1">
        <f t="shared" si="12"/>
        <v>0</v>
      </c>
      <c r="AJ63" s="1">
        <f t="shared" si="13"/>
        <v>0</v>
      </c>
      <c r="AK63" s="1">
        <f t="shared" si="14"/>
        <v>0</v>
      </c>
      <c r="AL63" s="1">
        <f t="shared" si="14"/>
        <v>0</v>
      </c>
      <c r="AM63" s="1">
        <f t="shared" si="14"/>
        <v>0</v>
      </c>
      <c r="AN63" s="1">
        <f t="shared" si="14"/>
        <v>0</v>
      </c>
      <c r="AO63" s="1">
        <f t="shared" si="14"/>
        <v>0</v>
      </c>
      <c r="AP63" s="1">
        <f t="shared" si="14"/>
        <v>0</v>
      </c>
      <c r="AQ63" s="1">
        <v>0</v>
      </c>
      <c r="AR63" s="1">
        <f t="shared" si="14"/>
        <v>0</v>
      </c>
      <c r="AS63" s="1">
        <f t="shared" si="14"/>
        <v>1</v>
      </c>
    </row>
  </sheetData>
  <pageMargins left="0.551181102362205" right="0.551181102362205" top="0.590551181102362" bottom="0.78740157480315" header="0.511811023622047" footer="0.511811023622047"/>
  <pageSetup paperSize="9" scale="27" orientation="landscape"/>
  <headerFooter alignWithMargins="0">
    <oddHeader>&amp;RSafe Cities Index : 2017</oddHead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C000"/>
    <pageSetUpPr fitToPage="1"/>
  </sheetPr>
  <dimension ref="A1:BK77"/>
  <sheetViews>
    <sheetView showRowColHeaders="0" zoomScale="90" zoomScaleNormal="90" workbookViewId="0">
      <pane xSplit="3" ySplit="2" topLeftCell="D46" activePane="bottomRight" state="frozen"/>
      <selection/>
      <selection pane="topRight"/>
      <selection pane="bottomLeft"/>
      <selection pane="bottomRight" activeCell="L63" sqref="L63"/>
    </sheetView>
  </sheetViews>
  <sheetFormatPr defaultColWidth="9" defaultRowHeight="15"/>
  <cols>
    <col min="1" max="2" width="9.14285714285714" style="1"/>
    <col min="3" max="3" width="17.2857142857143" style="1" customWidth="1"/>
    <col min="4" max="4" width="8.57142857142857" style="1" customWidth="1"/>
    <col min="5" max="5" width="12.7142857142857" style="1" customWidth="1"/>
    <col min="6" max="6" width="5.85714285714286" style="1" customWidth="1"/>
    <col min="7" max="7" width="11" style="1" customWidth="1"/>
    <col min="8" max="8" width="2.57142857142857" style="17" customWidth="1"/>
    <col min="9" max="9" width="11.7142857142857" style="1" customWidth="1"/>
    <col min="10" max="10" width="13.5714285714286" style="18" customWidth="1"/>
    <col min="11" max="11" width="12.8571428571429" style="1" customWidth="1"/>
    <col min="12" max="12" width="2.57142857142857" style="1" customWidth="1"/>
    <col min="13" max="13" width="2.57142857142857" style="19" customWidth="1"/>
    <col min="14" max="17" width="2.57142857142857" style="1" customWidth="1"/>
    <col min="18" max="18" width="2.57142857142857" customWidth="1"/>
    <col min="19" max="19" width="20.8571428571429" customWidth="1"/>
    <col min="20" max="20" width="2.57142857142857" customWidth="1"/>
    <col min="22" max="22" width="15.2857142857143" customWidth="1"/>
    <col min="23" max="23" width="19.5714285714286" customWidth="1"/>
    <col min="24" max="34" width="6.28571428571429" customWidth="1"/>
    <col min="40" max="40" width="16.4285714285714" customWidth="1"/>
    <col min="60" max="16384" width="9.14285714285714" style="1"/>
  </cols>
  <sheetData>
    <row r="1" spans="1:16">
      <c r="A1" s="21" t="s">
        <v>373</v>
      </c>
      <c r="B1" s="21"/>
      <c r="C1" s="21" t="s">
        <v>15</v>
      </c>
      <c r="D1" s="22" t="s">
        <v>953</v>
      </c>
      <c r="E1" s="1" t="s">
        <v>954</v>
      </c>
      <c r="F1" s="1" t="s">
        <v>338</v>
      </c>
      <c r="G1" s="21" t="s">
        <v>955</v>
      </c>
      <c r="I1" s="1" t="s">
        <v>956</v>
      </c>
      <c r="K1" s="24"/>
      <c r="L1" s="25" t="s">
        <v>948</v>
      </c>
      <c r="M1" s="26" t="s">
        <v>957</v>
      </c>
      <c r="N1" s="24"/>
      <c r="P1" s="1" t="s">
        <v>958</v>
      </c>
    </row>
    <row r="2" ht="15.75" spans="1:61">
      <c r="A2" s="50" t="str">
        <f>uxb_works!A46</f>
        <v>YEAR_SELECT</v>
      </c>
      <c r="B2" s="50">
        <f>uxb_works!B46</f>
        <v>3</v>
      </c>
      <c r="C2" s="1" t="s">
        <v>46</v>
      </c>
      <c r="D2" s="23">
        <f>uxb_works!$B$8</f>
        <v>1</v>
      </c>
      <c r="E2" s="23">
        <f>uxb_works!$B$8</f>
        <v>1</v>
      </c>
      <c r="F2" s="23">
        <f>uxb_works!$B$7</f>
        <v>0</v>
      </c>
      <c r="G2" s="1">
        <f>uxb_works!$B$14</f>
        <v>1</v>
      </c>
      <c r="H2" s="17">
        <f>L2</f>
        <v>1</v>
      </c>
      <c r="I2" s="1" t="str">
        <f>C2</f>
        <v>&lt;none&gt;</v>
      </c>
      <c r="J2" s="27" t="str">
        <f>C2</f>
        <v>&lt;none&gt;</v>
      </c>
      <c r="K2" s="28">
        <v>0</v>
      </c>
      <c r="L2" s="28">
        <v>1</v>
      </c>
      <c r="M2" s="29"/>
      <c r="N2" s="24"/>
      <c r="O2" s="23"/>
      <c r="S2" s="1" t="s">
        <v>959</v>
      </c>
      <c r="T2" s="1"/>
      <c r="U2" s="1"/>
      <c r="V2" s="1"/>
      <c r="W2" s="1"/>
      <c r="X2" s="1"/>
      <c r="Y2" s="1"/>
      <c r="Z2" s="1"/>
      <c r="AA2" s="1"/>
      <c r="AB2" s="1"/>
      <c r="AC2" s="1"/>
      <c r="AD2" s="1"/>
      <c r="AE2" s="1"/>
      <c r="AF2" s="1"/>
      <c r="AG2" s="20"/>
      <c r="AH2" s="20"/>
      <c r="AI2" s="1"/>
      <c r="AJ2" s="1"/>
      <c r="AK2" s="1"/>
      <c r="AL2" s="1"/>
      <c r="AM2" s="1"/>
      <c r="AN2" s="1"/>
      <c r="AO2" s="1">
        <f>uxb_works!$B$12</f>
        <v>1</v>
      </c>
      <c r="AP2" s="1">
        <f>uxb_works!$B$10</f>
        <v>1</v>
      </c>
      <c r="AQ2" s="1"/>
      <c r="AR2" s="1"/>
      <c r="AS2" s="1"/>
      <c r="AT2" s="1"/>
      <c r="AU2" s="1"/>
      <c r="AV2" s="1"/>
      <c r="AW2" s="1"/>
      <c r="AX2" s="1"/>
      <c r="AY2" s="1"/>
      <c r="AZ2" s="1"/>
      <c r="BA2" s="1"/>
      <c r="BB2" s="1"/>
      <c r="BC2" s="1"/>
      <c r="BD2" s="1"/>
      <c r="BE2" s="1"/>
      <c r="BF2" s="1"/>
      <c r="BG2" s="1"/>
      <c r="BI2" s="1">
        <f>uxb_works!B9</f>
        <v>1</v>
      </c>
    </row>
    <row r="3" ht="15.75" spans="1:63">
      <c r="A3" s="1">
        <f>IF(CHOOSE($B$2,tblTerritories_2014_O!A3,tblTerritories_2014_N!A3,tblTerritories_2017!A3)="","",CHOOSE($B$2,tblTerritories_2014_O!A3,tblTerritories_2014_N!A3,tblTerritories_2017!A3))</f>
        <v>1</v>
      </c>
      <c r="B3" s="1" t="str">
        <f>IF(CHOOSE($B$2,tblTerritories_2014_O!B3,tblTerritories_2014_N!B3,tblTerritories_2017!B3)="","",CHOOSE($B$2,tblTerritories_2014_O!B3,tblTerritories_2014_N!B3,tblTerritories_2017!B3))</f>
        <v/>
      </c>
      <c r="C3" s="51" t="str">
        <f>IF(CHOOSE($B$2,tblTerritories_2014_O!C3,tblTerritories_2014_N!C3,tblTerritories_2017!C3)="","",CHOOSE($B$2,tblTerritories_2014_O!C3,tblTerritories_2014_N!C3,tblTerritories_2017!C3))</f>
        <v>Abu Dhabi</v>
      </c>
      <c r="D3" s="1">
        <f>IF(CHOOSE($B$2,tblTerritories_2014_O!D3,tblTerritories_2014_N!D3,tblTerritories_2017!D3)="","",CHOOSE($B$2,tblTerritories_2014_O!D3,tblTerritories_2014_N!D3,tblTerritories_2017!D3))</f>
        <v>1</v>
      </c>
      <c r="E3" s="1">
        <f>IF(CHOOSE($B$2,tblTerritories_2014_O!E3,tblTerritories_2014_N!E3,tblTerritories_2017!E3)="","",CHOOSE($B$2,tblTerritories_2014_O!E3,tblTerritories_2014_N!E3,tblTerritories_2017!E3))</f>
        <v>0</v>
      </c>
      <c r="F3" s="1">
        <f>IF(CHOOSE($B$2,tblTerritories_2014_O!F3,tblTerritories_2014_N!F3,tblTerritories_2017!F3)="","",CHOOSE($B$2,tblTerritories_2014_O!F3,tblTerritories_2014_N!F3,tblTerritories_2017!F3))</f>
        <v>1</v>
      </c>
      <c r="G3" s="1">
        <f>IF(CHOOSE($B$2,tblTerritories_2014_O!G3,tblTerritories_2014_N!G3,tblTerritories_2017!G3)="","",CHOOSE($B$2,tblTerritories_2014_O!G3,tblTerritories_2014_N!G3,tblTerritories_2017!G3))</f>
        <v>0</v>
      </c>
      <c r="H3" s="17">
        <f>IF(CHOOSE($B$2,tblTerritories_2014_O!H3,tblTerritories_2014_N!H3,tblTerritories_2017!H3)="","",CHOOSE($B$2,tblTerritories_2014_O!H3,tblTerritories_2014_N!H3,tblTerritories_2017!H3))</f>
        <v>1</v>
      </c>
      <c r="I3" s="1" t="str">
        <f>IF(CHOOSE($B$2,tblTerritories_2014_O!I3,tblTerritories_2014_N!I3,tblTerritories_2017!I3)="","",CHOOSE($B$2,tblTerritories_2014_O!I3,tblTerritories_2014_N!I3,tblTerritories_2017!I3))</f>
        <v>AbuDhabi</v>
      </c>
      <c r="J3" s="27" t="str">
        <f>IF(CHOOSE($B$2,tblTerritories_2014_O!J3,tblTerritories_2014_N!J3,tblTerritories_2017!J3)="","",CHOOSE($B$2,tblTerritories_2014_O!J3,tblTerritories_2014_N!J3,tblTerritories_2017!J3))</f>
        <v>Abu Dhabi</v>
      </c>
      <c r="K3" s="30">
        <f>IF(CHOOSE($B$2,tblTerritories_2014_O!K3,tblTerritories_2014_N!K3,tblTerritories_2017!K3)="","",CHOOSE($B$2,tblTerritories_2014_O!K3,tblTerritories_2014_N!K3,tblTerritories_2017!K3))</f>
        <v>0</v>
      </c>
      <c r="L3" s="31">
        <f>IF(CHOOSE($B$2,tblTerritories_2014_O!L3,tblTerritories_2014_N!L3,tblTerritories_2017!L3)="","",CHOOSE($B$2,tblTerritories_2014_O!L3,tblTerritories_2014_N!L3,tblTerritories_2017!L3))</f>
        <v>1</v>
      </c>
      <c r="M3" s="32" t="str">
        <f>IF(CHOOSE($B$2,tblTerritories_2014_O!M3,tblTerritories_2014_N!M3,tblTerritories_2017!M3)="","",CHOOSE($B$2,tblTerritories_2014_O!M3,tblTerritories_2014_N!M3,tblTerritories_2017!M3))</f>
        <v/>
      </c>
      <c r="N3" s="24" t="str">
        <f>IF(CHOOSE($B$2,tblTerritories_2014_O!N3,tblTerritories_2014_N!N3,tblTerritories_2017!N3)="","",CHOOSE($B$2,tblTerritories_2014_O!N3,tblTerritories_2014_N!N3,tblTerritories_2017!N3))</f>
        <v>CITY_HIGHLIGHT_ID</v>
      </c>
      <c r="O3" s="23">
        <f>IF(CHOOSE($B$2,tblTerritories_2014_O!O3,tblTerritories_2014_N!O3,tblTerritories_2017!O3)="","",CHOOSE($B$2,tblTerritories_2014_O!O3,tblTerritories_2014_N!O3,tblTerritories_2017!O3))</f>
        <v>0</v>
      </c>
      <c r="P3" s="1">
        <f>IF(CHOOSE($B$2,tblTerritories_2014_O!P3,tblTerritories_2014_N!P3,tblTerritories_2017!P3)="","",CHOOSE($B$2,tblTerritories_2014_O!P3,tblTerritories_2014_N!P3,tblTerritories_2017!P3))</f>
        <v>3</v>
      </c>
      <c r="S3" s="1" t="s">
        <v>46</v>
      </c>
      <c r="T3" s="1"/>
      <c r="U3" s="1"/>
      <c r="V3" s="1"/>
      <c r="W3" s="33"/>
      <c r="X3" s="33"/>
      <c r="Y3" s="33"/>
      <c r="Z3" s="33"/>
      <c r="AA3" s="33"/>
      <c r="AB3" s="40"/>
      <c r="AC3" s="41"/>
      <c r="AD3" s="41"/>
      <c r="AE3" s="48"/>
      <c r="AF3" s="46"/>
      <c r="AG3" s="46"/>
      <c r="AH3" s="46"/>
      <c r="AI3" s="1"/>
      <c r="AK3" s="1" t="s">
        <v>960</v>
      </c>
      <c r="AL3" s="1" t="s">
        <v>960</v>
      </c>
      <c r="AM3" s="1" t="s">
        <v>960</v>
      </c>
      <c r="AN3" s="1" t="s">
        <v>46</v>
      </c>
      <c r="AO3" s="1">
        <f>INDEX(V3:AA3,$AO$2)</f>
        <v>0</v>
      </c>
      <c r="AP3" s="1">
        <f>INDEX(AT3:BG3,$AP$2)</f>
        <v>1</v>
      </c>
      <c r="AQ3" s="1">
        <f>IF(AND(AO3=1,AP3=1),1,0)</f>
        <v>0</v>
      </c>
      <c r="AR3" s="1">
        <f>IF(AND($AO$2=1,$AP$2&lt;&gt;1),AP3,IF(AND($AO$2&lt;&gt;1,$AP$2=1),AO3,IF(AND($AO$2&lt;&gt;1,$AP$2&lt;&gt;1),AQ3,1)))</f>
        <v>1</v>
      </c>
      <c r="AS3" s="1"/>
      <c r="AT3" s="1">
        <v>1</v>
      </c>
      <c r="AU3" s="1">
        <f>AB3</f>
        <v>0</v>
      </c>
      <c r="AV3" s="1">
        <f t="shared" ref="AV3:AX16" si="0">AC3</f>
        <v>0</v>
      </c>
      <c r="AW3" s="1">
        <f t="shared" si="0"/>
        <v>0</v>
      </c>
      <c r="AX3" s="1">
        <f t="shared" si="0"/>
        <v>0</v>
      </c>
      <c r="AY3" s="1">
        <f>W3</f>
        <v>0</v>
      </c>
      <c r="AZ3" s="1">
        <f t="shared" ref="AZ3:BC16" si="1">X3</f>
        <v>0</v>
      </c>
      <c r="BA3" s="1">
        <f t="shared" si="1"/>
        <v>0</v>
      </c>
      <c r="BB3" s="1">
        <f t="shared" si="1"/>
        <v>0</v>
      </c>
      <c r="BC3" s="1">
        <f t="shared" si="1"/>
        <v>0</v>
      </c>
      <c r="BD3" s="1"/>
      <c r="BE3" s="1"/>
      <c r="BF3" s="1"/>
      <c r="BG3" s="1"/>
      <c r="BI3" s="1">
        <f t="shared" ref="BI3:BI8" si="2">INDEX(AU3:BG3,$BI$2)</f>
        <v>0</v>
      </c>
      <c r="BK3" s="1" t="s">
        <v>961</v>
      </c>
    </row>
    <row r="4" ht="15.75" spans="1:63">
      <c r="A4" s="1">
        <f>IF(CHOOSE($B$2,tblTerritories_2014_O!A4,tblTerritories_2014_N!A4,tblTerritories_2017!A4)="","",CHOOSE($B$2,tblTerritories_2014_O!A4,tblTerritories_2014_N!A4,tblTerritories_2017!A4))</f>
        <v>2</v>
      </c>
      <c r="B4" s="1" t="str">
        <f>IF(CHOOSE($B$2,tblTerritories_2014_O!B4,tblTerritories_2014_N!B4,tblTerritories_2017!B4)="","",CHOOSE($B$2,tblTerritories_2014_O!B4,tblTerritories_2014_N!B4,tblTerritories_2017!B4))</f>
        <v/>
      </c>
      <c r="C4" s="51" t="str">
        <f>IF(CHOOSE($B$2,tblTerritories_2014_O!C4,tblTerritories_2014_N!C4,tblTerritories_2017!C4)="","",CHOOSE($B$2,tblTerritories_2014_O!C4,tblTerritories_2014_N!C4,tblTerritories_2017!C4))</f>
        <v>Amsterdam</v>
      </c>
      <c r="D4" s="1">
        <f>IF(CHOOSE($B$2,tblTerritories_2014_O!D4,tblTerritories_2014_N!D4,tblTerritories_2017!D4)="","",CHOOSE($B$2,tblTerritories_2014_O!D4,tblTerritories_2014_N!D4,tblTerritories_2017!D4))</f>
        <v>1</v>
      </c>
      <c r="E4" s="1">
        <f>IF(CHOOSE($B$2,tblTerritories_2014_O!E4,tblTerritories_2014_N!E4,tblTerritories_2017!E4)="","",CHOOSE($B$2,tblTerritories_2014_O!E4,tblTerritories_2014_N!E4,tblTerritories_2017!E4))</f>
        <v>0</v>
      </c>
      <c r="F4" s="1">
        <f>IF(CHOOSE($B$2,tblTerritories_2014_O!F4,tblTerritories_2014_N!F4,tblTerritories_2017!F4)="","",CHOOSE($B$2,tblTerritories_2014_O!F4,tblTerritories_2014_N!F4,tblTerritories_2017!F4))</f>
        <v>1</v>
      </c>
      <c r="G4" s="1">
        <f>IF(CHOOSE($B$2,tblTerritories_2014_O!G4,tblTerritories_2014_N!G4,tblTerritories_2017!G4)="","",CHOOSE($B$2,tblTerritories_2014_O!G4,tblTerritories_2014_N!G4,tblTerritories_2017!G4))</f>
        <v>0</v>
      </c>
      <c r="H4" s="17">
        <f>IF(CHOOSE($B$2,tblTerritories_2014_O!H4,tblTerritories_2014_N!H4,tblTerritories_2017!H4)="","",CHOOSE($B$2,tblTerritories_2014_O!H4,tblTerritories_2014_N!H4,tblTerritories_2017!H4))</f>
        <v>1</v>
      </c>
      <c r="I4" s="1" t="str">
        <f>IF(CHOOSE($B$2,tblTerritories_2014_O!I4,tblTerritories_2014_N!I4,tblTerritories_2017!I4)="","",CHOOSE($B$2,tblTerritories_2014_O!I4,tblTerritories_2014_N!I4,tblTerritories_2017!I4))</f>
        <v>Amsterdam</v>
      </c>
      <c r="J4" s="27" t="str">
        <f>IF(CHOOSE($B$2,tblTerritories_2014_O!J4,tblTerritories_2014_N!J4,tblTerritories_2017!J4)="","",CHOOSE($B$2,tblTerritories_2014_O!J4,tblTerritories_2014_N!J4,tblTerritories_2017!J4))</f>
        <v>Amsterdam</v>
      </c>
      <c r="K4" s="30">
        <f>IF(CHOOSE($B$2,tblTerritories_2014_O!K4,tblTerritories_2014_N!K4,tblTerritories_2017!K4)="","",CHOOSE($B$2,tblTerritories_2014_O!K4,tblTerritories_2014_N!K4,tblTerritories_2017!K4))</f>
        <v>0</v>
      </c>
      <c r="L4" s="31">
        <f>IF(CHOOSE($B$2,tblTerritories_2014_O!L4,tblTerritories_2014_N!L4,tblTerritories_2017!L4)="","",CHOOSE($B$2,tblTerritories_2014_O!L4,tblTerritories_2014_N!L4,tblTerritories_2017!L4))</f>
        <v>1</v>
      </c>
      <c r="M4" s="32" t="str">
        <f>IF(CHOOSE($B$2,tblTerritories_2014_O!M4,tblTerritories_2014_N!M4,tblTerritories_2017!M4)="","",CHOOSE($B$2,tblTerritories_2014_O!M4,tblTerritories_2014_N!M4,tblTerritories_2017!M4))</f>
        <v/>
      </c>
      <c r="N4" s="24" t="str">
        <f>IF(CHOOSE($B$2,tblTerritories_2014_O!N4,tblTerritories_2014_N!N4,tblTerritories_2017!N4)="","",CHOOSE($B$2,tblTerritories_2014_O!N4,tblTerritories_2014_N!N4,tblTerritories_2017!N4))</f>
        <v>GROUP_HIGHLIGHT_ID</v>
      </c>
      <c r="O4" s="23">
        <f>IF(CHOOSE($B$2,tblTerritories_2014_O!O4,tblTerritories_2014_N!O4,tblTerritories_2017!O4)="","",CHOOSE($B$2,tblTerritories_2014_O!O4,tblTerritories_2014_N!O4,tblTerritories_2017!O4))</f>
        <v>1</v>
      </c>
      <c r="P4" s="24">
        <f>IF(CHOOSE($B$2,tblTerritories_2014_O!P4,tblTerritories_2014_N!P4,tblTerritories_2017!P4)="","",CHOOSE($B$2,tblTerritories_2014_O!P4,tblTerritories_2014_N!P4,tblTerritories_2017!P4))</f>
        <v>1</v>
      </c>
      <c r="Q4" s="24"/>
      <c r="S4" s="34" t="s">
        <v>962</v>
      </c>
      <c r="T4" s="24"/>
      <c r="U4" s="24"/>
      <c r="V4" s="1"/>
      <c r="W4" s="33"/>
      <c r="X4" s="33"/>
      <c r="Y4" s="33"/>
      <c r="Z4" s="33"/>
      <c r="AA4" s="33"/>
      <c r="AB4" s="44"/>
      <c r="AC4" s="45"/>
      <c r="AD4" s="45"/>
      <c r="AE4" s="49"/>
      <c r="AF4" s="46"/>
      <c r="AG4" s="46"/>
      <c r="AH4" s="46"/>
      <c r="AI4" s="1"/>
      <c r="AK4" s="1" t="str">
        <f>S14</f>
        <v>Population &lt; 5 million</v>
      </c>
      <c r="AL4" s="47" t="str">
        <f>S5</f>
        <v>Asia Pacific</v>
      </c>
      <c r="AM4" s="1" t="str">
        <f>S10</f>
        <v>High Income</v>
      </c>
      <c r="AN4" s="1" t="str">
        <f t="shared" ref="AN4:AN13" si="3">AM4</f>
        <v>High Income</v>
      </c>
      <c r="AO4" s="1">
        <f t="shared" ref="AO4:AO16" si="4">INDEX(V4:AA4,$AO$2)</f>
        <v>0</v>
      </c>
      <c r="AP4" s="1">
        <f t="shared" ref="AP4:AP16" si="5">INDEX(AT4:BG4,$AP$2)</f>
        <v>1</v>
      </c>
      <c r="AQ4" s="1">
        <f t="shared" ref="AQ4:AQ16" si="6">IF(AND(AO4=1,AP4=1),1,0)</f>
        <v>0</v>
      </c>
      <c r="AR4" s="1">
        <f t="shared" ref="AR4:AR16" si="7">IF(AND($AO$2=1,$AP$2&lt;&gt;1),AP4,IF(AND($AO$2&lt;&gt;1,$AP$2=1),AO4,IF(AND($AO$2&lt;&gt;1,$AP$2&lt;&gt;1),AQ4,1)))</f>
        <v>1</v>
      </c>
      <c r="AS4" s="1"/>
      <c r="AT4" s="1">
        <v>1</v>
      </c>
      <c r="AU4" s="1">
        <f t="shared" ref="AU4:AU16" si="8">AB4</f>
        <v>0</v>
      </c>
      <c r="AV4" s="1">
        <f t="shared" si="0"/>
        <v>0</v>
      </c>
      <c r="AW4" s="1">
        <f t="shared" si="0"/>
        <v>0</v>
      </c>
      <c r="AX4" s="1">
        <f t="shared" si="0"/>
        <v>0</v>
      </c>
      <c r="AY4" s="1">
        <f t="shared" ref="AY4:AY16" si="9">W4</f>
        <v>0</v>
      </c>
      <c r="AZ4" s="1">
        <f t="shared" si="1"/>
        <v>0</v>
      </c>
      <c r="BA4" s="1">
        <f t="shared" si="1"/>
        <v>0</v>
      </c>
      <c r="BB4" s="1">
        <f t="shared" si="1"/>
        <v>0</v>
      </c>
      <c r="BC4" s="1">
        <f t="shared" si="1"/>
        <v>0</v>
      </c>
      <c r="BD4" s="1"/>
      <c r="BE4" s="1"/>
      <c r="BF4" s="1"/>
      <c r="BG4" s="1"/>
      <c r="BI4" s="1">
        <f t="shared" si="2"/>
        <v>0</v>
      </c>
      <c r="BK4" s="1" t="str">
        <f>AM4</f>
        <v>High Income</v>
      </c>
    </row>
    <row r="5" ht="15.75" spans="1:63">
      <c r="A5" s="1">
        <f>IF(CHOOSE($B$2,tblTerritories_2014_O!A5,tblTerritories_2014_N!A5,tblTerritories_2017!A5)="","",CHOOSE($B$2,tblTerritories_2014_O!A5,tblTerritories_2014_N!A5,tblTerritories_2017!A5))</f>
        <v>3</v>
      </c>
      <c r="B5" s="1" t="str">
        <f>IF(CHOOSE($B$2,tblTerritories_2014_O!B5,tblTerritories_2014_N!B5,tblTerritories_2017!B5)="","",CHOOSE($B$2,tblTerritories_2014_O!B5,tblTerritories_2014_N!B5,tblTerritories_2017!B5))</f>
        <v/>
      </c>
      <c r="C5" s="51" t="str">
        <f>IF(CHOOSE($B$2,tblTerritories_2014_O!C5,tblTerritories_2014_N!C5,tblTerritories_2017!C5)="","",CHOOSE($B$2,tblTerritories_2014_O!C5,tblTerritories_2014_N!C5,tblTerritories_2017!C5))</f>
        <v>Athens</v>
      </c>
      <c r="D5" s="1">
        <f>IF(CHOOSE($B$2,tblTerritories_2014_O!D5,tblTerritories_2014_N!D5,tblTerritories_2017!D5)="","",CHOOSE($B$2,tblTerritories_2014_O!D5,tblTerritories_2014_N!D5,tblTerritories_2017!D5))</f>
        <v>1</v>
      </c>
      <c r="E5" s="1">
        <f>IF(CHOOSE($B$2,tblTerritories_2014_O!E5,tblTerritories_2014_N!E5,tblTerritories_2017!E5)="","",CHOOSE($B$2,tblTerritories_2014_O!E5,tblTerritories_2014_N!E5,tblTerritories_2017!E5))</f>
        <v>0</v>
      </c>
      <c r="F5" s="1">
        <f>IF(CHOOSE($B$2,tblTerritories_2014_O!F5,tblTerritories_2014_N!F5,tblTerritories_2017!F5)="","",CHOOSE($B$2,tblTerritories_2014_O!F5,tblTerritories_2014_N!F5,tblTerritories_2017!F5))</f>
        <v>1</v>
      </c>
      <c r="G5" s="1">
        <f>IF(CHOOSE($B$2,tblTerritories_2014_O!G5,tblTerritories_2014_N!G5,tblTerritories_2017!G5)="","",CHOOSE($B$2,tblTerritories_2014_O!G5,tblTerritories_2014_N!G5,tblTerritories_2017!G5))</f>
        <v>0</v>
      </c>
      <c r="H5" s="17">
        <f>IF(CHOOSE($B$2,tblTerritories_2014_O!H5,tblTerritories_2014_N!H5,tblTerritories_2017!H5)="","",CHOOSE($B$2,tblTerritories_2014_O!H5,tblTerritories_2014_N!H5,tblTerritories_2017!H5))</f>
        <v>1</v>
      </c>
      <c r="I5" s="1" t="str">
        <f>IF(CHOOSE($B$2,tblTerritories_2014_O!I5,tblTerritories_2014_N!I5,tblTerritories_2017!I5)="","",CHOOSE($B$2,tblTerritories_2014_O!I5,tblTerritories_2014_N!I5,tblTerritories_2017!I5))</f>
        <v>Athens</v>
      </c>
      <c r="J5" s="27" t="str">
        <f>IF(CHOOSE($B$2,tblTerritories_2014_O!J5,tblTerritories_2014_N!J5,tblTerritories_2017!J5)="","",CHOOSE($B$2,tblTerritories_2014_O!J5,tblTerritories_2014_N!J5,tblTerritories_2017!J5))</f>
        <v>Athens</v>
      </c>
      <c r="K5" s="30">
        <f>IF(CHOOSE($B$2,tblTerritories_2014_O!K5,tblTerritories_2014_N!K5,tblTerritories_2017!K5)="","",CHOOSE($B$2,tblTerritories_2014_O!K5,tblTerritories_2014_N!K5,tblTerritories_2017!K5))</f>
        <v>0</v>
      </c>
      <c r="L5" s="31">
        <f>IF(CHOOSE($B$2,tblTerritories_2014_O!L5,tblTerritories_2014_N!L5,tblTerritories_2017!L5)="","",CHOOSE($B$2,tblTerritories_2014_O!L5,tblTerritories_2014_N!L5,tblTerritories_2017!L5))</f>
        <v>1</v>
      </c>
      <c r="M5" s="32" t="str">
        <f>IF(CHOOSE($B$2,tblTerritories_2014_O!M5,tblTerritories_2014_N!M5,tblTerritories_2017!M5)="","",CHOOSE($B$2,tblTerritories_2014_O!M5,tblTerritories_2014_N!M5,tblTerritories_2017!M5))</f>
        <v/>
      </c>
      <c r="N5" s="24" t="str">
        <f>IF(CHOOSE($B$2,tblTerritories_2014_O!N5,tblTerritories_2014_N!N5,tblTerritories_2017!N5)="","",CHOOSE($B$2,tblTerritories_2014_O!N5,tblTerritories_2014_N!N5,tblTerritories_2017!N5))</f>
        <v>GROUP_FILTER_ID</v>
      </c>
      <c r="O5" s="23">
        <f>IF(CHOOSE($B$2,tblTerritories_2014_O!O5,tblTerritories_2014_N!O5,tblTerritories_2017!O5)="","",CHOOSE($B$2,tblTerritories_2014_O!O5,tblTerritories_2014_N!O5,tblTerritories_2017!O5))</f>
        <v>1</v>
      </c>
      <c r="P5" s="24">
        <f>IF(CHOOSE($B$2,tblTerritories_2014_O!P5,tblTerritories_2014_N!P5,tblTerritories_2017!P5)="","",CHOOSE($B$2,tblTerritories_2014_O!P5,tblTerritories_2014_N!P5,tblTerritories_2017!P5))</f>
        <v>1</v>
      </c>
      <c r="Q5" s="24"/>
      <c r="S5" s="35" t="s">
        <v>963</v>
      </c>
      <c r="T5" s="32"/>
      <c r="U5" s="24"/>
      <c r="V5" s="1"/>
      <c r="W5" s="33"/>
      <c r="X5" s="33"/>
      <c r="Y5" s="33"/>
      <c r="Z5" s="33"/>
      <c r="AA5" s="33"/>
      <c r="AB5" s="44"/>
      <c r="AC5" s="45"/>
      <c r="AD5" s="45"/>
      <c r="AE5" s="49"/>
      <c r="AF5" s="46"/>
      <c r="AG5" s="46"/>
      <c r="AH5" s="46"/>
      <c r="AI5" s="1"/>
      <c r="AK5" s="1" t="str">
        <f t="shared" ref="AK5:AK7" si="10">S15</f>
        <v>Population 5 - 10 million</v>
      </c>
      <c r="AL5" s="47" t="str">
        <f>S6</f>
        <v>Europe</v>
      </c>
      <c r="AM5" s="1" t="str">
        <f>S11</f>
        <v>Upper Middle Income</v>
      </c>
      <c r="AN5" s="1" t="str">
        <f t="shared" si="3"/>
        <v>Upper Middle Income</v>
      </c>
      <c r="AO5" s="1">
        <f t="shared" si="4"/>
        <v>0</v>
      </c>
      <c r="AP5" s="1">
        <f t="shared" si="5"/>
        <v>1</v>
      </c>
      <c r="AQ5" s="1">
        <f t="shared" si="6"/>
        <v>0</v>
      </c>
      <c r="AR5" s="1">
        <f t="shared" si="7"/>
        <v>1</v>
      </c>
      <c r="AS5" s="1"/>
      <c r="AT5" s="1">
        <v>1</v>
      </c>
      <c r="AU5" s="1">
        <f t="shared" si="8"/>
        <v>0</v>
      </c>
      <c r="AV5" s="1">
        <f t="shared" si="0"/>
        <v>0</v>
      </c>
      <c r="AW5" s="1">
        <f t="shared" si="0"/>
        <v>0</v>
      </c>
      <c r="AX5" s="1">
        <f t="shared" si="0"/>
        <v>0</v>
      </c>
      <c r="AY5" s="1">
        <f t="shared" si="9"/>
        <v>0</v>
      </c>
      <c r="AZ5" s="1">
        <f t="shared" si="1"/>
        <v>0</v>
      </c>
      <c r="BA5" s="1">
        <f t="shared" si="1"/>
        <v>0</v>
      </c>
      <c r="BB5" s="1">
        <f t="shared" si="1"/>
        <v>0</v>
      </c>
      <c r="BC5" s="1">
        <f t="shared" si="1"/>
        <v>0</v>
      </c>
      <c r="BD5" s="1"/>
      <c r="BE5" s="1"/>
      <c r="BF5" s="1"/>
      <c r="BG5" s="1"/>
      <c r="BI5" s="1">
        <f t="shared" si="2"/>
        <v>0</v>
      </c>
      <c r="BK5" s="1" t="str">
        <f>AM5</f>
        <v>Upper Middle Income</v>
      </c>
    </row>
    <row r="6" ht="15.75" spans="1:63">
      <c r="A6" s="1">
        <f>IF(CHOOSE($B$2,tblTerritories_2014_O!A6,tblTerritories_2014_N!A6,tblTerritories_2017!A6)="","",CHOOSE($B$2,tblTerritories_2014_O!A6,tblTerritories_2014_N!A6,tblTerritories_2017!A6))</f>
        <v>4</v>
      </c>
      <c r="B6" s="1" t="str">
        <f>IF(CHOOSE($B$2,tblTerritories_2014_O!B6,tblTerritories_2014_N!B6,tblTerritories_2017!B6)="","",CHOOSE($B$2,tblTerritories_2014_O!B6,tblTerritories_2014_N!B6,tblTerritories_2017!B6))</f>
        <v/>
      </c>
      <c r="C6" s="51" t="str">
        <f>IF(CHOOSE($B$2,tblTerritories_2014_O!C6,tblTerritories_2014_N!C6,tblTerritories_2017!C6)="","",CHOOSE($B$2,tblTerritories_2014_O!C6,tblTerritories_2014_N!C6,tblTerritories_2017!C6))</f>
        <v>Bangkok</v>
      </c>
      <c r="D6" s="1">
        <f>IF(CHOOSE($B$2,tblTerritories_2014_O!D6,tblTerritories_2014_N!D6,tblTerritories_2017!D6)="","",CHOOSE($B$2,tblTerritories_2014_O!D6,tblTerritories_2014_N!D6,tblTerritories_2017!D6))</f>
        <v>1</v>
      </c>
      <c r="E6" s="1">
        <f>IF(CHOOSE($B$2,tblTerritories_2014_O!E6,tblTerritories_2014_N!E6,tblTerritories_2017!E6)="","",CHOOSE($B$2,tblTerritories_2014_O!E6,tblTerritories_2014_N!E6,tblTerritories_2017!E6))</f>
        <v>0</v>
      </c>
      <c r="F6" s="1">
        <f>IF(CHOOSE($B$2,tblTerritories_2014_O!F6,tblTerritories_2014_N!F6,tblTerritories_2017!F6)="","",CHOOSE($B$2,tblTerritories_2014_O!F6,tblTerritories_2014_N!F6,tblTerritories_2017!F6))</f>
        <v>1</v>
      </c>
      <c r="G6" s="1">
        <f>IF(CHOOSE($B$2,tblTerritories_2014_O!G6,tblTerritories_2014_N!G6,tblTerritories_2017!G6)="","",CHOOSE($B$2,tblTerritories_2014_O!G6,tblTerritories_2014_N!G6,tblTerritories_2017!G6))</f>
        <v>0</v>
      </c>
      <c r="H6" s="17">
        <f>IF(CHOOSE($B$2,tblTerritories_2014_O!H6,tblTerritories_2014_N!H6,tblTerritories_2017!H6)="","",CHOOSE($B$2,tblTerritories_2014_O!H6,tblTerritories_2014_N!H6,tblTerritories_2017!H6))</f>
        <v>1</v>
      </c>
      <c r="I6" s="1" t="str">
        <f>IF(CHOOSE($B$2,tblTerritories_2014_O!I6,tblTerritories_2014_N!I6,tblTerritories_2017!I6)="","",CHOOSE($B$2,tblTerritories_2014_O!I6,tblTerritories_2014_N!I6,tblTerritories_2017!I6))</f>
        <v>Bangkok</v>
      </c>
      <c r="J6" s="27" t="str">
        <f>IF(CHOOSE($B$2,tblTerritories_2014_O!J6,tblTerritories_2014_N!J6,tblTerritories_2017!J6)="","",CHOOSE($B$2,tblTerritories_2014_O!J6,tblTerritories_2014_N!J6,tblTerritories_2017!J6))</f>
        <v>Bangkok</v>
      </c>
      <c r="K6" s="30">
        <f>IF(CHOOSE($B$2,tblTerritories_2014_O!K6,tblTerritories_2014_N!K6,tblTerritories_2017!K6)="","",CHOOSE($B$2,tblTerritories_2014_O!K6,tblTerritories_2014_N!K6,tblTerritories_2017!K6))</f>
        <v>0</v>
      </c>
      <c r="L6" s="31">
        <f>IF(CHOOSE($B$2,tblTerritories_2014_O!L6,tblTerritories_2014_N!L6,tblTerritories_2017!L6)="","",CHOOSE($B$2,tblTerritories_2014_O!L6,tblTerritories_2014_N!L6,tblTerritories_2017!L6))</f>
        <v>1</v>
      </c>
      <c r="M6" s="32" t="str">
        <f>IF(CHOOSE($B$2,tblTerritories_2014_O!M6,tblTerritories_2014_N!M6,tblTerritories_2017!M6)="","",CHOOSE($B$2,tblTerritories_2014_O!M6,tblTerritories_2014_N!M6,tblTerritories_2017!M6))</f>
        <v/>
      </c>
      <c r="N6" s="24" t="str">
        <f>IF(CHOOSE($B$2,tblTerritories_2014_O!N6,tblTerritories_2014_N!N6,tblTerritories_2017!N6)="","",CHOOSE($B$2,tblTerritories_2014_O!N6,tblTerritories_2014_N!N6,tblTerritories_2017!N6))</f>
        <v/>
      </c>
      <c r="O6" s="1" t="str">
        <f>IF(CHOOSE($B$2,tblTerritories_2014_O!O6,tblTerritories_2014_N!O6,tblTerritories_2017!O6)="","",CHOOSE($B$2,tblTerritories_2014_O!O6,tblTerritories_2014_N!O6,tblTerritories_2017!O6))</f>
        <v/>
      </c>
      <c r="P6" s="24">
        <f>IF(CHOOSE($B$2,tblTerritories_2014_O!P6,tblTerritories_2014_N!P6,tblTerritories_2017!P6)="","",CHOOSE($B$2,tblTerritories_2014_O!P6,tblTerritories_2014_N!P6,tblTerritories_2017!P6))</f>
        <v>7</v>
      </c>
      <c r="Q6" s="24"/>
      <c r="S6" s="36" t="s">
        <v>964</v>
      </c>
      <c r="T6" s="32"/>
      <c r="U6" s="24"/>
      <c r="V6" s="1"/>
      <c r="W6" s="33"/>
      <c r="X6" s="33"/>
      <c r="Y6" s="33"/>
      <c r="Z6" s="33"/>
      <c r="AA6" s="33"/>
      <c r="AB6" s="44"/>
      <c r="AC6" s="45"/>
      <c r="AD6" s="45"/>
      <c r="AE6" s="49"/>
      <c r="AF6" s="46"/>
      <c r="AG6" s="46"/>
      <c r="AH6" s="46"/>
      <c r="AI6" s="1"/>
      <c r="AK6" s="1" t="str">
        <f t="shared" si="10"/>
        <v>Population 10 - 15 million</v>
      </c>
      <c r="AL6" s="47" t="str">
        <f>S7</f>
        <v>Latin America</v>
      </c>
      <c r="AM6" s="1" t="str">
        <f>S12</f>
        <v>Lower Middle Income</v>
      </c>
      <c r="AN6" s="1" t="str">
        <f t="shared" si="3"/>
        <v>Lower Middle Income</v>
      </c>
      <c r="AO6" s="1">
        <f t="shared" si="4"/>
        <v>0</v>
      </c>
      <c r="AP6" s="1">
        <f t="shared" si="5"/>
        <v>1</v>
      </c>
      <c r="AQ6" s="1">
        <f t="shared" si="6"/>
        <v>0</v>
      </c>
      <c r="AR6" s="1">
        <f t="shared" si="7"/>
        <v>1</v>
      </c>
      <c r="AS6" s="1"/>
      <c r="AT6" s="1">
        <v>1</v>
      </c>
      <c r="AU6" s="1">
        <f t="shared" si="8"/>
        <v>0</v>
      </c>
      <c r="AV6" s="1">
        <f t="shared" si="0"/>
        <v>0</v>
      </c>
      <c r="AW6" s="1">
        <f t="shared" si="0"/>
        <v>0</v>
      </c>
      <c r="AX6" s="1">
        <f t="shared" si="0"/>
        <v>0</v>
      </c>
      <c r="AY6" s="1">
        <f t="shared" si="9"/>
        <v>0</v>
      </c>
      <c r="AZ6" s="1">
        <f t="shared" si="1"/>
        <v>0</v>
      </c>
      <c r="BA6" s="1">
        <f t="shared" si="1"/>
        <v>0</v>
      </c>
      <c r="BB6" s="1">
        <f t="shared" si="1"/>
        <v>0</v>
      </c>
      <c r="BC6" s="1">
        <f t="shared" si="1"/>
        <v>0</v>
      </c>
      <c r="BD6" s="1"/>
      <c r="BE6" s="1"/>
      <c r="BF6" s="1"/>
      <c r="BG6" s="1"/>
      <c r="BI6" s="1">
        <f t="shared" si="2"/>
        <v>0</v>
      </c>
      <c r="BK6" s="1" t="str">
        <f>AM6</f>
        <v>Lower Middle Income</v>
      </c>
    </row>
    <row r="7" ht="15.75" spans="1:63">
      <c r="A7" s="1">
        <f>IF(CHOOSE($B$2,tblTerritories_2014_O!A7,tblTerritories_2014_N!A7,tblTerritories_2017!A7)="","",CHOOSE($B$2,tblTerritories_2014_O!A7,tblTerritories_2014_N!A7,tblTerritories_2017!A7))</f>
        <v>5</v>
      </c>
      <c r="B7" s="1" t="str">
        <f>IF(CHOOSE($B$2,tblTerritories_2014_O!B7,tblTerritories_2014_N!B7,tblTerritories_2017!B7)="","",CHOOSE($B$2,tblTerritories_2014_O!B7,tblTerritories_2014_N!B7,tblTerritories_2017!B7))</f>
        <v/>
      </c>
      <c r="C7" s="51" t="str">
        <f>IF(CHOOSE($B$2,tblTerritories_2014_O!C7,tblTerritories_2014_N!C7,tblTerritories_2017!C7)="","",CHOOSE($B$2,tblTerritories_2014_O!C7,tblTerritories_2014_N!C7,tblTerritories_2017!C7))</f>
        <v>Barcelona</v>
      </c>
      <c r="D7" s="1">
        <f>IF(CHOOSE($B$2,tblTerritories_2014_O!D7,tblTerritories_2014_N!D7,tblTerritories_2017!D7)="","",CHOOSE($B$2,tblTerritories_2014_O!D7,tblTerritories_2014_N!D7,tblTerritories_2017!D7))</f>
        <v>1</v>
      </c>
      <c r="E7" s="1">
        <f>IF(CHOOSE($B$2,tblTerritories_2014_O!E7,tblTerritories_2014_N!E7,tblTerritories_2017!E7)="","",CHOOSE($B$2,tblTerritories_2014_O!E7,tblTerritories_2014_N!E7,tblTerritories_2017!E7))</f>
        <v>0</v>
      </c>
      <c r="F7" s="1">
        <f>IF(CHOOSE($B$2,tblTerritories_2014_O!F7,tblTerritories_2014_N!F7,tblTerritories_2017!F7)="","",CHOOSE($B$2,tblTerritories_2014_O!F7,tblTerritories_2014_N!F7,tblTerritories_2017!F7))</f>
        <v>1</v>
      </c>
      <c r="G7" s="1">
        <f>IF(CHOOSE($B$2,tblTerritories_2014_O!G7,tblTerritories_2014_N!G7,tblTerritories_2017!G7)="","",CHOOSE($B$2,tblTerritories_2014_O!G7,tblTerritories_2014_N!G7,tblTerritories_2017!G7))</f>
        <v>0</v>
      </c>
      <c r="H7" s="17">
        <f>IF(CHOOSE($B$2,tblTerritories_2014_O!H7,tblTerritories_2014_N!H7,tblTerritories_2017!H7)="","",CHOOSE($B$2,tblTerritories_2014_O!H7,tblTerritories_2014_N!H7,tblTerritories_2017!H7))</f>
        <v>1</v>
      </c>
      <c r="I7" s="1" t="str">
        <f>IF(CHOOSE($B$2,tblTerritories_2014_O!I7,tblTerritories_2014_N!I7,tblTerritories_2017!I7)="","",CHOOSE($B$2,tblTerritories_2014_O!I7,tblTerritories_2014_N!I7,tblTerritories_2017!I7))</f>
        <v>Barcelona</v>
      </c>
      <c r="J7" s="27" t="str">
        <f>IF(CHOOSE($B$2,tblTerritories_2014_O!J7,tblTerritories_2014_N!J7,tblTerritories_2017!J7)="","",CHOOSE($B$2,tblTerritories_2014_O!J7,tblTerritories_2014_N!J7,tblTerritories_2017!J7))</f>
        <v>Barcelona</v>
      </c>
      <c r="K7" s="30">
        <f>IF(CHOOSE($B$2,tblTerritories_2014_O!K7,tblTerritories_2014_N!K7,tblTerritories_2017!K7)="","",CHOOSE($B$2,tblTerritories_2014_O!K7,tblTerritories_2014_N!K7,tblTerritories_2017!K7))</f>
        <v>0</v>
      </c>
      <c r="L7" s="31">
        <f>IF(CHOOSE($B$2,tblTerritories_2014_O!L7,tblTerritories_2014_N!L7,tblTerritories_2017!L7)="","",CHOOSE($B$2,tblTerritories_2014_O!L7,tblTerritories_2014_N!L7,tblTerritories_2017!L7))</f>
        <v>1</v>
      </c>
      <c r="M7" s="32" t="str">
        <f>IF(CHOOSE($B$2,tblTerritories_2014_O!M7,tblTerritories_2014_N!M7,tblTerritories_2017!M7)="","",CHOOSE($B$2,tblTerritories_2014_O!M7,tblTerritories_2014_N!M7,tblTerritories_2017!M7))</f>
        <v/>
      </c>
      <c r="N7" s="24" t="str">
        <f>IF(CHOOSE($B$2,tblTerritories_2014_O!N7,tblTerritories_2014_N!N7,tblTerritories_2017!N7)="","",CHOOSE($B$2,tblTerritories_2014_O!N7,tblTerritories_2014_N!N7,tblTerritories_2017!N7))</f>
        <v/>
      </c>
      <c r="O7" s="1" t="str">
        <f>IF(CHOOSE($B$2,tblTerritories_2014_O!O7,tblTerritories_2014_N!O7,tblTerritories_2017!O7)="","",CHOOSE($B$2,tblTerritories_2014_O!O7,tblTerritories_2014_N!O7,tblTerritories_2017!O7))</f>
        <v/>
      </c>
      <c r="P7" s="24">
        <f>IF(CHOOSE($B$2,tblTerritories_2014_O!P7,tblTerritories_2014_N!P7,tblTerritories_2017!P7)="","",CHOOSE($B$2,tblTerritories_2014_O!P7,tblTerritories_2014_N!P7,tblTerritories_2017!P7))</f>
        <v>1</v>
      </c>
      <c r="Q7" s="24"/>
      <c r="S7" s="36" t="s">
        <v>965</v>
      </c>
      <c r="T7" s="32"/>
      <c r="U7" s="24"/>
      <c r="V7" s="1"/>
      <c r="W7" s="33"/>
      <c r="X7" s="33"/>
      <c r="Y7" s="33"/>
      <c r="Z7" s="33"/>
      <c r="AA7" s="33"/>
      <c r="AB7" s="44"/>
      <c r="AC7" s="45"/>
      <c r="AD7" s="45"/>
      <c r="AE7" s="49"/>
      <c r="AF7" s="46"/>
      <c r="AG7" s="46"/>
      <c r="AH7" s="46"/>
      <c r="AI7" s="1"/>
      <c r="AK7" s="1" t="str">
        <f t="shared" si="10"/>
        <v>Population &gt; 15 million</v>
      </c>
      <c r="AL7" s="47" t="str">
        <f>S8</f>
        <v>Middle East and Africa</v>
      </c>
      <c r="AM7" s="1" t="str">
        <f>S13</f>
        <v>Low Income</v>
      </c>
      <c r="AN7" s="1" t="str">
        <f t="shared" si="3"/>
        <v>Low Income</v>
      </c>
      <c r="AO7" s="1">
        <f t="shared" si="4"/>
        <v>0</v>
      </c>
      <c r="AP7" s="1">
        <f t="shared" si="5"/>
        <v>1</v>
      </c>
      <c r="AQ7" s="1">
        <f t="shared" si="6"/>
        <v>0</v>
      </c>
      <c r="AR7" s="1">
        <f t="shared" si="7"/>
        <v>1</v>
      </c>
      <c r="AS7" s="1"/>
      <c r="AT7" s="1">
        <v>1</v>
      </c>
      <c r="AU7" s="1">
        <f t="shared" si="8"/>
        <v>0</v>
      </c>
      <c r="AV7" s="1">
        <f t="shared" si="0"/>
        <v>0</v>
      </c>
      <c r="AW7" s="1">
        <f t="shared" si="0"/>
        <v>0</v>
      </c>
      <c r="AX7" s="1">
        <f t="shared" si="0"/>
        <v>0</v>
      </c>
      <c r="AY7" s="1">
        <f t="shared" si="9"/>
        <v>0</v>
      </c>
      <c r="AZ7" s="1">
        <f t="shared" si="1"/>
        <v>0</v>
      </c>
      <c r="BA7" s="1">
        <f t="shared" si="1"/>
        <v>0</v>
      </c>
      <c r="BB7" s="1">
        <f t="shared" si="1"/>
        <v>0</v>
      </c>
      <c r="BC7" s="1">
        <f t="shared" si="1"/>
        <v>0</v>
      </c>
      <c r="BD7" s="1"/>
      <c r="BE7" s="1"/>
      <c r="BF7" s="1"/>
      <c r="BG7" s="1"/>
      <c r="BI7" s="1">
        <f t="shared" si="2"/>
        <v>0</v>
      </c>
      <c r="BK7" s="1" t="str">
        <f>AM8</f>
        <v>Asia Pacific</v>
      </c>
    </row>
    <row r="8" ht="15.75" spans="1:63">
      <c r="A8" s="1">
        <f>IF(CHOOSE($B$2,tblTerritories_2014_O!A8,tblTerritories_2014_N!A8,tblTerritories_2017!A8)="","",CHOOSE($B$2,tblTerritories_2014_O!A8,tblTerritories_2014_N!A8,tblTerritories_2017!A8))</f>
        <v>6</v>
      </c>
      <c r="B8" s="1" t="str">
        <f>IF(CHOOSE($B$2,tblTerritories_2014_O!B8,tblTerritories_2014_N!B8,tblTerritories_2017!B8)="","",CHOOSE($B$2,tblTerritories_2014_O!B8,tblTerritories_2014_N!B8,tblTerritories_2017!B8))</f>
        <v/>
      </c>
      <c r="C8" s="51" t="str">
        <f>IF(CHOOSE($B$2,tblTerritories_2014_O!C8,tblTerritories_2014_N!C8,tblTerritories_2017!C8)="","",CHOOSE($B$2,tblTerritories_2014_O!C8,tblTerritories_2014_N!C8,tblTerritories_2017!C8))</f>
        <v>Beijing</v>
      </c>
      <c r="D8" s="1">
        <f>IF(CHOOSE($B$2,tblTerritories_2014_O!D8,tblTerritories_2014_N!D8,tblTerritories_2017!D8)="","",CHOOSE($B$2,tblTerritories_2014_O!D8,tblTerritories_2014_N!D8,tblTerritories_2017!D8))</f>
        <v>1</v>
      </c>
      <c r="E8" s="1">
        <f>IF(CHOOSE($B$2,tblTerritories_2014_O!E8,tblTerritories_2014_N!E8,tblTerritories_2017!E8)="","",CHOOSE($B$2,tblTerritories_2014_O!E8,tblTerritories_2014_N!E8,tblTerritories_2017!E8))</f>
        <v>0</v>
      </c>
      <c r="F8" s="1">
        <f>IF(CHOOSE($B$2,tblTerritories_2014_O!F8,tblTerritories_2014_N!F8,tblTerritories_2017!F8)="","",CHOOSE($B$2,tblTerritories_2014_O!F8,tblTerritories_2014_N!F8,tblTerritories_2017!F8))</f>
        <v>1</v>
      </c>
      <c r="G8" s="1">
        <f>IF(CHOOSE($B$2,tblTerritories_2014_O!G8,tblTerritories_2014_N!G8,tblTerritories_2017!G8)="","",CHOOSE($B$2,tblTerritories_2014_O!G8,tblTerritories_2014_N!G8,tblTerritories_2017!G8))</f>
        <v>0</v>
      </c>
      <c r="H8" s="17">
        <f>IF(CHOOSE($B$2,tblTerritories_2014_O!H8,tblTerritories_2014_N!H8,tblTerritories_2017!H8)="","",CHOOSE($B$2,tblTerritories_2014_O!H8,tblTerritories_2014_N!H8,tblTerritories_2017!H8))</f>
        <v>1</v>
      </c>
      <c r="I8" s="1" t="str">
        <f>IF(CHOOSE($B$2,tblTerritories_2014_O!I8,tblTerritories_2014_N!I8,tblTerritories_2017!I8)="","",CHOOSE($B$2,tblTerritories_2014_O!I8,tblTerritories_2014_N!I8,tblTerritories_2017!I8))</f>
        <v>Beijing</v>
      </c>
      <c r="J8" s="27" t="str">
        <f>IF(CHOOSE($B$2,tblTerritories_2014_O!J8,tblTerritories_2014_N!J8,tblTerritories_2017!J8)="","",CHOOSE($B$2,tblTerritories_2014_O!J8,tblTerritories_2014_N!J8,tblTerritories_2017!J8))</f>
        <v>Beijing</v>
      </c>
      <c r="K8" s="30">
        <f>IF(CHOOSE($B$2,tblTerritories_2014_O!K8,tblTerritories_2014_N!K8,tblTerritories_2017!K8)="","",CHOOSE($B$2,tblTerritories_2014_O!K8,tblTerritories_2014_N!K8,tblTerritories_2017!K8))</f>
        <v>0</v>
      </c>
      <c r="L8" s="31">
        <f>IF(CHOOSE($B$2,tblTerritories_2014_O!L8,tblTerritories_2014_N!L8,tblTerritories_2017!L8)="","",CHOOSE($B$2,tblTerritories_2014_O!L8,tblTerritories_2014_N!L8,tblTerritories_2017!L8))</f>
        <v>1</v>
      </c>
      <c r="M8" s="32" t="str">
        <f>IF(CHOOSE($B$2,tblTerritories_2014_O!M8,tblTerritories_2014_N!M8,tblTerritories_2017!M8)="","",CHOOSE($B$2,tblTerritories_2014_O!M8,tblTerritories_2014_N!M8,tblTerritories_2017!M8))</f>
        <v/>
      </c>
      <c r="N8" s="24" t="str">
        <f>IF(CHOOSE($B$2,tblTerritories_2014_O!N8,tblTerritories_2014_N!N8,tblTerritories_2017!N8)="","",CHOOSE($B$2,tblTerritories_2014_O!N8,tblTerritories_2014_N!N8,tblTerritories_2017!N8))</f>
        <v/>
      </c>
      <c r="O8" s="1" t="str">
        <f>IF(CHOOSE($B$2,tblTerritories_2014_O!O8,tblTerritories_2014_N!O8,tblTerritories_2017!O8)="","",CHOOSE($B$2,tblTerritories_2014_O!O8,tblTerritories_2014_N!O8,tblTerritories_2017!O8))</f>
        <v/>
      </c>
      <c r="P8" s="24">
        <f>IF(CHOOSE($B$2,tblTerritories_2014_O!P8,tblTerritories_2014_N!P8,tblTerritories_2017!P8)="","",CHOOSE($B$2,tblTerritories_2014_O!P8,tblTerritories_2014_N!P8,tblTerritories_2017!P8))</f>
        <v>7</v>
      </c>
      <c r="Q8" s="24"/>
      <c r="S8" s="35" t="s">
        <v>966</v>
      </c>
      <c r="T8" s="32"/>
      <c r="U8" s="24"/>
      <c r="V8" s="1"/>
      <c r="W8" s="33"/>
      <c r="X8" s="33"/>
      <c r="Y8" s="33"/>
      <c r="Z8" s="33"/>
      <c r="AA8" s="33"/>
      <c r="AB8" s="44"/>
      <c r="AC8" s="45"/>
      <c r="AD8" s="45"/>
      <c r="AE8" s="49"/>
      <c r="AF8" s="46"/>
      <c r="AG8" s="46"/>
      <c r="AH8" s="46"/>
      <c r="AI8" s="1"/>
      <c r="AK8" s="1"/>
      <c r="AL8" s="47" t="str">
        <f>S9</f>
        <v>North America</v>
      </c>
      <c r="AM8" s="52" t="str">
        <f>S5</f>
        <v>Asia Pacific</v>
      </c>
      <c r="AN8" s="1" t="str">
        <f t="shared" si="3"/>
        <v>Asia Pacific</v>
      </c>
      <c r="AO8" s="1">
        <f t="shared" si="4"/>
        <v>0</v>
      </c>
      <c r="AP8" s="1">
        <f t="shared" si="5"/>
        <v>1</v>
      </c>
      <c r="AQ8" s="1">
        <f t="shared" si="6"/>
        <v>0</v>
      </c>
      <c r="AR8" s="1">
        <f t="shared" si="7"/>
        <v>1</v>
      </c>
      <c r="AS8" s="1"/>
      <c r="AT8" s="1">
        <v>1</v>
      </c>
      <c r="AU8" s="1">
        <f t="shared" si="8"/>
        <v>0</v>
      </c>
      <c r="AV8" s="1">
        <f t="shared" si="0"/>
        <v>0</v>
      </c>
      <c r="AW8" s="1">
        <f t="shared" si="0"/>
        <v>0</v>
      </c>
      <c r="AX8" s="1">
        <f t="shared" si="0"/>
        <v>0</v>
      </c>
      <c r="AY8" s="1">
        <f t="shared" si="9"/>
        <v>0</v>
      </c>
      <c r="AZ8" s="1">
        <f t="shared" si="1"/>
        <v>0</v>
      </c>
      <c r="BA8" s="1">
        <f t="shared" si="1"/>
        <v>0</v>
      </c>
      <c r="BB8" s="1">
        <f t="shared" si="1"/>
        <v>0</v>
      </c>
      <c r="BC8" s="1">
        <f t="shared" si="1"/>
        <v>0</v>
      </c>
      <c r="BD8" s="1"/>
      <c r="BE8" s="1"/>
      <c r="BF8" s="1"/>
      <c r="BG8" s="1"/>
      <c r="BI8" s="1">
        <f t="shared" si="2"/>
        <v>0</v>
      </c>
      <c r="BK8" s="1" t="str">
        <f>AM9</f>
        <v>Europe</v>
      </c>
    </row>
    <row r="9" ht="15.75" spans="1:63">
      <c r="A9" s="1">
        <f>IF(CHOOSE($B$2,tblTerritories_2014_O!A9,tblTerritories_2014_N!A9,tblTerritories_2017!A9)="","",CHOOSE($B$2,tblTerritories_2014_O!A9,tblTerritories_2014_N!A9,tblTerritories_2017!A9))</f>
        <v>7</v>
      </c>
      <c r="B9" s="1" t="str">
        <f>IF(CHOOSE($B$2,tblTerritories_2014_O!B9,tblTerritories_2014_N!B9,tblTerritories_2017!B9)="","",CHOOSE($B$2,tblTerritories_2014_O!B9,tblTerritories_2014_N!B9,tblTerritories_2017!B9))</f>
        <v/>
      </c>
      <c r="C9" s="51" t="str">
        <f>IF(CHOOSE($B$2,tblTerritories_2014_O!C9,tblTerritories_2014_N!C9,tblTerritories_2017!C9)="","",CHOOSE($B$2,tblTerritories_2014_O!C9,tblTerritories_2014_N!C9,tblTerritories_2017!C9))</f>
        <v>Bogota</v>
      </c>
      <c r="D9" s="1">
        <f>IF(CHOOSE($B$2,tblTerritories_2014_O!D9,tblTerritories_2014_N!D9,tblTerritories_2017!D9)="","",CHOOSE($B$2,tblTerritories_2014_O!D9,tblTerritories_2014_N!D9,tblTerritories_2017!D9))</f>
        <v>1</v>
      </c>
      <c r="E9" s="1">
        <f>IF(CHOOSE($B$2,tblTerritories_2014_O!E9,tblTerritories_2014_N!E9,tblTerritories_2017!E9)="","",CHOOSE($B$2,tblTerritories_2014_O!E9,tblTerritories_2014_N!E9,tblTerritories_2017!E9))</f>
        <v>0</v>
      </c>
      <c r="F9" s="1">
        <f>IF(CHOOSE($B$2,tblTerritories_2014_O!F9,tblTerritories_2014_N!F9,tblTerritories_2017!F9)="","",CHOOSE($B$2,tblTerritories_2014_O!F9,tblTerritories_2014_N!F9,tblTerritories_2017!F9))</f>
        <v>1</v>
      </c>
      <c r="G9" s="1">
        <f>IF(CHOOSE($B$2,tblTerritories_2014_O!G9,tblTerritories_2014_N!G9,tblTerritories_2017!G9)="","",CHOOSE($B$2,tblTerritories_2014_O!G9,tblTerritories_2014_N!G9,tblTerritories_2017!G9))</f>
        <v>0</v>
      </c>
      <c r="H9" s="17">
        <f>IF(CHOOSE($B$2,tblTerritories_2014_O!H9,tblTerritories_2014_N!H9,tblTerritories_2017!H9)="","",CHOOSE($B$2,tblTerritories_2014_O!H9,tblTerritories_2014_N!H9,tblTerritories_2017!H9))</f>
        <v>1</v>
      </c>
      <c r="I9" s="1" t="str">
        <f>IF(CHOOSE($B$2,tblTerritories_2014_O!I9,tblTerritories_2014_N!I9,tblTerritories_2017!I9)="","",CHOOSE($B$2,tblTerritories_2014_O!I9,tblTerritories_2014_N!I9,tblTerritories_2017!I9))</f>
        <v>Bogota</v>
      </c>
      <c r="J9" s="27" t="str">
        <f>IF(CHOOSE($B$2,tblTerritories_2014_O!J9,tblTerritories_2014_N!J9,tblTerritories_2017!J9)="","",CHOOSE($B$2,tblTerritories_2014_O!J9,tblTerritories_2014_N!J9,tblTerritories_2017!J9))</f>
        <v>Bogota</v>
      </c>
      <c r="K9" s="30">
        <f>IF(CHOOSE($B$2,tblTerritories_2014_O!K9,tblTerritories_2014_N!K9,tblTerritories_2017!K9)="","",CHOOSE($B$2,tblTerritories_2014_O!K9,tblTerritories_2014_N!K9,tblTerritories_2017!K9))</f>
        <v>0</v>
      </c>
      <c r="L9" s="31">
        <f>IF(CHOOSE($B$2,tblTerritories_2014_O!L9,tblTerritories_2014_N!L9,tblTerritories_2017!L9)="","",CHOOSE($B$2,tblTerritories_2014_O!L9,tblTerritories_2014_N!L9,tblTerritories_2017!L9))</f>
        <v>1</v>
      </c>
      <c r="M9" s="32" t="str">
        <f>IF(CHOOSE($B$2,tblTerritories_2014_O!M9,tblTerritories_2014_N!M9,tblTerritories_2017!M9)="","",CHOOSE($B$2,tblTerritories_2014_O!M9,tblTerritories_2014_N!M9,tblTerritories_2017!M9))</f>
        <v/>
      </c>
      <c r="N9" s="24" t="str">
        <f>IF(CHOOSE($B$2,tblTerritories_2014_O!N9,tblTerritories_2014_N!N9,tblTerritories_2017!N9)="","",CHOOSE($B$2,tblTerritories_2014_O!N9,tblTerritories_2014_N!N9,tblTerritories_2017!N9))</f>
        <v/>
      </c>
      <c r="O9" s="1" t="str">
        <f>IF(CHOOSE($B$2,tblTerritories_2014_O!O9,tblTerritories_2014_N!O9,tblTerritories_2017!O9)="","",CHOOSE($B$2,tblTerritories_2014_O!O9,tblTerritories_2014_N!O9,tblTerritories_2017!O9))</f>
        <v/>
      </c>
      <c r="P9" s="24">
        <f>IF(CHOOSE($B$2,tblTerritories_2014_O!P9,tblTerritories_2014_N!P9,tblTerritories_2017!P9)="","",CHOOSE($B$2,tblTerritories_2014_O!P9,tblTerritories_2014_N!P9,tblTerritories_2017!P9))</f>
        <v>2</v>
      </c>
      <c r="Q9" s="24"/>
      <c r="S9" s="36" t="s">
        <v>967</v>
      </c>
      <c r="T9" s="32"/>
      <c r="U9" s="24"/>
      <c r="V9" s="1"/>
      <c r="W9" s="33"/>
      <c r="X9" s="33"/>
      <c r="Y9" s="33"/>
      <c r="Z9" s="33"/>
      <c r="AA9" s="33"/>
      <c r="AB9" s="44"/>
      <c r="AC9" s="45"/>
      <c r="AD9" s="45"/>
      <c r="AE9" s="49"/>
      <c r="AF9" s="46"/>
      <c r="AG9" s="46"/>
      <c r="AH9" s="46"/>
      <c r="AI9" s="1"/>
      <c r="AK9" s="1"/>
      <c r="AL9" s="47"/>
      <c r="AM9" s="52" t="str">
        <f t="shared" ref="AM9:AM12" si="11">S6</f>
        <v>Europe</v>
      </c>
      <c r="AN9" s="1" t="str">
        <f t="shared" si="3"/>
        <v>Europe</v>
      </c>
      <c r="AO9" s="1">
        <f t="shared" si="4"/>
        <v>0</v>
      </c>
      <c r="AP9" s="1">
        <f t="shared" si="5"/>
        <v>1</v>
      </c>
      <c r="AQ9" s="1">
        <f t="shared" si="6"/>
        <v>0</v>
      </c>
      <c r="AR9" s="1">
        <f t="shared" si="7"/>
        <v>1</v>
      </c>
      <c r="AS9" s="1"/>
      <c r="AT9" s="1">
        <v>1</v>
      </c>
      <c r="AU9" s="1">
        <f t="shared" si="8"/>
        <v>0</v>
      </c>
      <c r="AV9" s="1">
        <f t="shared" si="0"/>
        <v>0</v>
      </c>
      <c r="AW9" s="1">
        <f t="shared" si="0"/>
        <v>0</v>
      </c>
      <c r="AX9" s="1">
        <f t="shared" si="0"/>
        <v>0</v>
      </c>
      <c r="AY9" s="1">
        <f t="shared" si="9"/>
        <v>0</v>
      </c>
      <c r="AZ9" s="1">
        <f t="shared" si="1"/>
        <v>0</v>
      </c>
      <c r="BA9" s="1">
        <f t="shared" si="1"/>
        <v>0</v>
      </c>
      <c r="BB9" s="1">
        <f t="shared" si="1"/>
        <v>0</v>
      </c>
      <c r="BC9" s="1">
        <f t="shared" si="1"/>
        <v>0</v>
      </c>
      <c r="BD9" s="1"/>
      <c r="BE9" s="1"/>
      <c r="BF9" s="1"/>
      <c r="BG9" s="1"/>
      <c r="BK9" s="1" t="str">
        <f>AM10</f>
        <v>Latin America</v>
      </c>
    </row>
    <row r="10" ht="15.75" spans="1:63">
      <c r="A10" s="1">
        <f>IF(CHOOSE($B$2,tblTerritories_2014_O!A10,tblTerritories_2014_N!A10,tblTerritories_2017!A10)="","",CHOOSE($B$2,tblTerritories_2014_O!A10,tblTerritories_2014_N!A10,tblTerritories_2017!A10))</f>
        <v>8</v>
      </c>
      <c r="B10" s="1" t="str">
        <f>IF(CHOOSE($B$2,tblTerritories_2014_O!B10,tblTerritories_2014_N!B10,tblTerritories_2017!B10)="","",CHOOSE($B$2,tblTerritories_2014_O!B10,tblTerritories_2014_N!B10,tblTerritories_2017!B10))</f>
        <v/>
      </c>
      <c r="C10" s="51" t="str">
        <f>IF(CHOOSE($B$2,tblTerritories_2014_O!C10,tblTerritories_2014_N!C10,tblTerritories_2017!C10)="","",CHOOSE($B$2,tblTerritories_2014_O!C10,tblTerritories_2014_N!C10,tblTerritories_2017!C10))</f>
        <v>Brussels</v>
      </c>
      <c r="D10" s="1">
        <f>IF(CHOOSE($B$2,tblTerritories_2014_O!D10,tblTerritories_2014_N!D10,tblTerritories_2017!D10)="","",CHOOSE($B$2,tblTerritories_2014_O!D10,tblTerritories_2014_N!D10,tblTerritories_2017!D10))</f>
        <v>1</v>
      </c>
      <c r="E10" s="1">
        <f>IF(CHOOSE($B$2,tblTerritories_2014_O!E10,tblTerritories_2014_N!E10,tblTerritories_2017!E10)="","",CHOOSE($B$2,tblTerritories_2014_O!E10,tblTerritories_2014_N!E10,tblTerritories_2017!E10))</f>
        <v>0</v>
      </c>
      <c r="F10" s="1">
        <f>IF(CHOOSE($B$2,tblTerritories_2014_O!F10,tblTerritories_2014_N!F10,tblTerritories_2017!F10)="","",CHOOSE($B$2,tblTerritories_2014_O!F10,tblTerritories_2014_N!F10,tblTerritories_2017!F10))</f>
        <v>1</v>
      </c>
      <c r="G10" s="1">
        <f>IF(CHOOSE($B$2,tblTerritories_2014_O!G10,tblTerritories_2014_N!G10,tblTerritories_2017!G10)="","",CHOOSE($B$2,tblTerritories_2014_O!G10,tblTerritories_2014_N!G10,tblTerritories_2017!G10))</f>
        <v>0</v>
      </c>
      <c r="H10" s="17">
        <f>IF(CHOOSE($B$2,tblTerritories_2014_O!H10,tblTerritories_2014_N!H10,tblTerritories_2017!H10)="","",CHOOSE($B$2,tblTerritories_2014_O!H10,tblTerritories_2014_N!H10,tblTerritories_2017!H10))</f>
        <v>1</v>
      </c>
      <c r="I10" s="1" t="str">
        <f>IF(CHOOSE($B$2,tblTerritories_2014_O!I10,tblTerritories_2014_N!I10,tblTerritories_2017!I10)="","",CHOOSE($B$2,tblTerritories_2014_O!I10,tblTerritories_2014_N!I10,tblTerritories_2017!I10))</f>
        <v>Brussels</v>
      </c>
      <c r="J10" s="27" t="str">
        <f>IF(CHOOSE($B$2,tblTerritories_2014_O!J10,tblTerritories_2014_N!J10,tblTerritories_2017!J10)="","",CHOOSE($B$2,tblTerritories_2014_O!J10,tblTerritories_2014_N!J10,tblTerritories_2017!J10))</f>
        <v>Brussels</v>
      </c>
      <c r="K10" s="30">
        <f>IF(CHOOSE($B$2,tblTerritories_2014_O!K10,tblTerritories_2014_N!K10,tblTerritories_2017!K10)="","",CHOOSE($B$2,tblTerritories_2014_O!K10,tblTerritories_2014_N!K10,tblTerritories_2017!K10))</f>
        <v>0</v>
      </c>
      <c r="L10" s="31">
        <f>IF(CHOOSE($B$2,tblTerritories_2014_O!L10,tblTerritories_2014_N!L10,tblTerritories_2017!L10)="","",CHOOSE($B$2,tblTerritories_2014_O!L10,tblTerritories_2014_N!L10,tblTerritories_2017!L10))</f>
        <v>1</v>
      </c>
      <c r="M10" s="32" t="str">
        <f>IF(CHOOSE($B$2,tblTerritories_2014_O!M10,tblTerritories_2014_N!M10,tblTerritories_2017!M10)="","",CHOOSE($B$2,tblTerritories_2014_O!M10,tblTerritories_2014_N!M10,tblTerritories_2017!M10))</f>
        <v/>
      </c>
      <c r="N10" s="24" t="str">
        <f>IF(CHOOSE($B$2,tblTerritories_2014_O!N10,tblTerritories_2014_N!N10,tblTerritories_2017!N10)="","",CHOOSE($B$2,tblTerritories_2014_O!N10,tblTerritories_2014_N!N10,tblTerritories_2017!N10))</f>
        <v/>
      </c>
      <c r="O10" s="1" t="str">
        <f>IF(CHOOSE($B$2,tblTerritories_2014_O!O10,tblTerritories_2014_N!O10,tblTerritories_2017!O10)="","",CHOOSE($B$2,tblTerritories_2014_O!O10,tblTerritories_2014_N!O10,tblTerritories_2017!O10))</f>
        <v/>
      </c>
      <c r="P10" s="24">
        <f>IF(CHOOSE($B$2,tblTerritories_2014_O!P10,tblTerritories_2014_N!P10,tblTerritories_2017!P10)="","",CHOOSE($B$2,tblTerritories_2014_O!P10,tblTerritories_2014_N!P10,tblTerritories_2017!P10))</f>
        <v>1</v>
      </c>
      <c r="Q10" s="24"/>
      <c r="S10" s="37" t="s">
        <v>968</v>
      </c>
      <c r="T10" s="32"/>
      <c r="U10" s="24"/>
      <c r="V10" s="1"/>
      <c r="W10" s="33"/>
      <c r="X10" s="33"/>
      <c r="Y10" s="33"/>
      <c r="Z10" s="33"/>
      <c r="AA10" s="33"/>
      <c r="AB10" s="44"/>
      <c r="AC10" s="45"/>
      <c r="AD10" s="45"/>
      <c r="AE10" s="49"/>
      <c r="AF10" s="46"/>
      <c r="AG10" s="46"/>
      <c r="AH10" s="46"/>
      <c r="AI10" s="1"/>
      <c r="AK10" s="1"/>
      <c r="AL10" s="47"/>
      <c r="AM10" s="52" t="str">
        <f t="shared" si="11"/>
        <v>Latin America</v>
      </c>
      <c r="AN10" s="1" t="str">
        <f t="shared" si="3"/>
        <v>Latin America</v>
      </c>
      <c r="AO10" s="1">
        <f t="shared" si="4"/>
        <v>0</v>
      </c>
      <c r="AP10" s="1">
        <f t="shared" si="5"/>
        <v>1</v>
      </c>
      <c r="AQ10" s="1">
        <f t="shared" si="6"/>
        <v>0</v>
      </c>
      <c r="AR10" s="1">
        <f t="shared" si="7"/>
        <v>1</v>
      </c>
      <c r="AS10" s="1"/>
      <c r="AT10" s="1">
        <v>1</v>
      </c>
      <c r="AU10" s="1">
        <f t="shared" si="8"/>
        <v>0</v>
      </c>
      <c r="AV10" s="1">
        <f t="shared" si="0"/>
        <v>0</v>
      </c>
      <c r="AW10" s="1">
        <f t="shared" si="0"/>
        <v>0</v>
      </c>
      <c r="AX10" s="1">
        <f t="shared" si="0"/>
        <v>0</v>
      </c>
      <c r="AY10" s="1">
        <f t="shared" si="9"/>
        <v>0</v>
      </c>
      <c r="AZ10" s="1">
        <f t="shared" si="1"/>
        <v>0</v>
      </c>
      <c r="BA10" s="1">
        <f t="shared" si="1"/>
        <v>0</v>
      </c>
      <c r="BB10" s="1">
        <f t="shared" si="1"/>
        <v>0</v>
      </c>
      <c r="BC10" s="1">
        <f t="shared" si="1"/>
        <v>0</v>
      </c>
      <c r="BD10" s="1"/>
      <c r="BE10" s="1"/>
      <c r="BF10" s="1"/>
      <c r="BG10" s="1"/>
      <c r="BK10" s="1" t="str">
        <f>AM11</f>
        <v>Middle East and Africa</v>
      </c>
    </row>
    <row r="11" ht="15.75" spans="1:59">
      <c r="A11" s="1">
        <f>IF(CHOOSE($B$2,tblTerritories_2014_O!A11,tblTerritories_2014_N!A11,tblTerritories_2017!A11)="","",CHOOSE($B$2,tblTerritories_2014_O!A11,tblTerritories_2014_N!A11,tblTerritories_2017!A11))</f>
        <v>9</v>
      </c>
      <c r="B11" s="1" t="str">
        <f>IF(CHOOSE($B$2,tblTerritories_2014_O!B11,tblTerritories_2014_N!B11,tblTerritories_2017!B11)="","",CHOOSE($B$2,tblTerritories_2014_O!B11,tblTerritories_2014_N!B11,tblTerritories_2017!B11))</f>
        <v/>
      </c>
      <c r="C11" s="51" t="str">
        <f>IF(CHOOSE($B$2,tblTerritories_2014_O!C11,tblTerritories_2014_N!C11,tblTerritories_2017!C11)="","",CHOOSE($B$2,tblTerritories_2014_O!C11,tblTerritories_2014_N!C11,tblTerritories_2017!C11))</f>
        <v>Buenos Aires</v>
      </c>
      <c r="D11" s="1">
        <f>IF(CHOOSE($B$2,tblTerritories_2014_O!D11,tblTerritories_2014_N!D11,tblTerritories_2017!D11)="","",CHOOSE($B$2,tblTerritories_2014_O!D11,tblTerritories_2014_N!D11,tblTerritories_2017!D11))</f>
        <v>1</v>
      </c>
      <c r="E11" s="1">
        <f>IF(CHOOSE($B$2,tblTerritories_2014_O!E11,tblTerritories_2014_N!E11,tblTerritories_2017!E11)="","",CHOOSE($B$2,tblTerritories_2014_O!E11,tblTerritories_2014_N!E11,tblTerritories_2017!E11))</f>
        <v>0</v>
      </c>
      <c r="F11" s="1">
        <f>IF(CHOOSE($B$2,tblTerritories_2014_O!F11,tblTerritories_2014_N!F11,tblTerritories_2017!F11)="","",CHOOSE($B$2,tblTerritories_2014_O!F11,tblTerritories_2014_N!F11,tblTerritories_2017!F11))</f>
        <v>1</v>
      </c>
      <c r="G11" s="1">
        <f>IF(CHOOSE($B$2,tblTerritories_2014_O!G11,tblTerritories_2014_N!G11,tblTerritories_2017!G11)="","",CHOOSE($B$2,tblTerritories_2014_O!G11,tblTerritories_2014_N!G11,tblTerritories_2017!G11))</f>
        <v>0</v>
      </c>
      <c r="H11" s="17">
        <f>IF(CHOOSE($B$2,tblTerritories_2014_O!H11,tblTerritories_2014_N!H11,tblTerritories_2017!H11)="","",CHOOSE($B$2,tblTerritories_2014_O!H11,tblTerritories_2014_N!H11,tblTerritories_2017!H11))</f>
        <v>1</v>
      </c>
      <c r="I11" s="1" t="str">
        <f>IF(CHOOSE($B$2,tblTerritories_2014_O!I11,tblTerritories_2014_N!I11,tblTerritories_2017!I11)="","",CHOOSE($B$2,tblTerritories_2014_O!I11,tblTerritories_2014_N!I11,tblTerritories_2017!I11))</f>
        <v>BuenosAires</v>
      </c>
      <c r="J11" s="27" t="str">
        <f>IF(CHOOSE($B$2,tblTerritories_2014_O!J11,tblTerritories_2014_N!J11,tblTerritories_2017!J11)="","",CHOOSE($B$2,tblTerritories_2014_O!J11,tblTerritories_2014_N!J11,tblTerritories_2017!J11))</f>
        <v>Buenos Aires</v>
      </c>
      <c r="K11" s="30">
        <f>IF(CHOOSE($B$2,tblTerritories_2014_O!K11,tblTerritories_2014_N!K11,tblTerritories_2017!K11)="","",CHOOSE($B$2,tblTerritories_2014_O!K11,tblTerritories_2014_N!K11,tblTerritories_2017!K11))</f>
        <v>0</v>
      </c>
      <c r="L11" s="31">
        <f>IF(CHOOSE($B$2,tblTerritories_2014_O!L11,tblTerritories_2014_N!L11,tblTerritories_2017!L11)="","",CHOOSE($B$2,tblTerritories_2014_O!L11,tblTerritories_2014_N!L11,tblTerritories_2017!L11))</f>
        <v>1</v>
      </c>
      <c r="M11" s="32" t="str">
        <f>IF(CHOOSE($B$2,tblTerritories_2014_O!M11,tblTerritories_2014_N!M11,tblTerritories_2017!M11)="","",CHOOSE($B$2,tblTerritories_2014_O!M11,tblTerritories_2014_N!M11,tblTerritories_2017!M11))</f>
        <v/>
      </c>
      <c r="N11" s="24" t="str">
        <f>IF(CHOOSE($B$2,tblTerritories_2014_O!N11,tblTerritories_2014_N!N11,tblTerritories_2017!N11)="","",CHOOSE($B$2,tblTerritories_2014_O!N11,tblTerritories_2014_N!N11,tblTerritories_2017!N11))</f>
        <v/>
      </c>
      <c r="O11" s="1" t="str">
        <f>IF(CHOOSE($B$2,tblTerritories_2014_O!O11,tblTerritories_2014_N!O11,tblTerritories_2017!O11)="","",CHOOSE($B$2,tblTerritories_2014_O!O11,tblTerritories_2014_N!O11,tblTerritories_2017!O11))</f>
        <v/>
      </c>
      <c r="P11" s="24">
        <f>IF(CHOOSE($B$2,tblTerritories_2014_O!P11,tblTerritories_2014_N!P11,tblTerritories_2017!P11)="","",CHOOSE($B$2,tblTerritories_2014_O!P11,tblTerritories_2014_N!P11,tblTerritories_2017!P11))</f>
        <v>2</v>
      </c>
      <c r="Q11" s="24"/>
      <c r="S11" s="37" t="s">
        <v>969</v>
      </c>
      <c r="T11" s="32"/>
      <c r="U11" s="24"/>
      <c r="V11" s="1"/>
      <c r="W11" s="33"/>
      <c r="X11" s="33"/>
      <c r="Y11" s="33"/>
      <c r="Z11" s="33"/>
      <c r="AA11" s="33"/>
      <c r="AB11" s="44"/>
      <c r="AC11" s="45"/>
      <c r="AD11" s="45"/>
      <c r="AE11" s="49"/>
      <c r="AF11" s="46"/>
      <c r="AG11" s="46"/>
      <c r="AH11" s="46"/>
      <c r="AI11" s="1"/>
      <c r="AK11" s="1"/>
      <c r="AL11" s="47"/>
      <c r="AM11" s="52" t="str">
        <f t="shared" si="11"/>
        <v>Middle East and Africa</v>
      </c>
      <c r="AN11" s="1" t="str">
        <f t="shared" si="3"/>
        <v>Middle East and Africa</v>
      </c>
      <c r="AO11" s="1">
        <f t="shared" si="4"/>
        <v>0</v>
      </c>
      <c r="AP11" s="1">
        <f t="shared" si="5"/>
        <v>1</v>
      </c>
      <c r="AQ11" s="1">
        <f t="shared" si="6"/>
        <v>0</v>
      </c>
      <c r="AR11" s="1">
        <f t="shared" si="7"/>
        <v>1</v>
      </c>
      <c r="AS11" s="1"/>
      <c r="AT11" s="1">
        <v>1</v>
      </c>
      <c r="AU11" s="1">
        <f t="shared" si="8"/>
        <v>0</v>
      </c>
      <c r="AV11" s="1">
        <f t="shared" si="0"/>
        <v>0</v>
      </c>
      <c r="AW11" s="1">
        <f t="shared" si="0"/>
        <v>0</v>
      </c>
      <c r="AX11" s="1">
        <f t="shared" si="0"/>
        <v>0</v>
      </c>
      <c r="AY11" s="1">
        <f t="shared" si="9"/>
        <v>0</v>
      </c>
      <c r="AZ11" s="1">
        <f t="shared" si="1"/>
        <v>0</v>
      </c>
      <c r="BA11" s="1">
        <f t="shared" si="1"/>
        <v>0</v>
      </c>
      <c r="BB11" s="1">
        <f t="shared" si="1"/>
        <v>0</v>
      </c>
      <c r="BC11" s="1">
        <f t="shared" si="1"/>
        <v>0</v>
      </c>
      <c r="BD11" s="1"/>
      <c r="BE11" s="1"/>
      <c r="BF11" s="1"/>
      <c r="BG11" s="1"/>
    </row>
    <row r="12" ht="15.75" spans="1:59">
      <c r="A12" s="1">
        <f>IF(CHOOSE($B$2,tblTerritories_2014_O!A12,tblTerritories_2014_N!A12,tblTerritories_2017!A12)="","",CHOOSE($B$2,tblTerritories_2014_O!A12,tblTerritories_2014_N!A12,tblTerritories_2017!A12))</f>
        <v>10</v>
      </c>
      <c r="B12" s="1" t="str">
        <f>IF(CHOOSE($B$2,tblTerritories_2014_O!B12,tblTerritories_2014_N!B12,tblTerritories_2017!B12)="","",CHOOSE($B$2,tblTerritories_2014_O!B12,tblTerritories_2014_N!B12,tblTerritories_2017!B12))</f>
        <v/>
      </c>
      <c r="C12" s="51" t="str">
        <f>IF(CHOOSE($B$2,tblTerritories_2014_O!C12,tblTerritories_2014_N!C12,tblTerritories_2017!C12)="","",CHOOSE($B$2,tblTerritories_2014_O!C12,tblTerritories_2014_N!C12,tblTerritories_2017!C12))</f>
        <v>Cairo</v>
      </c>
      <c r="D12" s="1">
        <f>IF(CHOOSE($B$2,tblTerritories_2014_O!D12,tblTerritories_2014_N!D12,tblTerritories_2017!D12)="","",CHOOSE($B$2,tblTerritories_2014_O!D12,tblTerritories_2014_N!D12,tblTerritories_2017!D12))</f>
        <v>1</v>
      </c>
      <c r="E12" s="1">
        <f>IF(CHOOSE($B$2,tblTerritories_2014_O!E12,tblTerritories_2014_N!E12,tblTerritories_2017!E12)="","",CHOOSE($B$2,tblTerritories_2014_O!E12,tblTerritories_2014_N!E12,tblTerritories_2017!E12))</f>
        <v>0</v>
      </c>
      <c r="F12" s="1">
        <f>IF(CHOOSE($B$2,tblTerritories_2014_O!F12,tblTerritories_2014_N!F12,tblTerritories_2017!F12)="","",CHOOSE($B$2,tblTerritories_2014_O!F12,tblTerritories_2014_N!F12,tblTerritories_2017!F12))</f>
        <v>1</v>
      </c>
      <c r="G12" s="1">
        <f>IF(CHOOSE($B$2,tblTerritories_2014_O!G12,tblTerritories_2014_N!G12,tblTerritories_2017!G12)="","",CHOOSE($B$2,tblTerritories_2014_O!G12,tblTerritories_2014_N!G12,tblTerritories_2017!G12))</f>
        <v>0</v>
      </c>
      <c r="H12" s="17">
        <f>IF(CHOOSE($B$2,tblTerritories_2014_O!H12,tblTerritories_2014_N!H12,tblTerritories_2017!H12)="","",CHOOSE($B$2,tblTerritories_2014_O!H12,tblTerritories_2014_N!H12,tblTerritories_2017!H12))</f>
        <v>1</v>
      </c>
      <c r="I12" s="1" t="str">
        <f>IF(CHOOSE($B$2,tblTerritories_2014_O!I12,tblTerritories_2014_N!I12,tblTerritories_2017!I12)="","",CHOOSE($B$2,tblTerritories_2014_O!I12,tblTerritories_2014_N!I12,tblTerritories_2017!I12))</f>
        <v>Cairo</v>
      </c>
      <c r="J12" s="27" t="str">
        <f>IF(CHOOSE($B$2,tblTerritories_2014_O!J12,tblTerritories_2014_N!J12,tblTerritories_2017!J12)="","",CHOOSE($B$2,tblTerritories_2014_O!J12,tblTerritories_2014_N!J12,tblTerritories_2017!J12))</f>
        <v>Cairo</v>
      </c>
      <c r="K12" s="30">
        <f>IF(CHOOSE($B$2,tblTerritories_2014_O!K12,tblTerritories_2014_N!K12,tblTerritories_2017!K12)="","",CHOOSE($B$2,tblTerritories_2014_O!K12,tblTerritories_2014_N!K12,tblTerritories_2017!K12))</f>
        <v>0</v>
      </c>
      <c r="L12" s="31">
        <f>IF(CHOOSE($B$2,tblTerritories_2014_O!L12,tblTerritories_2014_N!L12,tblTerritories_2017!L12)="","",CHOOSE($B$2,tblTerritories_2014_O!L12,tblTerritories_2014_N!L12,tblTerritories_2017!L12))</f>
        <v>1</v>
      </c>
      <c r="M12" s="32" t="str">
        <f>IF(CHOOSE($B$2,tblTerritories_2014_O!M12,tblTerritories_2014_N!M12,tblTerritories_2017!M12)="","",CHOOSE($B$2,tblTerritories_2014_O!M12,tblTerritories_2014_N!M12,tblTerritories_2017!M12))</f>
        <v/>
      </c>
      <c r="N12" s="24" t="str">
        <f>IF(CHOOSE($B$2,tblTerritories_2014_O!N12,tblTerritories_2014_N!N12,tblTerritories_2017!N12)="","",CHOOSE($B$2,tblTerritories_2014_O!N12,tblTerritories_2014_N!N12,tblTerritories_2017!N12))</f>
        <v/>
      </c>
      <c r="O12" s="1" t="str">
        <f>IF(CHOOSE($B$2,tblTerritories_2014_O!O12,tblTerritories_2014_N!O12,tblTerritories_2017!O12)="","",CHOOSE($B$2,tblTerritories_2014_O!O12,tblTerritories_2014_N!O12,tblTerritories_2017!O12))</f>
        <v/>
      </c>
      <c r="P12" s="24">
        <f>IF(CHOOSE($B$2,tblTerritories_2014_O!P12,tblTerritories_2014_N!P12,tblTerritories_2017!P12)="","",CHOOSE($B$2,tblTerritories_2014_O!P12,tblTerritories_2014_N!P12,tblTerritories_2017!P12))</f>
        <v>3</v>
      </c>
      <c r="Q12" s="24"/>
      <c r="S12" s="37" t="s">
        <v>970</v>
      </c>
      <c r="T12" s="32"/>
      <c r="U12" s="24"/>
      <c r="V12" s="1"/>
      <c r="W12" s="33"/>
      <c r="X12" s="33"/>
      <c r="Y12" s="33"/>
      <c r="Z12" s="33"/>
      <c r="AA12" s="33"/>
      <c r="AB12" s="44"/>
      <c r="AC12" s="45"/>
      <c r="AD12" s="45"/>
      <c r="AE12" s="49"/>
      <c r="AF12" s="46"/>
      <c r="AG12" s="46"/>
      <c r="AH12" s="46"/>
      <c r="AI12" s="1"/>
      <c r="AK12" s="1"/>
      <c r="AL12" s="47"/>
      <c r="AM12" s="52" t="str">
        <f t="shared" si="11"/>
        <v>North America</v>
      </c>
      <c r="AN12" s="1" t="str">
        <f t="shared" si="3"/>
        <v>North America</v>
      </c>
      <c r="AO12" s="1">
        <f t="shared" si="4"/>
        <v>0</v>
      </c>
      <c r="AP12" s="1">
        <f t="shared" si="5"/>
        <v>1</v>
      </c>
      <c r="AQ12" s="1">
        <f t="shared" si="6"/>
        <v>0</v>
      </c>
      <c r="AR12" s="1">
        <f t="shared" si="7"/>
        <v>1</v>
      </c>
      <c r="AS12" s="1"/>
      <c r="AT12" s="1">
        <v>1</v>
      </c>
      <c r="AU12" s="1">
        <f t="shared" si="8"/>
        <v>0</v>
      </c>
      <c r="AV12" s="1">
        <f t="shared" si="0"/>
        <v>0</v>
      </c>
      <c r="AW12" s="1">
        <f t="shared" si="0"/>
        <v>0</v>
      </c>
      <c r="AX12" s="1">
        <f t="shared" si="0"/>
        <v>0</v>
      </c>
      <c r="AY12" s="1">
        <f t="shared" si="9"/>
        <v>0</v>
      </c>
      <c r="AZ12" s="1">
        <f t="shared" si="1"/>
        <v>0</v>
      </c>
      <c r="BA12" s="1">
        <f t="shared" si="1"/>
        <v>0</v>
      </c>
      <c r="BB12" s="1">
        <f t="shared" si="1"/>
        <v>0</v>
      </c>
      <c r="BC12" s="1">
        <f t="shared" si="1"/>
        <v>0</v>
      </c>
      <c r="BD12" s="1"/>
      <c r="BE12" s="1"/>
      <c r="BF12" s="1"/>
      <c r="BG12" s="1"/>
    </row>
    <row r="13" ht="15.75" spans="1:59">
      <c r="A13" s="1">
        <f>IF(CHOOSE($B$2,tblTerritories_2014_O!A13,tblTerritories_2014_N!A13,tblTerritories_2017!A13)="","",CHOOSE($B$2,tblTerritories_2014_O!A13,tblTerritories_2014_N!A13,tblTerritories_2017!A13))</f>
        <v>11</v>
      </c>
      <c r="B13" s="1" t="str">
        <f>IF(CHOOSE($B$2,tblTerritories_2014_O!B13,tblTerritories_2014_N!B13,tblTerritories_2017!B13)="","",CHOOSE($B$2,tblTerritories_2014_O!B13,tblTerritories_2014_N!B13,tblTerritories_2017!B13))</f>
        <v/>
      </c>
      <c r="C13" s="51" t="str">
        <f>IF(CHOOSE($B$2,tblTerritories_2014_O!C13,tblTerritories_2014_N!C13,tblTerritories_2017!C13)="","",CHOOSE($B$2,tblTerritories_2014_O!C13,tblTerritories_2014_N!C13,tblTerritories_2017!C13))</f>
        <v>Caracas</v>
      </c>
      <c r="D13" s="1">
        <f>IF(CHOOSE($B$2,tblTerritories_2014_O!D13,tblTerritories_2014_N!D13,tblTerritories_2017!D13)="","",CHOOSE($B$2,tblTerritories_2014_O!D13,tblTerritories_2014_N!D13,tblTerritories_2017!D13))</f>
        <v>1</v>
      </c>
      <c r="E13" s="1">
        <f>IF(CHOOSE($B$2,tblTerritories_2014_O!E13,tblTerritories_2014_N!E13,tblTerritories_2017!E13)="","",CHOOSE($B$2,tblTerritories_2014_O!E13,tblTerritories_2014_N!E13,tblTerritories_2017!E13))</f>
        <v>0</v>
      </c>
      <c r="F13" s="1">
        <f>IF(CHOOSE($B$2,tblTerritories_2014_O!F13,tblTerritories_2014_N!F13,tblTerritories_2017!F13)="","",CHOOSE($B$2,tblTerritories_2014_O!F13,tblTerritories_2014_N!F13,tblTerritories_2017!F13))</f>
        <v>1</v>
      </c>
      <c r="G13" s="1">
        <f>IF(CHOOSE($B$2,tblTerritories_2014_O!G13,tblTerritories_2014_N!G13,tblTerritories_2017!G13)="","",CHOOSE($B$2,tblTerritories_2014_O!G13,tblTerritories_2014_N!G13,tblTerritories_2017!G13))</f>
        <v>0</v>
      </c>
      <c r="H13" s="17">
        <f>IF(CHOOSE($B$2,tblTerritories_2014_O!H13,tblTerritories_2014_N!H13,tblTerritories_2017!H13)="","",CHOOSE($B$2,tblTerritories_2014_O!H13,tblTerritories_2014_N!H13,tblTerritories_2017!H13))</f>
        <v>1</v>
      </c>
      <c r="I13" s="1" t="str">
        <f>IF(CHOOSE($B$2,tblTerritories_2014_O!I13,tblTerritories_2014_N!I13,tblTerritories_2017!I13)="","",CHOOSE($B$2,tblTerritories_2014_O!I13,tblTerritories_2014_N!I13,tblTerritories_2017!I13))</f>
        <v>Caracas</v>
      </c>
      <c r="J13" s="27" t="str">
        <f>IF(CHOOSE($B$2,tblTerritories_2014_O!J13,tblTerritories_2014_N!J13,tblTerritories_2017!J13)="","",CHOOSE($B$2,tblTerritories_2014_O!J13,tblTerritories_2014_N!J13,tblTerritories_2017!J13))</f>
        <v>Caracas</v>
      </c>
      <c r="K13" s="30">
        <f>IF(CHOOSE($B$2,tblTerritories_2014_O!K13,tblTerritories_2014_N!K13,tblTerritories_2017!K13)="","",CHOOSE($B$2,tblTerritories_2014_O!K13,tblTerritories_2014_N!K13,tblTerritories_2017!K13))</f>
        <v>0</v>
      </c>
      <c r="L13" s="31">
        <f>IF(CHOOSE($B$2,tblTerritories_2014_O!L13,tblTerritories_2014_N!L13,tblTerritories_2017!L13)="","",CHOOSE($B$2,tblTerritories_2014_O!L13,tblTerritories_2014_N!L13,tblTerritories_2017!L13))</f>
        <v>1</v>
      </c>
      <c r="M13" s="32" t="str">
        <f>IF(CHOOSE($B$2,tblTerritories_2014_O!M13,tblTerritories_2014_N!M13,tblTerritories_2017!M13)="","",CHOOSE($B$2,tblTerritories_2014_O!M13,tblTerritories_2014_N!M13,tblTerritories_2017!M13))</f>
        <v/>
      </c>
      <c r="N13" s="24" t="str">
        <f>IF(CHOOSE($B$2,tblTerritories_2014_O!N13,tblTerritories_2014_N!N13,tblTerritories_2017!N13)="","",CHOOSE($B$2,tblTerritories_2014_O!N13,tblTerritories_2014_N!N13,tblTerritories_2017!N13))</f>
        <v/>
      </c>
      <c r="O13" s="1" t="str">
        <f>IF(CHOOSE($B$2,tblTerritories_2014_O!O13,tblTerritories_2014_N!O13,tblTerritories_2017!O13)="","",CHOOSE($B$2,tblTerritories_2014_O!O13,tblTerritories_2014_N!O13,tblTerritories_2017!O13))</f>
        <v/>
      </c>
      <c r="P13" s="24">
        <f>IF(CHOOSE($B$2,tblTerritories_2014_O!P13,tblTerritories_2014_N!P13,tblTerritories_2017!P13)="","",CHOOSE($B$2,tblTerritories_2014_O!P13,tblTerritories_2014_N!P13,tblTerritories_2017!P13))</f>
        <v>2</v>
      </c>
      <c r="Q13" s="24"/>
      <c r="S13" t="s">
        <v>971</v>
      </c>
      <c r="T13" s="32"/>
      <c r="U13" s="24"/>
      <c r="V13" s="1"/>
      <c r="W13" s="33"/>
      <c r="X13" s="33"/>
      <c r="Y13" s="33"/>
      <c r="Z13" s="33"/>
      <c r="AA13" s="33"/>
      <c r="AB13" s="44"/>
      <c r="AC13" s="45"/>
      <c r="AD13" s="45"/>
      <c r="AE13" s="49"/>
      <c r="AF13" s="46"/>
      <c r="AG13" s="46"/>
      <c r="AH13" s="46"/>
      <c r="AI13" s="1"/>
      <c r="AK13" s="1"/>
      <c r="AL13" s="47"/>
      <c r="AM13" s="52" t="str">
        <f>S14</f>
        <v>Population &lt; 5 million</v>
      </c>
      <c r="AN13" s="1" t="str">
        <f t="shared" si="3"/>
        <v>Population &lt; 5 million</v>
      </c>
      <c r="AO13" s="1">
        <f t="shared" si="4"/>
        <v>0</v>
      </c>
      <c r="AP13" s="1">
        <f t="shared" si="5"/>
        <v>1</v>
      </c>
      <c r="AQ13" s="1">
        <f t="shared" si="6"/>
        <v>0</v>
      </c>
      <c r="AR13" s="1">
        <f t="shared" si="7"/>
        <v>1</v>
      </c>
      <c r="AS13" s="1"/>
      <c r="AT13" s="1">
        <v>1</v>
      </c>
      <c r="AU13" s="1">
        <f t="shared" si="8"/>
        <v>0</v>
      </c>
      <c r="AV13" s="1">
        <f t="shared" si="0"/>
        <v>0</v>
      </c>
      <c r="AW13" s="1">
        <f t="shared" si="0"/>
        <v>0</v>
      </c>
      <c r="AX13" s="1">
        <f t="shared" si="0"/>
        <v>0</v>
      </c>
      <c r="AY13" s="1">
        <f t="shared" si="9"/>
        <v>0</v>
      </c>
      <c r="AZ13" s="1">
        <f t="shared" si="1"/>
        <v>0</v>
      </c>
      <c r="BA13" s="1">
        <f t="shared" si="1"/>
        <v>0</v>
      </c>
      <c r="BB13" s="1">
        <f t="shared" si="1"/>
        <v>0</v>
      </c>
      <c r="BC13" s="1">
        <f t="shared" si="1"/>
        <v>0</v>
      </c>
      <c r="BD13" s="1"/>
      <c r="BE13" s="1"/>
      <c r="BF13" s="1"/>
      <c r="BG13" s="1"/>
    </row>
    <row r="14" ht="15.75" spans="1:59">
      <c r="A14" s="1">
        <f>IF(CHOOSE($B$2,tblTerritories_2014_O!A14,tblTerritories_2014_N!A14,tblTerritories_2017!A14)="","",CHOOSE($B$2,tblTerritories_2014_O!A14,tblTerritories_2014_N!A14,tblTerritories_2017!A14))</f>
        <v>12</v>
      </c>
      <c r="B14" s="1" t="str">
        <f>IF(CHOOSE($B$2,tblTerritories_2014_O!B14,tblTerritories_2014_N!B14,tblTerritories_2017!B14)="","",CHOOSE($B$2,tblTerritories_2014_O!B14,tblTerritories_2014_N!B14,tblTerritories_2017!B14))</f>
        <v/>
      </c>
      <c r="C14" s="51" t="str">
        <f>IF(CHOOSE($B$2,tblTerritories_2014_O!C14,tblTerritories_2014_N!C14,tblTerritories_2017!C14)="","",CHOOSE($B$2,tblTerritories_2014_O!C14,tblTerritories_2014_N!C14,tblTerritories_2017!C14))</f>
        <v>Casablanca</v>
      </c>
      <c r="D14" s="1">
        <f>IF(CHOOSE($B$2,tblTerritories_2014_O!D14,tblTerritories_2014_N!D14,tblTerritories_2017!D14)="","",CHOOSE($B$2,tblTerritories_2014_O!D14,tblTerritories_2014_N!D14,tblTerritories_2017!D14))</f>
        <v>1</v>
      </c>
      <c r="E14" s="1">
        <f>IF(CHOOSE($B$2,tblTerritories_2014_O!E14,tblTerritories_2014_N!E14,tblTerritories_2017!E14)="","",CHOOSE($B$2,tblTerritories_2014_O!E14,tblTerritories_2014_N!E14,tblTerritories_2017!E14))</f>
        <v>0</v>
      </c>
      <c r="F14" s="1">
        <f>IF(CHOOSE($B$2,tblTerritories_2014_O!F14,tblTerritories_2014_N!F14,tblTerritories_2017!F14)="","",CHOOSE($B$2,tblTerritories_2014_O!F14,tblTerritories_2014_N!F14,tblTerritories_2017!F14))</f>
        <v>1</v>
      </c>
      <c r="G14" s="1">
        <f>IF(CHOOSE($B$2,tblTerritories_2014_O!G14,tblTerritories_2014_N!G14,tblTerritories_2017!G14)="","",CHOOSE($B$2,tblTerritories_2014_O!G14,tblTerritories_2014_N!G14,tblTerritories_2017!G14))</f>
        <v>0</v>
      </c>
      <c r="H14" s="17">
        <f>IF(CHOOSE($B$2,tblTerritories_2014_O!H14,tblTerritories_2014_N!H14,tblTerritories_2017!H14)="","",CHOOSE($B$2,tblTerritories_2014_O!H14,tblTerritories_2014_N!H14,tblTerritories_2017!H14))</f>
        <v>1</v>
      </c>
      <c r="I14" s="1" t="str">
        <f>IF(CHOOSE($B$2,tblTerritories_2014_O!I14,tblTerritories_2014_N!I14,tblTerritories_2017!I14)="","",CHOOSE($B$2,tblTerritories_2014_O!I14,tblTerritories_2014_N!I14,tblTerritories_2017!I14))</f>
        <v>Casablanca</v>
      </c>
      <c r="J14" s="27" t="str">
        <f>IF(CHOOSE($B$2,tblTerritories_2014_O!J14,tblTerritories_2014_N!J14,tblTerritories_2017!J14)="","",CHOOSE($B$2,tblTerritories_2014_O!J14,tblTerritories_2014_N!J14,tblTerritories_2017!J14))</f>
        <v>Casablanca</v>
      </c>
      <c r="K14" s="30">
        <f>IF(CHOOSE($B$2,tblTerritories_2014_O!K14,tblTerritories_2014_N!K14,tblTerritories_2017!K14)="","",CHOOSE($B$2,tblTerritories_2014_O!K14,tblTerritories_2014_N!K14,tblTerritories_2017!K14))</f>
        <v>0</v>
      </c>
      <c r="L14" s="31">
        <f>IF(CHOOSE($B$2,tblTerritories_2014_O!L14,tblTerritories_2014_N!L14,tblTerritories_2017!L14)="","",CHOOSE($B$2,tblTerritories_2014_O!L14,tblTerritories_2014_N!L14,tblTerritories_2017!L14))</f>
        <v>1</v>
      </c>
      <c r="M14" s="32" t="str">
        <f>IF(CHOOSE($B$2,tblTerritories_2014_O!M14,tblTerritories_2014_N!M14,tblTerritories_2017!M14)="","",CHOOSE($B$2,tblTerritories_2014_O!M14,tblTerritories_2014_N!M14,tblTerritories_2017!M14))</f>
        <v/>
      </c>
      <c r="N14" s="24" t="str">
        <f>IF(CHOOSE($B$2,tblTerritories_2014_O!N14,tblTerritories_2014_N!N14,tblTerritories_2017!N14)="","",CHOOSE($B$2,tblTerritories_2014_O!N14,tblTerritories_2014_N!N14,tblTerritories_2017!N14))</f>
        <v/>
      </c>
      <c r="O14" s="1" t="str">
        <f>IF(CHOOSE($B$2,tblTerritories_2014_O!O14,tblTerritories_2014_N!O14,tblTerritories_2017!O14)="","",CHOOSE($B$2,tblTerritories_2014_O!O14,tblTerritories_2014_N!O14,tblTerritories_2017!O14))</f>
        <v/>
      </c>
      <c r="P14" s="24">
        <f>IF(CHOOSE($B$2,tblTerritories_2014_O!P14,tblTerritories_2014_N!P14,tblTerritories_2017!P14)="","",CHOOSE($B$2,tblTerritories_2014_O!P14,tblTerritories_2014_N!P14,tblTerritories_2017!P14))</f>
        <v>3</v>
      </c>
      <c r="Q14" s="24"/>
      <c r="S14" s="38" t="s">
        <v>972</v>
      </c>
      <c r="T14" s="32"/>
      <c r="U14" s="24"/>
      <c r="V14" s="1"/>
      <c r="W14" s="33"/>
      <c r="X14" s="33"/>
      <c r="Y14" s="33"/>
      <c r="Z14" s="33"/>
      <c r="AA14" s="33"/>
      <c r="AB14" s="44"/>
      <c r="AC14" s="45"/>
      <c r="AD14" s="45"/>
      <c r="AE14" s="49"/>
      <c r="AF14" s="46"/>
      <c r="AG14" s="46"/>
      <c r="AH14" s="46"/>
      <c r="AI14" s="1"/>
      <c r="AK14" s="1"/>
      <c r="AL14" s="47"/>
      <c r="AM14" s="52" t="str">
        <f t="shared" ref="AM14:AM16" si="12">S15</f>
        <v>Population 5 - 10 million</v>
      </c>
      <c r="AN14" s="1" t="str">
        <f t="shared" ref="AN14:AN16" si="13">AM14</f>
        <v>Population 5 - 10 million</v>
      </c>
      <c r="AO14" s="1">
        <f t="shared" si="4"/>
        <v>0</v>
      </c>
      <c r="AP14" s="1">
        <f t="shared" si="5"/>
        <v>1</v>
      </c>
      <c r="AQ14" s="1">
        <f t="shared" si="6"/>
        <v>0</v>
      </c>
      <c r="AR14" s="1">
        <f t="shared" si="7"/>
        <v>1</v>
      </c>
      <c r="AS14" s="1"/>
      <c r="AT14" s="1">
        <v>1</v>
      </c>
      <c r="AU14" s="1">
        <f t="shared" si="8"/>
        <v>0</v>
      </c>
      <c r="AV14" s="1">
        <f t="shared" si="0"/>
        <v>0</v>
      </c>
      <c r="AW14" s="1">
        <f t="shared" si="0"/>
        <v>0</v>
      </c>
      <c r="AX14" s="1">
        <f t="shared" si="0"/>
        <v>0</v>
      </c>
      <c r="AY14" s="1">
        <f t="shared" si="9"/>
        <v>0</v>
      </c>
      <c r="AZ14" s="1">
        <f t="shared" si="1"/>
        <v>0</v>
      </c>
      <c r="BA14" s="1">
        <f t="shared" si="1"/>
        <v>0</v>
      </c>
      <c r="BB14" s="1">
        <f t="shared" si="1"/>
        <v>0</v>
      </c>
      <c r="BC14" s="1">
        <f t="shared" si="1"/>
        <v>0</v>
      </c>
      <c r="BD14" s="1"/>
      <c r="BE14" s="1"/>
      <c r="BF14" s="1"/>
      <c r="BG14" s="1"/>
    </row>
    <row r="15" ht="15.75" spans="1:59">
      <c r="A15" s="1">
        <f>IF(CHOOSE($B$2,tblTerritories_2014_O!A15,tblTerritories_2014_N!A15,tblTerritories_2017!A15)="","",CHOOSE($B$2,tblTerritories_2014_O!A15,tblTerritories_2014_N!A15,tblTerritories_2017!A15))</f>
        <v>13</v>
      </c>
      <c r="B15" s="1" t="str">
        <f>IF(CHOOSE($B$2,tblTerritories_2014_O!B15,tblTerritories_2014_N!B15,tblTerritories_2017!B15)="","",CHOOSE($B$2,tblTerritories_2014_O!B15,tblTerritories_2014_N!B15,tblTerritories_2017!B15))</f>
        <v/>
      </c>
      <c r="C15" s="51" t="str">
        <f>IF(CHOOSE($B$2,tblTerritories_2014_O!C15,tblTerritories_2014_N!C15,tblTerritories_2017!C15)="","",CHOOSE($B$2,tblTerritories_2014_O!C15,tblTerritories_2014_N!C15,tblTerritories_2017!C15))</f>
        <v>Chicago</v>
      </c>
      <c r="D15" s="1">
        <f>IF(CHOOSE($B$2,tblTerritories_2014_O!D15,tblTerritories_2014_N!D15,tblTerritories_2017!D15)="","",CHOOSE($B$2,tblTerritories_2014_O!D15,tblTerritories_2014_N!D15,tblTerritories_2017!D15))</f>
        <v>1</v>
      </c>
      <c r="E15" s="1">
        <f>IF(CHOOSE($B$2,tblTerritories_2014_O!E15,tblTerritories_2014_N!E15,tblTerritories_2017!E15)="","",CHOOSE($B$2,tblTerritories_2014_O!E15,tblTerritories_2014_N!E15,tblTerritories_2017!E15))</f>
        <v>0</v>
      </c>
      <c r="F15" s="1">
        <f>IF(CHOOSE($B$2,tblTerritories_2014_O!F15,tblTerritories_2014_N!F15,tblTerritories_2017!F15)="","",CHOOSE($B$2,tblTerritories_2014_O!F15,tblTerritories_2014_N!F15,tblTerritories_2017!F15))</f>
        <v>1</v>
      </c>
      <c r="G15" s="1">
        <f>IF(CHOOSE($B$2,tblTerritories_2014_O!G15,tblTerritories_2014_N!G15,tblTerritories_2017!G15)="","",CHOOSE($B$2,tblTerritories_2014_O!G15,tblTerritories_2014_N!G15,tblTerritories_2017!G15))</f>
        <v>0</v>
      </c>
      <c r="H15" s="17">
        <f>IF(CHOOSE($B$2,tblTerritories_2014_O!H15,tblTerritories_2014_N!H15,tblTerritories_2017!H15)="","",CHOOSE($B$2,tblTerritories_2014_O!H15,tblTerritories_2014_N!H15,tblTerritories_2017!H15))</f>
        <v>1</v>
      </c>
      <c r="I15" s="1" t="str">
        <f>IF(CHOOSE($B$2,tblTerritories_2014_O!I15,tblTerritories_2014_N!I15,tblTerritories_2017!I15)="","",CHOOSE($B$2,tblTerritories_2014_O!I15,tblTerritories_2014_N!I15,tblTerritories_2017!I15))</f>
        <v>Chicago</v>
      </c>
      <c r="J15" s="27" t="str">
        <f>IF(CHOOSE($B$2,tblTerritories_2014_O!J15,tblTerritories_2014_N!J15,tblTerritories_2017!J15)="","",CHOOSE($B$2,tblTerritories_2014_O!J15,tblTerritories_2014_N!J15,tblTerritories_2017!J15))</f>
        <v>Chicago</v>
      </c>
      <c r="K15" s="30">
        <f>IF(CHOOSE($B$2,tblTerritories_2014_O!K15,tblTerritories_2014_N!K15,tblTerritories_2017!K15)="","",CHOOSE($B$2,tblTerritories_2014_O!K15,tblTerritories_2014_N!K15,tblTerritories_2017!K15))</f>
        <v>0</v>
      </c>
      <c r="L15" s="31">
        <f>IF(CHOOSE($B$2,tblTerritories_2014_O!L15,tblTerritories_2014_N!L15,tblTerritories_2017!L15)="","",CHOOSE($B$2,tblTerritories_2014_O!L15,tblTerritories_2014_N!L15,tblTerritories_2017!L15))</f>
        <v>1</v>
      </c>
      <c r="M15" s="32" t="str">
        <f>IF(CHOOSE($B$2,tblTerritories_2014_O!M15,tblTerritories_2014_N!M15,tblTerritories_2017!M15)="","",CHOOSE($B$2,tblTerritories_2014_O!M15,tblTerritories_2014_N!M15,tblTerritories_2017!M15))</f>
        <v/>
      </c>
      <c r="N15" s="24" t="str">
        <f>IF(CHOOSE($B$2,tblTerritories_2014_O!N15,tblTerritories_2014_N!N15,tblTerritories_2017!N15)="","",CHOOSE($B$2,tblTerritories_2014_O!N15,tblTerritories_2014_N!N15,tblTerritories_2017!N15))</f>
        <v/>
      </c>
      <c r="O15" s="1" t="str">
        <f>IF(CHOOSE($B$2,tblTerritories_2014_O!O15,tblTerritories_2014_N!O15,tblTerritories_2017!O15)="","",CHOOSE($B$2,tblTerritories_2014_O!O15,tblTerritories_2014_N!O15,tblTerritories_2017!O15))</f>
        <v/>
      </c>
      <c r="P15" s="24">
        <f>IF(CHOOSE($B$2,tblTerritories_2014_O!P15,tblTerritories_2014_N!P15,tblTerritories_2017!P15)="","",CHOOSE($B$2,tblTerritories_2014_O!P15,tblTerritories_2014_N!P15,tblTerritories_2017!P15))</f>
        <v>4</v>
      </c>
      <c r="Q15" s="24"/>
      <c r="S15" s="38" t="s">
        <v>973</v>
      </c>
      <c r="T15" s="32"/>
      <c r="U15" s="24"/>
      <c r="V15" s="1"/>
      <c r="W15" s="33"/>
      <c r="X15" s="33"/>
      <c r="Y15" s="33"/>
      <c r="Z15" s="33"/>
      <c r="AA15" s="33"/>
      <c r="AB15" s="44"/>
      <c r="AC15" s="45"/>
      <c r="AD15" s="45"/>
      <c r="AE15" s="49"/>
      <c r="AF15" s="46"/>
      <c r="AG15" s="46"/>
      <c r="AH15" s="46"/>
      <c r="AI15" s="1"/>
      <c r="AK15" s="1"/>
      <c r="AL15" s="47"/>
      <c r="AM15" s="52" t="str">
        <f t="shared" si="12"/>
        <v>Population 10 - 15 million</v>
      </c>
      <c r="AN15" s="1" t="str">
        <f t="shared" si="13"/>
        <v>Population 10 - 15 million</v>
      </c>
      <c r="AO15" s="1">
        <f t="shared" si="4"/>
        <v>0</v>
      </c>
      <c r="AP15" s="1">
        <f t="shared" si="5"/>
        <v>1</v>
      </c>
      <c r="AQ15" s="1">
        <f t="shared" si="6"/>
        <v>0</v>
      </c>
      <c r="AR15" s="1">
        <f t="shared" si="7"/>
        <v>1</v>
      </c>
      <c r="AS15" s="1"/>
      <c r="AT15" s="1">
        <v>1</v>
      </c>
      <c r="AU15" s="1">
        <f t="shared" si="8"/>
        <v>0</v>
      </c>
      <c r="AV15" s="1">
        <f t="shared" si="0"/>
        <v>0</v>
      </c>
      <c r="AW15" s="1">
        <f t="shared" si="0"/>
        <v>0</v>
      </c>
      <c r="AX15" s="1">
        <f t="shared" si="0"/>
        <v>0</v>
      </c>
      <c r="AY15" s="1">
        <f t="shared" si="9"/>
        <v>0</v>
      </c>
      <c r="AZ15" s="1">
        <f t="shared" si="1"/>
        <v>0</v>
      </c>
      <c r="BA15" s="1">
        <f t="shared" si="1"/>
        <v>0</v>
      </c>
      <c r="BB15" s="1">
        <f t="shared" si="1"/>
        <v>0</v>
      </c>
      <c r="BC15" s="1">
        <f t="shared" si="1"/>
        <v>0</v>
      </c>
      <c r="BD15" s="1"/>
      <c r="BE15" s="1"/>
      <c r="BF15" s="1"/>
      <c r="BG15" s="1"/>
    </row>
    <row r="16" ht="15.75" spans="1:59">
      <c r="A16" s="1">
        <f>IF(CHOOSE($B$2,tblTerritories_2014_O!A16,tblTerritories_2014_N!A16,tblTerritories_2017!A16)="","",CHOOSE($B$2,tblTerritories_2014_O!A16,tblTerritories_2014_N!A16,tblTerritories_2017!A16))</f>
        <v>14</v>
      </c>
      <c r="B16" s="1" t="str">
        <f>IF(CHOOSE($B$2,tblTerritories_2014_O!B16,tblTerritories_2014_N!B16,tblTerritories_2017!B16)="","",CHOOSE($B$2,tblTerritories_2014_O!B16,tblTerritories_2014_N!B16,tblTerritories_2017!B16))</f>
        <v/>
      </c>
      <c r="C16" s="51" t="str">
        <f>IF(CHOOSE($B$2,tblTerritories_2014_O!C16,tblTerritories_2014_N!C16,tblTerritories_2017!C16)="","",CHOOSE($B$2,tblTerritories_2014_O!C16,tblTerritories_2014_N!C16,tblTerritories_2017!C16))</f>
        <v>Dallas</v>
      </c>
      <c r="D16" s="1">
        <f>IF(CHOOSE($B$2,tblTerritories_2014_O!D16,tblTerritories_2014_N!D16,tblTerritories_2017!D16)="","",CHOOSE($B$2,tblTerritories_2014_O!D16,tblTerritories_2014_N!D16,tblTerritories_2017!D16))</f>
        <v>1</v>
      </c>
      <c r="E16" s="1">
        <f>IF(CHOOSE($B$2,tblTerritories_2014_O!E16,tblTerritories_2014_N!E16,tblTerritories_2017!E16)="","",CHOOSE($B$2,tblTerritories_2014_O!E16,tblTerritories_2014_N!E16,tblTerritories_2017!E16))</f>
        <v>0</v>
      </c>
      <c r="F16" s="1">
        <f>IF(CHOOSE($B$2,tblTerritories_2014_O!F16,tblTerritories_2014_N!F16,tblTerritories_2017!F16)="","",CHOOSE($B$2,tblTerritories_2014_O!F16,tblTerritories_2014_N!F16,tblTerritories_2017!F16))</f>
        <v>1</v>
      </c>
      <c r="G16" s="1">
        <f>IF(CHOOSE($B$2,tblTerritories_2014_O!G16,tblTerritories_2014_N!G16,tblTerritories_2017!G16)="","",CHOOSE($B$2,tblTerritories_2014_O!G16,tblTerritories_2014_N!G16,tblTerritories_2017!G16))</f>
        <v>0</v>
      </c>
      <c r="H16" s="17">
        <f>IF(CHOOSE($B$2,tblTerritories_2014_O!H16,tblTerritories_2014_N!H16,tblTerritories_2017!H16)="","",CHOOSE($B$2,tblTerritories_2014_O!H16,tblTerritories_2014_N!H16,tblTerritories_2017!H16))</f>
        <v>1</v>
      </c>
      <c r="I16" s="1" t="str">
        <f>IF(CHOOSE($B$2,tblTerritories_2014_O!I16,tblTerritories_2014_N!I16,tblTerritories_2017!I16)="","",CHOOSE($B$2,tblTerritories_2014_O!I16,tblTerritories_2014_N!I16,tblTerritories_2017!I16))</f>
        <v>Dallas</v>
      </c>
      <c r="J16" s="27" t="str">
        <f>IF(CHOOSE($B$2,tblTerritories_2014_O!J16,tblTerritories_2014_N!J16,tblTerritories_2017!J16)="","",CHOOSE($B$2,tblTerritories_2014_O!J16,tblTerritories_2014_N!J16,tblTerritories_2017!J16))</f>
        <v>Dallas</v>
      </c>
      <c r="K16" s="30">
        <f>IF(CHOOSE($B$2,tblTerritories_2014_O!K16,tblTerritories_2014_N!K16,tblTerritories_2017!K16)="","",CHOOSE($B$2,tblTerritories_2014_O!K16,tblTerritories_2014_N!K16,tblTerritories_2017!K16))</f>
        <v>0</v>
      </c>
      <c r="L16" s="31">
        <f>IF(CHOOSE($B$2,tblTerritories_2014_O!L16,tblTerritories_2014_N!L16,tblTerritories_2017!L16)="","",CHOOSE($B$2,tblTerritories_2014_O!L16,tblTerritories_2014_N!L16,tblTerritories_2017!L16))</f>
        <v>1</v>
      </c>
      <c r="M16" s="32" t="str">
        <f>IF(CHOOSE($B$2,tblTerritories_2014_O!M16,tblTerritories_2014_N!M16,tblTerritories_2017!M16)="","",CHOOSE($B$2,tblTerritories_2014_O!M16,tblTerritories_2014_N!M16,tblTerritories_2017!M16))</f>
        <v/>
      </c>
      <c r="N16" s="24" t="str">
        <f>IF(CHOOSE($B$2,tblTerritories_2014_O!N16,tblTerritories_2014_N!N16,tblTerritories_2017!N16)="","",CHOOSE($B$2,tblTerritories_2014_O!N16,tblTerritories_2014_N!N16,tblTerritories_2017!N16))</f>
        <v/>
      </c>
      <c r="O16" s="1" t="str">
        <f>IF(CHOOSE($B$2,tblTerritories_2014_O!O16,tblTerritories_2014_N!O16,tblTerritories_2017!O16)="","",CHOOSE($B$2,tblTerritories_2014_O!O16,tblTerritories_2014_N!O16,tblTerritories_2017!O16))</f>
        <v/>
      </c>
      <c r="P16" s="24">
        <f>IF(CHOOSE($B$2,tblTerritories_2014_O!P16,tblTerritories_2014_N!P16,tblTerritories_2017!P16)="","",CHOOSE($B$2,tblTerritories_2014_O!P16,tblTerritories_2014_N!P16,tblTerritories_2017!P16))</f>
        <v>4</v>
      </c>
      <c r="Q16" s="24"/>
      <c r="S16" s="38" t="s">
        <v>974</v>
      </c>
      <c r="T16" s="32"/>
      <c r="U16" s="24"/>
      <c r="V16" s="1"/>
      <c r="W16" s="33"/>
      <c r="X16" s="33"/>
      <c r="Y16" s="33"/>
      <c r="Z16" s="33"/>
      <c r="AA16" s="33"/>
      <c r="AB16" s="44"/>
      <c r="AC16" s="45"/>
      <c r="AD16" s="45"/>
      <c r="AE16" s="49"/>
      <c r="AF16" s="46"/>
      <c r="AG16" s="46"/>
      <c r="AH16" s="46"/>
      <c r="AI16" s="1"/>
      <c r="AK16" s="1"/>
      <c r="AL16" s="47"/>
      <c r="AM16" s="52" t="str">
        <f t="shared" si="12"/>
        <v>Population &gt; 15 million</v>
      </c>
      <c r="AN16" s="1" t="str">
        <f t="shared" si="13"/>
        <v>Population &gt; 15 million</v>
      </c>
      <c r="AO16" s="1">
        <f t="shared" si="4"/>
        <v>0</v>
      </c>
      <c r="AP16" s="1">
        <f t="shared" si="5"/>
        <v>1</v>
      </c>
      <c r="AQ16" s="1">
        <f t="shared" si="6"/>
        <v>0</v>
      </c>
      <c r="AR16" s="1">
        <f t="shared" si="7"/>
        <v>1</v>
      </c>
      <c r="AS16" s="1"/>
      <c r="AT16" s="1">
        <v>1</v>
      </c>
      <c r="AU16" s="1">
        <f t="shared" si="8"/>
        <v>0</v>
      </c>
      <c r="AV16" s="1">
        <f t="shared" si="0"/>
        <v>0</v>
      </c>
      <c r="AW16" s="1">
        <f t="shared" si="0"/>
        <v>0</v>
      </c>
      <c r="AX16" s="1">
        <f t="shared" si="0"/>
        <v>0</v>
      </c>
      <c r="AY16" s="1">
        <f t="shared" si="9"/>
        <v>0</v>
      </c>
      <c r="AZ16" s="1">
        <f t="shared" si="1"/>
        <v>0</v>
      </c>
      <c r="BA16" s="1">
        <f t="shared" si="1"/>
        <v>0</v>
      </c>
      <c r="BB16" s="1">
        <f t="shared" si="1"/>
        <v>0</v>
      </c>
      <c r="BC16" s="1">
        <f t="shared" si="1"/>
        <v>0</v>
      </c>
      <c r="BD16" s="1"/>
      <c r="BE16" s="1"/>
      <c r="BF16" s="1"/>
      <c r="BG16" s="1"/>
    </row>
    <row r="17" ht="15.75" spans="1:40">
      <c r="A17" s="1">
        <f>IF(CHOOSE($B$2,tblTerritories_2014_O!A17,tblTerritories_2014_N!A17,tblTerritories_2017!A17)="","",CHOOSE($B$2,tblTerritories_2014_O!A17,tblTerritories_2014_N!A17,tblTerritories_2017!A17))</f>
        <v>15</v>
      </c>
      <c r="B17" s="1" t="str">
        <f>IF(CHOOSE($B$2,tblTerritories_2014_O!B17,tblTerritories_2014_N!B17,tblTerritories_2017!B17)="","",CHOOSE($B$2,tblTerritories_2014_O!B17,tblTerritories_2014_N!B17,tblTerritories_2017!B17))</f>
        <v/>
      </c>
      <c r="C17" s="51" t="str">
        <f>IF(CHOOSE($B$2,tblTerritories_2014_O!C17,tblTerritories_2014_N!C17,tblTerritories_2017!C17)="","",CHOOSE($B$2,tblTerritories_2014_O!C17,tblTerritories_2014_N!C17,tblTerritories_2017!C17))</f>
        <v>Delhi</v>
      </c>
      <c r="D17" s="1">
        <f>IF(CHOOSE($B$2,tblTerritories_2014_O!D17,tblTerritories_2014_N!D17,tblTerritories_2017!D17)="","",CHOOSE($B$2,tblTerritories_2014_O!D17,tblTerritories_2014_N!D17,tblTerritories_2017!D17))</f>
        <v>1</v>
      </c>
      <c r="E17" s="1">
        <f>IF(CHOOSE($B$2,tblTerritories_2014_O!E17,tblTerritories_2014_N!E17,tblTerritories_2017!E17)="","",CHOOSE($B$2,tblTerritories_2014_O!E17,tblTerritories_2014_N!E17,tblTerritories_2017!E17))</f>
        <v>0</v>
      </c>
      <c r="F17" s="1">
        <f>IF(CHOOSE($B$2,tblTerritories_2014_O!F17,tblTerritories_2014_N!F17,tblTerritories_2017!F17)="","",CHOOSE($B$2,tblTerritories_2014_O!F17,tblTerritories_2014_N!F17,tblTerritories_2017!F17))</f>
        <v>1</v>
      </c>
      <c r="G17" s="1">
        <f>IF(CHOOSE($B$2,tblTerritories_2014_O!G17,tblTerritories_2014_N!G17,tblTerritories_2017!G17)="","",CHOOSE($B$2,tblTerritories_2014_O!G17,tblTerritories_2014_N!G17,tblTerritories_2017!G17))</f>
        <v>0</v>
      </c>
      <c r="H17" s="17">
        <f>IF(CHOOSE($B$2,tblTerritories_2014_O!H17,tblTerritories_2014_N!H17,tblTerritories_2017!H17)="","",CHOOSE($B$2,tblTerritories_2014_O!H17,tblTerritories_2014_N!H17,tblTerritories_2017!H17))</f>
        <v>1</v>
      </c>
      <c r="I17" s="1" t="str">
        <f>IF(CHOOSE($B$2,tblTerritories_2014_O!I17,tblTerritories_2014_N!I17,tblTerritories_2017!I17)="","",CHOOSE($B$2,tblTerritories_2014_O!I17,tblTerritories_2014_N!I17,tblTerritories_2017!I17))</f>
        <v>Delhi</v>
      </c>
      <c r="J17" s="27" t="str">
        <f>IF(CHOOSE($B$2,tblTerritories_2014_O!J17,tblTerritories_2014_N!J17,tblTerritories_2017!J17)="","",CHOOSE($B$2,tblTerritories_2014_O!J17,tblTerritories_2014_N!J17,tblTerritories_2017!J17))</f>
        <v>Delhi</v>
      </c>
      <c r="K17" s="30">
        <f>IF(CHOOSE($B$2,tblTerritories_2014_O!K17,tblTerritories_2014_N!K17,tblTerritories_2017!K17)="","",CHOOSE($B$2,tblTerritories_2014_O!K17,tblTerritories_2014_N!K17,tblTerritories_2017!K17))</f>
        <v>0</v>
      </c>
      <c r="L17" s="31">
        <f>IF(CHOOSE($B$2,tblTerritories_2014_O!L17,tblTerritories_2014_N!L17,tblTerritories_2017!L17)="","",CHOOSE($B$2,tblTerritories_2014_O!L17,tblTerritories_2014_N!L17,tblTerritories_2017!L17))</f>
        <v>1</v>
      </c>
      <c r="M17" s="32" t="str">
        <f>IF(CHOOSE($B$2,tblTerritories_2014_O!M17,tblTerritories_2014_N!M17,tblTerritories_2017!M17)="","",CHOOSE($B$2,tblTerritories_2014_O!M17,tblTerritories_2014_N!M17,tblTerritories_2017!M17))</f>
        <v/>
      </c>
      <c r="N17" s="24" t="str">
        <f>IF(CHOOSE($B$2,tblTerritories_2014_O!N17,tblTerritories_2014_N!N17,tblTerritories_2017!N17)="","",CHOOSE($B$2,tblTerritories_2014_O!N17,tblTerritories_2014_N!N17,tblTerritories_2017!N17))</f>
        <v/>
      </c>
      <c r="O17" s="1" t="str">
        <f>IF(CHOOSE($B$2,tblTerritories_2014_O!O17,tblTerritories_2014_N!O17,tblTerritories_2017!O17)="","",CHOOSE($B$2,tblTerritories_2014_O!O17,tblTerritories_2014_N!O17,tblTerritories_2017!O17))</f>
        <v/>
      </c>
      <c r="P17" s="24">
        <f>IF(CHOOSE($B$2,tblTerritories_2014_O!P17,tblTerritories_2014_N!P17,tblTerritories_2017!P17)="","",CHOOSE($B$2,tblTerritories_2014_O!P17,tblTerritories_2014_N!P17,tblTerritories_2017!P17))</f>
        <v>8</v>
      </c>
      <c r="Q17" s="24"/>
      <c r="S17" s="38" t="s">
        <v>975</v>
      </c>
      <c r="AK17" s="1"/>
      <c r="AM17" s="1"/>
      <c r="AN17" s="1"/>
    </row>
    <row r="18" ht="15.75" spans="1:40">
      <c r="A18" s="1">
        <f>IF(CHOOSE($B$2,tblTerritories_2014_O!A18,tblTerritories_2014_N!A18,tblTerritories_2017!A18)="","",CHOOSE($B$2,tblTerritories_2014_O!A18,tblTerritories_2014_N!A18,tblTerritories_2017!A18))</f>
        <v>16</v>
      </c>
      <c r="B18" s="1" t="str">
        <f>IF(CHOOSE($B$2,tblTerritories_2014_O!B18,tblTerritories_2014_N!B18,tblTerritories_2017!B18)="","",CHOOSE($B$2,tblTerritories_2014_O!B18,tblTerritories_2014_N!B18,tblTerritories_2017!B18))</f>
        <v/>
      </c>
      <c r="C18" s="51" t="str">
        <f>IF(CHOOSE($B$2,tblTerritories_2014_O!C18,tblTerritories_2014_N!C18,tblTerritories_2017!C18)="","",CHOOSE($B$2,tblTerritories_2014_O!C18,tblTerritories_2014_N!C18,tblTerritories_2017!C18))</f>
        <v>Dhaka</v>
      </c>
      <c r="D18" s="1">
        <f>IF(CHOOSE($B$2,tblTerritories_2014_O!D18,tblTerritories_2014_N!D18,tblTerritories_2017!D18)="","",CHOOSE($B$2,tblTerritories_2014_O!D18,tblTerritories_2014_N!D18,tblTerritories_2017!D18))</f>
        <v>1</v>
      </c>
      <c r="E18" s="1">
        <f>IF(CHOOSE($B$2,tblTerritories_2014_O!E18,tblTerritories_2014_N!E18,tblTerritories_2017!E18)="","",CHOOSE($B$2,tblTerritories_2014_O!E18,tblTerritories_2014_N!E18,tblTerritories_2017!E18))</f>
        <v>0</v>
      </c>
      <c r="F18" s="1">
        <f>IF(CHOOSE($B$2,tblTerritories_2014_O!F18,tblTerritories_2014_N!F18,tblTerritories_2017!F18)="","",CHOOSE($B$2,tblTerritories_2014_O!F18,tblTerritories_2014_N!F18,tblTerritories_2017!F18))</f>
        <v>1</v>
      </c>
      <c r="G18" s="1">
        <f>IF(CHOOSE($B$2,tblTerritories_2014_O!G18,tblTerritories_2014_N!G18,tblTerritories_2017!G18)="","",CHOOSE($B$2,tblTerritories_2014_O!G18,tblTerritories_2014_N!G18,tblTerritories_2017!G18))</f>
        <v>0</v>
      </c>
      <c r="H18" s="17">
        <f>IF(CHOOSE($B$2,tblTerritories_2014_O!H18,tblTerritories_2014_N!H18,tblTerritories_2017!H18)="","",CHOOSE($B$2,tblTerritories_2014_O!H18,tblTerritories_2014_N!H18,tblTerritories_2017!H18))</f>
        <v>1</v>
      </c>
      <c r="I18" s="1" t="str">
        <f>IF(CHOOSE($B$2,tblTerritories_2014_O!I18,tblTerritories_2014_N!I18,tblTerritories_2017!I18)="","",CHOOSE($B$2,tblTerritories_2014_O!I18,tblTerritories_2014_N!I18,tblTerritories_2017!I18))</f>
        <v>Dhaka</v>
      </c>
      <c r="J18" s="27" t="str">
        <f>IF(CHOOSE($B$2,tblTerritories_2014_O!J18,tblTerritories_2014_N!J18,tblTerritories_2017!J18)="","",CHOOSE($B$2,tblTerritories_2014_O!J18,tblTerritories_2014_N!J18,tblTerritories_2017!J18))</f>
        <v>Dhaka</v>
      </c>
      <c r="K18" s="30">
        <f>IF(CHOOSE($B$2,tblTerritories_2014_O!K18,tblTerritories_2014_N!K18,tblTerritories_2017!K18)="","",CHOOSE($B$2,tblTerritories_2014_O!K18,tblTerritories_2014_N!K18,tblTerritories_2017!K18))</f>
        <v>0</v>
      </c>
      <c r="L18" s="31">
        <f>IF(CHOOSE($B$2,tblTerritories_2014_O!L18,tblTerritories_2014_N!L18,tblTerritories_2017!L18)="","",CHOOSE($B$2,tblTerritories_2014_O!L18,tblTerritories_2014_N!L18,tblTerritories_2017!L18))</f>
        <v>1</v>
      </c>
      <c r="M18" s="32" t="str">
        <f>IF(CHOOSE($B$2,tblTerritories_2014_O!M18,tblTerritories_2014_N!M18,tblTerritories_2017!M18)="","",CHOOSE($B$2,tblTerritories_2014_O!M18,tblTerritories_2014_N!M18,tblTerritories_2017!M18))</f>
        <v/>
      </c>
      <c r="N18" s="24" t="str">
        <f>IF(CHOOSE($B$2,tblTerritories_2014_O!N18,tblTerritories_2014_N!N18,tblTerritories_2017!N18)="","",CHOOSE($B$2,tblTerritories_2014_O!N18,tblTerritories_2014_N!N18,tblTerritories_2017!N18))</f>
        <v/>
      </c>
      <c r="O18" s="1" t="str">
        <f>IF(CHOOSE($B$2,tblTerritories_2014_O!O18,tblTerritories_2014_N!O18,tblTerritories_2017!O18)="","",CHOOSE($B$2,tblTerritories_2014_O!O18,tblTerritories_2014_N!O18,tblTerritories_2017!O18))</f>
        <v/>
      </c>
      <c r="P18" s="24">
        <f>IF(CHOOSE($B$2,tblTerritories_2014_O!P18,tblTerritories_2014_N!P18,tblTerritories_2017!P18)="","",CHOOSE($B$2,tblTerritories_2014_O!P18,tblTerritories_2014_N!P18,tblTerritories_2017!P18))</f>
        <v>8</v>
      </c>
      <c r="Q18" s="24"/>
      <c r="S18" s="38"/>
      <c r="AM18" s="1"/>
      <c r="AN18" s="1"/>
    </row>
    <row r="19" ht="15.75" spans="1:40">
      <c r="A19" s="1">
        <f>IF(CHOOSE($B$2,tblTerritories_2014_O!A19,tblTerritories_2014_N!A19,tblTerritories_2017!A19)="","",CHOOSE($B$2,tblTerritories_2014_O!A19,tblTerritories_2014_N!A19,tblTerritories_2017!A19))</f>
        <v>17</v>
      </c>
      <c r="B19" s="1" t="str">
        <f>IF(CHOOSE($B$2,tblTerritories_2014_O!B19,tblTerritories_2014_N!B19,tblTerritories_2017!B19)="","",CHOOSE($B$2,tblTerritories_2014_O!B19,tblTerritories_2014_N!B19,tblTerritories_2017!B19))</f>
        <v/>
      </c>
      <c r="C19" s="51" t="str">
        <f>IF(CHOOSE($B$2,tblTerritories_2014_O!C19,tblTerritories_2014_N!C19,tblTerritories_2017!C19)="","",CHOOSE($B$2,tblTerritories_2014_O!C19,tblTerritories_2014_N!C19,tblTerritories_2017!C19))</f>
        <v>Doha</v>
      </c>
      <c r="D19" s="1">
        <f>IF(CHOOSE($B$2,tblTerritories_2014_O!D19,tblTerritories_2014_N!D19,tblTerritories_2017!D19)="","",CHOOSE($B$2,tblTerritories_2014_O!D19,tblTerritories_2014_N!D19,tblTerritories_2017!D19))</f>
        <v>1</v>
      </c>
      <c r="E19" s="1">
        <f>IF(CHOOSE($B$2,tblTerritories_2014_O!E19,tblTerritories_2014_N!E19,tblTerritories_2017!E19)="","",CHOOSE($B$2,tblTerritories_2014_O!E19,tblTerritories_2014_N!E19,tblTerritories_2017!E19))</f>
        <v>0</v>
      </c>
      <c r="F19" s="1">
        <f>IF(CHOOSE($B$2,tblTerritories_2014_O!F19,tblTerritories_2014_N!F19,tblTerritories_2017!F19)="","",CHOOSE($B$2,tblTerritories_2014_O!F19,tblTerritories_2014_N!F19,tblTerritories_2017!F19))</f>
        <v>1</v>
      </c>
      <c r="G19" s="1">
        <f>IF(CHOOSE($B$2,tblTerritories_2014_O!G19,tblTerritories_2014_N!G19,tblTerritories_2017!G19)="","",CHOOSE($B$2,tblTerritories_2014_O!G19,tblTerritories_2014_N!G19,tblTerritories_2017!G19))</f>
        <v>0</v>
      </c>
      <c r="H19" s="17">
        <f>IF(CHOOSE($B$2,tblTerritories_2014_O!H19,tblTerritories_2014_N!H19,tblTerritories_2017!H19)="","",CHOOSE($B$2,tblTerritories_2014_O!H19,tblTerritories_2014_N!H19,tblTerritories_2017!H19))</f>
        <v>1</v>
      </c>
      <c r="I19" s="1" t="str">
        <f>IF(CHOOSE($B$2,tblTerritories_2014_O!I19,tblTerritories_2014_N!I19,tblTerritories_2017!I19)="","",CHOOSE($B$2,tblTerritories_2014_O!I19,tblTerritories_2014_N!I19,tblTerritories_2017!I19))</f>
        <v>Doha</v>
      </c>
      <c r="J19" s="27" t="str">
        <f>IF(CHOOSE($B$2,tblTerritories_2014_O!J19,tblTerritories_2014_N!J19,tblTerritories_2017!J19)="","",CHOOSE($B$2,tblTerritories_2014_O!J19,tblTerritories_2014_N!J19,tblTerritories_2017!J19))</f>
        <v>Doha</v>
      </c>
      <c r="K19" s="30">
        <f>IF(CHOOSE($B$2,tblTerritories_2014_O!K19,tblTerritories_2014_N!K19,tblTerritories_2017!K19)="","",CHOOSE($B$2,tblTerritories_2014_O!K19,tblTerritories_2014_N!K19,tblTerritories_2017!K19))</f>
        <v>0</v>
      </c>
      <c r="L19" s="31">
        <f>IF(CHOOSE($B$2,tblTerritories_2014_O!L19,tblTerritories_2014_N!L19,tblTerritories_2017!L19)="","",CHOOSE($B$2,tblTerritories_2014_O!L19,tblTerritories_2014_N!L19,tblTerritories_2017!L19))</f>
        <v>1</v>
      </c>
      <c r="M19" s="32" t="str">
        <f>IF(CHOOSE($B$2,tblTerritories_2014_O!M19,tblTerritories_2014_N!M19,tblTerritories_2017!M19)="","",CHOOSE($B$2,tblTerritories_2014_O!M19,tblTerritories_2014_N!M19,tblTerritories_2017!M19))</f>
        <v/>
      </c>
      <c r="N19" s="24" t="str">
        <f>IF(CHOOSE($B$2,tblTerritories_2014_O!N19,tblTerritories_2014_N!N19,tblTerritories_2017!N19)="","",CHOOSE($B$2,tblTerritories_2014_O!N19,tblTerritories_2014_N!N19,tblTerritories_2017!N19))</f>
        <v/>
      </c>
      <c r="O19" s="1" t="str">
        <f>IF(CHOOSE($B$2,tblTerritories_2014_O!O19,tblTerritories_2014_N!O19,tblTerritories_2017!O19)="","",CHOOSE($B$2,tblTerritories_2014_O!O19,tblTerritories_2014_N!O19,tblTerritories_2017!O19))</f>
        <v/>
      </c>
      <c r="P19" s="24">
        <f>IF(CHOOSE($B$2,tblTerritories_2014_O!P19,tblTerritories_2014_N!P19,tblTerritories_2017!P19)="","",CHOOSE($B$2,tblTerritories_2014_O!P19,tblTerritories_2014_N!P19,tblTerritories_2017!P19))</f>
        <v>3</v>
      </c>
      <c r="Q19" s="24"/>
      <c r="S19" s="38"/>
      <c r="AM19" s="1"/>
      <c r="AN19" s="1"/>
    </row>
    <row r="20" ht="15.75" spans="1:40">
      <c r="A20" s="1">
        <f>IF(CHOOSE($B$2,tblTerritories_2014_O!A20,tblTerritories_2014_N!A20,tblTerritories_2017!A20)="","",CHOOSE($B$2,tblTerritories_2014_O!A20,tblTerritories_2014_N!A20,tblTerritories_2017!A20))</f>
        <v>18</v>
      </c>
      <c r="B20" s="1" t="str">
        <f>IF(CHOOSE($B$2,tblTerritories_2014_O!B20,tblTerritories_2014_N!B20,tblTerritories_2017!B20)="","",CHOOSE($B$2,tblTerritories_2014_O!B20,tblTerritories_2014_N!B20,tblTerritories_2017!B20))</f>
        <v/>
      </c>
      <c r="C20" s="51" t="str">
        <f>IF(CHOOSE($B$2,tblTerritories_2014_O!C20,tblTerritories_2014_N!C20,tblTerritories_2017!C20)="","",CHOOSE($B$2,tblTerritories_2014_O!C20,tblTerritories_2014_N!C20,tblTerritories_2017!C20))</f>
        <v>Frankfurt</v>
      </c>
      <c r="D20" s="1">
        <f>IF(CHOOSE($B$2,tblTerritories_2014_O!D20,tblTerritories_2014_N!D20,tblTerritories_2017!D20)="","",CHOOSE($B$2,tblTerritories_2014_O!D20,tblTerritories_2014_N!D20,tblTerritories_2017!D20))</f>
        <v>1</v>
      </c>
      <c r="E20" s="1">
        <f>IF(CHOOSE($B$2,tblTerritories_2014_O!E20,tblTerritories_2014_N!E20,tblTerritories_2017!E20)="","",CHOOSE($B$2,tblTerritories_2014_O!E20,tblTerritories_2014_N!E20,tblTerritories_2017!E20))</f>
        <v>0</v>
      </c>
      <c r="F20" s="1">
        <f>IF(CHOOSE($B$2,tblTerritories_2014_O!F20,tblTerritories_2014_N!F20,tblTerritories_2017!F20)="","",CHOOSE($B$2,tblTerritories_2014_O!F20,tblTerritories_2014_N!F20,tblTerritories_2017!F20))</f>
        <v>1</v>
      </c>
      <c r="G20" s="1">
        <f>IF(CHOOSE($B$2,tblTerritories_2014_O!G20,tblTerritories_2014_N!G20,tblTerritories_2017!G20)="","",CHOOSE($B$2,tblTerritories_2014_O!G20,tblTerritories_2014_N!G20,tblTerritories_2017!G20))</f>
        <v>0</v>
      </c>
      <c r="H20" s="17">
        <f>IF(CHOOSE($B$2,tblTerritories_2014_O!H20,tblTerritories_2014_N!H20,tblTerritories_2017!H20)="","",CHOOSE($B$2,tblTerritories_2014_O!H20,tblTerritories_2014_N!H20,tblTerritories_2017!H20))</f>
        <v>1</v>
      </c>
      <c r="I20" s="1" t="str">
        <f>IF(CHOOSE($B$2,tblTerritories_2014_O!I20,tblTerritories_2014_N!I20,tblTerritories_2017!I20)="","",CHOOSE($B$2,tblTerritories_2014_O!I20,tblTerritories_2014_N!I20,tblTerritories_2017!I20))</f>
        <v>Frankfurt</v>
      </c>
      <c r="J20" s="27" t="str">
        <f>IF(CHOOSE($B$2,tblTerritories_2014_O!J20,tblTerritories_2014_N!J20,tblTerritories_2017!J20)="","",CHOOSE($B$2,tblTerritories_2014_O!J20,tblTerritories_2014_N!J20,tblTerritories_2017!J20))</f>
        <v>Frankfurt</v>
      </c>
      <c r="K20" s="30">
        <f>IF(CHOOSE($B$2,tblTerritories_2014_O!K20,tblTerritories_2014_N!K20,tblTerritories_2017!K20)="","",CHOOSE($B$2,tblTerritories_2014_O!K20,tblTerritories_2014_N!K20,tblTerritories_2017!K20))</f>
        <v>0</v>
      </c>
      <c r="L20" s="31">
        <f>IF(CHOOSE($B$2,tblTerritories_2014_O!L20,tblTerritories_2014_N!L20,tblTerritories_2017!L20)="","",CHOOSE($B$2,tblTerritories_2014_O!L20,tblTerritories_2014_N!L20,tblTerritories_2017!L20))</f>
        <v>1</v>
      </c>
      <c r="M20" s="32" t="str">
        <f>IF(CHOOSE($B$2,tblTerritories_2014_O!M20,tblTerritories_2014_N!M20,tblTerritories_2017!M20)="","",CHOOSE($B$2,tblTerritories_2014_O!M20,tblTerritories_2014_N!M20,tblTerritories_2017!M20))</f>
        <v/>
      </c>
      <c r="N20" s="24" t="str">
        <f>IF(CHOOSE($B$2,tblTerritories_2014_O!N20,tblTerritories_2014_N!N20,tblTerritories_2017!N20)="","",CHOOSE($B$2,tblTerritories_2014_O!N20,tblTerritories_2014_N!N20,tblTerritories_2017!N20))</f>
        <v/>
      </c>
      <c r="O20" s="1" t="str">
        <f>IF(CHOOSE($B$2,tblTerritories_2014_O!O20,tblTerritories_2014_N!O20,tblTerritories_2017!O20)="","",CHOOSE($B$2,tblTerritories_2014_O!O20,tblTerritories_2014_N!O20,tblTerritories_2017!O20))</f>
        <v/>
      </c>
      <c r="P20" s="24">
        <f>IF(CHOOSE($B$2,tblTerritories_2014_O!P20,tblTerritories_2014_N!P20,tblTerritories_2017!P20)="","",CHOOSE($B$2,tblTerritories_2014_O!P20,tblTerritories_2014_N!P20,tblTerritories_2017!P20))</f>
        <v>1</v>
      </c>
      <c r="Q20" s="24"/>
      <c r="S20" s="38"/>
      <c r="AM20" s="1"/>
      <c r="AN20" s="1"/>
    </row>
    <row r="21" ht="15.75" spans="1:17">
      <c r="A21" s="1">
        <f>IF(CHOOSE($B$2,tblTerritories_2014_O!A21,tblTerritories_2014_N!A21,tblTerritories_2017!A21)="","",CHOOSE($B$2,tblTerritories_2014_O!A21,tblTerritories_2014_N!A21,tblTerritories_2017!A21))</f>
        <v>19</v>
      </c>
      <c r="B21" s="1" t="str">
        <f>IF(CHOOSE($B$2,tblTerritories_2014_O!B21,tblTerritories_2014_N!B21,tblTerritories_2017!B21)="","",CHOOSE($B$2,tblTerritories_2014_O!B21,tblTerritories_2014_N!B21,tblTerritories_2017!B21))</f>
        <v/>
      </c>
      <c r="C21" s="51" t="str">
        <f>IF(CHOOSE($B$2,tblTerritories_2014_O!C21,tblTerritories_2014_N!C21,tblTerritories_2017!C21)="","",CHOOSE($B$2,tblTerritories_2014_O!C21,tblTerritories_2014_N!C21,tblTerritories_2017!C21))</f>
        <v>Ho Chi Minh City</v>
      </c>
      <c r="D21" s="1">
        <f>IF(CHOOSE($B$2,tblTerritories_2014_O!D21,tblTerritories_2014_N!D21,tblTerritories_2017!D21)="","",CHOOSE($B$2,tblTerritories_2014_O!D21,tblTerritories_2014_N!D21,tblTerritories_2017!D21))</f>
        <v>1</v>
      </c>
      <c r="E21" s="1">
        <f>IF(CHOOSE($B$2,tblTerritories_2014_O!E21,tblTerritories_2014_N!E21,tblTerritories_2017!E21)="","",CHOOSE($B$2,tblTerritories_2014_O!E21,tblTerritories_2014_N!E21,tblTerritories_2017!E21))</f>
        <v>0</v>
      </c>
      <c r="F21" s="1">
        <f>IF(CHOOSE($B$2,tblTerritories_2014_O!F21,tblTerritories_2014_N!F21,tblTerritories_2017!F21)="","",CHOOSE($B$2,tblTerritories_2014_O!F21,tblTerritories_2014_N!F21,tblTerritories_2017!F21))</f>
        <v>1</v>
      </c>
      <c r="G21" s="1">
        <f>IF(CHOOSE($B$2,tblTerritories_2014_O!G21,tblTerritories_2014_N!G21,tblTerritories_2017!G21)="","",CHOOSE($B$2,tblTerritories_2014_O!G21,tblTerritories_2014_N!G21,tblTerritories_2017!G21))</f>
        <v>0</v>
      </c>
      <c r="H21" s="17">
        <f>IF(CHOOSE($B$2,tblTerritories_2014_O!H21,tblTerritories_2014_N!H21,tblTerritories_2017!H21)="","",CHOOSE($B$2,tblTerritories_2014_O!H21,tblTerritories_2014_N!H21,tblTerritories_2017!H21))</f>
        <v>1</v>
      </c>
      <c r="I21" s="1" t="str">
        <f>IF(CHOOSE($B$2,tblTerritories_2014_O!I21,tblTerritories_2014_N!I21,tblTerritories_2017!I21)="","",CHOOSE($B$2,tblTerritories_2014_O!I21,tblTerritories_2014_N!I21,tblTerritories_2017!I21))</f>
        <v>HoChiMinhCity</v>
      </c>
      <c r="J21" s="27" t="str">
        <f>IF(CHOOSE($B$2,tblTerritories_2014_O!J21,tblTerritories_2014_N!J21,tblTerritories_2017!J21)="","",CHOOSE($B$2,tblTerritories_2014_O!J21,tblTerritories_2014_N!J21,tblTerritories_2017!J21))</f>
        <v>Ho Chi Minh City</v>
      </c>
      <c r="K21" s="30">
        <f>IF(CHOOSE($B$2,tblTerritories_2014_O!K21,tblTerritories_2014_N!K21,tblTerritories_2017!K21)="","",CHOOSE($B$2,tblTerritories_2014_O!K21,tblTerritories_2014_N!K21,tblTerritories_2017!K21))</f>
        <v>0</v>
      </c>
      <c r="L21" s="31">
        <f>IF(CHOOSE($B$2,tblTerritories_2014_O!L21,tblTerritories_2014_N!L21,tblTerritories_2017!L21)="","",CHOOSE($B$2,tblTerritories_2014_O!L21,tblTerritories_2014_N!L21,tblTerritories_2017!L21))</f>
        <v>1</v>
      </c>
      <c r="M21" s="32" t="str">
        <f>IF(CHOOSE($B$2,tblTerritories_2014_O!M21,tblTerritories_2014_N!M21,tblTerritories_2017!M21)="","",CHOOSE($B$2,tblTerritories_2014_O!M21,tblTerritories_2014_N!M21,tblTerritories_2017!M21))</f>
        <v/>
      </c>
      <c r="N21" s="24" t="str">
        <f>IF(CHOOSE($B$2,tblTerritories_2014_O!N21,tblTerritories_2014_N!N21,tblTerritories_2017!N21)="","",CHOOSE($B$2,tblTerritories_2014_O!N21,tblTerritories_2014_N!N21,tblTerritories_2017!N21))</f>
        <v/>
      </c>
      <c r="O21" s="1" t="str">
        <f>IF(CHOOSE($B$2,tblTerritories_2014_O!O21,tblTerritories_2014_N!O21,tblTerritories_2017!O21)="","",CHOOSE($B$2,tblTerritories_2014_O!O21,tblTerritories_2014_N!O21,tblTerritories_2017!O21))</f>
        <v/>
      </c>
      <c r="P21" s="24">
        <f>IF(CHOOSE($B$2,tblTerritories_2014_O!P21,tblTerritories_2014_N!P21,tblTerritories_2017!P21)="","",CHOOSE($B$2,tblTerritories_2014_O!P21,tblTerritories_2014_N!P21,tblTerritories_2017!P21))</f>
        <v>8</v>
      </c>
      <c r="Q21" s="24"/>
    </row>
    <row r="22" ht="15.75" spans="1:17">
      <c r="A22" s="1">
        <f>IF(CHOOSE($B$2,tblTerritories_2014_O!A22,tblTerritories_2014_N!A22,tblTerritories_2017!A22)="","",CHOOSE($B$2,tblTerritories_2014_O!A22,tblTerritories_2014_N!A22,tblTerritories_2017!A22))</f>
        <v>20</v>
      </c>
      <c r="B22" s="1" t="str">
        <f>IF(CHOOSE($B$2,tblTerritories_2014_O!B22,tblTerritories_2014_N!B22,tblTerritories_2017!B22)="","",CHOOSE($B$2,tblTerritories_2014_O!B22,tblTerritories_2014_N!B22,tblTerritories_2017!B22))</f>
        <v/>
      </c>
      <c r="C22" s="51" t="str">
        <f>IF(CHOOSE($B$2,tblTerritories_2014_O!C22,tblTerritories_2014_N!C22,tblTerritories_2017!C22)="","",CHOOSE($B$2,tblTerritories_2014_O!C22,tblTerritories_2014_N!C22,tblTerritories_2017!C22))</f>
        <v>Hong Kong</v>
      </c>
      <c r="D22" s="1">
        <f>IF(CHOOSE($B$2,tblTerritories_2014_O!D22,tblTerritories_2014_N!D22,tblTerritories_2017!D22)="","",CHOOSE($B$2,tblTerritories_2014_O!D22,tblTerritories_2014_N!D22,tblTerritories_2017!D22))</f>
        <v>1</v>
      </c>
      <c r="E22" s="1">
        <f>IF(CHOOSE($B$2,tblTerritories_2014_O!E22,tblTerritories_2014_N!E22,tblTerritories_2017!E22)="","",CHOOSE($B$2,tblTerritories_2014_O!E22,tblTerritories_2014_N!E22,tblTerritories_2017!E22))</f>
        <v>0</v>
      </c>
      <c r="F22" s="1">
        <f>IF(CHOOSE($B$2,tblTerritories_2014_O!F22,tblTerritories_2014_N!F22,tblTerritories_2017!F22)="","",CHOOSE($B$2,tblTerritories_2014_O!F22,tblTerritories_2014_N!F22,tblTerritories_2017!F22))</f>
        <v>1</v>
      </c>
      <c r="G22" s="1">
        <f>IF(CHOOSE($B$2,tblTerritories_2014_O!G22,tblTerritories_2014_N!G22,tblTerritories_2017!G22)="","",CHOOSE($B$2,tblTerritories_2014_O!G22,tblTerritories_2014_N!G22,tblTerritories_2017!G22))</f>
        <v>0</v>
      </c>
      <c r="H22" s="17">
        <f>IF(CHOOSE($B$2,tblTerritories_2014_O!H22,tblTerritories_2014_N!H22,tblTerritories_2017!H22)="","",CHOOSE($B$2,tblTerritories_2014_O!H22,tblTerritories_2014_N!H22,tblTerritories_2017!H22))</f>
        <v>1</v>
      </c>
      <c r="I22" s="1" t="str">
        <f>IF(CHOOSE($B$2,tblTerritories_2014_O!I22,tblTerritories_2014_N!I22,tblTerritories_2017!I22)="","",CHOOSE($B$2,tblTerritories_2014_O!I22,tblTerritories_2014_N!I22,tblTerritories_2017!I22))</f>
        <v>HongKong</v>
      </c>
      <c r="J22" s="27" t="str">
        <f>IF(CHOOSE($B$2,tblTerritories_2014_O!J22,tblTerritories_2014_N!J22,tblTerritories_2017!J22)="","",CHOOSE($B$2,tblTerritories_2014_O!J22,tblTerritories_2014_N!J22,tblTerritories_2017!J22))</f>
        <v>Hong Kong</v>
      </c>
      <c r="K22" s="30">
        <f>IF(CHOOSE($B$2,tblTerritories_2014_O!K22,tblTerritories_2014_N!K22,tblTerritories_2017!K22)="","",CHOOSE($B$2,tblTerritories_2014_O!K22,tblTerritories_2014_N!K22,tblTerritories_2017!K22))</f>
        <v>0</v>
      </c>
      <c r="L22" s="31">
        <f>IF(CHOOSE($B$2,tblTerritories_2014_O!L22,tblTerritories_2014_N!L22,tblTerritories_2017!L22)="","",CHOOSE($B$2,tblTerritories_2014_O!L22,tblTerritories_2014_N!L22,tblTerritories_2017!L22))</f>
        <v>1</v>
      </c>
      <c r="M22" s="32" t="str">
        <f>IF(CHOOSE($B$2,tblTerritories_2014_O!M22,tblTerritories_2014_N!M22,tblTerritories_2017!M22)="","",CHOOSE($B$2,tblTerritories_2014_O!M22,tblTerritories_2014_N!M22,tblTerritories_2017!M22))</f>
        <v/>
      </c>
      <c r="N22" s="24" t="str">
        <f>IF(CHOOSE($B$2,tblTerritories_2014_O!N22,tblTerritories_2014_N!N22,tblTerritories_2017!N22)="","",CHOOSE($B$2,tblTerritories_2014_O!N22,tblTerritories_2014_N!N22,tblTerritories_2017!N22))</f>
        <v/>
      </c>
      <c r="O22" s="1" t="str">
        <f>IF(CHOOSE($B$2,tblTerritories_2014_O!O22,tblTerritories_2014_N!O22,tblTerritories_2017!O22)="","",CHOOSE($B$2,tblTerritories_2014_O!O22,tblTerritories_2014_N!O22,tblTerritories_2017!O22))</f>
        <v/>
      </c>
      <c r="P22" s="24">
        <f>IF(CHOOSE($B$2,tblTerritories_2014_O!P22,tblTerritories_2014_N!P22,tblTerritories_2017!P22)="","",CHOOSE($B$2,tblTerritories_2014_O!P22,tblTerritories_2014_N!P22,tblTerritories_2017!P22))</f>
        <v>5</v>
      </c>
      <c r="Q22" s="24"/>
    </row>
    <row r="23" ht="15.75" spans="1:17">
      <c r="A23" s="1">
        <f>IF(CHOOSE($B$2,tblTerritories_2014_O!A23,tblTerritories_2014_N!A23,tblTerritories_2017!A23)="","",CHOOSE($B$2,tblTerritories_2014_O!A23,tblTerritories_2014_N!A23,tblTerritories_2017!A23))</f>
        <v>21</v>
      </c>
      <c r="B23" s="1" t="str">
        <f>IF(CHOOSE($B$2,tblTerritories_2014_O!B23,tblTerritories_2014_N!B23,tblTerritories_2017!B23)="","",CHOOSE($B$2,tblTerritories_2014_O!B23,tblTerritories_2014_N!B23,tblTerritories_2017!B23))</f>
        <v/>
      </c>
      <c r="C23" s="51" t="str">
        <f>IF(CHOOSE($B$2,tblTerritories_2014_O!C23,tblTerritories_2014_N!C23,tblTerritories_2017!C23)="","",CHOOSE($B$2,tblTerritories_2014_O!C23,tblTerritories_2014_N!C23,tblTerritories_2017!C23))</f>
        <v>Istanbul</v>
      </c>
      <c r="D23" s="1">
        <f>IF(CHOOSE($B$2,tblTerritories_2014_O!D23,tblTerritories_2014_N!D23,tblTerritories_2017!D23)="","",CHOOSE($B$2,tblTerritories_2014_O!D23,tblTerritories_2014_N!D23,tblTerritories_2017!D23))</f>
        <v>1</v>
      </c>
      <c r="E23" s="1">
        <f>IF(CHOOSE($B$2,tblTerritories_2014_O!E23,tblTerritories_2014_N!E23,tblTerritories_2017!E23)="","",CHOOSE($B$2,tblTerritories_2014_O!E23,tblTerritories_2014_N!E23,tblTerritories_2017!E23))</f>
        <v>0</v>
      </c>
      <c r="F23" s="1">
        <f>IF(CHOOSE($B$2,tblTerritories_2014_O!F23,tblTerritories_2014_N!F23,tblTerritories_2017!F23)="","",CHOOSE($B$2,tblTerritories_2014_O!F23,tblTerritories_2014_N!F23,tblTerritories_2017!F23))</f>
        <v>1</v>
      </c>
      <c r="G23" s="1">
        <f>IF(CHOOSE($B$2,tblTerritories_2014_O!G23,tblTerritories_2014_N!G23,tblTerritories_2017!G23)="","",CHOOSE($B$2,tblTerritories_2014_O!G23,tblTerritories_2014_N!G23,tblTerritories_2017!G23))</f>
        <v>0</v>
      </c>
      <c r="H23" s="17">
        <f>IF(CHOOSE($B$2,tblTerritories_2014_O!H23,tblTerritories_2014_N!H23,tblTerritories_2017!H23)="","",CHOOSE($B$2,tblTerritories_2014_O!H23,tblTerritories_2014_N!H23,tblTerritories_2017!H23))</f>
        <v>1</v>
      </c>
      <c r="I23" s="1" t="str">
        <f>IF(CHOOSE($B$2,tblTerritories_2014_O!I23,tblTerritories_2014_N!I23,tblTerritories_2017!I23)="","",CHOOSE($B$2,tblTerritories_2014_O!I23,tblTerritories_2014_N!I23,tblTerritories_2017!I23))</f>
        <v>Istanbul</v>
      </c>
      <c r="J23" s="27" t="str">
        <f>IF(CHOOSE($B$2,tblTerritories_2014_O!J23,tblTerritories_2014_N!J23,tblTerritories_2017!J23)="","",CHOOSE($B$2,tblTerritories_2014_O!J23,tblTerritories_2014_N!J23,tblTerritories_2017!J23))</f>
        <v>Istanbul</v>
      </c>
      <c r="K23" s="30">
        <f>IF(CHOOSE($B$2,tblTerritories_2014_O!K23,tblTerritories_2014_N!K23,tblTerritories_2017!K23)="","",CHOOSE($B$2,tblTerritories_2014_O!K23,tblTerritories_2014_N!K23,tblTerritories_2017!K23))</f>
        <v>0</v>
      </c>
      <c r="L23" s="31">
        <f>IF(CHOOSE($B$2,tblTerritories_2014_O!L23,tblTerritories_2014_N!L23,tblTerritories_2017!L23)="","",CHOOSE($B$2,tblTerritories_2014_O!L23,tblTerritories_2014_N!L23,tblTerritories_2017!L23))</f>
        <v>1</v>
      </c>
      <c r="M23" s="32" t="str">
        <f>IF(CHOOSE($B$2,tblTerritories_2014_O!M23,tblTerritories_2014_N!M23,tblTerritories_2017!M23)="","",CHOOSE($B$2,tblTerritories_2014_O!M23,tblTerritories_2014_N!M23,tblTerritories_2017!M23))</f>
        <v/>
      </c>
      <c r="N23" s="24" t="str">
        <f>IF(CHOOSE($B$2,tblTerritories_2014_O!N23,tblTerritories_2014_N!N23,tblTerritories_2017!N23)="","",CHOOSE($B$2,tblTerritories_2014_O!N23,tblTerritories_2014_N!N23,tblTerritories_2017!N23))</f>
        <v/>
      </c>
      <c r="O23" s="1" t="str">
        <f>IF(CHOOSE($B$2,tblTerritories_2014_O!O23,tblTerritories_2014_N!O23,tblTerritories_2017!O23)="","",CHOOSE($B$2,tblTerritories_2014_O!O23,tblTerritories_2014_N!O23,tblTerritories_2017!O23))</f>
        <v/>
      </c>
      <c r="P23" s="24">
        <f>IF(CHOOSE($B$2,tblTerritories_2014_O!P23,tblTerritories_2014_N!P23,tblTerritories_2017!P23)="","",CHOOSE($B$2,tblTerritories_2014_O!P23,tblTerritories_2014_N!P23,tblTerritories_2017!P23))</f>
        <v>1</v>
      </c>
      <c r="Q23" s="24"/>
    </row>
    <row r="24" ht="15.75" spans="1:17">
      <c r="A24" s="1">
        <f>IF(CHOOSE($B$2,tblTerritories_2014_O!A24,tblTerritories_2014_N!A24,tblTerritories_2017!A24)="","",CHOOSE($B$2,tblTerritories_2014_O!A24,tblTerritories_2014_N!A24,tblTerritories_2017!A24))</f>
        <v>22</v>
      </c>
      <c r="B24" s="1" t="str">
        <f>IF(CHOOSE($B$2,tblTerritories_2014_O!B24,tblTerritories_2014_N!B24,tblTerritories_2017!B24)="","",CHOOSE($B$2,tblTerritories_2014_O!B24,tblTerritories_2014_N!B24,tblTerritories_2017!B24))</f>
        <v/>
      </c>
      <c r="C24" s="51" t="str">
        <f>IF(CHOOSE($B$2,tblTerritories_2014_O!C24,tblTerritories_2014_N!C24,tblTerritories_2017!C24)="","",CHOOSE($B$2,tblTerritories_2014_O!C24,tblTerritories_2014_N!C24,tblTerritories_2017!C24))</f>
        <v>Jakarta</v>
      </c>
      <c r="D24" s="1">
        <f>IF(CHOOSE($B$2,tblTerritories_2014_O!D24,tblTerritories_2014_N!D24,tblTerritories_2017!D24)="","",CHOOSE($B$2,tblTerritories_2014_O!D24,tblTerritories_2014_N!D24,tblTerritories_2017!D24))</f>
        <v>1</v>
      </c>
      <c r="E24" s="1">
        <f>IF(CHOOSE($B$2,tblTerritories_2014_O!E24,tblTerritories_2014_N!E24,tblTerritories_2017!E24)="","",CHOOSE($B$2,tblTerritories_2014_O!E24,tblTerritories_2014_N!E24,tblTerritories_2017!E24))</f>
        <v>0</v>
      </c>
      <c r="F24" s="1">
        <f>IF(CHOOSE($B$2,tblTerritories_2014_O!F24,tblTerritories_2014_N!F24,tblTerritories_2017!F24)="","",CHOOSE($B$2,tblTerritories_2014_O!F24,tblTerritories_2014_N!F24,tblTerritories_2017!F24))</f>
        <v>1</v>
      </c>
      <c r="G24" s="1">
        <f>IF(CHOOSE($B$2,tblTerritories_2014_O!G24,tblTerritories_2014_N!G24,tblTerritories_2017!G24)="","",CHOOSE($B$2,tblTerritories_2014_O!G24,tblTerritories_2014_N!G24,tblTerritories_2017!G24))</f>
        <v>0</v>
      </c>
      <c r="H24" s="17">
        <f>IF(CHOOSE($B$2,tblTerritories_2014_O!H24,tblTerritories_2014_N!H24,tblTerritories_2017!H24)="","",CHOOSE($B$2,tblTerritories_2014_O!H24,tblTerritories_2014_N!H24,tblTerritories_2017!H24))</f>
        <v>1</v>
      </c>
      <c r="I24" s="1" t="str">
        <f>IF(CHOOSE($B$2,tblTerritories_2014_O!I24,tblTerritories_2014_N!I24,tblTerritories_2017!I24)="","",CHOOSE($B$2,tblTerritories_2014_O!I24,tblTerritories_2014_N!I24,tblTerritories_2017!I24))</f>
        <v>Jakarta</v>
      </c>
      <c r="J24" s="27" t="str">
        <f>IF(CHOOSE($B$2,tblTerritories_2014_O!J24,tblTerritories_2014_N!J24,tblTerritories_2017!J24)="","",CHOOSE($B$2,tblTerritories_2014_O!J24,tblTerritories_2014_N!J24,tblTerritories_2017!J24))</f>
        <v>Jakarta</v>
      </c>
      <c r="K24" s="30">
        <f>IF(CHOOSE($B$2,tblTerritories_2014_O!K24,tblTerritories_2014_N!K24,tblTerritories_2017!K24)="","",CHOOSE($B$2,tblTerritories_2014_O!K24,tblTerritories_2014_N!K24,tblTerritories_2017!K24))</f>
        <v>0</v>
      </c>
      <c r="L24" s="31">
        <f>IF(CHOOSE($B$2,tblTerritories_2014_O!L24,tblTerritories_2014_N!L24,tblTerritories_2017!L24)="","",CHOOSE($B$2,tblTerritories_2014_O!L24,tblTerritories_2014_N!L24,tblTerritories_2017!L24))</f>
        <v>1</v>
      </c>
      <c r="M24" s="32" t="str">
        <f>IF(CHOOSE($B$2,tblTerritories_2014_O!M24,tblTerritories_2014_N!M24,tblTerritories_2017!M24)="","",CHOOSE($B$2,tblTerritories_2014_O!M24,tblTerritories_2014_N!M24,tblTerritories_2017!M24))</f>
        <v/>
      </c>
      <c r="N24" s="24" t="str">
        <f>IF(CHOOSE($B$2,tblTerritories_2014_O!N24,tblTerritories_2014_N!N24,tblTerritories_2017!N24)="","",CHOOSE($B$2,tblTerritories_2014_O!N24,tblTerritories_2014_N!N24,tblTerritories_2017!N24))</f>
        <v/>
      </c>
      <c r="O24" s="1" t="str">
        <f>IF(CHOOSE($B$2,tblTerritories_2014_O!O24,tblTerritories_2014_N!O24,tblTerritories_2017!O24)="","",CHOOSE($B$2,tblTerritories_2014_O!O24,tblTerritories_2014_N!O24,tblTerritories_2017!O24))</f>
        <v/>
      </c>
      <c r="P24" s="24">
        <f>IF(CHOOSE($B$2,tblTerritories_2014_O!P24,tblTerritories_2014_N!P24,tblTerritories_2017!P24)="","",CHOOSE($B$2,tblTerritories_2014_O!P24,tblTerritories_2014_N!P24,tblTerritories_2017!P24))</f>
        <v>7</v>
      </c>
      <c r="Q24" s="24"/>
    </row>
    <row r="25" ht="15.75" spans="1:17">
      <c r="A25" s="1">
        <f>IF(CHOOSE($B$2,tblTerritories_2014_O!A25,tblTerritories_2014_N!A25,tblTerritories_2017!A25)="","",CHOOSE($B$2,tblTerritories_2014_O!A25,tblTerritories_2014_N!A25,tblTerritories_2017!A25))</f>
        <v>23</v>
      </c>
      <c r="B25" s="1" t="str">
        <f>IF(CHOOSE($B$2,tblTerritories_2014_O!B25,tblTerritories_2014_N!B25,tblTerritories_2017!B25)="","",CHOOSE($B$2,tblTerritories_2014_O!B25,tblTerritories_2014_N!B25,tblTerritories_2017!B25))</f>
        <v/>
      </c>
      <c r="C25" s="51" t="str">
        <f>IF(CHOOSE($B$2,tblTerritories_2014_O!C25,tblTerritories_2014_N!C25,tblTerritories_2017!C25)="","",CHOOSE($B$2,tblTerritories_2014_O!C25,tblTerritories_2014_N!C25,tblTerritories_2017!C25))</f>
        <v>Jeddah</v>
      </c>
      <c r="D25" s="1">
        <f>IF(CHOOSE($B$2,tblTerritories_2014_O!D25,tblTerritories_2014_N!D25,tblTerritories_2017!D25)="","",CHOOSE($B$2,tblTerritories_2014_O!D25,tblTerritories_2014_N!D25,tblTerritories_2017!D25))</f>
        <v>1</v>
      </c>
      <c r="E25" s="1">
        <f>IF(CHOOSE($B$2,tblTerritories_2014_O!E25,tblTerritories_2014_N!E25,tblTerritories_2017!E25)="","",CHOOSE($B$2,tblTerritories_2014_O!E25,tblTerritories_2014_N!E25,tblTerritories_2017!E25))</f>
        <v>0</v>
      </c>
      <c r="F25" s="1">
        <f>IF(CHOOSE($B$2,tblTerritories_2014_O!F25,tblTerritories_2014_N!F25,tblTerritories_2017!F25)="","",CHOOSE($B$2,tblTerritories_2014_O!F25,tblTerritories_2014_N!F25,tblTerritories_2017!F25))</f>
        <v>1</v>
      </c>
      <c r="G25" s="1">
        <f>IF(CHOOSE($B$2,tblTerritories_2014_O!G25,tblTerritories_2014_N!G25,tblTerritories_2017!G25)="","",CHOOSE($B$2,tblTerritories_2014_O!G25,tblTerritories_2014_N!G25,tblTerritories_2017!G25))</f>
        <v>0</v>
      </c>
      <c r="H25" s="17">
        <f>IF(CHOOSE($B$2,tblTerritories_2014_O!H25,tblTerritories_2014_N!H25,tblTerritories_2017!H25)="","",CHOOSE($B$2,tblTerritories_2014_O!H25,tblTerritories_2014_N!H25,tblTerritories_2017!H25))</f>
        <v>1</v>
      </c>
      <c r="I25" s="1" t="str">
        <f>IF(CHOOSE($B$2,tblTerritories_2014_O!I25,tblTerritories_2014_N!I25,tblTerritories_2017!I25)="","",CHOOSE($B$2,tblTerritories_2014_O!I25,tblTerritories_2014_N!I25,tblTerritories_2017!I25))</f>
        <v>Jeddah</v>
      </c>
      <c r="J25" s="27" t="str">
        <f>IF(CHOOSE($B$2,tblTerritories_2014_O!J25,tblTerritories_2014_N!J25,tblTerritories_2017!J25)="","",CHOOSE($B$2,tblTerritories_2014_O!J25,tblTerritories_2014_N!J25,tblTerritories_2017!J25))</f>
        <v>Jeddah</v>
      </c>
      <c r="K25" s="30">
        <f>IF(CHOOSE($B$2,tblTerritories_2014_O!K25,tblTerritories_2014_N!K25,tblTerritories_2017!K25)="","",CHOOSE($B$2,tblTerritories_2014_O!K25,tblTerritories_2014_N!K25,tblTerritories_2017!K25))</f>
        <v>0</v>
      </c>
      <c r="L25" s="31">
        <f>IF(CHOOSE($B$2,tblTerritories_2014_O!L25,tblTerritories_2014_N!L25,tblTerritories_2017!L25)="","",CHOOSE($B$2,tblTerritories_2014_O!L25,tblTerritories_2014_N!L25,tblTerritories_2017!L25))</f>
        <v>1</v>
      </c>
      <c r="M25" s="32" t="str">
        <f>IF(CHOOSE($B$2,tblTerritories_2014_O!M25,tblTerritories_2014_N!M25,tblTerritories_2017!M25)="","",CHOOSE($B$2,tblTerritories_2014_O!M25,tblTerritories_2014_N!M25,tblTerritories_2017!M25))</f>
        <v/>
      </c>
      <c r="N25" s="24" t="str">
        <f>IF(CHOOSE($B$2,tblTerritories_2014_O!N25,tblTerritories_2014_N!N25,tblTerritories_2017!N25)="","",CHOOSE($B$2,tblTerritories_2014_O!N25,tblTerritories_2014_N!N25,tblTerritories_2017!N25))</f>
        <v/>
      </c>
      <c r="O25" s="1" t="str">
        <f>IF(CHOOSE($B$2,tblTerritories_2014_O!O25,tblTerritories_2014_N!O25,tblTerritories_2017!O25)="","",CHOOSE($B$2,tblTerritories_2014_O!O25,tblTerritories_2014_N!O25,tblTerritories_2017!O25))</f>
        <v/>
      </c>
      <c r="P25" s="24">
        <f>IF(CHOOSE($B$2,tblTerritories_2014_O!P25,tblTerritories_2014_N!P25,tblTerritories_2017!P25)="","",CHOOSE($B$2,tblTerritories_2014_O!P25,tblTerritories_2014_N!P25,tblTerritories_2017!P25))</f>
        <v>3</v>
      </c>
      <c r="Q25" s="24"/>
    </row>
    <row r="26" ht="15.75" spans="1:17">
      <c r="A26" s="1">
        <f>IF(CHOOSE($B$2,tblTerritories_2014_O!A26,tblTerritories_2014_N!A26,tblTerritories_2017!A26)="","",CHOOSE($B$2,tblTerritories_2014_O!A26,tblTerritories_2014_N!A26,tblTerritories_2017!A26))</f>
        <v>24</v>
      </c>
      <c r="B26" s="1" t="str">
        <f>IF(CHOOSE($B$2,tblTerritories_2014_O!B26,tblTerritories_2014_N!B26,tblTerritories_2017!B26)="","",CHOOSE($B$2,tblTerritories_2014_O!B26,tblTerritories_2014_N!B26,tblTerritories_2017!B26))</f>
        <v/>
      </c>
      <c r="C26" s="51" t="str">
        <f>IF(CHOOSE($B$2,tblTerritories_2014_O!C26,tblTerritories_2014_N!C26,tblTerritories_2017!C26)="","",CHOOSE($B$2,tblTerritories_2014_O!C26,tblTerritories_2014_N!C26,tblTerritories_2017!C26))</f>
        <v>Johannesburg</v>
      </c>
      <c r="D26" s="1">
        <f>IF(CHOOSE($B$2,tblTerritories_2014_O!D26,tblTerritories_2014_N!D26,tblTerritories_2017!D26)="","",CHOOSE($B$2,tblTerritories_2014_O!D26,tblTerritories_2014_N!D26,tblTerritories_2017!D26))</f>
        <v>1</v>
      </c>
      <c r="E26" s="1">
        <f>IF(CHOOSE($B$2,tblTerritories_2014_O!E26,tblTerritories_2014_N!E26,tblTerritories_2017!E26)="","",CHOOSE($B$2,tblTerritories_2014_O!E26,tblTerritories_2014_N!E26,tblTerritories_2017!E26))</f>
        <v>0</v>
      </c>
      <c r="F26" s="1">
        <f>IF(CHOOSE($B$2,tblTerritories_2014_O!F26,tblTerritories_2014_N!F26,tblTerritories_2017!F26)="","",CHOOSE($B$2,tblTerritories_2014_O!F26,tblTerritories_2014_N!F26,tblTerritories_2017!F26))</f>
        <v>1</v>
      </c>
      <c r="G26" s="1">
        <f>IF(CHOOSE($B$2,tblTerritories_2014_O!G26,tblTerritories_2014_N!G26,tblTerritories_2017!G26)="","",CHOOSE($B$2,tblTerritories_2014_O!G26,tblTerritories_2014_N!G26,tblTerritories_2017!G26))</f>
        <v>0</v>
      </c>
      <c r="H26" s="17">
        <f>IF(CHOOSE($B$2,tblTerritories_2014_O!H26,tblTerritories_2014_N!H26,tblTerritories_2017!H26)="","",CHOOSE($B$2,tblTerritories_2014_O!H26,tblTerritories_2014_N!H26,tblTerritories_2017!H26))</f>
        <v>1</v>
      </c>
      <c r="I26" s="1" t="str">
        <f>IF(CHOOSE($B$2,tblTerritories_2014_O!I26,tblTerritories_2014_N!I26,tblTerritories_2017!I26)="","",CHOOSE($B$2,tblTerritories_2014_O!I26,tblTerritories_2014_N!I26,tblTerritories_2017!I26))</f>
        <v>Johannesburg</v>
      </c>
      <c r="J26" s="27" t="str">
        <f>IF(CHOOSE($B$2,tblTerritories_2014_O!J26,tblTerritories_2014_N!J26,tblTerritories_2017!J26)="","",CHOOSE($B$2,tblTerritories_2014_O!J26,tblTerritories_2014_N!J26,tblTerritories_2017!J26))</f>
        <v>Johannesburg</v>
      </c>
      <c r="K26" s="30">
        <f>IF(CHOOSE($B$2,tblTerritories_2014_O!K26,tblTerritories_2014_N!K26,tblTerritories_2017!K26)="","",CHOOSE($B$2,tblTerritories_2014_O!K26,tblTerritories_2014_N!K26,tblTerritories_2017!K26))</f>
        <v>0</v>
      </c>
      <c r="L26" s="31">
        <f>IF(CHOOSE($B$2,tblTerritories_2014_O!L26,tblTerritories_2014_N!L26,tblTerritories_2017!L26)="","",CHOOSE($B$2,tblTerritories_2014_O!L26,tblTerritories_2014_N!L26,tblTerritories_2017!L26))</f>
        <v>1</v>
      </c>
      <c r="M26" s="32" t="str">
        <f>IF(CHOOSE($B$2,tblTerritories_2014_O!M26,tblTerritories_2014_N!M26,tblTerritories_2017!M26)="","",CHOOSE($B$2,tblTerritories_2014_O!M26,tblTerritories_2014_N!M26,tblTerritories_2017!M26))</f>
        <v/>
      </c>
      <c r="N26" s="24" t="str">
        <f>IF(CHOOSE($B$2,tblTerritories_2014_O!N26,tblTerritories_2014_N!N26,tblTerritories_2017!N26)="","",CHOOSE($B$2,tblTerritories_2014_O!N26,tblTerritories_2014_N!N26,tblTerritories_2017!N26))</f>
        <v/>
      </c>
      <c r="O26" s="1" t="str">
        <f>IF(CHOOSE($B$2,tblTerritories_2014_O!O26,tblTerritories_2014_N!O26,tblTerritories_2017!O26)="","",CHOOSE($B$2,tblTerritories_2014_O!O26,tblTerritories_2014_N!O26,tblTerritories_2017!O26))</f>
        <v/>
      </c>
      <c r="P26" s="24">
        <f>IF(CHOOSE($B$2,tblTerritories_2014_O!P26,tblTerritories_2014_N!P26,tblTerritories_2017!P26)="","",CHOOSE($B$2,tblTerritories_2014_O!P26,tblTerritories_2014_N!P26,tblTerritories_2017!P26))</f>
        <v>3</v>
      </c>
      <c r="Q26" s="24"/>
    </row>
    <row r="27" ht="15.75" spans="1:17">
      <c r="A27" s="1">
        <f>IF(CHOOSE($B$2,tblTerritories_2014_O!A27,tblTerritories_2014_N!A27,tblTerritories_2017!A27)="","",CHOOSE($B$2,tblTerritories_2014_O!A27,tblTerritories_2014_N!A27,tblTerritories_2017!A27))</f>
        <v>25</v>
      </c>
      <c r="B27" s="1" t="str">
        <f>IF(CHOOSE($B$2,tblTerritories_2014_O!B27,tblTerritories_2014_N!B27,tblTerritories_2017!B27)="","",CHOOSE($B$2,tblTerritories_2014_O!B27,tblTerritories_2014_N!B27,tblTerritories_2017!B27))</f>
        <v/>
      </c>
      <c r="C27" s="51" t="str">
        <f>IF(CHOOSE($B$2,tblTerritories_2014_O!C27,tblTerritories_2014_N!C27,tblTerritories_2017!C27)="","",CHOOSE($B$2,tblTerritories_2014_O!C27,tblTerritories_2014_N!C27,tblTerritories_2017!C27))</f>
        <v>Karachi</v>
      </c>
      <c r="D27" s="1">
        <f>IF(CHOOSE($B$2,tblTerritories_2014_O!D27,tblTerritories_2014_N!D27,tblTerritories_2017!D27)="","",CHOOSE($B$2,tblTerritories_2014_O!D27,tblTerritories_2014_N!D27,tblTerritories_2017!D27))</f>
        <v>1</v>
      </c>
      <c r="E27" s="1">
        <f>IF(CHOOSE($B$2,tblTerritories_2014_O!E27,tblTerritories_2014_N!E27,tblTerritories_2017!E27)="","",CHOOSE($B$2,tblTerritories_2014_O!E27,tblTerritories_2014_N!E27,tblTerritories_2017!E27))</f>
        <v>0</v>
      </c>
      <c r="F27" s="1">
        <f>IF(CHOOSE($B$2,tblTerritories_2014_O!F27,tblTerritories_2014_N!F27,tblTerritories_2017!F27)="","",CHOOSE($B$2,tblTerritories_2014_O!F27,tblTerritories_2014_N!F27,tblTerritories_2017!F27))</f>
        <v>1</v>
      </c>
      <c r="G27" s="1">
        <f>IF(CHOOSE($B$2,tblTerritories_2014_O!G27,tblTerritories_2014_N!G27,tblTerritories_2017!G27)="","",CHOOSE($B$2,tblTerritories_2014_O!G27,tblTerritories_2014_N!G27,tblTerritories_2017!G27))</f>
        <v>0</v>
      </c>
      <c r="H27" s="17">
        <f>IF(CHOOSE($B$2,tblTerritories_2014_O!H27,tblTerritories_2014_N!H27,tblTerritories_2017!H27)="","",CHOOSE($B$2,tblTerritories_2014_O!H27,tblTerritories_2014_N!H27,tblTerritories_2017!H27))</f>
        <v>1</v>
      </c>
      <c r="I27" s="1" t="str">
        <f>IF(CHOOSE($B$2,tblTerritories_2014_O!I27,tblTerritories_2014_N!I27,tblTerritories_2017!I27)="","",CHOOSE($B$2,tblTerritories_2014_O!I27,tblTerritories_2014_N!I27,tblTerritories_2017!I27))</f>
        <v>Karachi</v>
      </c>
      <c r="J27" s="27" t="str">
        <f>IF(CHOOSE($B$2,tblTerritories_2014_O!J27,tblTerritories_2014_N!J27,tblTerritories_2017!J27)="","",CHOOSE($B$2,tblTerritories_2014_O!J27,tblTerritories_2014_N!J27,tblTerritories_2017!J27))</f>
        <v>Karachi</v>
      </c>
      <c r="K27" s="30">
        <f>IF(CHOOSE($B$2,tblTerritories_2014_O!K27,tblTerritories_2014_N!K27,tblTerritories_2017!K27)="","",CHOOSE($B$2,tblTerritories_2014_O!K27,tblTerritories_2014_N!K27,tblTerritories_2017!K27))</f>
        <v>0</v>
      </c>
      <c r="L27" s="31">
        <f>IF(CHOOSE($B$2,tblTerritories_2014_O!L27,tblTerritories_2014_N!L27,tblTerritories_2017!L27)="","",CHOOSE($B$2,tblTerritories_2014_O!L27,tblTerritories_2014_N!L27,tblTerritories_2017!L27))</f>
        <v>1</v>
      </c>
      <c r="M27" s="32" t="str">
        <f>IF(CHOOSE($B$2,tblTerritories_2014_O!M27,tblTerritories_2014_N!M27,tblTerritories_2017!M27)="","",CHOOSE($B$2,tblTerritories_2014_O!M27,tblTerritories_2014_N!M27,tblTerritories_2017!M27))</f>
        <v/>
      </c>
      <c r="N27" s="24" t="str">
        <f>IF(CHOOSE($B$2,tblTerritories_2014_O!N27,tblTerritories_2014_N!N27,tblTerritories_2017!N27)="","",CHOOSE($B$2,tblTerritories_2014_O!N27,tblTerritories_2014_N!N27,tblTerritories_2017!N27))</f>
        <v/>
      </c>
      <c r="O27" s="1" t="str">
        <f>IF(CHOOSE($B$2,tblTerritories_2014_O!O27,tblTerritories_2014_N!O27,tblTerritories_2017!O27)="","",CHOOSE($B$2,tblTerritories_2014_O!O27,tblTerritories_2014_N!O27,tblTerritories_2017!O27))</f>
        <v/>
      </c>
      <c r="P27" s="24">
        <f>IF(CHOOSE($B$2,tblTerritories_2014_O!P27,tblTerritories_2014_N!P27,tblTerritories_2017!P27)="","",CHOOSE($B$2,tblTerritories_2014_O!P27,tblTerritories_2014_N!P27,tblTerritories_2017!P27))</f>
        <v>8</v>
      </c>
      <c r="Q27" s="24"/>
    </row>
    <row r="28" ht="15.75" spans="1:17">
      <c r="A28" s="1">
        <f>IF(CHOOSE($B$2,tblTerritories_2014_O!A28,tblTerritories_2014_N!A28,tblTerritories_2017!A28)="","",CHOOSE($B$2,tblTerritories_2014_O!A28,tblTerritories_2014_N!A28,tblTerritories_2017!A28))</f>
        <v>26</v>
      </c>
      <c r="B28" s="1" t="str">
        <f>IF(CHOOSE($B$2,tblTerritories_2014_O!B28,tblTerritories_2014_N!B28,tblTerritories_2017!B28)="","",CHOOSE($B$2,tblTerritories_2014_O!B28,tblTerritories_2014_N!B28,tblTerritories_2017!B28))</f>
        <v/>
      </c>
      <c r="C28" s="51" t="str">
        <f>IF(CHOOSE($B$2,tblTerritories_2014_O!C28,tblTerritories_2014_N!C28,tblTerritories_2017!C28)="","",CHOOSE($B$2,tblTerritories_2014_O!C28,tblTerritories_2014_N!C28,tblTerritories_2017!C28))</f>
        <v>Kuala Lumpur</v>
      </c>
      <c r="D28" s="1">
        <f>IF(CHOOSE($B$2,tblTerritories_2014_O!D28,tblTerritories_2014_N!D28,tblTerritories_2017!D28)="","",CHOOSE($B$2,tblTerritories_2014_O!D28,tblTerritories_2014_N!D28,tblTerritories_2017!D28))</f>
        <v>1</v>
      </c>
      <c r="E28" s="1">
        <f>IF(CHOOSE($B$2,tblTerritories_2014_O!E28,tblTerritories_2014_N!E28,tblTerritories_2017!E28)="","",CHOOSE($B$2,tblTerritories_2014_O!E28,tblTerritories_2014_N!E28,tblTerritories_2017!E28))</f>
        <v>0</v>
      </c>
      <c r="F28" s="1">
        <f>IF(CHOOSE($B$2,tblTerritories_2014_O!F28,tblTerritories_2014_N!F28,tblTerritories_2017!F28)="","",CHOOSE($B$2,tblTerritories_2014_O!F28,tblTerritories_2014_N!F28,tblTerritories_2017!F28))</f>
        <v>1</v>
      </c>
      <c r="G28" s="1">
        <f>IF(CHOOSE($B$2,tblTerritories_2014_O!G28,tblTerritories_2014_N!G28,tblTerritories_2017!G28)="","",CHOOSE($B$2,tblTerritories_2014_O!G28,tblTerritories_2014_N!G28,tblTerritories_2017!G28))</f>
        <v>0</v>
      </c>
      <c r="H28" s="17">
        <f>IF(CHOOSE($B$2,tblTerritories_2014_O!H28,tblTerritories_2014_N!H28,tblTerritories_2017!H28)="","",CHOOSE($B$2,tblTerritories_2014_O!H28,tblTerritories_2014_N!H28,tblTerritories_2017!H28))</f>
        <v>1</v>
      </c>
      <c r="I28" s="1" t="str">
        <f>IF(CHOOSE($B$2,tblTerritories_2014_O!I28,tblTerritories_2014_N!I28,tblTerritories_2017!I28)="","",CHOOSE($B$2,tblTerritories_2014_O!I28,tblTerritories_2014_N!I28,tblTerritories_2017!I28))</f>
        <v>KualaLumpur</v>
      </c>
      <c r="J28" s="27" t="str">
        <f>IF(CHOOSE($B$2,tblTerritories_2014_O!J28,tblTerritories_2014_N!J28,tblTerritories_2017!J28)="","",CHOOSE($B$2,tblTerritories_2014_O!J28,tblTerritories_2014_N!J28,tblTerritories_2017!J28))</f>
        <v>Kuala Lumpur</v>
      </c>
      <c r="K28" s="30">
        <f>IF(CHOOSE($B$2,tblTerritories_2014_O!K28,tblTerritories_2014_N!K28,tblTerritories_2017!K28)="","",CHOOSE($B$2,tblTerritories_2014_O!K28,tblTerritories_2014_N!K28,tblTerritories_2017!K28))</f>
        <v>0</v>
      </c>
      <c r="L28" s="31">
        <f>IF(CHOOSE($B$2,tblTerritories_2014_O!L28,tblTerritories_2014_N!L28,tblTerritories_2017!L28)="","",CHOOSE($B$2,tblTerritories_2014_O!L28,tblTerritories_2014_N!L28,tblTerritories_2017!L28))</f>
        <v>1</v>
      </c>
      <c r="M28" s="32" t="str">
        <f>IF(CHOOSE($B$2,tblTerritories_2014_O!M28,tblTerritories_2014_N!M28,tblTerritories_2017!M28)="","",CHOOSE($B$2,tblTerritories_2014_O!M28,tblTerritories_2014_N!M28,tblTerritories_2017!M28))</f>
        <v/>
      </c>
      <c r="N28" s="24" t="str">
        <f>IF(CHOOSE($B$2,tblTerritories_2014_O!N28,tblTerritories_2014_N!N28,tblTerritories_2017!N28)="","",CHOOSE($B$2,tblTerritories_2014_O!N28,tblTerritories_2014_N!N28,tblTerritories_2017!N28))</f>
        <v/>
      </c>
      <c r="O28" s="1" t="str">
        <f>IF(CHOOSE($B$2,tblTerritories_2014_O!O28,tblTerritories_2014_N!O28,tblTerritories_2017!O28)="","",CHOOSE($B$2,tblTerritories_2014_O!O28,tblTerritories_2014_N!O28,tblTerritories_2017!O28))</f>
        <v/>
      </c>
      <c r="P28" s="24">
        <f>IF(CHOOSE($B$2,tblTerritories_2014_O!P28,tblTerritories_2014_N!P28,tblTerritories_2017!P28)="","",CHOOSE($B$2,tblTerritories_2014_O!P28,tblTerritories_2014_N!P28,tblTerritories_2017!P28))</f>
        <v>7</v>
      </c>
      <c r="Q28" s="24"/>
    </row>
    <row r="29" ht="15.75" spans="1:17">
      <c r="A29" s="1">
        <f>IF(CHOOSE($B$2,tblTerritories_2014_O!A29,tblTerritories_2014_N!A29,tblTerritories_2017!A29)="","",CHOOSE($B$2,tblTerritories_2014_O!A29,tblTerritories_2014_N!A29,tblTerritories_2017!A29))</f>
        <v>27</v>
      </c>
      <c r="B29" s="1" t="str">
        <f>IF(CHOOSE($B$2,tblTerritories_2014_O!B29,tblTerritories_2014_N!B29,tblTerritories_2017!B29)="","",CHOOSE($B$2,tblTerritories_2014_O!B29,tblTerritories_2014_N!B29,tblTerritories_2017!B29))</f>
        <v/>
      </c>
      <c r="C29" s="51" t="str">
        <f>IF(CHOOSE($B$2,tblTerritories_2014_O!C29,tblTerritories_2014_N!C29,tblTerritories_2017!C29)="","",CHOOSE($B$2,tblTerritories_2014_O!C29,tblTerritories_2014_N!C29,tblTerritories_2017!C29))</f>
        <v>Kuwait City</v>
      </c>
      <c r="D29" s="1">
        <f>IF(CHOOSE($B$2,tblTerritories_2014_O!D29,tblTerritories_2014_N!D29,tblTerritories_2017!D29)="","",CHOOSE($B$2,tblTerritories_2014_O!D29,tblTerritories_2014_N!D29,tblTerritories_2017!D29))</f>
        <v>1</v>
      </c>
      <c r="E29" s="1">
        <f>IF(CHOOSE($B$2,tblTerritories_2014_O!E29,tblTerritories_2014_N!E29,tblTerritories_2017!E29)="","",CHOOSE($B$2,tblTerritories_2014_O!E29,tblTerritories_2014_N!E29,tblTerritories_2017!E29))</f>
        <v>0</v>
      </c>
      <c r="F29" s="1">
        <f>IF(CHOOSE($B$2,tblTerritories_2014_O!F29,tblTerritories_2014_N!F29,tblTerritories_2017!F29)="","",CHOOSE($B$2,tblTerritories_2014_O!F29,tblTerritories_2014_N!F29,tblTerritories_2017!F29))</f>
        <v>1</v>
      </c>
      <c r="G29" s="1">
        <f>IF(CHOOSE($B$2,tblTerritories_2014_O!G29,tblTerritories_2014_N!G29,tblTerritories_2017!G29)="","",CHOOSE($B$2,tblTerritories_2014_O!G29,tblTerritories_2014_N!G29,tblTerritories_2017!G29))</f>
        <v>0</v>
      </c>
      <c r="H29" s="17">
        <f>IF(CHOOSE($B$2,tblTerritories_2014_O!H29,tblTerritories_2014_N!H29,tblTerritories_2017!H29)="","",CHOOSE($B$2,tblTerritories_2014_O!H29,tblTerritories_2014_N!H29,tblTerritories_2017!H29))</f>
        <v>1</v>
      </c>
      <c r="I29" s="1" t="str">
        <f>IF(CHOOSE($B$2,tblTerritories_2014_O!I29,tblTerritories_2014_N!I29,tblTerritories_2017!I29)="","",CHOOSE($B$2,tblTerritories_2014_O!I29,tblTerritories_2014_N!I29,tblTerritories_2017!I29))</f>
        <v>KuwaitCity</v>
      </c>
      <c r="J29" s="27" t="str">
        <f>IF(CHOOSE($B$2,tblTerritories_2014_O!J29,tblTerritories_2014_N!J29,tblTerritories_2017!J29)="","",CHOOSE($B$2,tblTerritories_2014_O!J29,tblTerritories_2014_N!J29,tblTerritories_2017!J29))</f>
        <v>Kuwait City</v>
      </c>
      <c r="K29" s="30">
        <f>IF(CHOOSE($B$2,tblTerritories_2014_O!K29,tblTerritories_2014_N!K29,tblTerritories_2017!K29)="","",CHOOSE($B$2,tblTerritories_2014_O!K29,tblTerritories_2014_N!K29,tblTerritories_2017!K29))</f>
        <v>0</v>
      </c>
      <c r="L29" s="31">
        <f>IF(CHOOSE($B$2,tblTerritories_2014_O!L29,tblTerritories_2014_N!L29,tblTerritories_2017!L29)="","",CHOOSE($B$2,tblTerritories_2014_O!L29,tblTerritories_2014_N!L29,tblTerritories_2017!L29))</f>
        <v>1</v>
      </c>
      <c r="M29" s="32" t="str">
        <f>IF(CHOOSE($B$2,tblTerritories_2014_O!M29,tblTerritories_2014_N!M29,tblTerritories_2017!M29)="","",CHOOSE($B$2,tblTerritories_2014_O!M29,tblTerritories_2014_N!M29,tblTerritories_2017!M29))</f>
        <v/>
      </c>
      <c r="N29" s="24" t="str">
        <f>IF(CHOOSE($B$2,tblTerritories_2014_O!N29,tblTerritories_2014_N!N29,tblTerritories_2017!N29)="","",CHOOSE($B$2,tblTerritories_2014_O!N29,tblTerritories_2014_N!N29,tblTerritories_2017!N29))</f>
        <v/>
      </c>
      <c r="O29" s="1" t="str">
        <f>IF(CHOOSE($B$2,tblTerritories_2014_O!O29,tblTerritories_2014_N!O29,tblTerritories_2017!O29)="","",CHOOSE($B$2,tblTerritories_2014_O!O29,tblTerritories_2014_N!O29,tblTerritories_2017!O29))</f>
        <v/>
      </c>
      <c r="P29" s="24">
        <f>IF(CHOOSE($B$2,tblTerritories_2014_O!P29,tblTerritories_2014_N!P29,tblTerritories_2017!P29)="","",CHOOSE($B$2,tblTerritories_2014_O!P29,tblTerritories_2014_N!P29,tblTerritories_2017!P29))</f>
        <v>3</v>
      </c>
      <c r="Q29" s="24"/>
    </row>
    <row r="30" ht="15.75" spans="1:17">
      <c r="A30" s="1">
        <f>IF(CHOOSE($B$2,tblTerritories_2014_O!A30,tblTerritories_2014_N!A30,tblTerritories_2017!A30)="","",CHOOSE($B$2,tblTerritories_2014_O!A30,tblTerritories_2014_N!A30,tblTerritories_2017!A30))</f>
        <v>28</v>
      </c>
      <c r="B30" s="1" t="str">
        <f>IF(CHOOSE($B$2,tblTerritories_2014_O!B30,tblTerritories_2014_N!B30,tblTerritories_2017!B30)="","",CHOOSE($B$2,tblTerritories_2014_O!B30,tblTerritories_2014_N!B30,tblTerritories_2017!B30))</f>
        <v/>
      </c>
      <c r="C30" s="51" t="str">
        <f>IF(CHOOSE($B$2,tblTerritories_2014_O!C30,tblTerritories_2014_N!C30,tblTerritories_2017!C30)="","",CHOOSE($B$2,tblTerritories_2014_O!C30,tblTerritories_2014_N!C30,tblTerritories_2017!C30))</f>
        <v>Lima</v>
      </c>
      <c r="D30" s="1">
        <f>IF(CHOOSE($B$2,tblTerritories_2014_O!D30,tblTerritories_2014_N!D30,tblTerritories_2017!D30)="","",CHOOSE($B$2,tblTerritories_2014_O!D30,tblTerritories_2014_N!D30,tblTerritories_2017!D30))</f>
        <v>1</v>
      </c>
      <c r="E30" s="1">
        <f>IF(CHOOSE($B$2,tblTerritories_2014_O!E30,tblTerritories_2014_N!E30,tblTerritories_2017!E30)="","",CHOOSE($B$2,tblTerritories_2014_O!E30,tblTerritories_2014_N!E30,tblTerritories_2017!E30))</f>
        <v>0</v>
      </c>
      <c r="F30" s="1">
        <f>IF(CHOOSE($B$2,tblTerritories_2014_O!F30,tblTerritories_2014_N!F30,tblTerritories_2017!F30)="","",CHOOSE($B$2,tblTerritories_2014_O!F30,tblTerritories_2014_N!F30,tblTerritories_2017!F30))</f>
        <v>1</v>
      </c>
      <c r="G30" s="1">
        <f>IF(CHOOSE($B$2,tblTerritories_2014_O!G30,tblTerritories_2014_N!G30,tblTerritories_2017!G30)="","",CHOOSE($B$2,tblTerritories_2014_O!G30,tblTerritories_2014_N!G30,tblTerritories_2017!G30))</f>
        <v>0</v>
      </c>
      <c r="H30" s="17">
        <f>IF(CHOOSE($B$2,tblTerritories_2014_O!H30,tblTerritories_2014_N!H30,tblTerritories_2017!H30)="","",CHOOSE($B$2,tblTerritories_2014_O!H30,tblTerritories_2014_N!H30,tblTerritories_2017!H30))</f>
        <v>1</v>
      </c>
      <c r="I30" s="1" t="str">
        <f>IF(CHOOSE($B$2,tblTerritories_2014_O!I30,tblTerritories_2014_N!I30,tblTerritories_2017!I30)="","",CHOOSE($B$2,tblTerritories_2014_O!I30,tblTerritories_2014_N!I30,tblTerritories_2017!I30))</f>
        <v>Lima</v>
      </c>
      <c r="J30" s="27" t="str">
        <f>IF(CHOOSE($B$2,tblTerritories_2014_O!J30,tblTerritories_2014_N!J30,tblTerritories_2017!J30)="","",CHOOSE($B$2,tblTerritories_2014_O!J30,tblTerritories_2014_N!J30,tblTerritories_2017!J30))</f>
        <v>Lima</v>
      </c>
      <c r="K30" s="30">
        <f>IF(CHOOSE($B$2,tblTerritories_2014_O!K30,tblTerritories_2014_N!K30,tblTerritories_2017!K30)="","",CHOOSE($B$2,tblTerritories_2014_O!K30,tblTerritories_2014_N!K30,tblTerritories_2017!K30))</f>
        <v>0</v>
      </c>
      <c r="L30" s="31">
        <f>IF(CHOOSE($B$2,tblTerritories_2014_O!L30,tblTerritories_2014_N!L30,tblTerritories_2017!L30)="","",CHOOSE($B$2,tblTerritories_2014_O!L30,tblTerritories_2014_N!L30,tblTerritories_2017!L30))</f>
        <v>1</v>
      </c>
      <c r="M30" s="32" t="str">
        <f>IF(CHOOSE($B$2,tblTerritories_2014_O!M30,tblTerritories_2014_N!M30,tblTerritories_2017!M30)="","",CHOOSE($B$2,tblTerritories_2014_O!M30,tblTerritories_2014_N!M30,tblTerritories_2017!M30))</f>
        <v/>
      </c>
      <c r="N30" s="24" t="str">
        <f>IF(CHOOSE($B$2,tblTerritories_2014_O!N30,tblTerritories_2014_N!N30,tblTerritories_2017!N30)="","",CHOOSE($B$2,tblTerritories_2014_O!N30,tblTerritories_2014_N!N30,tblTerritories_2017!N30))</f>
        <v/>
      </c>
      <c r="O30" s="1" t="str">
        <f>IF(CHOOSE($B$2,tblTerritories_2014_O!O30,tblTerritories_2014_N!O30,tblTerritories_2017!O30)="","",CHOOSE($B$2,tblTerritories_2014_O!O30,tblTerritories_2014_N!O30,tblTerritories_2017!O30))</f>
        <v/>
      </c>
      <c r="P30" s="24">
        <f>IF(CHOOSE($B$2,tblTerritories_2014_O!P30,tblTerritories_2014_N!P30,tblTerritories_2017!P30)="","",CHOOSE($B$2,tblTerritories_2014_O!P30,tblTerritories_2014_N!P30,tblTerritories_2017!P30))</f>
        <v>2</v>
      </c>
      <c r="Q30" s="24"/>
    </row>
    <row r="31" ht="15.75" spans="1:17">
      <c r="A31" s="1">
        <f>IF(CHOOSE($B$2,tblTerritories_2014_O!A31,tblTerritories_2014_N!A31,tblTerritories_2017!A31)="","",CHOOSE($B$2,tblTerritories_2014_O!A31,tblTerritories_2014_N!A31,tblTerritories_2017!A31))</f>
        <v>29</v>
      </c>
      <c r="B31" s="1" t="str">
        <f>IF(CHOOSE($B$2,tblTerritories_2014_O!B31,tblTerritories_2014_N!B31,tblTerritories_2017!B31)="","",CHOOSE($B$2,tblTerritories_2014_O!B31,tblTerritories_2014_N!B31,tblTerritories_2017!B31))</f>
        <v/>
      </c>
      <c r="C31" s="51" t="str">
        <f>IF(CHOOSE($B$2,tblTerritories_2014_O!C31,tblTerritories_2014_N!C31,tblTerritories_2017!C31)="","",CHOOSE($B$2,tblTerritories_2014_O!C31,tblTerritories_2014_N!C31,tblTerritories_2017!C31))</f>
        <v>London</v>
      </c>
      <c r="D31" s="1">
        <f>IF(CHOOSE($B$2,tblTerritories_2014_O!D31,tblTerritories_2014_N!D31,tblTerritories_2017!D31)="","",CHOOSE($B$2,tblTerritories_2014_O!D31,tblTerritories_2014_N!D31,tblTerritories_2017!D31))</f>
        <v>1</v>
      </c>
      <c r="E31" s="1">
        <f>IF(CHOOSE($B$2,tblTerritories_2014_O!E31,tblTerritories_2014_N!E31,tblTerritories_2017!E31)="","",CHOOSE($B$2,tblTerritories_2014_O!E31,tblTerritories_2014_N!E31,tblTerritories_2017!E31))</f>
        <v>0</v>
      </c>
      <c r="F31" s="1">
        <f>IF(CHOOSE($B$2,tblTerritories_2014_O!F31,tblTerritories_2014_N!F31,tblTerritories_2017!F31)="","",CHOOSE($B$2,tblTerritories_2014_O!F31,tblTerritories_2014_N!F31,tblTerritories_2017!F31))</f>
        <v>1</v>
      </c>
      <c r="G31" s="1">
        <f>IF(CHOOSE($B$2,tblTerritories_2014_O!G31,tblTerritories_2014_N!G31,tblTerritories_2017!G31)="","",CHOOSE($B$2,tblTerritories_2014_O!G31,tblTerritories_2014_N!G31,tblTerritories_2017!G31))</f>
        <v>0</v>
      </c>
      <c r="H31" s="17">
        <f>IF(CHOOSE($B$2,tblTerritories_2014_O!H31,tblTerritories_2014_N!H31,tblTerritories_2017!H31)="","",CHOOSE($B$2,tblTerritories_2014_O!H31,tblTerritories_2014_N!H31,tblTerritories_2017!H31))</f>
        <v>1</v>
      </c>
      <c r="I31" s="1" t="str">
        <f>IF(CHOOSE($B$2,tblTerritories_2014_O!I31,tblTerritories_2014_N!I31,tblTerritories_2017!I31)="","",CHOOSE($B$2,tblTerritories_2014_O!I31,tblTerritories_2014_N!I31,tblTerritories_2017!I31))</f>
        <v>London</v>
      </c>
      <c r="J31" s="27" t="str">
        <f>IF(CHOOSE($B$2,tblTerritories_2014_O!J31,tblTerritories_2014_N!J31,tblTerritories_2017!J31)="","",CHOOSE($B$2,tblTerritories_2014_O!J31,tblTerritories_2014_N!J31,tblTerritories_2017!J31))</f>
        <v>London</v>
      </c>
      <c r="K31" s="30">
        <f>IF(CHOOSE($B$2,tblTerritories_2014_O!K31,tblTerritories_2014_N!K31,tblTerritories_2017!K31)="","",CHOOSE($B$2,tblTerritories_2014_O!K31,tblTerritories_2014_N!K31,tblTerritories_2017!K31))</f>
        <v>0</v>
      </c>
      <c r="L31" s="31">
        <f>IF(CHOOSE($B$2,tblTerritories_2014_O!L31,tblTerritories_2014_N!L31,tblTerritories_2017!L31)="","",CHOOSE($B$2,tblTerritories_2014_O!L31,tblTerritories_2014_N!L31,tblTerritories_2017!L31))</f>
        <v>1</v>
      </c>
      <c r="M31" s="32" t="str">
        <f>IF(CHOOSE($B$2,tblTerritories_2014_O!M31,tblTerritories_2014_N!M31,tblTerritories_2017!M31)="","",CHOOSE($B$2,tblTerritories_2014_O!M31,tblTerritories_2014_N!M31,tblTerritories_2017!M31))</f>
        <v/>
      </c>
      <c r="N31" s="24" t="str">
        <f>IF(CHOOSE($B$2,tblTerritories_2014_O!N31,tblTerritories_2014_N!N31,tblTerritories_2017!N31)="","",CHOOSE($B$2,tblTerritories_2014_O!N31,tblTerritories_2014_N!N31,tblTerritories_2017!N31))</f>
        <v/>
      </c>
      <c r="O31" s="1" t="str">
        <f>IF(CHOOSE($B$2,tblTerritories_2014_O!O31,tblTerritories_2014_N!O31,tblTerritories_2017!O31)="","",CHOOSE($B$2,tblTerritories_2014_O!O31,tblTerritories_2014_N!O31,tblTerritories_2017!O31))</f>
        <v/>
      </c>
      <c r="P31" s="24">
        <f>IF(CHOOSE($B$2,tblTerritories_2014_O!P31,tblTerritories_2014_N!P31,tblTerritories_2017!P31)="","",CHOOSE($B$2,tblTerritories_2014_O!P31,tblTerritories_2014_N!P31,tblTerritories_2017!P31))</f>
        <v>1</v>
      </c>
      <c r="Q31" s="24"/>
    </row>
    <row r="32" ht="15.75" spans="1:17">
      <c r="A32" s="1">
        <f>IF(CHOOSE($B$2,tblTerritories_2014_O!A32,tblTerritories_2014_N!A32,tblTerritories_2017!A32)="","",CHOOSE($B$2,tblTerritories_2014_O!A32,tblTerritories_2014_N!A32,tblTerritories_2017!A32))</f>
        <v>30</v>
      </c>
      <c r="B32" s="1" t="str">
        <f>IF(CHOOSE($B$2,tblTerritories_2014_O!B32,tblTerritories_2014_N!B32,tblTerritories_2017!B32)="","",CHOOSE($B$2,tblTerritories_2014_O!B32,tblTerritories_2014_N!B32,tblTerritories_2017!B32))</f>
        <v/>
      </c>
      <c r="C32" s="51" t="str">
        <f>IF(CHOOSE($B$2,tblTerritories_2014_O!C32,tblTerritories_2014_N!C32,tblTerritories_2017!C32)="","",CHOOSE($B$2,tblTerritories_2014_O!C32,tblTerritories_2014_N!C32,tblTerritories_2017!C32))</f>
        <v>Los Angeles</v>
      </c>
      <c r="D32" s="1">
        <f>IF(CHOOSE($B$2,tblTerritories_2014_O!D32,tblTerritories_2014_N!D32,tblTerritories_2017!D32)="","",CHOOSE($B$2,tblTerritories_2014_O!D32,tblTerritories_2014_N!D32,tblTerritories_2017!D32))</f>
        <v>1</v>
      </c>
      <c r="E32" s="1">
        <f>IF(CHOOSE($B$2,tblTerritories_2014_O!E32,tblTerritories_2014_N!E32,tblTerritories_2017!E32)="","",CHOOSE($B$2,tblTerritories_2014_O!E32,tblTerritories_2014_N!E32,tblTerritories_2017!E32))</f>
        <v>0</v>
      </c>
      <c r="F32" s="1">
        <f>IF(CHOOSE($B$2,tblTerritories_2014_O!F32,tblTerritories_2014_N!F32,tblTerritories_2017!F32)="","",CHOOSE($B$2,tblTerritories_2014_O!F32,tblTerritories_2014_N!F32,tblTerritories_2017!F32))</f>
        <v>1</v>
      </c>
      <c r="G32" s="1">
        <f>IF(CHOOSE($B$2,tblTerritories_2014_O!G32,tblTerritories_2014_N!G32,tblTerritories_2017!G32)="","",CHOOSE($B$2,tblTerritories_2014_O!G32,tblTerritories_2014_N!G32,tblTerritories_2017!G32))</f>
        <v>0</v>
      </c>
      <c r="H32" s="17">
        <f>IF(CHOOSE($B$2,tblTerritories_2014_O!H32,tblTerritories_2014_N!H32,tblTerritories_2017!H32)="","",CHOOSE($B$2,tblTerritories_2014_O!H32,tblTerritories_2014_N!H32,tblTerritories_2017!H32))</f>
        <v>1</v>
      </c>
      <c r="I32" s="1" t="str">
        <f>IF(CHOOSE($B$2,tblTerritories_2014_O!I32,tblTerritories_2014_N!I32,tblTerritories_2017!I32)="","",CHOOSE($B$2,tblTerritories_2014_O!I32,tblTerritories_2014_N!I32,tblTerritories_2017!I32))</f>
        <v>LosAngeles</v>
      </c>
      <c r="J32" s="27" t="str">
        <f>IF(CHOOSE($B$2,tblTerritories_2014_O!J32,tblTerritories_2014_N!J32,tblTerritories_2017!J32)="","",CHOOSE($B$2,tblTerritories_2014_O!J32,tblTerritories_2014_N!J32,tblTerritories_2017!J32))</f>
        <v>Los Angeles</v>
      </c>
      <c r="K32" s="30">
        <f>IF(CHOOSE($B$2,tblTerritories_2014_O!K32,tblTerritories_2014_N!K32,tblTerritories_2017!K32)="","",CHOOSE($B$2,tblTerritories_2014_O!K32,tblTerritories_2014_N!K32,tblTerritories_2017!K32))</f>
        <v>0</v>
      </c>
      <c r="L32" s="31">
        <f>IF(CHOOSE($B$2,tblTerritories_2014_O!L32,tblTerritories_2014_N!L32,tblTerritories_2017!L32)="","",CHOOSE($B$2,tblTerritories_2014_O!L32,tblTerritories_2014_N!L32,tblTerritories_2017!L32))</f>
        <v>1</v>
      </c>
      <c r="M32" s="32" t="str">
        <f>IF(CHOOSE($B$2,tblTerritories_2014_O!M32,tblTerritories_2014_N!M32,tblTerritories_2017!M32)="","",CHOOSE($B$2,tblTerritories_2014_O!M32,tblTerritories_2014_N!M32,tblTerritories_2017!M32))</f>
        <v/>
      </c>
      <c r="N32" s="24" t="str">
        <f>IF(CHOOSE($B$2,tblTerritories_2014_O!N32,tblTerritories_2014_N!N32,tblTerritories_2017!N32)="","",CHOOSE($B$2,tblTerritories_2014_O!N32,tblTerritories_2014_N!N32,tblTerritories_2017!N32))</f>
        <v/>
      </c>
      <c r="O32" s="1" t="str">
        <f>IF(CHOOSE($B$2,tblTerritories_2014_O!O32,tblTerritories_2014_N!O32,tblTerritories_2017!O32)="","",CHOOSE($B$2,tblTerritories_2014_O!O32,tblTerritories_2014_N!O32,tblTerritories_2017!O32))</f>
        <v/>
      </c>
      <c r="P32" s="24">
        <f>IF(CHOOSE($B$2,tblTerritories_2014_O!P32,tblTerritories_2014_N!P32,tblTerritories_2017!P32)="","",CHOOSE($B$2,tblTerritories_2014_O!P32,tblTerritories_2014_N!P32,tblTerritories_2017!P32))</f>
        <v>4</v>
      </c>
      <c r="Q32" s="24"/>
    </row>
    <row r="33" ht="15.75" spans="1:17">
      <c r="A33" s="1">
        <f>IF(CHOOSE($B$2,tblTerritories_2014_O!A33,tblTerritories_2014_N!A33,tblTerritories_2017!A33)="","",CHOOSE($B$2,tblTerritories_2014_O!A33,tblTerritories_2014_N!A33,tblTerritories_2017!A33))</f>
        <v>31</v>
      </c>
      <c r="B33" s="1" t="str">
        <f>IF(CHOOSE($B$2,tblTerritories_2014_O!B33,tblTerritories_2014_N!B33,tblTerritories_2017!B33)="","",CHOOSE($B$2,tblTerritories_2014_O!B33,tblTerritories_2014_N!B33,tblTerritories_2017!B33))</f>
        <v/>
      </c>
      <c r="C33" s="51" t="str">
        <f>IF(CHOOSE($B$2,tblTerritories_2014_O!C33,tblTerritories_2014_N!C33,tblTerritories_2017!C33)="","",CHOOSE($B$2,tblTerritories_2014_O!C33,tblTerritories_2014_N!C33,tblTerritories_2017!C33))</f>
        <v>Madrid</v>
      </c>
      <c r="D33" s="1">
        <f>IF(CHOOSE($B$2,tblTerritories_2014_O!D33,tblTerritories_2014_N!D33,tblTerritories_2017!D33)="","",CHOOSE($B$2,tblTerritories_2014_O!D33,tblTerritories_2014_N!D33,tblTerritories_2017!D33))</f>
        <v>1</v>
      </c>
      <c r="E33" s="1">
        <f>IF(CHOOSE($B$2,tblTerritories_2014_O!E33,tblTerritories_2014_N!E33,tblTerritories_2017!E33)="","",CHOOSE($B$2,tblTerritories_2014_O!E33,tblTerritories_2014_N!E33,tblTerritories_2017!E33))</f>
        <v>0</v>
      </c>
      <c r="F33" s="1">
        <f>IF(CHOOSE($B$2,tblTerritories_2014_O!F33,tblTerritories_2014_N!F33,tblTerritories_2017!F33)="","",CHOOSE($B$2,tblTerritories_2014_O!F33,tblTerritories_2014_N!F33,tblTerritories_2017!F33))</f>
        <v>1</v>
      </c>
      <c r="G33" s="1">
        <f>IF(CHOOSE($B$2,tblTerritories_2014_O!G33,tblTerritories_2014_N!G33,tblTerritories_2017!G33)="","",CHOOSE($B$2,tblTerritories_2014_O!G33,tblTerritories_2014_N!G33,tblTerritories_2017!G33))</f>
        <v>0</v>
      </c>
      <c r="H33" s="17">
        <f>IF(CHOOSE($B$2,tblTerritories_2014_O!H33,tblTerritories_2014_N!H33,tblTerritories_2017!H33)="","",CHOOSE($B$2,tblTerritories_2014_O!H33,tblTerritories_2014_N!H33,tblTerritories_2017!H33))</f>
        <v>1</v>
      </c>
      <c r="I33" s="1" t="str">
        <f>IF(CHOOSE($B$2,tblTerritories_2014_O!I33,tblTerritories_2014_N!I33,tblTerritories_2017!I33)="","",CHOOSE($B$2,tblTerritories_2014_O!I33,tblTerritories_2014_N!I33,tblTerritories_2017!I33))</f>
        <v>Madrid</v>
      </c>
      <c r="J33" s="27" t="str">
        <f>IF(CHOOSE($B$2,tblTerritories_2014_O!J33,tblTerritories_2014_N!J33,tblTerritories_2017!J33)="","",CHOOSE($B$2,tblTerritories_2014_O!J33,tblTerritories_2014_N!J33,tblTerritories_2017!J33))</f>
        <v>Madrid</v>
      </c>
      <c r="K33" s="30">
        <f>IF(CHOOSE($B$2,tblTerritories_2014_O!K33,tblTerritories_2014_N!K33,tblTerritories_2017!K33)="","",CHOOSE($B$2,tblTerritories_2014_O!K33,tblTerritories_2014_N!K33,tblTerritories_2017!K33))</f>
        <v>0</v>
      </c>
      <c r="L33" s="31">
        <f>IF(CHOOSE($B$2,tblTerritories_2014_O!L33,tblTerritories_2014_N!L33,tblTerritories_2017!L33)="","",CHOOSE($B$2,tblTerritories_2014_O!L33,tblTerritories_2014_N!L33,tblTerritories_2017!L33))</f>
        <v>1</v>
      </c>
      <c r="M33" s="32" t="str">
        <f>IF(CHOOSE($B$2,tblTerritories_2014_O!M33,tblTerritories_2014_N!M33,tblTerritories_2017!M33)="","",CHOOSE($B$2,tblTerritories_2014_O!M33,tblTerritories_2014_N!M33,tblTerritories_2017!M33))</f>
        <v/>
      </c>
      <c r="N33" s="24" t="str">
        <f>IF(CHOOSE($B$2,tblTerritories_2014_O!N33,tblTerritories_2014_N!N33,tblTerritories_2017!N33)="","",CHOOSE($B$2,tblTerritories_2014_O!N33,tblTerritories_2014_N!N33,tblTerritories_2017!N33))</f>
        <v/>
      </c>
      <c r="O33" s="1" t="str">
        <f>IF(CHOOSE($B$2,tblTerritories_2014_O!O33,tblTerritories_2014_N!O33,tblTerritories_2017!O33)="","",CHOOSE($B$2,tblTerritories_2014_O!O33,tblTerritories_2014_N!O33,tblTerritories_2017!O33))</f>
        <v/>
      </c>
      <c r="P33" s="24">
        <f>IF(CHOOSE($B$2,tblTerritories_2014_O!P33,tblTerritories_2014_N!P33,tblTerritories_2017!P33)="","",CHOOSE($B$2,tblTerritories_2014_O!P33,tblTerritories_2014_N!P33,tblTerritories_2017!P33))</f>
        <v>1</v>
      </c>
      <c r="Q33" s="24"/>
    </row>
    <row r="34" ht="15.75" spans="1:17">
      <c r="A34" s="1">
        <f>IF(CHOOSE($B$2,tblTerritories_2014_O!A34,tblTerritories_2014_N!A34,tblTerritories_2017!A34)="","",CHOOSE($B$2,tblTerritories_2014_O!A34,tblTerritories_2014_N!A34,tblTerritories_2017!A34))</f>
        <v>32</v>
      </c>
      <c r="B34" s="1" t="str">
        <f>IF(CHOOSE($B$2,tblTerritories_2014_O!B34,tblTerritories_2014_N!B34,tblTerritories_2017!B34)="","",CHOOSE($B$2,tblTerritories_2014_O!B34,tblTerritories_2014_N!B34,tblTerritories_2017!B34))</f>
        <v/>
      </c>
      <c r="C34" s="51" t="str">
        <f>IF(CHOOSE($B$2,tblTerritories_2014_O!C34,tblTerritories_2014_N!C34,tblTerritories_2017!C34)="","",CHOOSE($B$2,tblTerritories_2014_O!C34,tblTerritories_2014_N!C34,tblTerritories_2017!C34))</f>
        <v>Manila</v>
      </c>
      <c r="D34" s="1">
        <f>IF(CHOOSE($B$2,tblTerritories_2014_O!D34,tblTerritories_2014_N!D34,tblTerritories_2017!D34)="","",CHOOSE($B$2,tblTerritories_2014_O!D34,tblTerritories_2014_N!D34,tblTerritories_2017!D34))</f>
        <v>1</v>
      </c>
      <c r="E34" s="1">
        <f>IF(CHOOSE($B$2,tblTerritories_2014_O!E34,tblTerritories_2014_N!E34,tblTerritories_2017!E34)="","",CHOOSE($B$2,tblTerritories_2014_O!E34,tblTerritories_2014_N!E34,tblTerritories_2017!E34))</f>
        <v>0</v>
      </c>
      <c r="F34" s="1">
        <f>IF(CHOOSE($B$2,tblTerritories_2014_O!F34,tblTerritories_2014_N!F34,tblTerritories_2017!F34)="","",CHOOSE($B$2,tblTerritories_2014_O!F34,tblTerritories_2014_N!F34,tblTerritories_2017!F34))</f>
        <v>1</v>
      </c>
      <c r="G34" s="1">
        <f>IF(CHOOSE($B$2,tblTerritories_2014_O!G34,tblTerritories_2014_N!G34,tblTerritories_2017!G34)="","",CHOOSE($B$2,tblTerritories_2014_O!G34,tblTerritories_2014_N!G34,tblTerritories_2017!G34))</f>
        <v>0</v>
      </c>
      <c r="H34" s="17">
        <f>IF(CHOOSE($B$2,tblTerritories_2014_O!H34,tblTerritories_2014_N!H34,tblTerritories_2017!H34)="","",CHOOSE($B$2,tblTerritories_2014_O!H34,tblTerritories_2014_N!H34,tblTerritories_2017!H34))</f>
        <v>1</v>
      </c>
      <c r="I34" s="1" t="str">
        <f>IF(CHOOSE($B$2,tblTerritories_2014_O!I34,tblTerritories_2014_N!I34,tblTerritories_2017!I34)="","",CHOOSE($B$2,tblTerritories_2014_O!I34,tblTerritories_2014_N!I34,tblTerritories_2017!I34))</f>
        <v>Manila</v>
      </c>
      <c r="J34" s="27" t="str">
        <f>IF(CHOOSE($B$2,tblTerritories_2014_O!J34,tblTerritories_2014_N!J34,tblTerritories_2017!J34)="","",CHOOSE($B$2,tblTerritories_2014_O!J34,tblTerritories_2014_N!J34,tblTerritories_2017!J34))</f>
        <v>Manila</v>
      </c>
      <c r="K34" s="30">
        <f>IF(CHOOSE($B$2,tblTerritories_2014_O!K34,tblTerritories_2014_N!K34,tblTerritories_2017!K34)="","",CHOOSE($B$2,tblTerritories_2014_O!K34,tblTerritories_2014_N!K34,tblTerritories_2017!K34))</f>
        <v>0</v>
      </c>
      <c r="L34" s="31">
        <f>IF(CHOOSE($B$2,tblTerritories_2014_O!L34,tblTerritories_2014_N!L34,tblTerritories_2017!L34)="","",CHOOSE($B$2,tblTerritories_2014_O!L34,tblTerritories_2014_N!L34,tblTerritories_2017!L34))</f>
        <v>1</v>
      </c>
      <c r="M34" s="32" t="str">
        <f>IF(CHOOSE($B$2,tblTerritories_2014_O!M34,tblTerritories_2014_N!M34,tblTerritories_2017!M34)="","",CHOOSE($B$2,tblTerritories_2014_O!M34,tblTerritories_2014_N!M34,tblTerritories_2017!M34))</f>
        <v/>
      </c>
      <c r="N34" s="24" t="str">
        <f>IF(CHOOSE($B$2,tblTerritories_2014_O!N34,tblTerritories_2014_N!N34,tblTerritories_2017!N34)="","",CHOOSE($B$2,tblTerritories_2014_O!N34,tblTerritories_2014_N!N34,tblTerritories_2017!N34))</f>
        <v/>
      </c>
      <c r="O34" s="1" t="str">
        <f>IF(CHOOSE($B$2,tblTerritories_2014_O!O34,tblTerritories_2014_N!O34,tblTerritories_2017!O34)="","",CHOOSE($B$2,tblTerritories_2014_O!O34,tblTerritories_2014_N!O34,tblTerritories_2017!O34))</f>
        <v/>
      </c>
      <c r="P34" s="24">
        <f>IF(CHOOSE($B$2,tblTerritories_2014_O!P34,tblTerritories_2014_N!P34,tblTerritories_2017!P34)="","",CHOOSE($B$2,tblTerritories_2014_O!P34,tblTerritories_2014_N!P34,tblTerritories_2017!P34))</f>
        <v>8</v>
      </c>
      <c r="Q34" s="24"/>
    </row>
    <row r="35" ht="15.75" spans="1:17">
      <c r="A35" s="1">
        <f>IF(CHOOSE($B$2,tblTerritories_2014_O!A35,tblTerritories_2014_N!A35,tblTerritories_2017!A35)="","",CHOOSE($B$2,tblTerritories_2014_O!A35,tblTerritories_2014_N!A35,tblTerritories_2017!A35))</f>
        <v>33</v>
      </c>
      <c r="B35" s="1" t="str">
        <f>IF(CHOOSE($B$2,tblTerritories_2014_O!B35,tblTerritories_2014_N!B35,tblTerritories_2017!B35)="","",CHOOSE($B$2,tblTerritories_2014_O!B35,tblTerritories_2014_N!B35,tblTerritories_2017!B35))</f>
        <v/>
      </c>
      <c r="C35" s="51" t="str">
        <f>IF(CHOOSE($B$2,tblTerritories_2014_O!C35,tblTerritories_2014_N!C35,tblTerritories_2017!C35)="","",CHOOSE($B$2,tblTerritories_2014_O!C35,tblTerritories_2014_N!C35,tblTerritories_2017!C35))</f>
        <v>Melbourne</v>
      </c>
      <c r="D35" s="1">
        <f>IF(CHOOSE($B$2,tblTerritories_2014_O!D35,tblTerritories_2014_N!D35,tblTerritories_2017!D35)="","",CHOOSE($B$2,tblTerritories_2014_O!D35,tblTerritories_2014_N!D35,tblTerritories_2017!D35))</f>
        <v>1</v>
      </c>
      <c r="E35" s="1">
        <f>IF(CHOOSE($B$2,tblTerritories_2014_O!E35,tblTerritories_2014_N!E35,tblTerritories_2017!E35)="","",CHOOSE($B$2,tblTerritories_2014_O!E35,tblTerritories_2014_N!E35,tblTerritories_2017!E35))</f>
        <v>0</v>
      </c>
      <c r="F35" s="1">
        <f>IF(CHOOSE($B$2,tblTerritories_2014_O!F35,tblTerritories_2014_N!F35,tblTerritories_2017!F35)="","",CHOOSE($B$2,tblTerritories_2014_O!F35,tblTerritories_2014_N!F35,tblTerritories_2017!F35))</f>
        <v>1</v>
      </c>
      <c r="G35" s="1">
        <f>IF(CHOOSE($B$2,tblTerritories_2014_O!G35,tblTerritories_2014_N!G35,tblTerritories_2017!G35)="","",CHOOSE($B$2,tblTerritories_2014_O!G35,tblTerritories_2014_N!G35,tblTerritories_2017!G35))</f>
        <v>0</v>
      </c>
      <c r="H35" s="17">
        <f>IF(CHOOSE($B$2,tblTerritories_2014_O!H35,tblTerritories_2014_N!H35,tblTerritories_2017!H35)="","",CHOOSE($B$2,tblTerritories_2014_O!H35,tblTerritories_2014_N!H35,tblTerritories_2017!H35))</f>
        <v>1</v>
      </c>
      <c r="I35" s="1" t="str">
        <f>IF(CHOOSE($B$2,tblTerritories_2014_O!I35,tblTerritories_2014_N!I35,tblTerritories_2017!I35)="","",CHOOSE($B$2,tblTerritories_2014_O!I35,tblTerritories_2014_N!I35,tblTerritories_2017!I35))</f>
        <v>Melbourne</v>
      </c>
      <c r="J35" s="27" t="str">
        <f>IF(CHOOSE($B$2,tblTerritories_2014_O!J35,tblTerritories_2014_N!J35,tblTerritories_2017!J35)="","",CHOOSE($B$2,tblTerritories_2014_O!J35,tblTerritories_2014_N!J35,tblTerritories_2017!J35))</f>
        <v>Melbourne</v>
      </c>
      <c r="K35" s="30">
        <f>IF(CHOOSE($B$2,tblTerritories_2014_O!K35,tblTerritories_2014_N!K35,tblTerritories_2017!K35)="","",CHOOSE($B$2,tblTerritories_2014_O!K35,tblTerritories_2014_N!K35,tblTerritories_2017!K35))</f>
        <v>0</v>
      </c>
      <c r="L35" s="31">
        <f>IF(CHOOSE($B$2,tblTerritories_2014_O!L35,tblTerritories_2014_N!L35,tblTerritories_2017!L35)="","",CHOOSE($B$2,tblTerritories_2014_O!L35,tblTerritories_2014_N!L35,tblTerritories_2017!L35))</f>
        <v>1</v>
      </c>
      <c r="M35" s="32" t="str">
        <f>IF(CHOOSE($B$2,tblTerritories_2014_O!M35,tblTerritories_2014_N!M35,tblTerritories_2017!M35)="","",CHOOSE($B$2,tblTerritories_2014_O!M35,tblTerritories_2014_N!M35,tblTerritories_2017!M35))</f>
        <v/>
      </c>
      <c r="N35" s="24" t="str">
        <f>IF(CHOOSE($B$2,tblTerritories_2014_O!N35,tblTerritories_2014_N!N35,tblTerritories_2017!N35)="","",CHOOSE($B$2,tblTerritories_2014_O!N35,tblTerritories_2014_N!N35,tblTerritories_2017!N35))</f>
        <v/>
      </c>
      <c r="O35" s="1" t="str">
        <f>IF(CHOOSE($B$2,tblTerritories_2014_O!O35,tblTerritories_2014_N!O35,tblTerritories_2017!O35)="","",CHOOSE($B$2,tblTerritories_2014_O!O35,tblTerritories_2014_N!O35,tblTerritories_2017!O35))</f>
        <v/>
      </c>
      <c r="P35" s="24">
        <f>IF(CHOOSE($B$2,tblTerritories_2014_O!P35,tblTerritories_2014_N!P35,tblTerritories_2017!P35)="","",CHOOSE($B$2,tblTerritories_2014_O!P35,tblTerritories_2014_N!P35,tblTerritories_2017!P35))</f>
        <v>6</v>
      </c>
      <c r="Q35" s="24"/>
    </row>
    <row r="36" ht="15.75" spans="1:17">
      <c r="A36" s="1">
        <f>IF(CHOOSE($B$2,tblTerritories_2014_O!A36,tblTerritories_2014_N!A36,tblTerritories_2017!A36)="","",CHOOSE($B$2,tblTerritories_2014_O!A36,tblTerritories_2014_N!A36,tblTerritories_2017!A36))</f>
        <v>34</v>
      </c>
      <c r="B36" s="1" t="str">
        <f>IF(CHOOSE($B$2,tblTerritories_2014_O!B36,tblTerritories_2014_N!B36,tblTerritories_2017!B36)="","",CHOOSE($B$2,tblTerritories_2014_O!B36,tblTerritories_2014_N!B36,tblTerritories_2017!B36))</f>
        <v/>
      </c>
      <c r="C36" s="51" t="str">
        <f>IF(CHOOSE($B$2,tblTerritories_2014_O!C36,tblTerritories_2014_N!C36,tblTerritories_2017!C36)="","",CHOOSE($B$2,tblTerritories_2014_O!C36,tblTerritories_2014_N!C36,tblTerritories_2017!C36))</f>
        <v>Mexico City</v>
      </c>
      <c r="D36" s="1">
        <f>IF(CHOOSE($B$2,tblTerritories_2014_O!D36,tblTerritories_2014_N!D36,tblTerritories_2017!D36)="","",CHOOSE($B$2,tblTerritories_2014_O!D36,tblTerritories_2014_N!D36,tblTerritories_2017!D36))</f>
        <v>1</v>
      </c>
      <c r="E36" s="1">
        <f>IF(CHOOSE($B$2,tblTerritories_2014_O!E36,tblTerritories_2014_N!E36,tblTerritories_2017!E36)="","",CHOOSE($B$2,tblTerritories_2014_O!E36,tblTerritories_2014_N!E36,tblTerritories_2017!E36))</f>
        <v>0</v>
      </c>
      <c r="F36" s="1">
        <f>IF(CHOOSE($B$2,tblTerritories_2014_O!F36,tblTerritories_2014_N!F36,tblTerritories_2017!F36)="","",CHOOSE($B$2,tblTerritories_2014_O!F36,tblTerritories_2014_N!F36,tblTerritories_2017!F36))</f>
        <v>1</v>
      </c>
      <c r="G36" s="1">
        <f>IF(CHOOSE($B$2,tblTerritories_2014_O!G36,tblTerritories_2014_N!G36,tblTerritories_2017!G36)="","",CHOOSE($B$2,tblTerritories_2014_O!G36,tblTerritories_2014_N!G36,tblTerritories_2017!G36))</f>
        <v>0</v>
      </c>
      <c r="H36" s="17">
        <f>IF(CHOOSE($B$2,tblTerritories_2014_O!H36,tblTerritories_2014_N!H36,tblTerritories_2017!H36)="","",CHOOSE($B$2,tblTerritories_2014_O!H36,tblTerritories_2014_N!H36,tblTerritories_2017!H36))</f>
        <v>1</v>
      </c>
      <c r="I36" s="1" t="str">
        <f>IF(CHOOSE($B$2,tblTerritories_2014_O!I36,tblTerritories_2014_N!I36,tblTerritories_2017!I36)="","",CHOOSE($B$2,tblTerritories_2014_O!I36,tblTerritories_2014_N!I36,tblTerritories_2017!I36))</f>
        <v>MexicoCity</v>
      </c>
      <c r="J36" s="27" t="str">
        <f>IF(CHOOSE($B$2,tblTerritories_2014_O!J36,tblTerritories_2014_N!J36,tblTerritories_2017!J36)="","",CHOOSE($B$2,tblTerritories_2014_O!J36,tblTerritories_2014_N!J36,tblTerritories_2017!J36))</f>
        <v>Mexico City</v>
      </c>
      <c r="K36" s="30">
        <f>IF(CHOOSE($B$2,tblTerritories_2014_O!K36,tblTerritories_2014_N!K36,tblTerritories_2017!K36)="","",CHOOSE($B$2,tblTerritories_2014_O!K36,tblTerritories_2014_N!K36,tblTerritories_2017!K36))</f>
        <v>0</v>
      </c>
      <c r="L36" s="31">
        <f>IF(CHOOSE($B$2,tblTerritories_2014_O!L36,tblTerritories_2014_N!L36,tblTerritories_2017!L36)="","",CHOOSE($B$2,tblTerritories_2014_O!L36,tblTerritories_2014_N!L36,tblTerritories_2017!L36))</f>
        <v>1</v>
      </c>
      <c r="M36" s="32" t="str">
        <f>IF(CHOOSE($B$2,tblTerritories_2014_O!M36,tblTerritories_2014_N!M36,tblTerritories_2017!M36)="","",CHOOSE($B$2,tblTerritories_2014_O!M36,tblTerritories_2014_N!M36,tblTerritories_2017!M36))</f>
        <v/>
      </c>
      <c r="N36" s="24" t="str">
        <f>IF(CHOOSE($B$2,tblTerritories_2014_O!N36,tblTerritories_2014_N!N36,tblTerritories_2017!N36)="","",CHOOSE($B$2,tblTerritories_2014_O!N36,tblTerritories_2014_N!N36,tblTerritories_2017!N36))</f>
        <v/>
      </c>
      <c r="O36" s="1" t="str">
        <f>IF(CHOOSE($B$2,tblTerritories_2014_O!O36,tblTerritories_2014_N!O36,tblTerritories_2017!O36)="","",CHOOSE($B$2,tblTerritories_2014_O!O36,tblTerritories_2014_N!O36,tblTerritories_2017!O36))</f>
        <v/>
      </c>
      <c r="P36" s="24">
        <f>IF(CHOOSE($B$2,tblTerritories_2014_O!P36,tblTerritories_2014_N!P36,tblTerritories_2017!P36)="","",CHOOSE($B$2,tblTerritories_2014_O!P36,tblTerritories_2014_N!P36,tblTerritories_2017!P36))</f>
        <v>2</v>
      </c>
      <c r="Q36" s="24"/>
    </row>
    <row r="37" ht="15.75" spans="1:17">
      <c r="A37" s="1">
        <f>IF(CHOOSE($B$2,tblTerritories_2014_O!A37,tblTerritories_2014_N!A37,tblTerritories_2017!A37)="","",CHOOSE($B$2,tblTerritories_2014_O!A37,tblTerritories_2014_N!A37,tblTerritories_2017!A37))</f>
        <v>35</v>
      </c>
      <c r="B37" s="1" t="str">
        <f>IF(CHOOSE($B$2,tblTerritories_2014_O!B37,tblTerritories_2014_N!B37,tblTerritories_2017!B37)="","",CHOOSE($B$2,tblTerritories_2014_O!B37,tblTerritories_2014_N!B37,tblTerritories_2017!B37))</f>
        <v/>
      </c>
      <c r="C37" s="51" t="str">
        <f>IF(CHOOSE($B$2,tblTerritories_2014_O!C37,tblTerritories_2014_N!C37,tblTerritories_2017!C37)="","",CHOOSE($B$2,tblTerritories_2014_O!C37,tblTerritories_2014_N!C37,tblTerritories_2017!C37))</f>
        <v>Milan</v>
      </c>
      <c r="D37" s="1">
        <f>IF(CHOOSE($B$2,tblTerritories_2014_O!D37,tblTerritories_2014_N!D37,tblTerritories_2017!D37)="","",CHOOSE($B$2,tblTerritories_2014_O!D37,tblTerritories_2014_N!D37,tblTerritories_2017!D37))</f>
        <v>1</v>
      </c>
      <c r="E37" s="1">
        <f>IF(CHOOSE($B$2,tblTerritories_2014_O!E37,tblTerritories_2014_N!E37,tblTerritories_2017!E37)="","",CHOOSE($B$2,tblTerritories_2014_O!E37,tblTerritories_2014_N!E37,tblTerritories_2017!E37))</f>
        <v>0</v>
      </c>
      <c r="F37" s="1">
        <f>IF(CHOOSE($B$2,tblTerritories_2014_O!F37,tblTerritories_2014_N!F37,tblTerritories_2017!F37)="","",CHOOSE($B$2,tblTerritories_2014_O!F37,tblTerritories_2014_N!F37,tblTerritories_2017!F37))</f>
        <v>1</v>
      </c>
      <c r="G37" s="1">
        <f>IF(CHOOSE($B$2,tblTerritories_2014_O!G37,tblTerritories_2014_N!G37,tblTerritories_2017!G37)="","",CHOOSE($B$2,tblTerritories_2014_O!G37,tblTerritories_2014_N!G37,tblTerritories_2017!G37))</f>
        <v>0</v>
      </c>
      <c r="H37" s="17">
        <f>IF(CHOOSE($B$2,tblTerritories_2014_O!H37,tblTerritories_2014_N!H37,tblTerritories_2017!H37)="","",CHOOSE($B$2,tblTerritories_2014_O!H37,tblTerritories_2014_N!H37,tblTerritories_2017!H37))</f>
        <v>1</v>
      </c>
      <c r="I37" s="1" t="str">
        <f>IF(CHOOSE($B$2,tblTerritories_2014_O!I37,tblTerritories_2014_N!I37,tblTerritories_2017!I37)="","",CHOOSE($B$2,tblTerritories_2014_O!I37,tblTerritories_2014_N!I37,tblTerritories_2017!I37))</f>
        <v>Milan</v>
      </c>
      <c r="J37" s="27" t="str">
        <f>IF(CHOOSE($B$2,tblTerritories_2014_O!J37,tblTerritories_2014_N!J37,tblTerritories_2017!J37)="","",CHOOSE($B$2,tblTerritories_2014_O!J37,tblTerritories_2014_N!J37,tblTerritories_2017!J37))</f>
        <v>Milan</v>
      </c>
      <c r="K37" s="30">
        <f>IF(CHOOSE($B$2,tblTerritories_2014_O!K37,tblTerritories_2014_N!K37,tblTerritories_2017!K37)="","",CHOOSE($B$2,tblTerritories_2014_O!K37,tblTerritories_2014_N!K37,tblTerritories_2017!K37))</f>
        <v>0</v>
      </c>
      <c r="L37" s="31">
        <f>IF(CHOOSE($B$2,tblTerritories_2014_O!L37,tblTerritories_2014_N!L37,tblTerritories_2017!L37)="","",CHOOSE($B$2,tblTerritories_2014_O!L37,tblTerritories_2014_N!L37,tblTerritories_2017!L37))</f>
        <v>1</v>
      </c>
      <c r="M37" s="32" t="str">
        <f>IF(CHOOSE($B$2,tblTerritories_2014_O!M37,tblTerritories_2014_N!M37,tblTerritories_2017!M37)="","",CHOOSE($B$2,tblTerritories_2014_O!M37,tblTerritories_2014_N!M37,tblTerritories_2017!M37))</f>
        <v/>
      </c>
      <c r="N37" s="24" t="str">
        <f>IF(CHOOSE($B$2,tblTerritories_2014_O!N37,tblTerritories_2014_N!N37,tblTerritories_2017!N37)="","",CHOOSE($B$2,tblTerritories_2014_O!N37,tblTerritories_2014_N!N37,tblTerritories_2017!N37))</f>
        <v/>
      </c>
      <c r="O37" s="1" t="str">
        <f>IF(CHOOSE($B$2,tblTerritories_2014_O!O37,tblTerritories_2014_N!O37,tblTerritories_2017!O37)="","",CHOOSE($B$2,tblTerritories_2014_O!O37,tblTerritories_2014_N!O37,tblTerritories_2017!O37))</f>
        <v/>
      </c>
      <c r="P37" s="24">
        <f>IF(CHOOSE($B$2,tblTerritories_2014_O!P37,tblTerritories_2014_N!P37,tblTerritories_2017!P37)="","",CHOOSE($B$2,tblTerritories_2014_O!P37,tblTerritories_2014_N!P37,tblTerritories_2017!P37))</f>
        <v>1</v>
      </c>
      <c r="Q37" s="24"/>
    </row>
    <row r="38" ht="15.75" spans="1:17">
      <c r="A38" s="1">
        <f>IF(CHOOSE($B$2,tblTerritories_2014_O!A38,tblTerritories_2014_N!A38,tblTerritories_2017!A38)="","",CHOOSE($B$2,tblTerritories_2014_O!A38,tblTerritories_2014_N!A38,tblTerritories_2017!A38))</f>
        <v>36</v>
      </c>
      <c r="B38" s="1" t="str">
        <f>IF(CHOOSE($B$2,tblTerritories_2014_O!B38,tblTerritories_2014_N!B38,tblTerritories_2017!B38)="","",CHOOSE($B$2,tblTerritories_2014_O!B38,tblTerritories_2014_N!B38,tblTerritories_2017!B38))</f>
        <v/>
      </c>
      <c r="C38" s="51" t="str">
        <f>IF(CHOOSE($B$2,tblTerritories_2014_O!C38,tblTerritories_2014_N!C38,tblTerritories_2017!C38)="","",CHOOSE($B$2,tblTerritories_2014_O!C38,tblTerritories_2014_N!C38,tblTerritories_2017!C38))</f>
        <v>Moscow</v>
      </c>
      <c r="D38" s="1">
        <f>IF(CHOOSE($B$2,tblTerritories_2014_O!D38,tblTerritories_2014_N!D38,tblTerritories_2017!D38)="","",CHOOSE($B$2,tblTerritories_2014_O!D38,tblTerritories_2014_N!D38,tblTerritories_2017!D38))</f>
        <v>1</v>
      </c>
      <c r="E38" s="1">
        <f>IF(CHOOSE($B$2,tblTerritories_2014_O!E38,tblTerritories_2014_N!E38,tblTerritories_2017!E38)="","",CHOOSE($B$2,tblTerritories_2014_O!E38,tblTerritories_2014_N!E38,tblTerritories_2017!E38))</f>
        <v>0</v>
      </c>
      <c r="F38" s="1">
        <f>IF(CHOOSE($B$2,tblTerritories_2014_O!F38,tblTerritories_2014_N!F38,tblTerritories_2017!F38)="","",CHOOSE($B$2,tblTerritories_2014_O!F38,tblTerritories_2014_N!F38,tblTerritories_2017!F38))</f>
        <v>1</v>
      </c>
      <c r="G38" s="1">
        <f>IF(CHOOSE($B$2,tblTerritories_2014_O!G38,tblTerritories_2014_N!G38,tblTerritories_2017!G38)="","",CHOOSE($B$2,tblTerritories_2014_O!G38,tblTerritories_2014_N!G38,tblTerritories_2017!G38))</f>
        <v>0</v>
      </c>
      <c r="H38" s="17">
        <f>IF(CHOOSE($B$2,tblTerritories_2014_O!H38,tblTerritories_2014_N!H38,tblTerritories_2017!H38)="","",CHOOSE($B$2,tblTerritories_2014_O!H38,tblTerritories_2014_N!H38,tblTerritories_2017!H38))</f>
        <v>1</v>
      </c>
      <c r="I38" s="1" t="str">
        <f>IF(CHOOSE($B$2,tblTerritories_2014_O!I38,tblTerritories_2014_N!I38,tblTerritories_2017!I38)="","",CHOOSE($B$2,tblTerritories_2014_O!I38,tblTerritories_2014_N!I38,tblTerritories_2017!I38))</f>
        <v>Moscow</v>
      </c>
      <c r="J38" s="27" t="str">
        <f>IF(CHOOSE($B$2,tblTerritories_2014_O!J38,tblTerritories_2014_N!J38,tblTerritories_2017!J38)="","",CHOOSE($B$2,tblTerritories_2014_O!J38,tblTerritories_2014_N!J38,tblTerritories_2017!J38))</f>
        <v>Moscow</v>
      </c>
      <c r="K38" s="30">
        <f>IF(CHOOSE($B$2,tblTerritories_2014_O!K38,tblTerritories_2014_N!K38,tblTerritories_2017!K38)="","",CHOOSE($B$2,tblTerritories_2014_O!K38,tblTerritories_2014_N!K38,tblTerritories_2017!K38))</f>
        <v>0</v>
      </c>
      <c r="L38" s="31">
        <f>IF(CHOOSE($B$2,tblTerritories_2014_O!L38,tblTerritories_2014_N!L38,tblTerritories_2017!L38)="","",CHOOSE($B$2,tblTerritories_2014_O!L38,tblTerritories_2014_N!L38,tblTerritories_2017!L38))</f>
        <v>1</v>
      </c>
      <c r="M38" s="32" t="str">
        <f>IF(CHOOSE($B$2,tblTerritories_2014_O!M38,tblTerritories_2014_N!M38,tblTerritories_2017!M38)="","",CHOOSE($B$2,tblTerritories_2014_O!M38,tblTerritories_2014_N!M38,tblTerritories_2017!M38))</f>
        <v/>
      </c>
      <c r="N38" s="24" t="str">
        <f>IF(CHOOSE($B$2,tblTerritories_2014_O!N38,tblTerritories_2014_N!N38,tblTerritories_2017!N38)="","",CHOOSE($B$2,tblTerritories_2014_O!N38,tblTerritories_2014_N!N38,tblTerritories_2017!N38))</f>
        <v/>
      </c>
      <c r="O38" s="1" t="str">
        <f>IF(CHOOSE($B$2,tblTerritories_2014_O!O38,tblTerritories_2014_N!O38,tblTerritories_2017!O38)="","",CHOOSE($B$2,tblTerritories_2014_O!O38,tblTerritories_2014_N!O38,tblTerritories_2017!O38))</f>
        <v/>
      </c>
      <c r="P38" s="24">
        <f>IF(CHOOSE($B$2,tblTerritories_2014_O!P38,tblTerritories_2014_N!P38,tblTerritories_2017!P38)="","",CHOOSE($B$2,tblTerritories_2014_O!P38,tblTerritories_2014_N!P38,tblTerritories_2017!P38))</f>
        <v>1</v>
      </c>
      <c r="Q38" s="24"/>
    </row>
    <row r="39" ht="15.75" spans="1:17">
      <c r="A39" s="1">
        <f>IF(CHOOSE($B$2,tblTerritories_2014_O!A39,tblTerritories_2014_N!A39,tblTerritories_2017!A39)="","",CHOOSE($B$2,tblTerritories_2014_O!A39,tblTerritories_2014_N!A39,tblTerritories_2017!A39))</f>
        <v>37</v>
      </c>
      <c r="B39" s="1" t="str">
        <f>IF(CHOOSE($B$2,tblTerritories_2014_O!B39,tblTerritories_2014_N!B39,tblTerritories_2017!B39)="","",CHOOSE($B$2,tblTerritories_2014_O!B39,tblTerritories_2014_N!B39,tblTerritories_2017!B39))</f>
        <v/>
      </c>
      <c r="C39" s="51" t="str">
        <f>IF(CHOOSE($B$2,tblTerritories_2014_O!C39,tblTerritories_2014_N!C39,tblTerritories_2017!C39)="","",CHOOSE($B$2,tblTerritories_2014_O!C39,tblTerritories_2014_N!C39,tblTerritories_2017!C39))</f>
        <v>Mumbai</v>
      </c>
      <c r="D39" s="1">
        <f>IF(CHOOSE($B$2,tblTerritories_2014_O!D39,tblTerritories_2014_N!D39,tblTerritories_2017!D39)="","",CHOOSE($B$2,tblTerritories_2014_O!D39,tblTerritories_2014_N!D39,tblTerritories_2017!D39))</f>
        <v>1</v>
      </c>
      <c r="E39" s="1">
        <f>IF(CHOOSE($B$2,tblTerritories_2014_O!E39,tblTerritories_2014_N!E39,tblTerritories_2017!E39)="","",CHOOSE($B$2,tblTerritories_2014_O!E39,tblTerritories_2014_N!E39,tblTerritories_2017!E39))</f>
        <v>0</v>
      </c>
      <c r="F39" s="1">
        <f>IF(CHOOSE($B$2,tblTerritories_2014_O!F39,tblTerritories_2014_N!F39,tblTerritories_2017!F39)="","",CHOOSE($B$2,tblTerritories_2014_O!F39,tblTerritories_2014_N!F39,tblTerritories_2017!F39))</f>
        <v>1</v>
      </c>
      <c r="G39" s="1">
        <f>IF(CHOOSE($B$2,tblTerritories_2014_O!G39,tblTerritories_2014_N!G39,tblTerritories_2017!G39)="","",CHOOSE($B$2,tblTerritories_2014_O!G39,tblTerritories_2014_N!G39,tblTerritories_2017!G39))</f>
        <v>0</v>
      </c>
      <c r="H39" s="17">
        <f>IF(CHOOSE($B$2,tblTerritories_2014_O!H39,tblTerritories_2014_N!H39,tblTerritories_2017!H39)="","",CHOOSE($B$2,tblTerritories_2014_O!H39,tblTerritories_2014_N!H39,tblTerritories_2017!H39))</f>
        <v>1</v>
      </c>
      <c r="I39" s="1" t="str">
        <f>IF(CHOOSE($B$2,tblTerritories_2014_O!I39,tblTerritories_2014_N!I39,tblTerritories_2017!I39)="","",CHOOSE($B$2,tblTerritories_2014_O!I39,tblTerritories_2014_N!I39,tblTerritories_2017!I39))</f>
        <v>Mumbai</v>
      </c>
      <c r="J39" s="27" t="str">
        <f>IF(CHOOSE($B$2,tblTerritories_2014_O!J39,tblTerritories_2014_N!J39,tblTerritories_2017!J39)="","",CHOOSE($B$2,tblTerritories_2014_O!J39,tblTerritories_2014_N!J39,tblTerritories_2017!J39))</f>
        <v>Mumbai</v>
      </c>
      <c r="K39" s="30">
        <f>IF(CHOOSE($B$2,tblTerritories_2014_O!K39,tblTerritories_2014_N!K39,tblTerritories_2017!K39)="","",CHOOSE($B$2,tblTerritories_2014_O!K39,tblTerritories_2014_N!K39,tblTerritories_2017!K39))</f>
        <v>0</v>
      </c>
      <c r="L39" s="31">
        <f>IF(CHOOSE($B$2,tblTerritories_2014_O!L39,tblTerritories_2014_N!L39,tblTerritories_2017!L39)="","",CHOOSE($B$2,tblTerritories_2014_O!L39,tblTerritories_2014_N!L39,tblTerritories_2017!L39))</f>
        <v>1</v>
      </c>
      <c r="M39" s="32" t="str">
        <f>IF(CHOOSE($B$2,tblTerritories_2014_O!M39,tblTerritories_2014_N!M39,tblTerritories_2017!M39)="","",CHOOSE($B$2,tblTerritories_2014_O!M39,tblTerritories_2014_N!M39,tblTerritories_2017!M39))</f>
        <v/>
      </c>
      <c r="N39" s="24" t="str">
        <f>IF(CHOOSE($B$2,tblTerritories_2014_O!N39,tblTerritories_2014_N!N39,tblTerritories_2017!N39)="","",CHOOSE($B$2,tblTerritories_2014_O!N39,tblTerritories_2014_N!N39,tblTerritories_2017!N39))</f>
        <v/>
      </c>
      <c r="O39" s="1" t="str">
        <f>IF(CHOOSE($B$2,tblTerritories_2014_O!O39,tblTerritories_2014_N!O39,tblTerritories_2017!O39)="","",CHOOSE($B$2,tblTerritories_2014_O!O39,tblTerritories_2014_N!O39,tblTerritories_2017!O39))</f>
        <v/>
      </c>
      <c r="P39" s="24">
        <f>IF(CHOOSE($B$2,tblTerritories_2014_O!P39,tblTerritories_2014_N!P39,tblTerritories_2017!P39)="","",CHOOSE($B$2,tblTerritories_2014_O!P39,tblTerritories_2014_N!P39,tblTerritories_2017!P39))</f>
        <v>8</v>
      </c>
      <c r="Q39" s="24"/>
    </row>
    <row r="40" ht="15.75" spans="1:17">
      <c r="A40" s="1">
        <f>IF(CHOOSE($B$2,tblTerritories_2014_O!A40,tblTerritories_2014_N!A40,tblTerritories_2017!A40)="","",CHOOSE($B$2,tblTerritories_2014_O!A40,tblTerritories_2014_N!A40,tblTerritories_2017!A40))</f>
        <v>38</v>
      </c>
      <c r="B40" s="1" t="str">
        <f>IF(CHOOSE($B$2,tblTerritories_2014_O!B40,tblTerritories_2014_N!B40,tblTerritories_2017!B40)="","",CHOOSE($B$2,tblTerritories_2014_O!B40,tblTerritories_2014_N!B40,tblTerritories_2017!B40))</f>
        <v/>
      </c>
      <c r="C40" s="51" t="str">
        <f>IF(CHOOSE($B$2,tblTerritories_2014_O!C40,tblTerritories_2014_N!C40,tblTerritories_2017!C40)="","",CHOOSE($B$2,tblTerritories_2014_O!C40,tblTerritories_2014_N!C40,tblTerritories_2017!C40))</f>
        <v>New York</v>
      </c>
      <c r="D40" s="1">
        <f>IF(CHOOSE($B$2,tblTerritories_2014_O!D40,tblTerritories_2014_N!D40,tblTerritories_2017!D40)="","",CHOOSE($B$2,tblTerritories_2014_O!D40,tblTerritories_2014_N!D40,tblTerritories_2017!D40))</f>
        <v>1</v>
      </c>
      <c r="E40" s="1">
        <f>IF(CHOOSE($B$2,tblTerritories_2014_O!E40,tblTerritories_2014_N!E40,tblTerritories_2017!E40)="","",CHOOSE($B$2,tblTerritories_2014_O!E40,tblTerritories_2014_N!E40,tblTerritories_2017!E40))</f>
        <v>0</v>
      </c>
      <c r="F40" s="1">
        <f>IF(CHOOSE($B$2,tblTerritories_2014_O!F40,tblTerritories_2014_N!F40,tblTerritories_2017!F40)="","",CHOOSE($B$2,tblTerritories_2014_O!F40,tblTerritories_2014_N!F40,tblTerritories_2017!F40))</f>
        <v>1</v>
      </c>
      <c r="G40" s="1">
        <f>IF(CHOOSE($B$2,tblTerritories_2014_O!G40,tblTerritories_2014_N!G40,tblTerritories_2017!G40)="","",CHOOSE($B$2,tblTerritories_2014_O!G40,tblTerritories_2014_N!G40,tblTerritories_2017!G40))</f>
        <v>0</v>
      </c>
      <c r="H40" s="17">
        <f>IF(CHOOSE($B$2,tblTerritories_2014_O!H40,tblTerritories_2014_N!H40,tblTerritories_2017!H40)="","",CHOOSE($B$2,tblTerritories_2014_O!H40,tblTerritories_2014_N!H40,tblTerritories_2017!H40))</f>
        <v>1</v>
      </c>
      <c r="I40" s="1" t="str">
        <f>IF(CHOOSE($B$2,tblTerritories_2014_O!I40,tblTerritories_2014_N!I40,tblTerritories_2017!I40)="","",CHOOSE($B$2,tblTerritories_2014_O!I40,tblTerritories_2014_N!I40,tblTerritories_2017!I40))</f>
        <v>NewYork</v>
      </c>
      <c r="J40" s="27" t="str">
        <f>IF(CHOOSE($B$2,tblTerritories_2014_O!J40,tblTerritories_2014_N!J40,tblTerritories_2017!J40)="","",CHOOSE($B$2,tblTerritories_2014_O!J40,tblTerritories_2014_N!J40,tblTerritories_2017!J40))</f>
        <v>New York</v>
      </c>
      <c r="K40" s="30">
        <f>IF(CHOOSE($B$2,tblTerritories_2014_O!K40,tblTerritories_2014_N!K40,tblTerritories_2017!K40)="","",CHOOSE($B$2,tblTerritories_2014_O!K40,tblTerritories_2014_N!K40,tblTerritories_2017!K40))</f>
        <v>0</v>
      </c>
      <c r="L40" s="31">
        <f>IF(CHOOSE($B$2,tblTerritories_2014_O!L40,tblTerritories_2014_N!L40,tblTerritories_2017!L40)="","",CHOOSE($B$2,tblTerritories_2014_O!L40,tblTerritories_2014_N!L40,tblTerritories_2017!L40))</f>
        <v>1</v>
      </c>
      <c r="M40" s="32" t="str">
        <f>IF(CHOOSE($B$2,tblTerritories_2014_O!M40,tblTerritories_2014_N!M40,tblTerritories_2017!M40)="","",CHOOSE($B$2,tblTerritories_2014_O!M40,tblTerritories_2014_N!M40,tblTerritories_2017!M40))</f>
        <v/>
      </c>
      <c r="N40" s="24" t="str">
        <f>IF(CHOOSE($B$2,tblTerritories_2014_O!N40,tblTerritories_2014_N!N40,tblTerritories_2017!N40)="","",CHOOSE($B$2,tblTerritories_2014_O!N40,tblTerritories_2014_N!N40,tblTerritories_2017!N40))</f>
        <v/>
      </c>
      <c r="O40" s="1" t="str">
        <f>IF(CHOOSE($B$2,tblTerritories_2014_O!O40,tblTerritories_2014_N!O40,tblTerritories_2017!O40)="","",CHOOSE($B$2,tblTerritories_2014_O!O40,tblTerritories_2014_N!O40,tblTerritories_2017!O40))</f>
        <v/>
      </c>
      <c r="P40" s="24">
        <f>IF(CHOOSE($B$2,tblTerritories_2014_O!P40,tblTerritories_2014_N!P40,tblTerritories_2017!P40)="","",CHOOSE($B$2,tblTerritories_2014_O!P40,tblTerritories_2014_N!P40,tblTerritories_2017!P40))</f>
        <v>4</v>
      </c>
      <c r="Q40" s="24"/>
    </row>
    <row r="41" ht="15.75" spans="1:17">
      <c r="A41" s="1">
        <f>IF(CHOOSE($B$2,tblTerritories_2014_O!A41,tblTerritories_2014_N!A41,tblTerritories_2017!A41)="","",CHOOSE($B$2,tblTerritories_2014_O!A41,tblTerritories_2014_N!A41,tblTerritories_2017!A41))</f>
        <v>39</v>
      </c>
      <c r="B41" s="1" t="str">
        <f>IF(CHOOSE($B$2,tblTerritories_2014_O!B41,tblTerritories_2014_N!B41,tblTerritories_2017!B41)="","",CHOOSE($B$2,tblTerritories_2014_O!B41,tblTerritories_2014_N!B41,tblTerritories_2017!B41))</f>
        <v/>
      </c>
      <c r="C41" s="51" t="str">
        <f>IF(CHOOSE($B$2,tblTerritories_2014_O!C41,tblTerritories_2014_N!C41,tblTerritories_2017!C41)="","",CHOOSE($B$2,tblTerritories_2014_O!C41,tblTerritories_2014_N!C41,tblTerritories_2017!C41))</f>
        <v>Osaka</v>
      </c>
      <c r="D41" s="1">
        <f>IF(CHOOSE($B$2,tblTerritories_2014_O!D41,tblTerritories_2014_N!D41,tblTerritories_2017!D41)="","",CHOOSE($B$2,tblTerritories_2014_O!D41,tblTerritories_2014_N!D41,tblTerritories_2017!D41))</f>
        <v>1</v>
      </c>
      <c r="E41" s="1">
        <f>IF(CHOOSE($B$2,tblTerritories_2014_O!E41,tblTerritories_2014_N!E41,tblTerritories_2017!E41)="","",CHOOSE($B$2,tblTerritories_2014_O!E41,tblTerritories_2014_N!E41,tblTerritories_2017!E41))</f>
        <v>0</v>
      </c>
      <c r="F41" s="1">
        <f>IF(CHOOSE($B$2,tblTerritories_2014_O!F41,tblTerritories_2014_N!F41,tblTerritories_2017!F41)="","",CHOOSE($B$2,tblTerritories_2014_O!F41,tblTerritories_2014_N!F41,tblTerritories_2017!F41))</f>
        <v>1</v>
      </c>
      <c r="G41" s="1">
        <f>IF(CHOOSE($B$2,tblTerritories_2014_O!G41,tblTerritories_2014_N!G41,tblTerritories_2017!G41)="","",CHOOSE($B$2,tblTerritories_2014_O!G41,tblTerritories_2014_N!G41,tblTerritories_2017!G41))</f>
        <v>0</v>
      </c>
      <c r="H41" s="17">
        <f>IF(CHOOSE($B$2,tblTerritories_2014_O!H41,tblTerritories_2014_N!H41,tblTerritories_2017!H41)="","",CHOOSE($B$2,tblTerritories_2014_O!H41,tblTerritories_2014_N!H41,tblTerritories_2017!H41))</f>
        <v>1</v>
      </c>
      <c r="I41" s="1" t="str">
        <f>IF(CHOOSE($B$2,tblTerritories_2014_O!I41,tblTerritories_2014_N!I41,tblTerritories_2017!I41)="","",CHOOSE($B$2,tblTerritories_2014_O!I41,tblTerritories_2014_N!I41,tblTerritories_2017!I41))</f>
        <v>Osaka</v>
      </c>
      <c r="J41" s="27" t="str">
        <f>IF(CHOOSE($B$2,tblTerritories_2014_O!J41,tblTerritories_2014_N!J41,tblTerritories_2017!J41)="","",CHOOSE($B$2,tblTerritories_2014_O!J41,tblTerritories_2014_N!J41,tblTerritories_2017!J41))</f>
        <v>Osaka</v>
      </c>
      <c r="K41" s="30">
        <f>IF(CHOOSE($B$2,tblTerritories_2014_O!K41,tblTerritories_2014_N!K41,tblTerritories_2017!K41)="","",CHOOSE($B$2,tblTerritories_2014_O!K41,tblTerritories_2014_N!K41,tblTerritories_2017!K41))</f>
        <v>0</v>
      </c>
      <c r="L41" s="31">
        <f>IF(CHOOSE($B$2,tblTerritories_2014_O!L41,tblTerritories_2014_N!L41,tblTerritories_2017!L41)="","",CHOOSE($B$2,tblTerritories_2014_O!L41,tblTerritories_2014_N!L41,tblTerritories_2017!L41))</f>
        <v>1</v>
      </c>
      <c r="M41" s="32" t="str">
        <f>IF(CHOOSE($B$2,tblTerritories_2014_O!M41,tblTerritories_2014_N!M41,tblTerritories_2017!M41)="","",CHOOSE($B$2,tblTerritories_2014_O!M41,tblTerritories_2014_N!M41,tblTerritories_2017!M41))</f>
        <v/>
      </c>
      <c r="N41" s="24" t="str">
        <f>IF(CHOOSE($B$2,tblTerritories_2014_O!N41,tblTerritories_2014_N!N41,tblTerritories_2017!N41)="","",CHOOSE($B$2,tblTerritories_2014_O!N41,tblTerritories_2014_N!N41,tblTerritories_2017!N41))</f>
        <v/>
      </c>
      <c r="O41" s="1" t="str">
        <f>IF(CHOOSE($B$2,tblTerritories_2014_O!O41,tblTerritories_2014_N!O41,tblTerritories_2017!O41)="","",CHOOSE($B$2,tblTerritories_2014_O!O41,tblTerritories_2014_N!O41,tblTerritories_2017!O41))</f>
        <v/>
      </c>
      <c r="P41" s="24">
        <f>IF(CHOOSE($B$2,tblTerritories_2014_O!P41,tblTerritories_2014_N!P41,tblTerritories_2017!P41)="","",CHOOSE($B$2,tblTerritories_2014_O!P41,tblTerritories_2014_N!P41,tblTerritories_2017!P41))</f>
        <v>6</v>
      </c>
      <c r="Q41" s="24"/>
    </row>
    <row r="42" ht="15.75" spans="1:17">
      <c r="A42" s="1">
        <f>IF(CHOOSE($B$2,tblTerritories_2014_O!A42,tblTerritories_2014_N!A42,tblTerritories_2017!A42)="","",CHOOSE($B$2,tblTerritories_2014_O!A42,tblTerritories_2014_N!A42,tblTerritories_2017!A42))</f>
        <v>40</v>
      </c>
      <c r="B42" s="1" t="str">
        <f>IF(CHOOSE($B$2,tblTerritories_2014_O!B42,tblTerritories_2014_N!B42,tblTerritories_2017!B42)="","",CHOOSE($B$2,tblTerritories_2014_O!B42,tblTerritories_2014_N!B42,tblTerritories_2017!B42))</f>
        <v/>
      </c>
      <c r="C42" s="51" t="str">
        <f>IF(CHOOSE($B$2,tblTerritories_2014_O!C42,tblTerritories_2014_N!C42,tblTerritories_2017!C42)="","",CHOOSE($B$2,tblTerritories_2014_O!C42,tblTerritories_2014_N!C42,tblTerritories_2017!C42))</f>
        <v>Paris</v>
      </c>
      <c r="D42" s="1">
        <f>IF(CHOOSE($B$2,tblTerritories_2014_O!D42,tblTerritories_2014_N!D42,tblTerritories_2017!D42)="","",CHOOSE($B$2,tblTerritories_2014_O!D42,tblTerritories_2014_N!D42,tblTerritories_2017!D42))</f>
        <v>1</v>
      </c>
      <c r="E42" s="1">
        <f>IF(CHOOSE($B$2,tblTerritories_2014_O!E42,tblTerritories_2014_N!E42,tblTerritories_2017!E42)="","",CHOOSE($B$2,tblTerritories_2014_O!E42,tblTerritories_2014_N!E42,tblTerritories_2017!E42))</f>
        <v>0</v>
      </c>
      <c r="F42" s="1">
        <f>IF(CHOOSE($B$2,tblTerritories_2014_O!F42,tblTerritories_2014_N!F42,tblTerritories_2017!F42)="","",CHOOSE($B$2,tblTerritories_2014_O!F42,tblTerritories_2014_N!F42,tblTerritories_2017!F42))</f>
        <v>1</v>
      </c>
      <c r="G42" s="1">
        <f>IF(CHOOSE($B$2,tblTerritories_2014_O!G42,tblTerritories_2014_N!G42,tblTerritories_2017!G42)="","",CHOOSE($B$2,tblTerritories_2014_O!G42,tblTerritories_2014_N!G42,tblTerritories_2017!G42))</f>
        <v>0</v>
      </c>
      <c r="H42" s="17">
        <f>IF(CHOOSE($B$2,tblTerritories_2014_O!H42,tblTerritories_2014_N!H42,tblTerritories_2017!H42)="","",CHOOSE($B$2,tblTerritories_2014_O!H42,tblTerritories_2014_N!H42,tblTerritories_2017!H42))</f>
        <v>1</v>
      </c>
      <c r="I42" s="1" t="str">
        <f>IF(CHOOSE($B$2,tblTerritories_2014_O!I42,tblTerritories_2014_N!I42,tblTerritories_2017!I42)="","",CHOOSE($B$2,tblTerritories_2014_O!I42,tblTerritories_2014_N!I42,tblTerritories_2017!I42))</f>
        <v>Paris</v>
      </c>
      <c r="J42" s="27" t="str">
        <f>IF(CHOOSE($B$2,tblTerritories_2014_O!J42,tblTerritories_2014_N!J42,tblTerritories_2017!J42)="","",CHOOSE($B$2,tblTerritories_2014_O!J42,tblTerritories_2014_N!J42,tblTerritories_2017!J42))</f>
        <v>Paris</v>
      </c>
      <c r="K42" s="30">
        <f>IF(CHOOSE($B$2,tblTerritories_2014_O!K42,tblTerritories_2014_N!K42,tblTerritories_2017!K42)="","",CHOOSE($B$2,tblTerritories_2014_O!K42,tblTerritories_2014_N!K42,tblTerritories_2017!K42))</f>
        <v>0</v>
      </c>
      <c r="L42" s="31">
        <f>IF(CHOOSE($B$2,tblTerritories_2014_O!L42,tblTerritories_2014_N!L42,tblTerritories_2017!L42)="","",CHOOSE($B$2,tblTerritories_2014_O!L42,tblTerritories_2014_N!L42,tblTerritories_2017!L42))</f>
        <v>1</v>
      </c>
      <c r="M42" s="32" t="str">
        <f>IF(CHOOSE($B$2,tblTerritories_2014_O!M42,tblTerritories_2014_N!M42,tblTerritories_2017!M42)="","",CHOOSE($B$2,tblTerritories_2014_O!M42,tblTerritories_2014_N!M42,tblTerritories_2017!M42))</f>
        <v/>
      </c>
      <c r="N42" s="24" t="str">
        <f>IF(CHOOSE($B$2,tblTerritories_2014_O!N42,tblTerritories_2014_N!N42,tblTerritories_2017!N42)="","",CHOOSE($B$2,tblTerritories_2014_O!N42,tblTerritories_2014_N!N42,tblTerritories_2017!N42))</f>
        <v/>
      </c>
      <c r="O42" s="1" t="str">
        <f>IF(CHOOSE($B$2,tblTerritories_2014_O!O42,tblTerritories_2014_N!O42,tblTerritories_2017!O42)="","",CHOOSE($B$2,tblTerritories_2014_O!O42,tblTerritories_2014_N!O42,tblTerritories_2017!O42))</f>
        <v/>
      </c>
      <c r="P42" s="24">
        <f>IF(CHOOSE($B$2,tblTerritories_2014_O!P42,tblTerritories_2014_N!P42,tblTerritories_2017!P42)="","",CHOOSE($B$2,tblTerritories_2014_O!P42,tblTerritories_2014_N!P42,tblTerritories_2017!P42))</f>
        <v>1</v>
      </c>
      <c r="Q42" s="24"/>
    </row>
    <row r="43" ht="15.75" spans="1:17">
      <c r="A43" s="1">
        <f>IF(CHOOSE($B$2,tblTerritories_2014_O!A43,tblTerritories_2014_N!A43,tblTerritories_2017!A43)="","",CHOOSE($B$2,tblTerritories_2014_O!A43,tblTerritories_2014_N!A43,tblTerritories_2017!A43))</f>
        <v>41</v>
      </c>
      <c r="B43" s="1" t="str">
        <f>IF(CHOOSE($B$2,tblTerritories_2014_O!B43,tblTerritories_2014_N!B43,tblTerritories_2017!B43)="","",CHOOSE($B$2,tblTerritories_2014_O!B43,tblTerritories_2014_N!B43,tblTerritories_2017!B43))</f>
        <v/>
      </c>
      <c r="C43" s="51" t="str">
        <f>IF(CHOOSE($B$2,tblTerritories_2014_O!C43,tblTerritories_2014_N!C43,tblTerritories_2017!C43)="","",CHOOSE($B$2,tblTerritories_2014_O!C43,tblTerritories_2014_N!C43,tblTerritories_2017!C43))</f>
        <v>Quito</v>
      </c>
      <c r="D43" s="1">
        <f>IF(CHOOSE($B$2,tblTerritories_2014_O!D43,tblTerritories_2014_N!D43,tblTerritories_2017!D43)="","",CHOOSE($B$2,tblTerritories_2014_O!D43,tblTerritories_2014_N!D43,tblTerritories_2017!D43))</f>
        <v>1</v>
      </c>
      <c r="E43" s="1">
        <f>IF(CHOOSE($B$2,tblTerritories_2014_O!E43,tblTerritories_2014_N!E43,tblTerritories_2017!E43)="","",CHOOSE($B$2,tblTerritories_2014_O!E43,tblTerritories_2014_N!E43,tblTerritories_2017!E43))</f>
        <v>0</v>
      </c>
      <c r="F43" s="1">
        <f>IF(CHOOSE($B$2,tblTerritories_2014_O!F43,tblTerritories_2014_N!F43,tblTerritories_2017!F43)="","",CHOOSE($B$2,tblTerritories_2014_O!F43,tblTerritories_2014_N!F43,tblTerritories_2017!F43))</f>
        <v>1</v>
      </c>
      <c r="G43" s="1">
        <f>IF(CHOOSE($B$2,tblTerritories_2014_O!G43,tblTerritories_2014_N!G43,tblTerritories_2017!G43)="","",CHOOSE($B$2,tblTerritories_2014_O!G43,tblTerritories_2014_N!G43,tblTerritories_2017!G43))</f>
        <v>0</v>
      </c>
      <c r="H43" s="17">
        <f>IF(CHOOSE($B$2,tblTerritories_2014_O!H43,tblTerritories_2014_N!H43,tblTerritories_2017!H43)="","",CHOOSE($B$2,tblTerritories_2014_O!H43,tblTerritories_2014_N!H43,tblTerritories_2017!H43))</f>
        <v>1</v>
      </c>
      <c r="I43" s="1" t="str">
        <f>IF(CHOOSE($B$2,tblTerritories_2014_O!I43,tblTerritories_2014_N!I43,tblTerritories_2017!I43)="","",CHOOSE($B$2,tblTerritories_2014_O!I43,tblTerritories_2014_N!I43,tblTerritories_2017!I43))</f>
        <v>Quito</v>
      </c>
      <c r="J43" s="27" t="str">
        <f>IF(CHOOSE($B$2,tblTerritories_2014_O!J43,tblTerritories_2014_N!J43,tblTerritories_2017!J43)="","",CHOOSE($B$2,tblTerritories_2014_O!J43,tblTerritories_2014_N!J43,tblTerritories_2017!J43))</f>
        <v>Quito</v>
      </c>
      <c r="K43" s="30">
        <f>IF(CHOOSE($B$2,tblTerritories_2014_O!K43,tblTerritories_2014_N!K43,tblTerritories_2017!K43)="","",CHOOSE($B$2,tblTerritories_2014_O!K43,tblTerritories_2014_N!K43,tblTerritories_2017!K43))</f>
        <v>0</v>
      </c>
      <c r="L43" s="31">
        <f>IF(CHOOSE($B$2,tblTerritories_2014_O!L43,tblTerritories_2014_N!L43,tblTerritories_2017!L43)="","",CHOOSE($B$2,tblTerritories_2014_O!L43,tblTerritories_2014_N!L43,tblTerritories_2017!L43))</f>
        <v>1</v>
      </c>
      <c r="M43" s="32" t="str">
        <f>IF(CHOOSE($B$2,tblTerritories_2014_O!M43,tblTerritories_2014_N!M43,tblTerritories_2017!M43)="","",CHOOSE($B$2,tblTerritories_2014_O!M43,tblTerritories_2014_N!M43,tblTerritories_2017!M43))</f>
        <v/>
      </c>
      <c r="N43" s="24" t="str">
        <f>IF(CHOOSE($B$2,tblTerritories_2014_O!N43,tblTerritories_2014_N!N43,tblTerritories_2017!N43)="","",CHOOSE($B$2,tblTerritories_2014_O!N43,tblTerritories_2014_N!N43,tblTerritories_2017!N43))</f>
        <v/>
      </c>
      <c r="O43" s="1" t="str">
        <f>IF(CHOOSE($B$2,tblTerritories_2014_O!O43,tblTerritories_2014_N!O43,tblTerritories_2017!O43)="","",CHOOSE($B$2,tblTerritories_2014_O!O43,tblTerritories_2014_N!O43,tblTerritories_2017!O43))</f>
        <v/>
      </c>
      <c r="P43" s="24">
        <f>IF(CHOOSE($B$2,tblTerritories_2014_O!P43,tblTerritories_2014_N!P43,tblTerritories_2017!P43)="","",CHOOSE($B$2,tblTerritories_2014_O!P43,tblTerritories_2014_N!P43,tblTerritories_2017!P43))</f>
        <v>2</v>
      </c>
      <c r="Q43" s="24"/>
    </row>
    <row r="44" ht="15.75" spans="1:17">
      <c r="A44" s="1">
        <f>IF(CHOOSE($B$2,tblTerritories_2014_O!A44,tblTerritories_2014_N!A44,tblTerritories_2017!A44)="","",CHOOSE($B$2,tblTerritories_2014_O!A44,tblTerritories_2014_N!A44,tblTerritories_2017!A44))</f>
        <v>42</v>
      </c>
      <c r="B44" s="1" t="str">
        <f>IF(CHOOSE($B$2,tblTerritories_2014_O!B44,tblTerritories_2014_N!B44,tblTerritories_2017!B44)="","",CHOOSE($B$2,tblTerritories_2014_O!B44,tblTerritories_2014_N!B44,tblTerritories_2017!B44))</f>
        <v/>
      </c>
      <c r="C44" s="51" t="str">
        <f>IF(CHOOSE($B$2,tblTerritories_2014_O!C44,tblTerritories_2014_N!C44,tblTerritories_2017!C44)="","",CHOOSE($B$2,tblTerritories_2014_O!C44,tblTerritories_2014_N!C44,tblTerritories_2017!C44))</f>
        <v>Rio de Janeiro</v>
      </c>
      <c r="D44" s="1">
        <f>IF(CHOOSE($B$2,tblTerritories_2014_O!D44,tblTerritories_2014_N!D44,tblTerritories_2017!D44)="","",CHOOSE($B$2,tblTerritories_2014_O!D44,tblTerritories_2014_N!D44,tblTerritories_2017!D44))</f>
        <v>1</v>
      </c>
      <c r="E44" s="1">
        <f>IF(CHOOSE($B$2,tblTerritories_2014_O!E44,tblTerritories_2014_N!E44,tblTerritories_2017!E44)="","",CHOOSE($B$2,tblTerritories_2014_O!E44,tblTerritories_2014_N!E44,tblTerritories_2017!E44))</f>
        <v>0</v>
      </c>
      <c r="F44" s="1">
        <f>IF(CHOOSE($B$2,tblTerritories_2014_O!F44,tblTerritories_2014_N!F44,tblTerritories_2017!F44)="","",CHOOSE($B$2,tblTerritories_2014_O!F44,tblTerritories_2014_N!F44,tblTerritories_2017!F44))</f>
        <v>1</v>
      </c>
      <c r="G44" s="1">
        <f>IF(CHOOSE($B$2,tblTerritories_2014_O!G44,tblTerritories_2014_N!G44,tblTerritories_2017!G44)="","",CHOOSE($B$2,tblTerritories_2014_O!G44,tblTerritories_2014_N!G44,tblTerritories_2017!G44))</f>
        <v>0</v>
      </c>
      <c r="H44" s="17">
        <f>IF(CHOOSE($B$2,tblTerritories_2014_O!H44,tblTerritories_2014_N!H44,tblTerritories_2017!H44)="","",CHOOSE($B$2,tblTerritories_2014_O!H44,tblTerritories_2014_N!H44,tblTerritories_2017!H44))</f>
        <v>1</v>
      </c>
      <c r="I44" s="1" t="str">
        <f>IF(CHOOSE($B$2,tblTerritories_2014_O!I44,tblTerritories_2014_N!I44,tblTerritories_2017!I44)="","",CHOOSE($B$2,tblTerritories_2014_O!I44,tblTerritories_2014_N!I44,tblTerritories_2017!I44))</f>
        <v>RiodeJaneiro</v>
      </c>
      <c r="J44" s="27" t="str">
        <f>IF(CHOOSE($B$2,tblTerritories_2014_O!J44,tblTerritories_2014_N!J44,tblTerritories_2017!J44)="","",CHOOSE($B$2,tblTerritories_2014_O!J44,tblTerritories_2014_N!J44,tblTerritories_2017!J44))</f>
        <v>Rio de Janeiro</v>
      </c>
      <c r="K44" s="30">
        <f>IF(CHOOSE($B$2,tblTerritories_2014_O!K44,tblTerritories_2014_N!K44,tblTerritories_2017!K44)="","",CHOOSE($B$2,tblTerritories_2014_O!K44,tblTerritories_2014_N!K44,tblTerritories_2017!K44))</f>
        <v>0</v>
      </c>
      <c r="L44" s="31">
        <f>IF(CHOOSE($B$2,tblTerritories_2014_O!L44,tblTerritories_2014_N!L44,tblTerritories_2017!L44)="","",CHOOSE($B$2,tblTerritories_2014_O!L44,tblTerritories_2014_N!L44,tblTerritories_2017!L44))</f>
        <v>1</v>
      </c>
      <c r="M44" s="32" t="str">
        <f>IF(CHOOSE($B$2,tblTerritories_2014_O!M44,tblTerritories_2014_N!M44,tblTerritories_2017!M44)="","",CHOOSE($B$2,tblTerritories_2014_O!M44,tblTerritories_2014_N!M44,tblTerritories_2017!M44))</f>
        <v/>
      </c>
      <c r="N44" s="24" t="str">
        <f>IF(CHOOSE($B$2,tblTerritories_2014_O!N44,tblTerritories_2014_N!N44,tblTerritories_2017!N44)="","",CHOOSE($B$2,tblTerritories_2014_O!N44,tblTerritories_2014_N!N44,tblTerritories_2017!N44))</f>
        <v/>
      </c>
      <c r="O44" s="1" t="str">
        <f>IF(CHOOSE($B$2,tblTerritories_2014_O!O44,tblTerritories_2014_N!O44,tblTerritories_2017!O44)="","",CHOOSE($B$2,tblTerritories_2014_O!O44,tblTerritories_2014_N!O44,tblTerritories_2017!O44))</f>
        <v/>
      </c>
      <c r="P44" s="24">
        <f>IF(CHOOSE($B$2,tblTerritories_2014_O!P44,tblTerritories_2014_N!P44,tblTerritories_2017!P44)="","",CHOOSE($B$2,tblTerritories_2014_O!P44,tblTerritories_2014_N!P44,tblTerritories_2017!P44))</f>
        <v>2</v>
      </c>
      <c r="Q44" s="24"/>
    </row>
    <row r="45" ht="15.75" spans="1:17">
      <c r="A45" s="1">
        <f>IF(CHOOSE($B$2,tblTerritories_2014_O!A45,tblTerritories_2014_N!A45,tblTerritories_2017!A45)="","",CHOOSE($B$2,tblTerritories_2014_O!A45,tblTerritories_2014_N!A45,tblTerritories_2017!A45))</f>
        <v>43</v>
      </c>
      <c r="B45" s="1" t="str">
        <f>IF(CHOOSE($B$2,tblTerritories_2014_O!B45,tblTerritories_2014_N!B45,tblTerritories_2017!B45)="","",CHOOSE($B$2,tblTerritories_2014_O!B45,tblTerritories_2014_N!B45,tblTerritories_2017!B45))</f>
        <v/>
      </c>
      <c r="C45" s="51" t="str">
        <f>IF(CHOOSE($B$2,tblTerritories_2014_O!C45,tblTerritories_2014_N!C45,tblTerritories_2017!C45)="","",CHOOSE($B$2,tblTerritories_2014_O!C45,tblTerritories_2014_N!C45,tblTerritories_2017!C45))</f>
        <v>Riyadh</v>
      </c>
      <c r="D45" s="1">
        <f>IF(CHOOSE($B$2,tblTerritories_2014_O!D45,tblTerritories_2014_N!D45,tblTerritories_2017!D45)="","",CHOOSE($B$2,tblTerritories_2014_O!D45,tblTerritories_2014_N!D45,tblTerritories_2017!D45))</f>
        <v>1</v>
      </c>
      <c r="E45" s="1">
        <f>IF(CHOOSE($B$2,tblTerritories_2014_O!E45,tblTerritories_2014_N!E45,tblTerritories_2017!E45)="","",CHOOSE($B$2,tblTerritories_2014_O!E45,tblTerritories_2014_N!E45,tblTerritories_2017!E45))</f>
        <v>0</v>
      </c>
      <c r="F45" s="1">
        <f>IF(CHOOSE($B$2,tblTerritories_2014_O!F45,tblTerritories_2014_N!F45,tblTerritories_2017!F45)="","",CHOOSE($B$2,tblTerritories_2014_O!F45,tblTerritories_2014_N!F45,tblTerritories_2017!F45))</f>
        <v>1</v>
      </c>
      <c r="G45" s="1">
        <f>IF(CHOOSE($B$2,tblTerritories_2014_O!G45,tblTerritories_2014_N!G45,tblTerritories_2017!G45)="","",CHOOSE($B$2,tblTerritories_2014_O!G45,tblTerritories_2014_N!G45,tblTerritories_2017!G45))</f>
        <v>0</v>
      </c>
      <c r="H45" s="17">
        <f>IF(CHOOSE($B$2,tblTerritories_2014_O!H45,tblTerritories_2014_N!H45,tblTerritories_2017!H45)="","",CHOOSE($B$2,tblTerritories_2014_O!H45,tblTerritories_2014_N!H45,tblTerritories_2017!H45))</f>
        <v>1</v>
      </c>
      <c r="I45" s="1" t="str">
        <f>IF(CHOOSE($B$2,tblTerritories_2014_O!I45,tblTerritories_2014_N!I45,tblTerritories_2017!I45)="","",CHOOSE($B$2,tblTerritories_2014_O!I45,tblTerritories_2014_N!I45,tblTerritories_2017!I45))</f>
        <v>Riyadh</v>
      </c>
      <c r="J45" s="27" t="str">
        <f>IF(CHOOSE($B$2,tblTerritories_2014_O!J45,tblTerritories_2014_N!J45,tblTerritories_2017!J45)="","",CHOOSE($B$2,tblTerritories_2014_O!J45,tblTerritories_2014_N!J45,tblTerritories_2017!J45))</f>
        <v>Riyadh</v>
      </c>
      <c r="K45" s="30">
        <f>IF(CHOOSE($B$2,tblTerritories_2014_O!K45,tblTerritories_2014_N!K45,tblTerritories_2017!K45)="","",CHOOSE($B$2,tblTerritories_2014_O!K45,tblTerritories_2014_N!K45,tblTerritories_2017!K45))</f>
        <v>0</v>
      </c>
      <c r="L45" s="31">
        <f>IF(CHOOSE($B$2,tblTerritories_2014_O!L45,tblTerritories_2014_N!L45,tblTerritories_2017!L45)="","",CHOOSE($B$2,tblTerritories_2014_O!L45,tblTerritories_2014_N!L45,tblTerritories_2017!L45))</f>
        <v>1</v>
      </c>
      <c r="M45" s="32" t="str">
        <f>IF(CHOOSE($B$2,tblTerritories_2014_O!M45,tblTerritories_2014_N!M45,tblTerritories_2017!M45)="","",CHOOSE($B$2,tblTerritories_2014_O!M45,tblTerritories_2014_N!M45,tblTerritories_2017!M45))</f>
        <v/>
      </c>
      <c r="N45" s="24" t="str">
        <f>IF(CHOOSE($B$2,tblTerritories_2014_O!N45,tblTerritories_2014_N!N45,tblTerritories_2017!N45)="","",CHOOSE($B$2,tblTerritories_2014_O!N45,tblTerritories_2014_N!N45,tblTerritories_2017!N45))</f>
        <v/>
      </c>
      <c r="O45" s="1" t="str">
        <f>IF(CHOOSE($B$2,tblTerritories_2014_O!O45,tblTerritories_2014_N!O45,tblTerritories_2017!O45)="","",CHOOSE($B$2,tblTerritories_2014_O!O45,tblTerritories_2014_N!O45,tblTerritories_2017!O45))</f>
        <v/>
      </c>
      <c r="P45" s="24">
        <f>IF(CHOOSE($B$2,tblTerritories_2014_O!P45,tblTerritories_2014_N!P45,tblTerritories_2017!P45)="","",CHOOSE($B$2,tblTerritories_2014_O!P45,tblTerritories_2014_N!P45,tblTerritories_2017!P45))</f>
        <v>3</v>
      </c>
      <c r="Q45" s="24"/>
    </row>
    <row r="46" ht="15.75" spans="1:17">
      <c r="A46" s="1">
        <f>IF(CHOOSE($B$2,tblTerritories_2014_O!A46,tblTerritories_2014_N!A46,tblTerritories_2017!A46)="","",CHOOSE($B$2,tblTerritories_2014_O!A46,tblTerritories_2014_N!A46,tblTerritories_2017!A46))</f>
        <v>44</v>
      </c>
      <c r="B46" s="1" t="str">
        <f>IF(CHOOSE($B$2,tblTerritories_2014_O!B46,tblTerritories_2014_N!B46,tblTerritories_2017!B46)="","",CHOOSE($B$2,tblTerritories_2014_O!B46,tblTerritories_2014_N!B46,tblTerritories_2017!B46))</f>
        <v/>
      </c>
      <c r="C46" s="51" t="str">
        <f>IF(CHOOSE($B$2,tblTerritories_2014_O!C46,tblTerritories_2014_N!C46,tblTerritories_2017!C46)="","",CHOOSE($B$2,tblTerritories_2014_O!C46,tblTerritories_2014_N!C46,tblTerritories_2017!C46))</f>
        <v>Rome</v>
      </c>
      <c r="D46" s="1">
        <f>IF(CHOOSE($B$2,tblTerritories_2014_O!D46,tblTerritories_2014_N!D46,tblTerritories_2017!D46)="","",CHOOSE($B$2,tblTerritories_2014_O!D46,tblTerritories_2014_N!D46,tblTerritories_2017!D46))</f>
        <v>1</v>
      </c>
      <c r="E46" s="1">
        <f>IF(CHOOSE($B$2,tblTerritories_2014_O!E46,tblTerritories_2014_N!E46,tblTerritories_2017!E46)="","",CHOOSE($B$2,tblTerritories_2014_O!E46,tblTerritories_2014_N!E46,tblTerritories_2017!E46))</f>
        <v>0</v>
      </c>
      <c r="F46" s="1">
        <f>IF(CHOOSE($B$2,tblTerritories_2014_O!F46,tblTerritories_2014_N!F46,tblTerritories_2017!F46)="","",CHOOSE($B$2,tblTerritories_2014_O!F46,tblTerritories_2014_N!F46,tblTerritories_2017!F46))</f>
        <v>1</v>
      </c>
      <c r="G46" s="1">
        <f>IF(CHOOSE($B$2,tblTerritories_2014_O!G46,tblTerritories_2014_N!G46,tblTerritories_2017!G46)="","",CHOOSE($B$2,tblTerritories_2014_O!G46,tblTerritories_2014_N!G46,tblTerritories_2017!G46))</f>
        <v>0</v>
      </c>
      <c r="H46" s="17">
        <f>IF(CHOOSE($B$2,tblTerritories_2014_O!H46,tblTerritories_2014_N!H46,tblTerritories_2017!H46)="","",CHOOSE($B$2,tblTerritories_2014_O!H46,tblTerritories_2014_N!H46,tblTerritories_2017!H46))</f>
        <v>1</v>
      </c>
      <c r="I46" s="1" t="str">
        <f>IF(CHOOSE($B$2,tblTerritories_2014_O!I46,tblTerritories_2014_N!I46,tblTerritories_2017!I46)="","",CHOOSE($B$2,tblTerritories_2014_O!I46,tblTerritories_2014_N!I46,tblTerritories_2017!I46))</f>
        <v>Rome</v>
      </c>
      <c r="J46" s="27" t="str">
        <f>IF(CHOOSE($B$2,tblTerritories_2014_O!J46,tblTerritories_2014_N!J46,tblTerritories_2017!J46)="","",CHOOSE($B$2,tblTerritories_2014_O!J46,tblTerritories_2014_N!J46,tblTerritories_2017!J46))</f>
        <v>Rome</v>
      </c>
      <c r="K46" s="30">
        <f>IF(CHOOSE($B$2,tblTerritories_2014_O!K46,tblTerritories_2014_N!K46,tblTerritories_2017!K46)="","",CHOOSE($B$2,tblTerritories_2014_O!K46,tblTerritories_2014_N!K46,tblTerritories_2017!K46))</f>
        <v>0</v>
      </c>
      <c r="L46" s="31">
        <f>IF(CHOOSE($B$2,tblTerritories_2014_O!L46,tblTerritories_2014_N!L46,tblTerritories_2017!L46)="","",CHOOSE($B$2,tblTerritories_2014_O!L46,tblTerritories_2014_N!L46,tblTerritories_2017!L46))</f>
        <v>1</v>
      </c>
      <c r="M46" s="32" t="str">
        <f>IF(CHOOSE($B$2,tblTerritories_2014_O!M46,tblTerritories_2014_N!M46,tblTerritories_2017!M46)="","",CHOOSE($B$2,tblTerritories_2014_O!M46,tblTerritories_2014_N!M46,tblTerritories_2017!M46))</f>
        <v/>
      </c>
      <c r="N46" s="24" t="str">
        <f>IF(CHOOSE($B$2,tblTerritories_2014_O!N46,tblTerritories_2014_N!N46,tblTerritories_2017!N46)="","",CHOOSE($B$2,tblTerritories_2014_O!N46,tblTerritories_2014_N!N46,tblTerritories_2017!N46))</f>
        <v/>
      </c>
      <c r="O46" s="1" t="str">
        <f>IF(CHOOSE($B$2,tblTerritories_2014_O!O46,tblTerritories_2014_N!O46,tblTerritories_2017!O46)="","",CHOOSE($B$2,tblTerritories_2014_O!O46,tblTerritories_2014_N!O46,tblTerritories_2017!O46))</f>
        <v/>
      </c>
      <c r="P46" s="24">
        <f>IF(CHOOSE($B$2,tblTerritories_2014_O!P46,tblTerritories_2014_N!P46,tblTerritories_2017!P46)="","",CHOOSE($B$2,tblTerritories_2014_O!P46,tblTerritories_2014_N!P46,tblTerritories_2017!P46))</f>
        <v>1</v>
      </c>
      <c r="Q46" s="24"/>
    </row>
    <row r="47" ht="15.75" spans="1:17">
      <c r="A47" s="1">
        <f>IF(CHOOSE($B$2,tblTerritories_2014_O!A47,tblTerritories_2014_N!A47,tblTerritories_2017!A47)="","",CHOOSE($B$2,tblTerritories_2014_O!A47,tblTerritories_2014_N!A47,tblTerritories_2017!A47))</f>
        <v>45</v>
      </c>
      <c r="B47" s="1" t="str">
        <f>IF(CHOOSE($B$2,tblTerritories_2014_O!B47,tblTerritories_2014_N!B47,tblTerritories_2017!B47)="","",CHOOSE($B$2,tblTerritories_2014_O!B47,tblTerritories_2014_N!B47,tblTerritories_2017!B47))</f>
        <v/>
      </c>
      <c r="C47" s="51" t="str">
        <f>IF(CHOOSE($B$2,tblTerritories_2014_O!C47,tblTerritories_2014_N!C47,tblTerritories_2017!C47)="","",CHOOSE($B$2,tblTerritories_2014_O!C47,tblTerritories_2014_N!C47,tblTerritories_2017!C47))</f>
        <v>San Francisco</v>
      </c>
      <c r="D47" s="1">
        <f>IF(CHOOSE($B$2,tblTerritories_2014_O!D47,tblTerritories_2014_N!D47,tblTerritories_2017!D47)="","",CHOOSE($B$2,tblTerritories_2014_O!D47,tblTerritories_2014_N!D47,tblTerritories_2017!D47))</f>
        <v>1</v>
      </c>
      <c r="E47" s="1">
        <f>IF(CHOOSE($B$2,tblTerritories_2014_O!E47,tblTerritories_2014_N!E47,tblTerritories_2017!E47)="","",CHOOSE($B$2,tblTerritories_2014_O!E47,tblTerritories_2014_N!E47,tblTerritories_2017!E47))</f>
        <v>0</v>
      </c>
      <c r="F47" s="1">
        <f>IF(CHOOSE($B$2,tblTerritories_2014_O!F47,tblTerritories_2014_N!F47,tblTerritories_2017!F47)="","",CHOOSE($B$2,tblTerritories_2014_O!F47,tblTerritories_2014_N!F47,tblTerritories_2017!F47))</f>
        <v>1</v>
      </c>
      <c r="G47" s="1">
        <f>IF(CHOOSE($B$2,tblTerritories_2014_O!G47,tblTerritories_2014_N!G47,tblTerritories_2017!G47)="","",CHOOSE($B$2,tblTerritories_2014_O!G47,tblTerritories_2014_N!G47,tblTerritories_2017!G47))</f>
        <v>0</v>
      </c>
      <c r="H47" s="17">
        <f>IF(CHOOSE($B$2,tblTerritories_2014_O!H47,tblTerritories_2014_N!H47,tblTerritories_2017!H47)="","",CHOOSE($B$2,tblTerritories_2014_O!H47,tblTerritories_2014_N!H47,tblTerritories_2017!H47))</f>
        <v>1</v>
      </c>
      <c r="I47" s="1" t="str">
        <f>IF(CHOOSE($B$2,tblTerritories_2014_O!I47,tblTerritories_2014_N!I47,tblTerritories_2017!I47)="","",CHOOSE($B$2,tblTerritories_2014_O!I47,tblTerritories_2014_N!I47,tblTerritories_2017!I47))</f>
        <v>SanFrancisco</v>
      </c>
      <c r="J47" s="27" t="str">
        <f>IF(CHOOSE($B$2,tblTerritories_2014_O!J47,tblTerritories_2014_N!J47,tblTerritories_2017!J47)="","",CHOOSE($B$2,tblTerritories_2014_O!J47,tblTerritories_2014_N!J47,tblTerritories_2017!J47))</f>
        <v>San Francisco</v>
      </c>
      <c r="K47" s="30">
        <f>IF(CHOOSE($B$2,tblTerritories_2014_O!K47,tblTerritories_2014_N!K47,tblTerritories_2017!K47)="","",CHOOSE($B$2,tblTerritories_2014_O!K47,tblTerritories_2014_N!K47,tblTerritories_2017!K47))</f>
        <v>0</v>
      </c>
      <c r="L47" s="31">
        <f>IF(CHOOSE($B$2,tblTerritories_2014_O!L47,tblTerritories_2014_N!L47,tblTerritories_2017!L47)="","",CHOOSE($B$2,tblTerritories_2014_O!L47,tblTerritories_2014_N!L47,tblTerritories_2017!L47))</f>
        <v>1</v>
      </c>
      <c r="M47" s="32" t="str">
        <f>IF(CHOOSE($B$2,tblTerritories_2014_O!M47,tblTerritories_2014_N!M47,tblTerritories_2017!M47)="","",CHOOSE($B$2,tblTerritories_2014_O!M47,tblTerritories_2014_N!M47,tblTerritories_2017!M47))</f>
        <v/>
      </c>
      <c r="N47" s="24" t="str">
        <f>IF(CHOOSE($B$2,tblTerritories_2014_O!N47,tblTerritories_2014_N!N47,tblTerritories_2017!N47)="","",CHOOSE($B$2,tblTerritories_2014_O!N47,tblTerritories_2014_N!N47,tblTerritories_2017!N47))</f>
        <v/>
      </c>
      <c r="O47" s="1" t="str">
        <f>IF(CHOOSE($B$2,tblTerritories_2014_O!O47,tblTerritories_2014_N!O47,tblTerritories_2017!O47)="","",CHOOSE($B$2,tblTerritories_2014_O!O47,tblTerritories_2014_N!O47,tblTerritories_2017!O47))</f>
        <v/>
      </c>
      <c r="P47" s="24">
        <f>IF(CHOOSE($B$2,tblTerritories_2014_O!P47,tblTerritories_2014_N!P47,tblTerritories_2017!P47)="","",CHOOSE($B$2,tblTerritories_2014_O!P47,tblTerritories_2014_N!P47,tblTerritories_2017!P47))</f>
        <v>4</v>
      </c>
      <c r="Q47" s="24"/>
    </row>
    <row r="48" ht="15.75" spans="1:17">
      <c r="A48" s="1">
        <f>IF(CHOOSE($B$2,tblTerritories_2014_O!A48,tblTerritories_2014_N!A48,tblTerritories_2017!A48)="","",CHOOSE($B$2,tblTerritories_2014_O!A48,tblTerritories_2014_N!A48,tblTerritories_2017!A48))</f>
        <v>46</v>
      </c>
      <c r="B48" s="1" t="str">
        <f>IF(CHOOSE($B$2,tblTerritories_2014_O!B48,tblTerritories_2014_N!B48,tblTerritories_2017!B48)="","",CHOOSE($B$2,tblTerritories_2014_O!B48,tblTerritories_2014_N!B48,tblTerritories_2017!B48))</f>
        <v/>
      </c>
      <c r="C48" s="51" t="str">
        <f>IF(CHOOSE($B$2,tblTerritories_2014_O!C48,tblTerritories_2014_N!C48,tblTerritories_2017!C48)="","",CHOOSE($B$2,tblTerritories_2014_O!C48,tblTerritories_2014_N!C48,tblTerritories_2017!C48))</f>
        <v>Santiago</v>
      </c>
      <c r="D48" s="1">
        <f>IF(CHOOSE($B$2,tblTerritories_2014_O!D48,tblTerritories_2014_N!D48,tblTerritories_2017!D48)="","",CHOOSE($B$2,tblTerritories_2014_O!D48,tblTerritories_2014_N!D48,tblTerritories_2017!D48))</f>
        <v>1</v>
      </c>
      <c r="E48" s="1">
        <f>IF(CHOOSE($B$2,tblTerritories_2014_O!E48,tblTerritories_2014_N!E48,tblTerritories_2017!E48)="","",CHOOSE($B$2,tblTerritories_2014_O!E48,tblTerritories_2014_N!E48,tblTerritories_2017!E48))</f>
        <v>0</v>
      </c>
      <c r="F48" s="1">
        <f>IF(CHOOSE($B$2,tblTerritories_2014_O!F48,tblTerritories_2014_N!F48,tblTerritories_2017!F48)="","",CHOOSE($B$2,tblTerritories_2014_O!F48,tblTerritories_2014_N!F48,tblTerritories_2017!F48))</f>
        <v>1</v>
      </c>
      <c r="G48" s="1">
        <f>IF(CHOOSE($B$2,tblTerritories_2014_O!G48,tblTerritories_2014_N!G48,tblTerritories_2017!G48)="","",CHOOSE($B$2,tblTerritories_2014_O!G48,tblTerritories_2014_N!G48,tblTerritories_2017!G48))</f>
        <v>0</v>
      </c>
      <c r="H48" s="17">
        <f>IF(CHOOSE($B$2,tblTerritories_2014_O!H48,tblTerritories_2014_N!H48,tblTerritories_2017!H48)="","",CHOOSE($B$2,tblTerritories_2014_O!H48,tblTerritories_2014_N!H48,tblTerritories_2017!H48))</f>
        <v>1</v>
      </c>
      <c r="I48" s="1" t="str">
        <f>IF(CHOOSE($B$2,tblTerritories_2014_O!I48,tblTerritories_2014_N!I48,tblTerritories_2017!I48)="","",CHOOSE($B$2,tblTerritories_2014_O!I48,tblTerritories_2014_N!I48,tblTerritories_2017!I48))</f>
        <v>Santiago</v>
      </c>
      <c r="J48" s="27" t="str">
        <f>IF(CHOOSE($B$2,tblTerritories_2014_O!J48,tblTerritories_2014_N!J48,tblTerritories_2017!J48)="","",CHOOSE($B$2,tblTerritories_2014_O!J48,tblTerritories_2014_N!J48,tblTerritories_2017!J48))</f>
        <v>Santiago</v>
      </c>
      <c r="K48" s="30">
        <f>IF(CHOOSE($B$2,tblTerritories_2014_O!K48,tblTerritories_2014_N!K48,tblTerritories_2017!K48)="","",CHOOSE($B$2,tblTerritories_2014_O!K48,tblTerritories_2014_N!K48,tblTerritories_2017!K48))</f>
        <v>0</v>
      </c>
      <c r="L48" s="31">
        <f>IF(CHOOSE($B$2,tblTerritories_2014_O!L48,tblTerritories_2014_N!L48,tblTerritories_2017!L48)="","",CHOOSE($B$2,tblTerritories_2014_O!L48,tblTerritories_2014_N!L48,tblTerritories_2017!L48))</f>
        <v>1</v>
      </c>
      <c r="M48" s="32" t="str">
        <f>IF(CHOOSE($B$2,tblTerritories_2014_O!M48,tblTerritories_2014_N!M48,tblTerritories_2017!M48)="","",CHOOSE($B$2,tblTerritories_2014_O!M48,tblTerritories_2014_N!M48,tblTerritories_2017!M48))</f>
        <v/>
      </c>
      <c r="N48" s="24" t="str">
        <f>IF(CHOOSE($B$2,tblTerritories_2014_O!N48,tblTerritories_2014_N!N48,tblTerritories_2017!N48)="","",CHOOSE($B$2,tblTerritories_2014_O!N48,tblTerritories_2014_N!N48,tblTerritories_2017!N48))</f>
        <v/>
      </c>
      <c r="O48" s="1" t="str">
        <f>IF(CHOOSE($B$2,tblTerritories_2014_O!O48,tblTerritories_2014_N!O48,tblTerritories_2017!O48)="","",CHOOSE($B$2,tblTerritories_2014_O!O48,tblTerritories_2014_N!O48,tblTerritories_2017!O48))</f>
        <v/>
      </c>
      <c r="P48" s="24">
        <f>IF(CHOOSE($B$2,tblTerritories_2014_O!P48,tblTerritories_2014_N!P48,tblTerritories_2017!P48)="","",CHOOSE($B$2,tblTerritories_2014_O!P48,tblTerritories_2014_N!P48,tblTerritories_2017!P48))</f>
        <v>2</v>
      </c>
      <c r="Q48" s="24"/>
    </row>
    <row r="49" ht="15.75" spans="1:17">
      <c r="A49" s="1">
        <f>IF(CHOOSE($B$2,tblTerritories_2014_O!A49,tblTerritories_2014_N!A49,tblTerritories_2017!A49)="","",CHOOSE($B$2,tblTerritories_2014_O!A49,tblTerritories_2014_N!A49,tblTerritories_2017!A49))</f>
        <v>47</v>
      </c>
      <c r="B49" s="1" t="str">
        <f>IF(CHOOSE($B$2,tblTerritories_2014_O!B49,tblTerritories_2014_N!B49,tblTerritories_2017!B49)="","",CHOOSE($B$2,tblTerritories_2014_O!B49,tblTerritories_2014_N!B49,tblTerritories_2017!B49))</f>
        <v/>
      </c>
      <c r="C49" s="51" t="str">
        <f>IF(CHOOSE($B$2,tblTerritories_2014_O!C49,tblTerritories_2014_N!C49,tblTerritories_2017!C49)="","",CHOOSE($B$2,tblTerritories_2014_O!C49,tblTerritories_2014_N!C49,tblTerritories_2017!C49))</f>
        <v>Sao Paulo</v>
      </c>
      <c r="D49" s="1">
        <f>IF(CHOOSE($B$2,tblTerritories_2014_O!D49,tblTerritories_2014_N!D49,tblTerritories_2017!D49)="","",CHOOSE($B$2,tblTerritories_2014_O!D49,tblTerritories_2014_N!D49,tblTerritories_2017!D49))</f>
        <v>1</v>
      </c>
      <c r="E49" s="1">
        <f>IF(CHOOSE($B$2,tblTerritories_2014_O!E49,tblTerritories_2014_N!E49,tblTerritories_2017!E49)="","",CHOOSE($B$2,tblTerritories_2014_O!E49,tblTerritories_2014_N!E49,tblTerritories_2017!E49))</f>
        <v>0</v>
      </c>
      <c r="F49" s="1">
        <f>IF(CHOOSE($B$2,tblTerritories_2014_O!F49,tblTerritories_2014_N!F49,tblTerritories_2017!F49)="","",CHOOSE($B$2,tblTerritories_2014_O!F49,tblTerritories_2014_N!F49,tblTerritories_2017!F49))</f>
        <v>1</v>
      </c>
      <c r="G49" s="1">
        <f>IF(CHOOSE($B$2,tblTerritories_2014_O!G49,tblTerritories_2014_N!G49,tblTerritories_2017!G49)="","",CHOOSE($B$2,tblTerritories_2014_O!G49,tblTerritories_2014_N!G49,tblTerritories_2017!G49))</f>
        <v>0</v>
      </c>
      <c r="H49" s="17">
        <f>IF(CHOOSE($B$2,tblTerritories_2014_O!H49,tblTerritories_2014_N!H49,tblTerritories_2017!H49)="","",CHOOSE($B$2,tblTerritories_2014_O!H49,tblTerritories_2014_N!H49,tblTerritories_2017!H49))</f>
        <v>1</v>
      </c>
      <c r="I49" s="1" t="str">
        <f>IF(CHOOSE($B$2,tblTerritories_2014_O!I49,tblTerritories_2014_N!I49,tblTerritories_2017!I49)="","",CHOOSE($B$2,tblTerritories_2014_O!I49,tblTerritories_2014_N!I49,tblTerritories_2017!I49))</f>
        <v>SaoPaulo</v>
      </c>
      <c r="J49" s="27" t="str">
        <f>IF(CHOOSE($B$2,tblTerritories_2014_O!J49,tblTerritories_2014_N!J49,tblTerritories_2017!J49)="","",CHOOSE($B$2,tblTerritories_2014_O!J49,tblTerritories_2014_N!J49,tblTerritories_2017!J49))</f>
        <v>Sao Paulo</v>
      </c>
      <c r="K49" s="30">
        <f>IF(CHOOSE($B$2,tblTerritories_2014_O!K49,tblTerritories_2014_N!K49,tblTerritories_2017!K49)="","",CHOOSE($B$2,tblTerritories_2014_O!K49,tblTerritories_2014_N!K49,tblTerritories_2017!K49))</f>
        <v>0</v>
      </c>
      <c r="L49" s="31">
        <f>IF(CHOOSE($B$2,tblTerritories_2014_O!L49,tblTerritories_2014_N!L49,tblTerritories_2017!L49)="","",CHOOSE($B$2,tblTerritories_2014_O!L49,tblTerritories_2014_N!L49,tblTerritories_2017!L49))</f>
        <v>1</v>
      </c>
      <c r="M49" s="32" t="str">
        <f>IF(CHOOSE($B$2,tblTerritories_2014_O!M49,tblTerritories_2014_N!M49,tblTerritories_2017!M49)="","",CHOOSE($B$2,tblTerritories_2014_O!M49,tblTerritories_2014_N!M49,tblTerritories_2017!M49))</f>
        <v/>
      </c>
      <c r="N49" s="24" t="str">
        <f>IF(CHOOSE($B$2,tblTerritories_2014_O!N49,tblTerritories_2014_N!N49,tblTerritories_2017!N49)="","",CHOOSE($B$2,tblTerritories_2014_O!N49,tblTerritories_2014_N!N49,tblTerritories_2017!N49))</f>
        <v/>
      </c>
      <c r="O49" s="1" t="str">
        <f>IF(CHOOSE($B$2,tblTerritories_2014_O!O49,tblTerritories_2014_N!O49,tblTerritories_2017!O49)="","",CHOOSE($B$2,tblTerritories_2014_O!O49,tblTerritories_2014_N!O49,tblTerritories_2017!O49))</f>
        <v/>
      </c>
      <c r="P49" s="24">
        <f>IF(CHOOSE($B$2,tblTerritories_2014_O!P49,tblTerritories_2014_N!P49,tblTerritories_2017!P49)="","",CHOOSE($B$2,tblTerritories_2014_O!P49,tblTerritories_2014_N!P49,tblTerritories_2017!P49))</f>
        <v>2</v>
      </c>
      <c r="Q49" s="24"/>
    </row>
    <row r="50" ht="15.75" spans="1:17">
      <c r="A50" s="1">
        <f>IF(CHOOSE($B$2,tblTerritories_2014_O!A50,tblTerritories_2014_N!A50,tblTerritories_2017!A50)="","",CHOOSE($B$2,tblTerritories_2014_O!A50,tblTerritories_2014_N!A50,tblTerritories_2017!A50))</f>
        <v>48</v>
      </c>
      <c r="B50" s="1" t="str">
        <f>IF(CHOOSE($B$2,tblTerritories_2014_O!B50,tblTerritories_2014_N!B50,tblTerritories_2017!B50)="","",CHOOSE($B$2,tblTerritories_2014_O!B50,tblTerritories_2014_N!B50,tblTerritories_2017!B50))</f>
        <v/>
      </c>
      <c r="C50" s="51" t="str">
        <f>IF(CHOOSE($B$2,tblTerritories_2014_O!C50,tblTerritories_2014_N!C50,tblTerritories_2017!C50)="","",CHOOSE($B$2,tblTerritories_2014_O!C50,tblTerritories_2014_N!C50,tblTerritories_2017!C50))</f>
        <v>Seoul</v>
      </c>
      <c r="D50" s="1">
        <f>IF(CHOOSE($B$2,tblTerritories_2014_O!D50,tblTerritories_2014_N!D50,tblTerritories_2017!D50)="","",CHOOSE($B$2,tblTerritories_2014_O!D50,tblTerritories_2014_N!D50,tblTerritories_2017!D50))</f>
        <v>1</v>
      </c>
      <c r="E50" s="1">
        <f>IF(CHOOSE($B$2,tblTerritories_2014_O!E50,tblTerritories_2014_N!E50,tblTerritories_2017!E50)="","",CHOOSE($B$2,tblTerritories_2014_O!E50,tblTerritories_2014_N!E50,tblTerritories_2017!E50))</f>
        <v>0</v>
      </c>
      <c r="F50" s="1">
        <f>IF(CHOOSE($B$2,tblTerritories_2014_O!F50,tblTerritories_2014_N!F50,tblTerritories_2017!F50)="","",CHOOSE($B$2,tblTerritories_2014_O!F50,tblTerritories_2014_N!F50,tblTerritories_2017!F50))</f>
        <v>1</v>
      </c>
      <c r="G50" s="1">
        <f>IF(CHOOSE($B$2,tblTerritories_2014_O!G50,tblTerritories_2014_N!G50,tblTerritories_2017!G50)="","",CHOOSE($B$2,tblTerritories_2014_O!G50,tblTerritories_2014_N!G50,tblTerritories_2017!G50))</f>
        <v>0</v>
      </c>
      <c r="H50" s="17">
        <f>IF(CHOOSE($B$2,tblTerritories_2014_O!H50,tblTerritories_2014_N!H50,tblTerritories_2017!H50)="","",CHOOSE($B$2,tblTerritories_2014_O!H50,tblTerritories_2014_N!H50,tblTerritories_2017!H50))</f>
        <v>1</v>
      </c>
      <c r="I50" s="1" t="str">
        <f>IF(CHOOSE($B$2,tblTerritories_2014_O!I50,tblTerritories_2014_N!I50,tblTerritories_2017!I50)="","",CHOOSE($B$2,tblTerritories_2014_O!I50,tblTerritories_2014_N!I50,tblTerritories_2017!I50))</f>
        <v>Seoul</v>
      </c>
      <c r="J50" s="27" t="str">
        <f>IF(CHOOSE($B$2,tblTerritories_2014_O!J50,tblTerritories_2014_N!J50,tblTerritories_2017!J50)="","",CHOOSE($B$2,tblTerritories_2014_O!J50,tblTerritories_2014_N!J50,tblTerritories_2017!J50))</f>
        <v>Seoul</v>
      </c>
      <c r="K50" s="30">
        <f>IF(CHOOSE($B$2,tblTerritories_2014_O!K50,tblTerritories_2014_N!K50,tblTerritories_2017!K50)="","",CHOOSE($B$2,tblTerritories_2014_O!K50,tblTerritories_2014_N!K50,tblTerritories_2017!K50))</f>
        <v>0</v>
      </c>
      <c r="L50" s="31">
        <f>IF(CHOOSE($B$2,tblTerritories_2014_O!L50,tblTerritories_2014_N!L50,tblTerritories_2017!L50)="","",CHOOSE($B$2,tblTerritories_2014_O!L50,tblTerritories_2014_N!L50,tblTerritories_2017!L50))</f>
        <v>1</v>
      </c>
      <c r="M50" s="32" t="str">
        <f>IF(CHOOSE($B$2,tblTerritories_2014_O!M50,tblTerritories_2014_N!M50,tblTerritories_2017!M50)="","",CHOOSE($B$2,tblTerritories_2014_O!M50,tblTerritories_2014_N!M50,tblTerritories_2017!M50))</f>
        <v/>
      </c>
      <c r="N50" s="24" t="str">
        <f>IF(CHOOSE($B$2,tblTerritories_2014_O!N50,tblTerritories_2014_N!N50,tblTerritories_2017!N50)="","",CHOOSE($B$2,tblTerritories_2014_O!N50,tblTerritories_2014_N!N50,tblTerritories_2017!N50))</f>
        <v/>
      </c>
      <c r="O50" s="1" t="str">
        <f>IF(CHOOSE($B$2,tblTerritories_2014_O!O50,tblTerritories_2014_N!O50,tblTerritories_2017!O50)="","",CHOOSE($B$2,tblTerritories_2014_O!O50,tblTerritories_2014_N!O50,tblTerritories_2017!O50))</f>
        <v/>
      </c>
      <c r="P50" s="24">
        <f>IF(CHOOSE($B$2,tblTerritories_2014_O!P50,tblTerritories_2014_N!P50,tblTerritories_2017!P50)="","",CHOOSE($B$2,tblTerritories_2014_O!P50,tblTerritories_2014_N!P50,tblTerritories_2017!P50))</f>
        <v>6</v>
      </c>
      <c r="Q50" s="24"/>
    </row>
    <row r="51" ht="15.75" spans="1:17">
      <c r="A51" s="1">
        <f>IF(CHOOSE($B$2,tblTerritories_2014_O!A51,tblTerritories_2014_N!A51,tblTerritories_2017!A51)="","",CHOOSE($B$2,tblTerritories_2014_O!A51,tblTerritories_2014_N!A51,tblTerritories_2017!A51))</f>
        <v>49</v>
      </c>
      <c r="B51" s="1" t="str">
        <f>IF(CHOOSE($B$2,tblTerritories_2014_O!B51,tblTerritories_2014_N!B51,tblTerritories_2017!B51)="","",CHOOSE($B$2,tblTerritories_2014_O!B51,tblTerritories_2014_N!B51,tblTerritories_2017!B51))</f>
        <v/>
      </c>
      <c r="C51" s="51" t="str">
        <f>IF(CHOOSE($B$2,tblTerritories_2014_O!C51,tblTerritories_2014_N!C51,tblTerritories_2017!C51)="","",CHOOSE($B$2,tblTerritories_2014_O!C51,tblTerritories_2014_N!C51,tblTerritories_2017!C51))</f>
        <v>Shanghai</v>
      </c>
      <c r="D51" s="1">
        <f>IF(CHOOSE($B$2,tblTerritories_2014_O!D51,tblTerritories_2014_N!D51,tblTerritories_2017!D51)="","",CHOOSE($B$2,tblTerritories_2014_O!D51,tblTerritories_2014_N!D51,tblTerritories_2017!D51))</f>
        <v>1</v>
      </c>
      <c r="E51" s="1">
        <f>IF(CHOOSE($B$2,tblTerritories_2014_O!E51,tblTerritories_2014_N!E51,tblTerritories_2017!E51)="","",CHOOSE($B$2,tblTerritories_2014_O!E51,tblTerritories_2014_N!E51,tblTerritories_2017!E51))</f>
        <v>0</v>
      </c>
      <c r="F51" s="1">
        <f>IF(CHOOSE($B$2,tblTerritories_2014_O!F51,tblTerritories_2014_N!F51,tblTerritories_2017!F51)="","",CHOOSE($B$2,tblTerritories_2014_O!F51,tblTerritories_2014_N!F51,tblTerritories_2017!F51))</f>
        <v>1</v>
      </c>
      <c r="G51" s="1">
        <f>IF(CHOOSE($B$2,tblTerritories_2014_O!G51,tblTerritories_2014_N!G51,tblTerritories_2017!G51)="","",CHOOSE($B$2,tblTerritories_2014_O!G51,tblTerritories_2014_N!G51,tblTerritories_2017!G51))</f>
        <v>0</v>
      </c>
      <c r="H51" s="17">
        <f>IF(CHOOSE($B$2,tblTerritories_2014_O!H51,tblTerritories_2014_N!H51,tblTerritories_2017!H51)="","",CHOOSE($B$2,tblTerritories_2014_O!H51,tblTerritories_2014_N!H51,tblTerritories_2017!H51))</f>
        <v>1</v>
      </c>
      <c r="I51" s="1" t="str">
        <f>IF(CHOOSE($B$2,tblTerritories_2014_O!I51,tblTerritories_2014_N!I51,tblTerritories_2017!I51)="","",CHOOSE($B$2,tblTerritories_2014_O!I51,tblTerritories_2014_N!I51,tblTerritories_2017!I51))</f>
        <v>Shanghai</v>
      </c>
      <c r="J51" s="27" t="str">
        <f>IF(CHOOSE($B$2,tblTerritories_2014_O!J51,tblTerritories_2014_N!J51,tblTerritories_2017!J51)="","",CHOOSE($B$2,tblTerritories_2014_O!J51,tblTerritories_2014_N!J51,tblTerritories_2017!J51))</f>
        <v>Shanghai</v>
      </c>
      <c r="K51" s="30">
        <f>IF(CHOOSE($B$2,tblTerritories_2014_O!K51,tblTerritories_2014_N!K51,tblTerritories_2017!K51)="","",CHOOSE($B$2,tblTerritories_2014_O!K51,tblTerritories_2014_N!K51,tblTerritories_2017!K51))</f>
        <v>0</v>
      </c>
      <c r="L51" s="31">
        <f>IF(CHOOSE($B$2,tblTerritories_2014_O!L51,tblTerritories_2014_N!L51,tblTerritories_2017!L51)="","",CHOOSE($B$2,tblTerritories_2014_O!L51,tblTerritories_2014_N!L51,tblTerritories_2017!L51))</f>
        <v>1</v>
      </c>
      <c r="M51" s="32" t="str">
        <f>IF(CHOOSE($B$2,tblTerritories_2014_O!M51,tblTerritories_2014_N!M51,tblTerritories_2017!M51)="","",CHOOSE($B$2,tblTerritories_2014_O!M51,tblTerritories_2014_N!M51,tblTerritories_2017!M51))</f>
        <v/>
      </c>
      <c r="N51" s="24" t="str">
        <f>IF(CHOOSE($B$2,tblTerritories_2014_O!N51,tblTerritories_2014_N!N51,tblTerritories_2017!N51)="","",CHOOSE($B$2,tblTerritories_2014_O!N51,tblTerritories_2014_N!N51,tblTerritories_2017!N51))</f>
        <v/>
      </c>
      <c r="O51" s="1" t="str">
        <f>IF(CHOOSE($B$2,tblTerritories_2014_O!O51,tblTerritories_2014_N!O51,tblTerritories_2017!O51)="","",CHOOSE($B$2,tblTerritories_2014_O!O51,tblTerritories_2014_N!O51,tblTerritories_2017!O51))</f>
        <v/>
      </c>
      <c r="P51" s="24">
        <f>IF(CHOOSE($B$2,tblTerritories_2014_O!P51,tblTerritories_2014_N!P51,tblTerritories_2017!P51)="","",CHOOSE($B$2,tblTerritories_2014_O!P51,tblTerritories_2014_N!P51,tblTerritories_2017!P51))</f>
        <v>7</v>
      </c>
      <c r="Q51" s="24"/>
    </row>
    <row r="52" ht="15.75" spans="1:17">
      <c r="A52" s="1">
        <f>IF(CHOOSE($B$2,tblTerritories_2014_O!A52,tblTerritories_2014_N!A52,tblTerritories_2017!A52)="","",CHOOSE($B$2,tblTerritories_2014_O!A52,tblTerritories_2014_N!A52,tblTerritories_2017!A52))</f>
        <v>50</v>
      </c>
      <c r="B52" s="1" t="str">
        <f>IF(CHOOSE($B$2,tblTerritories_2014_O!B52,tblTerritories_2014_N!B52,tblTerritories_2017!B52)="","",CHOOSE($B$2,tblTerritories_2014_O!B52,tblTerritories_2014_N!B52,tblTerritories_2017!B52))</f>
        <v/>
      </c>
      <c r="C52" s="51" t="str">
        <f>IF(CHOOSE($B$2,tblTerritories_2014_O!C52,tblTerritories_2014_N!C52,tblTerritories_2017!C52)="","",CHOOSE($B$2,tblTerritories_2014_O!C52,tblTerritories_2014_N!C52,tblTerritories_2017!C52))</f>
        <v>Singapore</v>
      </c>
      <c r="D52" s="1">
        <f>IF(CHOOSE($B$2,tblTerritories_2014_O!D52,tblTerritories_2014_N!D52,tblTerritories_2017!D52)="","",CHOOSE($B$2,tblTerritories_2014_O!D52,tblTerritories_2014_N!D52,tblTerritories_2017!D52))</f>
        <v>1</v>
      </c>
      <c r="E52" s="1">
        <f>IF(CHOOSE($B$2,tblTerritories_2014_O!E52,tblTerritories_2014_N!E52,tblTerritories_2017!E52)="","",CHOOSE($B$2,tblTerritories_2014_O!E52,tblTerritories_2014_N!E52,tblTerritories_2017!E52))</f>
        <v>0</v>
      </c>
      <c r="F52" s="1">
        <f>IF(CHOOSE($B$2,tblTerritories_2014_O!F52,tblTerritories_2014_N!F52,tblTerritories_2017!F52)="","",CHOOSE($B$2,tblTerritories_2014_O!F52,tblTerritories_2014_N!F52,tblTerritories_2017!F52))</f>
        <v>1</v>
      </c>
      <c r="G52" s="1">
        <f>IF(CHOOSE($B$2,tblTerritories_2014_O!G52,tblTerritories_2014_N!G52,tblTerritories_2017!G52)="","",CHOOSE($B$2,tblTerritories_2014_O!G52,tblTerritories_2014_N!G52,tblTerritories_2017!G52))</f>
        <v>0</v>
      </c>
      <c r="H52" s="17">
        <f>IF(CHOOSE($B$2,tblTerritories_2014_O!H52,tblTerritories_2014_N!H52,tblTerritories_2017!H52)="","",CHOOSE($B$2,tblTerritories_2014_O!H52,tblTerritories_2014_N!H52,tblTerritories_2017!H52))</f>
        <v>1</v>
      </c>
      <c r="I52" s="1" t="str">
        <f>IF(CHOOSE($B$2,tblTerritories_2014_O!I52,tblTerritories_2014_N!I52,tblTerritories_2017!I52)="","",CHOOSE($B$2,tblTerritories_2014_O!I52,tblTerritories_2014_N!I52,tblTerritories_2017!I52))</f>
        <v>Singapore</v>
      </c>
      <c r="J52" s="27" t="str">
        <f>IF(CHOOSE($B$2,tblTerritories_2014_O!J52,tblTerritories_2014_N!J52,tblTerritories_2017!J52)="","",CHOOSE($B$2,tblTerritories_2014_O!J52,tblTerritories_2014_N!J52,tblTerritories_2017!J52))</f>
        <v>Singapore</v>
      </c>
      <c r="K52" s="30">
        <f>IF(CHOOSE($B$2,tblTerritories_2014_O!K52,tblTerritories_2014_N!K52,tblTerritories_2017!K52)="","",CHOOSE($B$2,tblTerritories_2014_O!K52,tblTerritories_2014_N!K52,tblTerritories_2017!K52))</f>
        <v>0</v>
      </c>
      <c r="L52" s="31">
        <f>IF(CHOOSE($B$2,tblTerritories_2014_O!L52,tblTerritories_2014_N!L52,tblTerritories_2017!L52)="","",CHOOSE($B$2,tblTerritories_2014_O!L52,tblTerritories_2014_N!L52,tblTerritories_2017!L52))</f>
        <v>1</v>
      </c>
      <c r="M52" s="32" t="str">
        <f>IF(CHOOSE($B$2,tblTerritories_2014_O!M52,tblTerritories_2014_N!M52,tblTerritories_2017!M52)="","",CHOOSE($B$2,tblTerritories_2014_O!M52,tblTerritories_2014_N!M52,tblTerritories_2017!M52))</f>
        <v/>
      </c>
      <c r="N52" s="24" t="str">
        <f>IF(CHOOSE($B$2,tblTerritories_2014_O!N52,tblTerritories_2014_N!N52,tblTerritories_2017!N52)="","",CHOOSE($B$2,tblTerritories_2014_O!N52,tblTerritories_2014_N!N52,tblTerritories_2017!N52))</f>
        <v/>
      </c>
      <c r="O52" s="1" t="str">
        <f>IF(CHOOSE($B$2,tblTerritories_2014_O!O52,tblTerritories_2014_N!O52,tblTerritories_2017!O52)="","",CHOOSE($B$2,tblTerritories_2014_O!O52,tblTerritories_2014_N!O52,tblTerritories_2017!O52))</f>
        <v/>
      </c>
      <c r="P52" s="24">
        <f>IF(CHOOSE($B$2,tblTerritories_2014_O!P52,tblTerritories_2014_N!P52,tblTerritories_2017!P52)="","",CHOOSE($B$2,tblTerritories_2014_O!P52,tblTerritories_2014_N!P52,tblTerritories_2017!P52))</f>
        <v>5</v>
      </c>
      <c r="Q52" s="24"/>
    </row>
    <row r="53" ht="15.75" spans="1:17">
      <c r="A53" s="1">
        <f>IF(CHOOSE($B$2,tblTerritories_2014_O!A53,tblTerritories_2014_N!A53,tblTerritories_2017!A53)="","",CHOOSE($B$2,tblTerritories_2014_O!A53,tblTerritories_2014_N!A53,tblTerritories_2017!A53))</f>
        <v>51</v>
      </c>
      <c r="B53" s="1" t="str">
        <f>IF(CHOOSE($B$2,tblTerritories_2014_O!B53,tblTerritories_2014_N!B53,tblTerritories_2017!B53)="","",CHOOSE($B$2,tblTerritories_2014_O!B53,tblTerritories_2014_N!B53,tblTerritories_2017!B53))</f>
        <v/>
      </c>
      <c r="C53" s="51" t="str">
        <f>IF(CHOOSE($B$2,tblTerritories_2014_O!C53,tblTerritories_2014_N!C53,tblTerritories_2017!C53)="","",CHOOSE($B$2,tblTerritories_2014_O!C53,tblTerritories_2014_N!C53,tblTerritories_2017!C53))</f>
        <v>Stockholm</v>
      </c>
      <c r="D53" s="1">
        <f>IF(CHOOSE($B$2,tblTerritories_2014_O!D53,tblTerritories_2014_N!D53,tblTerritories_2017!D53)="","",CHOOSE($B$2,tblTerritories_2014_O!D53,tblTerritories_2014_N!D53,tblTerritories_2017!D53))</f>
        <v>1</v>
      </c>
      <c r="E53" s="1">
        <f>IF(CHOOSE($B$2,tblTerritories_2014_O!E53,tblTerritories_2014_N!E53,tblTerritories_2017!E53)="","",CHOOSE($B$2,tblTerritories_2014_O!E53,tblTerritories_2014_N!E53,tblTerritories_2017!E53))</f>
        <v>0</v>
      </c>
      <c r="F53" s="1">
        <f>IF(CHOOSE($B$2,tblTerritories_2014_O!F53,tblTerritories_2014_N!F53,tblTerritories_2017!F53)="","",CHOOSE($B$2,tblTerritories_2014_O!F53,tblTerritories_2014_N!F53,tblTerritories_2017!F53))</f>
        <v>1</v>
      </c>
      <c r="G53" s="1">
        <f>IF(CHOOSE($B$2,tblTerritories_2014_O!G53,tblTerritories_2014_N!G53,tblTerritories_2017!G53)="","",CHOOSE($B$2,tblTerritories_2014_O!G53,tblTerritories_2014_N!G53,tblTerritories_2017!G53))</f>
        <v>0</v>
      </c>
      <c r="H53" s="17">
        <f>IF(CHOOSE($B$2,tblTerritories_2014_O!H53,tblTerritories_2014_N!H53,tblTerritories_2017!H53)="","",CHOOSE($B$2,tblTerritories_2014_O!H53,tblTerritories_2014_N!H53,tblTerritories_2017!H53))</f>
        <v>1</v>
      </c>
      <c r="I53" s="1" t="str">
        <f>IF(CHOOSE($B$2,tblTerritories_2014_O!I53,tblTerritories_2014_N!I53,tblTerritories_2017!I53)="","",CHOOSE($B$2,tblTerritories_2014_O!I53,tblTerritories_2014_N!I53,tblTerritories_2017!I53))</f>
        <v>Stockholm</v>
      </c>
      <c r="J53" s="27" t="str">
        <f>IF(CHOOSE($B$2,tblTerritories_2014_O!J53,tblTerritories_2014_N!J53,tblTerritories_2017!J53)="","",CHOOSE($B$2,tblTerritories_2014_O!J53,tblTerritories_2014_N!J53,tblTerritories_2017!J53))</f>
        <v>Stockholm</v>
      </c>
      <c r="K53" s="30">
        <f>IF(CHOOSE($B$2,tblTerritories_2014_O!K53,tblTerritories_2014_N!K53,tblTerritories_2017!K53)="","",CHOOSE($B$2,tblTerritories_2014_O!K53,tblTerritories_2014_N!K53,tblTerritories_2017!K53))</f>
        <v>0</v>
      </c>
      <c r="L53" s="31">
        <f>IF(CHOOSE($B$2,tblTerritories_2014_O!L53,tblTerritories_2014_N!L53,tblTerritories_2017!L53)="","",CHOOSE($B$2,tblTerritories_2014_O!L53,tblTerritories_2014_N!L53,tblTerritories_2017!L53))</f>
        <v>1</v>
      </c>
      <c r="M53" s="32" t="str">
        <f>IF(CHOOSE($B$2,tblTerritories_2014_O!M53,tblTerritories_2014_N!M53,tblTerritories_2017!M53)="","",CHOOSE($B$2,tblTerritories_2014_O!M53,tblTerritories_2014_N!M53,tblTerritories_2017!M53))</f>
        <v/>
      </c>
      <c r="N53" s="24" t="str">
        <f>IF(CHOOSE($B$2,tblTerritories_2014_O!N53,tblTerritories_2014_N!N53,tblTerritories_2017!N53)="","",CHOOSE($B$2,tblTerritories_2014_O!N53,tblTerritories_2014_N!N53,tblTerritories_2017!N53))</f>
        <v/>
      </c>
      <c r="O53" s="1" t="str">
        <f>IF(CHOOSE($B$2,tblTerritories_2014_O!O53,tblTerritories_2014_N!O53,tblTerritories_2017!O53)="","",CHOOSE($B$2,tblTerritories_2014_O!O53,tblTerritories_2014_N!O53,tblTerritories_2017!O53))</f>
        <v/>
      </c>
      <c r="P53" s="24">
        <f>IF(CHOOSE($B$2,tblTerritories_2014_O!P53,tblTerritories_2014_N!P53,tblTerritories_2017!P53)="","",CHOOSE($B$2,tblTerritories_2014_O!P53,tblTerritories_2014_N!P53,tblTerritories_2017!P53))</f>
        <v>1</v>
      </c>
      <c r="Q53" s="24"/>
    </row>
    <row r="54" ht="15.75" spans="1:17">
      <c r="A54" s="1">
        <f>IF(CHOOSE($B$2,tblTerritories_2014_O!A54,tblTerritories_2014_N!A54,tblTerritories_2017!A54)="","",CHOOSE($B$2,tblTerritories_2014_O!A54,tblTerritories_2014_N!A54,tblTerritories_2017!A54))</f>
        <v>52</v>
      </c>
      <c r="B54" s="1" t="str">
        <f>IF(CHOOSE($B$2,tblTerritories_2014_O!B54,tblTerritories_2014_N!B54,tblTerritories_2017!B54)="","",CHOOSE($B$2,tblTerritories_2014_O!B54,tblTerritories_2014_N!B54,tblTerritories_2017!B54))</f>
        <v/>
      </c>
      <c r="C54" s="51" t="str">
        <f>IF(CHOOSE($B$2,tblTerritories_2014_O!C54,tblTerritories_2014_N!C54,tblTerritories_2017!C54)="","",CHOOSE($B$2,tblTerritories_2014_O!C54,tblTerritories_2014_N!C54,tblTerritories_2017!C54))</f>
        <v>Sydney</v>
      </c>
      <c r="D54" s="1">
        <f>IF(CHOOSE($B$2,tblTerritories_2014_O!D54,tblTerritories_2014_N!D54,tblTerritories_2017!D54)="","",CHOOSE($B$2,tblTerritories_2014_O!D54,tblTerritories_2014_N!D54,tblTerritories_2017!D54))</f>
        <v>1</v>
      </c>
      <c r="E54" s="1">
        <f>IF(CHOOSE($B$2,tblTerritories_2014_O!E54,tblTerritories_2014_N!E54,tblTerritories_2017!E54)="","",CHOOSE($B$2,tblTerritories_2014_O!E54,tblTerritories_2014_N!E54,tblTerritories_2017!E54))</f>
        <v>0</v>
      </c>
      <c r="F54" s="1">
        <f>IF(CHOOSE($B$2,tblTerritories_2014_O!F54,tblTerritories_2014_N!F54,tblTerritories_2017!F54)="","",CHOOSE($B$2,tblTerritories_2014_O!F54,tblTerritories_2014_N!F54,tblTerritories_2017!F54))</f>
        <v>1</v>
      </c>
      <c r="G54" s="1">
        <f>IF(CHOOSE($B$2,tblTerritories_2014_O!G54,tblTerritories_2014_N!G54,tblTerritories_2017!G54)="","",CHOOSE($B$2,tblTerritories_2014_O!G54,tblTerritories_2014_N!G54,tblTerritories_2017!G54))</f>
        <v>0</v>
      </c>
      <c r="H54" s="17">
        <f>IF(CHOOSE($B$2,tblTerritories_2014_O!H54,tblTerritories_2014_N!H54,tblTerritories_2017!H54)="","",CHOOSE($B$2,tblTerritories_2014_O!H54,tblTerritories_2014_N!H54,tblTerritories_2017!H54))</f>
        <v>1</v>
      </c>
      <c r="I54" s="1" t="str">
        <f>IF(CHOOSE($B$2,tblTerritories_2014_O!I54,tblTerritories_2014_N!I54,tblTerritories_2017!I54)="","",CHOOSE($B$2,tblTerritories_2014_O!I54,tblTerritories_2014_N!I54,tblTerritories_2017!I54))</f>
        <v>Sydney</v>
      </c>
      <c r="J54" s="27" t="str">
        <f>IF(CHOOSE($B$2,tblTerritories_2014_O!J54,tblTerritories_2014_N!J54,tblTerritories_2017!J54)="","",CHOOSE($B$2,tblTerritories_2014_O!J54,tblTerritories_2014_N!J54,tblTerritories_2017!J54))</f>
        <v>Sydney</v>
      </c>
      <c r="K54" s="30">
        <f>IF(CHOOSE($B$2,tblTerritories_2014_O!K54,tblTerritories_2014_N!K54,tblTerritories_2017!K54)="","",CHOOSE($B$2,tblTerritories_2014_O!K54,tblTerritories_2014_N!K54,tblTerritories_2017!K54))</f>
        <v>0</v>
      </c>
      <c r="L54" s="31">
        <f>IF(CHOOSE($B$2,tblTerritories_2014_O!L54,tblTerritories_2014_N!L54,tblTerritories_2017!L54)="","",CHOOSE($B$2,tblTerritories_2014_O!L54,tblTerritories_2014_N!L54,tblTerritories_2017!L54))</f>
        <v>1</v>
      </c>
      <c r="M54" s="32" t="str">
        <f>IF(CHOOSE($B$2,tblTerritories_2014_O!M54,tblTerritories_2014_N!M54,tblTerritories_2017!M54)="","",CHOOSE($B$2,tblTerritories_2014_O!M54,tblTerritories_2014_N!M54,tblTerritories_2017!M54))</f>
        <v/>
      </c>
      <c r="N54" s="24" t="str">
        <f>IF(CHOOSE($B$2,tblTerritories_2014_O!N54,tblTerritories_2014_N!N54,tblTerritories_2017!N54)="","",CHOOSE($B$2,tblTerritories_2014_O!N54,tblTerritories_2014_N!N54,tblTerritories_2017!N54))</f>
        <v/>
      </c>
      <c r="O54" s="1" t="str">
        <f>IF(CHOOSE($B$2,tblTerritories_2014_O!O54,tblTerritories_2014_N!O54,tblTerritories_2017!O54)="","",CHOOSE($B$2,tblTerritories_2014_O!O54,tblTerritories_2014_N!O54,tblTerritories_2017!O54))</f>
        <v/>
      </c>
      <c r="P54" s="24">
        <f>IF(CHOOSE($B$2,tblTerritories_2014_O!P54,tblTerritories_2014_N!P54,tblTerritories_2017!P54)="","",CHOOSE($B$2,tblTerritories_2014_O!P54,tblTerritories_2014_N!P54,tblTerritories_2017!P54))</f>
        <v>6</v>
      </c>
      <c r="Q54" s="24"/>
    </row>
    <row r="55" ht="15.75" spans="1:17">
      <c r="A55" s="1">
        <f>IF(CHOOSE($B$2,tblTerritories_2014_O!A55,tblTerritories_2014_N!A55,tblTerritories_2017!A55)="","",CHOOSE($B$2,tblTerritories_2014_O!A55,tblTerritories_2014_N!A55,tblTerritories_2017!A55))</f>
        <v>53</v>
      </c>
      <c r="B55" s="1" t="str">
        <f>IF(CHOOSE($B$2,tblTerritories_2014_O!B55,tblTerritories_2014_N!B55,tblTerritories_2017!B55)="","",CHOOSE($B$2,tblTerritories_2014_O!B55,tblTerritories_2014_N!B55,tblTerritories_2017!B55))</f>
        <v/>
      </c>
      <c r="C55" s="51" t="str">
        <f>IF(CHOOSE($B$2,tblTerritories_2014_O!C55,tblTerritories_2014_N!C55,tblTerritories_2017!C55)="","",CHOOSE($B$2,tblTerritories_2014_O!C55,tblTerritories_2014_N!C55,tblTerritories_2017!C55))</f>
        <v>Taipei</v>
      </c>
      <c r="D55" s="1">
        <f>IF(CHOOSE($B$2,tblTerritories_2014_O!D55,tblTerritories_2014_N!D55,tblTerritories_2017!D55)="","",CHOOSE($B$2,tblTerritories_2014_O!D55,tblTerritories_2014_N!D55,tblTerritories_2017!D55))</f>
        <v>1</v>
      </c>
      <c r="E55" s="1">
        <f>IF(CHOOSE($B$2,tblTerritories_2014_O!E55,tblTerritories_2014_N!E55,tblTerritories_2017!E55)="","",CHOOSE($B$2,tblTerritories_2014_O!E55,tblTerritories_2014_N!E55,tblTerritories_2017!E55))</f>
        <v>0</v>
      </c>
      <c r="F55" s="1">
        <f>IF(CHOOSE($B$2,tblTerritories_2014_O!F55,tblTerritories_2014_N!F55,tblTerritories_2017!F55)="","",CHOOSE($B$2,tblTerritories_2014_O!F55,tblTerritories_2014_N!F55,tblTerritories_2017!F55))</f>
        <v>1</v>
      </c>
      <c r="G55" s="1">
        <f>IF(CHOOSE($B$2,tblTerritories_2014_O!G55,tblTerritories_2014_N!G55,tblTerritories_2017!G55)="","",CHOOSE($B$2,tblTerritories_2014_O!G55,tblTerritories_2014_N!G55,tblTerritories_2017!G55))</f>
        <v>0</v>
      </c>
      <c r="H55" s="17">
        <f>IF(CHOOSE($B$2,tblTerritories_2014_O!H55,tblTerritories_2014_N!H55,tblTerritories_2017!H55)="","",CHOOSE($B$2,tblTerritories_2014_O!H55,tblTerritories_2014_N!H55,tblTerritories_2017!H55))</f>
        <v>1</v>
      </c>
      <c r="I55" s="1" t="str">
        <f>IF(CHOOSE($B$2,tblTerritories_2014_O!I55,tblTerritories_2014_N!I55,tblTerritories_2017!I55)="","",CHOOSE($B$2,tblTerritories_2014_O!I55,tblTerritories_2014_N!I55,tblTerritories_2017!I55))</f>
        <v>Taipei</v>
      </c>
      <c r="J55" s="27" t="str">
        <f>IF(CHOOSE($B$2,tblTerritories_2014_O!J55,tblTerritories_2014_N!J55,tblTerritories_2017!J55)="","",CHOOSE($B$2,tblTerritories_2014_O!J55,tblTerritories_2014_N!J55,tblTerritories_2017!J55))</f>
        <v>Taipei</v>
      </c>
      <c r="K55" s="30">
        <f>IF(CHOOSE($B$2,tblTerritories_2014_O!K55,tblTerritories_2014_N!K55,tblTerritories_2017!K55)="","",CHOOSE($B$2,tblTerritories_2014_O!K55,tblTerritories_2014_N!K55,tblTerritories_2017!K55))</f>
        <v>0</v>
      </c>
      <c r="L55" s="31">
        <f>IF(CHOOSE($B$2,tblTerritories_2014_O!L55,tblTerritories_2014_N!L55,tblTerritories_2017!L55)="","",CHOOSE($B$2,tblTerritories_2014_O!L55,tblTerritories_2014_N!L55,tblTerritories_2017!L55))</f>
        <v>1</v>
      </c>
      <c r="M55" s="32" t="str">
        <f>IF(CHOOSE($B$2,tblTerritories_2014_O!M55,tblTerritories_2014_N!M55,tblTerritories_2017!M55)="","",CHOOSE($B$2,tblTerritories_2014_O!M55,tblTerritories_2014_N!M55,tblTerritories_2017!M55))</f>
        <v/>
      </c>
      <c r="N55" s="24" t="str">
        <f>IF(CHOOSE($B$2,tblTerritories_2014_O!N55,tblTerritories_2014_N!N55,tblTerritories_2017!N55)="","",CHOOSE($B$2,tblTerritories_2014_O!N55,tblTerritories_2014_N!N55,tblTerritories_2017!N55))</f>
        <v/>
      </c>
      <c r="O55" s="1" t="str">
        <f>IF(CHOOSE($B$2,tblTerritories_2014_O!O55,tblTerritories_2014_N!O55,tblTerritories_2017!O55)="","",CHOOSE($B$2,tblTerritories_2014_O!O55,tblTerritories_2014_N!O55,tblTerritories_2017!O55))</f>
        <v/>
      </c>
      <c r="P55" s="24">
        <f>IF(CHOOSE($B$2,tblTerritories_2014_O!P55,tblTerritories_2014_N!P55,tblTerritories_2017!P55)="","",CHOOSE($B$2,tblTerritories_2014_O!P55,tblTerritories_2014_N!P55,tblTerritories_2017!P55))</f>
        <v>6</v>
      </c>
      <c r="Q55" s="24"/>
    </row>
    <row r="56" ht="15.75" spans="1:17">
      <c r="A56" s="1">
        <f>IF(CHOOSE($B$2,tblTerritories_2014_O!A56,tblTerritories_2014_N!A56,tblTerritories_2017!A56)="","",CHOOSE($B$2,tblTerritories_2014_O!A56,tblTerritories_2014_N!A56,tblTerritories_2017!A56))</f>
        <v>54</v>
      </c>
      <c r="B56" s="1" t="str">
        <f>IF(CHOOSE($B$2,tblTerritories_2014_O!B56,tblTerritories_2014_N!B56,tblTerritories_2017!B56)="","",CHOOSE($B$2,tblTerritories_2014_O!B56,tblTerritories_2014_N!B56,tblTerritories_2017!B56))</f>
        <v/>
      </c>
      <c r="C56" s="51" t="str">
        <f>IF(CHOOSE($B$2,tblTerritories_2014_O!C56,tblTerritories_2014_N!C56,tblTerritories_2017!C56)="","",CHOOSE($B$2,tblTerritories_2014_O!C56,tblTerritories_2014_N!C56,tblTerritories_2017!C56))</f>
        <v>Tehran</v>
      </c>
      <c r="D56" s="1">
        <f>IF(CHOOSE($B$2,tblTerritories_2014_O!D56,tblTerritories_2014_N!D56,tblTerritories_2017!D56)="","",CHOOSE($B$2,tblTerritories_2014_O!D56,tblTerritories_2014_N!D56,tblTerritories_2017!D56))</f>
        <v>1</v>
      </c>
      <c r="E56" s="1">
        <f>IF(CHOOSE($B$2,tblTerritories_2014_O!E56,tblTerritories_2014_N!E56,tblTerritories_2017!E56)="","",CHOOSE($B$2,tblTerritories_2014_O!E56,tblTerritories_2014_N!E56,tblTerritories_2017!E56))</f>
        <v>0</v>
      </c>
      <c r="F56" s="1">
        <f>IF(CHOOSE($B$2,tblTerritories_2014_O!F56,tblTerritories_2014_N!F56,tblTerritories_2017!F56)="","",CHOOSE($B$2,tblTerritories_2014_O!F56,tblTerritories_2014_N!F56,tblTerritories_2017!F56))</f>
        <v>1</v>
      </c>
      <c r="G56" s="1">
        <f>IF(CHOOSE($B$2,tblTerritories_2014_O!G56,tblTerritories_2014_N!G56,tblTerritories_2017!G56)="","",CHOOSE($B$2,tblTerritories_2014_O!G56,tblTerritories_2014_N!G56,tblTerritories_2017!G56))</f>
        <v>0</v>
      </c>
      <c r="H56" s="17">
        <f>IF(CHOOSE($B$2,tblTerritories_2014_O!H56,tblTerritories_2014_N!H56,tblTerritories_2017!H56)="","",CHOOSE($B$2,tblTerritories_2014_O!H56,tblTerritories_2014_N!H56,tblTerritories_2017!H56))</f>
        <v>1</v>
      </c>
      <c r="I56" s="1" t="str">
        <f>IF(CHOOSE($B$2,tblTerritories_2014_O!I56,tblTerritories_2014_N!I56,tblTerritories_2017!I56)="","",CHOOSE($B$2,tblTerritories_2014_O!I56,tblTerritories_2014_N!I56,tblTerritories_2017!I56))</f>
        <v>Tehran</v>
      </c>
      <c r="J56" s="27" t="str">
        <f>IF(CHOOSE($B$2,tblTerritories_2014_O!J56,tblTerritories_2014_N!J56,tblTerritories_2017!J56)="","",CHOOSE($B$2,tblTerritories_2014_O!J56,tblTerritories_2014_N!J56,tblTerritories_2017!J56))</f>
        <v>Tehran</v>
      </c>
      <c r="K56" s="30">
        <f>IF(CHOOSE($B$2,tblTerritories_2014_O!K56,tblTerritories_2014_N!K56,tblTerritories_2017!K56)="","",CHOOSE($B$2,tblTerritories_2014_O!K56,tblTerritories_2014_N!K56,tblTerritories_2017!K56))</f>
        <v>0</v>
      </c>
      <c r="L56" s="31">
        <f>IF(CHOOSE($B$2,tblTerritories_2014_O!L56,tblTerritories_2014_N!L56,tblTerritories_2017!L56)="","",CHOOSE($B$2,tblTerritories_2014_O!L56,tblTerritories_2014_N!L56,tblTerritories_2017!L56))</f>
        <v>1</v>
      </c>
      <c r="M56" s="32" t="str">
        <f>IF(CHOOSE($B$2,tblTerritories_2014_O!M56,tblTerritories_2014_N!M56,tblTerritories_2017!M56)="","",CHOOSE($B$2,tblTerritories_2014_O!M56,tblTerritories_2014_N!M56,tblTerritories_2017!M56))</f>
        <v/>
      </c>
      <c r="N56" s="24" t="str">
        <f>IF(CHOOSE($B$2,tblTerritories_2014_O!N56,tblTerritories_2014_N!N56,tblTerritories_2017!N56)="","",CHOOSE($B$2,tblTerritories_2014_O!N56,tblTerritories_2014_N!N56,tblTerritories_2017!N56))</f>
        <v/>
      </c>
      <c r="O56" s="1" t="str">
        <f>IF(CHOOSE($B$2,tblTerritories_2014_O!O56,tblTerritories_2014_N!O56,tblTerritories_2017!O56)="","",CHOOSE($B$2,tblTerritories_2014_O!O56,tblTerritories_2014_N!O56,tblTerritories_2017!O56))</f>
        <v/>
      </c>
      <c r="P56" s="24">
        <f>IF(CHOOSE($B$2,tblTerritories_2014_O!P56,tblTerritories_2014_N!P56,tblTerritories_2017!P56)="","",CHOOSE($B$2,tblTerritories_2014_O!P56,tblTerritories_2014_N!P56,tblTerritories_2017!P56))</f>
        <v>3</v>
      </c>
      <c r="Q56" s="24"/>
    </row>
    <row r="57" ht="15.75" spans="1:17">
      <c r="A57" s="1">
        <f>IF(CHOOSE($B$2,tblTerritories_2014_O!A57,tblTerritories_2014_N!A57,tblTerritories_2017!A57)="","",CHOOSE($B$2,tblTerritories_2014_O!A57,tblTerritories_2014_N!A57,tblTerritories_2017!A57))</f>
        <v>55</v>
      </c>
      <c r="B57" s="1" t="str">
        <f>IF(CHOOSE($B$2,tblTerritories_2014_O!B57,tblTerritories_2014_N!B57,tblTerritories_2017!B57)="","",CHOOSE($B$2,tblTerritories_2014_O!B57,tblTerritories_2014_N!B57,tblTerritories_2017!B57))</f>
        <v/>
      </c>
      <c r="C57" s="51" t="str">
        <f>IF(CHOOSE($B$2,tblTerritories_2014_O!C57,tblTerritories_2014_N!C57,tblTerritories_2017!C57)="","",CHOOSE($B$2,tblTerritories_2014_O!C57,tblTerritories_2014_N!C57,tblTerritories_2017!C57))</f>
        <v>Tokyo</v>
      </c>
      <c r="D57" s="1">
        <f>IF(CHOOSE($B$2,tblTerritories_2014_O!D57,tblTerritories_2014_N!D57,tblTerritories_2017!D57)="","",CHOOSE($B$2,tblTerritories_2014_O!D57,tblTerritories_2014_N!D57,tblTerritories_2017!D57))</f>
        <v>1</v>
      </c>
      <c r="E57" s="1">
        <f>IF(CHOOSE($B$2,tblTerritories_2014_O!E57,tblTerritories_2014_N!E57,tblTerritories_2017!E57)="","",CHOOSE($B$2,tblTerritories_2014_O!E57,tblTerritories_2014_N!E57,tblTerritories_2017!E57))</f>
        <v>0</v>
      </c>
      <c r="F57" s="1">
        <f>IF(CHOOSE($B$2,tblTerritories_2014_O!F57,tblTerritories_2014_N!F57,tblTerritories_2017!F57)="","",CHOOSE($B$2,tblTerritories_2014_O!F57,tblTerritories_2014_N!F57,tblTerritories_2017!F57))</f>
        <v>1</v>
      </c>
      <c r="G57" s="1">
        <f>IF(CHOOSE($B$2,tblTerritories_2014_O!G57,tblTerritories_2014_N!G57,tblTerritories_2017!G57)="","",CHOOSE($B$2,tblTerritories_2014_O!G57,tblTerritories_2014_N!G57,tblTerritories_2017!G57))</f>
        <v>0</v>
      </c>
      <c r="H57" s="17">
        <f>IF(CHOOSE($B$2,tblTerritories_2014_O!H57,tblTerritories_2014_N!H57,tblTerritories_2017!H57)="","",CHOOSE($B$2,tblTerritories_2014_O!H57,tblTerritories_2014_N!H57,tblTerritories_2017!H57))</f>
        <v>1</v>
      </c>
      <c r="I57" s="1" t="str">
        <f>IF(CHOOSE($B$2,tblTerritories_2014_O!I57,tblTerritories_2014_N!I57,tblTerritories_2017!I57)="","",CHOOSE($B$2,tblTerritories_2014_O!I57,tblTerritories_2014_N!I57,tblTerritories_2017!I57))</f>
        <v>Tokyo</v>
      </c>
      <c r="J57" s="27" t="str">
        <f>IF(CHOOSE($B$2,tblTerritories_2014_O!J57,tblTerritories_2014_N!J57,tblTerritories_2017!J57)="","",CHOOSE($B$2,tblTerritories_2014_O!J57,tblTerritories_2014_N!J57,tblTerritories_2017!J57))</f>
        <v>Tokyo</v>
      </c>
      <c r="K57" s="30">
        <f>IF(CHOOSE($B$2,tblTerritories_2014_O!K57,tblTerritories_2014_N!K57,tblTerritories_2017!K57)="","",CHOOSE($B$2,tblTerritories_2014_O!K57,tblTerritories_2014_N!K57,tblTerritories_2017!K57))</f>
        <v>0</v>
      </c>
      <c r="L57" s="31">
        <f>IF(CHOOSE($B$2,tblTerritories_2014_O!L57,tblTerritories_2014_N!L57,tblTerritories_2017!L57)="","",CHOOSE($B$2,tblTerritories_2014_O!L57,tblTerritories_2014_N!L57,tblTerritories_2017!L57))</f>
        <v>1</v>
      </c>
      <c r="M57" s="32" t="str">
        <f>IF(CHOOSE($B$2,tblTerritories_2014_O!M57,tblTerritories_2014_N!M57,tblTerritories_2017!M57)="","",CHOOSE($B$2,tblTerritories_2014_O!M57,tblTerritories_2014_N!M57,tblTerritories_2017!M57))</f>
        <v/>
      </c>
      <c r="N57" s="24" t="str">
        <f>IF(CHOOSE($B$2,tblTerritories_2014_O!N57,tblTerritories_2014_N!N57,tblTerritories_2017!N57)="","",CHOOSE($B$2,tblTerritories_2014_O!N57,tblTerritories_2014_N!N57,tblTerritories_2017!N57))</f>
        <v/>
      </c>
      <c r="O57" s="1" t="str">
        <f>IF(CHOOSE($B$2,tblTerritories_2014_O!O57,tblTerritories_2014_N!O57,tblTerritories_2017!O57)="","",CHOOSE($B$2,tblTerritories_2014_O!O57,tblTerritories_2014_N!O57,tblTerritories_2017!O57))</f>
        <v/>
      </c>
      <c r="P57" s="24">
        <f>IF(CHOOSE($B$2,tblTerritories_2014_O!P57,tblTerritories_2014_N!P57,tblTerritories_2017!P57)="","",CHOOSE($B$2,tblTerritories_2014_O!P57,tblTerritories_2014_N!P57,tblTerritories_2017!P57))</f>
        <v>6</v>
      </c>
      <c r="Q57" s="24"/>
    </row>
    <row r="58" ht="15.75" spans="1:17">
      <c r="A58" s="1">
        <f>IF(CHOOSE($B$2,tblTerritories_2014_O!A58,tblTerritories_2014_N!A58,tblTerritories_2017!A58)="","",CHOOSE($B$2,tblTerritories_2014_O!A58,tblTerritories_2014_N!A58,tblTerritories_2017!A58))</f>
        <v>56</v>
      </c>
      <c r="B58" s="1" t="str">
        <f>IF(CHOOSE($B$2,tblTerritories_2014_O!B58,tblTerritories_2014_N!B58,tblTerritories_2017!B58)="","",CHOOSE($B$2,tblTerritories_2014_O!B58,tblTerritories_2014_N!B58,tblTerritories_2017!B58))</f>
        <v/>
      </c>
      <c r="C58" s="51" t="str">
        <f>IF(CHOOSE($B$2,tblTerritories_2014_O!C58,tblTerritories_2014_N!C58,tblTerritories_2017!C58)="","",CHOOSE($B$2,tblTerritories_2014_O!C58,tblTerritories_2014_N!C58,tblTerritories_2017!C58))</f>
        <v>Toronto</v>
      </c>
      <c r="D58" s="1">
        <f>IF(CHOOSE($B$2,tblTerritories_2014_O!D58,tblTerritories_2014_N!D58,tblTerritories_2017!D58)="","",CHOOSE($B$2,tblTerritories_2014_O!D58,tblTerritories_2014_N!D58,tblTerritories_2017!D58))</f>
        <v>1</v>
      </c>
      <c r="E58" s="1">
        <f>IF(CHOOSE($B$2,tblTerritories_2014_O!E58,tblTerritories_2014_N!E58,tblTerritories_2017!E58)="","",CHOOSE($B$2,tblTerritories_2014_O!E58,tblTerritories_2014_N!E58,tblTerritories_2017!E58))</f>
        <v>0</v>
      </c>
      <c r="F58" s="1">
        <f>IF(CHOOSE($B$2,tblTerritories_2014_O!F58,tblTerritories_2014_N!F58,tblTerritories_2017!F58)="","",CHOOSE($B$2,tblTerritories_2014_O!F58,tblTerritories_2014_N!F58,tblTerritories_2017!F58))</f>
        <v>1</v>
      </c>
      <c r="G58" s="1">
        <f>IF(CHOOSE($B$2,tblTerritories_2014_O!G58,tblTerritories_2014_N!G58,tblTerritories_2017!G58)="","",CHOOSE($B$2,tblTerritories_2014_O!G58,tblTerritories_2014_N!G58,tblTerritories_2017!G58))</f>
        <v>0</v>
      </c>
      <c r="H58" s="17">
        <f>IF(CHOOSE($B$2,tblTerritories_2014_O!H58,tblTerritories_2014_N!H58,tblTerritories_2017!H58)="","",CHOOSE($B$2,tblTerritories_2014_O!H58,tblTerritories_2014_N!H58,tblTerritories_2017!H58))</f>
        <v>1</v>
      </c>
      <c r="I58" s="1" t="str">
        <f>IF(CHOOSE($B$2,tblTerritories_2014_O!I58,tblTerritories_2014_N!I58,tblTerritories_2017!I58)="","",CHOOSE($B$2,tblTerritories_2014_O!I58,tblTerritories_2014_N!I58,tblTerritories_2017!I58))</f>
        <v>Toronto</v>
      </c>
      <c r="J58" s="27" t="str">
        <f>IF(CHOOSE($B$2,tblTerritories_2014_O!J58,tblTerritories_2014_N!J58,tblTerritories_2017!J58)="","",CHOOSE($B$2,tblTerritories_2014_O!J58,tblTerritories_2014_N!J58,tblTerritories_2017!J58))</f>
        <v>Toronto</v>
      </c>
      <c r="K58" s="30">
        <f>IF(CHOOSE($B$2,tblTerritories_2014_O!K58,tblTerritories_2014_N!K58,tblTerritories_2017!K58)="","",CHOOSE($B$2,tblTerritories_2014_O!K58,tblTerritories_2014_N!K58,tblTerritories_2017!K58))</f>
        <v>0</v>
      </c>
      <c r="L58" s="31">
        <f>IF(CHOOSE($B$2,tblTerritories_2014_O!L58,tblTerritories_2014_N!L58,tblTerritories_2017!L58)="","",CHOOSE($B$2,tblTerritories_2014_O!L58,tblTerritories_2014_N!L58,tblTerritories_2017!L58))</f>
        <v>1</v>
      </c>
      <c r="M58" s="32" t="str">
        <f>IF(CHOOSE($B$2,tblTerritories_2014_O!M58,tblTerritories_2014_N!M58,tblTerritories_2017!M58)="","",CHOOSE($B$2,tblTerritories_2014_O!M58,tblTerritories_2014_N!M58,tblTerritories_2017!M58))</f>
        <v/>
      </c>
      <c r="N58" s="24" t="str">
        <f>IF(CHOOSE($B$2,tblTerritories_2014_O!N58,tblTerritories_2014_N!N58,tblTerritories_2017!N58)="","",CHOOSE($B$2,tblTerritories_2014_O!N58,tblTerritories_2014_N!N58,tblTerritories_2017!N58))</f>
        <v/>
      </c>
      <c r="O58" s="1" t="str">
        <f>IF(CHOOSE($B$2,tblTerritories_2014_O!O58,tblTerritories_2014_N!O58,tblTerritories_2017!O58)="","",CHOOSE($B$2,tblTerritories_2014_O!O58,tblTerritories_2014_N!O58,tblTerritories_2017!O58))</f>
        <v/>
      </c>
      <c r="P58" s="24">
        <f>IF(CHOOSE($B$2,tblTerritories_2014_O!P58,tblTerritories_2014_N!P58,tblTerritories_2017!P58)="","",CHOOSE($B$2,tblTerritories_2014_O!P58,tblTerritories_2014_N!P58,tblTerritories_2017!P58))</f>
        <v>4</v>
      </c>
      <c r="Q58" s="24"/>
    </row>
    <row r="59" ht="15.75" spans="1:17">
      <c r="A59" s="1">
        <f>IF(CHOOSE($B$2,tblTerritories_2014_O!A59,tblTerritories_2014_N!A59,tblTerritories_2017!A59)="","",CHOOSE($B$2,tblTerritories_2014_O!A59,tblTerritories_2014_N!A59,tblTerritories_2017!A59))</f>
        <v>57</v>
      </c>
      <c r="B59" s="1" t="str">
        <f>IF(CHOOSE($B$2,tblTerritories_2014_O!B59,tblTerritories_2014_N!B59,tblTerritories_2017!B59)="","",CHOOSE($B$2,tblTerritories_2014_O!B59,tblTerritories_2014_N!B59,tblTerritories_2017!B59))</f>
        <v/>
      </c>
      <c r="C59" s="51" t="str">
        <f>IF(CHOOSE($B$2,tblTerritories_2014_O!C59,tblTerritories_2014_N!C59,tblTerritories_2017!C59)="","",CHOOSE($B$2,tblTerritories_2014_O!C59,tblTerritories_2014_N!C59,tblTerritories_2017!C59))</f>
        <v>Washington DC</v>
      </c>
      <c r="D59" s="1">
        <f>IF(CHOOSE($B$2,tblTerritories_2014_O!D59,tblTerritories_2014_N!D59,tblTerritories_2017!D59)="","",CHOOSE($B$2,tblTerritories_2014_O!D59,tblTerritories_2014_N!D59,tblTerritories_2017!D59))</f>
        <v>1</v>
      </c>
      <c r="E59" s="1">
        <f>IF(CHOOSE($B$2,tblTerritories_2014_O!E59,tblTerritories_2014_N!E59,tblTerritories_2017!E59)="","",CHOOSE($B$2,tblTerritories_2014_O!E59,tblTerritories_2014_N!E59,tblTerritories_2017!E59))</f>
        <v>0</v>
      </c>
      <c r="F59" s="1">
        <f>IF(CHOOSE($B$2,tblTerritories_2014_O!F59,tblTerritories_2014_N!F59,tblTerritories_2017!F59)="","",CHOOSE($B$2,tblTerritories_2014_O!F59,tblTerritories_2014_N!F59,tblTerritories_2017!F59))</f>
        <v>1</v>
      </c>
      <c r="G59" s="1">
        <f>IF(CHOOSE($B$2,tblTerritories_2014_O!G59,tblTerritories_2014_N!G59,tblTerritories_2017!G59)="","",CHOOSE($B$2,tblTerritories_2014_O!G59,tblTerritories_2014_N!G59,tblTerritories_2017!G59))</f>
        <v>0</v>
      </c>
      <c r="H59" s="17">
        <f>IF(CHOOSE($B$2,tblTerritories_2014_O!H59,tblTerritories_2014_N!H59,tblTerritories_2017!H59)="","",CHOOSE($B$2,tblTerritories_2014_O!H59,tblTerritories_2014_N!H59,tblTerritories_2017!H59))</f>
        <v>1</v>
      </c>
      <c r="I59" s="1" t="str">
        <f>IF(CHOOSE($B$2,tblTerritories_2014_O!I59,tblTerritories_2014_N!I59,tblTerritories_2017!I59)="","",CHOOSE($B$2,tblTerritories_2014_O!I59,tblTerritories_2014_N!I59,tblTerritories_2017!I59))</f>
        <v>WashingtonDC</v>
      </c>
      <c r="J59" s="27" t="str">
        <f>IF(CHOOSE($B$2,tblTerritories_2014_O!J59,tblTerritories_2014_N!J59,tblTerritories_2017!J59)="","",CHOOSE($B$2,tblTerritories_2014_O!J59,tblTerritories_2014_N!J59,tblTerritories_2017!J59))</f>
        <v>Washington DC</v>
      </c>
      <c r="K59" s="30">
        <f>IF(CHOOSE($B$2,tblTerritories_2014_O!K59,tblTerritories_2014_N!K59,tblTerritories_2017!K59)="","",CHOOSE($B$2,tblTerritories_2014_O!K59,tblTerritories_2014_N!K59,tblTerritories_2017!K59))</f>
        <v>0</v>
      </c>
      <c r="L59" s="31">
        <f>IF(CHOOSE($B$2,tblTerritories_2014_O!L59,tblTerritories_2014_N!L59,tblTerritories_2017!L59)="","",CHOOSE($B$2,tblTerritories_2014_O!L59,tblTerritories_2014_N!L59,tblTerritories_2017!L59))</f>
        <v>1</v>
      </c>
      <c r="M59" s="32" t="str">
        <f>IF(CHOOSE($B$2,tblTerritories_2014_O!M59,tblTerritories_2014_N!M59,tblTerritories_2017!M59)="","",CHOOSE($B$2,tblTerritories_2014_O!M59,tblTerritories_2014_N!M59,tblTerritories_2017!M59))</f>
        <v/>
      </c>
      <c r="N59" s="24" t="str">
        <f>IF(CHOOSE($B$2,tblTerritories_2014_O!N59,tblTerritories_2014_N!N59,tblTerritories_2017!N59)="","",CHOOSE($B$2,tblTerritories_2014_O!N59,tblTerritories_2014_N!N59,tblTerritories_2017!N59))</f>
        <v/>
      </c>
      <c r="O59" s="1" t="str">
        <f>IF(CHOOSE($B$2,tblTerritories_2014_O!O59,tblTerritories_2014_N!O59,tblTerritories_2017!O59)="","",CHOOSE($B$2,tblTerritories_2014_O!O59,tblTerritories_2014_N!O59,tblTerritories_2017!O59))</f>
        <v/>
      </c>
      <c r="P59" s="24">
        <f>IF(CHOOSE($B$2,tblTerritories_2014_O!P59,tblTerritories_2014_N!P59,tblTerritories_2017!P59)="","",CHOOSE($B$2,tblTerritories_2014_O!P59,tblTerritories_2014_N!P59,tblTerritories_2017!P59))</f>
        <v>4</v>
      </c>
      <c r="Q59" s="24"/>
    </row>
    <row r="60" ht="15.75" spans="1:17">
      <c r="A60" s="1">
        <f>IF(CHOOSE($B$2,tblTerritories_2014_O!A60,tblTerritories_2014_N!A60,tblTerritories_2017!A60)="","",CHOOSE($B$2,tblTerritories_2014_O!A60,tblTerritories_2014_N!A60,tblTerritories_2017!A60))</f>
        <v>58</v>
      </c>
      <c r="B60" s="1" t="str">
        <f>IF(CHOOSE($B$2,tblTerritories_2014_O!B60,tblTerritories_2014_N!B60,tblTerritories_2017!B60)="","",CHOOSE($B$2,tblTerritories_2014_O!B60,tblTerritories_2014_N!B60,tblTerritories_2017!B60))</f>
        <v/>
      </c>
      <c r="C60" s="51" t="str">
        <f>IF(CHOOSE($B$2,tblTerritories_2014_O!C60,tblTerritories_2014_N!C60,tblTerritories_2017!C60)="","",CHOOSE($B$2,tblTerritories_2014_O!C60,tblTerritories_2014_N!C60,tblTerritories_2017!C60))</f>
        <v>Wellington</v>
      </c>
      <c r="D60" s="1">
        <f>IF(CHOOSE($B$2,tblTerritories_2014_O!D60,tblTerritories_2014_N!D60,tblTerritories_2017!D60)="","",CHOOSE($B$2,tblTerritories_2014_O!D60,tblTerritories_2014_N!D60,tblTerritories_2017!D60))</f>
        <v>1</v>
      </c>
      <c r="E60" s="1">
        <f>IF(CHOOSE($B$2,tblTerritories_2014_O!E60,tblTerritories_2014_N!E60,tblTerritories_2017!E60)="","",CHOOSE($B$2,tblTerritories_2014_O!E60,tblTerritories_2014_N!E60,tblTerritories_2017!E60))</f>
        <v>0</v>
      </c>
      <c r="F60" s="1">
        <f>IF(CHOOSE($B$2,tblTerritories_2014_O!F60,tblTerritories_2014_N!F60,tblTerritories_2017!F60)="","",CHOOSE($B$2,tblTerritories_2014_O!F60,tblTerritories_2014_N!F60,tblTerritories_2017!F60))</f>
        <v>1</v>
      </c>
      <c r="G60" s="1">
        <f>IF(CHOOSE($B$2,tblTerritories_2014_O!G60,tblTerritories_2014_N!G60,tblTerritories_2017!G60)="","",CHOOSE($B$2,tblTerritories_2014_O!G60,tblTerritories_2014_N!G60,tblTerritories_2017!G60))</f>
        <v>0</v>
      </c>
      <c r="H60" s="17">
        <f>IF(CHOOSE($B$2,tblTerritories_2014_O!H60,tblTerritories_2014_N!H60,tblTerritories_2017!H60)="","",CHOOSE($B$2,tblTerritories_2014_O!H60,tblTerritories_2014_N!H60,tblTerritories_2017!H60))</f>
        <v>1</v>
      </c>
      <c r="I60" s="1" t="str">
        <f>IF(CHOOSE($B$2,tblTerritories_2014_O!I60,tblTerritories_2014_N!I60,tblTerritories_2017!I60)="","",CHOOSE($B$2,tblTerritories_2014_O!I60,tblTerritories_2014_N!I60,tblTerritories_2017!I60))</f>
        <v>Wellington</v>
      </c>
      <c r="J60" s="27" t="str">
        <f>IF(CHOOSE($B$2,tblTerritories_2014_O!J60,tblTerritories_2014_N!J60,tblTerritories_2017!J60)="","",CHOOSE($B$2,tblTerritories_2014_O!J60,tblTerritories_2014_N!J60,tblTerritories_2017!J60))</f>
        <v>Wellington</v>
      </c>
      <c r="K60" s="30">
        <f>IF(CHOOSE($B$2,tblTerritories_2014_O!K60,tblTerritories_2014_N!K60,tblTerritories_2017!K60)="","",CHOOSE($B$2,tblTerritories_2014_O!K60,tblTerritories_2014_N!K60,tblTerritories_2017!K60))</f>
        <v>0</v>
      </c>
      <c r="L60" s="31">
        <f>IF(CHOOSE($B$2,tblTerritories_2014_O!L60,tblTerritories_2014_N!L60,tblTerritories_2017!L60)="","",CHOOSE($B$2,tblTerritories_2014_O!L60,tblTerritories_2014_N!L60,tblTerritories_2017!L60))</f>
        <v>1</v>
      </c>
      <c r="M60" s="32" t="str">
        <f>IF(CHOOSE($B$2,tblTerritories_2014_O!M60,tblTerritories_2014_N!M60,tblTerritories_2017!M60)="","",CHOOSE($B$2,tblTerritories_2014_O!M60,tblTerritories_2014_N!M60,tblTerritories_2017!M60))</f>
        <v/>
      </c>
      <c r="N60" s="24" t="str">
        <f>IF(CHOOSE($B$2,tblTerritories_2014_O!N60,tblTerritories_2014_N!N60,tblTerritories_2017!N60)="","",CHOOSE($B$2,tblTerritories_2014_O!N60,tblTerritories_2014_N!N60,tblTerritories_2017!N60))</f>
        <v/>
      </c>
      <c r="O60" s="1" t="str">
        <f>IF(CHOOSE($B$2,tblTerritories_2014_O!O60,tblTerritories_2014_N!O60,tblTerritories_2017!O60)="","",CHOOSE($B$2,tblTerritories_2014_O!O60,tblTerritories_2014_N!O60,tblTerritories_2017!O60))</f>
        <v/>
      </c>
      <c r="P60" s="24">
        <f>IF(CHOOSE($B$2,tblTerritories_2014_O!P60,tblTerritories_2014_N!P60,tblTerritories_2017!P60)="","",CHOOSE($B$2,tblTerritories_2014_O!P60,tblTerritories_2014_N!P60,tblTerritories_2017!P60))</f>
        <v>6</v>
      </c>
      <c r="Q60" s="24"/>
    </row>
    <row r="61" ht="15.75" spans="1:17">
      <c r="A61" s="1">
        <f>IF(CHOOSE($B$2,tblTerritories_2014_O!A61,tblTerritories_2014_N!A61,tblTerritories_2017!A61)="","",CHOOSE($B$2,tblTerritories_2014_O!A61,tblTerritories_2014_N!A61,tblTerritories_2017!A61))</f>
        <v>59</v>
      </c>
      <c r="B61" s="1" t="str">
        <f>IF(CHOOSE($B$2,tblTerritories_2014_O!B61,tblTerritories_2014_N!B61,tblTerritories_2017!B61)="","",CHOOSE($B$2,tblTerritories_2014_O!B61,tblTerritories_2014_N!B61,tblTerritories_2017!B61))</f>
        <v/>
      </c>
      <c r="C61" s="51" t="str">
        <f>IF(CHOOSE($B$2,tblTerritories_2014_O!C61,tblTerritories_2014_N!C61,tblTerritories_2017!C61)="","",CHOOSE($B$2,tblTerritories_2014_O!C61,tblTerritories_2014_N!C61,tblTerritories_2017!C61))</f>
        <v>Yangon</v>
      </c>
      <c r="D61" s="1">
        <f>IF(CHOOSE($B$2,tblTerritories_2014_O!D61,tblTerritories_2014_N!D61,tblTerritories_2017!D61)="","",CHOOSE($B$2,tblTerritories_2014_O!D61,tblTerritories_2014_N!D61,tblTerritories_2017!D61))</f>
        <v>1</v>
      </c>
      <c r="E61" s="1">
        <f>IF(CHOOSE($B$2,tblTerritories_2014_O!E61,tblTerritories_2014_N!E61,tblTerritories_2017!E61)="","",CHOOSE($B$2,tblTerritories_2014_O!E61,tblTerritories_2014_N!E61,tblTerritories_2017!E61))</f>
        <v>0</v>
      </c>
      <c r="F61" s="1">
        <f>IF(CHOOSE($B$2,tblTerritories_2014_O!F61,tblTerritories_2014_N!F61,tblTerritories_2017!F61)="","",CHOOSE($B$2,tblTerritories_2014_O!F61,tblTerritories_2014_N!F61,tblTerritories_2017!F61))</f>
        <v>1</v>
      </c>
      <c r="G61" s="1">
        <f>IF(CHOOSE($B$2,tblTerritories_2014_O!G61,tblTerritories_2014_N!G61,tblTerritories_2017!G61)="","",CHOOSE($B$2,tblTerritories_2014_O!G61,tblTerritories_2014_N!G61,tblTerritories_2017!G61))</f>
        <v>0</v>
      </c>
      <c r="H61" s="17">
        <f>IF(CHOOSE($B$2,tblTerritories_2014_O!H61,tblTerritories_2014_N!H61,tblTerritories_2017!H61)="","",CHOOSE($B$2,tblTerritories_2014_O!H61,tblTerritories_2014_N!H61,tblTerritories_2017!H61))</f>
        <v>1</v>
      </c>
      <c r="I61" s="1" t="str">
        <f>IF(CHOOSE($B$2,tblTerritories_2014_O!I61,tblTerritories_2014_N!I61,tblTerritories_2017!I61)="","",CHOOSE($B$2,tblTerritories_2014_O!I61,tblTerritories_2014_N!I61,tblTerritories_2017!I61))</f>
        <v>Yangon</v>
      </c>
      <c r="J61" s="27" t="str">
        <f>IF(CHOOSE($B$2,tblTerritories_2014_O!J61,tblTerritories_2014_N!J61,tblTerritories_2017!J61)="","",CHOOSE($B$2,tblTerritories_2014_O!J61,tblTerritories_2014_N!J61,tblTerritories_2017!J61))</f>
        <v>Yangon</v>
      </c>
      <c r="K61" s="30">
        <f>IF(CHOOSE($B$2,tblTerritories_2014_O!K61,tblTerritories_2014_N!K61,tblTerritories_2017!K61)="","",CHOOSE($B$2,tblTerritories_2014_O!K61,tblTerritories_2014_N!K61,tblTerritories_2017!K61))</f>
        <v>0</v>
      </c>
      <c r="L61" s="31">
        <f>IF(CHOOSE($B$2,tblTerritories_2014_O!L61,tblTerritories_2014_N!L61,tblTerritories_2017!L61)="","",CHOOSE($B$2,tblTerritories_2014_O!L61,tblTerritories_2014_N!L61,tblTerritories_2017!L61))</f>
        <v>1</v>
      </c>
      <c r="M61" s="32" t="str">
        <f>IF(CHOOSE($B$2,tblTerritories_2014_O!M61,tblTerritories_2014_N!M61,tblTerritories_2017!M61)="","",CHOOSE($B$2,tblTerritories_2014_O!M61,tblTerritories_2014_N!M61,tblTerritories_2017!M61))</f>
        <v/>
      </c>
      <c r="N61" s="24" t="str">
        <f>IF(CHOOSE($B$2,tblTerritories_2014_O!N61,tblTerritories_2014_N!N61,tblTerritories_2017!N61)="","",CHOOSE($B$2,tblTerritories_2014_O!N61,tblTerritories_2014_N!N61,tblTerritories_2017!N61))</f>
        <v/>
      </c>
      <c r="O61" s="1" t="str">
        <f>IF(CHOOSE($B$2,tblTerritories_2014_O!O61,tblTerritories_2014_N!O61,tblTerritories_2017!O61)="","",CHOOSE($B$2,tblTerritories_2014_O!O61,tblTerritories_2014_N!O61,tblTerritories_2017!O61))</f>
        <v/>
      </c>
      <c r="P61" s="24">
        <f>IF(CHOOSE($B$2,tblTerritories_2014_O!P61,tblTerritories_2014_N!P61,tblTerritories_2017!P61)="","",CHOOSE($B$2,tblTerritories_2014_O!P61,tblTerritories_2014_N!P61,tblTerritories_2017!P61))</f>
        <v>8</v>
      </c>
      <c r="Q61" s="24"/>
    </row>
    <row r="62" ht="15.75" spans="1:17">
      <c r="A62" s="1">
        <f>IF(CHOOSE($B$2,tblTerritories_2014_O!A62,tblTerritories_2014_N!A62,tblTerritories_2017!A62)="","",CHOOSE($B$2,tblTerritories_2014_O!A62,tblTerritories_2014_N!A62,tblTerritories_2017!A62))</f>
        <v>60</v>
      </c>
      <c r="B62" s="1" t="str">
        <f>IF(CHOOSE($B$2,tblTerritories_2014_O!B62,tblTerritories_2014_N!B62,tblTerritories_2017!B62)="","",CHOOSE($B$2,tblTerritories_2014_O!B62,tblTerritories_2014_N!B62,tblTerritories_2017!B62))</f>
        <v/>
      </c>
      <c r="C62" s="51" t="str">
        <f>IF(CHOOSE($B$2,tblTerritories_2014_O!C62,tblTerritories_2014_N!C62,tblTerritories_2017!C62)="","",CHOOSE($B$2,tblTerritories_2014_O!C62,tblTerritories_2014_N!C62,tblTerritories_2017!C62))</f>
        <v>Zurich</v>
      </c>
      <c r="D62" s="1">
        <f>IF(CHOOSE($B$2,tblTerritories_2014_O!D62,tblTerritories_2014_N!D62,tblTerritories_2017!D62)="","",CHOOSE($B$2,tblTerritories_2014_O!D62,tblTerritories_2014_N!D62,tblTerritories_2017!D62))</f>
        <v>1</v>
      </c>
      <c r="E62" s="1">
        <f>IF(CHOOSE($B$2,tblTerritories_2014_O!E62,tblTerritories_2014_N!E62,tblTerritories_2017!E62)="","",CHOOSE($B$2,tblTerritories_2014_O!E62,tblTerritories_2014_N!E62,tblTerritories_2017!E62))</f>
        <v>0</v>
      </c>
      <c r="F62" s="1">
        <f>IF(CHOOSE($B$2,tblTerritories_2014_O!F62,tblTerritories_2014_N!F62,tblTerritories_2017!F62)="","",CHOOSE($B$2,tblTerritories_2014_O!F62,tblTerritories_2014_N!F62,tblTerritories_2017!F62))</f>
        <v>1</v>
      </c>
      <c r="G62" s="1">
        <f>IF(CHOOSE($B$2,tblTerritories_2014_O!G62,tblTerritories_2014_N!G62,tblTerritories_2017!G62)="","",CHOOSE($B$2,tblTerritories_2014_O!G62,tblTerritories_2014_N!G62,tblTerritories_2017!G62))</f>
        <v>0</v>
      </c>
      <c r="H62" s="17">
        <f>IF(CHOOSE($B$2,tblTerritories_2014_O!H62,tblTerritories_2014_N!H62,tblTerritories_2017!H62)="","",CHOOSE($B$2,tblTerritories_2014_O!H62,tblTerritories_2014_N!H62,tblTerritories_2017!H62))</f>
        <v>1</v>
      </c>
      <c r="I62" s="1" t="str">
        <f>IF(CHOOSE($B$2,tblTerritories_2014_O!I62,tblTerritories_2014_N!I62,tblTerritories_2017!I62)="","",CHOOSE($B$2,tblTerritories_2014_O!I62,tblTerritories_2014_N!I62,tblTerritories_2017!I62))</f>
        <v>Zurich</v>
      </c>
      <c r="J62" s="27" t="str">
        <f>IF(CHOOSE($B$2,tblTerritories_2014_O!J62,tblTerritories_2014_N!J62,tblTerritories_2017!J62)="","",CHOOSE($B$2,tblTerritories_2014_O!J62,tblTerritories_2014_N!J62,tblTerritories_2017!J62))</f>
        <v>Zurich</v>
      </c>
      <c r="K62" s="30">
        <f>IF(CHOOSE($B$2,tblTerritories_2014_O!K62,tblTerritories_2014_N!K62,tblTerritories_2017!K62)="","",CHOOSE($B$2,tblTerritories_2014_O!K62,tblTerritories_2014_N!K62,tblTerritories_2017!K62))</f>
        <v>0</v>
      </c>
      <c r="L62" s="31">
        <f>IF(CHOOSE($B$2,tblTerritories_2014_O!L62,tblTerritories_2014_N!L62,tblTerritories_2017!L62)="","",CHOOSE($B$2,tblTerritories_2014_O!L62,tblTerritories_2014_N!L62,tblTerritories_2017!L62))</f>
        <v>1</v>
      </c>
      <c r="M62" s="32" t="str">
        <f>IF(CHOOSE($B$2,tblTerritories_2014_O!M62,tblTerritories_2014_N!M62,tblTerritories_2017!M62)="","",CHOOSE($B$2,tblTerritories_2014_O!M62,tblTerritories_2014_N!M62,tblTerritories_2017!M62))</f>
        <v/>
      </c>
      <c r="N62" s="24" t="str">
        <f>IF(CHOOSE($B$2,tblTerritories_2014_O!N62,tblTerritories_2014_N!N62,tblTerritories_2017!N62)="","",CHOOSE($B$2,tblTerritories_2014_O!N62,tblTerritories_2014_N!N62,tblTerritories_2017!N62))</f>
        <v/>
      </c>
      <c r="O62" s="1" t="str">
        <f>IF(CHOOSE($B$2,tblTerritories_2014_O!O62,tblTerritories_2014_N!O62,tblTerritories_2017!O62)="","",CHOOSE($B$2,tblTerritories_2014_O!O62,tblTerritories_2014_N!O62,tblTerritories_2017!O62))</f>
        <v/>
      </c>
      <c r="P62" s="24">
        <f>IF(CHOOSE($B$2,tblTerritories_2014_O!P62,tblTerritories_2014_N!P62,tblTerritories_2017!P62)="","",CHOOSE($B$2,tblTerritories_2014_O!P62,tblTerritories_2014_N!P62,tblTerritories_2017!P62))</f>
        <v>1</v>
      </c>
      <c r="Q62" s="24"/>
    </row>
    <row r="63" ht="15.75" spans="1:17">
      <c r="A63" s="1">
        <f>IF(CHOOSE($B$2,tblTerritories_2014_O!A63,tblTerritories_2014_N!A63,tblTerritories_2017!A63)="","",CHOOSE($B$2,tblTerritories_2014_O!A63,tblTerritories_2014_N!A63,tblTerritories_2017!A63))</f>
        <v>61</v>
      </c>
      <c r="B63" s="1" t="str">
        <f>IF(CHOOSE($B$2,tblTerritories_2014_O!B63,tblTerritories_2014_N!B63,tblTerritories_2017!B63)="","",CHOOSE($B$2,tblTerritories_2014_O!B63,tblTerritories_2014_N!B63,tblTerritories_2017!B63))</f>
        <v/>
      </c>
      <c r="C63" s="51" t="str">
        <f>IF(CHOOSE($B$2,tblTerritories_2014_O!C63,tblTerritories_2014_N!C63,tblTerritories_2017!C63)="","",CHOOSE($B$2,tblTerritories_2014_O!C63,tblTerritories_2014_N!C63,tblTerritories_2017!C63))</f>
        <v>Kyoto</v>
      </c>
      <c r="D63" s="1">
        <f>IF(CHOOSE($B$2,tblTerritories_2014_O!D63,tblTerritories_2014_N!D63,tblTerritories_2017!D63)="","",CHOOSE($B$2,tblTerritories_2014_O!D63,tblTerritories_2014_N!D63,tblTerritories_2017!D63))</f>
        <v>0</v>
      </c>
      <c r="E63" s="1">
        <f>IF(CHOOSE($B$2,tblTerritories_2014_O!E63,tblTerritories_2014_N!E63,tblTerritories_2017!E63)="","",CHOOSE($B$2,tblTerritories_2014_O!E63,tblTerritories_2014_N!E63,tblTerritories_2017!E63))</f>
        <v>0</v>
      </c>
      <c r="F63" s="1">
        <f>IF(CHOOSE($B$2,tblTerritories_2014_O!F63,tblTerritories_2014_N!F63,tblTerritories_2017!F63)="","",CHOOSE($B$2,tblTerritories_2014_O!F63,tblTerritories_2014_N!F63,tblTerritories_2017!F63))</f>
        <v>0</v>
      </c>
      <c r="G63" s="1">
        <f>IF(CHOOSE($B$2,tblTerritories_2014_O!G63,tblTerritories_2014_N!G63,tblTerritories_2017!G63)="","",CHOOSE($B$2,tblTerritories_2014_O!G63,tblTerritories_2014_N!G63,tblTerritories_2017!G63))</f>
        <v>0</v>
      </c>
      <c r="H63" s="17">
        <f>IF(CHOOSE($B$2,tblTerritories_2014_O!H63,tblTerritories_2014_N!H63,tblTerritories_2017!H63)="","",CHOOSE($B$2,tblTerritories_2014_O!H63,tblTerritories_2014_N!H63,tblTerritories_2017!H63))</f>
        <v>0</v>
      </c>
      <c r="I63" s="1" t="str">
        <f>IF(CHOOSE($B$2,tblTerritories_2014_O!I63,tblTerritories_2014_N!I63,tblTerritories_2017!I63)="","",CHOOSE($B$2,tblTerritories_2014_O!I63,tblTerritories_2014_N!I63,tblTerritories_2017!I63))</f>
        <v>Kyoto</v>
      </c>
      <c r="J63" s="27" t="str">
        <f>IF(CHOOSE($B$2,tblTerritories_2014_O!J63,tblTerritories_2014_N!J63,tblTerritories_2017!J63)="","",CHOOSE($B$2,tblTerritories_2014_O!J63,tblTerritories_2014_N!J63,tblTerritories_2017!J63))</f>
        <v>Kyoto</v>
      </c>
      <c r="K63" s="30">
        <f>IF(CHOOSE($B$2,tblTerritories_2014_O!K63,tblTerritories_2014_N!K63,tblTerritories_2017!K63)="","",CHOOSE($B$2,tblTerritories_2014_O!K63,tblTerritories_2014_N!K63,tblTerritories_2017!K63))</f>
        <v>0</v>
      </c>
      <c r="L63" s="31">
        <f>IF(CHOOSE($B$2,tblTerritories_2014_O!L63,tblTerritories_2014_N!L63,tblTerritories_2017!L63)="","",CHOOSE($B$2,tblTerritories_2014_O!L63,tblTerritories_2014_N!L63,tblTerritories_2017!L63))</f>
        <v>0</v>
      </c>
      <c r="M63" s="32" t="str">
        <f>IF(CHOOSE($B$2,tblTerritories_2014_O!M63,tblTerritories_2014_N!M63,tblTerritories_2017!M63)="","",CHOOSE($B$2,tblTerritories_2014_O!M63,tblTerritories_2014_N!M63,tblTerritories_2017!M63))</f>
        <v/>
      </c>
      <c r="N63" s="24" t="str">
        <f>IF(CHOOSE($B$2,tblTerritories_2014_O!N63,tblTerritories_2014_N!N63,tblTerritories_2017!N63)="","",CHOOSE($B$2,tblTerritories_2014_O!N63,tblTerritories_2014_N!N63,tblTerritories_2017!N63))</f>
        <v/>
      </c>
      <c r="O63" s="1" t="str">
        <f>IF(CHOOSE($B$2,tblTerritories_2014_O!O63,tblTerritories_2014_N!O63,tblTerritories_2017!O63)="","",CHOOSE($B$2,tblTerritories_2014_O!O63,tblTerritories_2014_N!O63,tblTerritories_2017!O63))</f>
        <v/>
      </c>
      <c r="P63" s="24" t="e">
        <f>IF(CHOOSE($B$2,tblTerritories_2014_O!P63,tblTerritories_2014_N!P63,tblTerritories_2017!P63)="","",CHOOSE($B$2,tblTerritories_2014_O!P63,tblTerritories_2014_N!P63,tblTerritories_2017!P63))</f>
        <v>#N/A</v>
      </c>
      <c r="Q63" s="24"/>
    </row>
    <row r="64" ht="15.75" spans="1:17">
      <c r="A64" s="1" t="str">
        <f>IF(CHOOSE($B$2,tblTerritories_2014_O!A64,tblTerritories_2014_N!A64,tblTerritories_2017!A64)="","",CHOOSE($B$2,tblTerritories_2014_O!A64,tblTerritories_2014_N!A64,tblTerritories_2017!A64))</f>
        <v/>
      </c>
      <c r="B64" s="1" t="str">
        <f>IF(CHOOSE($B$2,tblTerritories_2014_O!B64,tblTerritories_2014_N!B64,tblTerritories_2017!B64)="","",CHOOSE($B$2,tblTerritories_2014_O!B64,tblTerritories_2014_N!B64,tblTerritories_2017!B64))</f>
        <v/>
      </c>
      <c r="C64" s="51" t="str">
        <f>IF(CHOOSE($B$2,tblTerritories_2014_O!C64,tblTerritories_2014_N!C64,tblTerritories_2017!C64)="","",CHOOSE($B$2,tblTerritories_2014_O!C64,tblTerritories_2014_N!C64,tblTerritories_2017!C64))</f>
        <v/>
      </c>
      <c r="D64" s="1" t="str">
        <f>IF(CHOOSE($B$2,tblTerritories_2014_O!D64,tblTerritories_2014_N!D64,tblTerritories_2017!D64)="","",CHOOSE($B$2,tblTerritories_2014_O!D64,tblTerritories_2014_N!D64,tblTerritories_2017!D64))</f>
        <v/>
      </c>
      <c r="E64" s="1" t="str">
        <f>IF(CHOOSE($B$2,tblTerritories_2014_O!E64,tblTerritories_2014_N!E64,tblTerritories_2017!E64)="","",CHOOSE($B$2,tblTerritories_2014_O!E64,tblTerritories_2014_N!E64,tblTerritories_2017!E64))</f>
        <v/>
      </c>
      <c r="F64" s="1" t="str">
        <f>IF(CHOOSE($B$2,tblTerritories_2014_O!F64,tblTerritories_2014_N!F64,tblTerritories_2017!F64)="","",CHOOSE($B$2,tblTerritories_2014_O!F64,tblTerritories_2014_N!F64,tblTerritories_2017!F64))</f>
        <v/>
      </c>
      <c r="G64" s="1" t="str">
        <f>IF(CHOOSE($B$2,tblTerritories_2014_O!G64,tblTerritories_2014_N!G64,tblTerritories_2017!G64)="","",CHOOSE($B$2,tblTerritories_2014_O!G64,tblTerritories_2014_N!G64,tblTerritories_2017!G64))</f>
        <v/>
      </c>
      <c r="H64" s="17" t="str">
        <f>IF(CHOOSE($B$2,tblTerritories_2014_O!H64,tblTerritories_2014_N!H64,tblTerritories_2017!H64)="","",CHOOSE($B$2,tblTerritories_2014_O!H64,tblTerritories_2014_N!H64,tblTerritories_2017!H64))</f>
        <v/>
      </c>
      <c r="I64" s="1" t="str">
        <f>IF(CHOOSE($B$2,tblTerritories_2014_O!I64,tblTerritories_2014_N!I64,tblTerritories_2017!I64)="","",CHOOSE($B$2,tblTerritories_2014_O!I64,tblTerritories_2014_N!I64,tblTerritories_2017!I64))</f>
        <v/>
      </c>
      <c r="J64" s="27" t="str">
        <f>IF(CHOOSE($B$2,tblTerritories_2014_O!J64,tblTerritories_2014_N!J64,tblTerritories_2017!J64)="","",CHOOSE($B$2,tblTerritories_2014_O!J64,tblTerritories_2014_N!J64,tblTerritories_2017!J64))</f>
        <v/>
      </c>
      <c r="K64" s="30" t="str">
        <f>IF(CHOOSE($B$2,tblTerritories_2014_O!K64,tblTerritories_2014_N!K64,tblTerritories_2017!K64)="","",CHOOSE($B$2,tblTerritories_2014_O!K64,tblTerritories_2014_N!K64,tblTerritories_2017!K64))</f>
        <v/>
      </c>
      <c r="L64" s="31" t="str">
        <f>IF(CHOOSE($B$2,tblTerritories_2014_O!L64,tblTerritories_2014_N!L64,tblTerritories_2017!L64)="","",CHOOSE($B$2,tblTerritories_2014_O!L64,tblTerritories_2014_N!L64,tblTerritories_2017!L64))</f>
        <v/>
      </c>
      <c r="M64" s="32" t="str">
        <f>IF(CHOOSE($B$2,tblTerritories_2014_O!M64,tblTerritories_2014_N!M64,tblTerritories_2017!M64)="","",CHOOSE($B$2,tblTerritories_2014_O!M64,tblTerritories_2014_N!M64,tblTerritories_2017!M64))</f>
        <v/>
      </c>
      <c r="N64" s="24" t="str">
        <f>IF(CHOOSE($B$2,tblTerritories_2014_O!N64,tblTerritories_2014_N!N64,tblTerritories_2017!N64)="","",CHOOSE($B$2,tblTerritories_2014_O!N64,tblTerritories_2014_N!N64,tblTerritories_2017!N64))</f>
        <v/>
      </c>
      <c r="O64" s="1" t="str">
        <f>IF(CHOOSE($B$2,tblTerritories_2014_O!O64,tblTerritories_2014_N!O64,tblTerritories_2017!O64)="","",CHOOSE($B$2,tblTerritories_2014_O!O64,tblTerritories_2014_N!O64,tblTerritories_2017!O64))</f>
        <v/>
      </c>
      <c r="P64" s="24" t="str">
        <f>IF(CHOOSE($B$2,tblTerritories_2014_O!P64,tblTerritories_2014_N!P64,tblTerritories_2017!P64)="","",CHOOSE($B$2,tblTerritories_2014_O!P64,tblTerritories_2014_N!P64,tblTerritories_2017!P64))</f>
        <v/>
      </c>
      <c r="Q64" s="24"/>
    </row>
    <row r="65" ht="15.75" spans="1:17">
      <c r="A65" s="1" t="str">
        <f>IF(CHOOSE($B$2,tblTerritories_2014_O!A65,tblTerritories_2014_N!A65,tblTerritories_2017!A64)="","",CHOOSE($B$2,tblTerritories_2014_O!A65,tblTerritories_2014_N!A65,tblTerritories_2017!A64))</f>
        <v/>
      </c>
      <c r="B65" s="1" t="str">
        <f>IF(CHOOSE($B$2,tblTerritories_2014_O!B65,tblTerritories_2014_N!B65,tblTerritories_2017!B64)="","",CHOOSE($B$2,tblTerritories_2014_O!B65,tblTerritories_2014_N!B65,tblTerritories_2017!B64))</f>
        <v/>
      </c>
      <c r="C65" s="51" t="str">
        <f>IF(CHOOSE($B$2,tblTerritories_2014_O!C65,tblTerritories_2014_N!C65,tblTerritories_2017!C64)="","",CHOOSE($B$2,tblTerritories_2014_O!C65,tblTerritories_2014_N!C65,tblTerritories_2017!C64))</f>
        <v/>
      </c>
      <c r="D65" s="1" t="str">
        <f>IF(CHOOSE($B$2,tblTerritories_2014_O!D65,tblTerritories_2014_N!D65,tblTerritories_2017!D64)="","",CHOOSE($B$2,tblTerritories_2014_O!D65,tblTerritories_2014_N!D65,tblTerritories_2017!D64))</f>
        <v/>
      </c>
      <c r="E65" s="1" t="str">
        <f>IF(CHOOSE($B$2,tblTerritories_2014_O!E65,tblTerritories_2014_N!E65,tblTerritories_2017!E64)="","",CHOOSE($B$2,tblTerritories_2014_O!E65,tblTerritories_2014_N!E65,tblTerritories_2017!E64))</f>
        <v/>
      </c>
      <c r="F65" s="1" t="str">
        <f>IF(CHOOSE($B$2,tblTerritories_2014_O!F65,tblTerritories_2014_N!F65,tblTerritories_2017!F64)="","",CHOOSE($B$2,tblTerritories_2014_O!F65,tblTerritories_2014_N!F65,tblTerritories_2017!F64))</f>
        <v/>
      </c>
      <c r="G65" s="1" t="str">
        <f>IF(CHOOSE($B$2,tblTerritories_2014_O!G65,tblTerritories_2014_N!G65,tblTerritories_2017!G64)="","",CHOOSE($B$2,tblTerritories_2014_O!G65,tblTerritories_2014_N!G65,tblTerritories_2017!G64))</f>
        <v/>
      </c>
      <c r="H65" s="17" t="str">
        <f>IF(CHOOSE($B$2,tblTerritories_2014_O!H65,tblTerritories_2014_N!H65,tblTerritories_2017!H64)="","",CHOOSE($B$2,tblTerritories_2014_O!H65,tblTerritories_2014_N!H65,tblTerritories_2017!H64))</f>
        <v/>
      </c>
      <c r="I65" s="1" t="str">
        <f>IF(CHOOSE($B$2,tblTerritories_2014_O!I65,tblTerritories_2014_N!I65,tblTerritories_2017!I64)="","",CHOOSE($B$2,tblTerritories_2014_O!I65,tblTerritories_2014_N!I65,tblTerritories_2017!I64))</f>
        <v/>
      </c>
      <c r="J65" s="27" t="str">
        <f>IF(CHOOSE($B$2,tblTerritories_2014_O!J65,tblTerritories_2014_N!J65,tblTerritories_2017!J64)="","",CHOOSE($B$2,tblTerritories_2014_O!J65,tblTerritories_2014_N!J65,tblTerritories_2017!J64))</f>
        <v/>
      </c>
      <c r="K65" s="30" t="str">
        <f>IF(CHOOSE($B$2,tblTerritories_2014_O!K65,tblTerritories_2014_N!K65,tblTerritories_2017!K64)="","",CHOOSE($B$2,tblTerritories_2014_O!K65,tblTerritories_2014_N!K65,tblTerritories_2017!K64))</f>
        <v/>
      </c>
      <c r="L65" s="31" t="str">
        <f>IF(CHOOSE($B$2,tblTerritories_2014_O!L65,tblTerritories_2014_N!L65,tblTerritories_2017!L64)="","",CHOOSE($B$2,tblTerritories_2014_O!L65,tblTerritories_2014_N!L65,tblTerritories_2017!L64))</f>
        <v/>
      </c>
      <c r="M65" s="32" t="str">
        <f>IF(CHOOSE($B$2,tblTerritories_2014_O!M65,tblTerritories_2014_N!M65,tblTerritories_2017!M64)="","",CHOOSE($B$2,tblTerritories_2014_O!M65,tblTerritories_2014_N!M65,tblTerritories_2017!M64))</f>
        <v/>
      </c>
      <c r="N65" s="24" t="str">
        <f>IF(CHOOSE($B$2,tblTerritories_2014_O!N65,tblTerritories_2014_N!N65,tblTerritories_2017!N64)="","",CHOOSE($B$2,tblTerritories_2014_O!N65,tblTerritories_2014_N!N65,tblTerritories_2017!N64))</f>
        <v/>
      </c>
      <c r="O65" s="1" t="str">
        <f>IF(CHOOSE($B$2,tblTerritories_2014_O!O65,tblTerritories_2014_N!O65,tblTerritories_2017!O64)="","",CHOOSE($B$2,tblTerritories_2014_O!O65,tblTerritories_2014_N!O65,tblTerritories_2017!O64))</f>
        <v/>
      </c>
      <c r="P65" s="24" t="str">
        <f>IF(CHOOSE($B$2,tblTerritories_2014_O!P65,tblTerritories_2014_N!P65,tblTerritories_2017!P64)="","",CHOOSE($B$2,tblTerritories_2014_O!P65,tblTerritories_2014_N!P65,tblTerritories_2017!P64))</f>
        <v/>
      </c>
      <c r="Q65" s="24"/>
    </row>
    <row r="66" ht="15.75" spans="1:17">
      <c r="A66" s="1" t="str">
        <f>IF(CHOOSE($B$2,tblTerritories_2014_O!A66,tblTerritories_2014_N!A66,tblTerritories_2017!A65)="","",CHOOSE($B$2,tblTerritories_2014_O!A66,tblTerritories_2014_N!A66,tblTerritories_2017!A65))</f>
        <v/>
      </c>
      <c r="B66" s="1" t="str">
        <f>IF(CHOOSE($B$2,tblTerritories_2014_O!B66,tblTerritories_2014_N!B66,tblTerritories_2017!B65)="","",CHOOSE($B$2,tblTerritories_2014_O!B66,tblTerritories_2014_N!B66,tblTerritories_2017!B65))</f>
        <v/>
      </c>
      <c r="C66" s="51" t="str">
        <f>IF(CHOOSE($B$2,tblTerritories_2014_O!C66,tblTerritories_2014_N!C66,tblTerritories_2017!C65)="","",CHOOSE($B$2,tblTerritories_2014_O!C66,tblTerritories_2014_N!C66,tblTerritories_2017!C65))</f>
        <v/>
      </c>
      <c r="D66" s="1" t="str">
        <f>IF(CHOOSE($B$2,tblTerritories_2014_O!D66,tblTerritories_2014_N!D66,tblTerritories_2017!D65)="","",CHOOSE($B$2,tblTerritories_2014_O!D66,tblTerritories_2014_N!D66,tblTerritories_2017!D65))</f>
        <v/>
      </c>
      <c r="E66" s="1" t="str">
        <f>IF(CHOOSE($B$2,tblTerritories_2014_O!E66,tblTerritories_2014_N!E66,tblTerritories_2017!E65)="","",CHOOSE($B$2,tblTerritories_2014_O!E66,tblTerritories_2014_N!E66,tblTerritories_2017!E65))</f>
        <v/>
      </c>
      <c r="F66" s="1" t="str">
        <f>IF(CHOOSE($B$2,tblTerritories_2014_O!F66,tblTerritories_2014_N!F66,tblTerritories_2017!F65)="","",CHOOSE($B$2,tblTerritories_2014_O!F66,tblTerritories_2014_N!F66,tblTerritories_2017!F65))</f>
        <v/>
      </c>
      <c r="G66" s="1" t="str">
        <f>IF(CHOOSE($B$2,tblTerritories_2014_O!G66,tblTerritories_2014_N!G66,tblTerritories_2017!G65)="","",CHOOSE($B$2,tblTerritories_2014_O!G66,tblTerritories_2014_N!G66,tblTerritories_2017!G65))</f>
        <v/>
      </c>
      <c r="H66" s="17" t="str">
        <f>IF(CHOOSE($B$2,tblTerritories_2014_O!H66,tblTerritories_2014_N!H66,tblTerritories_2017!H65)="","",CHOOSE($B$2,tblTerritories_2014_O!H66,tblTerritories_2014_N!H66,tblTerritories_2017!H65))</f>
        <v/>
      </c>
      <c r="I66" s="1" t="str">
        <f>IF(CHOOSE($B$2,tblTerritories_2014_O!I66,tblTerritories_2014_N!I66,tblTerritories_2017!I65)="","",CHOOSE($B$2,tblTerritories_2014_O!I66,tblTerritories_2014_N!I66,tblTerritories_2017!I65))</f>
        <v/>
      </c>
      <c r="J66" s="27" t="str">
        <f>IF(CHOOSE($B$2,tblTerritories_2014_O!J66,tblTerritories_2014_N!J66,tblTerritories_2017!J65)="","",CHOOSE($B$2,tblTerritories_2014_O!J66,tblTerritories_2014_N!J66,tblTerritories_2017!J65))</f>
        <v/>
      </c>
      <c r="K66" s="30" t="str">
        <f>IF(CHOOSE($B$2,tblTerritories_2014_O!K66,tblTerritories_2014_N!K66,tblTerritories_2017!K65)="","",CHOOSE($B$2,tblTerritories_2014_O!K66,tblTerritories_2014_N!K66,tblTerritories_2017!K65))</f>
        <v/>
      </c>
      <c r="L66" s="31" t="str">
        <f>IF(CHOOSE($B$2,tblTerritories_2014_O!L66,tblTerritories_2014_N!L66,tblTerritories_2017!L65)="","",CHOOSE($B$2,tblTerritories_2014_O!L66,tblTerritories_2014_N!L66,tblTerritories_2017!L65))</f>
        <v/>
      </c>
      <c r="M66" s="32" t="str">
        <f>IF(CHOOSE($B$2,tblTerritories_2014_O!M66,tblTerritories_2014_N!M66,tblTerritories_2017!M65)="","",CHOOSE($B$2,tblTerritories_2014_O!M66,tblTerritories_2014_N!M66,tblTerritories_2017!M65))</f>
        <v/>
      </c>
      <c r="N66" s="24" t="str">
        <f>IF(CHOOSE($B$2,tblTerritories_2014_O!N66,tblTerritories_2014_N!N66,tblTerritories_2017!N65)="","",CHOOSE($B$2,tblTerritories_2014_O!N66,tblTerritories_2014_N!N66,tblTerritories_2017!N65))</f>
        <v/>
      </c>
      <c r="O66" s="1" t="str">
        <f>IF(CHOOSE($B$2,tblTerritories_2014_O!O66,tblTerritories_2014_N!O66,tblTerritories_2017!O65)="","",CHOOSE($B$2,tblTerritories_2014_O!O66,tblTerritories_2014_N!O66,tblTerritories_2017!O65))</f>
        <v/>
      </c>
      <c r="P66" s="24" t="str">
        <f>IF(CHOOSE($B$2,tblTerritories_2014_O!P66,tblTerritories_2014_N!P66,tblTerritories_2017!P65)="","",CHOOSE($B$2,tblTerritories_2014_O!P66,tblTerritories_2014_N!P66,tblTerritories_2017!P65))</f>
        <v/>
      </c>
      <c r="Q66" s="24"/>
    </row>
    <row r="67" ht="15.75" spans="1:17">
      <c r="A67" s="1" t="str">
        <f>IF(CHOOSE($B$2,tblTerritories_2014_O!A67,tblTerritories_2014_N!A67,tblTerritories_2017!A66)="","",CHOOSE($B$2,tblTerritories_2014_O!A67,tblTerritories_2014_N!A67,tblTerritories_2017!A66))</f>
        <v/>
      </c>
      <c r="B67" s="1" t="str">
        <f>IF(CHOOSE($B$2,tblTerritories_2014_O!B67,tblTerritories_2014_N!B67,tblTerritories_2017!B66)="","",CHOOSE($B$2,tblTerritories_2014_O!B67,tblTerritories_2014_N!B67,tblTerritories_2017!B66))</f>
        <v/>
      </c>
      <c r="C67" s="51" t="str">
        <f>IF(CHOOSE($B$2,tblTerritories_2014_O!C67,tblTerritories_2014_N!C67,tblTerritories_2017!C66)="","",CHOOSE($B$2,tblTerritories_2014_O!C67,tblTerritories_2014_N!C67,tblTerritories_2017!C66))</f>
        <v/>
      </c>
      <c r="D67" s="1" t="str">
        <f>IF(CHOOSE($B$2,tblTerritories_2014_O!D67,tblTerritories_2014_N!D67,tblTerritories_2017!D66)="","",CHOOSE($B$2,tblTerritories_2014_O!D67,tblTerritories_2014_N!D67,tblTerritories_2017!D66))</f>
        <v/>
      </c>
      <c r="E67" s="1" t="str">
        <f>IF(CHOOSE($B$2,tblTerritories_2014_O!E67,tblTerritories_2014_N!E67,tblTerritories_2017!E66)="","",CHOOSE($B$2,tblTerritories_2014_O!E67,tblTerritories_2014_N!E67,tblTerritories_2017!E66))</f>
        <v/>
      </c>
      <c r="F67" s="1" t="str">
        <f>IF(CHOOSE($B$2,tblTerritories_2014_O!F67,tblTerritories_2014_N!F67,tblTerritories_2017!F66)="","",CHOOSE($B$2,tblTerritories_2014_O!F67,tblTerritories_2014_N!F67,tblTerritories_2017!F66))</f>
        <v/>
      </c>
      <c r="G67" s="1" t="str">
        <f>IF(CHOOSE($B$2,tblTerritories_2014_O!G67,tblTerritories_2014_N!G67,tblTerritories_2017!G66)="","",CHOOSE($B$2,tblTerritories_2014_O!G67,tblTerritories_2014_N!G67,tblTerritories_2017!G66))</f>
        <v/>
      </c>
      <c r="H67" s="17" t="str">
        <f>IF(CHOOSE($B$2,tblTerritories_2014_O!H67,tblTerritories_2014_N!H67,tblTerritories_2017!H66)="","",CHOOSE($B$2,tblTerritories_2014_O!H67,tblTerritories_2014_N!H67,tblTerritories_2017!H66))</f>
        <v/>
      </c>
      <c r="I67" s="1" t="str">
        <f>IF(CHOOSE($B$2,tblTerritories_2014_O!I67,tblTerritories_2014_N!I67,tblTerritories_2017!I66)="","",CHOOSE($B$2,tblTerritories_2014_O!I67,tblTerritories_2014_N!I67,tblTerritories_2017!I66))</f>
        <v/>
      </c>
      <c r="J67" s="27" t="str">
        <f>IF(CHOOSE($B$2,tblTerritories_2014_O!J67,tblTerritories_2014_N!J67,tblTerritories_2017!J66)="","",CHOOSE($B$2,tblTerritories_2014_O!J67,tblTerritories_2014_N!J67,tblTerritories_2017!J66))</f>
        <v/>
      </c>
      <c r="K67" s="30" t="str">
        <f>IF(CHOOSE($B$2,tblTerritories_2014_O!K67,tblTerritories_2014_N!K67,tblTerritories_2017!K66)="","",CHOOSE($B$2,tblTerritories_2014_O!K67,tblTerritories_2014_N!K67,tblTerritories_2017!K66))</f>
        <v/>
      </c>
      <c r="L67" s="31" t="str">
        <f>IF(CHOOSE($B$2,tblTerritories_2014_O!L67,tblTerritories_2014_N!L67,tblTerritories_2017!L66)="","",CHOOSE($B$2,tblTerritories_2014_O!L67,tblTerritories_2014_N!L67,tblTerritories_2017!L66))</f>
        <v/>
      </c>
      <c r="M67" s="32" t="str">
        <f>IF(CHOOSE($B$2,tblTerritories_2014_O!M67,tblTerritories_2014_N!M67,tblTerritories_2017!M66)="","",CHOOSE($B$2,tblTerritories_2014_O!M67,tblTerritories_2014_N!M67,tblTerritories_2017!M66))</f>
        <v/>
      </c>
      <c r="N67" s="24" t="str">
        <f>IF(CHOOSE($B$2,tblTerritories_2014_O!N67,tblTerritories_2014_N!N67,tblTerritories_2017!N66)="","",CHOOSE($B$2,tblTerritories_2014_O!N67,tblTerritories_2014_N!N67,tblTerritories_2017!N66))</f>
        <v/>
      </c>
      <c r="O67" s="1" t="str">
        <f>IF(CHOOSE($B$2,tblTerritories_2014_O!O67,tblTerritories_2014_N!O67,tblTerritories_2017!O66)="","",CHOOSE($B$2,tblTerritories_2014_O!O67,tblTerritories_2014_N!O67,tblTerritories_2017!O66))</f>
        <v/>
      </c>
      <c r="P67" s="24" t="str">
        <f>IF(CHOOSE($B$2,tblTerritories_2014_O!P67,tblTerritories_2014_N!P67,tblTerritories_2017!P66)="","",CHOOSE($B$2,tblTerritories_2014_O!P67,tblTerritories_2014_N!P67,tblTerritories_2017!P66))</f>
        <v/>
      </c>
      <c r="Q67" s="24"/>
    </row>
    <row r="68" ht="15.75" spans="1:17">
      <c r="A68" s="1" t="str">
        <f>IF(CHOOSE($B$2,tblTerritories_2014_O!A68,tblTerritories_2014_N!A68,tblTerritories_2017!A67)="","",CHOOSE($B$2,tblTerritories_2014_O!A68,tblTerritories_2014_N!A68,tblTerritories_2017!A67))</f>
        <v/>
      </c>
      <c r="B68" s="1" t="str">
        <f>IF(CHOOSE($B$2,tblTerritories_2014_O!B68,tblTerritories_2014_N!B68,tblTerritories_2017!B67)="","",CHOOSE($B$2,tblTerritories_2014_O!B68,tblTerritories_2014_N!B68,tblTerritories_2017!B67))</f>
        <v/>
      </c>
      <c r="C68" s="51" t="str">
        <f>IF(CHOOSE($B$2,tblTerritories_2014_O!C68,tblTerritories_2014_N!C68,tblTerritories_2017!C67)="","",CHOOSE($B$2,tblTerritories_2014_O!C68,tblTerritories_2014_N!C68,tblTerritories_2017!C67))</f>
        <v/>
      </c>
      <c r="D68" s="1" t="str">
        <f>IF(CHOOSE($B$2,tblTerritories_2014_O!D68,tblTerritories_2014_N!D68,tblTerritories_2017!D67)="","",CHOOSE($B$2,tblTerritories_2014_O!D68,tblTerritories_2014_N!D68,tblTerritories_2017!D67))</f>
        <v/>
      </c>
      <c r="E68" s="1" t="str">
        <f>IF(CHOOSE($B$2,tblTerritories_2014_O!E68,tblTerritories_2014_N!E68,tblTerritories_2017!E67)="","",CHOOSE($B$2,tblTerritories_2014_O!E68,tblTerritories_2014_N!E68,tblTerritories_2017!E67))</f>
        <v/>
      </c>
      <c r="F68" s="1" t="str">
        <f>IF(CHOOSE($B$2,tblTerritories_2014_O!F68,tblTerritories_2014_N!F68,tblTerritories_2017!F67)="","",CHOOSE($B$2,tblTerritories_2014_O!F68,tblTerritories_2014_N!F68,tblTerritories_2017!F67))</f>
        <v/>
      </c>
      <c r="G68" s="1" t="str">
        <f>IF(CHOOSE($B$2,tblTerritories_2014_O!G68,tblTerritories_2014_N!G68,tblTerritories_2017!G67)="","",CHOOSE($B$2,tblTerritories_2014_O!G68,tblTerritories_2014_N!G68,tblTerritories_2017!G67))</f>
        <v/>
      </c>
      <c r="H68" s="17" t="str">
        <f>IF(CHOOSE($B$2,tblTerritories_2014_O!H68,tblTerritories_2014_N!H68,tblTerritories_2017!H67)="","",CHOOSE($B$2,tblTerritories_2014_O!H68,tblTerritories_2014_N!H68,tblTerritories_2017!H67))</f>
        <v/>
      </c>
      <c r="I68" s="1" t="str">
        <f>IF(CHOOSE($B$2,tblTerritories_2014_O!I68,tblTerritories_2014_N!I68,tblTerritories_2017!I67)="","",CHOOSE($B$2,tblTerritories_2014_O!I68,tblTerritories_2014_N!I68,tblTerritories_2017!I67))</f>
        <v/>
      </c>
      <c r="J68" s="27" t="str">
        <f>IF(CHOOSE($B$2,tblTerritories_2014_O!J68,tblTerritories_2014_N!J68,tblTerritories_2017!J67)="","",CHOOSE($B$2,tblTerritories_2014_O!J68,tblTerritories_2014_N!J68,tblTerritories_2017!J67))</f>
        <v/>
      </c>
      <c r="K68" s="30" t="str">
        <f>IF(CHOOSE($B$2,tblTerritories_2014_O!K68,tblTerritories_2014_N!K68,tblTerritories_2017!K67)="","",CHOOSE($B$2,tblTerritories_2014_O!K68,tblTerritories_2014_N!K68,tblTerritories_2017!K67))</f>
        <v/>
      </c>
      <c r="L68" s="31" t="str">
        <f>IF(CHOOSE($B$2,tblTerritories_2014_O!L68,tblTerritories_2014_N!L68,tblTerritories_2017!L67)="","",CHOOSE($B$2,tblTerritories_2014_O!L68,tblTerritories_2014_N!L68,tblTerritories_2017!L67))</f>
        <v/>
      </c>
      <c r="M68" s="32" t="str">
        <f>IF(CHOOSE($B$2,tblTerritories_2014_O!M68,tblTerritories_2014_N!M68,tblTerritories_2017!M67)="","",CHOOSE($B$2,tblTerritories_2014_O!M68,tblTerritories_2014_N!M68,tblTerritories_2017!M67))</f>
        <v/>
      </c>
      <c r="N68" s="24" t="str">
        <f>IF(CHOOSE($B$2,tblTerritories_2014_O!N68,tblTerritories_2014_N!N68,tblTerritories_2017!N67)="","",CHOOSE($B$2,tblTerritories_2014_O!N68,tblTerritories_2014_N!N68,tblTerritories_2017!N67))</f>
        <v/>
      </c>
      <c r="O68" s="1" t="str">
        <f>IF(CHOOSE($B$2,tblTerritories_2014_O!O68,tblTerritories_2014_N!O68,tblTerritories_2017!O67)="","",CHOOSE($B$2,tblTerritories_2014_O!O68,tblTerritories_2014_N!O68,tblTerritories_2017!O67))</f>
        <v/>
      </c>
      <c r="P68" s="24" t="str">
        <f>IF(CHOOSE($B$2,tblTerritories_2014_O!P68,tblTerritories_2014_N!P68,tblTerritories_2017!P67)="","",CHOOSE($B$2,tblTerritories_2014_O!P68,tblTerritories_2014_N!P68,tblTerritories_2017!P67))</f>
        <v/>
      </c>
      <c r="Q68" s="24"/>
    </row>
    <row r="69" ht="15.75" spans="1:17">
      <c r="A69" s="1" t="str">
        <f>IF(CHOOSE($B$2,tblTerritories_2014_O!A69,tblTerritories_2014_N!A69,tblTerritories_2017!A68)="","",CHOOSE($B$2,tblTerritories_2014_O!A69,tblTerritories_2014_N!A69,tblTerritories_2017!A68))</f>
        <v/>
      </c>
      <c r="B69" s="1" t="str">
        <f>IF(CHOOSE($B$2,tblTerritories_2014_O!B69,tblTerritories_2014_N!B69,tblTerritories_2017!B68)="","",CHOOSE($B$2,tblTerritories_2014_O!B69,tblTerritories_2014_N!B69,tblTerritories_2017!B68))</f>
        <v/>
      </c>
      <c r="C69" s="51" t="str">
        <f>IF(CHOOSE($B$2,tblTerritories_2014_O!C69,tblTerritories_2014_N!C69,tblTerritories_2017!C68)="","",CHOOSE($B$2,tblTerritories_2014_O!C69,tblTerritories_2014_N!C69,tblTerritories_2017!C68))</f>
        <v/>
      </c>
      <c r="D69" s="1" t="str">
        <f>IF(CHOOSE($B$2,tblTerritories_2014_O!D69,tblTerritories_2014_N!D69,tblTerritories_2017!D68)="","",CHOOSE($B$2,tblTerritories_2014_O!D69,tblTerritories_2014_N!D69,tblTerritories_2017!D68))</f>
        <v/>
      </c>
      <c r="E69" s="1" t="str">
        <f>IF(CHOOSE($B$2,tblTerritories_2014_O!E69,tblTerritories_2014_N!E69,tblTerritories_2017!E68)="","",CHOOSE($B$2,tblTerritories_2014_O!E69,tblTerritories_2014_N!E69,tblTerritories_2017!E68))</f>
        <v/>
      </c>
      <c r="F69" s="1" t="str">
        <f>IF(CHOOSE($B$2,tblTerritories_2014_O!F69,tblTerritories_2014_N!F69,tblTerritories_2017!F68)="","",CHOOSE($B$2,tblTerritories_2014_O!F69,tblTerritories_2014_N!F69,tblTerritories_2017!F68))</f>
        <v/>
      </c>
      <c r="G69" s="1" t="str">
        <f>IF(CHOOSE($B$2,tblTerritories_2014_O!G69,tblTerritories_2014_N!G69,tblTerritories_2017!G68)="","",CHOOSE($B$2,tblTerritories_2014_O!G69,tblTerritories_2014_N!G69,tblTerritories_2017!G68))</f>
        <v/>
      </c>
      <c r="H69" s="17" t="str">
        <f>IF(CHOOSE($B$2,tblTerritories_2014_O!H69,tblTerritories_2014_N!H69,tblTerritories_2017!H68)="","",CHOOSE($B$2,tblTerritories_2014_O!H69,tblTerritories_2014_N!H69,tblTerritories_2017!H68))</f>
        <v/>
      </c>
      <c r="I69" s="1" t="str">
        <f>IF(CHOOSE($B$2,tblTerritories_2014_O!I69,tblTerritories_2014_N!I69,tblTerritories_2017!I68)="","",CHOOSE($B$2,tblTerritories_2014_O!I69,tblTerritories_2014_N!I69,tblTerritories_2017!I68))</f>
        <v/>
      </c>
      <c r="J69" s="27" t="str">
        <f>IF(CHOOSE($B$2,tblTerritories_2014_O!J69,tblTerritories_2014_N!J69,tblTerritories_2017!J68)="","",CHOOSE($B$2,tblTerritories_2014_O!J69,tblTerritories_2014_N!J69,tblTerritories_2017!J68))</f>
        <v/>
      </c>
      <c r="K69" s="30" t="str">
        <f>IF(CHOOSE($B$2,tblTerritories_2014_O!K69,tblTerritories_2014_N!K69,tblTerritories_2017!K68)="","",CHOOSE($B$2,tblTerritories_2014_O!K69,tblTerritories_2014_N!K69,tblTerritories_2017!K68))</f>
        <v/>
      </c>
      <c r="L69" s="31" t="str">
        <f>IF(CHOOSE($B$2,tblTerritories_2014_O!L69,tblTerritories_2014_N!L69,tblTerritories_2017!L68)="","",CHOOSE($B$2,tblTerritories_2014_O!L69,tblTerritories_2014_N!L69,tblTerritories_2017!L68))</f>
        <v/>
      </c>
      <c r="M69" s="32" t="str">
        <f>IF(CHOOSE($B$2,tblTerritories_2014_O!M69,tblTerritories_2014_N!M69,tblTerritories_2017!M68)="","",CHOOSE($B$2,tblTerritories_2014_O!M69,tblTerritories_2014_N!M69,tblTerritories_2017!M68))</f>
        <v/>
      </c>
      <c r="N69" s="24" t="str">
        <f>IF(CHOOSE($B$2,tblTerritories_2014_O!N69,tblTerritories_2014_N!N69,tblTerritories_2017!N68)="","",CHOOSE($B$2,tblTerritories_2014_O!N69,tblTerritories_2014_N!N69,tblTerritories_2017!N68))</f>
        <v/>
      </c>
      <c r="O69" s="1" t="str">
        <f>IF(CHOOSE($B$2,tblTerritories_2014_O!O69,tblTerritories_2014_N!O69,tblTerritories_2017!O68)="","",CHOOSE($B$2,tblTerritories_2014_O!O69,tblTerritories_2014_N!O69,tblTerritories_2017!O68))</f>
        <v/>
      </c>
      <c r="P69" s="24" t="str">
        <f>IF(CHOOSE($B$2,tblTerritories_2014_O!P69,tblTerritories_2014_N!P69,tblTerritories_2017!P68)="","",CHOOSE($B$2,tblTerritories_2014_O!P69,tblTerritories_2014_N!P69,tblTerritories_2017!P68))</f>
        <v/>
      </c>
      <c r="Q69" s="24"/>
    </row>
    <row r="70" ht="15.75" spans="1:17">
      <c r="A70" s="1" t="str">
        <f>IF(CHOOSE($B$2,tblTerritories_2014_O!A70,tblTerritories_2014_N!A70,tblTerritories_2017!A69)="","",CHOOSE($B$2,tblTerritories_2014_O!A70,tblTerritories_2014_N!A70,tblTerritories_2017!A69))</f>
        <v/>
      </c>
      <c r="B70" s="1" t="str">
        <f>IF(CHOOSE($B$2,tblTerritories_2014_O!B70,tblTerritories_2014_N!B70,tblTerritories_2017!B69)="","",CHOOSE($B$2,tblTerritories_2014_O!B70,tblTerritories_2014_N!B70,tblTerritories_2017!B69))</f>
        <v/>
      </c>
      <c r="C70" s="51" t="str">
        <f>IF(CHOOSE($B$2,tblTerritories_2014_O!C70,tblTerritories_2014_N!C70,tblTerritories_2017!C69)="","",CHOOSE($B$2,tblTerritories_2014_O!C70,tblTerritories_2014_N!C70,tblTerritories_2017!C69))</f>
        <v/>
      </c>
      <c r="D70" s="1" t="str">
        <f>IF(CHOOSE($B$2,tblTerritories_2014_O!D70,tblTerritories_2014_N!D70,tblTerritories_2017!D69)="","",CHOOSE($B$2,tblTerritories_2014_O!D70,tblTerritories_2014_N!D70,tblTerritories_2017!D69))</f>
        <v/>
      </c>
      <c r="E70" s="1" t="str">
        <f>IF(CHOOSE($B$2,tblTerritories_2014_O!E70,tblTerritories_2014_N!E70,tblTerritories_2017!E69)="","",CHOOSE($B$2,tblTerritories_2014_O!E70,tblTerritories_2014_N!E70,tblTerritories_2017!E69))</f>
        <v/>
      </c>
      <c r="F70" s="1" t="str">
        <f>IF(CHOOSE($B$2,tblTerritories_2014_O!F70,tblTerritories_2014_N!F70,tblTerritories_2017!F69)="","",CHOOSE($B$2,tblTerritories_2014_O!F70,tblTerritories_2014_N!F70,tblTerritories_2017!F69))</f>
        <v/>
      </c>
      <c r="G70" s="1" t="str">
        <f>IF(CHOOSE($B$2,tblTerritories_2014_O!G70,tblTerritories_2014_N!G70,tblTerritories_2017!G69)="","",CHOOSE($B$2,tblTerritories_2014_O!G70,tblTerritories_2014_N!G70,tblTerritories_2017!G69))</f>
        <v/>
      </c>
      <c r="H70" s="17" t="str">
        <f>IF(CHOOSE($B$2,tblTerritories_2014_O!H70,tblTerritories_2014_N!H70,tblTerritories_2017!H69)="","",CHOOSE($B$2,tblTerritories_2014_O!H70,tblTerritories_2014_N!H70,tblTerritories_2017!H69))</f>
        <v/>
      </c>
      <c r="I70" s="1" t="str">
        <f>IF(CHOOSE($B$2,tblTerritories_2014_O!I70,tblTerritories_2014_N!I70,tblTerritories_2017!I69)="","",CHOOSE($B$2,tblTerritories_2014_O!I70,tblTerritories_2014_N!I70,tblTerritories_2017!I69))</f>
        <v/>
      </c>
      <c r="J70" s="27" t="str">
        <f>IF(CHOOSE($B$2,tblTerritories_2014_O!J70,tblTerritories_2014_N!J70,tblTerritories_2017!J69)="","",CHOOSE($B$2,tblTerritories_2014_O!J70,tblTerritories_2014_N!J70,tblTerritories_2017!J69))</f>
        <v/>
      </c>
      <c r="K70" s="30" t="str">
        <f>IF(CHOOSE($B$2,tblTerritories_2014_O!K70,tblTerritories_2014_N!K70,tblTerritories_2017!K69)="","",CHOOSE($B$2,tblTerritories_2014_O!K70,tblTerritories_2014_N!K70,tblTerritories_2017!K69))</f>
        <v/>
      </c>
      <c r="L70" s="31" t="str">
        <f>IF(CHOOSE($B$2,tblTerritories_2014_O!L70,tblTerritories_2014_N!L70,tblTerritories_2017!L69)="","",CHOOSE($B$2,tblTerritories_2014_O!L70,tblTerritories_2014_N!L70,tblTerritories_2017!L69))</f>
        <v/>
      </c>
      <c r="M70" s="32" t="str">
        <f>IF(CHOOSE($B$2,tblTerritories_2014_O!M70,tblTerritories_2014_N!M70,tblTerritories_2017!M69)="","",CHOOSE($B$2,tblTerritories_2014_O!M70,tblTerritories_2014_N!M70,tblTerritories_2017!M69))</f>
        <v/>
      </c>
      <c r="N70" s="24" t="str">
        <f>IF(CHOOSE($B$2,tblTerritories_2014_O!N70,tblTerritories_2014_N!N70,tblTerritories_2017!N69)="","",CHOOSE($B$2,tblTerritories_2014_O!N70,tblTerritories_2014_N!N70,tblTerritories_2017!N69))</f>
        <v/>
      </c>
      <c r="O70" s="1" t="str">
        <f>IF(CHOOSE($B$2,tblTerritories_2014_O!O70,tblTerritories_2014_N!O70,tblTerritories_2017!O69)="","",CHOOSE($B$2,tblTerritories_2014_O!O70,tblTerritories_2014_N!O70,tblTerritories_2017!O69))</f>
        <v/>
      </c>
      <c r="P70" s="24" t="str">
        <f>IF(CHOOSE($B$2,tblTerritories_2014_O!P70,tblTerritories_2014_N!P70,tblTerritories_2017!P69)="","",CHOOSE($B$2,tblTerritories_2014_O!P70,tblTerritories_2014_N!P70,tblTerritories_2017!P69))</f>
        <v/>
      </c>
      <c r="Q70" s="24"/>
    </row>
    <row r="71" ht="15.75" spans="1:17">
      <c r="A71" s="1" t="str">
        <f>IF(CHOOSE($B$2,tblTerritories_2014_O!A71,tblTerritories_2014_N!A71,tblTerritories_2017!A70)="","",CHOOSE($B$2,tblTerritories_2014_O!A71,tblTerritories_2014_N!A71,tblTerritories_2017!A70))</f>
        <v/>
      </c>
      <c r="B71" s="1" t="str">
        <f>IF(CHOOSE($B$2,tblTerritories_2014_O!B71,tblTerritories_2014_N!B71,tblTerritories_2017!B70)="","",CHOOSE($B$2,tblTerritories_2014_O!B71,tblTerritories_2014_N!B71,tblTerritories_2017!B70))</f>
        <v/>
      </c>
      <c r="C71" s="51" t="str">
        <f>IF(CHOOSE($B$2,tblTerritories_2014_O!C71,tblTerritories_2014_N!C71,tblTerritories_2017!C70)="","",CHOOSE($B$2,tblTerritories_2014_O!C71,tblTerritories_2014_N!C71,tblTerritories_2017!C70))</f>
        <v/>
      </c>
      <c r="D71" s="1" t="str">
        <f>IF(CHOOSE($B$2,tblTerritories_2014_O!D71,tblTerritories_2014_N!D71,tblTerritories_2017!D70)="","",CHOOSE($B$2,tblTerritories_2014_O!D71,tblTerritories_2014_N!D71,tblTerritories_2017!D70))</f>
        <v/>
      </c>
      <c r="E71" s="1" t="str">
        <f>IF(CHOOSE($B$2,tblTerritories_2014_O!E71,tblTerritories_2014_N!E71,tblTerritories_2017!E70)="","",CHOOSE($B$2,tblTerritories_2014_O!E71,tblTerritories_2014_N!E71,tblTerritories_2017!E70))</f>
        <v/>
      </c>
      <c r="F71" s="1" t="str">
        <f>IF(CHOOSE($B$2,tblTerritories_2014_O!F71,tblTerritories_2014_N!F71,tblTerritories_2017!F70)="","",CHOOSE($B$2,tblTerritories_2014_O!F71,tblTerritories_2014_N!F71,tblTerritories_2017!F70))</f>
        <v/>
      </c>
      <c r="G71" s="1" t="str">
        <f>IF(CHOOSE($B$2,tblTerritories_2014_O!G71,tblTerritories_2014_N!G71,tblTerritories_2017!G70)="","",CHOOSE($B$2,tblTerritories_2014_O!G71,tblTerritories_2014_N!G71,tblTerritories_2017!G70))</f>
        <v/>
      </c>
      <c r="H71" s="17" t="str">
        <f>IF(CHOOSE($B$2,tblTerritories_2014_O!H71,tblTerritories_2014_N!H71,tblTerritories_2017!H70)="","",CHOOSE($B$2,tblTerritories_2014_O!H71,tblTerritories_2014_N!H71,tblTerritories_2017!H70))</f>
        <v/>
      </c>
      <c r="I71" s="1" t="str">
        <f>IF(CHOOSE($B$2,tblTerritories_2014_O!I71,tblTerritories_2014_N!I71,tblTerritories_2017!I70)="","",CHOOSE($B$2,tblTerritories_2014_O!I71,tblTerritories_2014_N!I71,tblTerritories_2017!I70))</f>
        <v/>
      </c>
      <c r="J71" s="27" t="str">
        <f>IF(CHOOSE($B$2,tblTerritories_2014_O!J71,tblTerritories_2014_N!J71,tblTerritories_2017!J70)="","",CHOOSE($B$2,tblTerritories_2014_O!J71,tblTerritories_2014_N!J71,tblTerritories_2017!J70))</f>
        <v/>
      </c>
      <c r="K71" s="30" t="str">
        <f>IF(CHOOSE($B$2,tblTerritories_2014_O!K71,tblTerritories_2014_N!K71,tblTerritories_2017!K70)="","",CHOOSE($B$2,tblTerritories_2014_O!K71,tblTerritories_2014_N!K71,tblTerritories_2017!K70))</f>
        <v/>
      </c>
      <c r="L71" s="31" t="str">
        <f>IF(CHOOSE($B$2,tblTerritories_2014_O!L71,tblTerritories_2014_N!L71,tblTerritories_2017!L70)="","",CHOOSE($B$2,tblTerritories_2014_O!L71,tblTerritories_2014_N!L71,tblTerritories_2017!L70))</f>
        <v/>
      </c>
      <c r="M71" s="32" t="str">
        <f>IF(CHOOSE($B$2,tblTerritories_2014_O!M71,tblTerritories_2014_N!M71,tblTerritories_2017!M70)="","",CHOOSE($B$2,tblTerritories_2014_O!M71,tblTerritories_2014_N!M71,tblTerritories_2017!M70))</f>
        <v/>
      </c>
      <c r="N71" s="24" t="str">
        <f>IF(CHOOSE($B$2,tblTerritories_2014_O!N71,tblTerritories_2014_N!N71,tblTerritories_2017!N70)="","",CHOOSE($B$2,tblTerritories_2014_O!N71,tblTerritories_2014_N!N71,tblTerritories_2017!N70))</f>
        <v/>
      </c>
      <c r="O71" s="1" t="str">
        <f>IF(CHOOSE($B$2,tblTerritories_2014_O!O71,tblTerritories_2014_N!O71,tblTerritories_2017!O70)="","",CHOOSE($B$2,tblTerritories_2014_O!O71,tblTerritories_2014_N!O71,tblTerritories_2017!O70))</f>
        <v/>
      </c>
      <c r="P71" s="24" t="str">
        <f>IF(CHOOSE($B$2,tblTerritories_2014_O!P71,tblTerritories_2014_N!P71,tblTerritories_2017!P70)="","",CHOOSE($B$2,tblTerritories_2014_O!P71,tblTerritories_2014_N!P71,tblTerritories_2017!P70))</f>
        <v/>
      </c>
      <c r="Q71" s="24"/>
    </row>
    <row r="72" ht="15.75" spans="1:17">
      <c r="A72" s="1" t="str">
        <f>IF(CHOOSE($B$2,tblTerritories_2014_O!A72,tblTerritories_2014_N!A72,tblTerritories_2017!A71)="","",CHOOSE($B$2,tblTerritories_2014_O!A72,tblTerritories_2014_N!A72,tblTerritories_2017!A71))</f>
        <v/>
      </c>
      <c r="B72" s="1" t="str">
        <f>IF(CHOOSE($B$2,tblTerritories_2014_O!B72,tblTerritories_2014_N!B72,tblTerritories_2017!B71)="","",CHOOSE($B$2,tblTerritories_2014_O!B72,tblTerritories_2014_N!B72,tblTerritories_2017!B71))</f>
        <v/>
      </c>
      <c r="C72" s="51" t="str">
        <f>IF(CHOOSE($B$2,tblTerritories_2014_O!C72,tblTerritories_2014_N!C72,tblTerritories_2017!C71)="","",CHOOSE($B$2,tblTerritories_2014_O!C72,tblTerritories_2014_N!C72,tblTerritories_2017!C71))</f>
        <v/>
      </c>
      <c r="D72" s="1" t="str">
        <f>IF(CHOOSE($B$2,tblTerritories_2014_O!D72,tblTerritories_2014_N!D72,tblTerritories_2017!D71)="","",CHOOSE($B$2,tblTerritories_2014_O!D72,tblTerritories_2014_N!D72,tblTerritories_2017!D71))</f>
        <v/>
      </c>
      <c r="E72" s="1" t="str">
        <f>IF(CHOOSE($B$2,tblTerritories_2014_O!E72,tblTerritories_2014_N!E72,tblTerritories_2017!E71)="","",CHOOSE($B$2,tblTerritories_2014_O!E72,tblTerritories_2014_N!E72,tblTerritories_2017!E71))</f>
        <v/>
      </c>
      <c r="F72" s="1" t="str">
        <f>IF(CHOOSE($B$2,tblTerritories_2014_O!F72,tblTerritories_2014_N!F72,tblTerritories_2017!F71)="","",CHOOSE($B$2,tblTerritories_2014_O!F72,tblTerritories_2014_N!F72,tblTerritories_2017!F71))</f>
        <v/>
      </c>
      <c r="G72" s="1" t="str">
        <f>IF(CHOOSE($B$2,tblTerritories_2014_O!G72,tblTerritories_2014_N!G72,tblTerritories_2017!G71)="","",CHOOSE($B$2,tblTerritories_2014_O!G72,tblTerritories_2014_N!G72,tblTerritories_2017!G71))</f>
        <v/>
      </c>
      <c r="H72" s="17" t="str">
        <f>IF(CHOOSE($B$2,tblTerritories_2014_O!H72,tblTerritories_2014_N!H72,tblTerritories_2017!H71)="","",CHOOSE($B$2,tblTerritories_2014_O!H72,tblTerritories_2014_N!H72,tblTerritories_2017!H71))</f>
        <v/>
      </c>
      <c r="I72" s="1" t="str">
        <f>IF(CHOOSE($B$2,tblTerritories_2014_O!I72,tblTerritories_2014_N!I72,tblTerritories_2017!I71)="","",CHOOSE($B$2,tblTerritories_2014_O!I72,tblTerritories_2014_N!I72,tblTerritories_2017!I71))</f>
        <v/>
      </c>
      <c r="J72" s="27" t="str">
        <f>IF(CHOOSE($B$2,tblTerritories_2014_O!J72,tblTerritories_2014_N!J72,tblTerritories_2017!J71)="","",CHOOSE($B$2,tblTerritories_2014_O!J72,tblTerritories_2014_N!J72,tblTerritories_2017!J71))</f>
        <v/>
      </c>
      <c r="K72" s="30" t="str">
        <f>IF(CHOOSE($B$2,tblTerritories_2014_O!K72,tblTerritories_2014_N!K72,tblTerritories_2017!K71)="","",CHOOSE($B$2,tblTerritories_2014_O!K72,tblTerritories_2014_N!K72,tblTerritories_2017!K71))</f>
        <v/>
      </c>
      <c r="L72" s="31" t="str">
        <f>IF(CHOOSE($B$2,tblTerritories_2014_O!L72,tblTerritories_2014_N!L72,tblTerritories_2017!L71)="","",CHOOSE($B$2,tblTerritories_2014_O!L72,tblTerritories_2014_N!L72,tblTerritories_2017!L71))</f>
        <v/>
      </c>
      <c r="M72" s="32" t="str">
        <f>IF(CHOOSE($B$2,tblTerritories_2014_O!M72,tblTerritories_2014_N!M72,tblTerritories_2017!M71)="","",CHOOSE($B$2,tblTerritories_2014_O!M72,tblTerritories_2014_N!M72,tblTerritories_2017!M71))</f>
        <v/>
      </c>
      <c r="N72" s="24" t="str">
        <f>IF(CHOOSE($B$2,tblTerritories_2014_O!N72,tblTerritories_2014_N!N72,tblTerritories_2017!N71)="","",CHOOSE($B$2,tblTerritories_2014_O!N72,tblTerritories_2014_N!N72,tblTerritories_2017!N71))</f>
        <v/>
      </c>
      <c r="O72" s="1" t="str">
        <f>IF(CHOOSE($B$2,tblTerritories_2014_O!O72,tblTerritories_2014_N!O72,tblTerritories_2017!O71)="","",CHOOSE($B$2,tblTerritories_2014_O!O72,tblTerritories_2014_N!O72,tblTerritories_2017!O71))</f>
        <v/>
      </c>
      <c r="P72" s="24" t="str">
        <f>IF(CHOOSE($B$2,tblTerritories_2014_O!P72,tblTerritories_2014_N!P72,tblTerritories_2017!P71)="","",CHOOSE($B$2,tblTerritories_2014_O!P72,tblTerritories_2014_N!P72,tblTerritories_2017!P71))</f>
        <v/>
      </c>
      <c r="Q72" s="24"/>
    </row>
    <row r="73" ht="15.75" spans="1:17">
      <c r="A73" s="1" t="str">
        <f>IF(CHOOSE($B$2,tblTerritories_2014_O!A73,tblTerritories_2014_N!A73,tblTerritories_2017!A72)="","",CHOOSE($B$2,tblTerritories_2014_O!A73,tblTerritories_2014_N!A73,tblTerritories_2017!A72))</f>
        <v/>
      </c>
      <c r="B73" s="1" t="str">
        <f>IF(CHOOSE($B$2,tblTerritories_2014_O!B73,tblTerritories_2014_N!B73,tblTerritories_2017!B72)="","",CHOOSE($B$2,tblTerritories_2014_O!B73,tblTerritories_2014_N!B73,tblTerritories_2017!B72))</f>
        <v/>
      </c>
      <c r="C73" s="51" t="str">
        <f>IF(CHOOSE($B$2,tblTerritories_2014_O!C73,tblTerritories_2014_N!C73,tblTerritories_2017!C72)="","",CHOOSE($B$2,tblTerritories_2014_O!C73,tblTerritories_2014_N!C73,tblTerritories_2017!C72))</f>
        <v/>
      </c>
      <c r="D73" s="1" t="str">
        <f>IF(CHOOSE($B$2,tblTerritories_2014_O!D73,tblTerritories_2014_N!D73,tblTerritories_2017!D72)="","",CHOOSE($B$2,tblTerritories_2014_O!D73,tblTerritories_2014_N!D73,tblTerritories_2017!D72))</f>
        <v/>
      </c>
      <c r="E73" s="1" t="str">
        <f>IF(CHOOSE($B$2,tblTerritories_2014_O!E73,tblTerritories_2014_N!E73,tblTerritories_2017!E72)="","",CHOOSE($B$2,tblTerritories_2014_O!E73,tblTerritories_2014_N!E73,tblTerritories_2017!E72))</f>
        <v/>
      </c>
      <c r="F73" s="1" t="str">
        <f>IF(CHOOSE($B$2,tblTerritories_2014_O!F73,tblTerritories_2014_N!F73,tblTerritories_2017!F72)="","",CHOOSE($B$2,tblTerritories_2014_O!F73,tblTerritories_2014_N!F73,tblTerritories_2017!F72))</f>
        <v/>
      </c>
      <c r="G73" s="1" t="str">
        <f>IF(CHOOSE($B$2,tblTerritories_2014_O!G73,tblTerritories_2014_N!G73,tblTerritories_2017!G72)="","",CHOOSE($B$2,tblTerritories_2014_O!G73,tblTerritories_2014_N!G73,tblTerritories_2017!G72))</f>
        <v/>
      </c>
      <c r="H73" s="17" t="str">
        <f>IF(CHOOSE($B$2,tblTerritories_2014_O!H73,tblTerritories_2014_N!H73,tblTerritories_2017!H72)="","",CHOOSE($B$2,tblTerritories_2014_O!H73,tblTerritories_2014_N!H73,tblTerritories_2017!H72))</f>
        <v/>
      </c>
      <c r="I73" s="1" t="str">
        <f>IF(CHOOSE($B$2,tblTerritories_2014_O!I73,tblTerritories_2014_N!I73,tblTerritories_2017!I72)="","",CHOOSE($B$2,tblTerritories_2014_O!I73,tblTerritories_2014_N!I73,tblTerritories_2017!I72))</f>
        <v/>
      </c>
      <c r="J73" s="27" t="str">
        <f>IF(CHOOSE($B$2,tblTerritories_2014_O!J73,tblTerritories_2014_N!J73,tblTerritories_2017!J72)="","",CHOOSE($B$2,tblTerritories_2014_O!J73,tblTerritories_2014_N!J73,tblTerritories_2017!J72))</f>
        <v/>
      </c>
      <c r="K73" s="30" t="str">
        <f>IF(CHOOSE($B$2,tblTerritories_2014_O!K73,tblTerritories_2014_N!K73,tblTerritories_2017!K72)="","",CHOOSE($B$2,tblTerritories_2014_O!K73,tblTerritories_2014_N!K73,tblTerritories_2017!K72))</f>
        <v/>
      </c>
      <c r="L73" s="31" t="str">
        <f>IF(CHOOSE($B$2,tblTerritories_2014_O!L73,tblTerritories_2014_N!L73,tblTerritories_2017!L72)="","",CHOOSE($B$2,tblTerritories_2014_O!L73,tblTerritories_2014_N!L73,tblTerritories_2017!L72))</f>
        <v/>
      </c>
      <c r="M73" s="32" t="str">
        <f>IF(CHOOSE($B$2,tblTerritories_2014_O!M73,tblTerritories_2014_N!M73,tblTerritories_2017!M72)="","",CHOOSE($B$2,tblTerritories_2014_O!M73,tblTerritories_2014_N!M73,tblTerritories_2017!M72))</f>
        <v/>
      </c>
      <c r="N73" s="24" t="str">
        <f>IF(CHOOSE($B$2,tblTerritories_2014_O!N73,tblTerritories_2014_N!N73,tblTerritories_2017!N72)="","",CHOOSE($B$2,tblTerritories_2014_O!N73,tblTerritories_2014_N!N73,tblTerritories_2017!N72))</f>
        <v/>
      </c>
      <c r="O73" s="1" t="str">
        <f>IF(CHOOSE($B$2,tblTerritories_2014_O!O73,tblTerritories_2014_N!O73,tblTerritories_2017!O72)="","",CHOOSE($B$2,tblTerritories_2014_O!O73,tblTerritories_2014_N!O73,tblTerritories_2017!O72))</f>
        <v/>
      </c>
      <c r="P73" s="24" t="str">
        <f>IF(CHOOSE($B$2,tblTerritories_2014_O!P73,tblTerritories_2014_N!P73,tblTerritories_2017!P72)="","",CHOOSE($B$2,tblTerritories_2014_O!P73,tblTerritories_2014_N!P73,tblTerritories_2017!P72))</f>
        <v/>
      </c>
      <c r="Q73" s="24"/>
    </row>
    <row r="74" ht="15.75" spans="1:17">
      <c r="A74" s="1" t="str">
        <f>IF(CHOOSE($B$2,tblTerritories_2014_O!A74,tblTerritories_2014_N!A74,tblTerritories_2017!A73)="","",CHOOSE($B$2,tblTerritories_2014_O!A74,tblTerritories_2014_N!A74,tblTerritories_2017!A73))</f>
        <v/>
      </c>
      <c r="B74" s="1" t="str">
        <f>IF(CHOOSE($B$2,tblTerritories_2014_O!B74,tblTerritories_2014_N!B74,tblTerritories_2017!B73)="","",CHOOSE($B$2,tblTerritories_2014_O!B74,tblTerritories_2014_N!B74,tblTerritories_2017!B73))</f>
        <v/>
      </c>
      <c r="C74" s="51" t="str">
        <f>IF(CHOOSE($B$2,tblTerritories_2014_O!C74,tblTerritories_2014_N!C74,tblTerritories_2017!C73)="","",CHOOSE($B$2,tblTerritories_2014_O!C74,tblTerritories_2014_N!C74,tblTerritories_2017!C73))</f>
        <v/>
      </c>
      <c r="D74" s="1" t="str">
        <f>IF(CHOOSE($B$2,tblTerritories_2014_O!D74,tblTerritories_2014_N!D74,tblTerritories_2017!D73)="","",CHOOSE($B$2,tblTerritories_2014_O!D74,tblTerritories_2014_N!D74,tblTerritories_2017!D73))</f>
        <v/>
      </c>
      <c r="E74" s="1" t="str">
        <f>IF(CHOOSE($B$2,tblTerritories_2014_O!E74,tblTerritories_2014_N!E74,tblTerritories_2017!E73)="","",CHOOSE($B$2,tblTerritories_2014_O!E74,tblTerritories_2014_N!E74,tblTerritories_2017!E73))</f>
        <v/>
      </c>
      <c r="F74" s="1" t="str">
        <f>IF(CHOOSE($B$2,tblTerritories_2014_O!F74,tblTerritories_2014_N!F74,tblTerritories_2017!F73)="","",CHOOSE($B$2,tblTerritories_2014_O!F74,tblTerritories_2014_N!F74,tblTerritories_2017!F73))</f>
        <v/>
      </c>
      <c r="G74" s="1" t="str">
        <f>IF(CHOOSE($B$2,tblTerritories_2014_O!G74,tblTerritories_2014_N!G74,tblTerritories_2017!G73)="","",CHOOSE($B$2,tblTerritories_2014_O!G74,tblTerritories_2014_N!G74,tblTerritories_2017!G73))</f>
        <v/>
      </c>
      <c r="H74" s="17" t="str">
        <f>IF(CHOOSE($B$2,tblTerritories_2014_O!H74,tblTerritories_2014_N!H74,tblTerritories_2017!H73)="","",CHOOSE($B$2,tblTerritories_2014_O!H74,tblTerritories_2014_N!H74,tblTerritories_2017!H73))</f>
        <v/>
      </c>
      <c r="I74" s="1" t="str">
        <f>IF(CHOOSE($B$2,tblTerritories_2014_O!I74,tblTerritories_2014_N!I74,tblTerritories_2017!I73)="","",CHOOSE($B$2,tblTerritories_2014_O!I74,tblTerritories_2014_N!I74,tblTerritories_2017!I73))</f>
        <v/>
      </c>
      <c r="J74" s="27" t="str">
        <f>IF(CHOOSE($B$2,tblTerritories_2014_O!J74,tblTerritories_2014_N!J74,tblTerritories_2017!J73)="","",CHOOSE($B$2,tblTerritories_2014_O!J74,tblTerritories_2014_N!J74,tblTerritories_2017!J73))</f>
        <v/>
      </c>
      <c r="K74" s="30" t="str">
        <f>IF(CHOOSE($B$2,tblTerritories_2014_O!K74,tblTerritories_2014_N!K74,tblTerritories_2017!K73)="","",CHOOSE($B$2,tblTerritories_2014_O!K74,tblTerritories_2014_N!K74,tblTerritories_2017!K73))</f>
        <v/>
      </c>
      <c r="L74" s="31" t="str">
        <f>IF(CHOOSE($B$2,tblTerritories_2014_O!L74,tblTerritories_2014_N!L74,tblTerritories_2017!L73)="","",CHOOSE($B$2,tblTerritories_2014_O!L74,tblTerritories_2014_N!L74,tblTerritories_2017!L73))</f>
        <v/>
      </c>
      <c r="M74" s="32" t="str">
        <f>IF(CHOOSE($B$2,tblTerritories_2014_O!M74,tblTerritories_2014_N!M74,tblTerritories_2017!M73)="","",CHOOSE($B$2,tblTerritories_2014_O!M74,tblTerritories_2014_N!M74,tblTerritories_2017!M73))</f>
        <v/>
      </c>
      <c r="N74" s="24" t="str">
        <f>IF(CHOOSE($B$2,tblTerritories_2014_O!N74,tblTerritories_2014_N!N74,tblTerritories_2017!N73)="","",CHOOSE($B$2,tblTerritories_2014_O!N74,tblTerritories_2014_N!N74,tblTerritories_2017!N73))</f>
        <v/>
      </c>
      <c r="O74" s="1" t="str">
        <f>IF(CHOOSE($B$2,tblTerritories_2014_O!O74,tblTerritories_2014_N!O74,tblTerritories_2017!O73)="","",CHOOSE($B$2,tblTerritories_2014_O!O74,tblTerritories_2014_N!O74,tblTerritories_2017!O73))</f>
        <v/>
      </c>
      <c r="P74" s="24" t="str">
        <f>IF(CHOOSE($B$2,tblTerritories_2014_O!P74,tblTerritories_2014_N!P74,tblTerritories_2017!P73)="","",CHOOSE($B$2,tblTerritories_2014_O!P74,tblTerritories_2014_N!P74,tblTerritories_2017!P73))</f>
        <v/>
      </c>
      <c r="Q74" s="24"/>
    </row>
    <row r="75" ht="15.75" spans="1:17">
      <c r="A75" s="1" t="str">
        <f>IF(CHOOSE($B$2,tblTerritories_2014_O!A75,tblTerritories_2014_N!A75,tblTerritories_2017!A74)="","",CHOOSE($B$2,tblTerritories_2014_O!A75,tblTerritories_2014_N!A75,tblTerritories_2017!A74))</f>
        <v/>
      </c>
      <c r="B75" s="1" t="str">
        <f>IF(CHOOSE($B$2,tblTerritories_2014_O!B75,tblTerritories_2014_N!B75,tblTerritories_2017!B74)="","",CHOOSE($B$2,tblTerritories_2014_O!B75,tblTerritories_2014_N!B75,tblTerritories_2017!B74))</f>
        <v/>
      </c>
      <c r="C75" s="51" t="str">
        <f>IF(CHOOSE($B$2,tblTerritories_2014_O!C75,tblTerritories_2014_N!C75,tblTerritories_2017!C74)="","",CHOOSE($B$2,tblTerritories_2014_O!C75,tblTerritories_2014_N!C75,tblTerritories_2017!C74))</f>
        <v/>
      </c>
      <c r="D75" s="1" t="str">
        <f>IF(CHOOSE($B$2,tblTerritories_2014_O!D75,tblTerritories_2014_N!D75,tblTerritories_2017!D74)="","",CHOOSE($B$2,tblTerritories_2014_O!D75,tblTerritories_2014_N!D75,tblTerritories_2017!D74))</f>
        <v/>
      </c>
      <c r="E75" s="1" t="str">
        <f>IF(CHOOSE($B$2,tblTerritories_2014_O!E75,tblTerritories_2014_N!E75,tblTerritories_2017!E74)="","",CHOOSE($B$2,tblTerritories_2014_O!E75,tblTerritories_2014_N!E75,tblTerritories_2017!E74))</f>
        <v/>
      </c>
      <c r="F75" s="1" t="str">
        <f>IF(CHOOSE($B$2,tblTerritories_2014_O!F75,tblTerritories_2014_N!F75,tblTerritories_2017!F74)="","",CHOOSE($B$2,tblTerritories_2014_O!F75,tblTerritories_2014_N!F75,tblTerritories_2017!F74))</f>
        <v/>
      </c>
      <c r="G75" s="1" t="str">
        <f>IF(CHOOSE($B$2,tblTerritories_2014_O!G75,tblTerritories_2014_N!G75,tblTerritories_2017!G74)="","",CHOOSE($B$2,tblTerritories_2014_O!G75,tblTerritories_2014_N!G75,tblTerritories_2017!G74))</f>
        <v/>
      </c>
      <c r="H75" s="17" t="str">
        <f>IF(CHOOSE($B$2,tblTerritories_2014_O!H75,tblTerritories_2014_N!H75,tblTerritories_2017!H74)="","",CHOOSE($B$2,tblTerritories_2014_O!H75,tblTerritories_2014_N!H75,tblTerritories_2017!H74))</f>
        <v/>
      </c>
      <c r="I75" s="1" t="str">
        <f>IF(CHOOSE($B$2,tblTerritories_2014_O!I75,tblTerritories_2014_N!I75,tblTerritories_2017!I74)="","",CHOOSE($B$2,tblTerritories_2014_O!I75,tblTerritories_2014_N!I75,tblTerritories_2017!I74))</f>
        <v/>
      </c>
      <c r="J75" s="27" t="str">
        <f>IF(CHOOSE($B$2,tblTerritories_2014_O!J75,tblTerritories_2014_N!J75,tblTerritories_2017!J74)="","",CHOOSE($B$2,tblTerritories_2014_O!J75,tblTerritories_2014_N!J75,tblTerritories_2017!J74))</f>
        <v/>
      </c>
      <c r="K75" s="30" t="str">
        <f>IF(CHOOSE($B$2,tblTerritories_2014_O!K75,tblTerritories_2014_N!K75,tblTerritories_2017!K74)="","",CHOOSE($B$2,tblTerritories_2014_O!K75,tblTerritories_2014_N!K75,tblTerritories_2017!K74))</f>
        <v/>
      </c>
      <c r="L75" s="31" t="str">
        <f>IF(CHOOSE($B$2,tblTerritories_2014_O!L75,tblTerritories_2014_N!L75,tblTerritories_2017!L74)="","",CHOOSE($B$2,tblTerritories_2014_O!L75,tblTerritories_2014_N!L75,tblTerritories_2017!L74))</f>
        <v/>
      </c>
      <c r="M75" s="32" t="str">
        <f>IF(CHOOSE($B$2,tblTerritories_2014_O!M75,tblTerritories_2014_N!M75,tblTerritories_2017!M74)="","",CHOOSE($B$2,tblTerritories_2014_O!M75,tblTerritories_2014_N!M75,tblTerritories_2017!M74))</f>
        <v/>
      </c>
      <c r="N75" s="24" t="str">
        <f>IF(CHOOSE($B$2,tblTerritories_2014_O!N75,tblTerritories_2014_N!N75,tblTerritories_2017!N74)="","",CHOOSE($B$2,tblTerritories_2014_O!N75,tblTerritories_2014_N!N75,tblTerritories_2017!N74))</f>
        <v/>
      </c>
      <c r="O75" s="1" t="str">
        <f>IF(CHOOSE($B$2,tblTerritories_2014_O!O75,tblTerritories_2014_N!O75,tblTerritories_2017!O74)="","",CHOOSE($B$2,tblTerritories_2014_O!O75,tblTerritories_2014_N!O75,tblTerritories_2017!O74))</f>
        <v/>
      </c>
      <c r="P75" s="24" t="str">
        <f>IF(CHOOSE($B$2,tblTerritories_2014_O!P75,tblTerritories_2014_N!P75,tblTerritories_2017!P74)="","",CHOOSE($B$2,tblTerritories_2014_O!P75,tblTerritories_2014_N!P75,tblTerritories_2017!P74))</f>
        <v/>
      </c>
      <c r="Q75" s="24"/>
    </row>
    <row r="76" ht="15.75" spans="1:17">
      <c r="A76" s="1" t="str">
        <f>IF(CHOOSE($B$2,tblTerritories_2014_O!A76,tblTerritories_2014_N!A76,tblTerritories_2017!A75)="","",CHOOSE($B$2,tblTerritories_2014_O!A76,tblTerritories_2014_N!A76,tblTerritories_2017!A75))</f>
        <v/>
      </c>
      <c r="B76" s="1" t="str">
        <f>IF(CHOOSE($B$2,tblTerritories_2014_O!B76,tblTerritories_2014_N!B76,tblTerritories_2017!B75)="","",CHOOSE($B$2,tblTerritories_2014_O!B76,tblTerritories_2014_N!B76,tblTerritories_2017!B75))</f>
        <v/>
      </c>
      <c r="C76" s="51" t="str">
        <f>IF(CHOOSE($B$2,tblTerritories_2014_O!C76,tblTerritories_2014_N!C76,tblTerritories_2017!C75)="","",CHOOSE($B$2,tblTerritories_2014_O!C76,tblTerritories_2014_N!C76,tblTerritories_2017!C75))</f>
        <v/>
      </c>
      <c r="D76" s="1" t="str">
        <f>IF(CHOOSE($B$2,tblTerritories_2014_O!D76,tblTerritories_2014_N!D76,tblTerritories_2017!D75)="","",CHOOSE($B$2,tblTerritories_2014_O!D76,tblTerritories_2014_N!D76,tblTerritories_2017!D75))</f>
        <v/>
      </c>
      <c r="E76" s="1" t="str">
        <f>IF(CHOOSE($B$2,tblTerritories_2014_O!E76,tblTerritories_2014_N!E76,tblTerritories_2017!E75)="","",CHOOSE($B$2,tblTerritories_2014_O!E76,tblTerritories_2014_N!E76,tblTerritories_2017!E75))</f>
        <v/>
      </c>
      <c r="F76" s="1" t="str">
        <f>IF(CHOOSE($B$2,tblTerritories_2014_O!F76,tblTerritories_2014_N!F76,tblTerritories_2017!F75)="","",CHOOSE($B$2,tblTerritories_2014_O!F76,tblTerritories_2014_N!F76,tblTerritories_2017!F75))</f>
        <v/>
      </c>
      <c r="G76" s="1" t="str">
        <f>IF(CHOOSE($B$2,tblTerritories_2014_O!G76,tblTerritories_2014_N!G76,tblTerritories_2017!G75)="","",CHOOSE($B$2,tblTerritories_2014_O!G76,tblTerritories_2014_N!G76,tblTerritories_2017!G75))</f>
        <v/>
      </c>
      <c r="H76" s="17" t="str">
        <f>IF(CHOOSE($B$2,tblTerritories_2014_O!H76,tblTerritories_2014_N!H76,tblTerritories_2017!H75)="","",CHOOSE($B$2,tblTerritories_2014_O!H76,tblTerritories_2014_N!H76,tblTerritories_2017!H75))</f>
        <v/>
      </c>
      <c r="I76" s="1" t="str">
        <f>IF(CHOOSE($B$2,tblTerritories_2014_O!I76,tblTerritories_2014_N!I76,tblTerritories_2017!I75)="","",CHOOSE($B$2,tblTerritories_2014_O!I76,tblTerritories_2014_N!I76,tblTerritories_2017!I75))</f>
        <v/>
      </c>
      <c r="J76" s="27" t="str">
        <f>IF(CHOOSE($B$2,tblTerritories_2014_O!J76,tblTerritories_2014_N!J76,tblTerritories_2017!J75)="","",CHOOSE($B$2,tblTerritories_2014_O!J76,tblTerritories_2014_N!J76,tblTerritories_2017!J75))</f>
        <v/>
      </c>
      <c r="K76" s="30" t="str">
        <f>IF(CHOOSE($B$2,tblTerritories_2014_O!K76,tblTerritories_2014_N!K76,tblTerritories_2017!K75)="","",CHOOSE($B$2,tblTerritories_2014_O!K76,tblTerritories_2014_N!K76,tblTerritories_2017!K75))</f>
        <v/>
      </c>
      <c r="L76" s="31" t="str">
        <f>IF(CHOOSE($B$2,tblTerritories_2014_O!L76,tblTerritories_2014_N!L76,tblTerritories_2017!L75)="","",CHOOSE($B$2,tblTerritories_2014_O!L76,tblTerritories_2014_N!L76,tblTerritories_2017!L75))</f>
        <v/>
      </c>
      <c r="M76" s="32" t="str">
        <f>IF(CHOOSE($B$2,tblTerritories_2014_O!M76,tblTerritories_2014_N!M76,tblTerritories_2017!M75)="","",CHOOSE($B$2,tblTerritories_2014_O!M76,tblTerritories_2014_N!M76,tblTerritories_2017!M75))</f>
        <v/>
      </c>
      <c r="N76" s="24" t="str">
        <f>IF(CHOOSE($B$2,tblTerritories_2014_O!N76,tblTerritories_2014_N!N76,tblTerritories_2017!N75)="","",CHOOSE($B$2,tblTerritories_2014_O!N76,tblTerritories_2014_N!N76,tblTerritories_2017!N75))</f>
        <v/>
      </c>
      <c r="O76" s="1" t="str">
        <f>IF(CHOOSE($B$2,tblTerritories_2014_O!O76,tblTerritories_2014_N!O76,tblTerritories_2017!O75)="","",CHOOSE($B$2,tblTerritories_2014_O!O76,tblTerritories_2014_N!O76,tblTerritories_2017!O75))</f>
        <v/>
      </c>
      <c r="P76" s="24" t="str">
        <f>IF(CHOOSE($B$2,tblTerritories_2014_O!P76,tblTerritories_2014_N!P76,tblTerritories_2017!P75)="","",CHOOSE($B$2,tblTerritories_2014_O!P76,tblTerritories_2014_N!P76,tblTerritories_2017!P75))</f>
        <v/>
      </c>
      <c r="Q76" s="24"/>
    </row>
    <row r="77" ht="15.75" spans="1:17">
      <c r="A77" s="1" t="str">
        <f>IF(CHOOSE($B$2,tblTerritories_2014_O!A77,tblTerritories_2014_N!A77,tblTerritories_2017!A76)="","",CHOOSE($B$2,tblTerritories_2014_O!A77,tblTerritories_2014_N!A77,tblTerritories_2017!A76))</f>
        <v/>
      </c>
      <c r="B77" s="1" t="str">
        <f>IF(CHOOSE($B$2,tblTerritories_2014_O!B77,tblTerritories_2014_N!B77,tblTerritories_2017!B76)="","",CHOOSE($B$2,tblTerritories_2014_O!B77,tblTerritories_2014_N!B77,tblTerritories_2017!B76))</f>
        <v/>
      </c>
      <c r="C77" s="51" t="str">
        <f>IF(CHOOSE($B$2,tblTerritories_2014_O!C77,tblTerritories_2014_N!C77,tblTerritories_2017!C76)="","",CHOOSE($B$2,tblTerritories_2014_O!C77,tblTerritories_2014_N!C77,tblTerritories_2017!C76))</f>
        <v/>
      </c>
      <c r="D77" s="1" t="str">
        <f>IF(CHOOSE($B$2,tblTerritories_2014_O!D77,tblTerritories_2014_N!D77,tblTerritories_2017!D76)="","",CHOOSE($B$2,tblTerritories_2014_O!D77,tblTerritories_2014_N!D77,tblTerritories_2017!D76))</f>
        <v/>
      </c>
      <c r="E77" s="1" t="str">
        <f>IF(CHOOSE($B$2,tblTerritories_2014_O!E77,tblTerritories_2014_N!E77,tblTerritories_2017!E76)="","",CHOOSE($B$2,tblTerritories_2014_O!E77,tblTerritories_2014_N!E77,tblTerritories_2017!E76))</f>
        <v/>
      </c>
      <c r="F77" s="1" t="str">
        <f>IF(CHOOSE($B$2,tblTerritories_2014_O!F77,tblTerritories_2014_N!F77,tblTerritories_2017!F76)="","",CHOOSE($B$2,tblTerritories_2014_O!F77,tblTerritories_2014_N!F77,tblTerritories_2017!F76))</f>
        <v/>
      </c>
      <c r="G77" s="1" t="str">
        <f>IF(CHOOSE($B$2,tblTerritories_2014_O!G77,tblTerritories_2014_N!G77,tblTerritories_2017!G76)="","",CHOOSE($B$2,tblTerritories_2014_O!G77,tblTerritories_2014_N!G77,tblTerritories_2017!G76))</f>
        <v/>
      </c>
      <c r="H77" s="17" t="str">
        <f>IF(CHOOSE($B$2,tblTerritories_2014_O!H77,tblTerritories_2014_N!H77,tblTerritories_2017!H76)="","",CHOOSE($B$2,tblTerritories_2014_O!H77,tblTerritories_2014_N!H77,tblTerritories_2017!H76))</f>
        <v/>
      </c>
      <c r="I77" s="1" t="str">
        <f>IF(CHOOSE($B$2,tblTerritories_2014_O!I77,tblTerritories_2014_N!I77,tblTerritories_2017!I76)="","",CHOOSE($B$2,tblTerritories_2014_O!I77,tblTerritories_2014_N!I77,tblTerritories_2017!I76))</f>
        <v/>
      </c>
      <c r="J77" s="27" t="str">
        <f>IF(CHOOSE($B$2,tblTerritories_2014_O!J77,tblTerritories_2014_N!J77,tblTerritories_2017!J76)="","",CHOOSE($B$2,tblTerritories_2014_O!J77,tblTerritories_2014_N!J77,tblTerritories_2017!J76))</f>
        <v/>
      </c>
      <c r="K77" s="30" t="str">
        <f>IF(CHOOSE($B$2,tblTerritories_2014_O!K77,tblTerritories_2014_N!K77,tblTerritories_2017!K76)="","",CHOOSE($B$2,tblTerritories_2014_O!K77,tblTerritories_2014_N!K77,tblTerritories_2017!K76))</f>
        <v/>
      </c>
      <c r="L77" s="31" t="str">
        <f>IF(CHOOSE($B$2,tblTerritories_2014_O!L77,tblTerritories_2014_N!L77,tblTerritories_2017!L76)="","",CHOOSE($B$2,tblTerritories_2014_O!L77,tblTerritories_2014_N!L77,tblTerritories_2017!L76))</f>
        <v/>
      </c>
      <c r="M77" s="32" t="str">
        <f>IF(CHOOSE($B$2,tblTerritories_2014_O!M77,tblTerritories_2014_N!M77,tblTerritories_2017!M76)="","",CHOOSE($B$2,tblTerritories_2014_O!M77,tblTerritories_2014_N!M77,tblTerritories_2017!M76))</f>
        <v/>
      </c>
      <c r="N77" s="24" t="str">
        <f>IF(CHOOSE($B$2,tblTerritories_2014_O!N77,tblTerritories_2014_N!N77,tblTerritories_2017!N76)="","",CHOOSE($B$2,tblTerritories_2014_O!N77,tblTerritories_2014_N!N77,tblTerritories_2017!N76))</f>
        <v/>
      </c>
      <c r="O77" s="1" t="str">
        <f>IF(CHOOSE($B$2,tblTerritories_2014_O!O77,tblTerritories_2014_N!O77,tblTerritories_2017!O76)="","",CHOOSE($B$2,tblTerritories_2014_O!O77,tblTerritories_2014_N!O77,tblTerritories_2017!O76))</f>
        <v/>
      </c>
      <c r="P77" s="24" t="str">
        <f>IF(CHOOSE($B$2,tblTerritories_2014_O!P77,tblTerritories_2014_N!P77,tblTerritories_2017!P76)="","",CHOOSE($B$2,tblTerritories_2014_O!P77,tblTerritories_2014_N!P77,tblTerritories_2017!P76))</f>
        <v/>
      </c>
      <c r="Q77" s="24"/>
    </row>
  </sheetData>
  <conditionalFormatting sqref="S13">
    <cfRule type="expression" dxfId="32" priority="1">
      <formula>$I10="New"</formula>
    </cfRule>
    <cfRule type="expression" dxfId="33" priority="2">
      <formula>$I10="Change classification"</formula>
    </cfRule>
  </conditionalFormatting>
  <conditionalFormatting sqref="S10:S17">
    <cfRule type="expression" dxfId="32" priority="3">
      <formula>$I10="New"</formula>
    </cfRule>
    <cfRule type="expression" dxfId="33" priority="4">
      <formula>$I10="Change classification"</formula>
    </cfRule>
  </conditionalFormatting>
  <pageMargins left="0.551181102362205" right="0.551181102362205" top="0.590551181102362" bottom="0.78740157480315" header="0.511811023622047" footer="0.511811023622047"/>
  <pageSetup paperSize="9" scale="24" orientation="landscape" horizontalDpi="1200" verticalDpi="1200"/>
  <headerFooter alignWithMargins="0">
    <oddHeader>&amp;RSafe Cities Index : 2017</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FFC000"/>
    <pageSetUpPr fitToPage="1"/>
  </sheetPr>
  <dimension ref="A1:BO63"/>
  <sheetViews>
    <sheetView showRowColHeaders="0" zoomScale="90" zoomScaleNormal="90" workbookViewId="0">
      <pane xSplit="3" ySplit="2" topLeftCell="D49" activePane="bottomRight" state="frozen"/>
      <selection/>
      <selection pane="topRight"/>
      <selection pane="bottomLeft"/>
      <selection pane="bottomRight" activeCell="F52" sqref="F52"/>
    </sheetView>
  </sheetViews>
  <sheetFormatPr defaultColWidth="9" defaultRowHeight="11.25"/>
  <cols>
    <col min="1" max="2" width="9.14285714285714" style="1"/>
    <col min="3" max="3" width="17.2857142857143" style="1" customWidth="1"/>
    <col min="4" max="4" width="8.57142857142857" style="1" customWidth="1"/>
    <col min="5" max="5" width="12.7142857142857" style="1" customWidth="1"/>
    <col min="6" max="6" width="5.85714285714286" style="1" customWidth="1"/>
    <col min="7" max="7" width="11" style="1" customWidth="1"/>
    <col min="8" max="8" width="2.57142857142857" style="17" customWidth="1"/>
    <col min="9" max="9" width="11.7142857142857" style="1" customWidth="1"/>
    <col min="10" max="10" width="13.5714285714286" style="18" customWidth="1"/>
    <col min="11" max="11" width="12.8571428571429" style="1" customWidth="1"/>
    <col min="12" max="12" width="2.57142857142857" style="1" customWidth="1"/>
    <col min="13" max="13" width="2.57142857142857" style="19" customWidth="1"/>
    <col min="14" max="18" width="2.57142857142857" style="1" customWidth="1"/>
    <col min="19" max="19" width="20.8571428571429" style="1" customWidth="1"/>
    <col min="20" max="20" width="2.57142857142857" style="1" customWidth="1"/>
    <col min="21" max="21" width="9.14285714285714" style="1"/>
    <col min="22" max="22" width="15.2857142857143" style="1" customWidth="1"/>
    <col min="23" max="23" width="19.5714285714286" style="1" customWidth="1"/>
    <col min="24" max="28" width="6.28571428571429" style="1" customWidth="1"/>
    <col min="29" max="30" width="6.28571428571429" style="20" customWidth="1"/>
    <col min="31" max="32" width="6.28571428571429" style="1" customWidth="1"/>
    <col min="33" max="35" width="6.28571428571429" style="20" customWidth="1"/>
    <col min="36" max="40" width="9.14285714285714" style="1"/>
    <col min="41" max="41" width="16.4285714285714" style="1" customWidth="1"/>
    <col min="42" max="16384" width="9.14285714285714" style="1"/>
  </cols>
  <sheetData>
    <row r="1" spans="1:67">
      <c r="A1" s="21" t="s">
        <v>373</v>
      </c>
      <c r="B1" s="21"/>
      <c r="C1" s="21" t="s">
        <v>15</v>
      </c>
      <c r="D1" s="22" t="s">
        <v>953</v>
      </c>
      <c r="E1" s="1" t="s">
        <v>954</v>
      </c>
      <c r="F1" s="1" t="s">
        <v>338</v>
      </c>
      <c r="G1" s="21" t="s">
        <v>955</v>
      </c>
      <c r="I1" s="1" t="s">
        <v>956</v>
      </c>
      <c r="K1" s="24"/>
      <c r="L1" s="25" t="s">
        <v>948</v>
      </c>
      <c r="M1" s="26" t="s">
        <v>957</v>
      </c>
      <c r="N1" s="24"/>
      <c r="P1" s="1" t="s">
        <v>958</v>
      </c>
      <c r="U1" s="1">
        <v>1</v>
      </c>
      <c r="V1" s="1">
        <v>2</v>
      </c>
      <c r="W1" s="1">
        <v>3</v>
      </c>
      <c r="X1" s="1">
        <v>4</v>
      </c>
      <c r="Y1" s="1">
        <v>5</v>
      </c>
      <c r="Z1" s="1">
        <v>6</v>
      </c>
      <c r="AA1" s="1">
        <v>7</v>
      </c>
      <c r="AB1" s="1">
        <v>1</v>
      </c>
      <c r="AC1" s="20">
        <v>2</v>
      </c>
      <c r="AD1" s="20">
        <v>3</v>
      </c>
      <c r="AE1" s="1">
        <v>4</v>
      </c>
      <c r="AF1" s="1">
        <v>5</v>
      </c>
      <c r="AG1" s="20">
        <v>6</v>
      </c>
      <c r="AH1" s="20">
        <v>7</v>
      </c>
      <c r="AI1" s="20">
        <v>8</v>
      </c>
      <c r="AK1" s="1" t="s">
        <v>976</v>
      </c>
      <c r="AL1" s="1" t="s">
        <v>977</v>
      </c>
      <c r="AP1" s="1" t="s">
        <v>978</v>
      </c>
      <c r="AQ1" s="1" t="s">
        <v>349</v>
      </c>
      <c r="AR1" s="1" t="s">
        <v>979</v>
      </c>
      <c r="AS1" s="1" t="s">
        <v>980</v>
      </c>
      <c r="AT1" s="1" t="s">
        <v>981</v>
      </c>
      <c r="AV1" s="1" t="s">
        <v>982</v>
      </c>
      <c r="AW1" s="1" t="str">
        <f>AB2</f>
        <v>High Income</v>
      </c>
      <c r="AX1" s="1" t="str">
        <f>AC2</f>
        <v>Upper Middle Income</v>
      </c>
      <c r="AY1" s="1" t="str">
        <f>AD2</f>
        <v>Lower Middle Income</v>
      </c>
      <c r="AZ1" s="1" t="str">
        <f>AE2</f>
        <v>Low Income</v>
      </c>
      <c r="BA1" s="1" t="str">
        <f>W2</f>
        <v>Asia Pacific</v>
      </c>
      <c r="BB1" s="1" t="str">
        <f>X2</f>
        <v>Europe</v>
      </c>
      <c r="BC1" s="1" t="str">
        <f>Y2</f>
        <v>Latin America</v>
      </c>
      <c r="BD1" s="1" t="str">
        <f>Z2</f>
        <v>Middle East and Africa</v>
      </c>
      <c r="BE1" s="1" t="str">
        <f>AA2</f>
        <v>North America</v>
      </c>
      <c r="BF1" s="1" t="str">
        <f>BL1</f>
        <v>Pop1</v>
      </c>
      <c r="BG1" s="1" t="str">
        <f>BM1</f>
        <v>pop2</v>
      </c>
      <c r="BH1" s="1">
        <f t="shared" ref="BH1:BI1" si="0">BN1</f>
        <v>11</v>
      </c>
      <c r="BI1" s="1" t="str">
        <f t="shared" si="0"/>
        <v>Pop3</v>
      </c>
      <c r="BK1" s="1" t="s">
        <v>983</v>
      </c>
      <c r="BL1" s="1" t="str">
        <f>AF2</f>
        <v>Pop1</v>
      </c>
      <c r="BM1" s="1" t="str">
        <f>AG2</f>
        <v>pop2</v>
      </c>
      <c r="BN1" s="1">
        <f t="shared" ref="BN1:BO1" si="1">AH2</f>
        <v>11</v>
      </c>
      <c r="BO1" s="1" t="str">
        <f t="shared" si="1"/>
        <v>Pop3</v>
      </c>
    </row>
    <row r="2" ht="13.5" spans="1:44">
      <c r="A2" s="1">
        <v>0</v>
      </c>
      <c r="C2" s="1" t="s">
        <v>46</v>
      </c>
      <c r="D2" s="23">
        <f>uxb_works!$B$8</f>
        <v>1</v>
      </c>
      <c r="E2" s="23">
        <f>uxb_works!$B$8</f>
        <v>1</v>
      </c>
      <c r="F2" s="23">
        <f>uxb_works!$B$7</f>
        <v>0</v>
      </c>
      <c r="G2" s="1">
        <f>uxb_works!$B$14</f>
        <v>1</v>
      </c>
      <c r="H2" s="17">
        <f t="shared" ref="H2:H3" si="2">L2</f>
        <v>1</v>
      </c>
      <c r="I2" s="1" t="str">
        <f>C2</f>
        <v>&lt;none&gt;</v>
      </c>
      <c r="J2" s="27" t="str">
        <f t="shared" ref="J2:J3" si="3">C2</f>
        <v>&lt;none&gt;</v>
      </c>
      <c r="K2" s="28">
        <v>0</v>
      </c>
      <c r="L2" s="28">
        <v>1</v>
      </c>
      <c r="M2" s="29"/>
      <c r="N2" s="24"/>
      <c r="O2" s="23"/>
      <c r="S2" s="1" t="s">
        <v>959</v>
      </c>
      <c r="U2" s="1" t="str">
        <f t="shared" ref="U2:AA2" si="4">INDEX(luRegionsPlusNone,U1)</f>
        <v>&lt;none&gt;</v>
      </c>
      <c r="V2" s="1" t="str">
        <f t="shared" si="4"/>
        <v>All Regions/Groups</v>
      </c>
      <c r="W2" s="1" t="str">
        <f t="shared" si="4"/>
        <v>Asia Pacific</v>
      </c>
      <c r="X2" s="1" t="str">
        <f t="shared" si="4"/>
        <v>Europe</v>
      </c>
      <c r="Y2" s="1" t="str">
        <f t="shared" si="4"/>
        <v>Latin America</v>
      </c>
      <c r="Z2" s="1" t="str">
        <f t="shared" si="4"/>
        <v>Middle East and Africa</v>
      </c>
      <c r="AA2" s="1" t="str">
        <f t="shared" si="4"/>
        <v>North America</v>
      </c>
      <c r="AB2" s="1" t="str">
        <f>INDEX($S$10:$S$13,AB1)</f>
        <v>High Income</v>
      </c>
      <c r="AC2" s="1" t="str">
        <f>INDEX($S$10:$S$13,AC1)</f>
        <v>Upper Middle Income</v>
      </c>
      <c r="AD2" s="1" t="str">
        <f>INDEX($S$10:$S$13,AD1)</f>
        <v>Lower Middle Income</v>
      </c>
      <c r="AE2" s="1" t="str">
        <f>INDEX($S$10:$S$13,AE1)</f>
        <v>Low Income</v>
      </c>
      <c r="AF2" s="1" t="str">
        <f>INDEX($S$10:$S$17,AF1)</f>
        <v>Pop1</v>
      </c>
      <c r="AG2" s="1" t="str">
        <f>INDEX($S$10:$S$17,AG1)</f>
        <v>pop2</v>
      </c>
      <c r="AH2" s="1">
        <f t="shared" ref="AH2:AI2" si="5">INDEX($S$10:$S$17,AH1)</f>
        <v>11</v>
      </c>
      <c r="AI2" s="1" t="str">
        <f t="shared" si="5"/>
        <v>Pop3</v>
      </c>
      <c r="AP2" s="1">
        <f>uxb_works!$B$12</f>
        <v>1</v>
      </c>
      <c r="AQ2" s="1">
        <f>uxb_works!$B$10</f>
        <v>1</v>
      </c>
      <c r="AR2" s="1">
        <f>uxb_works!$B$15</f>
        <v>1</v>
      </c>
    </row>
    <row r="3" ht="15" spans="1:67">
      <c r="A3" s="1">
        <f>A2+1</f>
        <v>1</v>
      </c>
      <c r="C3" s="4" t="str">
        <f>Cities_list!Z4</f>
        <v>Abu Dhabi</v>
      </c>
      <c r="D3" s="1">
        <f>AS3</f>
        <v>1</v>
      </c>
      <c r="E3" s="1">
        <f>IF($E$2=1,0,INDEX(AV3:BL3,$E$2))</f>
        <v>0</v>
      </c>
      <c r="F3" s="1">
        <f>IF(A3=$F$2,3,IF(D3=0,0,IF(E3=1,2,1)))</f>
        <v>1</v>
      </c>
      <c r="G3" s="1">
        <f>IF($G$2=1,0,INDEX(V3:AA3,$G$2))</f>
        <v>0</v>
      </c>
      <c r="H3" s="17">
        <f t="shared" si="2"/>
        <v>1</v>
      </c>
      <c r="I3" s="1" t="str">
        <f>SUBSTITUTE(C3," ","")</f>
        <v>AbuDhabi</v>
      </c>
      <c r="J3" s="27" t="str">
        <f t="shared" si="3"/>
        <v>Abu Dhabi</v>
      </c>
      <c r="K3" s="30">
        <f>IF(A3=$O$3,3,IF(INDEX($U3:$AI3,$O$5)=0,0,IF(INDEX($U3:$AI3,$O$4)=1,2,1)))</f>
        <v>0</v>
      </c>
      <c r="L3" s="31">
        <v>1</v>
      </c>
      <c r="M3" s="32"/>
      <c r="N3" s="24" t="s">
        <v>47</v>
      </c>
      <c r="O3" s="23">
        <f>uxb_works!B7</f>
        <v>0</v>
      </c>
      <c r="P3" s="1">
        <f>MATCH(1,X3:AI3,0)</f>
        <v>3</v>
      </c>
      <c r="R3" s="1">
        <v>1</v>
      </c>
      <c r="S3" s="1" t="s">
        <v>46</v>
      </c>
      <c r="U3" s="1">
        <v>0</v>
      </c>
      <c r="V3" s="1">
        <v>1</v>
      </c>
      <c r="W3" s="33">
        <v>0</v>
      </c>
      <c r="X3" s="33">
        <v>0</v>
      </c>
      <c r="Y3" s="33">
        <v>0</v>
      </c>
      <c r="Z3" s="33">
        <v>1</v>
      </c>
      <c r="AA3" s="33">
        <v>0</v>
      </c>
      <c r="AB3" s="40">
        <v>1</v>
      </c>
      <c r="AC3" s="41">
        <v>0</v>
      </c>
      <c r="AD3" s="41">
        <v>0</v>
      </c>
      <c r="AE3" s="48">
        <v>0</v>
      </c>
      <c r="AF3" s="43">
        <v>1</v>
      </c>
      <c r="AG3" s="43">
        <v>0</v>
      </c>
      <c r="AH3" s="43">
        <v>0</v>
      </c>
      <c r="AI3" s="43">
        <v>0</v>
      </c>
      <c r="AK3">
        <f>MATCH(1,AB3:AI3,0)</f>
        <v>1</v>
      </c>
      <c r="AL3" s="1">
        <f>MATCH(1,W3:AA3,0)</f>
        <v>4</v>
      </c>
      <c r="AP3" s="1">
        <f>INDEX(V3:AA3,$AP$2)</f>
        <v>1</v>
      </c>
      <c r="AQ3" s="1">
        <f>INDEX(AV3:BL3,$AQ$2)</f>
        <v>1</v>
      </c>
      <c r="AR3" s="1">
        <f>INDEX(BK3:BP3,$AR$2)</f>
        <v>1</v>
      </c>
      <c r="AS3" s="1">
        <f>IF(AND(AP3=1,AQ3=1,AR3=1),1,0)</f>
        <v>1</v>
      </c>
      <c r="AT3" s="1">
        <f>IF(AND($AP$2=1,$AQ$2&lt;&gt;1),AQ3,IF(AND($AP$2&lt;&gt;1,$AQ$2=1),AP3,IF(AND($AP$2&lt;&gt;1,$AQ$2&lt;&gt;1),AS3,1)))</f>
        <v>1</v>
      </c>
      <c r="AV3" s="1">
        <v>1</v>
      </c>
      <c r="AW3" s="1">
        <f t="shared" ref="AW3:AZ10" si="6">AB3</f>
        <v>1</v>
      </c>
      <c r="AX3" s="1">
        <f t="shared" si="6"/>
        <v>0</v>
      </c>
      <c r="AY3" s="1">
        <f t="shared" si="6"/>
        <v>0</v>
      </c>
      <c r="AZ3" s="1">
        <f t="shared" si="6"/>
        <v>0</v>
      </c>
      <c r="BA3" s="1">
        <f t="shared" ref="BA3:BE10" si="7">W3</f>
        <v>0</v>
      </c>
      <c r="BB3" s="1">
        <f t="shared" si="7"/>
        <v>0</v>
      </c>
      <c r="BC3" s="1">
        <f t="shared" si="7"/>
        <v>0</v>
      </c>
      <c r="BD3" s="1">
        <f t="shared" si="7"/>
        <v>1</v>
      </c>
      <c r="BE3" s="1">
        <f t="shared" si="7"/>
        <v>0</v>
      </c>
      <c r="BF3" s="1">
        <f>BL3</f>
        <v>1</v>
      </c>
      <c r="BG3" s="1">
        <f>BM3</f>
        <v>0</v>
      </c>
      <c r="BH3" s="1">
        <f t="shared" ref="BH3:BI18" si="8">BN3</f>
        <v>0</v>
      </c>
      <c r="BI3" s="1">
        <f t="shared" si="8"/>
        <v>0</v>
      </c>
      <c r="BK3" s="1">
        <v>1</v>
      </c>
      <c r="BL3" s="1">
        <f t="shared" ref="BL3:BL34" si="9">AF3</f>
        <v>1</v>
      </c>
      <c r="BM3" s="1">
        <f t="shared" ref="BM3:BM34" si="10">AG3</f>
        <v>0</v>
      </c>
      <c r="BN3" s="1">
        <f t="shared" ref="BN3:BN52" si="11">AH3</f>
        <v>0</v>
      </c>
      <c r="BO3" s="1">
        <f t="shared" ref="BO3:BO52" si="12">AI3</f>
        <v>0</v>
      </c>
    </row>
    <row r="4" ht="15" spans="1:67">
      <c r="A4" s="1">
        <f t="shared" ref="A4:A52" si="13">A3+1</f>
        <v>2</v>
      </c>
      <c r="C4" s="4" t="str">
        <f>Cities_list!Z5</f>
        <v>Amsterdam</v>
      </c>
      <c r="D4" s="1">
        <f t="shared" ref="D4:D52" si="14">AS4</f>
        <v>1</v>
      </c>
      <c r="E4" s="1">
        <f t="shared" ref="E4:E52" si="15">IF($E$2=1,0,INDEX(AV4:BL4,$E$2))</f>
        <v>0</v>
      </c>
      <c r="F4" s="1">
        <f t="shared" ref="F4:F52" si="16">IF(A4=$F$2,3,IF(D4=0,0,IF(E4=1,2,1)))</f>
        <v>1</v>
      </c>
      <c r="G4" s="1">
        <f t="shared" ref="G4:G52" si="17">IF($G$2=1,0,INDEX(V4:AA4,$G$2))</f>
        <v>0</v>
      </c>
      <c r="H4" s="17">
        <f t="shared" ref="H4:H52" si="18">L4</f>
        <v>1</v>
      </c>
      <c r="I4" s="1" t="str">
        <f t="shared" ref="I4:I52" si="19">SUBSTITUTE(C4," ","")</f>
        <v>Amsterdam</v>
      </c>
      <c r="J4" s="27" t="str">
        <f t="shared" ref="J4:J52" si="20">C4</f>
        <v>Amsterdam</v>
      </c>
      <c r="K4" s="30">
        <f t="shared" ref="K4:K52" si="21">IF(A4=$O$3,3,IF(INDEX($U4:$AI4,$O$5)=0,0,IF(INDEX($U4:$AI4,$O$4)=1,2,1)))</f>
        <v>0</v>
      </c>
      <c r="L4" s="31">
        <v>1</v>
      </c>
      <c r="M4" s="32"/>
      <c r="N4" s="24" t="s">
        <v>952</v>
      </c>
      <c r="O4" s="23">
        <f>IF(uxb_works!B9=2,1,uxb_works!B9)</f>
        <v>1</v>
      </c>
      <c r="P4" s="24">
        <f>MATCH(1,X4:AI4,0)</f>
        <v>1</v>
      </c>
      <c r="Q4" s="24"/>
      <c r="S4" s="34" t="s">
        <v>962</v>
      </c>
      <c r="T4" s="24"/>
      <c r="U4" s="24">
        <v>0</v>
      </c>
      <c r="V4" s="1">
        <v>1</v>
      </c>
      <c r="W4" s="33">
        <v>0</v>
      </c>
      <c r="X4" s="33">
        <v>1</v>
      </c>
      <c r="Y4" s="33">
        <v>0</v>
      </c>
      <c r="Z4" s="33">
        <v>0</v>
      </c>
      <c r="AA4" s="33">
        <v>0</v>
      </c>
      <c r="AB4" s="44">
        <v>0</v>
      </c>
      <c r="AC4" s="45">
        <v>1</v>
      </c>
      <c r="AD4" s="45">
        <v>0</v>
      </c>
      <c r="AE4" s="49">
        <v>0</v>
      </c>
      <c r="AF4" s="43">
        <v>1</v>
      </c>
      <c r="AG4" s="43">
        <v>0</v>
      </c>
      <c r="AH4" s="43">
        <v>0</v>
      </c>
      <c r="AI4" s="43">
        <v>0</v>
      </c>
      <c r="AK4">
        <f>MATCH(1,AB4:AI4,0)</f>
        <v>2</v>
      </c>
      <c r="AL4" s="1">
        <f>MATCH(1,W4:AA4,0)</f>
        <v>2</v>
      </c>
      <c r="AM4" s="47"/>
      <c r="AP4" s="1">
        <f t="shared" ref="AP4:AP52" si="22">INDEX(V4:AA4,$AP$2)</f>
        <v>1</v>
      </c>
      <c r="AQ4" s="1">
        <f t="shared" ref="AQ4:AQ52" si="23">INDEX(AV4:BL4,$AQ$2)</f>
        <v>1</v>
      </c>
      <c r="AR4" s="1">
        <f t="shared" ref="AR4:AR52" si="24">INDEX(BK4:BP4,$AR$2)</f>
        <v>1</v>
      </c>
      <c r="AS4" s="1">
        <f t="shared" ref="AS4:AS52" si="25">IF(AND(AP4=1,AQ4=1,AR4=1),1,0)</f>
        <v>1</v>
      </c>
      <c r="AT4" s="1">
        <f t="shared" ref="AT4:AT52" si="26">IF(AND($AP$2=1,$AQ$2&lt;&gt;1),AQ4,IF(AND($AP$2&lt;&gt;1,$AQ$2=1),AP4,IF(AND($AP$2&lt;&gt;1,$AQ$2&lt;&gt;1),AS4,1)))</f>
        <v>1</v>
      </c>
      <c r="AV4" s="1">
        <v>1</v>
      </c>
      <c r="AW4" s="1">
        <f t="shared" si="6"/>
        <v>0</v>
      </c>
      <c r="AX4" s="1">
        <f t="shared" si="6"/>
        <v>1</v>
      </c>
      <c r="AY4" s="1">
        <f t="shared" si="6"/>
        <v>0</v>
      </c>
      <c r="AZ4" s="1">
        <f t="shared" si="6"/>
        <v>0</v>
      </c>
      <c r="BA4" s="1">
        <f t="shared" si="7"/>
        <v>0</v>
      </c>
      <c r="BB4" s="1">
        <f t="shared" si="7"/>
        <v>1</v>
      </c>
      <c r="BC4" s="1">
        <f t="shared" si="7"/>
        <v>0</v>
      </c>
      <c r="BD4" s="1">
        <f t="shared" si="7"/>
        <v>0</v>
      </c>
      <c r="BE4" s="1">
        <f t="shared" si="7"/>
        <v>0</v>
      </c>
      <c r="BF4" s="1">
        <f t="shared" ref="BF4:BF52" si="27">BL4</f>
        <v>1</v>
      </c>
      <c r="BG4" s="1">
        <f t="shared" ref="BG4:BG52" si="28">BM4</f>
        <v>0</v>
      </c>
      <c r="BH4" s="1">
        <f t="shared" si="8"/>
        <v>0</v>
      </c>
      <c r="BI4" s="1">
        <f t="shared" si="8"/>
        <v>0</v>
      </c>
      <c r="BK4" s="1">
        <v>1</v>
      </c>
      <c r="BL4" s="1">
        <f t="shared" si="9"/>
        <v>1</v>
      </c>
      <c r="BM4" s="1">
        <f t="shared" si="10"/>
        <v>0</v>
      </c>
      <c r="BN4" s="1">
        <f t="shared" si="11"/>
        <v>0</v>
      </c>
      <c r="BO4" s="1">
        <f t="shared" si="12"/>
        <v>0</v>
      </c>
    </row>
    <row r="5" ht="15" spans="1:67">
      <c r="A5" s="1">
        <f t="shared" si="13"/>
        <v>3</v>
      </c>
      <c r="C5" s="4" t="str">
        <f>Cities_list!Z6</f>
        <v>Bangkok</v>
      </c>
      <c r="D5" s="1">
        <f t="shared" si="14"/>
        <v>1</v>
      </c>
      <c r="E5" s="1">
        <f t="shared" si="15"/>
        <v>0</v>
      </c>
      <c r="F5" s="1">
        <f t="shared" si="16"/>
        <v>1</v>
      </c>
      <c r="G5" s="1">
        <f t="shared" si="17"/>
        <v>0</v>
      </c>
      <c r="H5" s="17">
        <f t="shared" si="18"/>
        <v>1</v>
      </c>
      <c r="I5" s="1" t="str">
        <f t="shared" si="19"/>
        <v>Bangkok</v>
      </c>
      <c r="J5" s="27" t="str">
        <f t="shared" si="20"/>
        <v>Bangkok</v>
      </c>
      <c r="K5" s="30">
        <f t="shared" si="21"/>
        <v>0</v>
      </c>
      <c r="L5" s="31">
        <v>1</v>
      </c>
      <c r="M5" s="32"/>
      <c r="N5" s="24" t="s">
        <v>984</v>
      </c>
      <c r="O5" s="23">
        <f>uxb_works!B10</f>
        <v>1</v>
      </c>
      <c r="P5" s="24">
        <f>MATCH(1,X5:AI5,0)</f>
        <v>7</v>
      </c>
      <c r="Q5" s="24"/>
      <c r="R5" s="24">
        <v>2</v>
      </c>
      <c r="S5" s="35" t="s">
        <v>963</v>
      </c>
      <c r="T5" s="32"/>
      <c r="U5" s="24">
        <v>0</v>
      </c>
      <c r="V5" s="1">
        <v>1</v>
      </c>
      <c r="W5" s="33">
        <v>1</v>
      </c>
      <c r="X5" s="33">
        <v>0</v>
      </c>
      <c r="Y5" s="33">
        <v>0</v>
      </c>
      <c r="Z5" s="33">
        <v>0</v>
      </c>
      <c r="AA5" s="33">
        <v>0</v>
      </c>
      <c r="AB5" s="44">
        <v>0</v>
      </c>
      <c r="AC5" s="45">
        <v>0</v>
      </c>
      <c r="AD5" s="45">
        <v>1</v>
      </c>
      <c r="AE5" s="49">
        <v>0</v>
      </c>
      <c r="AF5" s="43">
        <v>0</v>
      </c>
      <c r="AG5" s="43">
        <v>0</v>
      </c>
      <c r="AH5" s="43">
        <v>1</v>
      </c>
      <c r="AI5" s="43">
        <v>0</v>
      </c>
      <c r="AK5">
        <f t="shared" ref="AK5:AK52" si="29">MATCH(1,AB5:AI5,0)</f>
        <v>3</v>
      </c>
      <c r="AL5" s="1">
        <f t="shared" ref="AL5:AL52" si="30">MATCH(1,W5:AA5,0)</f>
        <v>1</v>
      </c>
      <c r="AM5" s="47"/>
      <c r="AP5" s="1">
        <f t="shared" si="22"/>
        <v>1</v>
      </c>
      <c r="AQ5" s="1">
        <f t="shared" si="23"/>
        <v>1</v>
      </c>
      <c r="AR5" s="1">
        <f t="shared" si="24"/>
        <v>1</v>
      </c>
      <c r="AS5" s="1">
        <f t="shared" si="25"/>
        <v>1</v>
      </c>
      <c r="AT5" s="1">
        <f t="shared" si="26"/>
        <v>1</v>
      </c>
      <c r="AV5" s="1">
        <v>1</v>
      </c>
      <c r="AW5" s="1">
        <f t="shared" si="6"/>
        <v>0</v>
      </c>
      <c r="AX5" s="1">
        <f t="shared" si="6"/>
        <v>0</v>
      </c>
      <c r="AY5" s="1">
        <f t="shared" si="6"/>
        <v>1</v>
      </c>
      <c r="AZ5" s="1">
        <f t="shared" si="6"/>
        <v>0</v>
      </c>
      <c r="BA5" s="1">
        <f t="shared" si="7"/>
        <v>1</v>
      </c>
      <c r="BB5" s="1">
        <f t="shared" si="7"/>
        <v>0</v>
      </c>
      <c r="BC5" s="1">
        <f t="shared" si="7"/>
        <v>0</v>
      </c>
      <c r="BD5" s="1">
        <f t="shared" si="7"/>
        <v>0</v>
      </c>
      <c r="BE5" s="1">
        <f t="shared" si="7"/>
        <v>0</v>
      </c>
      <c r="BF5" s="1">
        <f t="shared" si="27"/>
        <v>0</v>
      </c>
      <c r="BG5" s="1">
        <f t="shared" si="28"/>
        <v>0</v>
      </c>
      <c r="BH5" s="1">
        <f t="shared" si="8"/>
        <v>1</v>
      </c>
      <c r="BI5" s="1">
        <f t="shared" si="8"/>
        <v>0</v>
      </c>
      <c r="BK5" s="1">
        <v>1</v>
      </c>
      <c r="BL5" s="1">
        <f t="shared" si="9"/>
        <v>0</v>
      </c>
      <c r="BM5" s="1">
        <f t="shared" si="10"/>
        <v>0</v>
      </c>
      <c r="BN5" s="1">
        <f t="shared" si="11"/>
        <v>1</v>
      </c>
      <c r="BO5" s="1">
        <f t="shared" si="12"/>
        <v>0</v>
      </c>
    </row>
    <row r="6" ht="15" spans="1:67">
      <c r="A6" s="1">
        <f t="shared" si="13"/>
        <v>4</v>
      </c>
      <c r="C6" s="4" t="str">
        <f>Cities_list!Z7</f>
        <v>Barcelona</v>
      </c>
      <c r="D6" s="1">
        <f t="shared" si="14"/>
        <v>1</v>
      </c>
      <c r="E6" s="1">
        <f t="shared" si="15"/>
        <v>0</v>
      </c>
      <c r="F6" s="1">
        <f t="shared" si="16"/>
        <v>1</v>
      </c>
      <c r="G6" s="1">
        <f t="shared" si="17"/>
        <v>0</v>
      </c>
      <c r="H6" s="17">
        <f t="shared" si="18"/>
        <v>1</v>
      </c>
      <c r="I6" s="1" t="str">
        <f t="shared" si="19"/>
        <v>Barcelona</v>
      </c>
      <c r="J6" s="27" t="str">
        <f t="shared" si="20"/>
        <v>Barcelona</v>
      </c>
      <c r="K6" s="30">
        <f t="shared" si="21"/>
        <v>0</v>
      </c>
      <c r="L6" s="31">
        <v>1</v>
      </c>
      <c r="M6" s="32"/>
      <c r="N6" s="24"/>
      <c r="P6" s="24">
        <f>MATCH(1,X6:AI6,0)</f>
        <v>1</v>
      </c>
      <c r="Q6" s="24"/>
      <c r="R6" s="24">
        <v>3</v>
      </c>
      <c r="S6" s="36" t="s">
        <v>964</v>
      </c>
      <c r="T6" s="32"/>
      <c r="U6" s="24">
        <v>0</v>
      </c>
      <c r="V6" s="1">
        <v>1</v>
      </c>
      <c r="W6" s="33">
        <v>0</v>
      </c>
      <c r="X6" s="33">
        <v>1</v>
      </c>
      <c r="Y6" s="33">
        <v>0</v>
      </c>
      <c r="Z6" s="33">
        <v>0</v>
      </c>
      <c r="AA6" s="33">
        <v>0</v>
      </c>
      <c r="AB6" s="44">
        <v>0</v>
      </c>
      <c r="AC6" s="45">
        <v>1</v>
      </c>
      <c r="AD6" s="45">
        <v>0</v>
      </c>
      <c r="AE6" s="49">
        <v>0</v>
      </c>
      <c r="AF6" s="43">
        <v>0</v>
      </c>
      <c r="AG6" s="43">
        <v>1</v>
      </c>
      <c r="AH6" s="43">
        <v>0</v>
      </c>
      <c r="AI6" s="43">
        <v>0</v>
      </c>
      <c r="AK6">
        <f t="shared" si="29"/>
        <v>2</v>
      </c>
      <c r="AL6" s="1">
        <f t="shared" si="30"/>
        <v>2</v>
      </c>
      <c r="AM6" s="47"/>
      <c r="AP6" s="1">
        <f t="shared" si="22"/>
        <v>1</v>
      </c>
      <c r="AQ6" s="1">
        <f t="shared" si="23"/>
        <v>1</v>
      </c>
      <c r="AR6" s="1">
        <f t="shared" si="24"/>
        <v>1</v>
      </c>
      <c r="AS6" s="1">
        <f t="shared" si="25"/>
        <v>1</v>
      </c>
      <c r="AT6" s="1">
        <f t="shared" si="26"/>
        <v>1</v>
      </c>
      <c r="AV6" s="1">
        <v>1</v>
      </c>
      <c r="AW6" s="1">
        <f t="shared" si="6"/>
        <v>0</v>
      </c>
      <c r="AX6" s="1">
        <f t="shared" si="6"/>
        <v>1</v>
      </c>
      <c r="AY6" s="1">
        <f t="shared" si="6"/>
        <v>0</v>
      </c>
      <c r="AZ6" s="1">
        <f t="shared" si="6"/>
        <v>0</v>
      </c>
      <c r="BA6" s="1">
        <f t="shared" si="7"/>
        <v>0</v>
      </c>
      <c r="BB6" s="1">
        <f t="shared" si="7"/>
        <v>1</v>
      </c>
      <c r="BC6" s="1">
        <f t="shared" si="7"/>
        <v>0</v>
      </c>
      <c r="BD6" s="1">
        <f t="shared" si="7"/>
        <v>0</v>
      </c>
      <c r="BE6" s="1">
        <f t="shared" si="7"/>
        <v>0</v>
      </c>
      <c r="BF6" s="1">
        <f t="shared" si="27"/>
        <v>0</v>
      </c>
      <c r="BG6" s="1">
        <f t="shared" si="28"/>
        <v>1</v>
      </c>
      <c r="BH6" s="1">
        <f t="shared" si="8"/>
        <v>0</v>
      </c>
      <c r="BI6" s="1">
        <f t="shared" si="8"/>
        <v>0</v>
      </c>
      <c r="BK6" s="1">
        <v>1</v>
      </c>
      <c r="BL6" s="1">
        <f t="shared" si="9"/>
        <v>0</v>
      </c>
      <c r="BM6" s="1">
        <f t="shared" si="10"/>
        <v>1</v>
      </c>
      <c r="BN6" s="1">
        <f t="shared" si="11"/>
        <v>0</v>
      </c>
      <c r="BO6" s="1">
        <f t="shared" si="12"/>
        <v>0</v>
      </c>
    </row>
    <row r="7" ht="15" spans="1:67">
      <c r="A7" s="1">
        <f t="shared" si="13"/>
        <v>5</v>
      </c>
      <c r="C7" s="4" t="str">
        <f>Cities_list!Z8</f>
        <v>Beijing</v>
      </c>
      <c r="D7" s="1">
        <f t="shared" si="14"/>
        <v>1</v>
      </c>
      <c r="E7" s="1">
        <f t="shared" si="15"/>
        <v>0</v>
      </c>
      <c r="F7" s="1">
        <f t="shared" si="16"/>
        <v>1</v>
      </c>
      <c r="G7" s="1">
        <f t="shared" si="17"/>
        <v>0</v>
      </c>
      <c r="H7" s="17">
        <f t="shared" si="18"/>
        <v>1</v>
      </c>
      <c r="I7" s="1" t="str">
        <f t="shared" si="19"/>
        <v>Beijing</v>
      </c>
      <c r="J7" s="27" t="str">
        <f t="shared" si="20"/>
        <v>Beijing</v>
      </c>
      <c r="K7" s="30">
        <f t="shared" si="21"/>
        <v>0</v>
      </c>
      <c r="L7" s="31">
        <v>1</v>
      </c>
      <c r="M7" s="32"/>
      <c r="N7" s="24"/>
      <c r="P7" s="24">
        <f>MATCH(1,X7:AI7,0)</f>
        <v>7</v>
      </c>
      <c r="Q7" s="24"/>
      <c r="R7" s="24">
        <v>4</v>
      </c>
      <c r="S7" s="36" t="s">
        <v>965</v>
      </c>
      <c r="T7" s="32"/>
      <c r="U7" s="24">
        <v>0</v>
      </c>
      <c r="V7" s="1">
        <v>1</v>
      </c>
      <c r="W7" s="33">
        <v>1</v>
      </c>
      <c r="X7" s="33">
        <v>0</v>
      </c>
      <c r="Y7" s="33">
        <v>0</v>
      </c>
      <c r="Z7" s="33">
        <v>0</v>
      </c>
      <c r="AA7" s="33">
        <v>0</v>
      </c>
      <c r="AB7" s="44">
        <v>0</v>
      </c>
      <c r="AC7" s="45">
        <v>0</v>
      </c>
      <c r="AD7" s="45">
        <v>1</v>
      </c>
      <c r="AE7" s="49">
        <v>0</v>
      </c>
      <c r="AF7" s="43">
        <v>0</v>
      </c>
      <c r="AG7" s="43">
        <v>0</v>
      </c>
      <c r="AH7" s="43">
        <v>0</v>
      </c>
      <c r="AI7" s="43">
        <v>1</v>
      </c>
      <c r="AK7">
        <f t="shared" si="29"/>
        <v>3</v>
      </c>
      <c r="AL7" s="1">
        <f t="shared" si="30"/>
        <v>1</v>
      </c>
      <c r="AM7" s="47"/>
      <c r="AP7" s="1">
        <f t="shared" si="22"/>
        <v>1</v>
      </c>
      <c r="AQ7" s="1">
        <f t="shared" si="23"/>
        <v>1</v>
      </c>
      <c r="AR7" s="1">
        <f t="shared" si="24"/>
        <v>1</v>
      </c>
      <c r="AS7" s="1">
        <f t="shared" si="25"/>
        <v>1</v>
      </c>
      <c r="AT7" s="1">
        <f t="shared" si="26"/>
        <v>1</v>
      </c>
      <c r="AV7" s="1">
        <v>1</v>
      </c>
      <c r="AW7" s="1">
        <f t="shared" si="6"/>
        <v>0</v>
      </c>
      <c r="AX7" s="1">
        <f t="shared" si="6"/>
        <v>0</v>
      </c>
      <c r="AY7" s="1">
        <f t="shared" si="6"/>
        <v>1</v>
      </c>
      <c r="AZ7" s="1">
        <f t="shared" si="6"/>
        <v>0</v>
      </c>
      <c r="BA7" s="1">
        <f t="shared" si="7"/>
        <v>1</v>
      </c>
      <c r="BB7" s="1">
        <f t="shared" si="7"/>
        <v>0</v>
      </c>
      <c r="BC7" s="1">
        <f t="shared" si="7"/>
        <v>0</v>
      </c>
      <c r="BD7" s="1">
        <f t="shared" si="7"/>
        <v>0</v>
      </c>
      <c r="BE7" s="1">
        <f t="shared" si="7"/>
        <v>0</v>
      </c>
      <c r="BF7" s="1">
        <f t="shared" si="27"/>
        <v>0</v>
      </c>
      <c r="BG7" s="1">
        <f t="shared" si="28"/>
        <v>0</v>
      </c>
      <c r="BH7" s="1">
        <f t="shared" si="8"/>
        <v>0</v>
      </c>
      <c r="BI7" s="1">
        <f t="shared" si="8"/>
        <v>1</v>
      </c>
      <c r="BK7" s="1">
        <v>1</v>
      </c>
      <c r="BL7" s="1">
        <f t="shared" si="9"/>
        <v>0</v>
      </c>
      <c r="BM7" s="1">
        <f t="shared" si="10"/>
        <v>0</v>
      </c>
      <c r="BN7" s="1">
        <f t="shared" si="11"/>
        <v>0</v>
      </c>
      <c r="BO7" s="1">
        <f t="shared" si="12"/>
        <v>1</v>
      </c>
    </row>
    <row r="8" ht="15" spans="1:67">
      <c r="A8" s="1">
        <f t="shared" si="13"/>
        <v>6</v>
      </c>
      <c r="C8" s="4" t="str">
        <f>Cities_list!Z9</f>
        <v>Brussels</v>
      </c>
      <c r="D8" s="1">
        <f t="shared" si="14"/>
        <v>1</v>
      </c>
      <c r="E8" s="1">
        <f t="shared" si="15"/>
        <v>0</v>
      </c>
      <c r="F8" s="1">
        <f t="shared" si="16"/>
        <v>1</v>
      </c>
      <c r="G8" s="1">
        <f t="shared" si="17"/>
        <v>0</v>
      </c>
      <c r="H8" s="17">
        <f t="shared" si="18"/>
        <v>1</v>
      </c>
      <c r="I8" s="1" t="str">
        <f t="shared" si="19"/>
        <v>Brussels</v>
      </c>
      <c r="J8" s="27" t="str">
        <f t="shared" si="20"/>
        <v>Brussels</v>
      </c>
      <c r="K8" s="30">
        <f t="shared" si="21"/>
        <v>0</v>
      </c>
      <c r="L8" s="31">
        <v>1</v>
      </c>
      <c r="M8" s="32"/>
      <c r="N8" s="24"/>
      <c r="P8" s="24">
        <f t="shared" ref="P8:P52" si="31">MATCH(1,X8:AI8,0)</f>
        <v>1</v>
      </c>
      <c r="Q8" s="24"/>
      <c r="S8" s="35" t="s">
        <v>966</v>
      </c>
      <c r="T8" s="32"/>
      <c r="U8" s="24">
        <v>0</v>
      </c>
      <c r="V8" s="1">
        <v>1</v>
      </c>
      <c r="W8" s="33">
        <v>0</v>
      </c>
      <c r="X8" s="33">
        <v>1</v>
      </c>
      <c r="Y8" s="33">
        <v>0</v>
      </c>
      <c r="Z8" s="33">
        <v>0</v>
      </c>
      <c r="AA8" s="33">
        <v>0</v>
      </c>
      <c r="AB8" s="44">
        <v>0</v>
      </c>
      <c r="AC8" s="45">
        <v>1</v>
      </c>
      <c r="AD8" s="45">
        <v>0</v>
      </c>
      <c r="AE8" s="49">
        <v>0</v>
      </c>
      <c r="AF8" s="43">
        <v>1</v>
      </c>
      <c r="AG8" s="43">
        <v>0</v>
      </c>
      <c r="AH8" s="43">
        <v>0</v>
      </c>
      <c r="AI8" s="43">
        <v>0</v>
      </c>
      <c r="AK8">
        <f t="shared" si="29"/>
        <v>2</v>
      </c>
      <c r="AL8" s="1">
        <f t="shared" si="30"/>
        <v>2</v>
      </c>
      <c r="AM8" s="47"/>
      <c r="AP8" s="1">
        <f t="shared" si="22"/>
        <v>1</v>
      </c>
      <c r="AQ8" s="1">
        <f t="shared" si="23"/>
        <v>1</v>
      </c>
      <c r="AR8" s="1">
        <f t="shared" si="24"/>
        <v>1</v>
      </c>
      <c r="AS8" s="1">
        <f t="shared" si="25"/>
        <v>1</v>
      </c>
      <c r="AT8" s="1">
        <f t="shared" si="26"/>
        <v>1</v>
      </c>
      <c r="AV8" s="1">
        <v>1</v>
      </c>
      <c r="AW8" s="1">
        <f t="shared" si="6"/>
        <v>0</v>
      </c>
      <c r="AX8" s="1">
        <f t="shared" si="6"/>
        <v>1</v>
      </c>
      <c r="AY8" s="1">
        <f t="shared" si="6"/>
        <v>0</v>
      </c>
      <c r="AZ8" s="1">
        <f t="shared" si="6"/>
        <v>0</v>
      </c>
      <c r="BA8" s="1">
        <f t="shared" si="7"/>
        <v>0</v>
      </c>
      <c r="BB8" s="1">
        <f t="shared" si="7"/>
        <v>1</v>
      </c>
      <c r="BC8" s="1">
        <f t="shared" si="7"/>
        <v>0</v>
      </c>
      <c r="BD8" s="1">
        <f t="shared" si="7"/>
        <v>0</v>
      </c>
      <c r="BE8" s="1">
        <f t="shared" si="7"/>
        <v>0</v>
      </c>
      <c r="BF8" s="1">
        <f t="shared" si="27"/>
        <v>1</v>
      </c>
      <c r="BG8" s="1">
        <f t="shared" si="28"/>
        <v>0</v>
      </c>
      <c r="BH8" s="1">
        <f t="shared" si="8"/>
        <v>0</v>
      </c>
      <c r="BI8" s="1">
        <f t="shared" si="8"/>
        <v>0</v>
      </c>
      <c r="BK8" s="1">
        <v>1</v>
      </c>
      <c r="BL8" s="1">
        <f t="shared" si="9"/>
        <v>1</v>
      </c>
      <c r="BM8" s="1">
        <f t="shared" si="10"/>
        <v>0</v>
      </c>
      <c r="BN8" s="1">
        <f t="shared" si="11"/>
        <v>0</v>
      </c>
      <c r="BO8" s="1">
        <f t="shared" si="12"/>
        <v>0</v>
      </c>
    </row>
    <row r="9" ht="15" spans="1:67">
      <c r="A9" s="1">
        <f t="shared" si="13"/>
        <v>7</v>
      </c>
      <c r="C9" s="4" t="str">
        <f>Cities_list!Z10</f>
        <v>Buenos Aires</v>
      </c>
      <c r="D9" s="1">
        <f t="shared" si="14"/>
        <v>1</v>
      </c>
      <c r="E9" s="1">
        <f t="shared" si="15"/>
        <v>0</v>
      </c>
      <c r="F9" s="1">
        <f t="shared" si="16"/>
        <v>1</v>
      </c>
      <c r="G9" s="1">
        <f t="shared" si="17"/>
        <v>0</v>
      </c>
      <c r="H9" s="17">
        <f t="shared" si="18"/>
        <v>1</v>
      </c>
      <c r="I9" s="1" t="str">
        <f t="shared" si="19"/>
        <v>BuenosAires</v>
      </c>
      <c r="J9" s="27" t="str">
        <f t="shared" si="20"/>
        <v>Buenos Aires</v>
      </c>
      <c r="K9" s="30">
        <f t="shared" si="21"/>
        <v>0</v>
      </c>
      <c r="L9" s="31">
        <v>1</v>
      </c>
      <c r="M9" s="32"/>
      <c r="N9" s="24"/>
      <c r="P9" s="24">
        <f t="shared" si="31"/>
        <v>2</v>
      </c>
      <c r="Q9" s="24"/>
      <c r="S9" s="36" t="s">
        <v>967</v>
      </c>
      <c r="T9" s="32"/>
      <c r="U9" s="24">
        <v>0</v>
      </c>
      <c r="V9" s="1">
        <v>1</v>
      </c>
      <c r="W9" s="33">
        <v>0</v>
      </c>
      <c r="X9" s="33">
        <v>0</v>
      </c>
      <c r="Y9" s="33">
        <v>1</v>
      </c>
      <c r="Z9" s="33">
        <v>0</v>
      </c>
      <c r="AA9" s="33">
        <v>0</v>
      </c>
      <c r="AB9" s="44">
        <v>0</v>
      </c>
      <c r="AC9" s="45">
        <v>0</v>
      </c>
      <c r="AD9" s="45">
        <v>1</v>
      </c>
      <c r="AE9" s="49">
        <v>0</v>
      </c>
      <c r="AF9" s="43">
        <v>0</v>
      </c>
      <c r="AG9" s="43">
        <v>0</v>
      </c>
      <c r="AH9" s="43">
        <v>0</v>
      </c>
      <c r="AI9" s="43">
        <v>1</v>
      </c>
      <c r="AK9">
        <f t="shared" si="29"/>
        <v>3</v>
      </c>
      <c r="AL9" s="1">
        <f t="shared" si="30"/>
        <v>3</v>
      </c>
      <c r="AM9" s="47"/>
      <c r="AP9" s="1">
        <f t="shared" si="22"/>
        <v>1</v>
      </c>
      <c r="AQ9" s="1">
        <f t="shared" si="23"/>
        <v>1</v>
      </c>
      <c r="AR9" s="1">
        <f t="shared" si="24"/>
        <v>1</v>
      </c>
      <c r="AS9" s="1">
        <f t="shared" si="25"/>
        <v>1</v>
      </c>
      <c r="AT9" s="1">
        <f t="shared" si="26"/>
        <v>1</v>
      </c>
      <c r="AV9" s="1">
        <v>1</v>
      </c>
      <c r="AW9" s="1">
        <f t="shared" si="6"/>
        <v>0</v>
      </c>
      <c r="AX9" s="1">
        <f t="shared" si="6"/>
        <v>0</v>
      </c>
      <c r="AY9" s="1">
        <f t="shared" si="6"/>
        <v>1</v>
      </c>
      <c r="AZ9" s="1">
        <f t="shared" si="6"/>
        <v>0</v>
      </c>
      <c r="BA9" s="1">
        <f t="shared" si="7"/>
        <v>0</v>
      </c>
      <c r="BB9" s="1">
        <f t="shared" si="7"/>
        <v>0</v>
      </c>
      <c r="BC9" s="1">
        <f t="shared" si="7"/>
        <v>1</v>
      </c>
      <c r="BD9" s="1">
        <f t="shared" si="7"/>
        <v>0</v>
      </c>
      <c r="BE9" s="1">
        <f t="shared" si="7"/>
        <v>0</v>
      </c>
      <c r="BF9" s="1">
        <f t="shared" si="27"/>
        <v>0</v>
      </c>
      <c r="BG9" s="1">
        <f t="shared" si="28"/>
        <v>0</v>
      </c>
      <c r="BH9" s="1">
        <f t="shared" si="8"/>
        <v>0</v>
      </c>
      <c r="BI9" s="1">
        <f t="shared" si="8"/>
        <v>1</v>
      </c>
      <c r="BK9" s="1">
        <v>1</v>
      </c>
      <c r="BL9" s="1">
        <f t="shared" si="9"/>
        <v>0</v>
      </c>
      <c r="BM9" s="1">
        <f t="shared" si="10"/>
        <v>0</v>
      </c>
      <c r="BN9" s="1">
        <f t="shared" si="11"/>
        <v>0</v>
      </c>
      <c r="BO9" s="1">
        <f t="shared" si="12"/>
        <v>1</v>
      </c>
    </row>
    <row r="10" ht="15" spans="1:67">
      <c r="A10" s="1">
        <f t="shared" si="13"/>
        <v>8</v>
      </c>
      <c r="C10" s="4" t="str">
        <f>Cities_list!Z11</f>
        <v>Chicago</v>
      </c>
      <c r="D10" s="1">
        <f t="shared" si="14"/>
        <v>1</v>
      </c>
      <c r="E10" s="1">
        <f t="shared" si="15"/>
        <v>0</v>
      </c>
      <c r="F10" s="1">
        <f t="shared" si="16"/>
        <v>1</v>
      </c>
      <c r="G10" s="1">
        <f t="shared" si="17"/>
        <v>0</v>
      </c>
      <c r="H10" s="17">
        <f t="shared" si="18"/>
        <v>1</v>
      </c>
      <c r="I10" s="1" t="str">
        <f t="shared" si="19"/>
        <v>Chicago</v>
      </c>
      <c r="J10" s="27" t="str">
        <f t="shared" si="20"/>
        <v>Chicago</v>
      </c>
      <c r="K10" s="30">
        <f t="shared" si="21"/>
        <v>0</v>
      </c>
      <c r="L10" s="31">
        <v>1</v>
      </c>
      <c r="M10" s="32"/>
      <c r="N10" s="24"/>
      <c r="P10" s="24">
        <f t="shared" si="31"/>
        <v>4</v>
      </c>
      <c r="Q10" s="24"/>
      <c r="S10" s="37" t="s">
        <v>968</v>
      </c>
      <c r="T10" s="32"/>
      <c r="U10" s="24">
        <v>0</v>
      </c>
      <c r="V10" s="1">
        <v>1</v>
      </c>
      <c r="W10" s="33">
        <v>0</v>
      </c>
      <c r="X10" s="33">
        <v>0</v>
      </c>
      <c r="Y10" s="33">
        <v>0</v>
      </c>
      <c r="Z10" s="33">
        <v>0</v>
      </c>
      <c r="AA10" s="33">
        <v>1</v>
      </c>
      <c r="AB10" s="44">
        <v>1</v>
      </c>
      <c r="AC10" s="45">
        <v>0</v>
      </c>
      <c r="AD10" s="45">
        <v>0</v>
      </c>
      <c r="AE10" s="49">
        <v>0</v>
      </c>
      <c r="AF10" s="43">
        <v>0</v>
      </c>
      <c r="AG10" s="43">
        <v>1</v>
      </c>
      <c r="AH10" s="43">
        <v>0</v>
      </c>
      <c r="AI10" s="43">
        <v>0</v>
      </c>
      <c r="AK10">
        <f t="shared" si="29"/>
        <v>1</v>
      </c>
      <c r="AL10" s="1">
        <f t="shared" si="30"/>
        <v>5</v>
      </c>
      <c r="AM10" s="47"/>
      <c r="AP10" s="1">
        <f t="shared" si="22"/>
        <v>1</v>
      </c>
      <c r="AQ10" s="1">
        <f t="shared" si="23"/>
        <v>1</v>
      </c>
      <c r="AR10" s="1">
        <f t="shared" si="24"/>
        <v>1</v>
      </c>
      <c r="AS10" s="1">
        <f t="shared" si="25"/>
        <v>1</v>
      </c>
      <c r="AT10" s="1">
        <f t="shared" si="26"/>
        <v>1</v>
      </c>
      <c r="AV10" s="1">
        <v>1</v>
      </c>
      <c r="AW10" s="1">
        <f t="shared" si="6"/>
        <v>1</v>
      </c>
      <c r="AX10" s="1">
        <f t="shared" si="6"/>
        <v>0</v>
      </c>
      <c r="AY10" s="1">
        <f t="shared" si="6"/>
        <v>0</v>
      </c>
      <c r="AZ10" s="1">
        <f t="shared" si="6"/>
        <v>0</v>
      </c>
      <c r="BA10" s="1">
        <f t="shared" si="7"/>
        <v>0</v>
      </c>
      <c r="BB10" s="1">
        <f t="shared" si="7"/>
        <v>0</v>
      </c>
      <c r="BC10" s="1">
        <f t="shared" si="7"/>
        <v>0</v>
      </c>
      <c r="BD10" s="1">
        <f t="shared" si="7"/>
        <v>0</v>
      </c>
      <c r="BE10" s="1">
        <f t="shared" si="7"/>
        <v>1</v>
      </c>
      <c r="BF10" s="1">
        <f t="shared" si="27"/>
        <v>0</v>
      </c>
      <c r="BG10" s="1">
        <f t="shared" si="28"/>
        <v>1</v>
      </c>
      <c r="BH10" s="1">
        <f t="shared" si="8"/>
        <v>0</v>
      </c>
      <c r="BI10" s="1">
        <f t="shared" si="8"/>
        <v>0</v>
      </c>
      <c r="BK10" s="1">
        <v>1</v>
      </c>
      <c r="BL10" s="1">
        <f t="shared" si="9"/>
        <v>0</v>
      </c>
      <c r="BM10" s="1">
        <f t="shared" si="10"/>
        <v>1</v>
      </c>
      <c r="BN10" s="1">
        <f t="shared" si="11"/>
        <v>0</v>
      </c>
      <c r="BO10" s="1">
        <f t="shared" si="12"/>
        <v>0</v>
      </c>
    </row>
    <row r="11" ht="15" spans="1:67">
      <c r="A11" s="1">
        <f t="shared" si="13"/>
        <v>9</v>
      </c>
      <c r="C11" s="4" t="str">
        <f>Cities_list!Z12</f>
        <v>Delhi</v>
      </c>
      <c r="D11" s="1">
        <f t="shared" si="14"/>
        <v>1</v>
      </c>
      <c r="E11" s="1">
        <f t="shared" si="15"/>
        <v>0</v>
      </c>
      <c r="F11" s="1">
        <f t="shared" si="16"/>
        <v>1</v>
      </c>
      <c r="G11" s="1">
        <f t="shared" si="17"/>
        <v>0</v>
      </c>
      <c r="H11" s="17">
        <f t="shared" si="18"/>
        <v>1</v>
      </c>
      <c r="I11" s="1" t="str">
        <f t="shared" si="19"/>
        <v>Delhi</v>
      </c>
      <c r="J11" s="27" t="str">
        <f t="shared" si="20"/>
        <v>Delhi</v>
      </c>
      <c r="K11" s="30">
        <f t="shared" si="21"/>
        <v>0</v>
      </c>
      <c r="L11" s="31">
        <v>1</v>
      </c>
      <c r="M11" s="32"/>
      <c r="N11" s="24"/>
      <c r="P11" s="24">
        <f t="shared" ref="P11" si="32">MATCH(1,X11:AI11,0)</f>
        <v>8</v>
      </c>
      <c r="Q11" s="24"/>
      <c r="S11" s="37" t="s">
        <v>969</v>
      </c>
      <c r="T11" s="32"/>
      <c r="U11" s="24">
        <v>0</v>
      </c>
      <c r="V11" s="1">
        <v>1</v>
      </c>
      <c r="W11" s="33">
        <v>1</v>
      </c>
      <c r="X11" s="33">
        <v>0</v>
      </c>
      <c r="Y11" s="33">
        <v>0</v>
      </c>
      <c r="Z11" s="33">
        <v>0</v>
      </c>
      <c r="AA11" s="33">
        <v>0</v>
      </c>
      <c r="AB11" s="44">
        <v>0</v>
      </c>
      <c r="AC11" s="45">
        <v>0</v>
      </c>
      <c r="AD11" s="45">
        <v>0</v>
      </c>
      <c r="AE11" s="49">
        <v>1</v>
      </c>
      <c r="AF11" s="43">
        <v>0</v>
      </c>
      <c r="AG11" s="43">
        <v>0</v>
      </c>
      <c r="AH11" s="43">
        <v>0</v>
      </c>
      <c r="AI11" s="43">
        <v>1</v>
      </c>
      <c r="AK11">
        <f t="shared" ref="AK11" si="33">MATCH(1,AB11:AI11,0)</f>
        <v>4</v>
      </c>
      <c r="AL11" s="1">
        <f t="shared" ref="AL11" si="34">MATCH(1,W11:AA11,0)</f>
        <v>1</v>
      </c>
      <c r="AM11" s="47"/>
      <c r="AP11" s="1">
        <f t="shared" si="22"/>
        <v>1</v>
      </c>
      <c r="AQ11" s="1">
        <f t="shared" si="23"/>
        <v>1</v>
      </c>
      <c r="AR11" s="1">
        <f t="shared" si="24"/>
        <v>1</v>
      </c>
      <c r="AS11" s="1">
        <f t="shared" si="25"/>
        <v>1</v>
      </c>
      <c r="AT11" s="1">
        <f t="shared" si="26"/>
        <v>1</v>
      </c>
      <c r="AV11" s="1">
        <v>1</v>
      </c>
      <c r="AW11" s="1">
        <f>AB11</f>
        <v>0</v>
      </c>
      <c r="AX11" s="1">
        <f t="shared" ref="AX11" si="35">AC11</f>
        <v>0</v>
      </c>
      <c r="AY11" s="1">
        <f t="shared" ref="AY11" si="36">AD11</f>
        <v>0</v>
      </c>
      <c r="AZ11" s="1">
        <f t="shared" ref="AZ11" si="37">AE11</f>
        <v>1</v>
      </c>
      <c r="BA11" s="1">
        <f>W11</f>
        <v>1</v>
      </c>
      <c r="BB11" s="1">
        <f t="shared" ref="BB11" si="38">X11</f>
        <v>0</v>
      </c>
      <c r="BC11" s="1">
        <f t="shared" ref="BC11" si="39">Y11</f>
        <v>0</v>
      </c>
      <c r="BD11" s="1">
        <f t="shared" ref="BD11" si="40">Z11</f>
        <v>0</v>
      </c>
      <c r="BE11" s="1">
        <f t="shared" ref="BE11" si="41">AA11</f>
        <v>0</v>
      </c>
      <c r="BF11" s="1">
        <f t="shared" si="27"/>
        <v>0</v>
      </c>
      <c r="BG11" s="1">
        <f t="shared" si="28"/>
        <v>0</v>
      </c>
      <c r="BH11" s="1">
        <f t="shared" si="8"/>
        <v>0</v>
      </c>
      <c r="BI11" s="1">
        <f t="shared" si="8"/>
        <v>1</v>
      </c>
      <c r="BK11" s="1">
        <v>1</v>
      </c>
      <c r="BL11" s="1">
        <f t="shared" si="9"/>
        <v>0</v>
      </c>
      <c r="BM11" s="1">
        <f t="shared" si="10"/>
        <v>0</v>
      </c>
      <c r="BN11" s="1">
        <f t="shared" si="11"/>
        <v>0</v>
      </c>
      <c r="BO11" s="1">
        <f t="shared" si="12"/>
        <v>1</v>
      </c>
    </row>
    <row r="12" ht="15" spans="1:67">
      <c r="A12" s="1">
        <f t="shared" si="13"/>
        <v>10</v>
      </c>
      <c r="C12" s="4" t="str">
        <f>Cities_list!Z13</f>
        <v>Doha</v>
      </c>
      <c r="D12" s="1">
        <f t="shared" si="14"/>
        <v>1</v>
      </c>
      <c r="E12" s="1">
        <f t="shared" si="15"/>
        <v>0</v>
      </c>
      <c r="F12" s="1">
        <f t="shared" si="16"/>
        <v>1</v>
      </c>
      <c r="G12" s="1">
        <f t="shared" si="17"/>
        <v>0</v>
      </c>
      <c r="H12" s="17">
        <f t="shared" si="18"/>
        <v>1</v>
      </c>
      <c r="I12" s="1" t="str">
        <f t="shared" si="19"/>
        <v>Doha</v>
      </c>
      <c r="J12" s="27" t="str">
        <f t="shared" si="20"/>
        <v>Doha</v>
      </c>
      <c r="K12" s="30">
        <f t="shared" si="21"/>
        <v>0</v>
      </c>
      <c r="L12" s="31">
        <v>1</v>
      </c>
      <c r="M12" s="32"/>
      <c r="N12" s="24"/>
      <c r="P12" s="24">
        <f t="shared" ref="P12" si="42">MATCH(1,X12:AI12,0)</f>
        <v>3</v>
      </c>
      <c r="Q12" s="24"/>
      <c r="S12" s="37" t="s">
        <v>970</v>
      </c>
      <c r="T12" s="32"/>
      <c r="U12" s="24">
        <v>0</v>
      </c>
      <c r="V12" s="1">
        <v>1</v>
      </c>
      <c r="W12" s="33">
        <v>0</v>
      </c>
      <c r="X12" s="33">
        <v>0</v>
      </c>
      <c r="Y12" s="33">
        <v>0</v>
      </c>
      <c r="Z12" s="33">
        <v>1</v>
      </c>
      <c r="AA12" s="33">
        <v>0</v>
      </c>
      <c r="AB12" s="44">
        <v>1</v>
      </c>
      <c r="AC12" s="45">
        <v>0</v>
      </c>
      <c r="AD12" s="45">
        <v>0</v>
      </c>
      <c r="AE12" s="49">
        <v>0</v>
      </c>
      <c r="AF12" s="43">
        <v>1</v>
      </c>
      <c r="AG12" s="43">
        <v>0</v>
      </c>
      <c r="AH12" s="43">
        <v>0</v>
      </c>
      <c r="AI12" s="43">
        <v>0</v>
      </c>
      <c r="AK12">
        <f t="shared" ref="AK12" si="43">MATCH(1,AB12:AI12,0)</f>
        <v>1</v>
      </c>
      <c r="AL12" s="1">
        <f t="shared" ref="AL12" si="44">MATCH(1,W12:AA12,0)</f>
        <v>4</v>
      </c>
      <c r="AM12" s="47"/>
      <c r="AP12" s="1">
        <f t="shared" ref="AP12" si="45">INDEX(V12:AA12,$AP$2)</f>
        <v>1</v>
      </c>
      <c r="AQ12" s="1">
        <f t="shared" ref="AQ12" si="46">INDEX(AV12:BL12,$AQ$2)</f>
        <v>1</v>
      </c>
      <c r="AR12" s="1">
        <f t="shared" si="24"/>
        <v>1</v>
      </c>
      <c r="AS12" s="1">
        <f t="shared" si="25"/>
        <v>1</v>
      </c>
      <c r="AT12" s="1">
        <f t="shared" ref="AT12" si="47">IF(AND($AP$2=1,$AQ$2&lt;&gt;1),AQ12,IF(AND($AP$2&lt;&gt;1,$AQ$2=1),AP12,IF(AND($AP$2&lt;&gt;1,$AQ$2&lt;&gt;1),AS12,1)))</f>
        <v>1</v>
      </c>
      <c r="AV12" s="1">
        <v>1</v>
      </c>
      <c r="AW12" s="1">
        <f t="shared" ref="AW12" si="48">AB12</f>
        <v>1</v>
      </c>
      <c r="AX12" s="1">
        <f t="shared" ref="AX12" si="49">AC12</f>
        <v>0</v>
      </c>
      <c r="AY12" s="1">
        <f t="shared" ref="AY12" si="50">AD12</f>
        <v>0</v>
      </c>
      <c r="AZ12" s="1">
        <f t="shared" ref="AZ12" si="51">AE12</f>
        <v>0</v>
      </c>
      <c r="BA12" s="1">
        <f t="shared" ref="BA12" si="52">W12</f>
        <v>0</v>
      </c>
      <c r="BB12" s="1">
        <f t="shared" ref="BB12" si="53">X12</f>
        <v>0</v>
      </c>
      <c r="BC12" s="1">
        <f t="shared" ref="BC12" si="54">Y12</f>
        <v>0</v>
      </c>
      <c r="BD12" s="1">
        <f t="shared" ref="BD12" si="55">Z12</f>
        <v>1</v>
      </c>
      <c r="BE12" s="1">
        <f t="shared" ref="BE12" si="56">AA12</f>
        <v>0</v>
      </c>
      <c r="BF12" s="1">
        <f t="shared" si="27"/>
        <v>1</v>
      </c>
      <c r="BG12" s="1">
        <f t="shared" si="28"/>
        <v>0</v>
      </c>
      <c r="BH12" s="1">
        <f t="shared" si="8"/>
        <v>0</v>
      </c>
      <c r="BI12" s="1">
        <f t="shared" si="8"/>
        <v>0</v>
      </c>
      <c r="BK12" s="1">
        <v>1</v>
      </c>
      <c r="BL12" s="1">
        <f t="shared" si="9"/>
        <v>1</v>
      </c>
      <c r="BM12" s="1">
        <f t="shared" si="10"/>
        <v>0</v>
      </c>
      <c r="BN12" s="1">
        <f t="shared" si="11"/>
        <v>0</v>
      </c>
      <c r="BO12" s="1">
        <f t="shared" si="12"/>
        <v>0</v>
      </c>
    </row>
    <row r="13" ht="15" spans="1:67">
      <c r="A13" s="1">
        <f t="shared" si="13"/>
        <v>11</v>
      </c>
      <c r="C13" s="4" t="str">
        <f>Cities_list!Z14</f>
        <v>Frankfurt</v>
      </c>
      <c r="D13" s="1">
        <f t="shared" si="14"/>
        <v>1</v>
      </c>
      <c r="E13" s="1">
        <f t="shared" si="15"/>
        <v>0</v>
      </c>
      <c r="F13" s="1">
        <f t="shared" si="16"/>
        <v>1</v>
      </c>
      <c r="G13" s="1">
        <f t="shared" si="17"/>
        <v>0</v>
      </c>
      <c r="H13" s="17">
        <f t="shared" si="18"/>
        <v>1</v>
      </c>
      <c r="I13" s="1" t="str">
        <f t="shared" si="19"/>
        <v>Frankfurt</v>
      </c>
      <c r="J13" s="27" t="str">
        <f t="shared" si="20"/>
        <v>Frankfurt</v>
      </c>
      <c r="K13" s="30">
        <f t="shared" si="21"/>
        <v>0</v>
      </c>
      <c r="L13" s="31">
        <v>1</v>
      </c>
      <c r="M13" s="32"/>
      <c r="N13" s="24"/>
      <c r="P13" s="24">
        <f t="shared" si="31"/>
        <v>1</v>
      </c>
      <c r="Q13" s="24"/>
      <c r="S13" t="s">
        <v>971</v>
      </c>
      <c r="T13" s="32"/>
      <c r="U13" s="24">
        <v>0</v>
      </c>
      <c r="V13" s="1">
        <v>1</v>
      </c>
      <c r="W13" s="33">
        <v>0</v>
      </c>
      <c r="X13" s="33">
        <v>1</v>
      </c>
      <c r="Y13" s="33">
        <v>0</v>
      </c>
      <c r="Z13" s="33">
        <v>0</v>
      </c>
      <c r="AA13" s="33">
        <v>0</v>
      </c>
      <c r="AB13" s="44">
        <v>0</v>
      </c>
      <c r="AC13" s="45">
        <v>1</v>
      </c>
      <c r="AD13" s="45">
        <v>0</v>
      </c>
      <c r="AE13" s="49">
        <v>0</v>
      </c>
      <c r="AF13" s="43">
        <v>1</v>
      </c>
      <c r="AG13" s="43">
        <v>0</v>
      </c>
      <c r="AH13" s="43">
        <v>0</v>
      </c>
      <c r="AI13" s="43">
        <v>0</v>
      </c>
      <c r="AK13">
        <f t="shared" si="29"/>
        <v>2</v>
      </c>
      <c r="AL13" s="1">
        <f t="shared" si="30"/>
        <v>2</v>
      </c>
      <c r="AM13" s="47"/>
      <c r="AP13" s="1">
        <f t="shared" si="22"/>
        <v>1</v>
      </c>
      <c r="AQ13" s="1">
        <f t="shared" si="23"/>
        <v>1</v>
      </c>
      <c r="AR13" s="1">
        <f t="shared" si="24"/>
        <v>1</v>
      </c>
      <c r="AS13" s="1">
        <f t="shared" si="25"/>
        <v>1</v>
      </c>
      <c r="AT13" s="1">
        <f t="shared" si="26"/>
        <v>1</v>
      </c>
      <c r="AV13" s="1">
        <v>1</v>
      </c>
      <c r="AW13" s="1">
        <f t="shared" ref="AW13:AW35" si="57">AB13</f>
        <v>0</v>
      </c>
      <c r="AX13" s="1">
        <f t="shared" ref="AX13:AX35" si="58">AC13</f>
        <v>1</v>
      </c>
      <c r="AY13" s="1">
        <f t="shared" ref="AY13:AY35" si="59">AD13</f>
        <v>0</v>
      </c>
      <c r="AZ13" s="1">
        <f t="shared" ref="AZ13:AZ35" si="60">AE13</f>
        <v>0</v>
      </c>
      <c r="BA13" s="1">
        <f t="shared" ref="BA13:BA35" si="61">W13</f>
        <v>0</v>
      </c>
      <c r="BB13" s="1">
        <f t="shared" ref="BB13:BB35" si="62">X13</f>
        <v>1</v>
      </c>
      <c r="BC13" s="1">
        <f t="shared" ref="BC13:BC35" si="63">Y13</f>
        <v>0</v>
      </c>
      <c r="BD13" s="1">
        <f t="shared" ref="BD13:BD35" si="64">Z13</f>
        <v>0</v>
      </c>
      <c r="BE13" s="1">
        <f t="shared" ref="BE13:BE35" si="65">AA13</f>
        <v>0</v>
      </c>
      <c r="BF13" s="1">
        <f t="shared" si="27"/>
        <v>1</v>
      </c>
      <c r="BG13" s="1">
        <f t="shared" si="28"/>
        <v>0</v>
      </c>
      <c r="BH13" s="1">
        <f t="shared" si="8"/>
        <v>0</v>
      </c>
      <c r="BI13" s="1">
        <f t="shared" si="8"/>
        <v>0</v>
      </c>
      <c r="BK13" s="1">
        <v>1</v>
      </c>
      <c r="BL13" s="1">
        <f t="shared" si="9"/>
        <v>1</v>
      </c>
      <c r="BM13" s="1">
        <f t="shared" si="10"/>
        <v>0</v>
      </c>
      <c r="BN13" s="1">
        <f t="shared" si="11"/>
        <v>0</v>
      </c>
      <c r="BO13" s="1">
        <f t="shared" si="12"/>
        <v>0</v>
      </c>
    </row>
    <row r="14" ht="15" spans="1:67">
      <c r="A14" s="1">
        <f t="shared" si="13"/>
        <v>12</v>
      </c>
      <c r="C14" s="4" t="str">
        <f>Cities_list!Z15</f>
        <v>Guangzhou</v>
      </c>
      <c r="D14" s="1">
        <f t="shared" si="14"/>
        <v>1</v>
      </c>
      <c r="E14" s="1">
        <f t="shared" si="15"/>
        <v>0</v>
      </c>
      <c r="F14" s="1">
        <f t="shared" si="16"/>
        <v>1</v>
      </c>
      <c r="G14" s="1">
        <f t="shared" si="17"/>
        <v>0</v>
      </c>
      <c r="H14" s="17">
        <f t="shared" si="18"/>
        <v>1</v>
      </c>
      <c r="I14" s="1" t="str">
        <f t="shared" si="19"/>
        <v>Guangzhou</v>
      </c>
      <c r="J14" s="27" t="str">
        <f t="shared" si="20"/>
        <v>Guangzhou</v>
      </c>
      <c r="K14" s="30">
        <f t="shared" si="21"/>
        <v>0</v>
      </c>
      <c r="L14" s="31">
        <v>1</v>
      </c>
      <c r="M14" s="32"/>
      <c r="N14" s="24"/>
      <c r="P14" s="24">
        <f t="shared" si="31"/>
        <v>7</v>
      </c>
      <c r="Q14" s="24"/>
      <c r="S14" s="38" t="s">
        <v>985</v>
      </c>
      <c r="T14" s="32"/>
      <c r="U14" s="24">
        <v>0</v>
      </c>
      <c r="V14" s="1">
        <v>1</v>
      </c>
      <c r="W14" s="33">
        <v>1</v>
      </c>
      <c r="X14" s="33">
        <v>0</v>
      </c>
      <c r="Y14" s="33">
        <v>0</v>
      </c>
      <c r="Z14" s="33">
        <v>0</v>
      </c>
      <c r="AA14" s="33">
        <v>0</v>
      </c>
      <c r="AB14" s="44">
        <v>0</v>
      </c>
      <c r="AC14" s="45">
        <v>0</v>
      </c>
      <c r="AD14" s="45">
        <v>1</v>
      </c>
      <c r="AE14" s="49">
        <v>0</v>
      </c>
      <c r="AF14" s="43">
        <v>0</v>
      </c>
      <c r="AG14" s="43">
        <v>0</v>
      </c>
      <c r="AH14" s="43">
        <v>1</v>
      </c>
      <c r="AI14" s="43">
        <v>0</v>
      </c>
      <c r="AK14">
        <f t="shared" si="29"/>
        <v>3</v>
      </c>
      <c r="AL14" s="1">
        <f t="shared" si="30"/>
        <v>1</v>
      </c>
      <c r="AM14" s="47"/>
      <c r="AP14" s="1">
        <f t="shared" si="22"/>
        <v>1</v>
      </c>
      <c r="AQ14" s="1">
        <f t="shared" si="23"/>
        <v>1</v>
      </c>
      <c r="AR14" s="1">
        <f t="shared" si="24"/>
        <v>1</v>
      </c>
      <c r="AS14" s="1">
        <f t="shared" si="25"/>
        <v>1</v>
      </c>
      <c r="AT14" s="1">
        <f t="shared" si="26"/>
        <v>1</v>
      </c>
      <c r="AV14" s="1">
        <v>1</v>
      </c>
      <c r="AW14" s="1">
        <f t="shared" si="57"/>
        <v>0</v>
      </c>
      <c r="AX14" s="1">
        <f t="shared" si="58"/>
        <v>0</v>
      </c>
      <c r="AY14" s="1">
        <f t="shared" si="59"/>
        <v>1</v>
      </c>
      <c r="AZ14" s="1">
        <f t="shared" si="60"/>
        <v>0</v>
      </c>
      <c r="BA14" s="1">
        <f t="shared" si="61"/>
        <v>1</v>
      </c>
      <c r="BB14" s="1">
        <f t="shared" si="62"/>
        <v>0</v>
      </c>
      <c r="BC14" s="1">
        <f t="shared" si="63"/>
        <v>0</v>
      </c>
      <c r="BD14" s="1">
        <f t="shared" si="64"/>
        <v>0</v>
      </c>
      <c r="BE14" s="1">
        <f t="shared" si="65"/>
        <v>0</v>
      </c>
      <c r="BF14" s="1">
        <f t="shared" si="27"/>
        <v>0</v>
      </c>
      <c r="BG14" s="1">
        <f t="shared" si="28"/>
        <v>0</v>
      </c>
      <c r="BH14" s="1">
        <f t="shared" si="8"/>
        <v>1</v>
      </c>
      <c r="BI14" s="1">
        <f t="shared" si="8"/>
        <v>0</v>
      </c>
      <c r="BK14" s="1">
        <v>1</v>
      </c>
      <c r="BL14" s="1">
        <f t="shared" si="9"/>
        <v>0</v>
      </c>
      <c r="BM14" s="1">
        <f t="shared" si="10"/>
        <v>0</v>
      </c>
      <c r="BN14" s="1">
        <f t="shared" si="11"/>
        <v>1</v>
      </c>
      <c r="BO14" s="1">
        <f t="shared" si="12"/>
        <v>0</v>
      </c>
    </row>
    <row r="15" ht="15" spans="1:67">
      <c r="A15" s="1">
        <f t="shared" si="13"/>
        <v>13</v>
      </c>
      <c r="C15" s="4" t="str">
        <f>Cities_list!Z16</f>
        <v>Ho Chi Minh City</v>
      </c>
      <c r="D15" s="1">
        <f t="shared" si="14"/>
        <v>1</v>
      </c>
      <c r="E15" s="1">
        <f t="shared" si="15"/>
        <v>0</v>
      </c>
      <c r="F15" s="1">
        <f t="shared" si="16"/>
        <v>1</v>
      </c>
      <c r="G15" s="1">
        <f t="shared" si="17"/>
        <v>0</v>
      </c>
      <c r="H15" s="17">
        <f t="shared" si="18"/>
        <v>1</v>
      </c>
      <c r="I15" s="1" t="str">
        <f t="shared" si="19"/>
        <v>HoChiMinhCity</v>
      </c>
      <c r="J15" s="27" t="str">
        <f t="shared" si="20"/>
        <v>Ho Chi Minh City</v>
      </c>
      <c r="K15" s="30">
        <f t="shared" si="21"/>
        <v>0</v>
      </c>
      <c r="L15" s="31">
        <v>1</v>
      </c>
      <c r="M15" s="32"/>
      <c r="N15" s="24"/>
      <c r="P15" s="24">
        <f t="shared" si="31"/>
        <v>8</v>
      </c>
      <c r="Q15" s="24"/>
      <c r="S15" s="38" t="s">
        <v>986</v>
      </c>
      <c r="T15" s="32"/>
      <c r="U15" s="24">
        <v>0</v>
      </c>
      <c r="V15" s="1">
        <v>1</v>
      </c>
      <c r="W15" s="33">
        <v>1</v>
      </c>
      <c r="X15" s="33">
        <v>0</v>
      </c>
      <c r="Y15" s="33">
        <v>0</v>
      </c>
      <c r="Z15" s="33">
        <v>0</v>
      </c>
      <c r="AA15" s="33">
        <v>0</v>
      </c>
      <c r="AB15" s="44">
        <v>0</v>
      </c>
      <c r="AC15" s="45">
        <v>0</v>
      </c>
      <c r="AD15" s="45">
        <v>0</v>
      </c>
      <c r="AE15" s="49">
        <v>1</v>
      </c>
      <c r="AF15" s="43">
        <v>0</v>
      </c>
      <c r="AG15" s="43">
        <v>0</v>
      </c>
      <c r="AH15" s="43">
        <v>0</v>
      </c>
      <c r="AI15" s="43">
        <v>1</v>
      </c>
      <c r="AK15">
        <f t="shared" si="29"/>
        <v>4</v>
      </c>
      <c r="AL15" s="1">
        <f t="shared" si="30"/>
        <v>1</v>
      </c>
      <c r="AM15" s="47"/>
      <c r="AP15" s="1">
        <f t="shared" si="22"/>
        <v>1</v>
      </c>
      <c r="AQ15" s="1">
        <f t="shared" si="23"/>
        <v>1</v>
      </c>
      <c r="AR15" s="1">
        <f t="shared" si="24"/>
        <v>1</v>
      </c>
      <c r="AS15" s="1">
        <f t="shared" si="25"/>
        <v>1</v>
      </c>
      <c r="AT15" s="1">
        <f t="shared" si="26"/>
        <v>1</v>
      </c>
      <c r="AV15" s="1">
        <v>1</v>
      </c>
      <c r="AW15" s="1">
        <f t="shared" si="57"/>
        <v>0</v>
      </c>
      <c r="AX15" s="1">
        <f t="shared" si="58"/>
        <v>0</v>
      </c>
      <c r="AY15" s="1">
        <f t="shared" si="59"/>
        <v>0</v>
      </c>
      <c r="AZ15" s="1">
        <f t="shared" si="60"/>
        <v>1</v>
      </c>
      <c r="BA15" s="1">
        <f t="shared" si="61"/>
        <v>1</v>
      </c>
      <c r="BB15" s="1">
        <f t="shared" si="62"/>
        <v>0</v>
      </c>
      <c r="BC15" s="1">
        <f t="shared" si="63"/>
        <v>0</v>
      </c>
      <c r="BD15" s="1">
        <f t="shared" si="64"/>
        <v>0</v>
      </c>
      <c r="BE15" s="1">
        <f t="shared" si="65"/>
        <v>0</v>
      </c>
      <c r="BF15" s="1">
        <f t="shared" si="27"/>
        <v>0</v>
      </c>
      <c r="BG15" s="1">
        <f t="shared" si="28"/>
        <v>0</v>
      </c>
      <c r="BH15" s="1">
        <f t="shared" si="8"/>
        <v>0</v>
      </c>
      <c r="BI15" s="1">
        <f t="shared" si="8"/>
        <v>1</v>
      </c>
      <c r="BK15" s="1">
        <v>1</v>
      </c>
      <c r="BL15" s="1">
        <f t="shared" si="9"/>
        <v>0</v>
      </c>
      <c r="BM15" s="1">
        <f t="shared" si="10"/>
        <v>0</v>
      </c>
      <c r="BN15" s="1">
        <f t="shared" si="11"/>
        <v>0</v>
      </c>
      <c r="BO15" s="1">
        <f t="shared" si="12"/>
        <v>1</v>
      </c>
    </row>
    <row r="16" ht="15" spans="1:67">
      <c r="A16" s="1">
        <f t="shared" si="13"/>
        <v>14</v>
      </c>
      <c r="C16" s="4" t="str">
        <f>Cities_list!Z17</f>
        <v>Hong Kong</v>
      </c>
      <c r="D16" s="1">
        <f t="shared" si="14"/>
        <v>1</v>
      </c>
      <c r="E16" s="1">
        <f t="shared" si="15"/>
        <v>0</v>
      </c>
      <c r="F16" s="1">
        <f t="shared" si="16"/>
        <v>1</v>
      </c>
      <c r="G16" s="1">
        <f t="shared" si="17"/>
        <v>0</v>
      </c>
      <c r="H16" s="17">
        <f t="shared" si="18"/>
        <v>1</v>
      </c>
      <c r="I16" s="1" t="str">
        <f t="shared" si="19"/>
        <v>HongKong</v>
      </c>
      <c r="J16" s="27" t="str">
        <f t="shared" si="20"/>
        <v>Hong Kong</v>
      </c>
      <c r="K16" s="30">
        <f t="shared" si="21"/>
        <v>0</v>
      </c>
      <c r="L16" s="31">
        <v>1</v>
      </c>
      <c r="M16" s="32"/>
      <c r="N16" s="24"/>
      <c r="P16" s="24">
        <f t="shared" si="31"/>
        <v>6</v>
      </c>
      <c r="Q16" s="24"/>
      <c r="S16" s="38">
        <v>11</v>
      </c>
      <c r="T16" s="32"/>
      <c r="U16" s="24">
        <v>0</v>
      </c>
      <c r="V16" s="1">
        <v>1</v>
      </c>
      <c r="W16" s="33">
        <v>1</v>
      </c>
      <c r="X16" s="33">
        <v>0</v>
      </c>
      <c r="Y16" s="33">
        <v>0</v>
      </c>
      <c r="Z16" s="33">
        <v>0</v>
      </c>
      <c r="AA16" s="33">
        <v>0</v>
      </c>
      <c r="AB16" s="44">
        <v>0</v>
      </c>
      <c r="AC16" s="45">
        <v>1</v>
      </c>
      <c r="AD16" s="45">
        <v>0</v>
      </c>
      <c r="AE16" s="49">
        <v>0</v>
      </c>
      <c r="AF16" s="43">
        <v>0</v>
      </c>
      <c r="AG16" s="43">
        <v>1</v>
      </c>
      <c r="AH16" s="43">
        <v>0</v>
      </c>
      <c r="AI16" s="43">
        <v>0</v>
      </c>
      <c r="AK16">
        <f t="shared" si="29"/>
        <v>2</v>
      </c>
      <c r="AL16" s="1">
        <f t="shared" si="30"/>
        <v>1</v>
      </c>
      <c r="AM16" s="47"/>
      <c r="AP16" s="1">
        <f t="shared" si="22"/>
        <v>1</v>
      </c>
      <c r="AQ16" s="1">
        <f t="shared" si="23"/>
        <v>1</v>
      </c>
      <c r="AR16" s="1">
        <f t="shared" si="24"/>
        <v>1</v>
      </c>
      <c r="AS16" s="1">
        <f t="shared" si="25"/>
        <v>1</v>
      </c>
      <c r="AT16" s="1">
        <f t="shared" si="26"/>
        <v>1</v>
      </c>
      <c r="AV16" s="1">
        <v>1</v>
      </c>
      <c r="AW16" s="1">
        <f t="shared" si="57"/>
        <v>0</v>
      </c>
      <c r="AX16" s="1">
        <f t="shared" si="58"/>
        <v>1</v>
      </c>
      <c r="AY16" s="1">
        <f t="shared" si="59"/>
        <v>0</v>
      </c>
      <c r="AZ16" s="1">
        <f t="shared" si="60"/>
        <v>0</v>
      </c>
      <c r="BA16" s="1">
        <f t="shared" si="61"/>
        <v>1</v>
      </c>
      <c r="BB16" s="1">
        <f t="shared" si="62"/>
        <v>0</v>
      </c>
      <c r="BC16" s="1">
        <f t="shared" si="63"/>
        <v>0</v>
      </c>
      <c r="BD16" s="1">
        <f t="shared" si="64"/>
        <v>0</v>
      </c>
      <c r="BE16" s="1">
        <f t="shared" si="65"/>
        <v>0</v>
      </c>
      <c r="BF16" s="1">
        <f t="shared" si="27"/>
        <v>0</v>
      </c>
      <c r="BG16" s="1">
        <f t="shared" si="28"/>
        <v>1</v>
      </c>
      <c r="BH16" s="1">
        <f t="shared" si="8"/>
        <v>0</v>
      </c>
      <c r="BI16" s="1">
        <f t="shared" si="8"/>
        <v>0</v>
      </c>
      <c r="BK16" s="1">
        <v>1</v>
      </c>
      <c r="BL16" s="1">
        <f t="shared" si="9"/>
        <v>0</v>
      </c>
      <c r="BM16" s="1">
        <f t="shared" si="10"/>
        <v>1</v>
      </c>
      <c r="BN16" s="1">
        <f t="shared" si="11"/>
        <v>0</v>
      </c>
      <c r="BO16" s="1">
        <f t="shared" si="12"/>
        <v>0</v>
      </c>
    </row>
    <row r="17" ht="15" spans="1:67">
      <c r="A17" s="1">
        <f t="shared" si="13"/>
        <v>15</v>
      </c>
      <c r="C17" s="4" t="str">
        <f>Cities_list!Z18</f>
        <v>Istanbul</v>
      </c>
      <c r="D17" s="1">
        <f t="shared" si="14"/>
        <v>1</v>
      </c>
      <c r="E17" s="1">
        <f t="shared" si="15"/>
        <v>0</v>
      </c>
      <c r="F17" s="1">
        <f t="shared" si="16"/>
        <v>1</v>
      </c>
      <c r="G17" s="1">
        <f t="shared" si="17"/>
        <v>0</v>
      </c>
      <c r="H17" s="17">
        <f t="shared" si="18"/>
        <v>1</v>
      </c>
      <c r="I17" s="1" t="str">
        <f t="shared" si="19"/>
        <v>Istanbul</v>
      </c>
      <c r="J17" s="27" t="str">
        <f t="shared" si="20"/>
        <v>Istanbul</v>
      </c>
      <c r="K17" s="30">
        <f t="shared" si="21"/>
        <v>0</v>
      </c>
      <c r="L17" s="31">
        <v>1</v>
      </c>
      <c r="M17" s="32"/>
      <c r="N17" s="24"/>
      <c r="P17" s="24">
        <f t="shared" si="31"/>
        <v>1</v>
      </c>
      <c r="Q17" s="24"/>
      <c r="S17" s="38" t="s">
        <v>987</v>
      </c>
      <c r="T17" s="32"/>
      <c r="U17" s="24">
        <v>0</v>
      </c>
      <c r="V17" s="1">
        <v>1</v>
      </c>
      <c r="W17" s="33">
        <v>0</v>
      </c>
      <c r="X17" s="33">
        <v>1</v>
      </c>
      <c r="Y17" s="33">
        <v>0</v>
      </c>
      <c r="Z17" s="33">
        <v>0</v>
      </c>
      <c r="AA17" s="33">
        <v>0</v>
      </c>
      <c r="AB17" s="44">
        <v>0</v>
      </c>
      <c r="AC17" s="45">
        <v>0</v>
      </c>
      <c r="AD17" s="45">
        <v>1</v>
      </c>
      <c r="AE17" s="49">
        <v>0</v>
      </c>
      <c r="AF17" s="43">
        <v>0</v>
      </c>
      <c r="AG17" s="43">
        <v>0</v>
      </c>
      <c r="AH17" s="43">
        <v>1</v>
      </c>
      <c r="AI17" s="43">
        <v>0</v>
      </c>
      <c r="AK17">
        <f t="shared" si="29"/>
        <v>3</v>
      </c>
      <c r="AL17" s="1">
        <f t="shared" si="30"/>
        <v>2</v>
      </c>
      <c r="AM17" s="47"/>
      <c r="AP17" s="1">
        <f t="shared" si="22"/>
        <v>1</v>
      </c>
      <c r="AQ17" s="1">
        <f t="shared" si="23"/>
        <v>1</v>
      </c>
      <c r="AR17" s="1">
        <f t="shared" si="24"/>
        <v>1</v>
      </c>
      <c r="AS17" s="1">
        <f t="shared" si="25"/>
        <v>1</v>
      </c>
      <c r="AT17" s="1">
        <f t="shared" si="26"/>
        <v>1</v>
      </c>
      <c r="AV17" s="1">
        <v>1</v>
      </c>
      <c r="AW17" s="1">
        <f t="shared" si="57"/>
        <v>0</v>
      </c>
      <c r="AX17" s="1">
        <f t="shared" si="58"/>
        <v>0</v>
      </c>
      <c r="AY17" s="1">
        <f t="shared" si="59"/>
        <v>1</v>
      </c>
      <c r="AZ17" s="1">
        <f t="shared" si="60"/>
        <v>0</v>
      </c>
      <c r="BA17" s="1">
        <f t="shared" si="61"/>
        <v>0</v>
      </c>
      <c r="BB17" s="1">
        <f t="shared" si="62"/>
        <v>1</v>
      </c>
      <c r="BC17" s="1">
        <f t="shared" si="63"/>
        <v>0</v>
      </c>
      <c r="BD17" s="1">
        <f t="shared" si="64"/>
        <v>0</v>
      </c>
      <c r="BE17" s="1">
        <f t="shared" si="65"/>
        <v>0</v>
      </c>
      <c r="BF17" s="1">
        <f t="shared" si="27"/>
        <v>0</v>
      </c>
      <c r="BG17" s="1">
        <f t="shared" si="28"/>
        <v>0</v>
      </c>
      <c r="BH17" s="1">
        <f t="shared" si="8"/>
        <v>1</v>
      </c>
      <c r="BI17" s="1">
        <f t="shared" si="8"/>
        <v>0</v>
      </c>
      <c r="BK17" s="1">
        <v>1</v>
      </c>
      <c r="BL17" s="1">
        <f t="shared" si="9"/>
        <v>0</v>
      </c>
      <c r="BM17" s="1">
        <f t="shared" si="10"/>
        <v>0</v>
      </c>
      <c r="BN17" s="1">
        <f t="shared" si="11"/>
        <v>1</v>
      </c>
      <c r="BO17" s="1">
        <f t="shared" si="12"/>
        <v>0</v>
      </c>
    </row>
    <row r="18" ht="15" spans="1:67">
      <c r="A18" s="1">
        <f t="shared" si="13"/>
        <v>16</v>
      </c>
      <c r="C18" s="4" t="str">
        <f>Cities_list!Z19</f>
        <v>Jakarta</v>
      </c>
      <c r="D18" s="1">
        <f t="shared" si="14"/>
        <v>1</v>
      </c>
      <c r="E18" s="1">
        <f t="shared" si="15"/>
        <v>0</v>
      </c>
      <c r="F18" s="1">
        <f t="shared" si="16"/>
        <v>1</v>
      </c>
      <c r="G18" s="1">
        <f t="shared" si="17"/>
        <v>0</v>
      </c>
      <c r="H18" s="17">
        <f t="shared" si="18"/>
        <v>1</v>
      </c>
      <c r="I18" s="1" t="str">
        <f t="shared" si="19"/>
        <v>Jakarta</v>
      </c>
      <c r="J18" s="27" t="str">
        <f t="shared" si="20"/>
        <v>Jakarta</v>
      </c>
      <c r="K18" s="30">
        <f t="shared" si="21"/>
        <v>0</v>
      </c>
      <c r="L18" s="31">
        <v>1</v>
      </c>
      <c r="M18" s="32"/>
      <c r="N18" s="24"/>
      <c r="P18" s="24">
        <f t="shared" si="31"/>
        <v>8</v>
      </c>
      <c r="Q18" s="24"/>
      <c r="S18" s="39"/>
      <c r="T18" s="32"/>
      <c r="U18" s="24">
        <v>0</v>
      </c>
      <c r="V18" s="1">
        <v>1</v>
      </c>
      <c r="W18" s="33">
        <v>1</v>
      </c>
      <c r="X18" s="33">
        <v>0</v>
      </c>
      <c r="Y18" s="33">
        <v>0</v>
      </c>
      <c r="Z18" s="33">
        <v>0</v>
      </c>
      <c r="AA18" s="33">
        <v>0</v>
      </c>
      <c r="AB18" s="44">
        <v>0</v>
      </c>
      <c r="AC18" s="45">
        <v>0</v>
      </c>
      <c r="AD18" s="45">
        <v>0</v>
      </c>
      <c r="AE18" s="49">
        <v>1</v>
      </c>
      <c r="AF18" s="43">
        <v>0</v>
      </c>
      <c r="AG18" s="43">
        <v>0</v>
      </c>
      <c r="AH18" s="43">
        <v>0</v>
      </c>
      <c r="AI18" s="43">
        <v>1</v>
      </c>
      <c r="AK18">
        <f t="shared" si="29"/>
        <v>4</v>
      </c>
      <c r="AL18" s="1">
        <f t="shared" si="30"/>
        <v>1</v>
      </c>
      <c r="AM18" s="47"/>
      <c r="AP18" s="1">
        <f t="shared" si="22"/>
        <v>1</v>
      </c>
      <c r="AQ18" s="1">
        <f t="shared" si="23"/>
        <v>1</v>
      </c>
      <c r="AR18" s="1">
        <f t="shared" si="24"/>
        <v>1</v>
      </c>
      <c r="AS18" s="1">
        <f t="shared" si="25"/>
        <v>1</v>
      </c>
      <c r="AT18" s="1">
        <f t="shared" si="26"/>
        <v>1</v>
      </c>
      <c r="AV18" s="1">
        <v>1</v>
      </c>
      <c r="AW18" s="1">
        <f t="shared" si="57"/>
        <v>0</v>
      </c>
      <c r="AX18" s="1">
        <f t="shared" si="58"/>
        <v>0</v>
      </c>
      <c r="AY18" s="1">
        <f t="shared" si="59"/>
        <v>0</v>
      </c>
      <c r="AZ18" s="1">
        <f t="shared" si="60"/>
        <v>1</v>
      </c>
      <c r="BA18" s="1">
        <f t="shared" si="61"/>
        <v>1</v>
      </c>
      <c r="BB18" s="1">
        <f t="shared" si="62"/>
        <v>0</v>
      </c>
      <c r="BC18" s="1">
        <f t="shared" si="63"/>
        <v>0</v>
      </c>
      <c r="BD18" s="1">
        <f t="shared" si="64"/>
        <v>0</v>
      </c>
      <c r="BE18" s="1">
        <f t="shared" si="65"/>
        <v>0</v>
      </c>
      <c r="BF18" s="1">
        <f t="shared" si="27"/>
        <v>0</v>
      </c>
      <c r="BG18" s="1">
        <f t="shared" si="28"/>
        <v>0</v>
      </c>
      <c r="BH18" s="1">
        <f t="shared" si="8"/>
        <v>0</v>
      </c>
      <c r="BI18" s="1">
        <f t="shared" si="8"/>
        <v>1</v>
      </c>
      <c r="BK18" s="1">
        <v>1</v>
      </c>
      <c r="BL18" s="1">
        <f t="shared" si="9"/>
        <v>0</v>
      </c>
      <c r="BM18" s="1">
        <f t="shared" si="10"/>
        <v>0</v>
      </c>
      <c r="BN18" s="1">
        <f t="shared" si="11"/>
        <v>0</v>
      </c>
      <c r="BO18" s="1">
        <f t="shared" si="12"/>
        <v>1</v>
      </c>
    </row>
    <row r="19" ht="15" spans="1:67">
      <c r="A19" s="1">
        <f t="shared" si="13"/>
        <v>17</v>
      </c>
      <c r="C19" s="4" t="str">
        <f>Cities_list!Z20</f>
        <v>Johannesburg</v>
      </c>
      <c r="D19" s="1">
        <f t="shared" si="14"/>
        <v>1</v>
      </c>
      <c r="E19" s="1">
        <f t="shared" si="15"/>
        <v>0</v>
      </c>
      <c r="F19" s="1">
        <f t="shared" si="16"/>
        <v>1</v>
      </c>
      <c r="G19" s="1">
        <f t="shared" si="17"/>
        <v>0</v>
      </c>
      <c r="H19" s="17">
        <f t="shared" si="18"/>
        <v>1</v>
      </c>
      <c r="I19" s="1" t="str">
        <f t="shared" si="19"/>
        <v>Johannesburg</v>
      </c>
      <c r="J19" s="27" t="str">
        <f t="shared" si="20"/>
        <v>Johannesburg</v>
      </c>
      <c r="K19" s="30">
        <f t="shared" si="21"/>
        <v>0</v>
      </c>
      <c r="L19" s="31">
        <v>1</v>
      </c>
      <c r="M19" s="32"/>
      <c r="N19" s="24"/>
      <c r="P19" s="24">
        <f t="shared" si="31"/>
        <v>3</v>
      </c>
      <c r="Q19" s="24"/>
      <c r="S19" s="39"/>
      <c r="T19" s="32"/>
      <c r="U19" s="24">
        <v>0</v>
      </c>
      <c r="V19" s="1">
        <v>1</v>
      </c>
      <c r="W19" s="33">
        <v>0</v>
      </c>
      <c r="X19" s="33">
        <v>0</v>
      </c>
      <c r="Y19" s="33">
        <v>0</v>
      </c>
      <c r="Z19" s="33">
        <v>1</v>
      </c>
      <c r="AA19" s="33">
        <v>0</v>
      </c>
      <c r="AB19" s="44">
        <v>0</v>
      </c>
      <c r="AC19" s="45">
        <v>0</v>
      </c>
      <c r="AD19" s="45">
        <v>1</v>
      </c>
      <c r="AE19" s="49">
        <v>0</v>
      </c>
      <c r="AF19" s="43">
        <v>0</v>
      </c>
      <c r="AG19" s="43">
        <v>1</v>
      </c>
      <c r="AH19" s="43">
        <v>0</v>
      </c>
      <c r="AI19" s="43">
        <v>0</v>
      </c>
      <c r="AK19">
        <f t="shared" si="29"/>
        <v>3</v>
      </c>
      <c r="AL19" s="1">
        <f t="shared" si="30"/>
        <v>4</v>
      </c>
      <c r="AM19" s="47"/>
      <c r="AP19" s="1">
        <f t="shared" si="22"/>
        <v>1</v>
      </c>
      <c r="AQ19" s="1">
        <f t="shared" si="23"/>
        <v>1</v>
      </c>
      <c r="AR19" s="1">
        <f t="shared" si="24"/>
        <v>1</v>
      </c>
      <c r="AS19" s="1">
        <f t="shared" si="25"/>
        <v>1</v>
      </c>
      <c r="AT19" s="1">
        <f t="shared" si="26"/>
        <v>1</v>
      </c>
      <c r="AV19" s="1">
        <v>1</v>
      </c>
      <c r="AW19" s="1">
        <f t="shared" si="57"/>
        <v>0</v>
      </c>
      <c r="AX19" s="1">
        <f t="shared" si="58"/>
        <v>0</v>
      </c>
      <c r="AY19" s="1">
        <f t="shared" si="59"/>
        <v>1</v>
      </c>
      <c r="AZ19" s="1">
        <f t="shared" si="60"/>
        <v>0</v>
      </c>
      <c r="BA19" s="1">
        <f t="shared" si="61"/>
        <v>0</v>
      </c>
      <c r="BB19" s="1">
        <f t="shared" si="62"/>
        <v>0</v>
      </c>
      <c r="BC19" s="1">
        <f t="shared" si="63"/>
        <v>0</v>
      </c>
      <c r="BD19" s="1">
        <f t="shared" si="64"/>
        <v>1</v>
      </c>
      <c r="BE19" s="1">
        <f t="shared" si="65"/>
        <v>0</v>
      </c>
      <c r="BF19" s="1">
        <f t="shared" si="27"/>
        <v>0</v>
      </c>
      <c r="BG19" s="1">
        <f t="shared" si="28"/>
        <v>1</v>
      </c>
      <c r="BH19" s="1">
        <f t="shared" ref="BH19:BH52" si="66">BN19</f>
        <v>0</v>
      </c>
      <c r="BI19" s="1">
        <f t="shared" ref="BI19:BI52" si="67">BO19</f>
        <v>0</v>
      </c>
      <c r="BK19" s="1">
        <v>1</v>
      </c>
      <c r="BL19" s="1">
        <f t="shared" si="9"/>
        <v>0</v>
      </c>
      <c r="BM19" s="1">
        <f t="shared" si="10"/>
        <v>1</v>
      </c>
      <c r="BN19" s="1">
        <f t="shared" si="11"/>
        <v>0</v>
      </c>
      <c r="BO19" s="1">
        <f t="shared" si="12"/>
        <v>0</v>
      </c>
    </row>
    <row r="20" ht="15" spans="1:67">
      <c r="A20" s="1">
        <f t="shared" si="13"/>
        <v>18</v>
      </c>
      <c r="C20" s="4" t="str">
        <f>Cities_list!Z21</f>
        <v>Kuwait City</v>
      </c>
      <c r="D20" s="1">
        <f t="shared" si="14"/>
        <v>1</v>
      </c>
      <c r="E20" s="1">
        <f t="shared" si="15"/>
        <v>0</v>
      </c>
      <c r="F20" s="1">
        <f t="shared" si="16"/>
        <v>1</v>
      </c>
      <c r="G20" s="1">
        <f t="shared" si="17"/>
        <v>0</v>
      </c>
      <c r="H20" s="17">
        <f t="shared" si="18"/>
        <v>1</v>
      </c>
      <c r="I20" s="1" t="str">
        <f t="shared" si="19"/>
        <v>KuwaitCity</v>
      </c>
      <c r="J20" s="27" t="str">
        <f t="shared" si="20"/>
        <v>Kuwait City</v>
      </c>
      <c r="K20" s="30">
        <f t="shared" si="21"/>
        <v>0</v>
      </c>
      <c r="L20" s="31">
        <v>1</v>
      </c>
      <c r="M20" s="32"/>
      <c r="N20" s="24"/>
      <c r="P20" s="24">
        <f t="shared" si="31"/>
        <v>3</v>
      </c>
      <c r="Q20" s="24"/>
      <c r="S20" s="39"/>
      <c r="T20" s="32"/>
      <c r="U20" s="24">
        <v>0</v>
      </c>
      <c r="V20" s="1">
        <v>1</v>
      </c>
      <c r="W20" s="33">
        <v>0</v>
      </c>
      <c r="X20" s="33">
        <v>0</v>
      </c>
      <c r="Y20" s="33">
        <v>0</v>
      </c>
      <c r="Z20" s="33">
        <v>1</v>
      </c>
      <c r="AA20" s="33">
        <v>0</v>
      </c>
      <c r="AB20" s="44">
        <v>1</v>
      </c>
      <c r="AC20" s="45">
        <v>0</v>
      </c>
      <c r="AD20" s="45">
        <v>0</v>
      </c>
      <c r="AE20" s="49">
        <v>0</v>
      </c>
      <c r="AF20" s="43">
        <v>1</v>
      </c>
      <c r="AG20" s="43">
        <v>0</v>
      </c>
      <c r="AH20" s="43">
        <v>0</v>
      </c>
      <c r="AI20" s="43">
        <v>0</v>
      </c>
      <c r="AK20">
        <f t="shared" si="29"/>
        <v>1</v>
      </c>
      <c r="AL20" s="1">
        <f t="shared" si="30"/>
        <v>4</v>
      </c>
      <c r="AM20" s="47"/>
      <c r="AP20" s="1">
        <f t="shared" si="22"/>
        <v>1</v>
      </c>
      <c r="AQ20" s="1">
        <f t="shared" si="23"/>
        <v>1</v>
      </c>
      <c r="AR20" s="1">
        <f t="shared" si="24"/>
        <v>1</v>
      </c>
      <c r="AS20" s="1">
        <f t="shared" si="25"/>
        <v>1</v>
      </c>
      <c r="AT20" s="1">
        <f t="shared" si="26"/>
        <v>1</v>
      </c>
      <c r="AV20" s="1">
        <v>1</v>
      </c>
      <c r="AW20" s="1">
        <f t="shared" si="57"/>
        <v>1</v>
      </c>
      <c r="AX20" s="1">
        <f t="shared" si="58"/>
        <v>0</v>
      </c>
      <c r="AY20" s="1">
        <f t="shared" si="59"/>
        <v>0</v>
      </c>
      <c r="AZ20" s="1">
        <f t="shared" si="60"/>
        <v>0</v>
      </c>
      <c r="BA20" s="1">
        <f t="shared" si="61"/>
        <v>0</v>
      </c>
      <c r="BB20" s="1">
        <f t="shared" si="62"/>
        <v>0</v>
      </c>
      <c r="BC20" s="1">
        <f t="shared" si="63"/>
        <v>0</v>
      </c>
      <c r="BD20" s="1">
        <f t="shared" si="64"/>
        <v>1</v>
      </c>
      <c r="BE20" s="1">
        <f t="shared" si="65"/>
        <v>0</v>
      </c>
      <c r="BF20" s="1">
        <f t="shared" si="27"/>
        <v>1</v>
      </c>
      <c r="BG20" s="1">
        <f t="shared" si="28"/>
        <v>0</v>
      </c>
      <c r="BH20" s="1">
        <f t="shared" si="66"/>
        <v>0</v>
      </c>
      <c r="BI20" s="1">
        <f t="shared" si="67"/>
        <v>0</v>
      </c>
      <c r="BK20" s="1">
        <v>1</v>
      </c>
      <c r="BL20" s="1">
        <f t="shared" si="9"/>
        <v>1</v>
      </c>
      <c r="BM20" s="1">
        <f t="shared" si="10"/>
        <v>0</v>
      </c>
      <c r="BN20" s="1">
        <f t="shared" si="11"/>
        <v>0</v>
      </c>
      <c r="BO20" s="1">
        <f t="shared" si="12"/>
        <v>0</v>
      </c>
    </row>
    <row r="21" ht="15" spans="1:67">
      <c r="A21" s="1">
        <f t="shared" si="13"/>
        <v>19</v>
      </c>
      <c r="C21" s="4" t="str">
        <f>Cities_list!Z22</f>
        <v>Lima</v>
      </c>
      <c r="D21" s="1">
        <f t="shared" si="14"/>
        <v>1</v>
      </c>
      <c r="E21" s="1">
        <f t="shared" si="15"/>
        <v>0</v>
      </c>
      <c r="F21" s="1">
        <f t="shared" si="16"/>
        <v>1</v>
      </c>
      <c r="G21" s="1">
        <f t="shared" si="17"/>
        <v>0</v>
      </c>
      <c r="H21" s="17">
        <f t="shared" si="18"/>
        <v>1</v>
      </c>
      <c r="I21" s="1" t="str">
        <f t="shared" si="19"/>
        <v>Lima</v>
      </c>
      <c r="J21" s="27" t="str">
        <f t="shared" si="20"/>
        <v>Lima</v>
      </c>
      <c r="K21" s="30">
        <f t="shared" si="21"/>
        <v>0</v>
      </c>
      <c r="L21" s="31">
        <v>1</v>
      </c>
      <c r="M21" s="32"/>
      <c r="N21" s="24"/>
      <c r="P21" s="24">
        <f t="shared" si="31"/>
        <v>2</v>
      </c>
      <c r="Q21" s="24"/>
      <c r="S21" s="39"/>
      <c r="T21" s="32"/>
      <c r="U21" s="24">
        <v>0</v>
      </c>
      <c r="V21" s="1">
        <v>1</v>
      </c>
      <c r="W21" s="33">
        <v>0</v>
      </c>
      <c r="X21" s="33">
        <v>0</v>
      </c>
      <c r="Y21" s="33">
        <v>1</v>
      </c>
      <c r="Z21" s="33">
        <v>0</v>
      </c>
      <c r="AA21" s="33">
        <v>0</v>
      </c>
      <c r="AB21" s="44">
        <v>0</v>
      </c>
      <c r="AC21" s="45">
        <v>0</v>
      </c>
      <c r="AD21" s="45">
        <v>1</v>
      </c>
      <c r="AE21" s="49">
        <v>0</v>
      </c>
      <c r="AF21" s="43">
        <v>0</v>
      </c>
      <c r="AG21" s="43">
        <v>0</v>
      </c>
      <c r="AH21" s="43">
        <v>1</v>
      </c>
      <c r="AI21" s="43">
        <v>0</v>
      </c>
      <c r="AK21">
        <f t="shared" si="29"/>
        <v>3</v>
      </c>
      <c r="AL21" s="1">
        <f t="shared" si="30"/>
        <v>3</v>
      </c>
      <c r="AM21" s="47"/>
      <c r="AP21" s="1">
        <f t="shared" si="22"/>
        <v>1</v>
      </c>
      <c r="AQ21" s="1">
        <f t="shared" si="23"/>
        <v>1</v>
      </c>
      <c r="AR21" s="1">
        <f t="shared" si="24"/>
        <v>1</v>
      </c>
      <c r="AS21" s="1">
        <f t="shared" si="25"/>
        <v>1</v>
      </c>
      <c r="AT21" s="1">
        <f t="shared" si="26"/>
        <v>1</v>
      </c>
      <c r="AV21" s="1">
        <v>1</v>
      </c>
      <c r="AW21" s="1">
        <f t="shared" si="57"/>
        <v>0</v>
      </c>
      <c r="AX21" s="1">
        <f t="shared" si="58"/>
        <v>0</v>
      </c>
      <c r="AY21" s="1">
        <f t="shared" si="59"/>
        <v>1</v>
      </c>
      <c r="AZ21" s="1">
        <f t="shared" si="60"/>
        <v>0</v>
      </c>
      <c r="BA21" s="1">
        <f t="shared" si="61"/>
        <v>0</v>
      </c>
      <c r="BB21" s="1">
        <f t="shared" si="62"/>
        <v>0</v>
      </c>
      <c r="BC21" s="1">
        <f t="shared" si="63"/>
        <v>1</v>
      </c>
      <c r="BD21" s="1">
        <f t="shared" si="64"/>
        <v>0</v>
      </c>
      <c r="BE21" s="1">
        <f t="shared" si="65"/>
        <v>0</v>
      </c>
      <c r="BF21" s="1">
        <f t="shared" si="27"/>
        <v>0</v>
      </c>
      <c r="BG21" s="1">
        <f t="shared" si="28"/>
        <v>0</v>
      </c>
      <c r="BH21" s="1">
        <f t="shared" si="66"/>
        <v>1</v>
      </c>
      <c r="BI21" s="1">
        <f t="shared" si="67"/>
        <v>0</v>
      </c>
      <c r="BK21" s="1">
        <v>1</v>
      </c>
      <c r="BL21" s="1">
        <f t="shared" si="9"/>
        <v>0</v>
      </c>
      <c r="BM21" s="1">
        <f t="shared" si="10"/>
        <v>0</v>
      </c>
      <c r="BN21" s="1">
        <f t="shared" si="11"/>
        <v>1</v>
      </c>
      <c r="BO21" s="1">
        <f t="shared" si="12"/>
        <v>0</v>
      </c>
    </row>
    <row r="22" ht="15" spans="1:67">
      <c r="A22" s="1">
        <f t="shared" si="13"/>
        <v>20</v>
      </c>
      <c r="C22" s="4" t="str">
        <f>Cities_list!Z23</f>
        <v>London</v>
      </c>
      <c r="D22" s="1">
        <f t="shared" si="14"/>
        <v>1</v>
      </c>
      <c r="E22" s="1">
        <f t="shared" si="15"/>
        <v>0</v>
      </c>
      <c r="F22" s="1">
        <f t="shared" si="16"/>
        <v>1</v>
      </c>
      <c r="G22" s="1">
        <f t="shared" si="17"/>
        <v>0</v>
      </c>
      <c r="H22" s="17">
        <f t="shared" si="18"/>
        <v>1</v>
      </c>
      <c r="I22" s="1" t="str">
        <f t="shared" si="19"/>
        <v>London</v>
      </c>
      <c r="J22" s="27" t="str">
        <f t="shared" si="20"/>
        <v>London</v>
      </c>
      <c r="K22" s="30">
        <f t="shared" si="21"/>
        <v>0</v>
      </c>
      <c r="L22" s="31">
        <v>1</v>
      </c>
      <c r="M22" s="32"/>
      <c r="N22" s="24"/>
      <c r="P22" s="24">
        <f t="shared" si="31"/>
        <v>1</v>
      </c>
      <c r="Q22" s="24"/>
      <c r="S22" s="39"/>
      <c r="T22" s="32"/>
      <c r="U22" s="24">
        <v>0</v>
      </c>
      <c r="V22" s="1">
        <v>1</v>
      </c>
      <c r="W22" s="33">
        <v>0</v>
      </c>
      <c r="X22" s="33">
        <v>1</v>
      </c>
      <c r="Y22" s="33">
        <v>0</v>
      </c>
      <c r="Z22" s="33">
        <v>0</v>
      </c>
      <c r="AA22" s="33">
        <v>0</v>
      </c>
      <c r="AB22" s="44">
        <v>0</v>
      </c>
      <c r="AC22" s="45">
        <v>1</v>
      </c>
      <c r="AD22" s="45">
        <v>0</v>
      </c>
      <c r="AE22" s="49">
        <v>0</v>
      </c>
      <c r="AF22" s="43">
        <v>0</v>
      </c>
      <c r="AG22" s="43">
        <v>0</v>
      </c>
      <c r="AH22" s="43">
        <v>1</v>
      </c>
      <c r="AI22" s="43">
        <v>0</v>
      </c>
      <c r="AK22">
        <f t="shared" si="29"/>
        <v>2</v>
      </c>
      <c r="AL22" s="1">
        <f t="shared" si="30"/>
        <v>2</v>
      </c>
      <c r="AM22" s="47"/>
      <c r="AP22" s="1">
        <f t="shared" si="22"/>
        <v>1</v>
      </c>
      <c r="AQ22" s="1">
        <f t="shared" si="23"/>
        <v>1</v>
      </c>
      <c r="AR22" s="1">
        <f t="shared" si="24"/>
        <v>1</v>
      </c>
      <c r="AS22" s="1">
        <f t="shared" si="25"/>
        <v>1</v>
      </c>
      <c r="AT22" s="1">
        <f t="shared" si="26"/>
        <v>1</v>
      </c>
      <c r="AV22" s="1">
        <v>1</v>
      </c>
      <c r="AW22" s="1">
        <f t="shared" si="57"/>
        <v>0</v>
      </c>
      <c r="AX22" s="1">
        <f t="shared" si="58"/>
        <v>1</v>
      </c>
      <c r="AY22" s="1">
        <f t="shared" si="59"/>
        <v>0</v>
      </c>
      <c r="AZ22" s="1">
        <f t="shared" si="60"/>
        <v>0</v>
      </c>
      <c r="BA22" s="1">
        <f t="shared" si="61"/>
        <v>0</v>
      </c>
      <c r="BB22" s="1">
        <f t="shared" si="62"/>
        <v>1</v>
      </c>
      <c r="BC22" s="1">
        <f t="shared" si="63"/>
        <v>0</v>
      </c>
      <c r="BD22" s="1">
        <f t="shared" si="64"/>
        <v>0</v>
      </c>
      <c r="BE22" s="1">
        <f t="shared" si="65"/>
        <v>0</v>
      </c>
      <c r="BF22" s="1">
        <f t="shared" si="27"/>
        <v>0</v>
      </c>
      <c r="BG22" s="1">
        <f t="shared" si="28"/>
        <v>0</v>
      </c>
      <c r="BH22" s="1">
        <f t="shared" si="66"/>
        <v>1</v>
      </c>
      <c r="BI22" s="1">
        <f t="shared" si="67"/>
        <v>0</v>
      </c>
      <c r="BK22" s="1">
        <v>1</v>
      </c>
      <c r="BL22" s="1">
        <f t="shared" si="9"/>
        <v>0</v>
      </c>
      <c r="BM22" s="1">
        <f t="shared" si="10"/>
        <v>0</v>
      </c>
      <c r="BN22" s="1">
        <f t="shared" si="11"/>
        <v>1</v>
      </c>
      <c r="BO22" s="1">
        <f t="shared" si="12"/>
        <v>0</v>
      </c>
    </row>
    <row r="23" ht="15" spans="1:67">
      <c r="A23" s="1">
        <f t="shared" si="13"/>
        <v>21</v>
      </c>
      <c r="C23" s="4" t="str">
        <f>Cities_list!Z24</f>
        <v>Los Angeles</v>
      </c>
      <c r="D23" s="1">
        <f t="shared" si="14"/>
        <v>1</v>
      </c>
      <c r="E23" s="1">
        <f t="shared" si="15"/>
        <v>0</v>
      </c>
      <c r="F23" s="1">
        <f t="shared" si="16"/>
        <v>1</v>
      </c>
      <c r="G23" s="1">
        <f t="shared" si="17"/>
        <v>0</v>
      </c>
      <c r="H23" s="17">
        <f t="shared" si="18"/>
        <v>1</v>
      </c>
      <c r="I23" s="1" t="str">
        <f t="shared" si="19"/>
        <v>LosAngeles</v>
      </c>
      <c r="J23" s="27" t="str">
        <f t="shared" si="20"/>
        <v>Los Angeles</v>
      </c>
      <c r="K23" s="30">
        <f t="shared" si="21"/>
        <v>0</v>
      </c>
      <c r="L23" s="31">
        <v>1</v>
      </c>
      <c r="M23" s="32"/>
      <c r="N23" s="24"/>
      <c r="P23" s="24">
        <f t="shared" si="31"/>
        <v>4</v>
      </c>
      <c r="Q23" s="24"/>
      <c r="S23" s="39"/>
      <c r="T23" s="32"/>
      <c r="U23" s="24">
        <v>0</v>
      </c>
      <c r="V23" s="1">
        <v>1</v>
      </c>
      <c r="W23" s="33">
        <v>0</v>
      </c>
      <c r="X23" s="33">
        <v>0</v>
      </c>
      <c r="Y23" s="33">
        <v>0</v>
      </c>
      <c r="Z23" s="33">
        <v>0</v>
      </c>
      <c r="AA23" s="33">
        <v>1</v>
      </c>
      <c r="AB23" s="44">
        <v>1</v>
      </c>
      <c r="AC23" s="45">
        <v>0</v>
      </c>
      <c r="AD23" s="45">
        <v>0</v>
      </c>
      <c r="AE23" s="49">
        <v>0</v>
      </c>
      <c r="AF23" s="43">
        <v>0</v>
      </c>
      <c r="AG23" s="43">
        <v>0</v>
      </c>
      <c r="AH23" s="43">
        <v>1</v>
      </c>
      <c r="AI23" s="43">
        <v>0</v>
      </c>
      <c r="AK23">
        <f t="shared" si="29"/>
        <v>1</v>
      </c>
      <c r="AL23" s="1">
        <f t="shared" si="30"/>
        <v>5</v>
      </c>
      <c r="AM23" s="47"/>
      <c r="AP23" s="1">
        <f t="shared" si="22"/>
        <v>1</v>
      </c>
      <c r="AQ23" s="1">
        <f t="shared" si="23"/>
        <v>1</v>
      </c>
      <c r="AR23" s="1">
        <f t="shared" si="24"/>
        <v>1</v>
      </c>
      <c r="AS23" s="1">
        <f t="shared" si="25"/>
        <v>1</v>
      </c>
      <c r="AT23" s="1">
        <f t="shared" si="26"/>
        <v>1</v>
      </c>
      <c r="AV23" s="1">
        <v>1</v>
      </c>
      <c r="AW23" s="1">
        <f t="shared" si="57"/>
        <v>1</v>
      </c>
      <c r="AX23" s="1">
        <f t="shared" si="58"/>
        <v>0</v>
      </c>
      <c r="AY23" s="1">
        <f t="shared" si="59"/>
        <v>0</v>
      </c>
      <c r="AZ23" s="1">
        <f t="shared" si="60"/>
        <v>0</v>
      </c>
      <c r="BA23" s="1">
        <f t="shared" si="61"/>
        <v>0</v>
      </c>
      <c r="BB23" s="1">
        <f t="shared" si="62"/>
        <v>0</v>
      </c>
      <c r="BC23" s="1">
        <f t="shared" si="63"/>
        <v>0</v>
      </c>
      <c r="BD23" s="1">
        <f t="shared" si="64"/>
        <v>0</v>
      </c>
      <c r="BE23" s="1">
        <f t="shared" si="65"/>
        <v>1</v>
      </c>
      <c r="BF23" s="1">
        <f t="shared" si="27"/>
        <v>0</v>
      </c>
      <c r="BG23" s="1">
        <f t="shared" si="28"/>
        <v>0</v>
      </c>
      <c r="BH23" s="1">
        <f t="shared" si="66"/>
        <v>1</v>
      </c>
      <c r="BI23" s="1">
        <f t="shared" si="67"/>
        <v>0</v>
      </c>
      <c r="BK23" s="1">
        <v>1</v>
      </c>
      <c r="BL23" s="1">
        <f t="shared" si="9"/>
        <v>0</v>
      </c>
      <c r="BM23" s="1">
        <f t="shared" si="10"/>
        <v>0</v>
      </c>
      <c r="BN23" s="1">
        <f t="shared" si="11"/>
        <v>1</v>
      </c>
      <c r="BO23" s="1">
        <f t="shared" si="12"/>
        <v>0</v>
      </c>
    </row>
    <row r="24" ht="15" spans="1:67">
      <c r="A24" s="1">
        <f t="shared" si="13"/>
        <v>22</v>
      </c>
      <c r="C24" s="4" t="str">
        <f>Cities_list!Z25</f>
        <v>Madrid</v>
      </c>
      <c r="D24" s="1">
        <f t="shared" si="14"/>
        <v>1</v>
      </c>
      <c r="E24" s="1">
        <f t="shared" si="15"/>
        <v>0</v>
      </c>
      <c r="F24" s="1">
        <f t="shared" si="16"/>
        <v>1</v>
      </c>
      <c r="G24" s="1">
        <f t="shared" si="17"/>
        <v>0</v>
      </c>
      <c r="H24" s="17">
        <f t="shared" si="18"/>
        <v>1</v>
      </c>
      <c r="I24" s="1" t="str">
        <f t="shared" si="19"/>
        <v>Madrid</v>
      </c>
      <c r="J24" s="27" t="str">
        <f t="shared" si="20"/>
        <v>Madrid</v>
      </c>
      <c r="K24" s="30">
        <f t="shared" si="21"/>
        <v>0</v>
      </c>
      <c r="L24" s="31">
        <v>1</v>
      </c>
      <c r="M24" s="32"/>
      <c r="N24" s="24"/>
      <c r="P24" s="24">
        <f t="shared" si="31"/>
        <v>1</v>
      </c>
      <c r="Q24" s="24"/>
      <c r="S24" s="39"/>
      <c r="T24" s="32"/>
      <c r="U24" s="24">
        <v>0</v>
      </c>
      <c r="V24" s="1">
        <v>1</v>
      </c>
      <c r="W24" s="33">
        <v>0</v>
      </c>
      <c r="X24" s="33">
        <v>1</v>
      </c>
      <c r="Y24" s="33">
        <v>0</v>
      </c>
      <c r="Z24" s="33">
        <v>0</v>
      </c>
      <c r="AA24" s="33">
        <v>0</v>
      </c>
      <c r="AB24" s="44">
        <v>0</v>
      </c>
      <c r="AC24" s="45">
        <v>1</v>
      </c>
      <c r="AD24" s="45">
        <v>0</v>
      </c>
      <c r="AE24" s="49">
        <v>0</v>
      </c>
      <c r="AF24" s="43">
        <v>0</v>
      </c>
      <c r="AG24" s="43">
        <v>1</v>
      </c>
      <c r="AH24" s="43">
        <v>0</v>
      </c>
      <c r="AI24" s="43">
        <v>0</v>
      </c>
      <c r="AK24">
        <f t="shared" si="29"/>
        <v>2</v>
      </c>
      <c r="AL24" s="1">
        <f t="shared" si="30"/>
        <v>2</v>
      </c>
      <c r="AM24" s="47"/>
      <c r="AP24" s="1">
        <f t="shared" si="22"/>
        <v>1</v>
      </c>
      <c r="AQ24" s="1">
        <f t="shared" si="23"/>
        <v>1</v>
      </c>
      <c r="AR24" s="1">
        <f t="shared" si="24"/>
        <v>1</v>
      </c>
      <c r="AS24" s="1">
        <f t="shared" si="25"/>
        <v>1</v>
      </c>
      <c r="AT24" s="1">
        <f t="shared" si="26"/>
        <v>1</v>
      </c>
      <c r="AV24" s="1">
        <v>1</v>
      </c>
      <c r="AW24" s="1">
        <f t="shared" si="57"/>
        <v>0</v>
      </c>
      <c r="AX24" s="1">
        <f t="shared" si="58"/>
        <v>1</v>
      </c>
      <c r="AY24" s="1">
        <f t="shared" si="59"/>
        <v>0</v>
      </c>
      <c r="AZ24" s="1">
        <f t="shared" si="60"/>
        <v>0</v>
      </c>
      <c r="BA24" s="1">
        <f t="shared" si="61"/>
        <v>0</v>
      </c>
      <c r="BB24" s="1">
        <f t="shared" si="62"/>
        <v>1</v>
      </c>
      <c r="BC24" s="1">
        <f t="shared" si="63"/>
        <v>0</v>
      </c>
      <c r="BD24" s="1">
        <f t="shared" si="64"/>
        <v>0</v>
      </c>
      <c r="BE24" s="1">
        <f t="shared" si="65"/>
        <v>0</v>
      </c>
      <c r="BF24" s="1">
        <f t="shared" si="27"/>
        <v>0</v>
      </c>
      <c r="BG24" s="1">
        <f t="shared" si="28"/>
        <v>1</v>
      </c>
      <c r="BH24" s="1">
        <f t="shared" si="66"/>
        <v>0</v>
      </c>
      <c r="BI24" s="1">
        <f t="shared" si="67"/>
        <v>0</v>
      </c>
      <c r="BK24" s="1">
        <v>1</v>
      </c>
      <c r="BL24" s="1">
        <f t="shared" si="9"/>
        <v>0</v>
      </c>
      <c r="BM24" s="1">
        <f t="shared" si="10"/>
        <v>1</v>
      </c>
      <c r="BN24" s="1">
        <f t="shared" si="11"/>
        <v>0</v>
      </c>
      <c r="BO24" s="1">
        <f t="shared" si="12"/>
        <v>0</v>
      </c>
    </row>
    <row r="25" ht="15" spans="1:67">
      <c r="A25" s="1">
        <f t="shared" si="13"/>
        <v>23</v>
      </c>
      <c r="C25" s="4" t="str">
        <f>Cities_list!Z26</f>
        <v>Melbourne</v>
      </c>
      <c r="D25" s="1">
        <f t="shared" si="14"/>
        <v>1</v>
      </c>
      <c r="E25" s="1">
        <f t="shared" si="15"/>
        <v>0</v>
      </c>
      <c r="F25" s="1">
        <f t="shared" si="16"/>
        <v>1</v>
      </c>
      <c r="G25" s="1">
        <f t="shared" si="17"/>
        <v>0</v>
      </c>
      <c r="H25" s="17">
        <f t="shared" si="18"/>
        <v>1</v>
      </c>
      <c r="I25" s="1" t="str">
        <f t="shared" si="19"/>
        <v>Melbourne</v>
      </c>
      <c r="J25" s="27" t="str">
        <f t="shared" si="20"/>
        <v>Melbourne</v>
      </c>
      <c r="K25" s="30">
        <f t="shared" si="21"/>
        <v>0</v>
      </c>
      <c r="L25" s="31">
        <v>1</v>
      </c>
      <c r="M25" s="32"/>
      <c r="N25" s="24"/>
      <c r="P25" s="24">
        <f t="shared" si="31"/>
        <v>6</v>
      </c>
      <c r="Q25" s="24"/>
      <c r="S25" s="39"/>
      <c r="T25" s="32"/>
      <c r="U25" s="24">
        <v>0</v>
      </c>
      <c r="V25" s="1">
        <v>1</v>
      </c>
      <c r="W25" s="33">
        <v>1</v>
      </c>
      <c r="X25" s="33">
        <v>0</v>
      </c>
      <c r="Y25" s="33">
        <v>0</v>
      </c>
      <c r="Z25" s="33">
        <v>0</v>
      </c>
      <c r="AA25" s="33">
        <v>0</v>
      </c>
      <c r="AB25" s="44">
        <v>0</v>
      </c>
      <c r="AC25" s="45">
        <v>1</v>
      </c>
      <c r="AD25" s="45">
        <v>0</v>
      </c>
      <c r="AE25" s="49">
        <v>0</v>
      </c>
      <c r="AF25" s="43">
        <v>1</v>
      </c>
      <c r="AG25" s="43">
        <v>0</v>
      </c>
      <c r="AH25" s="43">
        <v>0</v>
      </c>
      <c r="AI25" s="43">
        <v>0</v>
      </c>
      <c r="AK25">
        <f t="shared" si="29"/>
        <v>2</v>
      </c>
      <c r="AL25" s="1">
        <f t="shared" si="30"/>
        <v>1</v>
      </c>
      <c r="AM25" s="47"/>
      <c r="AP25" s="1">
        <f t="shared" si="22"/>
        <v>1</v>
      </c>
      <c r="AQ25" s="1">
        <f t="shared" si="23"/>
        <v>1</v>
      </c>
      <c r="AR25" s="1">
        <f t="shared" si="24"/>
        <v>1</v>
      </c>
      <c r="AS25" s="1">
        <f t="shared" si="25"/>
        <v>1</v>
      </c>
      <c r="AT25" s="1">
        <f t="shared" si="26"/>
        <v>1</v>
      </c>
      <c r="AV25" s="1">
        <v>1</v>
      </c>
      <c r="AW25" s="1">
        <f t="shared" si="57"/>
        <v>0</v>
      </c>
      <c r="AX25" s="1">
        <f t="shared" si="58"/>
        <v>1</v>
      </c>
      <c r="AY25" s="1">
        <f t="shared" si="59"/>
        <v>0</v>
      </c>
      <c r="AZ25" s="1">
        <f t="shared" si="60"/>
        <v>0</v>
      </c>
      <c r="BA25" s="1">
        <f t="shared" si="61"/>
        <v>1</v>
      </c>
      <c r="BB25" s="1">
        <f t="shared" si="62"/>
        <v>0</v>
      </c>
      <c r="BC25" s="1">
        <f t="shared" si="63"/>
        <v>0</v>
      </c>
      <c r="BD25" s="1">
        <f t="shared" si="64"/>
        <v>0</v>
      </c>
      <c r="BE25" s="1">
        <f t="shared" si="65"/>
        <v>0</v>
      </c>
      <c r="BF25" s="1">
        <f t="shared" si="27"/>
        <v>1</v>
      </c>
      <c r="BG25" s="1">
        <f t="shared" si="28"/>
        <v>0</v>
      </c>
      <c r="BH25" s="1">
        <f t="shared" si="66"/>
        <v>0</v>
      </c>
      <c r="BI25" s="1">
        <f t="shared" si="67"/>
        <v>0</v>
      </c>
      <c r="BK25" s="1">
        <v>1</v>
      </c>
      <c r="BL25" s="1">
        <f t="shared" si="9"/>
        <v>1</v>
      </c>
      <c r="BM25" s="1">
        <f t="shared" si="10"/>
        <v>0</v>
      </c>
      <c r="BN25" s="1">
        <f t="shared" si="11"/>
        <v>0</v>
      </c>
      <c r="BO25" s="1">
        <f t="shared" si="12"/>
        <v>0</v>
      </c>
    </row>
    <row r="26" ht="15" spans="1:67">
      <c r="A26" s="1">
        <f t="shared" si="13"/>
        <v>24</v>
      </c>
      <c r="C26" s="4" t="str">
        <f>Cities_list!Z27</f>
        <v>Mexico City</v>
      </c>
      <c r="D26" s="1">
        <f t="shared" si="14"/>
        <v>1</v>
      </c>
      <c r="E26" s="1">
        <f t="shared" si="15"/>
        <v>0</v>
      </c>
      <c r="F26" s="1">
        <f t="shared" si="16"/>
        <v>1</v>
      </c>
      <c r="G26" s="1">
        <f t="shared" si="17"/>
        <v>0</v>
      </c>
      <c r="H26" s="17">
        <f t="shared" si="18"/>
        <v>1</v>
      </c>
      <c r="I26" s="1" t="str">
        <f t="shared" si="19"/>
        <v>MexicoCity</v>
      </c>
      <c r="J26" s="27" t="str">
        <f t="shared" si="20"/>
        <v>Mexico City</v>
      </c>
      <c r="K26" s="30">
        <f t="shared" si="21"/>
        <v>0</v>
      </c>
      <c r="L26" s="31">
        <v>1</v>
      </c>
      <c r="M26" s="32"/>
      <c r="N26" s="24"/>
      <c r="P26" s="24">
        <f t="shared" si="31"/>
        <v>2</v>
      </c>
      <c r="Q26" s="24"/>
      <c r="S26" s="39"/>
      <c r="T26" s="32"/>
      <c r="U26" s="24">
        <v>0</v>
      </c>
      <c r="V26" s="1">
        <v>1</v>
      </c>
      <c r="W26" s="33">
        <v>0</v>
      </c>
      <c r="X26" s="33">
        <v>0</v>
      </c>
      <c r="Y26" s="33">
        <v>1</v>
      </c>
      <c r="Z26" s="33">
        <v>0</v>
      </c>
      <c r="AA26" s="33">
        <v>0</v>
      </c>
      <c r="AB26" s="44">
        <v>0</v>
      </c>
      <c r="AC26" s="45">
        <v>0</v>
      </c>
      <c r="AD26" s="45">
        <v>1</v>
      </c>
      <c r="AE26" s="49">
        <v>0</v>
      </c>
      <c r="AF26" s="43">
        <v>0</v>
      </c>
      <c r="AG26" s="43">
        <v>0</v>
      </c>
      <c r="AH26" s="43">
        <v>0</v>
      </c>
      <c r="AI26" s="43">
        <v>1</v>
      </c>
      <c r="AK26">
        <f t="shared" si="29"/>
        <v>3</v>
      </c>
      <c r="AL26" s="1">
        <f t="shared" si="30"/>
        <v>3</v>
      </c>
      <c r="AM26" s="47"/>
      <c r="AP26" s="1">
        <f t="shared" si="22"/>
        <v>1</v>
      </c>
      <c r="AQ26" s="1">
        <f t="shared" si="23"/>
        <v>1</v>
      </c>
      <c r="AR26" s="1">
        <f t="shared" si="24"/>
        <v>1</v>
      </c>
      <c r="AS26" s="1">
        <f t="shared" si="25"/>
        <v>1</v>
      </c>
      <c r="AT26" s="1">
        <f t="shared" si="26"/>
        <v>1</v>
      </c>
      <c r="AV26" s="1">
        <v>1</v>
      </c>
      <c r="AW26" s="1">
        <f t="shared" si="57"/>
        <v>0</v>
      </c>
      <c r="AX26" s="1">
        <f t="shared" si="58"/>
        <v>0</v>
      </c>
      <c r="AY26" s="1">
        <f t="shared" si="59"/>
        <v>1</v>
      </c>
      <c r="AZ26" s="1">
        <f t="shared" si="60"/>
        <v>0</v>
      </c>
      <c r="BA26" s="1">
        <f t="shared" si="61"/>
        <v>0</v>
      </c>
      <c r="BB26" s="1">
        <f t="shared" si="62"/>
        <v>0</v>
      </c>
      <c r="BC26" s="1">
        <f t="shared" si="63"/>
        <v>1</v>
      </c>
      <c r="BD26" s="1">
        <f t="shared" si="64"/>
        <v>0</v>
      </c>
      <c r="BE26" s="1">
        <f t="shared" si="65"/>
        <v>0</v>
      </c>
      <c r="BF26" s="1">
        <f t="shared" si="27"/>
        <v>0</v>
      </c>
      <c r="BG26" s="1">
        <f t="shared" si="28"/>
        <v>0</v>
      </c>
      <c r="BH26" s="1">
        <f t="shared" si="66"/>
        <v>0</v>
      </c>
      <c r="BI26" s="1">
        <f t="shared" si="67"/>
        <v>1</v>
      </c>
      <c r="BK26" s="1">
        <v>1</v>
      </c>
      <c r="BL26" s="1">
        <f t="shared" si="9"/>
        <v>0</v>
      </c>
      <c r="BM26" s="1">
        <f t="shared" si="10"/>
        <v>0</v>
      </c>
      <c r="BN26" s="1">
        <f t="shared" si="11"/>
        <v>0</v>
      </c>
      <c r="BO26" s="1">
        <f t="shared" si="12"/>
        <v>1</v>
      </c>
    </row>
    <row r="27" ht="15" spans="1:67">
      <c r="A27" s="1">
        <f t="shared" si="13"/>
        <v>25</v>
      </c>
      <c r="C27" s="4" t="str">
        <f>Cities_list!Z28</f>
        <v>Milan</v>
      </c>
      <c r="D27" s="1">
        <f t="shared" si="14"/>
        <v>1</v>
      </c>
      <c r="E27" s="1">
        <f t="shared" si="15"/>
        <v>0</v>
      </c>
      <c r="F27" s="1">
        <f t="shared" si="16"/>
        <v>1</v>
      </c>
      <c r="G27" s="1">
        <f t="shared" si="17"/>
        <v>0</v>
      </c>
      <c r="H27" s="17">
        <f t="shared" si="18"/>
        <v>1</v>
      </c>
      <c r="I27" s="1" t="str">
        <f t="shared" si="19"/>
        <v>Milan</v>
      </c>
      <c r="J27" s="27" t="str">
        <f t="shared" si="20"/>
        <v>Milan</v>
      </c>
      <c r="K27" s="30">
        <f t="shared" si="21"/>
        <v>0</v>
      </c>
      <c r="L27" s="31">
        <v>1</v>
      </c>
      <c r="M27" s="32"/>
      <c r="N27" s="24"/>
      <c r="P27" s="24">
        <f t="shared" si="31"/>
        <v>1</v>
      </c>
      <c r="Q27" s="24"/>
      <c r="S27" s="39"/>
      <c r="T27" s="32"/>
      <c r="U27" s="24">
        <v>0</v>
      </c>
      <c r="V27" s="1">
        <v>1</v>
      </c>
      <c r="W27" s="33">
        <v>0</v>
      </c>
      <c r="X27" s="33">
        <v>1</v>
      </c>
      <c r="Y27" s="33">
        <v>0</v>
      </c>
      <c r="Z27" s="33">
        <v>0</v>
      </c>
      <c r="AA27" s="33">
        <v>0</v>
      </c>
      <c r="AB27" s="44">
        <v>0</v>
      </c>
      <c r="AC27" s="45">
        <v>1</v>
      </c>
      <c r="AD27" s="45">
        <v>0</v>
      </c>
      <c r="AE27" s="49">
        <v>0</v>
      </c>
      <c r="AF27" s="43">
        <v>1</v>
      </c>
      <c r="AG27" s="43">
        <v>0</v>
      </c>
      <c r="AH27" s="43">
        <v>0</v>
      </c>
      <c r="AI27" s="43">
        <v>0</v>
      </c>
      <c r="AK27">
        <f t="shared" si="29"/>
        <v>2</v>
      </c>
      <c r="AL27" s="1">
        <f t="shared" si="30"/>
        <v>2</v>
      </c>
      <c r="AM27" s="47"/>
      <c r="AP27" s="1">
        <f t="shared" si="22"/>
        <v>1</v>
      </c>
      <c r="AQ27" s="1">
        <f t="shared" si="23"/>
        <v>1</v>
      </c>
      <c r="AR27" s="1">
        <f t="shared" si="24"/>
        <v>1</v>
      </c>
      <c r="AS27" s="1">
        <f t="shared" si="25"/>
        <v>1</v>
      </c>
      <c r="AT27" s="1">
        <f t="shared" si="26"/>
        <v>1</v>
      </c>
      <c r="AV27" s="1">
        <v>1</v>
      </c>
      <c r="AW27" s="1">
        <f t="shared" si="57"/>
        <v>0</v>
      </c>
      <c r="AX27" s="1">
        <f t="shared" si="58"/>
        <v>1</v>
      </c>
      <c r="AY27" s="1">
        <f t="shared" si="59"/>
        <v>0</v>
      </c>
      <c r="AZ27" s="1">
        <f t="shared" si="60"/>
        <v>0</v>
      </c>
      <c r="BA27" s="1">
        <f t="shared" si="61"/>
        <v>0</v>
      </c>
      <c r="BB27" s="1">
        <f t="shared" si="62"/>
        <v>1</v>
      </c>
      <c r="BC27" s="1">
        <f t="shared" si="63"/>
        <v>0</v>
      </c>
      <c r="BD27" s="1">
        <f t="shared" si="64"/>
        <v>0</v>
      </c>
      <c r="BE27" s="1">
        <f t="shared" si="65"/>
        <v>0</v>
      </c>
      <c r="BF27" s="1">
        <f t="shared" si="27"/>
        <v>1</v>
      </c>
      <c r="BG27" s="1">
        <f t="shared" si="28"/>
        <v>0</v>
      </c>
      <c r="BH27" s="1">
        <f t="shared" si="66"/>
        <v>0</v>
      </c>
      <c r="BI27" s="1">
        <f t="shared" si="67"/>
        <v>0</v>
      </c>
      <c r="BK27" s="1">
        <v>1</v>
      </c>
      <c r="BL27" s="1">
        <f t="shared" si="9"/>
        <v>1</v>
      </c>
      <c r="BM27" s="1">
        <f t="shared" si="10"/>
        <v>0</v>
      </c>
      <c r="BN27" s="1">
        <f t="shared" si="11"/>
        <v>0</v>
      </c>
      <c r="BO27" s="1">
        <f t="shared" si="12"/>
        <v>0</v>
      </c>
    </row>
    <row r="28" ht="15" spans="1:67">
      <c r="A28" s="1">
        <f t="shared" si="13"/>
        <v>26</v>
      </c>
      <c r="C28" s="4" t="str">
        <f>Cities_list!Z29</f>
        <v>Montreal</v>
      </c>
      <c r="D28" s="1">
        <f t="shared" si="14"/>
        <v>1</v>
      </c>
      <c r="E28" s="1">
        <f t="shared" si="15"/>
        <v>0</v>
      </c>
      <c r="F28" s="1">
        <f t="shared" si="16"/>
        <v>1</v>
      </c>
      <c r="G28" s="1">
        <f t="shared" si="17"/>
        <v>0</v>
      </c>
      <c r="H28" s="17">
        <f t="shared" si="18"/>
        <v>1</v>
      </c>
      <c r="I28" s="1" t="str">
        <f t="shared" si="19"/>
        <v>Montreal</v>
      </c>
      <c r="J28" s="27" t="str">
        <f t="shared" si="20"/>
        <v>Montreal</v>
      </c>
      <c r="K28" s="30">
        <f t="shared" si="21"/>
        <v>0</v>
      </c>
      <c r="L28" s="31">
        <v>1</v>
      </c>
      <c r="M28" s="32"/>
      <c r="N28" s="24"/>
      <c r="P28" s="24">
        <f t="shared" si="31"/>
        <v>4</v>
      </c>
      <c r="Q28" s="24"/>
      <c r="S28" s="39"/>
      <c r="T28" s="32"/>
      <c r="U28" s="24">
        <v>0</v>
      </c>
      <c r="V28" s="1">
        <v>1</v>
      </c>
      <c r="W28" s="33">
        <v>0</v>
      </c>
      <c r="X28" s="33">
        <v>0</v>
      </c>
      <c r="Y28" s="33">
        <v>0</v>
      </c>
      <c r="Z28" s="33">
        <v>0</v>
      </c>
      <c r="AA28" s="33">
        <v>1</v>
      </c>
      <c r="AB28" s="44">
        <v>0</v>
      </c>
      <c r="AC28" s="45">
        <v>1</v>
      </c>
      <c r="AD28" s="45">
        <v>0</v>
      </c>
      <c r="AE28" s="49">
        <v>0</v>
      </c>
      <c r="AF28" s="43">
        <v>1</v>
      </c>
      <c r="AG28" s="43">
        <v>0</v>
      </c>
      <c r="AH28" s="43">
        <v>0</v>
      </c>
      <c r="AI28" s="43">
        <v>0</v>
      </c>
      <c r="AK28">
        <f t="shared" si="29"/>
        <v>2</v>
      </c>
      <c r="AL28" s="1">
        <f t="shared" si="30"/>
        <v>5</v>
      </c>
      <c r="AM28" s="47"/>
      <c r="AP28" s="1">
        <f t="shared" si="22"/>
        <v>1</v>
      </c>
      <c r="AQ28" s="1">
        <f t="shared" si="23"/>
        <v>1</v>
      </c>
      <c r="AR28" s="1">
        <f t="shared" si="24"/>
        <v>1</v>
      </c>
      <c r="AS28" s="1">
        <f t="shared" si="25"/>
        <v>1</v>
      </c>
      <c r="AT28" s="1">
        <f t="shared" si="26"/>
        <v>1</v>
      </c>
      <c r="AV28" s="1">
        <v>1</v>
      </c>
      <c r="AW28" s="1">
        <f t="shared" si="57"/>
        <v>0</v>
      </c>
      <c r="AX28" s="1">
        <f t="shared" si="58"/>
        <v>1</v>
      </c>
      <c r="AY28" s="1">
        <f t="shared" si="59"/>
        <v>0</v>
      </c>
      <c r="AZ28" s="1">
        <f t="shared" si="60"/>
        <v>0</v>
      </c>
      <c r="BA28" s="1">
        <f t="shared" si="61"/>
        <v>0</v>
      </c>
      <c r="BB28" s="1">
        <f t="shared" si="62"/>
        <v>0</v>
      </c>
      <c r="BC28" s="1">
        <f t="shared" si="63"/>
        <v>0</v>
      </c>
      <c r="BD28" s="1">
        <f t="shared" si="64"/>
        <v>0</v>
      </c>
      <c r="BE28" s="1">
        <f t="shared" si="65"/>
        <v>1</v>
      </c>
      <c r="BF28" s="1">
        <f t="shared" si="27"/>
        <v>1</v>
      </c>
      <c r="BG28" s="1">
        <f t="shared" si="28"/>
        <v>0</v>
      </c>
      <c r="BH28" s="1">
        <f t="shared" si="66"/>
        <v>0</v>
      </c>
      <c r="BI28" s="1">
        <f t="shared" si="67"/>
        <v>0</v>
      </c>
      <c r="BK28" s="1">
        <v>1</v>
      </c>
      <c r="BL28" s="1">
        <f t="shared" si="9"/>
        <v>1</v>
      </c>
      <c r="BM28" s="1">
        <f t="shared" si="10"/>
        <v>0</v>
      </c>
      <c r="BN28" s="1">
        <f t="shared" si="11"/>
        <v>0</v>
      </c>
      <c r="BO28" s="1">
        <f t="shared" si="12"/>
        <v>0</v>
      </c>
    </row>
    <row r="29" ht="15" spans="1:67">
      <c r="A29" s="1">
        <f t="shared" si="13"/>
        <v>27</v>
      </c>
      <c r="C29" s="4" t="str">
        <f>Cities_list!Z30</f>
        <v>Moscow</v>
      </c>
      <c r="D29" s="1">
        <f t="shared" si="14"/>
        <v>1</v>
      </c>
      <c r="E29" s="1">
        <f t="shared" si="15"/>
        <v>0</v>
      </c>
      <c r="F29" s="1">
        <f t="shared" si="16"/>
        <v>1</v>
      </c>
      <c r="G29" s="1">
        <f t="shared" si="17"/>
        <v>0</v>
      </c>
      <c r="H29" s="17">
        <f t="shared" si="18"/>
        <v>1</v>
      </c>
      <c r="I29" s="1" t="str">
        <f t="shared" si="19"/>
        <v>Moscow</v>
      </c>
      <c r="J29" s="27" t="str">
        <f t="shared" si="20"/>
        <v>Moscow</v>
      </c>
      <c r="K29" s="30">
        <f t="shared" si="21"/>
        <v>0</v>
      </c>
      <c r="L29" s="31">
        <v>1</v>
      </c>
      <c r="M29" s="32"/>
      <c r="N29" s="24"/>
      <c r="P29" s="24">
        <f t="shared" si="31"/>
        <v>1</v>
      </c>
      <c r="Q29" s="24"/>
      <c r="S29" s="39"/>
      <c r="T29" s="32"/>
      <c r="U29" s="24">
        <v>0</v>
      </c>
      <c r="V29" s="1">
        <v>1</v>
      </c>
      <c r="W29" s="33">
        <v>0</v>
      </c>
      <c r="X29" s="33">
        <v>1</v>
      </c>
      <c r="Y29" s="33">
        <v>0</v>
      </c>
      <c r="Z29" s="33">
        <v>0</v>
      </c>
      <c r="AA29" s="33">
        <v>0</v>
      </c>
      <c r="AB29" s="44">
        <v>0</v>
      </c>
      <c r="AC29" s="45">
        <v>0</v>
      </c>
      <c r="AD29" s="45">
        <v>1</v>
      </c>
      <c r="AE29" s="49">
        <v>0</v>
      </c>
      <c r="AF29" s="43">
        <v>0</v>
      </c>
      <c r="AG29" s="43">
        <v>0</v>
      </c>
      <c r="AH29" s="43">
        <v>1</v>
      </c>
      <c r="AI29" s="43">
        <v>0</v>
      </c>
      <c r="AK29">
        <f t="shared" si="29"/>
        <v>3</v>
      </c>
      <c r="AL29" s="1">
        <f t="shared" si="30"/>
        <v>2</v>
      </c>
      <c r="AM29" s="47"/>
      <c r="AP29" s="1">
        <f t="shared" si="22"/>
        <v>1</v>
      </c>
      <c r="AQ29" s="1">
        <f t="shared" si="23"/>
        <v>1</v>
      </c>
      <c r="AR29" s="1">
        <f t="shared" si="24"/>
        <v>1</v>
      </c>
      <c r="AS29" s="1">
        <f t="shared" si="25"/>
        <v>1</v>
      </c>
      <c r="AT29" s="1">
        <f t="shared" si="26"/>
        <v>1</v>
      </c>
      <c r="AV29" s="1">
        <v>1</v>
      </c>
      <c r="AW29" s="1">
        <f t="shared" si="57"/>
        <v>0</v>
      </c>
      <c r="AX29" s="1">
        <f t="shared" si="58"/>
        <v>0</v>
      </c>
      <c r="AY29" s="1">
        <f t="shared" si="59"/>
        <v>1</v>
      </c>
      <c r="AZ29" s="1">
        <f t="shared" si="60"/>
        <v>0</v>
      </c>
      <c r="BA29" s="1">
        <f t="shared" si="61"/>
        <v>0</v>
      </c>
      <c r="BB29" s="1">
        <f t="shared" si="62"/>
        <v>1</v>
      </c>
      <c r="BC29" s="1">
        <f t="shared" si="63"/>
        <v>0</v>
      </c>
      <c r="BD29" s="1">
        <f t="shared" si="64"/>
        <v>0</v>
      </c>
      <c r="BE29" s="1">
        <f t="shared" si="65"/>
        <v>0</v>
      </c>
      <c r="BF29" s="1">
        <f t="shared" si="27"/>
        <v>0</v>
      </c>
      <c r="BG29" s="1">
        <f t="shared" si="28"/>
        <v>0</v>
      </c>
      <c r="BH29" s="1">
        <f t="shared" si="66"/>
        <v>1</v>
      </c>
      <c r="BI29" s="1">
        <f t="shared" si="67"/>
        <v>0</v>
      </c>
      <c r="BK29" s="1">
        <v>1</v>
      </c>
      <c r="BL29" s="1">
        <f t="shared" si="9"/>
        <v>0</v>
      </c>
      <c r="BM29" s="1">
        <f t="shared" si="10"/>
        <v>0</v>
      </c>
      <c r="BN29" s="1">
        <f t="shared" si="11"/>
        <v>1</v>
      </c>
      <c r="BO29" s="1">
        <f t="shared" si="12"/>
        <v>0</v>
      </c>
    </row>
    <row r="30" ht="15" spans="1:67">
      <c r="A30" s="1">
        <f t="shared" si="13"/>
        <v>28</v>
      </c>
      <c r="C30" s="4" t="str">
        <f>Cities_list!Z31</f>
        <v>Mumbai</v>
      </c>
      <c r="D30" s="1">
        <f t="shared" si="14"/>
        <v>1</v>
      </c>
      <c r="E30" s="1">
        <f t="shared" si="15"/>
        <v>0</v>
      </c>
      <c r="F30" s="1">
        <f t="shared" si="16"/>
        <v>1</v>
      </c>
      <c r="G30" s="1">
        <f t="shared" si="17"/>
        <v>0</v>
      </c>
      <c r="H30" s="17">
        <f t="shared" si="18"/>
        <v>1</v>
      </c>
      <c r="I30" s="1" t="str">
        <f t="shared" si="19"/>
        <v>Mumbai</v>
      </c>
      <c r="J30" s="27" t="str">
        <f t="shared" si="20"/>
        <v>Mumbai</v>
      </c>
      <c r="K30" s="30">
        <f t="shared" si="21"/>
        <v>0</v>
      </c>
      <c r="L30" s="31">
        <v>1</v>
      </c>
      <c r="M30" s="32"/>
      <c r="N30" s="24"/>
      <c r="P30" s="24">
        <f t="shared" si="31"/>
        <v>8</v>
      </c>
      <c r="Q30" s="24"/>
      <c r="S30" s="39"/>
      <c r="T30" s="32"/>
      <c r="U30" s="24">
        <v>0</v>
      </c>
      <c r="V30" s="1">
        <v>1</v>
      </c>
      <c r="W30" s="33">
        <v>1</v>
      </c>
      <c r="X30" s="33">
        <v>0</v>
      </c>
      <c r="Y30" s="33">
        <v>0</v>
      </c>
      <c r="Z30" s="33">
        <v>0</v>
      </c>
      <c r="AA30" s="33">
        <v>0</v>
      </c>
      <c r="AB30" s="44">
        <v>0</v>
      </c>
      <c r="AC30" s="45">
        <v>0</v>
      </c>
      <c r="AD30" s="45">
        <v>0</v>
      </c>
      <c r="AE30" s="49">
        <v>1</v>
      </c>
      <c r="AF30" s="43">
        <v>0</v>
      </c>
      <c r="AG30" s="43">
        <v>0</v>
      </c>
      <c r="AH30" s="43">
        <v>0</v>
      </c>
      <c r="AI30" s="43">
        <v>1</v>
      </c>
      <c r="AK30">
        <f t="shared" si="29"/>
        <v>4</v>
      </c>
      <c r="AL30" s="1">
        <f t="shared" si="30"/>
        <v>1</v>
      </c>
      <c r="AM30" s="47"/>
      <c r="AP30" s="1">
        <f t="shared" si="22"/>
        <v>1</v>
      </c>
      <c r="AQ30" s="1">
        <f t="shared" si="23"/>
        <v>1</v>
      </c>
      <c r="AR30" s="1">
        <f t="shared" si="24"/>
        <v>1</v>
      </c>
      <c r="AS30" s="1">
        <f t="shared" si="25"/>
        <v>1</v>
      </c>
      <c r="AT30" s="1">
        <f t="shared" si="26"/>
        <v>1</v>
      </c>
      <c r="AV30" s="1">
        <v>1</v>
      </c>
      <c r="AW30" s="1">
        <f t="shared" si="57"/>
        <v>0</v>
      </c>
      <c r="AX30" s="1">
        <f t="shared" si="58"/>
        <v>0</v>
      </c>
      <c r="AY30" s="1">
        <f t="shared" si="59"/>
        <v>0</v>
      </c>
      <c r="AZ30" s="1">
        <f t="shared" si="60"/>
        <v>1</v>
      </c>
      <c r="BA30" s="1">
        <f t="shared" si="61"/>
        <v>1</v>
      </c>
      <c r="BB30" s="1">
        <f t="shared" si="62"/>
        <v>0</v>
      </c>
      <c r="BC30" s="1">
        <f t="shared" si="63"/>
        <v>0</v>
      </c>
      <c r="BD30" s="1">
        <f t="shared" si="64"/>
        <v>0</v>
      </c>
      <c r="BE30" s="1">
        <f t="shared" si="65"/>
        <v>0</v>
      </c>
      <c r="BF30" s="1">
        <f t="shared" si="27"/>
        <v>0</v>
      </c>
      <c r="BG30" s="1">
        <f t="shared" si="28"/>
        <v>0</v>
      </c>
      <c r="BH30" s="1">
        <f t="shared" si="66"/>
        <v>0</v>
      </c>
      <c r="BI30" s="1">
        <f t="shared" si="67"/>
        <v>1</v>
      </c>
      <c r="BK30" s="1">
        <v>1</v>
      </c>
      <c r="BL30" s="1">
        <f t="shared" si="9"/>
        <v>0</v>
      </c>
      <c r="BM30" s="1">
        <f t="shared" si="10"/>
        <v>0</v>
      </c>
      <c r="BN30" s="1">
        <f t="shared" si="11"/>
        <v>0</v>
      </c>
      <c r="BO30" s="1">
        <f t="shared" si="12"/>
        <v>1</v>
      </c>
    </row>
    <row r="31" ht="15" spans="1:67">
      <c r="A31" s="1">
        <f t="shared" si="13"/>
        <v>29</v>
      </c>
      <c r="C31" s="4" t="str">
        <f>Cities_list!Z32</f>
        <v>New York</v>
      </c>
      <c r="D31" s="1">
        <f t="shared" si="14"/>
        <v>1</v>
      </c>
      <c r="E31" s="1">
        <f t="shared" si="15"/>
        <v>0</v>
      </c>
      <c r="F31" s="1">
        <f t="shared" si="16"/>
        <v>1</v>
      </c>
      <c r="G31" s="1">
        <f t="shared" si="17"/>
        <v>0</v>
      </c>
      <c r="H31" s="17">
        <f t="shared" si="18"/>
        <v>1</v>
      </c>
      <c r="I31" s="1" t="str">
        <f t="shared" si="19"/>
        <v>NewYork</v>
      </c>
      <c r="J31" s="27" t="str">
        <f t="shared" si="20"/>
        <v>New York</v>
      </c>
      <c r="K31" s="30">
        <f t="shared" si="21"/>
        <v>0</v>
      </c>
      <c r="L31" s="31">
        <v>1</v>
      </c>
      <c r="M31" s="32"/>
      <c r="N31" s="24"/>
      <c r="P31" s="24">
        <f t="shared" si="31"/>
        <v>4</v>
      </c>
      <c r="Q31" s="24"/>
      <c r="S31" s="39"/>
      <c r="T31" s="32"/>
      <c r="U31" s="24">
        <v>0</v>
      </c>
      <c r="V31" s="1">
        <v>1</v>
      </c>
      <c r="W31" s="33">
        <v>0</v>
      </c>
      <c r="X31" s="33">
        <v>0</v>
      </c>
      <c r="Y31" s="33">
        <v>0</v>
      </c>
      <c r="Z31" s="33">
        <v>0</v>
      </c>
      <c r="AA31" s="33">
        <v>1</v>
      </c>
      <c r="AB31" s="44">
        <v>1</v>
      </c>
      <c r="AC31" s="45">
        <v>0</v>
      </c>
      <c r="AD31" s="45">
        <v>0</v>
      </c>
      <c r="AE31" s="49">
        <v>0</v>
      </c>
      <c r="AF31" s="43">
        <v>0</v>
      </c>
      <c r="AG31" s="43">
        <v>0</v>
      </c>
      <c r="AH31" s="43">
        <v>0</v>
      </c>
      <c r="AI31" s="43">
        <v>1</v>
      </c>
      <c r="AK31">
        <f t="shared" si="29"/>
        <v>1</v>
      </c>
      <c r="AL31" s="1">
        <f t="shared" si="30"/>
        <v>5</v>
      </c>
      <c r="AM31" s="47"/>
      <c r="AP31" s="1">
        <f t="shared" si="22"/>
        <v>1</v>
      </c>
      <c r="AQ31" s="1">
        <f t="shared" si="23"/>
        <v>1</v>
      </c>
      <c r="AR31" s="1">
        <f t="shared" si="24"/>
        <v>1</v>
      </c>
      <c r="AS31" s="1">
        <f t="shared" si="25"/>
        <v>1</v>
      </c>
      <c r="AT31" s="1">
        <f t="shared" si="26"/>
        <v>1</v>
      </c>
      <c r="AV31" s="1">
        <v>1</v>
      </c>
      <c r="AW31" s="1">
        <f t="shared" si="57"/>
        <v>1</v>
      </c>
      <c r="AX31" s="1">
        <f t="shared" si="58"/>
        <v>0</v>
      </c>
      <c r="AY31" s="1">
        <f t="shared" si="59"/>
        <v>0</v>
      </c>
      <c r="AZ31" s="1">
        <f t="shared" si="60"/>
        <v>0</v>
      </c>
      <c r="BA31" s="1">
        <f t="shared" si="61"/>
        <v>0</v>
      </c>
      <c r="BB31" s="1">
        <f t="shared" si="62"/>
        <v>0</v>
      </c>
      <c r="BC31" s="1">
        <f t="shared" si="63"/>
        <v>0</v>
      </c>
      <c r="BD31" s="1">
        <f t="shared" si="64"/>
        <v>0</v>
      </c>
      <c r="BE31" s="1">
        <f t="shared" si="65"/>
        <v>1</v>
      </c>
      <c r="BF31" s="1">
        <f t="shared" si="27"/>
        <v>0</v>
      </c>
      <c r="BG31" s="1">
        <f t="shared" si="28"/>
        <v>0</v>
      </c>
      <c r="BH31" s="1">
        <f t="shared" si="66"/>
        <v>0</v>
      </c>
      <c r="BI31" s="1">
        <f t="shared" si="67"/>
        <v>1</v>
      </c>
      <c r="BK31" s="1">
        <v>1</v>
      </c>
      <c r="BL31" s="1">
        <f t="shared" si="9"/>
        <v>0</v>
      </c>
      <c r="BM31" s="1">
        <f t="shared" si="10"/>
        <v>0</v>
      </c>
      <c r="BN31" s="1">
        <f t="shared" si="11"/>
        <v>0</v>
      </c>
      <c r="BO31" s="1">
        <f t="shared" si="12"/>
        <v>1</v>
      </c>
    </row>
    <row r="32" ht="15" spans="1:67">
      <c r="A32" s="1">
        <f t="shared" si="13"/>
        <v>30</v>
      </c>
      <c r="C32" s="4" t="str">
        <f>Cities_list!Z33</f>
        <v>Osaka</v>
      </c>
      <c r="D32" s="1">
        <f t="shared" si="14"/>
        <v>1</v>
      </c>
      <c r="E32" s="1">
        <f t="shared" si="15"/>
        <v>0</v>
      </c>
      <c r="F32" s="1">
        <f t="shared" si="16"/>
        <v>1</v>
      </c>
      <c r="G32" s="1">
        <f t="shared" si="17"/>
        <v>0</v>
      </c>
      <c r="H32" s="17">
        <f t="shared" si="18"/>
        <v>1</v>
      </c>
      <c r="I32" s="1" t="str">
        <f t="shared" si="19"/>
        <v>Osaka</v>
      </c>
      <c r="J32" s="27" t="str">
        <f t="shared" si="20"/>
        <v>Osaka</v>
      </c>
      <c r="K32" s="30">
        <f t="shared" si="21"/>
        <v>0</v>
      </c>
      <c r="L32" s="31">
        <v>1</v>
      </c>
      <c r="M32" s="32"/>
      <c r="N32" s="24"/>
      <c r="P32" s="24">
        <f t="shared" si="31"/>
        <v>6</v>
      </c>
      <c r="Q32" s="24"/>
      <c r="S32" s="39"/>
      <c r="T32" s="32"/>
      <c r="U32" s="24">
        <v>0</v>
      </c>
      <c r="V32" s="1">
        <v>1</v>
      </c>
      <c r="W32" s="33">
        <v>1</v>
      </c>
      <c r="X32" s="33">
        <v>0</v>
      </c>
      <c r="Y32" s="33">
        <v>0</v>
      </c>
      <c r="Z32" s="33">
        <v>0</v>
      </c>
      <c r="AA32" s="33">
        <v>0</v>
      </c>
      <c r="AB32" s="44">
        <v>0</v>
      </c>
      <c r="AC32" s="45">
        <v>1</v>
      </c>
      <c r="AD32" s="45">
        <v>0</v>
      </c>
      <c r="AE32" s="49">
        <v>0</v>
      </c>
      <c r="AF32" s="43">
        <v>0</v>
      </c>
      <c r="AG32" s="43">
        <v>0</v>
      </c>
      <c r="AH32" s="43">
        <v>0</v>
      </c>
      <c r="AI32" s="43">
        <v>1</v>
      </c>
      <c r="AK32">
        <f t="shared" si="29"/>
        <v>2</v>
      </c>
      <c r="AL32" s="1">
        <f t="shared" si="30"/>
        <v>1</v>
      </c>
      <c r="AM32" s="47"/>
      <c r="AP32" s="1">
        <f t="shared" si="22"/>
        <v>1</v>
      </c>
      <c r="AQ32" s="1">
        <f t="shared" si="23"/>
        <v>1</v>
      </c>
      <c r="AR32" s="1">
        <f t="shared" si="24"/>
        <v>1</v>
      </c>
      <c r="AS32" s="1">
        <f t="shared" si="25"/>
        <v>1</v>
      </c>
      <c r="AT32" s="1">
        <f t="shared" si="26"/>
        <v>1</v>
      </c>
      <c r="AV32" s="1">
        <v>1</v>
      </c>
      <c r="AW32" s="1">
        <f t="shared" si="57"/>
        <v>0</v>
      </c>
      <c r="AX32" s="1">
        <f t="shared" si="58"/>
        <v>1</v>
      </c>
      <c r="AY32" s="1">
        <f t="shared" si="59"/>
        <v>0</v>
      </c>
      <c r="AZ32" s="1">
        <f t="shared" si="60"/>
        <v>0</v>
      </c>
      <c r="BA32" s="1">
        <f t="shared" si="61"/>
        <v>1</v>
      </c>
      <c r="BB32" s="1">
        <f t="shared" si="62"/>
        <v>0</v>
      </c>
      <c r="BC32" s="1">
        <f t="shared" si="63"/>
        <v>0</v>
      </c>
      <c r="BD32" s="1">
        <f t="shared" si="64"/>
        <v>0</v>
      </c>
      <c r="BE32" s="1">
        <f t="shared" si="65"/>
        <v>0</v>
      </c>
      <c r="BF32" s="1">
        <f t="shared" si="27"/>
        <v>0</v>
      </c>
      <c r="BG32" s="1">
        <f t="shared" si="28"/>
        <v>0</v>
      </c>
      <c r="BH32" s="1">
        <f t="shared" si="66"/>
        <v>0</v>
      </c>
      <c r="BI32" s="1">
        <f t="shared" si="67"/>
        <v>1</v>
      </c>
      <c r="BK32" s="1">
        <v>1</v>
      </c>
      <c r="BL32" s="1">
        <f t="shared" si="9"/>
        <v>0</v>
      </c>
      <c r="BM32" s="1">
        <f t="shared" si="10"/>
        <v>0</v>
      </c>
      <c r="BN32" s="1">
        <f t="shared" si="11"/>
        <v>0</v>
      </c>
      <c r="BO32" s="1">
        <f t="shared" si="12"/>
        <v>1</v>
      </c>
    </row>
    <row r="33" ht="15" spans="1:67">
      <c r="A33" s="1">
        <f t="shared" si="13"/>
        <v>31</v>
      </c>
      <c r="C33" s="4" t="str">
        <f>Cities_list!Z34</f>
        <v>Paris</v>
      </c>
      <c r="D33" s="1">
        <f t="shared" si="14"/>
        <v>1</v>
      </c>
      <c r="E33" s="1">
        <f t="shared" si="15"/>
        <v>0</v>
      </c>
      <c r="F33" s="1">
        <f t="shared" si="16"/>
        <v>1</v>
      </c>
      <c r="G33" s="1">
        <f t="shared" si="17"/>
        <v>0</v>
      </c>
      <c r="H33" s="17">
        <f t="shared" si="18"/>
        <v>1</v>
      </c>
      <c r="I33" s="1" t="str">
        <f t="shared" si="19"/>
        <v>Paris</v>
      </c>
      <c r="J33" s="27" t="str">
        <f t="shared" si="20"/>
        <v>Paris</v>
      </c>
      <c r="K33" s="30">
        <f t="shared" si="21"/>
        <v>0</v>
      </c>
      <c r="L33" s="31">
        <v>1</v>
      </c>
      <c r="M33" s="32"/>
      <c r="N33" s="24"/>
      <c r="P33" s="24">
        <f t="shared" si="31"/>
        <v>1</v>
      </c>
      <c r="Q33" s="24"/>
      <c r="S33" s="39"/>
      <c r="T33" s="32"/>
      <c r="U33" s="24">
        <v>0</v>
      </c>
      <c r="V33" s="1">
        <v>1</v>
      </c>
      <c r="W33" s="33">
        <v>0</v>
      </c>
      <c r="X33" s="33">
        <v>1</v>
      </c>
      <c r="Y33" s="33">
        <v>0</v>
      </c>
      <c r="Z33" s="33">
        <v>0</v>
      </c>
      <c r="AA33" s="33">
        <v>0</v>
      </c>
      <c r="AB33" s="44">
        <v>0</v>
      </c>
      <c r="AC33" s="45">
        <v>1</v>
      </c>
      <c r="AD33" s="45">
        <v>0</v>
      </c>
      <c r="AE33" s="49">
        <v>0</v>
      </c>
      <c r="AF33" s="43">
        <v>0</v>
      </c>
      <c r="AG33" s="43">
        <v>0</v>
      </c>
      <c r="AH33" s="43">
        <v>1</v>
      </c>
      <c r="AI33" s="43">
        <v>0</v>
      </c>
      <c r="AK33">
        <f t="shared" si="29"/>
        <v>2</v>
      </c>
      <c r="AL33" s="1">
        <f t="shared" si="30"/>
        <v>2</v>
      </c>
      <c r="AM33" s="47"/>
      <c r="AP33" s="1">
        <f t="shared" si="22"/>
        <v>1</v>
      </c>
      <c r="AQ33" s="1">
        <f t="shared" si="23"/>
        <v>1</v>
      </c>
      <c r="AR33" s="1">
        <f t="shared" si="24"/>
        <v>1</v>
      </c>
      <c r="AS33" s="1">
        <f t="shared" si="25"/>
        <v>1</v>
      </c>
      <c r="AT33" s="1">
        <f t="shared" si="26"/>
        <v>1</v>
      </c>
      <c r="AV33" s="1">
        <v>1</v>
      </c>
      <c r="AW33" s="1">
        <f t="shared" si="57"/>
        <v>0</v>
      </c>
      <c r="AX33" s="1">
        <f t="shared" si="58"/>
        <v>1</v>
      </c>
      <c r="AY33" s="1">
        <f t="shared" si="59"/>
        <v>0</v>
      </c>
      <c r="AZ33" s="1">
        <f t="shared" si="60"/>
        <v>0</v>
      </c>
      <c r="BA33" s="1">
        <f t="shared" si="61"/>
        <v>0</v>
      </c>
      <c r="BB33" s="1">
        <f t="shared" si="62"/>
        <v>1</v>
      </c>
      <c r="BC33" s="1">
        <f t="shared" si="63"/>
        <v>0</v>
      </c>
      <c r="BD33" s="1">
        <f t="shared" si="64"/>
        <v>0</v>
      </c>
      <c r="BE33" s="1">
        <f t="shared" si="65"/>
        <v>0</v>
      </c>
      <c r="BF33" s="1">
        <f t="shared" si="27"/>
        <v>0</v>
      </c>
      <c r="BG33" s="1">
        <f t="shared" si="28"/>
        <v>0</v>
      </c>
      <c r="BH33" s="1">
        <f t="shared" si="66"/>
        <v>1</v>
      </c>
      <c r="BI33" s="1">
        <f t="shared" si="67"/>
        <v>0</v>
      </c>
      <c r="BK33" s="1">
        <v>1</v>
      </c>
      <c r="BL33" s="1">
        <f t="shared" si="9"/>
        <v>0</v>
      </c>
      <c r="BM33" s="1">
        <f t="shared" si="10"/>
        <v>0</v>
      </c>
      <c r="BN33" s="1">
        <f t="shared" si="11"/>
        <v>1</v>
      </c>
      <c r="BO33" s="1">
        <f t="shared" si="12"/>
        <v>0</v>
      </c>
    </row>
    <row r="34" ht="15" spans="1:67">
      <c r="A34" s="1">
        <f t="shared" si="13"/>
        <v>32</v>
      </c>
      <c r="C34" s="4" t="str">
        <f>Cities_list!Z35</f>
        <v>Rio de Janeiro</v>
      </c>
      <c r="D34" s="1">
        <f t="shared" si="14"/>
        <v>1</v>
      </c>
      <c r="E34" s="1">
        <f t="shared" si="15"/>
        <v>0</v>
      </c>
      <c r="F34" s="1">
        <f t="shared" si="16"/>
        <v>1</v>
      </c>
      <c r="G34" s="1">
        <f t="shared" si="17"/>
        <v>0</v>
      </c>
      <c r="H34" s="17">
        <f t="shared" si="18"/>
        <v>1</v>
      </c>
      <c r="I34" s="1" t="str">
        <f t="shared" si="19"/>
        <v>RiodeJaneiro</v>
      </c>
      <c r="J34" s="27" t="str">
        <f t="shared" si="20"/>
        <v>Rio de Janeiro</v>
      </c>
      <c r="K34" s="30">
        <f t="shared" si="21"/>
        <v>0</v>
      </c>
      <c r="L34" s="31">
        <v>1</v>
      </c>
      <c r="M34" s="32"/>
      <c r="N34" s="24"/>
      <c r="P34" s="24">
        <f t="shared" si="31"/>
        <v>2</v>
      </c>
      <c r="Q34" s="24"/>
      <c r="S34" s="39"/>
      <c r="T34" s="32"/>
      <c r="U34" s="24">
        <v>0</v>
      </c>
      <c r="V34" s="1">
        <v>1</v>
      </c>
      <c r="W34" s="33">
        <v>0</v>
      </c>
      <c r="X34" s="33">
        <v>0</v>
      </c>
      <c r="Y34" s="33">
        <v>1</v>
      </c>
      <c r="Z34" s="33">
        <v>0</v>
      </c>
      <c r="AA34" s="33">
        <v>0</v>
      </c>
      <c r="AB34" s="44">
        <v>0</v>
      </c>
      <c r="AC34" s="45">
        <v>0</v>
      </c>
      <c r="AD34" s="45">
        <v>1</v>
      </c>
      <c r="AE34" s="49">
        <v>0</v>
      </c>
      <c r="AF34" s="43">
        <v>0</v>
      </c>
      <c r="AG34" s="43">
        <v>0</v>
      </c>
      <c r="AH34" s="43">
        <v>1</v>
      </c>
      <c r="AI34" s="43">
        <v>0</v>
      </c>
      <c r="AK34">
        <f t="shared" si="29"/>
        <v>3</v>
      </c>
      <c r="AL34" s="1">
        <f t="shared" si="30"/>
        <v>3</v>
      </c>
      <c r="AM34" s="47"/>
      <c r="AP34" s="1">
        <f t="shared" si="22"/>
        <v>1</v>
      </c>
      <c r="AQ34" s="1">
        <f t="shared" si="23"/>
        <v>1</v>
      </c>
      <c r="AR34" s="1">
        <f t="shared" si="24"/>
        <v>1</v>
      </c>
      <c r="AS34" s="1">
        <f t="shared" si="25"/>
        <v>1</v>
      </c>
      <c r="AT34" s="1">
        <f t="shared" si="26"/>
        <v>1</v>
      </c>
      <c r="AV34" s="1">
        <v>1</v>
      </c>
      <c r="AW34" s="1">
        <f t="shared" si="57"/>
        <v>0</v>
      </c>
      <c r="AX34" s="1">
        <f t="shared" si="58"/>
        <v>0</v>
      </c>
      <c r="AY34" s="1">
        <f t="shared" si="59"/>
        <v>1</v>
      </c>
      <c r="AZ34" s="1">
        <f t="shared" si="60"/>
        <v>0</v>
      </c>
      <c r="BA34" s="1">
        <f t="shared" si="61"/>
        <v>0</v>
      </c>
      <c r="BB34" s="1">
        <f t="shared" si="62"/>
        <v>0</v>
      </c>
      <c r="BC34" s="1">
        <f t="shared" si="63"/>
        <v>1</v>
      </c>
      <c r="BD34" s="1">
        <f t="shared" si="64"/>
        <v>0</v>
      </c>
      <c r="BE34" s="1">
        <f t="shared" si="65"/>
        <v>0</v>
      </c>
      <c r="BF34" s="1">
        <f t="shared" si="27"/>
        <v>0</v>
      </c>
      <c r="BG34" s="1">
        <f t="shared" si="28"/>
        <v>0</v>
      </c>
      <c r="BH34" s="1">
        <f t="shared" si="66"/>
        <v>1</v>
      </c>
      <c r="BI34" s="1">
        <f t="shared" si="67"/>
        <v>0</v>
      </c>
      <c r="BK34" s="1">
        <v>1</v>
      </c>
      <c r="BL34" s="1">
        <f t="shared" si="9"/>
        <v>0</v>
      </c>
      <c r="BM34" s="1">
        <f t="shared" si="10"/>
        <v>0</v>
      </c>
      <c r="BN34" s="1">
        <f t="shared" si="11"/>
        <v>1</v>
      </c>
      <c r="BO34" s="1">
        <f t="shared" si="12"/>
        <v>0</v>
      </c>
    </row>
    <row r="35" ht="15" spans="1:67">
      <c r="A35" s="1">
        <f t="shared" si="13"/>
        <v>33</v>
      </c>
      <c r="C35" s="4" t="str">
        <f>Cities_list!Z36</f>
        <v>Riyadh</v>
      </c>
      <c r="D35" s="1">
        <f t="shared" si="14"/>
        <v>1</v>
      </c>
      <c r="E35" s="1">
        <f t="shared" si="15"/>
        <v>0</v>
      </c>
      <c r="F35" s="1">
        <f t="shared" si="16"/>
        <v>1</v>
      </c>
      <c r="G35" s="1">
        <f t="shared" si="17"/>
        <v>0</v>
      </c>
      <c r="H35" s="17">
        <f t="shared" si="18"/>
        <v>1</v>
      </c>
      <c r="I35" s="1" t="str">
        <f t="shared" si="19"/>
        <v>Riyadh</v>
      </c>
      <c r="J35" s="27" t="str">
        <f t="shared" si="20"/>
        <v>Riyadh</v>
      </c>
      <c r="K35" s="30">
        <f t="shared" si="21"/>
        <v>0</v>
      </c>
      <c r="L35" s="31">
        <v>1</v>
      </c>
      <c r="M35" s="32"/>
      <c r="N35" s="24"/>
      <c r="P35" s="24">
        <f t="shared" si="31"/>
        <v>3</v>
      </c>
      <c r="Q35" s="24"/>
      <c r="S35" s="39"/>
      <c r="T35" s="32"/>
      <c r="U35" s="24">
        <v>0</v>
      </c>
      <c r="V35" s="1">
        <v>1</v>
      </c>
      <c r="W35" s="33">
        <v>0</v>
      </c>
      <c r="X35" s="33">
        <v>0</v>
      </c>
      <c r="Y35" s="33">
        <v>0</v>
      </c>
      <c r="Z35" s="33">
        <v>1</v>
      </c>
      <c r="AA35" s="33">
        <v>0</v>
      </c>
      <c r="AB35" s="44">
        <v>1</v>
      </c>
      <c r="AC35" s="45">
        <v>0</v>
      </c>
      <c r="AD35" s="45">
        <v>0</v>
      </c>
      <c r="AE35" s="49">
        <v>0</v>
      </c>
      <c r="AF35" s="43">
        <v>0</v>
      </c>
      <c r="AG35" s="43">
        <v>1</v>
      </c>
      <c r="AH35" s="43">
        <v>0</v>
      </c>
      <c r="AI35" s="43">
        <v>0</v>
      </c>
      <c r="AK35">
        <f t="shared" si="29"/>
        <v>1</v>
      </c>
      <c r="AL35" s="1">
        <f t="shared" si="30"/>
        <v>4</v>
      </c>
      <c r="AM35" s="47"/>
      <c r="AP35" s="1">
        <f t="shared" si="22"/>
        <v>1</v>
      </c>
      <c r="AQ35" s="1">
        <f t="shared" si="23"/>
        <v>1</v>
      </c>
      <c r="AR35" s="1">
        <f t="shared" si="24"/>
        <v>1</v>
      </c>
      <c r="AS35" s="1">
        <f t="shared" si="25"/>
        <v>1</v>
      </c>
      <c r="AT35" s="1">
        <f t="shared" si="26"/>
        <v>1</v>
      </c>
      <c r="AV35" s="1">
        <v>1</v>
      </c>
      <c r="AW35" s="1">
        <f t="shared" si="57"/>
        <v>1</v>
      </c>
      <c r="AX35" s="1">
        <f t="shared" si="58"/>
        <v>0</v>
      </c>
      <c r="AY35" s="1">
        <f t="shared" si="59"/>
        <v>0</v>
      </c>
      <c r="AZ35" s="1">
        <f t="shared" si="60"/>
        <v>0</v>
      </c>
      <c r="BA35" s="1">
        <f t="shared" si="61"/>
        <v>0</v>
      </c>
      <c r="BB35" s="1">
        <f t="shared" si="62"/>
        <v>0</v>
      </c>
      <c r="BC35" s="1">
        <f t="shared" si="63"/>
        <v>0</v>
      </c>
      <c r="BD35" s="1">
        <f t="shared" si="64"/>
        <v>1</v>
      </c>
      <c r="BE35" s="1">
        <f t="shared" si="65"/>
        <v>0</v>
      </c>
      <c r="BF35" s="1">
        <f t="shared" si="27"/>
        <v>0</v>
      </c>
      <c r="BG35" s="1">
        <f t="shared" si="28"/>
        <v>1</v>
      </c>
      <c r="BH35" s="1">
        <f t="shared" si="66"/>
        <v>0</v>
      </c>
      <c r="BI35" s="1">
        <f t="shared" si="67"/>
        <v>0</v>
      </c>
      <c r="BK35" s="1">
        <v>1</v>
      </c>
      <c r="BL35" s="1">
        <f t="shared" ref="BL35:BL52" si="68">AF35</f>
        <v>0</v>
      </c>
      <c r="BM35" s="1">
        <f t="shared" ref="BM35:BM52" si="69">AG35</f>
        <v>1</v>
      </c>
      <c r="BN35" s="1">
        <f t="shared" si="11"/>
        <v>0</v>
      </c>
      <c r="BO35" s="1">
        <f t="shared" si="12"/>
        <v>0</v>
      </c>
    </row>
    <row r="36" ht="15" spans="1:67">
      <c r="A36" s="1">
        <f t="shared" si="13"/>
        <v>34</v>
      </c>
      <c r="C36" s="4" t="str">
        <f>Cities_list!Z37</f>
        <v>Rome</v>
      </c>
      <c r="D36" s="1">
        <f t="shared" si="14"/>
        <v>1</v>
      </c>
      <c r="E36" s="1">
        <f t="shared" si="15"/>
        <v>0</v>
      </c>
      <c r="F36" s="1">
        <f t="shared" si="16"/>
        <v>1</v>
      </c>
      <c r="G36" s="1">
        <f t="shared" si="17"/>
        <v>0</v>
      </c>
      <c r="H36" s="17">
        <f t="shared" si="18"/>
        <v>1</v>
      </c>
      <c r="I36" s="1" t="str">
        <f t="shared" si="19"/>
        <v>Rome</v>
      </c>
      <c r="J36" s="27" t="str">
        <f t="shared" si="20"/>
        <v>Rome</v>
      </c>
      <c r="K36" s="30">
        <f t="shared" si="21"/>
        <v>0</v>
      </c>
      <c r="L36" s="31">
        <v>1</v>
      </c>
      <c r="M36" s="32"/>
      <c r="N36" s="24"/>
      <c r="P36" s="24">
        <f t="shared" si="31"/>
        <v>1</v>
      </c>
      <c r="Q36" s="24"/>
      <c r="S36" s="39"/>
      <c r="T36" s="32"/>
      <c r="U36" s="24">
        <v>0</v>
      </c>
      <c r="V36" s="1">
        <v>1</v>
      </c>
      <c r="W36" s="33">
        <v>0</v>
      </c>
      <c r="X36" s="33">
        <v>1</v>
      </c>
      <c r="Y36" s="33">
        <v>0</v>
      </c>
      <c r="Z36" s="33">
        <v>0</v>
      </c>
      <c r="AA36" s="33">
        <v>0</v>
      </c>
      <c r="AB36" s="44">
        <v>0</v>
      </c>
      <c r="AC36" s="45">
        <v>1</v>
      </c>
      <c r="AD36" s="45">
        <v>0</v>
      </c>
      <c r="AE36" s="49">
        <v>0</v>
      </c>
      <c r="AF36" s="43">
        <v>1</v>
      </c>
      <c r="AG36" s="43">
        <v>0</v>
      </c>
      <c r="AH36" s="43">
        <v>0</v>
      </c>
      <c r="AI36" s="43">
        <v>0</v>
      </c>
      <c r="AK36">
        <f t="shared" si="29"/>
        <v>2</v>
      </c>
      <c r="AL36" s="1">
        <f t="shared" si="30"/>
        <v>2</v>
      </c>
      <c r="AM36" s="47"/>
      <c r="AP36" s="1">
        <f t="shared" si="22"/>
        <v>1</v>
      </c>
      <c r="AQ36" s="1">
        <f t="shared" si="23"/>
        <v>1</v>
      </c>
      <c r="AR36" s="1">
        <f t="shared" si="24"/>
        <v>1</v>
      </c>
      <c r="AS36" s="1">
        <f t="shared" si="25"/>
        <v>1</v>
      </c>
      <c r="AT36" s="1">
        <f t="shared" si="26"/>
        <v>1</v>
      </c>
      <c r="AV36" s="1">
        <v>1</v>
      </c>
      <c r="AW36" s="1">
        <f t="shared" ref="AW36:AZ52" si="70">AB36</f>
        <v>0</v>
      </c>
      <c r="AX36" s="1">
        <f t="shared" si="70"/>
        <v>1</v>
      </c>
      <c r="AY36" s="1">
        <f t="shared" si="70"/>
        <v>0</v>
      </c>
      <c r="AZ36" s="1">
        <f t="shared" si="70"/>
        <v>0</v>
      </c>
      <c r="BA36" s="1">
        <f t="shared" ref="BA36:BE52" si="71">W36</f>
        <v>0</v>
      </c>
      <c r="BB36" s="1">
        <f t="shared" si="71"/>
        <v>1</v>
      </c>
      <c r="BC36" s="1">
        <f t="shared" si="71"/>
        <v>0</v>
      </c>
      <c r="BD36" s="1">
        <f t="shared" si="71"/>
        <v>0</v>
      </c>
      <c r="BE36" s="1">
        <f t="shared" si="71"/>
        <v>0</v>
      </c>
      <c r="BF36" s="1">
        <f t="shared" si="27"/>
        <v>1</v>
      </c>
      <c r="BG36" s="1">
        <f t="shared" si="28"/>
        <v>0</v>
      </c>
      <c r="BH36" s="1">
        <f t="shared" si="66"/>
        <v>0</v>
      </c>
      <c r="BI36" s="1">
        <f t="shared" si="67"/>
        <v>0</v>
      </c>
      <c r="BK36" s="1">
        <v>1</v>
      </c>
      <c r="BL36" s="1">
        <f t="shared" si="68"/>
        <v>1</v>
      </c>
      <c r="BM36" s="1">
        <f t="shared" si="69"/>
        <v>0</v>
      </c>
      <c r="BN36" s="1">
        <f t="shared" si="11"/>
        <v>0</v>
      </c>
      <c r="BO36" s="1">
        <f t="shared" si="12"/>
        <v>0</v>
      </c>
    </row>
    <row r="37" ht="15" spans="1:67">
      <c r="A37" s="1">
        <f t="shared" si="13"/>
        <v>35</v>
      </c>
      <c r="C37" s="4" t="str">
        <f>Cities_list!Z38</f>
        <v>San Francisco</v>
      </c>
      <c r="D37" s="1">
        <f t="shared" si="14"/>
        <v>1</v>
      </c>
      <c r="E37" s="1">
        <f t="shared" si="15"/>
        <v>0</v>
      </c>
      <c r="F37" s="1">
        <f t="shared" si="16"/>
        <v>1</v>
      </c>
      <c r="G37" s="1">
        <f t="shared" si="17"/>
        <v>0</v>
      </c>
      <c r="H37" s="17">
        <f t="shared" si="18"/>
        <v>1</v>
      </c>
      <c r="I37" s="1" t="str">
        <f t="shared" si="19"/>
        <v>SanFrancisco</v>
      </c>
      <c r="J37" s="27" t="str">
        <f t="shared" si="20"/>
        <v>San Francisco</v>
      </c>
      <c r="K37" s="30">
        <f t="shared" si="21"/>
        <v>0</v>
      </c>
      <c r="L37" s="31">
        <v>1</v>
      </c>
      <c r="M37" s="32"/>
      <c r="N37" s="24"/>
      <c r="P37" s="24">
        <f t="shared" si="31"/>
        <v>4</v>
      </c>
      <c r="Q37" s="24"/>
      <c r="S37" s="39"/>
      <c r="T37" s="32"/>
      <c r="U37" s="24">
        <v>0</v>
      </c>
      <c r="V37" s="1">
        <v>1</v>
      </c>
      <c r="W37" s="33">
        <v>0</v>
      </c>
      <c r="X37" s="33">
        <v>0</v>
      </c>
      <c r="Y37" s="33">
        <v>0</v>
      </c>
      <c r="Z37" s="33">
        <v>0</v>
      </c>
      <c r="AA37" s="33">
        <v>1</v>
      </c>
      <c r="AB37" s="44">
        <v>1</v>
      </c>
      <c r="AC37" s="45">
        <v>0</v>
      </c>
      <c r="AD37" s="45">
        <v>0</v>
      </c>
      <c r="AE37" s="49">
        <v>0</v>
      </c>
      <c r="AF37" s="43">
        <v>1</v>
      </c>
      <c r="AG37" s="43">
        <v>0</v>
      </c>
      <c r="AH37" s="43">
        <v>0</v>
      </c>
      <c r="AI37" s="43">
        <v>0</v>
      </c>
      <c r="AK37">
        <f t="shared" si="29"/>
        <v>1</v>
      </c>
      <c r="AL37" s="1">
        <f t="shared" si="30"/>
        <v>5</v>
      </c>
      <c r="AM37" s="47"/>
      <c r="AP37" s="1">
        <f t="shared" si="22"/>
        <v>1</v>
      </c>
      <c r="AQ37" s="1">
        <f t="shared" si="23"/>
        <v>1</v>
      </c>
      <c r="AR37" s="1">
        <f t="shared" si="24"/>
        <v>1</v>
      </c>
      <c r="AS37" s="1">
        <f t="shared" si="25"/>
        <v>1</v>
      </c>
      <c r="AT37" s="1">
        <f t="shared" si="26"/>
        <v>1</v>
      </c>
      <c r="AV37" s="1">
        <v>1</v>
      </c>
      <c r="AW37" s="1">
        <f t="shared" si="70"/>
        <v>1</v>
      </c>
      <c r="AX37" s="1">
        <f t="shared" si="70"/>
        <v>0</v>
      </c>
      <c r="AY37" s="1">
        <f t="shared" si="70"/>
        <v>0</v>
      </c>
      <c r="AZ37" s="1">
        <f t="shared" si="70"/>
        <v>0</v>
      </c>
      <c r="BA37" s="1">
        <f t="shared" si="71"/>
        <v>0</v>
      </c>
      <c r="BB37" s="1">
        <f t="shared" si="71"/>
        <v>0</v>
      </c>
      <c r="BC37" s="1">
        <f t="shared" si="71"/>
        <v>0</v>
      </c>
      <c r="BD37" s="1">
        <f t="shared" si="71"/>
        <v>0</v>
      </c>
      <c r="BE37" s="1">
        <f t="shared" si="71"/>
        <v>1</v>
      </c>
      <c r="BF37" s="1">
        <f t="shared" si="27"/>
        <v>1</v>
      </c>
      <c r="BG37" s="1">
        <f t="shared" si="28"/>
        <v>0</v>
      </c>
      <c r="BH37" s="1">
        <f t="shared" si="66"/>
        <v>0</v>
      </c>
      <c r="BI37" s="1">
        <f t="shared" si="67"/>
        <v>0</v>
      </c>
      <c r="BK37" s="1">
        <v>1</v>
      </c>
      <c r="BL37" s="1">
        <f t="shared" si="68"/>
        <v>1</v>
      </c>
      <c r="BM37" s="1">
        <f t="shared" si="69"/>
        <v>0</v>
      </c>
      <c r="BN37" s="1">
        <f t="shared" si="11"/>
        <v>0</v>
      </c>
      <c r="BO37" s="1">
        <f t="shared" si="12"/>
        <v>0</v>
      </c>
    </row>
    <row r="38" ht="15" spans="1:67">
      <c r="A38" s="1">
        <f t="shared" si="13"/>
        <v>36</v>
      </c>
      <c r="C38" s="4" t="str">
        <f>Cities_list!Z39</f>
        <v>Santiago</v>
      </c>
      <c r="D38" s="1">
        <f t="shared" si="14"/>
        <v>1</v>
      </c>
      <c r="E38" s="1">
        <f t="shared" si="15"/>
        <v>0</v>
      </c>
      <c r="F38" s="1">
        <f t="shared" si="16"/>
        <v>1</v>
      </c>
      <c r="G38" s="1">
        <f t="shared" si="17"/>
        <v>0</v>
      </c>
      <c r="H38" s="17">
        <f t="shared" si="18"/>
        <v>1</v>
      </c>
      <c r="I38" s="1" t="str">
        <f t="shared" si="19"/>
        <v>Santiago</v>
      </c>
      <c r="J38" s="27" t="str">
        <f t="shared" si="20"/>
        <v>Santiago</v>
      </c>
      <c r="K38" s="30">
        <f t="shared" si="21"/>
        <v>0</v>
      </c>
      <c r="L38" s="31">
        <v>1</v>
      </c>
      <c r="M38" s="32"/>
      <c r="N38" s="24"/>
      <c r="P38" s="24">
        <f t="shared" si="31"/>
        <v>2</v>
      </c>
      <c r="Q38" s="24"/>
      <c r="S38" s="39"/>
      <c r="T38" s="32"/>
      <c r="U38" s="24">
        <v>0</v>
      </c>
      <c r="V38" s="1">
        <v>1</v>
      </c>
      <c r="W38" s="33">
        <v>0</v>
      </c>
      <c r="X38" s="33">
        <v>0</v>
      </c>
      <c r="Y38" s="33">
        <v>1</v>
      </c>
      <c r="Z38" s="33">
        <v>0</v>
      </c>
      <c r="AA38" s="33">
        <v>0</v>
      </c>
      <c r="AB38" s="44">
        <v>0</v>
      </c>
      <c r="AC38" s="45">
        <v>0</v>
      </c>
      <c r="AD38" s="45">
        <v>1</v>
      </c>
      <c r="AE38" s="49">
        <v>0</v>
      </c>
      <c r="AF38" s="43">
        <v>0</v>
      </c>
      <c r="AG38" s="43">
        <v>1</v>
      </c>
      <c r="AH38" s="43">
        <v>0</v>
      </c>
      <c r="AI38" s="43">
        <v>0</v>
      </c>
      <c r="AK38">
        <f t="shared" si="29"/>
        <v>3</v>
      </c>
      <c r="AL38" s="1">
        <f t="shared" si="30"/>
        <v>3</v>
      </c>
      <c r="AM38" s="47"/>
      <c r="AP38" s="1">
        <f t="shared" si="22"/>
        <v>1</v>
      </c>
      <c r="AQ38" s="1">
        <f t="shared" si="23"/>
        <v>1</v>
      </c>
      <c r="AR38" s="1">
        <f t="shared" si="24"/>
        <v>1</v>
      </c>
      <c r="AS38" s="1">
        <f t="shared" si="25"/>
        <v>1</v>
      </c>
      <c r="AT38" s="1">
        <f t="shared" si="26"/>
        <v>1</v>
      </c>
      <c r="AV38" s="1">
        <v>1</v>
      </c>
      <c r="AW38" s="1">
        <f t="shared" si="70"/>
        <v>0</v>
      </c>
      <c r="AX38" s="1">
        <f t="shared" si="70"/>
        <v>0</v>
      </c>
      <c r="AY38" s="1">
        <f t="shared" si="70"/>
        <v>1</v>
      </c>
      <c r="AZ38" s="1">
        <f t="shared" si="70"/>
        <v>0</v>
      </c>
      <c r="BA38" s="1">
        <f t="shared" si="71"/>
        <v>0</v>
      </c>
      <c r="BB38" s="1">
        <f t="shared" si="71"/>
        <v>0</v>
      </c>
      <c r="BC38" s="1">
        <f t="shared" si="71"/>
        <v>1</v>
      </c>
      <c r="BD38" s="1">
        <f t="shared" si="71"/>
        <v>0</v>
      </c>
      <c r="BE38" s="1">
        <f t="shared" si="71"/>
        <v>0</v>
      </c>
      <c r="BF38" s="1">
        <f t="shared" si="27"/>
        <v>0</v>
      </c>
      <c r="BG38" s="1">
        <f t="shared" si="28"/>
        <v>1</v>
      </c>
      <c r="BH38" s="1">
        <f t="shared" si="66"/>
        <v>0</v>
      </c>
      <c r="BI38" s="1">
        <f t="shared" si="67"/>
        <v>0</v>
      </c>
      <c r="BK38" s="1">
        <v>1</v>
      </c>
      <c r="BL38" s="1">
        <f t="shared" si="68"/>
        <v>0</v>
      </c>
      <c r="BM38" s="1">
        <f t="shared" si="69"/>
        <v>1</v>
      </c>
      <c r="BN38" s="1">
        <f t="shared" si="11"/>
        <v>0</v>
      </c>
      <c r="BO38" s="1">
        <f t="shared" si="12"/>
        <v>0</v>
      </c>
    </row>
    <row r="39" ht="15" spans="1:67">
      <c r="A39" s="1">
        <f t="shared" si="13"/>
        <v>37</v>
      </c>
      <c r="C39" s="4" t="str">
        <f>Cities_list!Z40</f>
        <v>Sao Paulo</v>
      </c>
      <c r="D39" s="1">
        <f t="shared" si="14"/>
        <v>1</v>
      </c>
      <c r="E39" s="1">
        <f t="shared" si="15"/>
        <v>0</v>
      </c>
      <c r="F39" s="1">
        <f t="shared" si="16"/>
        <v>1</v>
      </c>
      <c r="G39" s="1">
        <f t="shared" si="17"/>
        <v>0</v>
      </c>
      <c r="H39" s="17">
        <f t="shared" si="18"/>
        <v>1</v>
      </c>
      <c r="I39" s="1" t="str">
        <f t="shared" si="19"/>
        <v>SaoPaulo</v>
      </c>
      <c r="J39" s="27" t="str">
        <f t="shared" si="20"/>
        <v>Sao Paulo</v>
      </c>
      <c r="K39" s="30">
        <f t="shared" si="21"/>
        <v>0</v>
      </c>
      <c r="L39" s="31">
        <v>1</v>
      </c>
      <c r="M39" s="32"/>
      <c r="N39" s="24"/>
      <c r="P39" s="24">
        <f t="shared" si="31"/>
        <v>2</v>
      </c>
      <c r="Q39" s="24"/>
      <c r="S39" s="39"/>
      <c r="T39" s="32"/>
      <c r="U39" s="24">
        <v>0</v>
      </c>
      <c r="V39" s="1">
        <v>1</v>
      </c>
      <c r="W39" s="33">
        <v>0</v>
      </c>
      <c r="X39" s="33">
        <v>0</v>
      </c>
      <c r="Y39" s="33">
        <v>1</v>
      </c>
      <c r="Z39" s="33">
        <v>0</v>
      </c>
      <c r="AA39" s="33">
        <v>0</v>
      </c>
      <c r="AB39" s="44">
        <v>0</v>
      </c>
      <c r="AC39" s="45">
        <v>0</v>
      </c>
      <c r="AD39" s="45">
        <v>1</v>
      </c>
      <c r="AE39" s="49">
        <v>0</v>
      </c>
      <c r="AF39" s="43">
        <v>0</v>
      </c>
      <c r="AG39" s="43">
        <v>0</v>
      </c>
      <c r="AH39" s="43">
        <v>0</v>
      </c>
      <c r="AI39" s="43">
        <v>1</v>
      </c>
      <c r="AK39">
        <f t="shared" si="29"/>
        <v>3</v>
      </c>
      <c r="AL39" s="1">
        <f t="shared" si="30"/>
        <v>3</v>
      </c>
      <c r="AM39" s="47"/>
      <c r="AP39" s="1">
        <f t="shared" si="22"/>
        <v>1</v>
      </c>
      <c r="AQ39" s="1">
        <f t="shared" si="23"/>
        <v>1</v>
      </c>
      <c r="AR39" s="1">
        <f t="shared" si="24"/>
        <v>1</v>
      </c>
      <c r="AS39" s="1">
        <f t="shared" si="25"/>
        <v>1</v>
      </c>
      <c r="AT39" s="1">
        <f t="shared" si="26"/>
        <v>1</v>
      </c>
      <c r="AV39" s="1">
        <v>1</v>
      </c>
      <c r="AW39" s="1">
        <f t="shared" si="70"/>
        <v>0</v>
      </c>
      <c r="AX39" s="1">
        <f t="shared" si="70"/>
        <v>0</v>
      </c>
      <c r="AY39" s="1">
        <f t="shared" si="70"/>
        <v>1</v>
      </c>
      <c r="AZ39" s="1">
        <f t="shared" si="70"/>
        <v>0</v>
      </c>
      <c r="BA39" s="1">
        <f t="shared" si="71"/>
        <v>0</v>
      </c>
      <c r="BB39" s="1">
        <f t="shared" si="71"/>
        <v>0</v>
      </c>
      <c r="BC39" s="1">
        <f t="shared" si="71"/>
        <v>1</v>
      </c>
      <c r="BD39" s="1">
        <f t="shared" si="71"/>
        <v>0</v>
      </c>
      <c r="BE39" s="1">
        <f t="shared" si="71"/>
        <v>0</v>
      </c>
      <c r="BF39" s="1">
        <f t="shared" si="27"/>
        <v>0</v>
      </c>
      <c r="BG39" s="1">
        <f t="shared" si="28"/>
        <v>0</v>
      </c>
      <c r="BH39" s="1">
        <f t="shared" si="66"/>
        <v>0</v>
      </c>
      <c r="BI39" s="1">
        <f t="shared" si="67"/>
        <v>1</v>
      </c>
      <c r="BK39" s="1">
        <v>1</v>
      </c>
      <c r="BL39" s="1">
        <f t="shared" si="68"/>
        <v>0</v>
      </c>
      <c r="BM39" s="1">
        <f t="shared" si="69"/>
        <v>0</v>
      </c>
      <c r="BN39" s="1">
        <f t="shared" si="11"/>
        <v>0</v>
      </c>
      <c r="BO39" s="1">
        <f t="shared" si="12"/>
        <v>1</v>
      </c>
    </row>
    <row r="40" ht="15" spans="1:67">
      <c r="A40" s="1">
        <f t="shared" si="13"/>
        <v>38</v>
      </c>
      <c r="C40" s="4" t="str">
        <f>Cities_list!Z41</f>
        <v>Seoul</v>
      </c>
      <c r="D40" s="1">
        <f t="shared" si="14"/>
        <v>1</v>
      </c>
      <c r="E40" s="1">
        <f t="shared" si="15"/>
        <v>0</v>
      </c>
      <c r="F40" s="1">
        <f t="shared" si="16"/>
        <v>1</v>
      </c>
      <c r="G40" s="1">
        <f t="shared" si="17"/>
        <v>0</v>
      </c>
      <c r="H40" s="17">
        <f t="shared" si="18"/>
        <v>1</v>
      </c>
      <c r="I40" s="1" t="str">
        <f t="shared" si="19"/>
        <v>Seoul</v>
      </c>
      <c r="J40" s="27" t="str">
        <f t="shared" si="20"/>
        <v>Seoul</v>
      </c>
      <c r="K40" s="30">
        <f t="shared" si="21"/>
        <v>0</v>
      </c>
      <c r="L40" s="31">
        <v>1</v>
      </c>
      <c r="M40" s="32"/>
      <c r="N40" s="24"/>
      <c r="P40" s="24">
        <f t="shared" si="31"/>
        <v>6</v>
      </c>
      <c r="Q40" s="24"/>
      <c r="S40" s="39"/>
      <c r="T40" s="32"/>
      <c r="U40" s="24">
        <v>0</v>
      </c>
      <c r="V40" s="1">
        <v>1</v>
      </c>
      <c r="W40" s="33">
        <v>1</v>
      </c>
      <c r="X40" s="33">
        <v>0</v>
      </c>
      <c r="Y40" s="33">
        <v>0</v>
      </c>
      <c r="Z40" s="33">
        <v>0</v>
      </c>
      <c r="AA40" s="33">
        <v>0</v>
      </c>
      <c r="AB40" s="44">
        <v>0</v>
      </c>
      <c r="AC40" s="45">
        <v>1</v>
      </c>
      <c r="AD40" s="45">
        <v>0</v>
      </c>
      <c r="AE40" s="49">
        <v>0</v>
      </c>
      <c r="AF40" s="43">
        <v>0</v>
      </c>
      <c r="AG40" s="43">
        <v>0</v>
      </c>
      <c r="AH40" s="43">
        <v>0</v>
      </c>
      <c r="AI40" s="43">
        <v>1</v>
      </c>
      <c r="AK40">
        <f t="shared" si="29"/>
        <v>2</v>
      </c>
      <c r="AL40" s="1">
        <f t="shared" si="30"/>
        <v>1</v>
      </c>
      <c r="AM40" s="47"/>
      <c r="AP40" s="1">
        <f t="shared" si="22"/>
        <v>1</v>
      </c>
      <c r="AQ40" s="1">
        <f t="shared" si="23"/>
        <v>1</v>
      </c>
      <c r="AR40" s="1">
        <f t="shared" si="24"/>
        <v>1</v>
      </c>
      <c r="AS40" s="1">
        <f t="shared" si="25"/>
        <v>1</v>
      </c>
      <c r="AT40" s="1">
        <f t="shared" si="26"/>
        <v>1</v>
      </c>
      <c r="AV40" s="1">
        <v>1</v>
      </c>
      <c r="AW40" s="1">
        <f t="shared" si="70"/>
        <v>0</v>
      </c>
      <c r="AX40" s="1">
        <f t="shared" si="70"/>
        <v>1</v>
      </c>
      <c r="AY40" s="1">
        <f t="shared" si="70"/>
        <v>0</v>
      </c>
      <c r="AZ40" s="1">
        <f t="shared" si="70"/>
        <v>0</v>
      </c>
      <c r="BA40" s="1">
        <f t="shared" si="71"/>
        <v>1</v>
      </c>
      <c r="BB40" s="1">
        <f t="shared" si="71"/>
        <v>0</v>
      </c>
      <c r="BC40" s="1">
        <f t="shared" si="71"/>
        <v>0</v>
      </c>
      <c r="BD40" s="1">
        <f t="shared" si="71"/>
        <v>0</v>
      </c>
      <c r="BE40" s="1">
        <f t="shared" si="71"/>
        <v>0</v>
      </c>
      <c r="BF40" s="1">
        <f t="shared" si="27"/>
        <v>0</v>
      </c>
      <c r="BG40" s="1">
        <f t="shared" si="28"/>
        <v>0</v>
      </c>
      <c r="BH40" s="1">
        <f t="shared" si="66"/>
        <v>0</v>
      </c>
      <c r="BI40" s="1">
        <f t="shared" si="67"/>
        <v>1</v>
      </c>
      <c r="BK40" s="1">
        <v>1</v>
      </c>
      <c r="BL40" s="1">
        <f t="shared" si="68"/>
        <v>0</v>
      </c>
      <c r="BM40" s="1">
        <f t="shared" si="69"/>
        <v>0</v>
      </c>
      <c r="BN40" s="1">
        <f t="shared" si="11"/>
        <v>0</v>
      </c>
      <c r="BO40" s="1">
        <f t="shared" si="12"/>
        <v>1</v>
      </c>
    </row>
    <row r="41" ht="15" spans="1:67">
      <c r="A41" s="1">
        <f t="shared" si="13"/>
        <v>39</v>
      </c>
      <c r="C41" s="4" t="str">
        <f>Cities_list!Z42</f>
        <v>Shanghai</v>
      </c>
      <c r="D41" s="1">
        <f t="shared" si="14"/>
        <v>1</v>
      </c>
      <c r="E41" s="1">
        <f t="shared" si="15"/>
        <v>0</v>
      </c>
      <c r="F41" s="1">
        <f t="shared" si="16"/>
        <v>1</v>
      </c>
      <c r="G41" s="1">
        <f t="shared" si="17"/>
        <v>0</v>
      </c>
      <c r="H41" s="17">
        <f t="shared" si="18"/>
        <v>1</v>
      </c>
      <c r="I41" s="1" t="str">
        <f t="shared" si="19"/>
        <v>Shanghai</v>
      </c>
      <c r="J41" s="27" t="str">
        <f t="shared" si="20"/>
        <v>Shanghai</v>
      </c>
      <c r="K41" s="30">
        <f t="shared" si="21"/>
        <v>0</v>
      </c>
      <c r="L41" s="31">
        <v>1</v>
      </c>
      <c r="M41" s="32"/>
      <c r="N41" s="24"/>
      <c r="P41" s="24">
        <f t="shared" si="31"/>
        <v>7</v>
      </c>
      <c r="Q41" s="24"/>
      <c r="S41" s="39"/>
      <c r="T41" s="32"/>
      <c r="U41" s="24">
        <v>0</v>
      </c>
      <c r="V41" s="1">
        <v>1</v>
      </c>
      <c r="W41" s="33">
        <v>1</v>
      </c>
      <c r="X41" s="33">
        <v>0</v>
      </c>
      <c r="Y41" s="33">
        <v>0</v>
      </c>
      <c r="Z41" s="33">
        <v>0</v>
      </c>
      <c r="AA41" s="33">
        <v>0</v>
      </c>
      <c r="AB41" s="44">
        <v>0</v>
      </c>
      <c r="AC41" s="45">
        <v>0</v>
      </c>
      <c r="AD41" s="45">
        <v>1</v>
      </c>
      <c r="AE41" s="49">
        <v>0</v>
      </c>
      <c r="AF41" s="43">
        <v>0</v>
      </c>
      <c r="AG41" s="43">
        <v>0</v>
      </c>
      <c r="AH41" s="43">
        <v>0</v>
      </c>
      <c r="AI41" s="43">
        <v>1</v>
      </c>
      <c r="AK41">
        <f t="shared" si="29"/>
        <v>3</v>
      </c>
      <c r="AL41" s="1">
        <f t="shared" si="30"/>
        <v>1</v>
      </c>
      <c r="AM41" s="47"/>
      <c r="AP41" s="1">
        <f t="shared" si="22"/>
        <v>1</v>
      </c>
      <c r="AQ41" s="1">
        <f t="shared" si="23"/>
        <v>1</v>
      </c>
      <c r="AR41" s="1">
        <f t="shared" si="24"/>
        <v>1</v>
      </c>
      <c r="AS41" s="1">
        <f t="shared" si="25"/>
        <v>1</v>
      </c>
      <c r="AT41" s="1">
        <f t="shared" si="26"/>
        <v>1</v>
      </c>
      <c r="AV41" s="1">
        <v>1</v>
      </c>
      <c r="AW41" s="1">
        <f t="shared" si="70"/>
        <v>0</v>
      </c>
      <c r="AX41" s="1">
        <f t="shared" si="70"/>
        <v>0</v>
      </c>
      <c r="AY41" s="1">
        <f t="shared" si="70"/>
        <v>1</v>
      </c>
      <c r="AZ41" s="1">
        <f t="shared" si="70"/>
        <v>0</v>
      </c>
      <c r="BA41" s="1">
        <f t="shared" si="71"/>
        <v>1</v>
      </c>
      <c r="BB41" s="1">
        <f t="shared" si="71"/>
        <v>0</v>
      </c>
      <c r="BC41" s="1">
        <f t="shared" si="71"/>
        <v>0</v>
      </c>
      <c r="BD41" s="1">
        <f t="shared" si="71"/>
        <v>0</v>
      </c>
      <c r="BE41" s="1">
        <f t="shared" si="71"/>
        <v>0</v>
      </c>
      <c r="BF41" s="1">
        <f t="shared" si="27"/>
        <v>0</v>
      </c>
      <c r="BG41" s="1">
        <f t="shared" si="28"/>
        <v>0</v>
      </c>
      <c r="BH41" s="1">
        <f t="shared" si="66"/>
        <v>0</v>
      </c>
      <c r="BI41" s="1">
        <f t="shared" si="67"/>
        <v>1</v>
      </c>
      <c r="BK41" s="1">
        <v>1</v>
      </c>
      <c r="BL41" s="1">
        <f t="shared" si="68"/>
        <v>0</v>
      </c>
      <c r="BM41" s="1">
        <f t="shared" si="69"/>
        <v>0</v>
      </c>
      <c r="BN41" s="1">
        <f t="shared" si="11"/>
        <v>0</v>
      </c>
      <c r="BO41" s="1">
        <f t="shared" si="12"/>
        <v>1</v>
      </c>
    </row>
    <row r="42" ht="15" spans="1:67">
      <c r="A42" s="1">
        <f t="shared" si="13"/>
        <v>40</v>
      </c>
      <c r="C42" s="4" t="str">
        <f>Cities_list!Z43</f>
        <v>Shenzhen</v>
      </c>
      <c r="D42" s="1">
        <f t="shared" si="14"/>
        <v>1</v>
      </c>
      <c r="E42" s="1">
        <f t="shared" si="15"/>
        <v>0</v>
      </c>
      <c r="F42" s="1">
        <f t="shared" si="16"/>
        <v>1</v>
      </c>
      <c r="G42" s="1">
        <f t="shared" si="17"/>
        <v>0</v>
      </c>
      <c r="H42" s="17">
        <f t="shared" si="18"/>
        <v>1</v>
      </c>
      <c r="I42" s="1" t="str">
        <f t="shared" si="19"/>
        <v>Shenzhen</v>
      </c>
      <c r="J42" s="27" t="str">
        <f t="shared" si="20"/>
        <v>Shenzhen</v>
      </c>
      <c r="K42" s="30">
        <f t="shared" si="21"/>
        <v>0</v>
      </c>
      <c r="L42" s="31">
        <v>1</v>
      </c>
      <c r="M42" s="32"/>
      <c r="N42" s="24"/>
      <c r="P42" s="24">
        <f t="shared" si="31"/>
        <v>7</v>
      </c>
      <c r="Q42" s="24"/>
      <c r="S42" s="39"/>
      <c r="T42" s="32"/>
      <c r="U42" s="24">
        <v>0</v>
      </c>
      <c r="V42" s="1">
        <v>1</v>
      </c>
      <c r="W42" s="33">
        <v>1</v>
      </c>
      <c r="X42" s="33">
        <v>0</v>
      </c>
      <c r="Y42" s="33">
        <v>0</v>
      </c>
      <c r="Z42" s="33">
        <v>0</v>
      </c>
      <c r="AA42" s="33">
        <v>0</v>
      </c>
      <c r="AB42" s="44">
        <v>0</v>
      </c>
      <c r="AC42" s="45">
        <v>0</v>
      </c>
      <c r="AD42" s="45">
        <v>1</v>
      </c>
      <c r="AE42" s="49">
        <v>0</v>
      </c>
      <c r="AF42" s="43">
        <v>0</v>
      </c>
      <c r="AG42" s="43">
        <v>0</v>
      </c>
      <c r="AH42" s="43">
        <v>1</v>
      </c>
      <c r="AI42" s="43">
        <v>0</v>
      </c>
      <c r="AK42">
        <f t="shared" si="29"/>
        <v>3</v>
      </c>
      <c r="AL42" s="1">
        <f t="shared" si="30"/>
        <v>1</v>
      </c>
      <c r="AM42" s="47"/>
      <c r="AP42" s="1">
        <f t="shared" si="22"/>
        <v>1</v>
      </c>
      <c r="AQ42" s="1">
        <f t="shared" si="23"/>
        <v>1</v>
      </c>
      <c r="AR42" s="1">
        <f t="shared" si="24"/>
        <v>1</v>
      </c>
      <c r="AS42" s="1">
        <f t="shared" si="25"/>
        <v>1</v>
      </c>
      <c r="AT42" s="1">
        <f t="shared" si="26"/>
        <v>1</v>
      </c>
      <c r="AV42" s="1">
        <v>1</v>
      </c>
      <c r="AW42" s="1">
        <f t="shared" si="70"/>
        <v>0</v>
      </c>
      <c r="AX42" s="1">
        <f t="shared" si="70"/>
        <v>0</v>
      </c>
      <c r="AY42" s="1">
        <f t="shared" si="70"/>
        <v>1</v>
      </c>
      <c r="AZ42" s="1">
        <f t="shared" si="70"/>
        <v>0</v>
      </c>
      <c r="BA42" s="1">
        <f t="shared" si="71"/>
        <v>1</v>
      </c>
      <c r="BB42" s="1">
        <f t="shared" si="71"/>
        <v>0</v>
      </c>
      <c r="BC42" s="1">
        <f t="shared" si="71"/>
        <v>0</v>
      </c>
      <c r="BD42" s="1">
        <f t="shared" si="71"/>
        <v>0</v>
      </c>
      <c r="BE42" s="1">
        <f t="shared" si="71"/>
        <v>0</v>
      </c>
      <c r="BF42" s="1">
        <f t="shared" si="27"/>
        <v>0</v>
      </c>
      <c r="BG42" s="1">
        <f t="shared" si="28"/>
        <v>0</v>
      </c>
      <c r="BH42" s="1">
        <f t="shared" si="66"/>
        <v>1</v>
      </c>
      <c r="BI42" s="1">
        <f t="shared" si="67"/>
        <v>0</v>
      </c>
      <c r="BK42" s="1">
        <v>1</v>
      </c>
      <c r="BL42" s="1">
        <f t="shared" si="68"/>
        <v>0</v>
      </c>
      <c r="BM42" s="1">
        <f t="shared" si="69"/>
        <v>0</v>
      </c>
      <c r="BN42" s="1">
        <f t="shared" si="11"/>
        <v>1</v>
      </c>
      <c r="BO42" s="1">
        <f t="shared" si="12"/>
        <v>0</v>
      </c>
    </row>
    <row r="43" ht="15" spans="1:67">
      <c r="A43" s="1">
        <f t="shared" si="13"/>
        <v>41</v>
      </c>
      <c r="C43" s="4" t="str">
        <f>Cities_list!Z44</f>
        <v>Singapore</v>
      </c>
      <c r="D43" s="1">
        <f t="shared" si="14"/>
        <v>1</v>
      </c>
      <c r="E43" s="1">
        <f t="shared" si="15"/>
        <v>0</v>
      </c>
      <c r="F43" s="1">
        <f t="shared" si="16"/>
        <v>1</v>
      </c>
      <c r="G43" s="1">
        <f t="shared" si="17"/>
        <v>0</v>
      </c>
      <c r="H43" s="17">
        <f t="shared" si="18"/>
        <v>1</v>
      </c>
      <c r="I43" s="1" t="str">
        <f t="shared" si="19"/>
        <v>Singapore</v>
      </c>
      <c r="J43" s="27" t="str">
        <f t="shared" si="20"/>
        <v>Singapore</v>
      </c>
      <c r="K43" s="30">
        <f t="shared" si="21"/>
        <v>0</v>
      </c>
      <c r="L43" s="31">
        <v>1</v>
      </c>
      <c r="M43" s="32"/>
      <c r="N43" s="24"/>
      <c r="P43" s="24">
        <f t="shared" si="31"/>
        <v>5</v>
      </c>
      <c r="Q43" s="24"/>
      <c r="S43" s="39"/>
      <c r="T43" s="32"/>
      <c r="U43" s="24">
        <v>0</v>
      </c>
      <c r="V43" s="1">
        <v>1</v>
      </c>
      <c r="W43" s="33">
        <v>1</v>
      </c>
      <c r="X43" s="33">
        <v>0</v>
      </c>
      <c r="Y43" s="33">
        <v>0</v>
      </c>
      <c r="Z43" s="33">
        <v>0</v>
      </c>
      <c r="AA43" s="33">
        <v>0</v>
      </c>
      <c r="AB43" s="44">
        <v>1</v>
      </c>
      <c r="AC43" s="45">
        <v>0</v>
      </c>
      <c r="AD43" s="45">
        <v>0</v>
      </c>
      <c r="AE43" s="49">
        <v>0</v>
      </c>
      <c r="AF43" s="43">
        <v>0</v>
      </c>
      <c r="AG43" s="43">
        <v>1</v>
      </c>
      <c r="AH43" s="43">
        <v>0</v>
      </c>
      <c r="AI43" s="43">
        <v>0</v>
      </c>
      <c r="AK43">
        <f t="shared" si="29"/>
        <v>1</v>
      </c>
      <c r="AL43" s="1">
        <f t="shared" si="30"/>
        <v>1</v>
      </c>
      <c r="AM43" s="47"/>
      <c r="AP43" s="1">
        <f t="shared" si="22"/>
        <v>1</v>
      </c>
      <c r="AQ43" s="1">
        <f t="shared" si="23"/>
        <v>1</v>
      </c>
      <c r="AR43" s="1">
        <f t="shared" si="24"/>
        <v>1</v>
      </c>
      <c r="AS43" s="1">
        <f t="shared" si="25"/>
        <v>1</v>
      </c>
      <c r="AT43" s="1">
        <f t="shared" si="26"/>
        <v>1</v>
      </c>
      <c r="AV43" s="1">
        <v>1</v>
      </c>
      <c r="AW43" s="1">
        <f t="shared" si="70"/>
        <v>1</v>
      </c>
      <c r="AX43" s="1">
        <f t="shared" si="70"/>
        <v>0</v>
      </c>
      <c r="AY43" s="1">
        <f t="shared" si="70"/>
        <v>0</v>
      </c>
      <c r="AZ43" s="1">
        <f t="shared" si="70"/>
        <v>0</v>
      </c>
      <c r="BA43" s="1">
        <f t="shared" si="71"/>
        <v>1</v>
      </c>
      <c r="BB43" s="1">
        <f t="shared" si="71"/>
        <v>0</v>
      </c>
      <c r="BC43" s="1">
        <f t="shared" si="71"/>
        <v>0</v>
      </c>
      <c r="BD43" s="1">
        <f t="shared" si="71"/>
        <v>0</v>
      </c>
      <c r="BE43" s="1">
        <f t="shared" si="71"/>
        <v>0</v>
      </c>
      <c r="BF43" s="1">
        <f t="shared" si="27"/>
        <v>0</v>
      </c>
      <c r="BG43" s="1">
        <f t="shared" si="28"/>
        <v>1</v>
      </c>
      <c r="BH43" s="1">
        <f t="shared" si="66"/>
        <v>0</v>
      </c>
      <c r="BI43" s="1">
        <f t="shared" si="67"/>
        <v>0</v>
      </c>
      <c r="BK43" s="1">
        <v>1</v>
      </c>
      <c r="BL43" s="1">
        <f t="shared" si="68"/>
        <v>0</v>
      </c>
      <c r="BM43" s="1">
        <f t="shared" si="69"/>
        <v>1</v>
      </c>
      <c r="BN43" s="1">
        <f t="shared" si="11"/>
        <v>0</v>
      </c>
      <c r="BO43" s="1">
        <f t="shared" si="12"/>
        <v>0</v>
      </c>
    </row>
    <row r="44" ht="15" spans="1:67">
      <c r="A44" s="1">
        <f t="shared" si="13"/>
        <v>42</v>
      </c>
      <c r="C44" s="4" t="str">
        <f>Cities_list!Z45</f>
        <v>Stockholm</v>
      </c>
      <c r="D44" s="1">
        <f t="shared" si="14"/>
        <v>1</v>
      </c>
      <c r="E44" s="1">
        <f t="shared" si="15"/>
        <v>0</v>
      </c>
      <c r="F44" s="1">
        <f t="shared" si="16"/>
        <v>1</v>
      </c>
      <c r="G44" s="1">
        <f t="shared" si="17"/>
        <v>0</v>
      </c>
      <c r="H44" s="17">
        <f t="shared" si="18"/>
        <v>1</v>
      </c>
      <c r="I44" s="1" t="str">
        <f t="shared" si="19"/>
        <v>Stockholm</v>
      </c>
      <c r="J44" s="27" t="str">
        <f t="shared" si="20"/>
        <v>Stockholm</v>
      </c>
      <c r="K44" s="30">
        <f t="shared" si="21"/>
        <v>0</v>
      </c>
      <c r="L44" s="31">
        <v>1</v>
      </c>
      <c r="M44" s="32"/>
      <c r="N44" s="24"/>
      <c r="P44" s="24">
        <f t="shared" si="31"/>
        <v>1</v>
      </c>
      <c r="Q44" s="24"/>
      <c r="S44" s="39"/>
      <c r="T44" s="32"/>
      <c r="U44" s="24">
        <v>0</v>
      </c>
      <c r="V44" s="1">
        <v>1</v>
      </c>
      <c r="W44" s="33">
        <v>0</v>
      </c>
      <c r="X44" s="33">
        <v>1</v>
      </c>
      <c r="Y44" s="33">
        <v>0</v>
      </c>
      <c r="Z44" s="33">
        <v>0</v>
      </c>
      <c r="AA44" s="33">
        <v>0</v>
      </c>
      <c r="AB44" s="44">
        <v>0</v>
      </c>
      <c r="AC44" s="45">
        <v>1</v>
      </c>
      <c r="AD44" s="45">
        <v>0</v>
      </c>
      <c r="AE44" s="49">
        <v>0</v>
      </c>
      <c r="AF44" s="43">
        <v>1</v>
      </c>
      <c r="AG44" s="43">
        <v>0</v>
      </c>
      <c r="AH44" s="43">
        <v>0</v>
      </c>
      <c r="AI44" s="43">
        <v>0</v>
      </c>
      <c r="AK44">
        <f t="shared" si="29"/>
        <v>2</v>
      </c>
      <c r="AL44" s="1">
        <f t="shared" si="30"/>
        <v>2</v>
      </c>
      <c r="AM44" s="47"/>
      <c r="AP44" s="1">
        <f t="shared" si="22"/>
        <v>1</v>
      </c>
      <c r="AQ44" s="1">
        <f t="shared" si="23"/>
        <v>1</v>
      </c>
      <c r="AR44" s="1">
        <f t="shared" si="24"/>
        <v>1</v>
      </c>
      <c r="AS44" s="1">
        <f t="shared" si="25"/>
        <v>1</v>
      </c>
      <c r="AT44" s="1">
        <f t="shared" si="26"/>
        <v>1</v>
      </c>
      <c r="AV44" s="1">
        <v>1</v>
      </c>
      <c r="AW44" s="1">
        <f t="shared" si="70"/>
        <v>0</v>
      </c>
      <c r="AX44" s="1">
        <f t="shared" si="70"/>
        <v>1</v>
      </c>
      <c r="AY44" s="1">
        <f t="shared" si="70"/>
        <v>0</v>
      </c>
      <c r="AZ44" s="1">
        <f t="shared" si="70"/>
        <v>0</v>
      </c>
      <c r="BA44" s="1">
        <f t="shared" si="71"/>
        <v>0</v>
      </c>
      <c r="BB44" s="1">
        <f t="shared" si="71"/>
        <v>1</v>
      </c>
      <c r="BC44" s="1">
        <f t="shared" si="71"/>
        <v>0</v>
      </c>
      <c r="BD44" s="1">
        <f t="shared" si="71"/>
        <v>0</v>
      </c>
      <c r="BE44" s="1">
        <f t="shared" si="71"/>
        <v>0</v>
      </c>
      <c r="BF44" s="1">
        <f t="shared" si="27"/>
        <v>1</v>
      </c>
      <c r="BG44" s="1">
        <f t="shared" si="28"/>
        <v>0</v>
      </c>
      <c r="BH44" s="1">
        <f t="shared" si="66"/>
        <v>0</v>
      </c>
      <c r="BI44" s="1">
        <f t="shared" si="67"/>
        <v>0</v>
      </c>
      <c r="BK44" s="1">
        <v>1</v>
      </c>
      <c r="BL44" s="1">
        <f t="shared" si="68"/>
        <v>1</v>
      </c>
      <c r="BM44" s="1">
        <f t="shared" si="69"/>
        <v>0</v>
      </c>
      <c r="BN44" s="1">
        <f t="shared" si="11"/>
        <v>0</v>
      </c>
      <c r="BO44" s="1">
        <f t="shared" si="12"/>
        <v>0</v>
      </c>
    </row>
    <row r="45" ht="15" spans="1:67">
      <c r="A45" s="1">
        <f t="shared" si="13"/>
        <v>43</v>
      </c>
      <c r="C45" s="4" t="str">
        <f>Cities_list!Z46</f>
        <v>Sydney</v>
      </c>
      <c r="D45" s="1">
        <f t="shared" si="14"/>
        <v>1</v>
      </c>
      <c r="E45" s="1">
        <f t="shared" si="15"/>
        <v>0</v>
      </c>
      <c r="F45" s="1">
        <f t="shared" si="16"/>
        <v>1</v>
      </c>
      <c r="G45" s="1">
        <f t="shared" si="17"/>
        <v>0</v>
      </c>
      <c r="H45" s="17">
        <f t="shared" si="18"/>
        <v>1</v>
      </c>
      <c r="I45" s="1" t="str">
        <f t="shared" si="19"/>
        <v>Sydney</v>
      </c>
      <c r="J45" s="27" t="str">
        <f t="shared" si="20"/>
        <v>Sydney</v>
      </c>
      <c r="K45" s="30">
        <f t="shared" si="21"/>
        <v>0</v>
      </c>
      <c r="L45" s="31">
        <v>1</v>
      </c>
      <c r="M45" s="32"/>
      <c r="N45" s="24"/>
      <c r="P45" s="24">
        <f t="shared" si="31"/>
        <v>6</v>
      </c>
      <c r="Q45" s="24"/>
      <c r="S45" s="39"/>
      <c r="T45" s="32"/>
      <c r="U45" s="24">
        <v>0</v>
      </c>
      <c r="V45" s="1">
        <v>1</v>
      </c>
      <c r="W45" s="33">
        <v>1</v>
      </c>
      <c r="X45" s="33">
        <v>0</v>
      </c>
      <c r="Y45" s="33">
        <v>0</v>
      </c>
      <c r="Z45" s="33">
        <v>0</v>
      </c>
      <c r="AA45" s="33">
        <v>0</v>
      </c>
      <c r="AB45" s="44">
        <v>0</v>
      </c>
      <c r="AC45" s="45">
        <v>1</v>
      </c>
      <c r="AD45" s="45">
        <v>0</v>
      </c>
      <c r="AE45" s="49">
        <v>0</v>
      </c>
      <c r="AF45" s="43">
        <v>1</v>
      </c>
      <c r="AG45" s="43">
        <v>0</v>
      </c>
      <c r="AH45" s="43">
        <v>0</v>
      </c>
      <c r="AI45" s="43">
        <v>0</v>
      </c>
      <c r="AK45">
        <f t="shared" si="29"/>
        <v>2</v>
      </c>
      <c r="AL45" s="1">
        <f t="shared" si="30"/>
        <v>1</v>
      </c>
      <c r="AM45" s="47"/>
      <c r="AP45" s="1">
        <f t="shared" si="22"/>
        <v>1</v>
      </c>
      <c r="AQ45" s="1">
        <f t="shared" si="23"/>
        <v>1</v>
      </c>
      <c r="AR45" s="1">
        <f t="shared" si="24"/>
        <v>1</v>
      </c>
      <c r="AS45" s="1">
        <f t="shared" si="25"/>
        <v>1</v>
      </c>
      <c r="AT45" s="1">
        <f t="shared" si="26"/>
        <v>1</v>
      </c>
      <c r="AV45" s="1">
        <v>1</v>
      </c>
      <c r="AW45" s="1">
        <f t="shared" si="70"/>
        <v>0</v>
      </c>
      <c r="AX45" s="1">
        <f t="shared" si="70"/>
        <v>1</v>
      </c>
      <c r="AY45" s="1">
        <f t="shared" si="70"/>
        <v>0</v>
      </c>
      <c r="AZ45" s="1">
        <f t="shared" si="70"/>
        <v>0</v>
      </c>
      <c r="BA45" s="1">
        <f t="shared" si="71"/>
        <v>1</v>
      </c>
      <c r="BB45" s="1">
        <f t="shared" si="71"/>
        <v>0</v>
      </c>
      <c r="BC45" s="1">
        <f t="shared" si="71"/>
        <v>0</v>
      </c>
      <c r="BD45" s="1">
        <f t="shared" si="71"/>
        <v>0</v>
      </c>
      <c r="BE45" s="1">
        <f t="shared" si="71"/>
        <v>0</v>
      </c>
      <c r="BF45" s="1">
        <f t="shared" si="27"/>
        <v>1</v>
      </c>
      <c r="BG45" s="1">
        <f t="shared" si="28"/>
        <v>0</v>
      </c>
      <c r="BH45" s="1">
        <f t="shared" si="66"/>
        <v>0</v>
      </c>
      <c r="BI45" s="1">
        <f t="shared" si="67"/>
        <v>0</v>
      </c>
      <c r="BK45" s="1">
        <v>1</v>
      </c>
      <c r="BL45" s="1">
        <f t="shared" si="68"/>
        <v>1</v>
      </c>
      <c r="BM45" s="1">
        <f t="shared" si="69"/>
        <v>0</v>
      </c>
      <c r="BN45" s="1">
        <f t="shared" si="11"/>
        <v>0</v>
      </c>
      <c r="BO45" s="1">
        <f t="shared" si="12"/>
        <v>0</v>
      </c>
    </row>
    <row r="46" ht="15" spans="1:67">
      <c r="A46" s="1">
        <f t="shared" si="13"/>
        <v>44</v>
      </c>
      <c r="C46" s="4" t="str">
        <f>Cities_list!Z47</f>
        <v>Taipei</v>
      </c>
      <c r="D46" s="1">
        <f t="shared" si="14"/>
        <v>1</v>
      </c>
      <c r="E46" s="1">
        <f t="shared" si="15"/>
        <v>0</v>
      </c>
      <c r="F46" s="1">
        <f t="shared" si="16"/>
        <v>1</v>
      </c>
      <c r="G46" s="1">
        <f t="shared" si="17"/>
        <v>0</v>
      </c>
      <c r="H46" s="17">
        <f t="shared" si="18"/>
        <v>1</v>
      </c>
      <c r="I46" s="1" t="str">
        <f t="shared" si="19"/>
        <v>Taipei</v>
      </c>
      <c r="J46" s="27" t="str">
        <f t="shared" si="20"/>
        <v>Taipei</v>
      </c>
      <c r="K46" s="30">
        <f t="shared" si="21"/>
        <v>0</v>
      </c>
      <c r="L46" s="31">
        <v>1</v>
      </c>
      <c r="M46" s="32"/>
      <c r="N46" s="24"/>
      <c r="P46" s="24">
        <f t="shared" si="31"/>
        <v>6</v>
      </c>
      <c r="Q46" s="24"/>
      <c r="S46" s="39"/>
      <c r="T46" s="32"/>
      <c r="U46" s="24">
        <v>0</v>
      </c>
      <c r="V46" s="1">
        <v>1</v>
      </c>
      <c r="W46" s="33">
        <v>1</v>
      </c>
      <c r="X46" s="33">
        <v>0</v>
      </c>
      <c r="Y46" s="33">
        <v>0</v>
      </c>
      <c r="Z46" s="33">
        <v>0</v>
      </c>
      <c r="AA46" s="33">
        <v>0</v>
      </c>
      <c r="AB46" s="44">
        <v>0</v>
      </c>
      <c r="AC46" s="45">
        <v>1</v>
      </c>
      <c r="AD46" s="45">
        <v>0</v>
      </c>
      <c r="AE46" s="49">
        <v>0</v>
      </c>
      <c r="AF46" s="43">
        <v>0</v>
      </c>
      <c r="AG46" s="43">
        <v>1</v>
      </c>
      <c r="AH46" s="43">
        <v>0</v>
      </c>
      <c r="AI46" s="43">
        <v>0</v>
      </c>
      <c r="AK46">
        <f t="shared" si="29"/>
        <v>2</v>
      </c>
      <c r="AL46" s="1">
        <f t="shared" si="30"/>
        <v>1</v>
      </c>
      <c r="AM46" s="47"/>
      <c r="AP46" s="1">
        <f t="shared" si="22"/>
        <v>1</v>
      </c>
      <c r="AQ46" s="1">
        <f t="shared" si="23"/>
        <v>1</v>
      </c>
      <c r="AR46" s="1">
        <f t="shared" si="24"/>
        <v>1</v>
      </c>
      <c r="AS46" s="1">
        <f t="shared" si="25"/>
        <v>1</v>
      </c>
      <c r="AT46" s="1">
        <f t="shared" si="26"/>
        <v>1</v>
      </c>
      <c r="AV46" s="1">
        <v>1</v>
      </c>
      <c r="AW46" s="1">
        <f t="shared" si="70"/>
        <v>0</v>
      </c>
      <c r="AX46" s="1">
        <f t="shared" si="70"/>
        <v>1</v>
      </c>
      <c r="AY46" s="1">
        <f t="shared" si="70"/>
        <v>0</v>
      </c>
      <c r="AZ46" s="1">
        <f t="shared" si="70"/>
        <v>0</v>
      </c>
      <c r="BA46" s="1">
        <f t="shared" si="71"/>
        <v>1</v>
      </c>
      <c r="BB46" s="1">
        <f t="shared" si="71"/>
        <v>0</v>
      </c>
      <c r="BC46" s="1">
        <f t="shared" si="71"/>
        <v>0</v>
      </c>
      <c r="BD46" s="1">
        <f t="shared" si="71"/>
        <v>0</v>
      </c>
      <c r="BE46" s="1">
        <f t="shared" si="71"/>
        <v>0</v>
      </c>
      <c r="BF46" s="1">
        <f t="shared" si="27"/>
        <v>0</v>
      </c>
      <c r="BG46" s="1">
        <f t="shared" si="28"/>
        <v>1</v>
      </c>
      <c r="BH46" s="1">
        <f t="shared" si="66"/>
        <v>0</v>
      </c>
      <c r="BI46" s="1">
        <f t="shared" si="67"/>
        <v>0</v>
      </c>
      <c r="BK46" s="1">
        <v>1</v>
      </c>
      <c r="BL46" s="1">
        <f t="shared" si="68"/>
        <v>0</v>
      </c>
      <c r="BM46" s="1">
        <f t="shared" si="69"/>
        <v>1</v>
      </c>
      <c r="BN46" s="1">
        <f t="shared" si="11"/>
        <v>0</v>
      </c>
      <c r="BO46" s="1">
        <f t="shared" si="12"/>
        <v>0</v>
      </c>
    </row>
    <row r="47" ht="15" spans="1:67">
      <c r="A47" s="1">
        <f t="shared" si="13"/>
        <v>45</v>
      </c>
      <c r="C47" s="4" t="str">
        <f>Cities_list!Z48</f>
        <v>Tehran</v>
      </c>
      <c r="D47" s="1">
        <f t="shared" si="14"/>
        <v>1</v>
      </c>
      <c r="E47" s="1">
        <f t="shared" si="15"/>
        <v>0</v>
      </c>
      <c r="F47" s="1">
        <f t="shared" si="16"/>
        <v>1</v>
      </c>
      <c r="G47" s="1">
        <f t="shared" si="17"/>
        <v>0</v>
      </c>
      <c r="H47" s="17">
        <f t="shared" si="18"/>
        <v>1</v>
      </c>
      <c r="I47" s="1" t="str">
        <f t="shared" si="19"/>
        <v>Tehran</v>
      </c>
      <c r="J47" s="27" t="str">
        <f t="shared" si="20"/>
        <v>Tehran</v>
      </c>
      <c r="K47" s="30">
        <f t="shared" si="21"/>
        <v>0</v>
      </c>
      <c r="L47" s="31">
        <v>1</v>
      </c>
      <c r="M47" s="32"/>
      <c r="N47" s="24"/>
      <c r="P47" s="24">
        <f t="shared" si="31"/>
        <v>3</v>
      </c>
      <c r="Q47" s="24"/>
      <c r="S47" s="39"/>
      <c r="T47" s="32"/>
      <c r="U47" s="24">
        <v>0</v>
      </c>
      <c r="V47" s="1">
        <v>1</v>
      </c>
      <c r="W47" s="33">
        <v>0</v>
      </c>
      <c r="X47" s="33">
        <v>0</v>
      </c>
      <c r="Y47" s="33">
        <v>0</v>
      </c>
      <c r="Z47" s="33">
        <v>1</v>
      </c>
      <c r="AA47" s="33">
        <v>0</v>
      </c>
      <c r="AB47" s="44">
        <v>0</v>
      </c>
      <c r="AC47" s="45">
        <v>0</v>
      </c>
      <c r="AD47" s="45">
        <v>1</v>
      </c>
      <c r="AE47" s="49">
        <v>0</v>
      </c>
      <c r="AF47" s="43">
        <v>0</v>
      </c>
      <c r="AG47" s="43">
        <v>1</v>
      </c>
      <c r="AH47" s="43">
        <v>0</v>
      </c>
      <c r="AI47" s="43">
        <v>0</v>
      </c>
      <c r="AK47">
        <f t="shared" si="29"/>
        <v>3</v>
      </c>
      <c r="AL47" s="1">
        <f t="shared" si="30"/>
        <v>4</v>
      </c>
      <c r="AM47" s="47"/>
      <c r="AP47" s="1">
        <f t="shared" si="22"/>
        <v>1</v>
      </c>
      <c r="AQ47" s="1">
        <f t="shared" si="23"/>
        <v>1</v>
      </c>
      <c r="AR47" s="1">
        <f t="shared" si="24"/>
        <v>1</v>
      </c>
      <c r="AS47" s="1">
        <f t="shared" si="25"/>
        <v>1</v>
      </c>
      <c r="AT47" s="1">
        <f t="shared" si="26"/>
        <v>1</v>
      </c>
      <c r="AV47" s="1">
        <v>1</v>
      </c>
      <c r="AW47" s="1">
        <f t="shared" si="70"/>
        <v>0</v>
      </c>
      <c r="AX47" s="1">
        <f t="shared" si="70"/>
        <v>0</v>
      </c>
      <c r="AY47" s="1">
        <f t="shared" si="70"/>
        <v>1</v>
      </c>
      <c r="AZ47" s="1">
        <f t="shared" si="70"/>
        <v>0</v>
      </c>
      <c r="BA47" s="1">
        <f t="shared" si="71"/>
        <v>0</v>
      </c>
      <c r="BB47" s="1">
        <f t="shared" si="71"/>
        <v>0</v>
      </c>
      <c r="BC47" s="1">
        <f t="shared" si="71"/>
        <v>0</v>
      </c>
      <c r="BD47" s="1">
        <f t="shared" si="71"/>
        <v>1</v>
      </c>
      <c r="BE47" s="1">
        <f t="shared" si="71"/>
        <v>0</v>
      </c>
      <c r="BF47" s="1">
        <f t="shared" si="27"/>
        <v>0</v>
      </c>
      <c r="BG47" s="1">
        <f t="shared" si="28"/>
        <v>1</v>
      </c>
      <c r="BH47" s="1">
        <f t="shared" si="66"/>
        <v>0</v>
      </c>
      <c r="BI47" s="1">
        <f t="shared" si="67"/>
        <v>0</v>
      </c>
      <c r="BK47" s="1">
        <v>1</v>
      </c>
      <c r="BL47" s="1">
        <f t="shared" si="68"/>
        <v>0</v>
      </c>
      <c r="BM47" s="1">
        <f t="shared" si="69"/>
        <v>1</v>
      </c>
      <c r="BN47" s="1">
        <f t="shared" si="11"/>
        <v>0</v>
      </c>
      <c r="BO47" s="1">
        <f t="shared" si="12"/>
        <v>0</v>
      </c>
    </row>
    <row r="48" ht="15" spans="1:67">
      <c r="A48" s="1">
        <f t="shared" si="13"/>
        <v>46</v>
      </c>
      <c r="C48" s="4" t="str">
        <f>Cities_list!Z49</f>
        <v>Tianjin</v>
      </c>
      <c r="D48" s="1">
        <f t="shared" si="14"/>
        <v>1</v>
      </c>
      <c r="E48" s="1">
        <f t="shared" si="15"/>
        <v>0</v>
      </c>
      <c r="F48" s="1">
        <f t="shared" si="16"/>
        <v>1</v>
      </c>
      <c r="G48" s="1">
        <f t="shared" si="17"/>
        <v>0</v>
      </c>
      <c r="H48" s="17">
        <f t="shared" si="18"/>
        <v>1</v>
      </c>
      <c r="I48" s="1" t="str">
        <f t="shared" si="19"/>
        <v>Tianjin</v>
      </c>
      <c r="J48" s="27" t="str">
        <f t="shared" si="20"/>
        <v>Tianjin</v>
      </c>
      <c r="K48" s="30">
        <f t="shared" si="21"/>
        <v>0</v>
      </c>
      <c r="L48" s="31">
        <v>1</v>
      </c>
      <c r="M48" s="32"/>
      <c r="N48" s="24"/>
      <c r="P48" s="24">
        <f t="shared" si="31"/>
        <v>7</v>
      </c>
      <c r="Q48" s="24"/>
      <c r="S48" s="39"/>
      <c r="T48" s="32"/>
      <c r="U48" s="24">
        <v>0</v>
      </c>
      <c r="V48" s="1">
        <v>1</v>
      </c>
      <c r="W48" s="33">
        <v>1</v>
      </c>
      <c r="X48" s="33">
        <v>0</v>
      </c>
      <c r="Y48" s="33">
        <v>0</v>
      </c>
      <c r="Z48" s="33">
        <v>0</v>
      </c>
      <c r="AA48" s="33">
        <v>0</v>
      </c>
      <c r="AB48" s="44">
        <v>0</v>
      </c>
      <c r="AC48" s="45">
        <v>0</v>
      </c>
      <c r="AD48" s="45">
        <v>1</v>
      </c>
      <c r="AE48" s="49">
        <v>0</v>
      </c>
      <c r="AF48" s="43">
        <v>0</v>
      </c>
      <c r="AG48" s="43">
        <v>0</v>
      </c>
      <c r="AH48" s="43">
        <v>1</v>
      </c>
      <c r="AI48" s="43">
        <v>0</v>
      </c>
      <c r="AK48">
        <f t="shared" si="29"/>
        <v>3</v>
      </c>
      <c r="AL48" s="1">
        <f t="shared" si="30"/>
        <v>1</v>
      </c>
      <c r="AM48" s="47"/>
      <c r="AP48" s="1">
        <f t="shared" si="22"/>
        <v>1</v>
      </c>
      <c r="AQ48" s="1">
        <f t="shared" si="23"/>
        <v>1</v>
      </c>
      <c r="AR48" s="1">
        <f t="shared" si="24"/>
        <v>1</v>
      </c>
      <c r="AS48" s="1">
        <f t="shared" si="25"/>
        <v>1</v>
      </c>
      <c r="AT48" s="1">
        <f t="shared" si="26"/>
        <v>1</v>
      </c>
      <c r="AV48" s="1">
        <v>1</v>
      </c>
      <c r="AW48" s="1">
        <f t="shared" si="70"/>
        <v>0</v>
      </c>
      <c r="AX48" s="1">
        <f t="shared" si="70"/>
        <v>0</v>
      </c>
      <c r="AY48" s="1">
        <f t="shared" si="70"/>
        <v>1</v>
      </c>
      <c r="AZ48" s="1">
        <f t="shared" si="70"/>
        <v>0</v>
      </c>
      <c r="BA48" s="1">
        <f t="shared" si="71"/>
        <v>1</v>
      </c>
      <c r="BB48" s="1">
        <f t="shared" si="71"/>
        <v>0</v>
      </c>
      <c r="BC48" s="1">
        <f t="shared" si="71"/>
        <v>0</v>
      </c>
      <c r="BD48" s="1">
        <f t="shared" si="71"/>
        <v>0</v>
      </c>
      <c r="BE48" s="1">
        <f t="shared" si="71"/>
        <v>0</v>
      </c>
      <c r="BF48" s="1">
        <f t="shared" si="27"/>
        <v>0</v>
      </c>
      <c r="BG48" s="1">
        <f t="shared" si="28"/>
        <v>0</v>
      </c>
      <c r="BH48" s="1">
        <f t="shared" si="66"/>
        <v>1</v>
      </c>
      <c r="BI48" s="1">
        <f t="shared" si="67"/>
        <v>0</v>
      </c>
      <c r="BK48" s="1">
        <v>1</v>
      </c>
      <c r="BL48" s="1">
        <f t="shared" si="68"/>
        <v>0</v>
      </c>
      <c r="BM48" s="1">
        <f t="shared" si="69"/>
        <v>0</v>
      </c>
      <c r="BN48" s="1">
        <f t="shared" si="11"/>
        <v>1</v>
      </c>
      <c r="BO48" s="1">
        <f t="shared" si="12"/>
        <v>0</v>
      </c>
    </row>
    <row r="49" ht="15" spans="1:67">
      <c r="A49" s="1">
        <f t="shared" si="13"/>
        <v>47</v>
      </c>
      <c r="C49" s="4" t="str">
        <f>Cities_list!Z50</f>
        <v>Tokyo</v>
      </c>
      <c r="D49" s="1">
        <f t="shared" si="14"/>
        <v>1</v>
      </c>
      <c r="E49" s="1">
        <f t="shared" si="15"/>
        <v>0</v>
      </c>
      <c r="F49" s="1">
        <f t="shared" si="16"/>
        <v>1</v>
      </c>
      <c r="G49" s="1">
        <f t="shared" si="17"/>
        <v>0</v>
      </c>
      <c r="H49" s="17">
        <f t="shared" si="18"/>
        <v>1</v>
      </c>
      <c r="I49" s="1" t="str">
        <f t="shared" si="19"/>
        <v>Tokyo</v>
      </c>
      <c r="J49" s="27" t="str">
        <f t="shared" si="20"/>
        <v>Tokyo</v>
      </c>
      <c r="K49" s="30">
        <f t="shared" si="21"/>
        <v>0</v>
      </c>
      <c r="L49" s="31">
        <v>1</v>
      </c>
      <c r="M49" s="32"/>
      <c r="N49" s="24"/>
      <c r="P49" s="24">
        <f t="shared" si="31"/>
        <v>6</v>
      </c>
      <c r="Q49" s="24"/>
      <c r="S49" s="39"/>
      <c r="T49" s="32"/>
      <c r="U49" s="24">
        <v>0</v>
      </c>
      <c r="V49" s="1">
        <v>1</v>
      </c>
      <c r="W49" s="33">
        <v>1</v>
      </c>
      <c r="X49" s="33">
        <v>0</v>
      </c>
      <c r="Y49" s="33">
        <v>0</v>
      </c>
      <c r="Z49" s="33">
        <v>0</v>
      </c>
      <c r="AA49" s="33">
        <v>0</v>
      </c>
      <c r="AB49" s="44">
        <v>0</v>
      </c>
      <c r="AC49" s="45">
        <v>1</v>
      </c>
      <c r="AD49" s="45">
        <v>0</v>
      </c>
      <c r="AE49" s="49">
        <v>0</v>
      </c>
      <c r="AF49" s="43">
        <v>0</v>
      </c>
      <c r="AG49" s="43">
        <v>0</v>
      </c>
      <c r="AH49" s="43">
        <v>0</v>
      </c>
      <c r="AI49" s="43">
        <v>1</v>
      </c>
      <c r="AK49">
        <f t="shared" si="29"/>
        <v>2</v>
      </c>
      <c r="AL49" s="1">
        <f t="shared" si="30"/>
        <v>1</v>
      </c>
      <c r="AM49" s="47"/>
      <c r="AP49" s="1">
        <f t="shared" si="22"/>
        <v>1</v>
      </c>
      <c r="AQ49" s="1">
        <f t="shared" si="23"/>
        <v>1</v>
      </c>
      <c r="AR49" s="1">
        <f t="shared" si="24"/>
        <v>1</v>
      </c>
      <c r="AS49" s="1">
        <f t="shared" si="25"/>
        <v>1</v>
      </c>
      <c r="AT49" s="1">
        <f t="shared" si="26"/>
        <v>1</v>
      </c>
      <c r="AV49" s="1">
        <v>1</v>
      </c>
      <c r="AW49" s="1">
        <f t="shared" si="70"/>
        <v>0</v>
      </c>
      <c r="AX49" s="1">
        <f t="shared" si="70"/>
        <v>1</v>
      </c>
      <c r="AY49" s="1">
        <f t="shared" si="70"/>
        <v>0</v>
      </c>
      <c r="AZ49" s="1">
        <f t="shared" si="70"/>
        <v>0</v>
      </c>
      <c r="BA49" s="1">
        <f t="shared" si="71"/>
        <v>1</v>
      </c>
      <c r="BB49" s="1">
        <f t="shared" si="71"/>
        <v>0</v>
      </c>
      <c r="BC49" s="1">
        <f t="shared" si="71"/>
        <v>0</v>
      </c>
      <c r="BD49" s="1">
        <f t="shared" si="71"/>
        <v>0</v>
      </c>
      <c r="BE49" s="1">
        <f t="shared" si="71"/>
        <v>0</v>
      </c>
      <c r="BF49" s="1">
        <f t="shared" si="27"/>
        <v>0</v>
      </c>
      <c r="BG49" s="1">
        <f t="shared" si="28"/>
        <v>0</v>
      </c>
      <c r="BH49" s="1">
        <f t="shared" si="66"/>
        <v>0</v>
      </c>
      <c r="BI49" s="1">
        <f t="shared" si="67"/>
        <v>1</v>
      </c>
      <c r="BK49" s="1">
        <v>1</v>
      </c>
      <c r="BL49" s="1">
        <f t="shared" si="68"/>
        <v>0</v>
      </c>
      <c r="BM49" s="1">
        <f t="shared" si="69"/>
        <v>0</v>
      </c>
      <c r="BN49" s="1">
        <f t="shared" si="11"/>
        <v>0</v>
      </c>
      <c r="BO49" s="1">
        <f t="shared" si="12"/>
        <v>1</v>
      </c>
    </row>
    <row r="50" ht="15" spans="1:67">
      <c r="A50" s="1">
        <f t="shared" si="13"/>
        <v>48</v>
      </c>
      <c r="C50" s="4" t="str">
        <f>Cities_list!Z51</f>
        <v>Toronto</v>
      </c>
      <c r="D50" s="1">
        <f t="shared" si="14"/>
        <v>1</v>
      </c>
      <c r="E50" s="1">
        <f t="shared" si="15"/>
        <v>0</v>
      </c>
      <c r="F50" s="1">
        <f t="shared" si="16"/>
        <v>1</v>
      </c>
      <c r="G50" s="1">
        <f t="shared" si="17"/>
        <v>0</v>
      </c>
      <c r="H50" s="17">
        <f t="shared" si="18"/>
        <v>1</v>
      </c>
      <c r="I50" s="1" t="str">
        <f t="shared" si="19"/>
        <v>Toronto</v>
      </c>
      <c r="J50" s="27" t="str">
        <f t="shared" si="20"/>
        <v>Toronto</v>
      </c>
      <c r="K50" s="30">
        <f t="shared" si="21"/>
        <v>0</v>
      </c>
      <c r="L50" s="31">
        <v>1</v>
      </c>
      <c r="M50" s="32"/>
      <c r="N50" s="24"/>
      <c r="P50" s="24">
        <f t="shared" si="31"/>
        <v>4</v>
      </c>
      <c r="Q50" s="24"/>
      <c r="S50" s="39"/>
      <c r="T50" s="32"/>
      <c r="U50" s="24">
        <v>0</v>
      </c>
      <c r="V50" s="1">
        <v>1</v>
      </c>
      <c r="W50" s="33">
        <v>0</v>
      </c>
      <c r="X50" s="33">
        <v>0</v>
      </c>
      <c r="Y50" s="33">
        <v>0</v>
      </c>
      <c r="Z50" s="33">
        <v>0</v>
      </c>
      <c r="AA50" s="33">
        <v>1</v>
      </c>
      <c r="AB50" s="44">
        <v>0</v>
      </c>
      <c r="AC50" s="45">
        <v>1</v>
      </c>
      <c r="AD50" s="45">
        <v>0</v>
      </c>
      <c r="AE50" s="49">
        <v>0</v>
      </c>
      <c r="AF50" s="43">
        <v>0</v>
      </c>
      <c r="AG50" s="43">
        <v>1</v>
      </c>
      <c r="AH50" s="43">
        <v>0</v>
      </c>
      <c r="AI50" s="43">
        <v>0</v>
      </c>
      <c r="AK50">
        <f t="shared" si="29"/>
        <v>2</v>
      </c>
      <c r="AL50" s="1">
        <f t="shared" si="30"/>
        <v>5</v>
      </c>
      <c r="AM50" s="47"/>
      <c r="AP50" s="1">
        <f t="shared" si="22"/>
        <v>1</v>
      </c>
      <c r="AQ50" s="1">
        <f t="shared" si="23"/>
        <v>1</v>
      </c>
      <c r="AR50" s="1">
        <f t="shared" si="24"/>
        <v>1</v>
      </c>
      <c r="AS50" s="1">
        <f t="shared" si="25"/>
        <v>1</v>
      </c>
      <c r="AT50" s="1">
        <f t="shared" si="26"/>
        <v>1</v>
      </c>
      <c r="AV50" s="1">
        <v>1</v>
      </c>
      <c r="AW50" s="1">
        <f t="shared" si="70"/>
        <v>0</v>
      </c>
      <c r="AX50" s="1">
        <f t="shared" si="70"/>
        <v>1</v>
      </c>
      <c r="AY50" s="1">
        <f t="shared" si="70"/>
        <v>0</v>
      </c>
      <c r="AZ50" s="1">
        <f t="shared" si="70"/>
        <v>0</v>
      </c>
      <c r="BA50" s="1">
        <f t="shared" si="71"/>
        <v>0</v>
      </c>
      <c r="BB50" s="1">
        <f t="shared" si="71"/>
        <v>0</v>
      </c>
      <c r="BC50" s="1">
        <f t="shared" si="71"/>
        <v>0</v>
      </c>
      <c r="BD50" s="1">
        <f t="shared" si="71"/>
        <v>0</v>
      </c>
      <c r="BE50" s="1">
        <f t="shared" si="71"/>
        <v>1</v>
      </c>
      <c r="BF50" s="1">
        <f t="shared" si="27"/>
        <v>0</v>
      </c>
      <c r="BG50" s="1">
        <f t="shared" si="28"/>
        <v>1</v>
      </c>
      <c r="BH50" s="1">
        <f t="shared" si="66"/>
        <v>0</v>
      </c>
      <c r="BI50" s="1">
        <f t="shared" si="67"/>
        <v>0</v>
      </c>
      <c r="BK50" s="1">
        <v>1</v>
      </c>
      <c r="BL50" s="1">
        <f t="shared" si="68"/>
        <v>0</v>
      </c>
      <c r="BM50" s="1">
        <f t="shared" si="69"/>
        <v>1</v>
      </c>
      <c r="BN50" s="1">
        <f t="shared" si="11"/>
        <v>0</v>
      </c>
      <c r="BO50" s="1">
        <f t="shared" si="12"/>
        <v>0</v>
      </c>
    </row>
    <row r="51" ht="15" spans="1:67">
      <c r="A51" s="1">
        <f t="shared" si="13"/>
        <v>49</v>
      </c>
      <c r="C51" s="4" t="str">
        <f>Cities_list!Z52</f>
        <v>Washington DC</v>
      </c>
      <c r="D51" s="1">
        <f t="shared" si="14"/>
        <v>1</v>
      </c>
      <c r="E51" s="1">
        <f t="shared" si="15"/>
        <v>0</v>
      </c>
      <c r="F51" s="1">
        <f t="shared" si="16"/>
        <v>1</v>
      </c>
      <c r="G51" s="1">
        <f t="shared" si="17"/>
        <v>0</v>
      </c>
      <c r="H51" s="17">
        <f t="shared" si="18"/>
        <v>1</v>
      </c>
      <c r="I51" s="1" t="str">
        <f t="shared" si="19"/>
        <v>WashingtonDC</v>
      </c>
      <c r="J51" s="27" t="str">
        <f t="shared" si="20"/>
        <v>Washington DC</v>
      </c>
      <c r="K51" s="30">
        <f t="shared" si="21"/>
        <v>0</v>
      </c>
      <c r="L51" s="31">
        <v>1</v>
      </c>
      <c r="M51" s="32"/>
      <c r="N51" s="24"/>
      <c r="P51" s="24">
        <f t="shared" si="31"/>
        <v>4</v>
      </c>
      <c r="Q51" s="24"/>
      <c r="S51" s="39"/>
      <c r="T51" s="32"/>
      <c r="U51" s="24">
        <v>0</v>
      </c>
      <c r="V51" s="1">
        <v>1</v>
      </c>
      <c r="W51" s="33">
        <v>0</v>
      </c>
      <c r="X51" s="33">
        <v>0</v>
      </c>
      <c r="Y51" s="33">
        <v>0</v>
      </c>
      <c r="Z51" s="33">
        <v>0</v>
      </c>
      <c r="AA51" s="33">
        <v>1</v>
      </c>
      <c r="AB51" s="44">
        <v>1</v>
      </c>
      <c r="AC51" s="45">
        <v>0</v>
      </c>
      <c r="AD51" s="45">
        <v>0</v>
      </c>
      <c r="AE51" s="49">
        <v>0</v>
      </c>
      <c r="AF51" s="43">
        <v>0</v>
      </c>
      <c r="AG51" s="43">
        <v>1</v>
      </c>
      <c r="AH51" s="43">
        <v>0</v>
      </c>
      <c r="AI51" s="43">
        <v>0</v>
      </c>
      <c r="AK51">
        <f t="shared" si="29"/>
        <v>1</v>
      </c>
      <c r="AL51" s="1">
        <f t="shared" si="30"/>
        <v>5</v>
      </c>
      <c r="AM51" s="47"/>
      <c r="AP51" s="1">
        <f t="shared" si="22"/>
        <v>1</v>
      </c>
      <c r="AQ51" s="1">
        <f t="shared" si="23"/>
        <v>1</v>
      </c>
      <c r="AR51" s="1">
        <f t="shared" si="24"/>
        <v>1</v>
      </c>
      <c r="AS51" s="1">
        <f t="shared" si="25"/>
        <v>1</v>
      </c>
      <c r="AT51" s="1">
        <f t="shared" si="26"/>
        <v>1</v>
      </c>
      <c r="AV51" s="1">
        <v>1</v>
      </c>
      <c r="AW51" s="1">
        <f t="shared" si="70"/>
        <v>1</v>
      </c>
      <c r="AX51" s="1">
        <f t="shared" si="70"/>
        <v>0</v>
      </c>
      <c r="AY51" s="1">
        <f t="shared" si="70"/>
        <v>0</v>
      </c>
      <c r="AZ51" s="1">
        <f t="shared" si="70"/>
        <v>0</v>
      </c>
      <c r="BA51" s="1">
        <f t="shared" si="71"/>
        <v>0</v>
      </c>
      <c r="BB51" s="1">
        <f t="shared" si="71"/>
        <v>0</v>
      </c>
      <c r="BC51" s="1">
        <f t="shared" si="71"/>
        <v>0</v>
      </c>
      <c r="BD51" s="1">
        <f t="shared" si="71"/>
        <v>0</v>
      </c>
      <c r="BE51" s="1">
        <f t="shared" si="71"/>
        <v>1</v>
      </c>
      <c r="BF51" s="1">
        <f t="shared" si="27"/>
        <v>0</v>
      </c>
      <c r="BG51" s="1">
        <f t="shared" si="28"/>
        <v>1</v>
      </c>
      <c r="BH51" s="1">
        <f t="shared" si="66"/>
        <v>0</v>
      </c>
      <c r="BI51" s="1">
        <f t="shared" si="67"/>
        <v>0</v>
      </c>
      <c r="BK51" s="1">
        <v>1</v>
      </c>
      <c r="BL51" s="1">
        <f t="shared" si="68"/>
        <v>0</v>
      </c>
      <c r="BM51" s="1">
        <f t="shared" si="69"/>
        <v>1</v>
      </c>
      <c r="BN51" s="1">
        <f t="shared" si="11"/>
        <v>0</v>
      </c>
      <c r="BO51" s="1">
        <f t="shared" si="12"/>
        <v>0</v>
      </c>
    </row>
    <row r="52" ht="15" spans="1:67">
      <c r="A52" s="1">
        <f t="shared" si="13"/>
        <v>50</v>
      </c>
      <c r="C52" s="4" t="str">
        <f>Cities_list!Z53</f>
        <v>Zurich</v>
      </c>
      <c r="D52" s="1">
        <f t="shared" si="14"/>
        <v>1</v>
      </c>
      <c r="E52" s="1">
        <f t="shared" si="15"/>
        <v>0</v>
      </c>
      <c r="F52" s="1">
        <f t="shared" si="16"/>
        <v>1</v>
      </c>
      <c r="G52" s="1">
        <f t="shared" si="17"/>
        <v>0</v>
      </c>
      <c r="H52" s="17">
        <f t="shared" si="18"/>
        <v>1</v>
      </c>
      <c r="I52" s="1" t="str">
        <f t="shared" si="19"/>
        <v>Zurich</v>
      </c>
      <c r="J52" s="27" t="str">
        <f t="shared" si="20"/>
        <v>Zurich</v>
      </c>
      <c r="K52" s="30">
        <f t="shared" si="21"/>
        <v>0</v>
      </c>
      <c r="L52" s="31">
        <v>1</v>
      </c>
      <c r="M52" s="32"/>
      <c r="N52" s="24"/>
      <c r="P52" s="24">
        <f t="shared" si="31"/>
        <v>1</v>
      </c>
      <c r="Q52" s="24"/>
      <c r="S52" s="39"/>
      <c r="T52" s="32"/>
      <c r="U52" s="24">
        <v>0</v>
      </c>
      <c r="V52" s="1">
        <v>1</v>
      </c>
      <c r="W52" s="33">
        <v>0</v>
      </c>
      <c r="X52" s="33">
        <v>1</v>
      </c>
      <c r="Y52" s="33">
        <v>0</v>
      </c>
      <c r="Z52" s="33">
        <v>0</v>
      </c>
      <c r="AA52" s="33">
        <v>0</v>
      </c>
      <c r="AB52" s="44">
        <v>1</v>
      </c>
      <c r="AC52" s="45">
        <v>0</v>
      </c>
      <c r="AD52" s="45">
        <v>0</v>
      </c>
      <c r="AE52" s="49">
        <v>0</v>
      </c>
      <c r="AF52" s="43">
        <v>1</v>
      </c>
      <c r="AG52" s="43">
        <v>0</v>
      </c>
      <c r="AH52" s="43">
        <v>0</v>
      </c>
      <c r="AI52" s="43">
        <v>0</v>
      </c>
      <c r="AK52">
        <f t="shared" si="29"/>
        <v>1</v>
      </c>
      <c r="AL52" s="1">
        <f t="shared" si="30"/>
        <v>2</v>
      </c>
      <c r="AM52" s="47"/>
      <c r="AP52" s="1">
        <f t="shared" si="22"/>
        <v>1</v>
      </c>
      <c r="AQ52" s="1">
        <f t="shared" si="23"/>
        <v>1</v>
      </c>
      <c r="AR52" s="1">
        <f t="shared" si="24"/>
        <v>1</v>
      </c>
      <c r="AS52" s="1">
        <f t="shared" si="25"/>
        <v>1</v>
      </c>
      <c r="AT52" s="1">
        <f t="shared" si="26"/>
        <v>1</v>
      </c>
      <c r="AV52" s="1">
        <v>1</v>
      </c>
      <c r="AW52" s="1">
        <f t="shared" si="70"/>
        <v>1</v>
      </c>
      <c r="AX52" s="1">
        <f t="shared" si="70"/>
        <v>0</v>
      </c>
      <c r="AY52" s="1">
        <f t="shared" si="70"/>
        <v>0</v>
      </c>
      <c r="AZ52" s="1">
        <f t="shared" si="70"/>
        <v>0</v>
      </c>
      <c r="BA52" s="1">
        <f t="shared" si="71"/>
        <v>0</v>
      </c>
      <c r="BB52" s="1">
        <f t="shared" si="71"/>
        <v>1</v>
      </c>
      <c r="BC52" s="1">
        <f t="shared" si="71"/>
        <v>0</v>
      </c>
      <c r="BD52" s="1">
        <f t="shared" si="71"/>
        <v>0</v>
      </c>
      <c r="BE52" s="1">
        <f t="shared" si="71"/>
        <v>0</v>
      </c>
      <c r="BF52" s="1">
        <f t="shared" si="27"/>
        <v>1</v>
      </c>
      <c r="BG52" s="1">
        <f t="shared" si="28"/>
        <v>0</v>
      </c>
      <c r="BH52" s="1">
        <f t="shared" si="66"/>
        <v>0</v>
      </c>
      <c r="BI52" s="1">
        <f t="shared" si="67"/>
        <v>0</v>
      </c>
      <c r="BK52" s="1">
        <v>1</v>
      </c>
      <c r="BL52" s="1">
        <f t="shared" si="68"/>
        <v>1</v>
      </c>
      <c r="BM52" s="1">
        <f t="shared" si="69"/>
        <v>0</v>
      </c>
      <c r="BN52" s="1">
        <f t="shared" si="11"/>
        <v>0</v>
      </c>
      <c r="BO52" s="1">
        <f t="shared" si="12"/>
        <v>0</v>
      </c>
    </row>
    <row r="53" spans="32:35">
      <c r="AF53" s="43"/>
      <c r="AG53" s="43"/>
      <c r="AH53" s="43"/>
      <c r="AI53" s="43"/>
    </row>
    <row r="54" spans="32:35">
      <c r="AF54" s="43"/>
      <c r="AG54" s="43"/>
      <c r="AH54" s="43"/>
      <c r="AI54" s="43"/>
    </row>
    <row r="55" spans="32:35">
      <c r="AF55" s="43"/>
      <c r="AG55" s="43"/>
      <c r="AH55" s="43"/>
      <c r="AI55" s="43"/>
    </row>
    <row r="56" spans="32:35">
      <c r="AF56" s="43"/>
      <c r="AG56" s="43"/>
      <c r="AH56" s="43"/>
      <c r="AI56" s="43"/>
    </row>
    <row r="57" spans="32:35">
      <c r="AF57" s="43"/>
      <c r="AG57" s="43"/>
      <c r="AH57" s="43"/>
      <c r="AI57" s="43"/>
    </row>
    <row r="58" spans="32:35">
      <c r="AF58" s="43"/>
      <c r="AG58" s="43"/>
      <c r="AH58" s="43"/>
      <c r="AI58" s="43"/>
    </row>
    <row r="59" spans="32:35">
      <c r="AF59" s="43"/>
      <c r="AG59" s="43"/>
      <c r="AH59" s="43"/>
      <c r="AI59" s="43"/>
    </row>
    <row r="60" spans="32:35">
      <c r="AF60" s="43"/>
      <c r="AG60" s="43"/>
      <c r="AH60" s="43"/>
      <c r="AI60" s="43"/>
    </row>
    <row r="61" spans="32:35">
      <c r="AF61" s="43"/>
      <c r="AG61" s="43"/>
      <c r="AH61" s="43"/>
      <c r="AI61" s="43"/>
    </row>
    <row r="62" spans="32:35">
      <c r="AF62" s="43"/>
      <c r="AG62" s="43"/>
      <c r="AH62" s="43"/>
      <c r="AI62" s="43"/>
    </row>
    <row r="63" spans="32:35">
      <c r="AF63" s="43"/>
      <c r="AG63" s="43"/>
      <c r="AH63" s="43"/>
      <c r="AI63" s="43"/>
    </row>
  </sheetData>
  <conditionalFormatting sqref="S10">
    <cfRule type="expression" dxfId="32" priority="9">
      <formula>$I10="New"</formula>
    </cfRule>
    <cfRule type="expression" dxfId="33" priority="10">
      <formula>$I10="Change classification"</formula>
    </cfRule>
  </conditionalFormatting>
  <conditionalFormatting sqref="S11">
    <cfRule type="expression" dxfId="32" priority="3">
      <formula>$I15="New"</formula>
    </cfRule>
    <cfRule type="expression" dxfId="33" priority="4">
      <formula>$I15="Change classification"</formula>
    </cfRule>
  </conditionalFormatting>
  <conditionalFormatting sqref="S12">
    <cfRule type="expression" dxfId="32" priority="1">
      <formula>$I13="New"</formula>
    </cfRule>
    <cfRule type="expression" dxfId="33" priority="2">
      <formula>$I13="Change classification"</formula>
    </cfRule>
  </conditionalFormatting>
  <conditionalFormatting sqref="S13">
    <cfRule type="expression" dxfId="32" priority="81">
      <formula>$I14="New"</formula>
    </cfRule>
    <cfRule type="expression" dxfId="33" priority="82">
      <formula>$I14="Change classification"</formula>
    </cfRule>
  </conditionalFormatting>
  <pageMargins left="0.551181102362205" right="0.551181102362205" top="0.590551181102362" bottom="0.78740157480315" header="0.511811023622047" footer="0.511811023622047"/>
  <pageSetup paperSize="9" scale="24" orientation="landscape" horizontalDpi="1200" verticalDpi="1200"/>
  <headerFooter alignWithMargins="0">
    <oddHeader>&amp;RSafe Cities Index : 2017</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pageSetUpPr fitToPage="1"/>
  </sheetPr>
  <dimension ref="A1:BB33"/>
  <sheetViews>
    <sheetView showGridLines="0" showRowColHeaders="0" zoomScale="90" zoomScaleNormal="90" workbookViewId="0">
      <pane ySplit="3" topLeftCell="A4" activePane="bottomLeft" state="frozen"/>
      <selection/>
      <selection pane="bottomLeft" activeCell="A1" sqref="A1"/>
    </sheetView>
  </sheetViews>
  <sheetFormatPr defaultColWidth="9" defaultRowHeight="15"/>
  <cols>
    <col min="1" max="1" width="1.71428571428571" style="68" customWidth="1"/>
    <col min="2" max="2" width="40.5714285714286" style="68" customWidth="1"/>
    <col min="3" max="3" width="4.71428571428571" style="68" customWidth="1"/>
    <col min="4" max="4" width="3.71428571428571" style="68" customWidth="1"/>
    <col min="5" max="5" width="8.71428571428571" style="68" hidden="1" customWidth="1"/>
    <col min="6" max="6" width="20.2857142857143" style="68" customWidth="1"/>
    <col min="7" max="9" width="9.14285714285714" style="68"/>
    <col min="10" max="10" width="5.42857142857143" style="68" customWidth="1"/>
    <col min="11" max="16" width="9.14285714285714" style="68"/>
    <col min="17" max="18" width="5.57142857142857" style="68" customWidth="1"/>
    <col min="19" max="19" width="11.7142857142857" style="68" customWidth="1"/>
    <col min="20" max="20" width="9.14285714285714" style="68"/>
    <col min="21" max="21" width="1.14285714285714" style="68" customWidth="1"/>
    <col min="22" max="22" width="9.14285714285714" style="68"/>
    <col min="23" max="23" width="2.71428571428571" style="108" customWidth="1"/>
    <col min="24" max="24" width="4.28571428571429" style="108" customWidth="1"/>
    <col min="25" max="25" width="8.57142857142857" style="68" customWidth="1"/>
    <col min="26" max="16384" width="9.14285714285714" style="68"/>
  </cols>
  <sheetData>
    <row r="1" ht="29.1" customHeight="1" spans="2:54">
      <c r="B1" s="565" t="str">
        <f>uxb_works!B90</f>
        <v>Safe Cities Index: 2017</v>
      </c>
      <c r="BA1" s="423">
        <v>2</v>
      </c>
      <c r="BB1" s="423">
        <v>1</v>
      </c>
    </row>
    <row r="2" ht="29.1" customHeight="1" spans="1:54">
      <c r="A2" s="566"/>
      <c r="B2" s="567"/>
      <c r="C2" s="567"/>
      <c r="D2" s="567"/>
      <c r="E2" s="567"/>
      <c r="F2" s="567"/>
      <c r="G2" s="567"/>
      <c r="H2" s="567"/>
      <c r="I2" s="567"/>
      <c r="J2" s="567"/>
      <c r="K2" s="567"/>
      <c r="L2" s="567"/>
      <c r="M2" s="567"/>
      <c r="N2" s="567"/>
      <c r="O2" s="567"/>
      <c r="P2" s="567"/>
      <c r="Q2" s="567"/>
      <c r="R2" s="567"/>
      <c r="S2" s="567"/>
      <c r="T2" s="567"/>
      <c r="U2" s="567"/>
      <c r="V2" s="567"/>
      <c r="W2" s="588"/>
      <c r="X2" s="588"/>
      <c r="BA2" s="423">
        <v>1</v>
      </c>
      <c r="BB2" s="423">
        <v>3</v>
      </c>
    </row>
    <row r="3" ht="71.1" customHeight="1" spans="1:24">
      <c r="A3" s="567"/>
      <c r="B3" s="567"/>
      <c r="C3" s="567"/>
      <c r="D3" s="567"/>
      <c r="E3" s="567"/>
      <c r="F3" s="567"/>
      <c r="G3" s="567"/>
      <c r="H3" s="567"/>
      <c r="I3" s="567"/>
      <c r="J3" s="567"/>
      <c r="K3" s="567"/>
      <c r="L3" s="567"/>
      <c r="M3" s="567"/>
      <c r="N3" s="567"/>
      <c r="O3" s="567"/>
      <c r="P3" s="567"/>
      <c r="Q3" s="567"/>
      <c r="R3" s="567"/>
      <c r="S3" s="567"/>
      <c r="T3" s="567"/>
      <c r="U3" s="567"/>
      <c r="V3" s="567"/>
      <c r="W3" s="588"/>
      <c r="X3" s="588"/>
    </row>
    <row r="4" ht="3.75" customHeight="1"/>
    <row r="5" s="564" customFormat="1" ht="47.25" customHeight="1" spans="2:25">
      <c r="B5" s="595" t="str">
        <f>iScatter!G1</f>
        <v>OVERALL SCORE</v>
      </c>
      <c r="C5" s="569"/>
      <c r="D5" s="569"/>
      <c r="E5" s="569"/>
      <c r="F5" s="569"/>
      <c r="G5" s="569"/>
      <c r="H5" s="569"/>
      <c r="I5" s="574" t="str">
        <f>"Scores relating to "&amp;uxb_works!C46&amp;" index"</f>
        <v>Scores relating to 2017 index</v>
      </c>
      <c r="J5" s="569"/>
      <c r="K5" s="569"/>
      <c r="L5" s="569"/>
      <c r="M5" s="576"/>
      <c r="N5" s="569"/>
      <c r="P5" s="569"/>
      <c r="R5" s="576" t="str">
        <f>iScatter!G2</f>
        <v>OVERALL SCORE</v>
      </c>
      <c r="S5" s="569"/>
      <c r="T5" s="569"/>
      <c r="U5" s="569"/>
      <c r="V5" s="569"/>
      <c r="W5" s="589"/>
      <c r="X5" s="590"/>
      <c r="Y5" s="569"/>
    </row>
    <row r="6" ht="27.75" customHeight="1" spans="2:25">
      <c r="B6" s="570" t="str">
        <f>IF(iScatter!B1=1,"",iScatter!F1)</f>
        <v/>
      </c>
      <c r="C6" s="570"/>
      <c r="D6" s="570"/>
      <c r="E6" s="570"/>
      <c r="F6" s="570"/>
      <c r="G6" s="570"/>
      <c r="H6" s="571"/>
      <c r="I6" s="577"/>
      <c r="J6" s="577"/>
      <c r="K6" s="577"/>
      <c r="L6" s="577"/>
      <c r="M6" s="577"/>
      <c r="N6" s="577"/>
      <c r="O6" s="577"/>
      <c r="P6" s="577"/>
      <c r="R6" s="591" t="str">
        <f>IF(iScatter!B2=1,"",iScatter!F2)</f>
        <v/>
      </c>
      <c r="S6" s="572"/>
      <c r="T6" s="572"/>
      <c r="U6" s="572"/>
      <c r="V6" s="572"/>
      <c r="X6" s="592"/>
      <c r="Y6" s="572"/>
    </row>
    <row r="7" ht="7.5" customHeight="1" spans="2:25">
      <c r="B7" s="572"/>
      <c r="C7" s="572"/>
      <c r="D7" s="572"/>
      <c r="E7" s="572"/>
      <c r="F7" s="572"/>
      <c r="G7" s="572"/>
      <c r="H7" s="572"/>
      <c r="I7" s="572"/>
      <c r="J7" s="572"/>
      <c r="K7" s="572"/>
      <c r="L7" s="572"/>
      <c r="M7" s="572"/>
      <c r="N7" s="572"/>
      <c r="O7" s="572"/>
      <c r="P7" s="572"/>
      <c r="Q7" s="572"/>
      <c r="R7" s="572"/>
      <c r="S7" s="572"/>
      <c r="T7" s="572"/>
      <c r="U7" s="572"/>
      <c r="V7" s="572"/>
      <c r="W7" s="592"/>
      <c r="X7" s="592"/>
      <c r="Y7" s="572"/>
    </row>
    <row r="8" ht="16.5" customHeight="1" spans="5:25">
      <c r="E8" s="572"/>
      <c r="F8" s="572"/>
      <c r="G8" s="572"/>
      <c r="H8" s="572"/>
      <c r="I8" s="572"/>
      <c r="J8" s="572"/>
      <c r="K8" s="572"/>
      <c r="L8" s="572"/>
      <c r="M8" s="572"/>
      <c r="N8" s="572"/>
      <c r="O8" s="572"/>
      <c r="P8" s="572"/>
      <c r="Q8" s="572"/>
      <c r="R8" s="572"/>
      <c r="S8" s="572"/>
      <c r="T8" s="572"/>
      <c r="U8" s="572"/>
      <c r="V8" s="572"/>
      <c r="W8" s="592"/>
      <c r="X8" s="592"/>
      <c r="Y8" s="572"/>
    </row>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spans="21:25">
      <c r="U24" s="108"/>
      <c r="V24" s="108"/>
      <c r="Y24" s="108"/>
    </row>
    <row r="25" ht="16.5" customHeight="1" spans="21:25">
      <c r="U25" s="108"/>
      <c r="Y25" s="594" t="s">
        <v>18</v>
      </c>
    </row>
    <row r="26" ht="16.5" customHeight="1" spans="21:25">
      <c r="U26" s="108"/>
      <c r="X26" s="593">
        <f>IF(ISERROR(iScatter!B14),"n/a",iScatter!B14)</f>
        <v>1</v>
      </c>
      <c r="Y26" s="593"/>
    </row>
    <row r="27" ht="16.5" customHeight="1" spans="21:25">
      <c r="U27" s="108"/>
      <c r="V27" s="108"/>
      <c r="Y27" s="108"/>
    </row>
    <row r="28" ht="16.5" customHeight="1"/>
    <row r="29" ht="16.5" customHeight="1"/>
    <row r="30" ht="16.5" customHeight="1"/>
    <row r="31" ht="16.5" customHeight="1"/>
    <row r="32" ht="16.5" customHeight="1"/>
    <row r="33" s="68" customFormat="1" ht="16.5" customHeight="1"/>
  </sheetData>
  <sheetProtection password="A0BB" sheet="1" objects="1" scenarios="1"/>
  <mergeCells count="2">
    <mergeCell ref="B6:G6"/>
    <mergeCell ref="X26:Y26"/>
  </mergeCells>
  <pageMargins left="0.551181102362205" right="0.551181102362205" top="0.590551181102362" bottom="0.78740157480315" header="0.511811023622047" footer="0.511811023622047"/>
  <pageSetup paperSize="9" scale="28" orientation="landscape"/>
  <headerFooter alignWithMargins="0">
    <oddHeader>&amp;RSafe Cities Index : 2017</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3333507" name="Drop Down 3" r:id="rId3">
              <controlPr print="0" defaultSize="0">
                <anchor>
                  <from>
                    <xdr:col>21</xdr:col>
                    <xdr:colOff>228600</xdr:colOff>
                    <xdr:row>7</xdr:row>
                    <xdr:rowOff>128270</xdr:rowOff>
                  </from>
                  <to>
                    <xdr:col>24</xdr:col>
                    <xdr:colOff>275590</xdr:colOff>
                    <xdr:row>8</xdr:row>
                    <xdr:rowOff>124460</xdr:rowOff>
                  </to>
                </anchor>
              </controlPr>
            </control>
          </mc:Choice>
        </mc:AlternateContent>
        <mc:AlternateContent xmlns:mc="http://schemas.openxmlformats.org/markup-compatibility/2006">
          <mc:Choice Requires="x14">
            <control shapeId="13333508" name="Drop Down 4" r:id="rId4">
              <controlPr print="0" defaultSize="0">
                <anchor>
                  <from>
                    <xdr:col>18</xdr:col>
                    <xdr:colOff>610870</xdr:colOff>
                    <xdr:row>10</xdr:row>
                    <xdr:rowOff>73660</xdr:rowOff>
                  </from>
                  <to>
                    <xdr:col>24</xdr:col>
                    <xdr:colOff>524510</xdr:colOff>
                    <xdr:row>11</xdr:row>
                    <xdr:rowOff>71120</xdr:rowOff>
                  </to>
                </anchor>
              </controlPr>
            </control>
          </mc:Choice>
        </mc:AlternateContent>
        <mc:AlternateContent xmlns:mc="http://schemas.openxmlformats.org/markup-compatibility/2006">
          <mc:Choice Requires="x14">
            <control shapeId="13333510" name="Check Box 6" r:id="rId5">
              <controlPr print="0" defaultSize="0">
                <anchor>
                  <from>
                    <xdr:col>21</xdr:col>
                    <xdr:colOff>454660</xdr:colOff>
                    <xdr:row>19</xdr:row>
                    <xdr:rowOff>135890</xdr:rowOff>
                  </from>
                  <to>
                    <xdr:col>25</xdr:col>
                    <xdr:colOff>248920</xdr:colOff>
                    <xdr:row>20</xdr:row>
                    <xdr:rowOff>167005</xdr:rowOff>
                  </to>
                </anchor>
              </controlPr>
            </control>
          </mc:Choice>
        </mc:AlternateContent>
        <mc:AlternateContent xmlns:mc="http://schemas.openxmlformats.org/markup-compatibility/2006">
          <mc:Choice Requires="x14">
            <control shapeId="13333511" name="Check Box 7" r:id="rId6">
              <controlPr print="0" defaultSize="0">
                <anchor>
                  <from>
                    <xdr:col>21</xdr:col>
                    <xdr:colOff>256540</xdr:colOff>
                    <xdr:row>21</xdr:row>
                    <xdr:rowOff>192405</xdr:rowOff>
                  </from>
                  <to>
                    <xdr:col>24</xdr:col>
                    <xdr:colOff>525145</xdr:colOff>
                    <xdr:row>23</xdr:row>
                    <xdr:rowOff>0</xdr:rowOff>
                  </to>
                </anchor>
              </controlPr>
            </control>
          </mc:Choice>
        </mc:AlternateContent>
        <mc:AlternateContent xmlns:mc="http://schemas.openxmlformats.org/markup-compatibility/2006">
          <mc:Choice Requires="x14">
            <control shapeId="13333512" name="Drop Down 8" r:id="rId7">
              <controlPr print="0" defaultSize="0">
                <anchor>
                  <from>
                    <xdr:col>18</xdr:col>
                    <xdr:colOff>601980</xdr:colOff>
                    <xdr:row>12</xdr:row>
                    <xdr:rowOff>125730</xdr:rowOff>
                  </from>
                  <to>
                    <xdr:col>24</xdr:col>
                    <xdr:colOff>514985</xdr:colOff>
                    <xdr:row>13</xdr:row>
                    <xdr:rowOff>123190</xdr:rowOff>
                  </to>
                </anchor>
              </controlPr>
            </control>
          </mc:Choice>
        </mc:AlternateContent>
        <mc:AlternateContent xmlns:mc="http://schemas.openxmlformats.org/markup-compatibility/2006">
          <mc:Choice Requires="x14">
            <control shapeId="13333513" name="Drop Down 9" r:id="rId8">
              <controlPr print="0" defaultSize="0">
                <anchor>
                  <from>
                    <xdr:col>21</xdr:col>
                    <xdr:colOff>228600</xdr:colOff>
                    <xdr:row>5</xdr:row>
                    <xdr:rowOff>91440</xdr:rowOff>
                  </from>
                  <to>
                    <xdr:col>24</xdr:col>
                    <xdr:colOff>534670</xdr:colOff>
                    <xdr:row>5</xdr:row>
                    <xdr:rowOff>294005</xdr:rowOff>
                  </to>
                </anchor>
              </controlPr>
            </control>
          </mc:Choice>
        </mc:AlternateContent>
        <mc:AlternateContent xmlns:mc="http://schemas.openxmlformats.org/markup-compatibility/2006">
          <mc:Choice Requires="x14">
            <control shapeId="13333514" name="Drop Down 10" r:id="rId9">
              <controlPr print="0" defaultSize="0">
                <anchor>
                  <from>
                    <xdr:col>18</xdr:col>
                    <xdr:colOff>601980</xdr:colOff>
                    <xdr:row>14</xdr:row>
                    <xdr:rowOff>177165</xdr:rowOff>
                  </from>
                  <to>
                    <xdr:col>24</xdr:col>
                    <xdr:colOff>514985</xdr:colOff>
                    <xdr:row>15</xdr:row>
                    <xdr:rowOff>174625</xdr:rowOff>
                  </to>
                </anchor>
              </controlPr>
            </control>
          </mc:Choice>
        </mc:AlternateContent>
        <mc:AlternateContent xmlns:mc="http://schemas.openxmlformats.org/markup-compatibility/2006">
          <mc:Choice Requires="x14">
            <control shapeId="13333515" name="Drop Down 11" r:id="rId10">
              <controlPr print="0" defaultSize="0">
                <anchor>
                  <from>
                    <xdr:col>19</xdr:col>
                    <xdr:colOff>438785</xdr:colOff>
                    <xdr:row>4</xdr:row>
                    <xdr:rowOff>267335</xdr:rowOff>
                  </from>
                  <to>
                    <xdr:col>24</xdr:col>
                    <xdr:colOff>534670</xdr:colOff>
                    <xdr:row>4</xdr:row>
                    <xdr:rowOff>464185</xdr:rowOff>
                  </to>
                </anchor>
              </controlPr>
            </control>
          </mc:Choice>
        </mc:AlternateContent>
        <mc:AlternateContent xmlns:mc="http://schemas.openxmlformats.org/markup-compatibility/2006">
          <mc:Choice Requires="x14">
            <control shapeId="13333505" name="Button 1" r:id="rId11">
              <controlPr print="0" defaultSize="0">
                <anchor>
                  <from>
                    <xdr:col>21</xdr:col>
                    <xdr:colOff>542290</xdr:colOff>
                    <xdr:row>2</xdr:row>
                    <xdr:rowOff>560070</xdr:rowOff>
                  </from>
                  <to>
                    <xdr:col>24</xdr:col>
                    <xdr:colOff>142240</xdr:colOff>
                    <xdr:row>2</xdr:row>
                    <xdr:rowOff>836930</xdr:rowOff>
                  </to>
                </anchor>
              </controlPr>
            </control>
          </mc:Choice>
        </mc:AlternateContent>
        <mc:AlternateContent xmlns:mc="http://schemas.openxmlformats.org/markup-compatibility/2006">
          <mc:Choice Requires="x14">
            <control shapeId="13333506" name="cnt_indicator" r:id="rId12">
              <controlPr print="0" defaultSize="0">
                <anchor>
                  <from>
                    <xdr:col>1</xdr:col>
                    <xdr:colOff>37465</xdr:colOff>
                    <xdr:row>2</xdr:row>
                    <xdr:rowOff>633730</xdr:rowOff>
                  </from>
                  <to>
                    <xdr:col>6</xdr:col>
                    <xdr:colOff>408940</xdr:colOff>
                    <xdr:row>2</xdr:row>
                    <xdr:rowOff>864235</xdr:rowOff>
                  </to>
                </anchor>
              </controlPr>
            </control>
          </mc:Choice>
        </mc:AlternateContent>
        <mc:AlternateContent xmlns:mc="http://schemas.openxmlformats.org/markup-compatibility/2006">
          <mc:Choice Requires="x14">
            <control shapeId="13333509" name="Drop Down 5" r:id="rId13">
              <controlPr print="0" defaultSize="0">
                <anchor>
                  <from>
                    <xdr:col>8</xdr:col>
                    <xdr:colOff>66040</xdr:colOff>
                    <xdr:row>2</xdr:row>
                    <xdr:rowOff>633730</xdr:rowOff>
                  </from>
                  <to>
                    <xdr:col>17</xdr:col>
                    <xdr:colOff>123190</xdr:colOff>
                    <xdr:row>2</xdr:row>
                    <xdr:rowOff>864235</xdr:rowOff>
                  </to>
                </anchor>
              </controlPr>
            </control>
          </mc:Choice>
        </mc:AlternateContent>
        <mc:AlternateContent xmlns:mc="http://schemas.openxmlformats.org/markup-compatibility/2006">
          <mc:Choice Requires="x14">
            <control shapeId="13333516" name="Drop Down 12" r:id="rId14">
              <controlPr print="0" defaultSize="0">
                <anchor>
                  <from>
                    <xdr:col>18</xdr:col>
                    <xdr:colOff>599440</xdr:colOff>
                    <xdr:row>17</xdr:row>
                    <xdr:rowOff>1905</xdr:rowOff>
                  </from>
                  <to>
                    <xdr:col>24</xdr:col>
                    <xdr:colOff>513715</xdr:colOff>
                    <xdr:row>18</xdr:row>
                    <xdr:rowOff>2540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FFC000"/>
    <pageSetUpPr fitToPage="1"/>
  </sheetPr>
  <dimension ref="A1:BO63"/>
  <sheetViews>
    <sheetView showRowColHeaders="0" zoomScale="90" zoomScaleNormal="90" workbookViewId="0">
      <pane xSplit="3" ySplit="2" topLeftCell="D5" activePane="bottomRight" state="frozen"/>
      <selection/>
      <selection pane="topRight"/>
      <selection pane="bottomLeft"/>
      <selection pane="bottomRight" activeCell="F38" sqref="F38"/>
    </sheetView>
  </sheetViews>
  <sheetFormatPr defaultColWidth="9" defaultRowHeight="11.25"/>
  <cols>
    <col min="1" max="2" width="9.14285714285714" style="1"/>
    <col min="3" max="3" width="17.2857142857143" style="1" customWidth="1"/>
    <col min="4" max="4" width="8.57142857142857" style="1" customWidth="1"/>
    <col min="5" max="5" width="12.7142857142857" style="1" customWidth="1"/>
    <col min="6" max="6" width="5.85714285714286" style="1" customWidth="1"/>
    <col min="7" max="7" width="11" style="1" customWidth="1"/>
    <col min="8" max="8" width="2.57142857142857" style="17" customWidth="1"/>
    <col min="9" max="9" width="11.7142857142857" style="1" customWidth="1"/>
    <col min="10" max="10" width="13.5714285714286" style="18" customWidth="1"/>
    <col min="11" max="11" width="12.8571428571429" style="1" customWidth="1"/>
    <col min="12" max="12" width="2.57142857142857" style="1" customWidth="1"/>
    <col min="13" max="13" width="2.57142857142857" style="19" customWidth="1"/>
    <col min="14" max="18" width="2.57142857142857" style="1" customWidth="1"/>
    <col min="19" max="19" width="20.8571428571429" style="1" customWidth="1"/>
    <col min="20" max="20" width="2.57142857142857" style="1" customWidth="1"/>
    <col min="21" max="21" width="9.14285714285714" style="1"/>
    <col min="22" max="22" width="15.2857142857143" style="1" customWidth="1"/>
    <col min="23" max="23" width="19.5714285714286" style="1" customWidth="1"/>
    <col min="24" max="28" width="6.28571428571429" style="1" customWidth="1"/>
    <col min="29" max="30" width="6.28571428571429" style="20" customWidth="1"/>
    <col min="31" max="32" width="6.28571428571429" style="1" customWidth="1"/>
    <col min="33" max="35" width="6.28571428571429" style="20" customWidth="1"/>
    <col min="36" max="40" width="9.14285714285714" style="1"/>
    <col min="41" max="41" width="16.4285714285714" style="1" customWidth="1"/>
    <col min="42" max="16384" width="9.14285714285714" style="1"/>
  </cols>
  <sheetData>
    <row r="1" spans="1:67">
      <c r="A1" s="21" t="s">
        <v>373</v>
      </c>
      <c r="B1" s="21"/>
      <c r="C1" s="21" t="s">
        <v>15</v>
      </c>
      <c r="D1" s="22" t="s">
        <v>953</v>
      </c>
      <c r="E1" s="1" t="s">
        <v>954</v>
      </c>
      <c r="F1" s="1" t="s">
        <v>338</v>
      </c>
      <c r="G1" s="21" t="s">
        <v>955</v>
      </c>
      <c r="I1" s="1" t="s">
        <v>956</v>
      </c>
      <c r="K1" s="24"/>
      <c r="L1" s="25" t="s">
        <v>948</v>
      </c>
      <c r="M1" s="26" t="s">
        <v>957</v>
      </c>
      <c r="N1" s="24"/>
      <c r="P1" s="1" t="s">
        <v>958</v>
      </c>
      <c r="U1" s="1">
        <v>1</v>
      </c>
      <c r="V1" s="1">
        <v>2</v>
      </c>
      <c r="W1" s="1">
        <v>3</v>
      </c>
      <c r="X1" s="1">
        <v>4</v>
      </c>
      <c r="Y1" s="1">
        <v>5</v>
      </c>
      <c r="Z1" s="1">
        <v>6</v>
      </c>
      <c r="AA1" s="1">
        <v>7</v>
      </c>
      <c r="AB1" s="1">
        <v>1</v>
      </c>
      <c r="AC1" s="20">
        <v>2</v>
      </c>
      <c r="AD1" s="20">
        <v>3</v>
      </c>
      <c r="AE1" s="1">
        <v>4</v>
      </c>
      <c r="AF1" s="1">
        <v>5</v>
      </c>
      <c r="AG1" s="20">
        <v>6</v>
      </c>
      <c r="AH1" s="20">
        <v>7</v>
      </c>
      <c r="AI1" s="20">
        <v>8</v>
      </c>
      <c r="AK1" s="1" t="s">
        <v>976</v>
      </c>
      <c r="AL1" s="1" t="s">
        <v>977</v>
      </c>
      <c r="AP1" s="1" t="s">
        <v>978</v>
      </c>
      <c r="AQ1" s="1" t="s">
        <v>349</v>
      </c>
      <c r="AR1" s="1" t="s">
        <v>979</v>
      </c>
      <c r="AS1" s="1" t="s">
        <v>980</v>
      </c>
      <c r="AT1" s="1" t="s">
        <v>981</v>
      </c>
      <c r="AV1" s="1" t="s">
        <v>982</v>
      </c>
      <c r="AW1" s="1" t="str">
        <f>AB2</f>
        <v>High Income</v>
      </c>
      <c r="AX1" s="1" t="str">
        <f>AC2</f>
        <v>Upper Middle Income</v>
      </c>
      <c r="AY1" s="1" t="str">
        <f>AD2</f>
        <v>Lower Middle Income</v>
      </c>
      <c r="AZ1" s="1" t="str">
        <f>AE2</f>
        <v>Low Income</v>
      </c>
      <c r="BA1" s="1" t="str">
        <f>W2</f>
        <v>Asia Pacific</v>
      </c>
      <c r="BB1" s="1" t="str">
        <f>X2</f>
        <v>Europe</v>
      </c>
      <c r="BC1" s="1" t="str">
        <f>Y2</f>
        <v>Latin America</v>
      </c>
      <c r="BD1" s="1" t="str">
        <f>Z2</f>
        <v>Middle East and Africa</v>
      </c>
      <c r="BE1" s="1" t="str">
        <f>AA2</f>
        <v>North America</v>
      </c>
      <c r="BF1" s="1" t="str">
        <f>BL1</f>
        <v>Pop1</v>
      </c>
      <c r="BG1" s="1" t="str">
        <f>BM1</f>
        <v>pop2</v>
      </c>
      <c r="BH1" s="1" t="str">
        <f t="shared" ref="BH1:BI1" si="0">BN1</f>
        <v>pop3</v>
      </c>
      <c r="BI1" s="1" t="str">
        <f t="shared" si="0"/>
        <v>Pop3</v>
      </c>
      <c r="BK1" s="1" t="s">
        <v>983</v>
      </c>
      <c r="BL1" s="1" t="str">
        <f>AF2</f>
        <v>Pop1</v>
      </c>
      <c r="BM1" s="1" t="str">
        <f>AG2</f>
        <v>pop2</v>
      </c>
      <c r="BN1" s="1" t="str">
        <f t="shared" ref="BN1:BO1" si="1">AH2</f>
        <v>pop3</v>
      </c>
      <c r="BO1" s="1" t="str">
        <f t="shared" si="1"/>
        <v>Pop3</v>
      </c>
    </row>
    <row r="2" ht="13.5" spans="1:44">
      <c r="A2" s="1">
        <v>0</v>
      </c>
      <c r="C2" s="1" t="s">
        <v>46</v>
      </c>
      <c r="D2" s="23">
        <f>uxb_works!$B$8</f>
        <v>1</v>
      </c>
      <c r="E2" s="23">
        <f>uxb_works!$B$8</f>
        <v>1</v>
      </c>
      <c r="F2" s="23">
        <f>uxb_works!$B$7</f>
        <v>0</v>
      </c>
      <c r="G2" s="1">
        <f>uxb_works!$B$14</f>
        <v>1</v>
      </c>
      <c r="H2" s="17">
        <f t="shared" ref="H2:H3" si="2">L2</f>
        <v>1</v>
      </c>
      <c r="I2" s="1" t="str">
        <f>C2</f>
        <v>&lt;none&gt;</v>
      </c>
      <c r="J2" s="27" t="str">
        <f t="shared" ref="J2:J3" si="3">C2</f>
        <v>&lt;none&gt;</v>
      </c>
      <c r="K2" s="28">
        <v>0</v>
      </c>
      <c r="L2" s="28">
        <v>1</v>
      </c>
      <c r="M2" s="29"/>
      <c r="N2" s="24"/>
      <c r="O2" s="23"/>
      <c r="S2" s="1" t="s">
        <v>959</v>
      </c>
      <c r="U2" s="1" t="str">
        <f t="shared" ref="U2:AA2" si="4">INDEX(luRegionsPlusNone,U1)</f>
        <v>&lt;none&gt;</v>
      </c>
      <c r="V2" s="1" t="str">
        <f t="shared" si="4"/>
        <v>All Regions/Groups</v>
      </c>
      <c r="W2" s="1" t="str">
        <f t="shared" si="4"/>
        <v>Asia Pacific</v>
      </c>
      <c r="X2" s="1" t="str">
        <f t="shared" si="4"/>
        <v>Europe</v>
      </c>
      <c r="Y2" s="1" t="str">
        <f t="shared" si="4"/>
        <v>Latin America</v>
      </c>
      <c r="Z2" s="1" t="str">
        <f t="shared" si="4"/>
        <v>Middle East and Africa</v>
      </c>
      <c r="AA2" s="1" t="str">
        <f t="shared" si="4"/>
        <v>North America</v>
      </c>
      <c r="AB2" s="1" t="str">
        <f>INDEX($S$10:$S$13,AB1)</f>
        <v>High Income</v>
      </c>
      <c r="AC2" s="1" t="str">
        <f>INDEX($S$10:$S$13,AC1)</f>
        <v>Upper Middle Income</v>
      </c>
      <c r="AD2" s="1" t="str">
        <f>INDEX($S$10:$S$13,AD1)</f>
        <v>Lower Middle Income</v>
      </c>
      <c r="AE2" s="1" t="str">
        <f>INDEX($S$10:$S$13,AE1)</f>
        <v>Low Income</v>
      </c>
      <c r="AF2" s="1" t="str">
        <f>INDEX($S$10:$S$17,AF1)</f>
        <v>Pop1</v>
      </c>
      <c r="AG2" s="1" t="str">
        <f>INDEX($S$10:$S$17,AG1)</f>
        <v>pop2</v>
      </c>
      <c r="AH2" s="1" t="str">
        <f t="shared" ref="AH2:AI2" si="5">INDEX($S$10:$S$17,AH1)</f>
        <v>pop3</v>
      </c>
      <c r="AI2" s="1" t="str">
        <f t="shared" si="5"/>
        <v>Pop3</v>
      </c>
      <c r="AP2" s="1">
        <f>uxb_works!$B$12</f>
        <v>1</v>
      </c>
      <c r="AQ2" s="1">
        <f>uxb_works!$B$10</f>
        <v>1</v>
      </c>
      <c r="AR2" s="1">
        <f>uxb_works!$B$15</f>
        <v>1</v>
      </c>
    </row>
    <row r="3" ht="15" spans="1:67">
      <c r="A3" s="1">
        <f>A2+1</f>
        <v>1</v>
      </c>
      <c r="C3" s="5" t="str">
        <f>Cities_list!AF4</f>
        <v>Abu Dhabi</v>
      </c>
      <c r="D3" s="1">
        <f>AS3</f>
        <v>1</v>
      </c>
      <c r="E3" s="1">
        <f>IF($E$2=1,0,INDEX(AV3:BL3,$E$2))</f>
        <v>0</v>
      </c>
      <c r="F3" s="1">
        <f>IF(A3=$F$2,3,IF(D3=0,0,IF(E3=1,2,1)))</f>
        <v>1</v>
      </c>
      <c r="G3" s="1">
        <f>IF($G$2=1,0,INDEX(V3:AA3,$G$2))</f>
        <v>0</v>
      </c>
      <c r="H3" s="17">
        <f t="shared" si="2"/>
        <v>1</v>
      </c>
      <c r="I3" s="1" t="str">
        <f>SUBSTITUTE(C3," ","")</f>
        <v>AbuDhabi</v>
      </c>
      <c r="J3" s="27" t="str">
        <f t="shared" si="3"/>
        <v>Abu Dhabi</v>
      </c>
      <c r="K3" s="30">
        <f>IF(A3=$O$3,3,IF(INDEX($U3:$AI3,$O$5)=0,0,IF(INDEX($U3:$AI3,$O$4)=1,2,1)))</f>
        <v>0</v>
      </c>
      <c r="L3" s="31">
        <v>1</v>
      </c>
      <c r="M3" s="32"/>
      <c r="N3" s="24" t="s">
        <v>47</v>
      </c>
      <c r="O3" s="23">
        <f>uxb_works!B7</f>
        <v>0</v>
      </c>
      <c r="P3" s="1">
        <f>MATCH(1,X3:AI3,0)</f>
        <v>3</v>
      </c>
      <c r="R3" s="1">
        <v>1</v>
      </c>
      <c r="S3" s="1" t="s">
        <v>46</v>
      </c>
      <c r="U3" s="1">
        <v>0</v>
      </c>
      <c r="V3" s="1">
        <v>1</v>
      </c>
      <c r="W3" s="33">
        <v>0</v>
      </c>
      <c r="X3" s="33">
        <v>0</v>
      </c>
      <c r="Y3" s="33">
        <v>0</v>
      </c>
      <c r="Z3" s="33">
        <v>1</v>
      </c>
      <c r="AA3" s="33">
        <v>0</v>
      </c>
      <c r="AB3" s="40">
        <v>1</v>
      </c>
      <c r="AC3" s="41">
        <v>0</v>
      </c>
      <c r="AD3" s="41">
        <v>0</v>
      </c>
      <c r="AE3" s="48">
        <v>0</v>
      </c>
      <c r="AF3" s="43">
        <v>1</v>
      </c>
      <c r="AG3" s="43">
        <v>0</v>
      </c>
      <c r="AH3" s="43">
        <v>0</v>
      </c>
      <c r="AI3" s="43">
        <v>0</v>
      </c>
      <c r="AK3">
        <f>MATCH(1,AB3:AI3,0)</f>
        <v>1</v>
      </c>
      <c r="AL3" s="1">
        <f>MATCH(1,W3:AA3,0)</f>
        <v>4</v>
      </c>
      <c r="AP3" s="1">
        <f>INDEX(V3:AA3,$AP$2)</f>
        <v>1</v>
      </c>
      <c r="AQ3" s="1">
        <f>INDEX(AV3:BL3,$AQ$2)</f>
        <v>1</v>
      </c>
      <c r="AR3" s="1">
        <f>INDEX(BK3:BP3,$AR$2)</f>
        <v>1</v>
      </c>
      <c r="AS3" s="1">
        <f>IF(AND(AP3=1,AQ3=1,AR3=1),1,0)</f>
        <v>1</v>
      </c>
      <c r="AT3" s="1">
        <f>IF(AND($AP$2=1,$AQ$2&lt;&gt;1),AQ3,IF(AND($AP$2&lt;&gt;1,$AQ$2=1),AP3,IF(AND($AP$2&lt;&gt;1,$AQ$2&lt;&gt;1),AS3,1)))</f>
        <v>1</v>
      </c>
      <c r="AV3" s="1">
        <v>1</v>
      </c>
      <c r="AW3" s="1">
        <f t="shared" ref="AW3:AZ10" si="6">AB3</f>
        <v>1</v>
      </c>
      <c r="AX3" s="1">
        <f t="shared" si="6"/>
        <v>0</v>
      </c>
      <c r="AY3" s="1">
        <f t="shared" si="6"/>
        <v>0</v>
      </c>
      <c r="AZ3" s="1">
        <f t="shared" si="6"/>
        <v>0</v>
      </c>
      <c r="BA3" s="1">
        <f t="shared" ref="BA3:BE10" si="7">W3</f>
        <v>0</v>
      </c>
      <c r="BB3" s="1">
        <f t="shared" si="7"/>
        <v>0</v>
      </c>
      <c r="BC3" s="1">
        <f t="shared" si="7"/>
        <v>0</v>
      </c>
      <c r="BD3" s="1">
        <f t="shared" si="7"/>
        <v>1</v>
      </c>
      <c r="BE3" s="1">
        <f t="shared" si="7"/>
        <v>0</v>
      </c>
      <c r="BF3" s="1">
        <f>BL3</f>
        <v>1</v>
      </c>
      <c r="BG3" s="1">
        <f>BM3</f>
        <v>0</v>
      </c>
      <c r="BH3" s="1">
        <f t="shared" ref="BH3:BI18" si="8">BN3</f>
        <v>0</v>
      </c>
      <c r="BI3" s="1">
        <f t="shared" si="8"/>
        <v>0</v>
      </c>
      <c r="BK3" s="1">
        <v>1</v>
      </c>
      <c r="BL3" s="1">
        <f t="shared" ref="BL3:BL48" si="9">AF3</f>
        <v>1</v>
      </c>
      <c r="BM3" s="1">
        <f t="shared" ref="BM3:BM48" si="10">AG3</f>
        <v>0</v>
      </c>
      <c r="BN3" s="1">
        <f t="shared" ref="BN3:BN48" si="11">AH3</f>
        <v>0</v>
      </c>
      <c r="BO3" s="1">
        <f t="shared" ref="BO3:BO48" si="12">AI3</f>
        <v>0</v>
      </c>
    </row>
    <row r="4" ht="15" spans="1:67">
      <c r="A4" s="1">
        <f t="shared" ref="A4:A48" si="13">A3+1</f>
        <v>2</v>
      </c>
      <c r="C4" s="5" t="str">
        <f>Cities_list!AF5</f>
        <v>Amsterdam</v>
      </c>
      <c r="D4" s="1">
        <f t="shared" ref="D4:D48" si="14">AS4</f>
        <v>1</v>
      </c>
      <c r="E4" s="1">
        <f t="shared" ref="E4:E48" si="15">IF($E$2=1,0,INDEX(AV4:BL4,$E$2))</f>
        <v>0</v>
      </c>
      <c r="F4" s="1">
        <f t="shared" ref="F4:F48" si="16">IF(A4=$F$2,3,IF(D4=0,0,IF(E4=1,2,1)))</f>
        <v>1</v>
      </c>
      <c r="G4" s="1">
        <f t="shared" ref="G4:G48" si="17">IF($G$2=1,0,INDEX(V4:AA4,$G$2))</f>
        <v>0</v>
      </c>
      <c r="H4" s="17">
        <f t="shared" ref="H4:H48" si="18">L4</f>
        <v>1</v>
      </c>
      <c r="I4" s="1" t="str">
        <f t="shared" ref="I4:I48" si="19">SUBSTITUTE(C4," ","")</f>
        <v>Amsterdam</v>
      </c>
      <c r="J4" s="27" t="str">
        <f t="shared" ref="J4:J48" si="20">C4</f>
        <v>Amsterdam</v>
      </c>
      <c r="K4" s="30">
        <f t="shared" ref="K4:K48" si="21">IF(A4=$O$3,3,IF(INDEX($U4:$AI4,$O$5)=0,0,IF(INDEX($U4:$AI4,$O$4)=1,2,1)))</f>
        <v>0</v>
      </c>
      <c r="L4" s="31">
        <v>1</v>
      </c>
      <c r="M4" s="32"/>
      <c r="N4" s="24" t="s">
        <v>952</v>
      </c>
      <c r="O4" s="23">
        <f>IF(uxb_works!B9=2,1,uxb_works!B9)</f>
        <v>1</v>
      </c>
      <c r="P4" s="24">
        <f>MATCH(1,X4:AI4,0)</f>
        <v>1</v>
      </c>
      <c r="Q4" s="24"/>
      <c r="S4" s="34" t="s">
        <v>962</v>
      </c>
      <c r="T4" s="24"/>
      <c r="U4" s="24">
        <v>0</v>
      </c>
      <c r="V4" s="1">
        <v>1</v>
      </c>
      <c r="W4" s="33">
        <v>0</v>
      </c>
      <c r="X4" s="33">
        <v>1</v>
      </c>
      <c r="Y4" s="33">
        <v>0</v>
      </c>
      <c r="Z4" s="33">
        <v>0</v>
      </c>
      <c r="AA4" s="33">
        <v>0</v>
      </c>
      <c r="AB4" s="44">
        <v>0</v>
      </c>
      <c r="AC4" s="45">
        <v>1</v>
      </c>
      <c r="AD4" s="45">
        <v>0</v>
      </c>
      <c r="AE4" s="49">
        <v>0</v>
      </c>
      <c r="AF4" s="43">
        <v>1</v>
      </c>
      <c r="AG4" s="43">
        <v>0</v>
      </c>
      <c r="AH4" s="43">
        <v>0</v>
      </c>
      <c r="AI4" s="43">
        <v>0</v>
      </c>
      <c r="AK4">
        <f t="shared" ref="AK4:AK48" si="22">MATCH(1,AB4:AI4,0)</f>
        <v>2</v>
      </c>
      <c r="AL4" s="1">
        <f t="shared" ref="AL4:AL48" si="23">MATCH(1,W4:AA4,0)</f>
        <v>2</v>
      </c>
      <c r="AM4" s="47"/>
      <c r="AP4" s="1">
        <f t="shared" ref="AP4:AP48" si="24">INDEX(V4:AA4,$AP$2)</f>
        <v>1</v>
      </c>
      <c r="AQ4" s="1">
        <f t="shared" ref="AQ4:AQ48" si="25">INDEX(AV4:BL4,$AQ$2)</f>
        <v>1</v>
      </c>
      <c r="AR4" s="1">
        <f t="shared" ref="AR4:AR48" si="26">INDEX(BK4:BP4,$AR$2)</f>
        <v>1</v>
      </c>
      <c r="AS4" s="1">
        <f t="shared" ref="AS4:AS48" si="27">IF(AND(AP4=1,AQ4=1,AR4=1),1,0)</f>
        <v>1</v>
      </c>
      <c r="AT4" s="1">
        <f t="shared" ref="AT4:AT48" si="28">IF(AND($AP$2=1,$AQ$2&lt;&gt;1),AQ4,IF(AND($AP$2&lt;&gt;1,$AQ$2=1),AP4,IF(AND($AP$2&lt;&gt;1,$AQ$2&lt;&gt;1),AS4,1)))</f>
        <v>1</v>
      </c>
      <c r="AV4" s="1">
        <v>1</v>
      </c>
      <c r="AW4" s="1">
        <f t="shared" si="6"/>
        <v>0</v>
      </c>
      <c r="AX4" s="1">
        <f t="shared" si="6"/>
        <v>1</v>
      </c>
      <c r="AY4" s="1">
        <f t="shared" si="6"/>
        <v>0</v>
      </c>
      <c r="AZ4" s="1">
        <f t="shared" si="6"/>
        <v>0</v>
      </c>
      <c r="BA4" s="1">
        <f t="shared" si="7"/>
        <v>0</v>
      </c>
      <c r="BB4" s="1">
        <f t="shared" si="7"/>
        <v>1</v>
      </c>
      <c r="BC4" s="1">
        <f t="shared" si="7"/>
        <v>0</v>
      </c>
      <c r="BD4" s="1">
        <f t="shared" si="7"/>
        <v>0</v>
      </c>
      <c r="BE4" s="1">
        <f t="shared" si="7"/>
        <v>0</v>
      </c>
      <c r="BF4" s="1">
        <f t="shared" ref="BF4:BF48" si="29">BL4</f>
        <v>1</v>
      </c>
      <c r="BG4" s="1">
        <f t="shared" ref="BG4:BG48" si="30">BM4</f>
        <v>0</v>
      </c>
      <c r="BH4" s="1">
        <f t="shared" si="8"/>
        <v>0</v>
      </c>
      <c r="BI4" s="1">
        <f t="shared" si="8"/>
        <v>0</v>
      </c>
      <c r="BK4" s="1">
        <v>1</v>
      </c>
      <c r="BL4" s="1">
        <f t="shared" si="9"/>
        <v>1</v>
      </c>
      <c r="BM4" s="1">
        <f t="shared" si="10"/>
        <v>0</v>
      </c>
      <c r="BN4" s="1">
        <f t="shared" si="11"/>
        <v>0</v>
      </c>
      <c r="BO4" s="1">
        <f t="shared" si="12"/>
        <v>0</v>
      </c>
    </row>
    <row r="5" ht="15" spans="1:67">
      <c r="A5" s="1">
        <f t="shared" si="13"/>
        <v>3</v>
      </c>
      <c r="C5" s="5" t="str">
        <f>Cities_list!AF6</f>
        <v>Bangkok</v>
      </c>
      <c r="D5" s="1">
        <f t="shared" si="14"/>
        <v>1</v>
      </c>
      <c r="E5" s="1">
        <f t="shared" si="15"/>
        <v>0</v>
      </c>
      <c r="F5" s="1">
        <f t="shared" si="16"/>
        <v>1</v>
      </c>
      <c r="G5" s="1">
        <f t="shared" si="17"/>
        <v>0</v>
      </c>
      <c r="H5" s="17">
        <f t="shared" si="18"/>
        <v>1</v>
      </c>
      <c r="I5" s="1" t="str">
        <f t="shared" si="19"/>
        <v>Bangkok</v>
      </c>
      <c r="J5" s="27" t="str">
        <f t="shared" si="20"/>
        <v>Bangkok</v>
      </c>
      <c r="K5" s="30">
        <f t="shared" si="21"/>
        <v>0</v>
      </c>
      <c r="L5" s="31">
        <v>1</v>
      </c>
      <c r="M5" s="32"/>
      <c r="N5" s="24" t="s">
        <v>984</v>
      </c>
      <c r="O5" s="23">
        <f>uxb_works!B10</f>
        <v>1</v>
      </c>
      <c r="P5" s="24">
        <f>MATCH(1,X5:AI5,0)</f>
        <v>7</v>
      </c>
      <c r="Q5" s="24"/>
      <c r="R5" s="24">
        <v>2</v>
      </c>
      <c r="S5" s="35" t="s">
        <v>963</v>
      </c>
      <c r="T5" s="32"/>
      <c r="U5" s="24">
        <v>0</v>
      </c>
      <c r="V5" s="1">
        <v>1</v>
      </c>
      <c r="W5" s="33">
        <v>1</v>
      </c>
      <c r="X5" s="33">
        <v>0</v>
      </c>
      <c r="Y5" s="33">
        <v>0</v>
      </c>
      <c r="Z5" s="33">
        <v>0</v>
      </c>
      <c r="AA5" s="33">
        <v>0</v>
      </c>
      <c r="AB5" s="44">
        <v>0</v>
      </c>
      <c r="AC5" s="45">
        <v>0</v>
      </c>
      <c r="AD5" s="45">
        <v>1</v>
      </c>
      <c r="AE5" s="49">
        <v>0</v>
      </c>
      <c r="AF5" s="43">
        <v>0</v>
      </c>
      <c r="AG5" s="43">
        <v>0</v>
      </c>
      <c r="AH5" s="43">
        <v>1</v>
      </c>
      <c r="AI5" s="43">
        <v>0</v>
      </c>
      <c r="AK5">
        <f t="shared" si="22"/>
        <v>3</v>
      </c>
      <c r="AL5" s="1">
        <f t="shared" si="23"/>
        <v>1</v>
      </c>
      <c r="AM5" s="47"/>
      <c r="AP5" s="1">
        <f t="shared" si="24"/>
        <v>1</v>
      </c>
      <c r="AQ5" s="1">
        <f t="shared" si="25"/>
        <v>1</v>
      </c>
      <c r="AR5" s="1">
        <f t="shared" si="26"/>
        <v>1</v>
      </c>
      <c r="AS5" s="1">
        <f t="shared" si="27"/>
        <v>1</v>
      </c>
      <c r="AT5" s="1">
        <f t="shared" si="28"/>
        <v>1</v>
      </c>
      <c r="AV5" s="1">
        <v>1</v>
      </c>
      <c r="AW5" s="1">
        <f t="shared" si="6"/>
        <v>0</v>
      </c>
      <c r="AX5" s="1">
        <f t="shared" si="6"/>
        <v>0</v>
      </c>
      <c r="AY5" s="1">
        <f t="shared" si="6"/>
        <v>1</v>
      </c>
      <c r="AZ5" s="1">
        <f t="shared" si="6"/>
        <v>0</v>
      </c>
      <c r="BA5" s="1">
        <f t="shared" si="7"/>
        <v>1</v>
      </c>
      <c r="BB5" s="1">
        <f t="shared" si="7"/>
        <v>0</v>
      </c>
      <c r="BC5" s="1">
        <f t="shared" si="7"/>
        <v>0</v>
      </c>
      <c r="BD5" s="1">
        <f t="shared" si="7"/>
        <v>0</v>
      </c>
      <c r="BE5" s="1">
        <f t="shared" si="7"/>
        <v>0</v>
      </c>
      <c r="BF5" s="1">
        <f t="shared" si="29"/>
        <v>0</v>
      </c>
      <c r="BG5" s="1">
        <f t="shared" si="30"/>
        <v>0</v>
      </c>
      <c r="BH5" s="1">
        <f t="shared" si="8"/>
        <v>1</v>
      </c>
      <c r="BI5" s="1">
        <f t="shared" si="8"/>
        <v>0</v>
      </c>
      <c r="BK5" s="1">
        <v>1</v>
      </c>
      <c r="BL5" s="1">
        <f t="shared" si="9"/>
        <v>0</v>
      </c>
      <c r="BM5" s="1">
        <f t="shared" si="10"/>
        <v>0</v>
      </c>
      <c r="BN5" s="1">
        <f t="shared" si="11"/>
        <v>1</v>
      </c>
      <c r="BO5" s="1">
        <f t="shared" si="12"/>
        <v>0</v>
      </c>
    </row>
    <row r="6" ht="15" spans="1:67">
      <c r="A6" s="1">
        <f t="shared" si="13"/>
        <v>4</v>
      </c>
      <c r="C6" s="5" t="str">
        <f>Cities_list!AF7</f>
        <v>Barcelona</v>
      </c>
      <c r="D6" s="1">
        <f t="shared" si="14"/>
        <v>1</v>
      </c>
      <c r="E6" s="1">
        <f t="shared" si="15"/>
        <v>0</v>
      </c>
      <c r="F6" s="1">
        <f t="shared" si="16"/>
        <v>1</v>
      </c>
      <c r="G6" s="1">
        <f t="shared" si="17"/>
        <v>0</v>
      </c>
      <c r="H6" s="17">
        <f t="shared" si="18"/>
        <v>1</v>
      </c>
      <c r="I6" s="1" t="str">
        <f t="shared" si="19"/>
        <v>Barcelona</v>
      </c>
      <c r="J6" s="27" t="str">
        <f t="shared" si="20"/>
        <v>Barcelona</v>
      </c>
      <c r="K6" s="30">
        <f t="shared" si="21"/>
        <v>0</v>
      </c>
      <c r="L6" s="31">
        <v>1</v>
      </c>
      <c r="M6" s="32"/>
      <c r="N6" s="24"/>
      <c r="P6" s="24">
        <f>MATCH(1,X6:AI6,0)</f>
        <v>1</v>
      </c>
      <c r="Q6" s="24"/>
      <c r="R6" s="24">
        <v>3</v>
      </c>
      <c r="S6" s="36" t="s">
        <v>964</v>
      </c>
      <c r="T6" s="32"/>
      <c r="U6" s="24">
        <v>0</v>
      </c>
      <c r="V6" s="1">
        <v>1</v>
      </c>
      <c r="W6" s="33">
        <v>0</v>
      </c>
      <c r="X6" s="33">
        <v>1</v>
      </c>
      <c r="Y6" s="33">
        <v>0</v>
      </c>
      <c r="Z6" s="33">
        <v>0</v>
      </c>
      <c r="AA6" s="33">
        <v>0</v>
      </c>
      <c r="AB6" s="44">
        <v>0</v>
      </c>
      <c r="AC6" s="45">
        <v>1</v>
      </c>
      <c r="AD6" s="45">
        <v>0</v>
      </c>
      <c r="AE6" s="49">
        <v>0</v>
      </c>
      <c r="AF6" s="43">
        <v>0</v>
      </c>
      <c r="AG6" s="43">
        <v>1</v>
      </c>
      <c r="AH6" s="43">
        <v>0</v>
      </c>
      <c r="AI6" s="43">
        <v>0</v>
      </c>
      <c r="AK6">
        <f t="shared" si="22"/>
        <v>2</v>
      </c>
      <c r="AL6" s="1">
        <f t="shared" si="23"/>
        <v>2</v>
      </c>
      <c r="AM6" s="47"/>
      <c r="AP6" s="1">
        <f t="shared" si="24"/>
        <v>1</v>
      </c>
      <c r="AQ6" s="1">
        <f t="shared" si="25"/>
        <v>1</v>
      </c>
      <c r="AR6" s="1">
        <f t="shared" si="26"/>
        <v>1</v>
      </c>
      <c r="AS6" s="1">
        <f t="shared" si="27"/>
        <v>1</v>
      </c>
      <c r="AT6" s="1">
        <f t="shared" si="28"/>
        <v>1</v>
      </c>
      <c r="AV6" s="1">
        <v>1</v>
      </c>
      <c r="AW6" s="1">
        <f t="shared" si="6"/>
        <v>0</v>
      </c>
      <c r="AX6" s="1">
        <f t="shared" si="6"/>
        <v>1</v>
      </c>
      <c r="AY6" s="1">
        <f t="shared" si="6"/>
        <v>0</v>
      </c>
      <c r="AZ6" s="1">
        <f t="shared" si="6"/>
        <v>0</v>
      </c>
      <c r="BA6" s="1">
        <f t="shared" si="7"/>
        <v>0</v>
      </c>
      <c r="BB6" s="1">
        <f t="shared" si="7"/>
        <v>1</v>
      </c>
      <c r="BC6" s="1">
        <f t="shared" si="7"/>
        <v>0</v>
      </c>
      <c r="BD6" s="1">
        <f t="shared" si="7"/>
        <v>0</v>
      </c>
      <c r="BE6" s="1">
        <f t="shared" si="7"/>
        <v>0</v>
      </c>
      <c r="BF6" s="1">
        <f t="shared" si="29"/>
        <v>0</v>
      </c>
      <c r="BG6" s="1">
        <f t="shared" si="30"/>
        <v>1</v>
      </c>
      <c r="BH6" s="1">
        <f t="shared" si="8"/>
        <v>0</v>
      </c>
      <c r="BI6" s="1">
        <f t="shared" si="8"/>
        <v>0</v>
      </c>
      <c r="BK6" s="1">
        <v>1</v>
      </c>
      <c r="BL6" s="1">
        <f t="shared" si="9"/>
        <v>0</v>
      </c>
      <c r="BM6" s="1">
        <f t="shared" si="10"/>
        <v>1</v>
      </c>
      <c r="BN6" s="1">
        <f t="shared" si="11"/>
        <v>0</v>
      </c>
      <c r="BO6" s="1">
        <f t="shared" si="12"/>
        <v>0</v>
      </c>
    </row>
    <row r="7" ht="15" spans="1:67">
      <c r="A7" s="1">
        <f t="shared" si="13"/>
        <v>5</v>
      </c>
      <c r="C7" s="5" t="str">
        <f>Cities_list!AF8</f>
        <v>Beijing</v>
      </c>
      <c r="D7" s="1">
        <f t="shared" si="14"/>
        <v>1</v>
      </c>
      <c r="E7" s="1">
        <f t="shared" si="15"/>
        <v>0</v>
      </c>
      <c r="F7" s="1">
        <f t="shared" si="16"/>
        <v>1</v>
      </c>
      <c r="G7" s="1">
        <f t="shared" si="17"/>
        <v>0</v>
      </c>
      <c r="H7" s="17">
        <f t="shared" si="18"/>
        <v>1</v>
      </c>
      <c r="I7" s="1" t="str">
        <f t="shared" si="19"/>
        <v>Beijing</v>
      </c>
      <c r="J7" s="27" t="str">
        <f t="shared" si="20"/>
        <v>Beijing</v>
      </c>
      <c r="K7" s="30">
        <f t="shared" si="21"/>
        <v>0</v>
      </c>
      <c r="L7" s="31">
        <v>1</v>
      </c>
      <c r="M7" s="32"/>
      <c r="N7" s="24"/>
      <c r="P7" s="24">
        <f>MATCH(1,X7:AI7,0)</f>
        <v>7</v>
      </c>
      <c r="Q7" s="24"/>
      <c r="R7" s="24">
        <v>4</v>
      </c>
      <c r="S7" s="36" t="s">
        <v>965</v>
      </c>
      <c r="T7" s="32"/>
      <c r="U7" s="24">
        <v>0</v>
      </c>
      <c r="V7" s="1">
        <v>1</v>
      </c>
      <c r="W7" s="33">
        <v>1</v>
      </c>
      <c r="X7" s="33">
        <v>0</v>
      </c>
      <c r="Y7" s="33">
        <v>0</v>
      </c>
      <c r="Z7" s="33">
        <v>0</v>
      </c>
      <c r="AA7" s="33">
        <v>0</v>
      </c>
      <c r="AB7" s="44">
        <v>0</v>
      </c>
      <c r="AC7" s="45">
        <v>0</v>
      </c>
      <c r="AD7" s="45">
        <v>1</v>
      </c>
      <c r="AE7" s="49">
        <v>0</v>
      </c>
      <c r="AF7" s="43">
        <v>0</v>
      </c>
      <c r="AG7" s="43">
        <v>0</v>
      </c>
      <c r="AH7" s="43">
        <v>0</v>
      </c>
      <c r="AI7" s="43">
        <v>1</v>
      </c>
      <c r="AK7">
        <f t="shared" si="22"/>
        <v>3</v>
      </c>
      <c r="AL7" s="1">
        <f t="shared" si="23"/>
        <v>1</v>
      </c>
      <c r="AM7" s="47"/>
      <c r="AP7" s="1">
        <f t="shared" si="24"/>
        <v>1</v>
      </c>
      <c r="AQ7" s="1">
        <f t="shared" si="25"/>
        <v>1</v>
      </c>
      <c r="AR7" s="1">
        <f t="shared" si="26"/>
        <v>1</v>
      </c>
      <c r="AS7" s="1">
        <f t="shared" si="27"/>
        <v>1</v>
      </c>
      <c r="AT7" s="1">
        <f t="shared" si="28"/>
        <v>1</v>
      </c>
      <c r="AV7" s="1">
        <v>1</v>
      </c>
      <c r="AW7" s="1">
        <f t="shared" si="6"/>
        <v>0</v>
      </c>
      <c r="AX7" s="1">
        <f t="shared" si="6"/>
        <v>0</v>
      </c>
      <c r="AY7" s="1">
        <f t="shared" si="6"/>
        <v>1</v>
      </c>
      <c r="AZ7" s="1">
        <f t="shared" si="6"/>
        <v>0</v>
      </c>
      <c r="BA7" s="1">
        <f t="shared" si="7"/>
        <v>1</v>
      </c>
      <c r="BB7" s="1">
        <f t="shared" si="7"/>
        <v>0</v>
      </c>
      <c r="BC7" s="1">
        <f t="shared" si="7"/>
        <v>0</v>
      </c>
      <c r="BD7" s="1">
        <f t="shared" si="7"/>
        <v>0</v>
      </c>
      <c r="BE7" s="1">
        <f t="shared" si="7"/>
        <v>0</v>
      </c>
      <c r="BF7" s="1">
        <f t="shared" si="29"/>
        <v>0</v>
      </c>
      <c r="BG7" s="1">
        <f t="shared" si="30"/>
        <v>0</v>
      </c>
      <c r="BH7" s="1">
        <f t="shared" si="8"/>
        <v>0</v>
      </c>
      <c r="BI7" s="1">
        <f t="shared" si="8"/>
        <v>1</v>
      </c>
      <c r="BK7" s="1">
        <v>1</v>
      </c>
      <c r="BL7" s="1">
        <f t="shared" si="9"/>
        <v>0</v>
      </c>
      <c r="BM7" s="1">
        <f t="shared" si="10"/>
        <v>0</v>
      </c>
      <c r="BN7" s="1">
        <f t="shared" si="11"/>
        <v>0</v>
      </c>
      <c r="BO7" s="1">
        <f t="shared" si="12"/>
        <v>1</v>
      </c>
    </row>
    <row r="8" ht="15" spans="1:67">
      <c r="A8" s="1">
        <f t="shared" si="13"/>
        <v>6</v>
      </c>
      <c r="C8" s="5" t="str">
        <f>Cities_list!AF9</f>
        <v>Brussels</v>
      </c>
      <c r="D8" s="1">
        <f t="shared" si="14"/>
        <v>1</v>
      </c>
      <c r="E8" s="1">
        <f t="shared" si="15"/>
        <v>0</v>
      </c>
      <c r="F8" s="1">
        <f t="shared" si="16"/>
        <v>1</v>
      </c>
      <c r="G8" s="1">
        <f t="shared" si="17"/>
        <v>0</v>
      </c>
      <c r="H8" s="17">
        <f t="shared" si="18"/>
        <v>1</v>
      </c>
      <c r="I8" s="1" t="str">
        <f t="shared" si="19"/>
        <v>Brussels</v>
      </c>
      <c r="J8" s="27" t="str">
        <f t="shared" si="20"/>
        <v>Brussels</v>
      </c>
      <c r="K8" s="30">
        <f t="shared" si="21"/>
        <v>0</v>
      </c>
      <c r="L8" s="31">
        <v>1</v>
      </c>
      <c r="M8" s="32"/>
      <c r="N8" s="24"/>
      <c r="P8" s="24">
        <f t="shared" ref="P8:P48" si="31">MATCH(1,X8:AI8,0)</f>
        <v>1</v>
      </c>
      <c r="Q8" s="24"/>
      <c r="S8" s="35" t="s">
        <v>966</v>
      </c>
      <c r="T8" s="32"/>
      <c r="U8" s="24">
        <v>0</v>
      </c>
      <c r="V8" s="1">
        <v>1</v>
      </c>
      <c r="W8" s="33">
        <v>0</v>
      </c>
      <c r="X8" s="33">
        <v>1</v>
      </c>
      <c r="Y8" s="33">
        <v>0</v>
      </c>
      <c r="Z8" s="33">
        <v>0</v>
      </c>
      <c r="AA8" s="33">
        <v>0</v>
      </c>
      <c r="AB8" s="44">
        <v>0</v>
      </c>
      <c r="AC8" s="45">
        <v>1</v>
      </c>
      <c r="AD8" s="45">
        <v>0</v>
      </c>
      <c r="AE8" s="49">
        <v>0</v>
      </c>
      <c r="AF8" s="43">
        <v>1</v>
      </c>
      <c r="AG8" s="43">
        <v>0</v>
      </c>
      <c r="AH8" s="43">
        <v>0</v>
      </c>
      <c r="AI8" s="43">
        <v>0</v>
      </c>
      <c r="AK8">
        <f t="shared" si="22"/>
        <v>2</v>
      </c>
      <c r="AL8" s="1">
        <f t="shared" si="23"/>
        <v>2</v>
      </c>
      <c r="AM8" s="47"/>
      <c r="AP8" s="1">
        <f t="shared" si="24"/>
        <v>1</v>
      </c>
      <c r="AQ8" s="1">
        <f t="shared" si="25"/>
        <v>1</v>
      </c>
      <c r="AR8" s="1">
        <f t="shared" si="26"/>
        <v>1</v>
      </c>
      <c r="AS8" s="1">
        <f t="shared" si="27"/>
        <v>1</v>
      </c>
      <c r="AT8" s="1">
        <f t="shared" si="28"/>
        <v>1</v>
      </c>
      <c r="AV8" s="1">
        <v>1</v>
      </c>
      <c r="AW8" s="1">
        <f t="shared" si="6"/>
        <v>0</v>
      </c>
      <c r="AX8" s="1">
        <f t="shared" si="6"/>
        <v>1</v>
      </c>
      <c r="AY8" s="1">
        <f t="shared" si="6"/>
        <v>0</v>
      </c>
      <c r="AZ8" s="1">
        <f t="shared" si="6"/>
        <v>0</v>
      </c>
      <c r="BA8" s="1">
        <f t="shared" si="7"/>
        <v>0</v>
      </c>
      <c r="BB8" s="1">
        <f t="shared" si="7"/>
        <v>1</v>
      </c>
      <c r="BC8" s="1">
        <f t="shared" si="7"/>
        <v>0</v>
      </c>
      <c r="BD8" s="1">
        <f t="shared" si="7"/>
        <v>0</v>
      </c>
      <c r="BE8" s="1">
        <f t="shared" si="7"/>
        <v>0</v>
      </c>
      <c r="BF8" s="1">
        <f t="shared" si="29"/>
        <v>1</v>
      </c>
      <c r="BG8" s="1">
        <f t="shared" si="30"/>
        <v>0</v>
      </c>
      <c r="BH8" s="1">
        <f t="shared" si="8"/>
        <v>0</v>
      </c>
      <c r="BI8" s="1">
        <f t="shared" si="8"/>
        <v>0</v>
      </c>
      <c r="BK8" s="1">
        <v>1</v>
      </c>
      <c r="BL8" s="1">
        <f t="shared" si="9"/>
        <v>1</v>
      </c>
      <c r="BM8" s="1">
        <f t="shared" si="10"/>
        <v>0</v>
      </c>
      <c r="BN8" s="1">
        <f t="shared" si="11"/>
        <v>0</v>
      </c>
      <c r="BO8" s="1">
        <f t="shared" si="12"/>
        <v>0</v>
      </c>
    </row>
    <row r="9" ht="15" spans="1:67">
      <c r="A9" s="1">
        <f t="shared" si="13"/>
        <v>7</v>
      </c>
      <c r="C9" s="5" t="str">
        <f>Cities_list!AF10</f>
        <v>Buenos Aires</v>
      </c>
      <c r="D9" s="1">
        <f t="shared" si="14"/>
        <v>1</v>
      </c>
      <c r="E9" s="1">
        <f t="shared" si="15"/>
        <v>0</v>
      </c>
      <c r="F9" s="1">
        <f t="shared" si="16"/>
        <v>1</v>
      </c>
      <c r="G9" s="1">
        <f t="shared" si="17"/>
        <v>0</v>
      </c>
      <c r="H9" s="17">
        <f t="shared" si="18"/>
        <v>1</v>
      </c>
      <c r="I9" s="1" t="str">
        <f t="shared" si="19"/>
        <v>BuenosAires</v>
      </c>
      <c r="J9" s="27" t="str">
        <f t="shared" si="20"/>
        <v>Buenos Aires</v>
      </c>
      <c r="K9" s="30">
        <f t="shared" si="21"/>
        <v>0</v>
      </c>
      <c r="L9" s="31">
        <v>1</v>
      </c>
      <c r="M9" s="32"/>
      <c r="N9" s="24"/>
      <c r="P9" s="24">
        <f t="shared" si="31"/>
        <v>2</v>
      </c>
      <c r="Q9" s="24"/>
      <c r="S9" s="36" t="s">
        <v>967</v>
      </c>
      <c r="T9" s="32"/>
      <c r="U9" s="24">
        <v>0</v>
      </c>
      <c r="V9" s="1">
        <v>1</v>
      </c>
      <c r="W9" s="33">
        <v>0</v>
      </c>
      <c r="X9" s="33">
        <v>0</v>
      </c>
      <c r="Y9" s="33">
        <v>1</v>
      </c>
      <c r="Z9" s="33">
        <v>0</v>
      </c>
      <c r="AA9" s="33">
        <v>0</v>
      </c>
      <c r="AB9" s="44">
        <v>0</v>
      </c>
      <c r="AC9" s="45">
        <v>0</v>
      </c>
      <c r="AD9" s="45">
        <v>1</v>
      </c>
      <c r="AE9" s="49">
        <v>0</v>
      </c>
      <c r="AF9" s="43">
        <v>0</v>
      </c>
      <c r="AG9" s="43">
        <v>0</v>
      </c>
      <c r="AH9" s="43">
        <v>0</v>
      </c>
      <c r="AI9" s="43">
        <v>1</v>
      </c>
      <c r="AK9">
        <f t="shared" si="22"/>
        <v>3</v>
      </c>
      <c r="AL9" s="1">
        <f t="shared" si="23"/>
        <v>3</v>
      </c>
      <c r="AM9" s="47"/>
      <c r="AP9" s="1">
        <f t="shared" si="24"/>
        <v>1</v>
      </c>
      <c r="AQ9" s="1">
        <f t="shared" si="25"/>
        <v>1</v>
      </c>
      <c r="AR9" s="1">
        <f t="shared" si="26"/>
        <v>1</v>
      </c>
      <c r="AS9" s="1">
        <f t="shared" si="27"/>
        <v>1</v>
      </c>
      <c r="AT9" s="1">
        <f t="shared" si="28"/>
        <v>1</v>
      </c>
      <c r="AV9" s="1">
        <v>1</v>
      </c>
      <c r="AW9" s="1">
        <f t="shared" si="6"/>
        <v>0</v>
      </c>
      <c r="AX9" s="1">
        <f t="shared" si="6"/>
        <v>0</v>
      </c>
      <c r="AY9" s="1">
        <f t="shared" si="6"/>
        <v>1</v>
      </c>
      <c r="AZ9" s="1">
        <f t="shared" si="6"/>
        <v>0</v>
      </c>
      <c r="BA9" s="1">
        <f t="shared" si="7"/>
        <v>0</v>
      </c>
      <c r="BB9" s="1">
        <f t="shared" si="7"/>
        <v>0</v>
      </c>
      <c r="BC9" s="1">
        <f t="shared" si="7"/>
        <v>1</v>
      </c>
      <c r="BD9" s="1">
        <f t="shared" si="7"/>
        <v>0</v>
      </c>
      <c r="BE9" s="1">
        <f t="shared" si="7"/>
        <v>0</v>
      </c>
      <c r="BF9" s="1">
        <f t="shared" si="29"/>
        <v>0</v>
      </c>
      <c r="BG9" s="1">
        <f t="shared" si="30"/>
        <v>0</v>
      </c>
      <c r="BH9" s="1">
        <f t="shared" si="8"/>
        <v>0</v>
      </c>
      <c r="BI9" s="1">
        <f t="shared" si="8"/>
        <v>1</v>
      </c>
      <c r="BK9" s="1">
        <v>1</v>
      </c>
      <c r="BL9" s="1">
        <f t="shared" si="9"/>
        <v>0</v>
      </c>
      <c r="BM9" s="1">
        <f t="shared" si="10"/>
        <v>0</v>
      </c>
      <c r="BN9" s="1">
        <f t="shared" si="11"/>
        <v>0</v>
      </c>
      <c r="BO9" s="1">
        <f t="shared" si="12"/>
        <v>1</v>
      </c>
    </row>
    <row r="10" ht="15" spans="1:67">
      <c r="A10" s="1">
        <f t="shared" si="13"/>
        <v>8</v>
      </c>
      <c r="C10" s="5" t="str">
        <f>Cities_list!AF11</f>
        <v>Chicago</v>
      </c>
      <c r="D10" s="1">
        <f t="shared" si="14"/>
        <v>1</v>
      </c>
      <c r="E10" s="1">
        <f t="shared" si="15"/>
        <v>0</v>
      </c>
      <c r="F10" s="1">
        <f t="shared" si="16"/>
        <v>1</v>
      </c>
      <c r="G10" s="1">
        <f t="shared" si="17"/>
        <v>0</v>
      </c>
      <c r="H10" s="17">
        <f t="shared" si="18"/>
        <v>1</v>
      </c>
      <c r="I10" s="1" t="str">
        <f t="shared" si="19"/>
        <v>Chicago</v>
      </c>
      <c r="J10" s="27" t="str">
        <f t="shared" si="20"/>
        <v>Chicago</v>
      </c>
      <c r="K10" s="30">
        <f t="shared" si="21"/>
        <v>0</v>
      </c>
      <c r="L10" s="31">
        <v>1</v>
      </c>
      <c r="M10" s="32"/>
      <c r="N10" s="24"/>
      <c r="P10" s="24">
        <f t="shared" si="31"/>
        <v>4</v>
      </c>
      <c r="Q10" s="24"/>
      <c r="S10" s="37" t="s">
        <v>968</v>
      </c>
      <c r="T10" s="32"/>
      <c r="U10" s="24">
        <v>0</v>
      </c>
      <c r="V10" s="1">
        <v>1</v>
      </c>
      <c r="W10" s="33">
        <v>0</v>
      </c>
      <c r="X10" s="33">
        <v>0</v>
      </c>
      <c r="Y10" s="33">
        <v>0</v>
      </c>
      <c r="Z10" s="33">
        <v>0</v>
      </c>
      <c r="AA10" s="33">
        <v>1</v>
      </c>
      <c r="AB10" s="44">
        <v>1</v>
      </c>
      <c r="AC10" s="45">
        <v>0</v>
      </c>
      <c r="AD10" s="45">
        <v>0</v>
      </c>
      <c r="AE10" s="49">
        <v>0</v>
      </c>
      <c r="AF10" s="43">
        <v>0</v>
      </c>
      <c r="AG10" s="43">
        <v>1</v>
      </c>
      <c r="AH10" s="43">
        <v>0</v>
      </c>
      <c r="AI10" s="43">
        <v>0</v>
      </c>
      <c r="AK10">
        <f t="shared" si="22"/>
        <v>1</v>
      </c>
      <c r="AL10" s="1">
        <f t="shared" si="23"/>
        <v>5</v>
      </c>
      <c r="AM10" s="47"/>
      <c r="AP10" s="1">
        <f t="shared" si="24"/>
        <v>1</v>
      </c>
      <c r="AQ10" s="1">
        <f t="shared" si="25"/>
        <v>1</v>
      </c>
      <c r="AR10" s="1">
        <f t="shared" si="26"/>
        <v>1</v>
      </c>
      <c r="AS10" s="1">
        <f t="shared" si="27"/>
        <v>1</v>
      </c>
      <c r="AT10" s="1">
        <f t="shared" si="28"/>
        <v>1</v>
      </c>
      <c r="AV10" s="1">
        <v>1</v>
      </c>
      <c r="AW10" s="1">
        <f t="shared" si="6"/>
        <v>1</v>
      </c>
      <c r="AX10" s="1">
        <f t="shared" si="6"/>
        <v>0</v>
      </c>
      <c r="AY10" s="1">
        <f t="shared" si="6"/>
        <v>0</v>
      </c>
      <c r="AZ10" s="1">
        <f t="shared" si="6"/>
        <v>0</v>
      </c>
      <c r="BA10" s="1">
        <f t="shared" si="7"/>
        <v>0</v>
      </c>
      <c r="BB10" s="1">
        <f t="shared" si="7"/>
        <v>0</v>
      </c>
      <c r="BC10" s="1">
        <f t="shared" si="7"/>
        <v>0</v>
      </c>
      <c r="BD10" s="1">
        <f t="shared" si="7"/>
        <v>0</v>
      </c>
      <c r="BE10" s="1">
        <f t="shared" si="7"/>
        <v>1</v>
      </c>
      <c r="BF10" s="1">
        <f t="shared" si="29"/>
        <v>0</v>
      </c>
      <c r="BG10" s="1">
        <f t="shared" si="30"/>
        <v>1</v>
      </c>
      <c r="BH10" s="1">
        <f t="shared" si="8"/>
        <v>0</v>
      </c>
      <c r="BI10" s="1">
        <f t="shared" si="8"/>
        <v>0</v>
      </c>
      <c r="BK10" s="1">
        <v>1</v>
      </c>
      <c r="BL10" s="1">
        <f t="shared" si="9"/>
        <v>0</v>
      </c>
      <c r="BM10" s="1">
        <f t="shared" si="10"/>
        <v>1</v>
      </c>
      <c r="BN10" s="1">
        <f t="shared" si="11"/>
        <v>0</v>
      </c>
      <c r="BO10" s="1">
        <f t="shared" si="12"/>
        <v>0</v>
      </c>
    </row>
    <row r="11" ht="15" spans="1:67">
      <c r="A11" s="1">
        <f t="shared" si="13"/>
        <v>9</v>
      </c>
      <c r="C11" s="5" t="str">
        <f>Cities_list!AF12</f>
        <v>Delhi</v>
      </c>
      <c r="D11" s="1">
        <f t="shared" si="14"/>
        <v>1</v>
      </c>
      <c r="E11" s="1">
        <f t="shared" si="15"/>
        <v>0</v>
      </c>
      <c r="F11" s="1">
        <f t="shared" si="16"/>
        <v>1</v>
      </c>
      <c r="G11" s="1">
        <f t="shared" si="17"/>
        <v>0</v>
      </c>
      <c r="H11" s="17">
        <f t="shared" si="18"/>
        <v>1</v>
      </c>
      <c r="I11" s="1" t="str">
        <f t="shared" si="19"/>
        <v>Delhi</v>
      </c>
      <c r="J11" s="27" t="str">
        <f t="shared" si="20"/>
        <v>Delhi</v>
      </c>
      <c r="K11" s="30">
        <f t="shared" si="21"/>
        <v>0</v>
      </c>
      <c r="L11" s="31">
        <v>1</v>
      </c>
      <c r="M11" s="32"/>
      <c r="N11" s="24"/>
      <c r="P11" s="24">
        <f t="shared" ref="P11" si="32">MATCH(1,X11:AI11,0)</f>
        <v>8</v>
      </c>
      <c r="Q11" s="24"/>
      <c r="S11" s="37" t="s">
        <v>969</v>
      </c>
      <c r="T11" s="32"/>
      <c r="U11" s="24">
        <v>0</v>
      </c>
      <c r="V11" s="1">
        <v>1</v>
      </c>
      <c r="W11" s="33">
        <v>1</v>
      </c>
      <c r="X11" s="33">
        <v>0</v>
      </c>
      <c r="Y11" s="33">
        <v>0</v>
      </c>
      <c r="Z11" s="33">
        <v>0</v>
      </c>
      <c r="AA11" s="33">
        <v>0</v>
      </c>
      <c r="AB11" s="44">
        <v>0</v>
      </c>
      <c r="AC11" s="45">
        <v>0</v>
      </c>
      <c r="AD11" s="45">
        <v>0</v>
      </c>
      <c r="AE11" s="49">
        <v>1</v>
      </c>
      <c r="AF11" s="43">
        <v>0</v>
      </c>
      <c r="AG11" s="43">
        <v>0</v>
      </c>
      <c r="AH11" s="43">
        <v>0</v>
      </c>
      <c r="AI11" s="43">
        <v>1</v>
      </c>
      <c r="AK11">
        <f t="shared" ref="AK11" si="33">MATCH(1,AB11:AI11,0)</f>
        <v>4</v>
      </c>
      <c r="AL11" s="1">
        <f t="shared" ref="AL11" si="34">MATCH(1,W11:AA11,0)</f>
        <v>1</v>
      </c>
      <c r="AM11" s="47"/>
      <c r="AP11" s="1">
        <f t="shared" si="24"/>
        <v>1</v>
      </c>
      <c r="AQ11" s="1">
        <f t="shared" si="25"/>
        <v>1</v>
      </c>
      <c r="AR11" s="1">
        <f t="shared" si="26"/>
        <v>1</v>
      </c>
      <c r="AS11" s="1">
        <f t="shared" si="27"/>
        <v>1</v>
      </c>
      <c r="AT11" s="1">
        <f t="shared" si="28"/>
        <v>1</v>
      </c>
      <c r="AV11" s="1">
        <v>1</v>
      </c>
      <c r="AW11" s="1">
        <f>AB11</f>
        <v>0</v>
      </c>
      <c r="AX11" s="1">
        <f t="shared" ref="AX11" si="35">AC11</f>
        <v>0</v>
      </c>
      <c r="AY11" s="1">
        <f t="shared" ref="AY11" si="36">AD11</f>
        <v>0</v>
      </c>
      <c r="AZ11" s="1">
        <f t="shared" ref="AZ11" si="37">AE11</f>
        <v>1</v>
      </c>
      <c r="BA11" s="1">
        <f>W11</f>
        <v>1</v>
      </c>
      <c r="BB11" s="1">
        <f t="shared" ref="BB11" si="38">X11</f>
        <v>0</v>
      </c>
      <c r="BC11" s="1">
        <f t="shared" ref="BC11" si="39">Y11</f>
        <v>0</v>
      </c>
      <c r="BD11" s="1">
        <f t="shared" ref="BD11" si="40">Z11</f>
        <v>0</v>
      </c>
      <c r="BE11" s="1">
        <f t="shared" ref="BE11" si="41">AA11</f>
        <v>0</v>
      </c>
      <c r="BF11" s="1">
        <f t="shared" si="29"/>
        <v>0</v>
      </c>
      <c r="BG11" s="1">
        <f t="shared" si="30"/>
        <v>0</v>
      </c>
      <c r="BH11" s="1">
        <f t="shared" si="8"/>
        <v>0</v>
      </c>
      <c r="BI11" s="1">
        <f t="shared" si="8"/>
        <v>1</v>
      </c>
      <c r="BK11" s="1">
        <v>1</v>
      </c>
      <c r="BL11" s="1">
        <f t="shared" si="9"/>
        <v>0</v>
      </c>
      <c r="BM11" s="1">
        <f t="shared" si="10"/>
        <v>0</v>
      </c>
      <c r="BN11" s="1">
        <f t="shared" si="11"/>
        <v>0</v>
      </c>
      <c r="BO11" s="1">
        <f t="shared" si="12"/>
        <v>1</v>
      </c>
    </row>
    <row r="12" ht="15" spans="1:67">
      <c r="A12" s="1">
        <f t="shared" si="13"/>
        <v>10</v>
      </c>
      <c r="C12" s="5" t="str">
        <f>Cities_list!AF13</f>
        <v>Doha</v>
      </c>
      <c r="D12" s="1">
        <f t="shared" si="14"/>
        <v>1</v>
      </c>
      <c r="E12" s="1">
        <f t="shared" si="15"/>
        <v>0</v>
      </c>
      <c r="F12" s="1">
        <f t="shared" si="16"/>
        <v>1</v>
      </c>
      <c r="G12" s="1">
        <f t="shared" si="17"/>
        <v>0</v>
      </c>
      <c r="H12" s="17">
        <f t="shared" si="18"/>
        <v>1</v>
      </c>
      <c r="I12" s="1" t="str">
        <f t="shared" si="19"/>
        <v>Doha</v>
      </c>
      <c r="J12" s="27" t="str">
        <f t="shared" si="20"/>
        <v>Doha</v>
      </c>
      <c r="K12" s="30">
        <f t="shared" si="21"/>
        <v>0</v>
      </c>
      <c r="L12" s="31">
        <v>1</v>
      </c>
      <c r="M12" s="32"/>
      <c r="N12" s="24"/>
      <c r="P12" s="24">
        <f t="shared" ref="P12" si="42">MATCH(1,X12:AI12,0)</f>
        <v>3</v>
      </c>
      <c r="Q12" s="24"/>
      <c r="S12" s="37" t="s">
        <v>970</v>
      </c>
      <c r="T12" s="32"/>
      <c r="U12" s="24">
        <v>0</v>
      </c>
      <c r="V12" s="1">
        <v>1</v>
      </c>
      <c r="W12" s="33">
        <v>0</v>
      </c>
      <c r="X12" s="33">
        <v>0</v>
      </c>
      <c r="Y12" s="33">
        <v>0</v>
      </c>
      <c r="Z12" s="33">
        <v>1</v>
      </c>
      <c r="AA12" s="33">
        <v>0</v>
      </c>
      <c r="AB12" s="44">
        <v>1</v>
      </c>
      <c r="AC12" s="45">
        <v>0</v>
      </c>
      <c r="AD12" s="45">
        <v>0</v>
      </c>
      <c r="AE12" s="49">
        <v>0</v>
      </c>
      <c r="AF12" s="43">
        <v>1</v>
      </c>
      <c r="AG12" s="43">
        <v>0</v>
      </c>
      <c r="AH12" s="43">
        <v>0</v>
      </c>
      <c r="AI12" s="43">
        <v>0</v>
      </c>
      <c r="AK12">
        <f t="shared" ref="AK12" si="43">MATCH(1,AB12:AI12,0)</f>
        <v>1</v>
      </c>
      <c r="AL12" s="1">
        <f t="shared" ref="AL12" si="44">MATCH(1,W12:AA12,0)</f>
        <v>4</v>
      </c>
      <c r="AM12" s="47"/>
      <c r="AP12" s="1">
        <f t="shared" ref="AP12" si="45">INDEX(V12:AA12,$AP$2)</f>
        <v>1</v>
      </c>
      <c r="AQ12" s="1">
        <f t="shared" ref="AQ12" si="46">INDEX(AV12:BL12,$AQ$2)</f>
        <v>1</v>
      </c>
      <c r="AR12" s="1">
        <f t="shared" si="26"/>
        <v>1</v>
      </c>
      <c r="AS12" s="1">
        <f t="shared" si="27"/>
        <v>1</v>
      </c>
      <c r="AT12" s="1">
        <f t="shared" ref="AT12" si="47">IF(AND($AP$2=1,$AQ$2&lt;&gt;1),AQ12,IF(AND($AP$2&lt;&gt;1,$AQ$2=1),AP12,IF(AND($AP$2&lt;&gt;1,$AQ$2&lt;&gt;1),AS12,1)))</f>
        <v>1</v>
      </c>
      <c r="AV12" s="1">
        <v>1</v>
      </c>
      <c r="AW12" s="1">
        <f t="shared" ref="AW12" si="48">AB12</f>
        <v>1</v>
      </c>
      <c r="AX12" s="1">
        <f t="shared" ref="AX12" si="49">AC12</f>
        <v>0</v>
      </c>
      <c r="AY12" s="1">
        <f t="shared" ref="AY12" si="50">AD12</f>
        <v>0</v>
      </c>
      <c r="AZ12" s="1">
        <f t="shared" ref="AZ12" si="51">AE12</f>
        <v>0</v>
      </c>
      <c r="BA12" s="1">
        <f t="shared" ref="BA12" si="52">W12</f>
        <v>0</v>
      </c>
      <c r="BB12" s="1">
        <f t="shared" ref="BB12" si="53">X12</f>
        <v>0</v>
      </c>
      <c r="BC12" s="1">
        <f t="shared" ref="BC12" si="54">Y12</f>
        <v>0</v>
      </c>
      <c r="BD12" s="1">
        <f t="shared" ref="BD12" si="55">Z12</f>
        <v>1</v>
      </c>
      <c r="BE12" s="1">
        <f t="shared" ref="BE12" si="56">AA12</f>
        <v>0</v>
      </c>
      <c r="BF12" s="1">
        <f t="shared" si="29"/>
        <v>1</v>
      </c>
      <c r="BG12" s="1">
        <f t="shared" si="30"/>
        <v>0</v>
      </c>
      <c r="BH12" s="1">
        <f t="shared" si="8"/>
        <v>0</v>
      </c>
      <c r="BI12" s="1">
        <f t="shared" si="8"/>
        <v>0</v>
      </c>
      <c r="BK12" s="1">
        <v>1</v>
      </c>
      <c r="BL12" s="1">
        <f t="shared" si="9"/>
        <v>1</v>
      </c>
      <c r="BM12" s="1">
        <f t="shared" si="10"/>
        <v>0</v>
      </c>
      <c r="BN12" s="1">
        <f t="shared" si="11"/>
        <v>0</v>
      </c>
      <c r="BO12" s="1">
        <f t="shared" si="12"/>
        <v>0</v>
      </c>
    </row>
    <row r="13" ht="15" spans="1:67">
      <c r="A13" s="1">
        <f t="shared" si="13"/>
        <v>11</v>
      </c>
      <c r="C13" s="5" t="str">
        <f>Cities_list!AF14</f>
        <v>Frankfurt</v>
      </c>
      <c r="D13" s="1">
        <f t="shared" si="14"/>
        <v>1</v>
      </c>
      <c r="E13" s="1">
        <f t="shared" si="15"/>
        <v>0</v>
      </c>
      <c r="F13" s="1">
        <f t="shared" si="16"/>
        <v>1</v>
      </c>
      <c r="G13" s="1">
        <f t="shared" si="17"/>
        <v>0</v>
      </c>
      <c r="H13" s="17">
        <f t="shared" si="18"/>
        <v>1</v>
      </c>
      <c r="I13" s="1" t="str">
        <f t="shared" si="19"/>
        <v>Frankfurt</v>
      </c>
      <c r="J13" s="27" t="str">
        <f t="shared" si="20"/>
        <v>Frankfurt</v>
      </c>
      <c r="K13" s="30">
        <f t="shared" si="21"/>
        <v>0</v>
      </c>
      <c r="L13" s="31">
        <v>1</v>
      </c>
      <c r="M13" s="32"/>
      <c r="N13" s="24"/>
      <c r="P13" s="24">
        <f t="shared" si="31"/>
        <v>1</v>
      </c>
      <c r="Q13" s="24"/>
      <c r="S13" t="s">
        <v>971</v>
      </c>
      <c r="T13" s="32"/>
      <c r="U13" s="24">
        <v>0</v>
      </c>
      <c r="V13" s="1">
        <v>1</v>
      </c>
      <c r="W13" s="33">
        <v>0</v>
      </c>
      <c r="X13" s="33">
        <v>1</v>
      </c>
      <c r="Y13" s="33">
        <v>0</v>
      </c>
      <c r="Z13" s="33">
        <v>0</v>
      </c>
      <c r="AA13" s="33">
        <v>0</v>
      </c>
      <c r="AB13" s="44">
        <v>0</v>
      </c>
      <c r="AC13" s="45">
        <v>1</v>
      </c>
      <c r="AD13" s="45">
        <v>0</v>
      </c>
      <c r="AE13" s="49">
        <v>0</v>
      </c>
      <c r="AF13" s="43">
        <v>1</v>
      </c>
      <c r="AG13" s="43">
        <v>0</v>
      </c>
      <c r="AH13" s="43">
        <v>0</v>
      </c>
      <c r="AI13" s="43">
        <v>0</v>
      </c>
      <c r="AK13">
        <f t="shared" si="22"/>
        <v>2</v>
      </c>
      <c r="AL13" s="1">
        <f t="shared" si="23"/>
        <v>2</v>
      </c>
      <c r="AM13" s="47"/>
      <c r="AP13" s="1">
        <f t="shared" si="24"/>
        <v>1</v>
      </c>
      <c r="AQ13" s="1">
        <f t="shared" si="25"/>
        <v>1</v>
      </c>
      <c r="AR13" s="1">
        <f t="shared" si="26"/>
        <v>1</v>
      </c>
      <c r="AS13" s="1">
        <f t="shared" si="27"/>
        <v>1</v>
      </c>
      <c r="AT13" s="1">
        <f t="shared" si="28"/>
        <v>1</v>
      </c>
      <c r="AV13" s="1">
        <v>1</v>
      </c>
      <c r="AW13" s="1">
        <f t="shared" ref="AW13:AW35" si="57">AB13</f>
        <v>0</v>
      </c>
      <c r="AX13" s="1">
        <f t="shared" ref="AX13:AX35" si="58">AC13</f>
        <v>1</v>
      </c>
      <c r="AY13" s="1">
        <f t="shared" ref="AY13:AY35" si="59">AD13</f>
        <v>0</v>
      </c>
      <c r="AZ13" s="1">
        <f t="shared" ref="AZ13:AZ35" si="60">AE13</f>
        <v>0</v>
      </c>
      <c r="BA13" s="1">
        <f t="shared" ref="BA13:BA35" si="61">W13</f>
        <v>0</v>
      </c>
      <c r="BB13" s="1">
        <f t="shared" ref="BB13:BB35" si="62">X13</f>
        <v>1</v>
      </c>
      <c r="BC13" s="1">
        <f t="shared" ref="BC13:BC35" si="63">Y13</f>
        <v>0</v>
      </c>
      <c r="BD13" s="1">
        <f t="shared" ref="BD13:BD35" si="64">Z13</f>
        <v>0</v>
      </c>
      <c r="BE13" s="1">
        <f t="shared" ref="BE13:BE35" si="65">AA13</f>
        <v>0</v>
      </c>
      <c r="BF13" s="1">
        <f t="shared" si="29"/>
        <v>1</v>
      </c>
      <c r="BG13" s="1">
        <f t="shared" si="30"/>
        <v>0</v>
      </c>
      <c r="BH13" s="1">
        <f t="shared" si="8"/>
        <v>0</v>
      </c>
      <c r="BI13" s="1">
        <f t="shared" si="8"/>
        <v>0</v>
      </c>
      <c r="BK13" s="1">
        <v>1</v>
      </c>
      <c r="BL13" s="1">
        <f t="shared" si="9"/>
        <v>1</v>
      </c>
      <c r="BM13" s="1">
        <f t="shared" si="10"/>
        <v>0</v>
      </c>
      <c r="BN13" s="1">
        <f t="shared" si="11"/>
        <v>0</v>
      </c>
      <c r="BO13" s="1">
        <f t="shared" si="12"/>
        <v>0</v>
      </c>
    </row>
    <row r="14" ht="15" spans="1:67">
      <c r="A14" s="1">
        <f t="shared" si="13"/>
        <v>12</v>
      </c>
      <c r="C14" s="5" t="str">
        <f>Cities_list!AF15</f>
        <v>Ho Chi Minh City</v>
      </c>
      <c r="D14" s="1">
        <f t="shared" si="14"/>
        <v>1</v>
      </c>
      <c r="E14" s="1">
        <f t="shared" si="15"/>
        <v>0</v>
      </c>
      <c r="F14" s="1">
        <f t="shared" si="16"/>
        <v>1</v>
      </c>
      <c r="G14" s="1">
        <f t="shared" si="17"/>
        <v>0</v>
      </c>
      <c r="H14" s="17">
        <f t="shared" si="18"/>
        <v>1</v>
      </c>
      <c r="I14" s="1" t="str">
        <f t="shared" si="19"/>
        <v>HoChiMinhCity</v>
      </c>
      <c r="J14" s="27" t="str">
        <f t="shared" si="20"/>
        <v>Ho Chi Minh City</v>
      </c>
      <c r="K14" s="30">
        <f t="shared" si="21"/>
        <v>0</v>
      </c>
      <c r="L14" s="31">
        <v>1</v>
      </c>
      <c r="M14" s="32"/>
      <c r="N14" s="24"/>
      <c r="P14" s="24">
        <f t="shared" si="31"/>
        <v>8</v>
      </c>
      <c r="Q14" s="24"/>
      <c r="S14" s="38" t="s">
        <v>985</v>
      </c>
      <c r="T14" s="32"/>
      <c r="U14" s="24">
        <v>0</v>
      </c>
      <c r="V14" s="1">
        <v>1</v>
      </c>
      <c r="W14" s="33">
        <v>1</v>
      </c>
      <c r="X14" s="33">
        <v>0</v>
      </c>
      <c r="Y14" s="33">
        <v>0</v>
      </c>
      <c r="Z14" s="33">
        <v>0</v>
      </c>
      <c r="AA14" s="33">
        <v>0</v>
      </c>
      <c r="AB14" s="44">
        <v>0</v>
      </c>
      <c r="AC14" s="45">
        <v>0</v>
      </c>
      <c r="AD14" s="45">
        <v>0</v>
      </c>
      <c r="AE14" s="49">
        <v>1</v>
      </c>
      <c r="AF14" s="43">
        <v>0</v>
      </c>
      <c r="AG14" s="43">
        <v>0</v>
      </c>
      <c r="AH14" s="43">
        <v>0</v>
      </c>
      <c r="AI14" s="43">
        <v>1</v>
      </c>
      <c r="AK14">
        <f t="shared" si="22"/>
        <v>4</v>
      </c>
      <c r="AL14" s="1">
        <f t="shared" si="23"/>
        <v>1</v>
      </c>
      <c r="AM14" s="47"/>
      <c r="AP14" s="1">
        <f t="shared" si="24"/>
        <v>1</v>
      </c>
      <c r="AQ14" s="1">
        <f t="shared" si="25"/>
        <v>1</v>
      </c>
      <c r="AR14" s="1">
        <f t="shared" si="26"/>
        <v>1</v>
      </c>
      <c r="AS14" s="1">
        <f t="shared" si="27"/>
        <v>1</v>
      </c>
      <c r="AT14" s="1">
        <f t="shared" si="28"/>
        <v>1</v>
      </c>
      <c r="AV14" s="1">
        <v>1</v>
      </c>
      <c r="AW14" s="1">
        <f t="shared" si="57"/>
        <v>0</v>
      </c>
      <c r="AX14" s="1">
        <f t="shared" si="58"/>
        <v>0</v>
      </c>
      <c r="AY14" s="1">
        <f t="shared" si="59"/>
        <v>0</v>
      </c>
      <c r="AZ14" s="1">
        <f t="shared" si="60"/>
        <v>1</v>
      </c>
      <c r="BA14" s="1">
        <f t="shared" si="61"/>
        <v>1</v>
      </c>
      <c r="BB14" s="1">
        <f t="shared" si="62"/>
        <v>0</v>
      </c>
      <c r="BC14" s="1">
        <f t="shared" si="63"/>
        <v>0</v>
      </c>
      <c r="BD14" s="1">
        <f t="shared" si="64"/>
        <v>0</v>
      </c>
      <c r="BE14" s="1">
        <f t="shared" si="65"/>
        <v>0</v>
      </c>
      <c r="BF14" s="1">
        <f t="shared" si="29"/>
        <v>0</v>
      </c>
      <c r="BG14" s="1">
        <f t="shared" si="30"/>
        <v>0</v>
      </c>
      <c r="BH14" s="1">
        <f t="shared" si="8"/>
        <v>0</v>
      </c>
      <c r="BI14" s="1">
        <f t="shared" si="8"/>
        <v>1</v>
      </c>
      <c r="BK14" s="1">
        <v>1</v>
      </c>
      <c r="BL14" s="1">
        <f t="shared" si="9"/>
        <v>0</v>
      </c>
      <c r="BM14" s="1">
        <f t="shared" si="10"/>
        <v>0</v>
      </c>
      <c r="BN14" s="1">
        <f t="shared" si="11"/>
        <v>0</v>
      </c>
      <c r="BO14" s="1">
        <f t="shared" si="12"/>
        <v>1</v>
      </c>
    </row>
    <row r="15" ht="15" spans="1:67">
      <c r="A15" s="1">
        <f t="shared" si="13"/>
        <v>13</v>
      </c>
      <c r="C15" s="5" t="str">
        <f>Cities_list!AF16</f>
        <v>Hong Kong</v>
      </c>
      <c r="D15" s="1">
        <f t="shared" si="14"/>
        <v>1</v>
      </c>
      <c r="E15" s="1">
        <f t="shared" si="15"/>
        <v>0</v>
      </c>
      <c r="F15" s="1">
        <f t="shared" si="16"/>
        <v>1</v>
      </c>
      <c r="G15" s="1">
        <f t="shared" si="17"/>
        <v>0</v>
      </c>
      <c r="H15" s="17">
        <f t="shared" si="18"/>
        <v>1</v>
      </c>
      <c r="I15" s="1" t="str">
        <f t="shared" si="19"/>
        <v>HongKong</v>
      </c>
      <c r="J15" s="27" t="str">
        <f t="shared" si="20"/>
        <v>Hong Kong</v>
      </c>
      <c r="K15" s="30">
        <f t="shared" si="21"/>
        <v>0</v>
      </c>
      <c r="L15" s="31">
        <v>1</v>
      </c>
      <c r="M15" s="32"/>
      <c r="N15" s="24"/>
      <c r="P15" s="24">
        <f t="shared" si="31"/>
        <v>6</v>
      </c>
      <c r="Q15" s="24"/>
      <c r="S15" s="38" t="s">
        <v>986</v>
      </c>
      <c r="T15" s="32"/>
      <c r="U15" s="24">
        <v>0</v>
      </c>
      <c r="V15" s="1">
        <v>1</v>
      </c>
      <c r="W15" s="33">
        <v>1</v>
      </c>
      <c r="X15" s="33">
        <v>0</v>
      </c>
      <c r="Y15" s="33">
        <v>0</v>
      </c>
      <c r="Z15" s="33">
        <v>0</v>
      </c>
      <c r="AA15" s="33">
        <v>0</v>
      </c>
      <c r="AB15" s="44">
        <v>0</v>
      </c>
      <c r="AC15" s="45">
        <v>1</v>
      </c>
      <c r="AD15" s="45">
        <v>0</v>
      </c>
      <c r="AE15" s="49">
        <v>0</v>
      </c>
      <c r="AF15" s="43">
        <v>0</v>
      </c>
      <c r="AG15" s="43">
        <v>1</v>
      </c>
      <c r="AH15" s="43">
        <v>0</v>
      </c>
      <c r="AI15" s="43">
        <v>0</v>
      </c>
      <c r="AK15">
        <f t="shared" si="22"/>
        <v>2</v>
      </c>
      <c r="AL15" s="1">
        <f t="shared" si="23"/>
        <v>1</v>
      </c>
      <c r="AM15" s="47"/>
      <c r="AP15" s="1">
        <f t="shared" si="24"/>
        <v>1</v>
      </c>
      <c r="AQ15" s="1">
        <f t="shared" si="25"/>
        <v>1</v>
      </c>
      <c r="AR15" s="1">
        <f t="shared" si="26"/>
        <v>1</v>
      </c>
      <c r="AS15" s="1">
        <f t="shared" si="27"/>
        <v>1</v>
      </c>
      <c r="AT15" s="1">
        <f t="shared" si="28"/>
        <v>1</v>
      </c>
      <c r="AV15" s="1">
        <v>1</v>
      </c>
      <c r="AW15" s="1">
        <f t="shared" si="57"/>
        <v>0</v>
      </c>
      <c r="AX15" s="1">
        <f t="shared" si="58"/>
        <v>1</v>
      </c>
      <c r="AY15" s="1">
        <f t="shared" si="59"/>
        <v>0</v>
      </c>
      <c r="AZ15" s="1">
        <f t="shared" si="60"/>
        <v>0</v>
      </c>
      <c r="BA15" s="1">
        <f t="shared" si="61"/>
        <v>1</v>
      </c>
      <c r="BB15" s="1">
        <f t="shared" si="62"/>
        <v>0</v>
      </c>
      <c r="BC15" s="1">
        <f t="shared" si="63"/>
        <v>0</v>
      </c>
      <c r="BD15" s="1">
        <f t="shared" si="64"/>
        <v>0</v>
      </c>
      <c r="BE15" s="1">
        <f t="shared" si="65"/>
        <v>0</v>
      </c>
      <c r="BF15" s="1">
        <f t="shared" si="29"/>
        <v>0</v>
      </c>
      <c r="BG15" s="1">
        <f t="shared" si="30"/>
        <v>1</v>
      </c>
      <c r="BH15" s="1">
        <f t="shared" si="8"/>
        <v>0</v>
      </c>
      <c r="BI15" s="1">
        <f t="shared" si="8"/>
        <v>0</v>
      </c>
      <c r="BK15" s="1">
        <v>1</v>
      </c>
      <c r="BL15" s="1">
        <f t="shared" si="9"/>
        <v>0</v>
      </c>
      <c r="BM15" s="1">
        <f t="shared" si="10"/>
        <v>1</v>
      </c>
      <c r="BN15" s="1">
        <f t="shared" si="11"/>
        <v>0</v>
      </c>
      <c r="BO15" s="1">
        <f t="shared" si="12"/>
        <v>0</v>
      </c>
    </row>
    <row r="16" ht="15" spans="1:67">
      <c r="A16" s="1">
        <f t="shared" si="13"/>
        <v>14</v>
      </c>
      <c r="C16" s="5" t="str">
        <f>Cities_list!AF17</f>
        <v>Istanbul</v>
      </c>
      <c r="D16" s="1">
        <f t="shared" si="14"/>
        <v>1</v>
      </c>
      <c r="E16" s="1">
        <f t="shared" si="15"/>
        <v>0</v>
      </c>
      <c r="F16" s="1">
        <f t="shared" si="16"/>
        <v>1</v>
      </c>
      <c r="G16" s="1">
        <f t="shared" si="17"/>
        <v>0</v>
      </c>
      <c r="H16" s="17">
        <f t="shared" si="18"/>
        <v>1</v>
      </c>
      <c r="I16" s="1" t="str">
        <f t="shared" si="19"/>
        <v>Istanbul</v>
      </c>
      <c r="J16" s="27" t="str">
        <f t="shared" si="20"/>
        <v>Istanbul</v>
      </c>
      <c r="K16" s="30">
        <f t="shared" si="21"/>
        <v>0</v>
      </c>
      <c r="L16" s="31">
        <v>1</v>
      </c>
      <c r="M16" s="32"/>
      <c r="N16" s="24"/>
      <c r="P16" s="24">
        <f t="shared" si="31"/>
        <v>1</v>
      </c>
      <c r="Q16" s="24"/>
      <c r="S16" s="38" t="s">
        <v>988</v>
      </c>
      <c r="T16" s="32"/>
      <c r="U16" s="24">
        <v>0</v>
      </c>
      <c r="V16" s="1">
        <v>1</v>
      </c>
      <c r="W16" s="33">
        <v>0</v>
      </c>
      <c r="X16" s="33">
        <v>1</v>
      </c>
      <c r="Y16" s="33">
        <v>0</v>
      </c>
      <c r="Z16" s="33">
        <v>0</v>
      </c>
      <c r="AA16" s="33">
        <v>0</v>
      </c>
      <c r="AB16" s="44">
        <v>0</v>
      </c>
      <c r="AC16" s="45">
        <v>0</v>
      </c>
      <c r="AD16" s="45">
        <v>1</v>
      </c>
      <c r="AE16" s="49">
        <v>0</v>
      </c>
      <c r="AF16" s="43">
        <v>0</v>
      </c>
      <c r="AG16" s="43">
        <v>0</v>
      </c>
      <c r="AH16" s="43">
        <v>1</v>
      </c>
      <c r="AI16" s="43">
        <v>0</v>
      </c>
      <c r="AK16">
        <f t="shared" si="22"/>
        <v>3</v>
      </c>
      <c r="AL16" s="1">
        <f t="shared" si="23"/>
        <v>2</v>
      </c>
      <c r="AM16" s="47"/>
      <c r="AP16" s="1">
        <f t="shared" si="24"/>
        <v>1</v>
      </c>
      <c r="AQ16" s="1">
        <f t="shared" si="25"/>
        <v>1</v>
      </c>
      <c r="AR16" s="1">
        <f t="shared" si="26"/>
        <v>1</v>
      </c>
      <c r="AS16" s="1">
        <f t="shared" si="27"/>
        <v>1</v>
      </c>
      <c r="AT16" s="1">
        <f t="shared" si="28"/>
        <v>1</v>
      </c>
      <c r="AV16" s="1">
        <v>1</v>
      </c>
      <c r="AW16" s="1">
        <f t="shared" si="57"/>
        <v>0</v>
      </c>
      <c r="AX16" s="1">
        <f t="shared" si="58"/>
        <v>0</v>
      </c>
      <c r="AY16" s="1">
        <f t="shared" si="59"/>
        <v>1</v>
      </c>
      <c r="AZ16" s="1">
        <f t="shared" si="60"/>
        <v>0</v>
      </c>
      <c r="BA16" s="1">
        <f t="shared" si="61"/>
        <v>0</v>
      </c>
      <c r="BB16" s="1">
        <f t="shared" si="62"/>
        <v>1</v>
      </c>
      <c r="BC16" s="1">
        <f t="shared" si="63"/>
        <v>0</v>
      </c>
      <c r="BD16" s="1">
        <f t="shared" si="64"/>
        <v>0</v>
      </c>
      <c r="BE16" s="1">
        <f t="shared" si="65"/>
        <v>0</v>
      </c>
      <c r="BF16" s="1">
        <f t="shared" si="29"/>
        <v>0</v>
      </c>
      <c r="BG16" s="1">
        <f t="shared" si="30"/>
        <v>0</v>
      </c>
      <c r="BH16" s="1">
        <f t="shared" si="8"/>
        <v>1</v>
      </c>
      <c r="BI16" s="1">
        <f t="shared" si="8"/>
        <v>0</v>
      </c>
      <c r="BK16" s="1">
        <v>1</v>
      </c>
      <c r="BL16" s="1">
        <f t="shared" si="9"/>
        <v>0</v>
      </c>
      <c r="BM16" s="1">
        <f t="shared" si="10"/>
        <v>0</v>
      </c>
      <c r="BN16" s="1">
        <f t="shared" si="11"/>
        <v>1</v>
      </c>
      <c r="BO16" s="1">
        <f t="shared" si="12"/>
        <v>0</v>
      </c>
    </row>
    <row r="17" ht="15" spans="1:67">
      <c r="A17" s="1">
        <f t="shared" si="13"/>
        <v>15</v>
      </c>
      <c r="C17" s="5" t="str">
        <f>Cities_list!AF18</f>
        <v>Jakarta</v>
      </c>
      <c r="D17" s="1">
        <f t="shared" si="14"/>
        <v>1</v>
      </c>
      <c r="E17" s="1">
        <f t="shared" si="15"/>
        <v>0</v>
      </c>
      <c r="F17" s="1">
        <f t="shared" si="16"/>
        <v>1</v>
      </c>
      <c r="G17" s="1">
        <f t="shared" si="17"/>
        <v>0</v>
      </c>
      <c r="H17" s="17">
        <f t="shared" si="18"/>
        <v>1</v>
      </c>
      <c r="I17" s="1" t="str">
        <f t="shared" si="19"/>
        <v>Jakarta</v>
      </c>
      <c r="J17" s="27" t="str">
        <f t="shared" si="20"/>
        <v>Jakarta</v>
      </c>
      <c r="K17" s="30">
        <f t="shared" si="21"/>
        <v>0</v>
      </c>
      <c r="L17" s="31">
        <v>1</v>
      </c>
      <c r="M17" s="32"/>
      <c r="N17" s="24"/>
      <c r="P17" s="24">
        <f t="shared" si="31"/>
        <v>8</v>
      </c>
      <c r="Q17" s="24"/>
      <c r="S17" s="38" t="s">
        <v>987</v>
      </c>
      <c r="T17" s="32"/>
      <c r="U17" s="24">
        <v>0</v>
      </c>
      <c r="V17" s="1">
        <v>1</v>
      </c>
      <c r="W17" s="33">
        <v>1</v>
      </c>
      <c r="X17" s="33">
        <v>0</v>
      </c>
      <c r="Y17" s="33">
        <v>0</v>
      </c>
      <c r="Z17" s="33">
        <v>0</v>
      </c>
      <c r="AA17" s="33">
        <v>0</v>
      </c>
      <c r="AB17" s="44">
        <v>0</v>
      </c>
      <c r="AC17" s="45">
        <v>0</v>
      </c>
      <c r="AD17" s="45">
        <v>0</v>
      </c>
      <c r="AE17" s="49">
        <v>1</v>
      </c>
      <c r="AF17" s="43">
        <v>0</v>
      </c>
      <c r="AG17" s="43">
        <v>0</v>
      </c>
      <c r="AH17" s="43">
        <v>0</v>
      </c>
      <c r="AI17" s="43">
        <v>1</v>
      </c>
      <c r="AK17">
        <f t="shared" si="22"/>
        <v>4</v>
      </c>
      <c r="AL17" s="1">
        <f t="shared" si="23"/>
        <v>1</v>
      </c>
      <c r="AM17" s="47"/>
      <c r="AP17" s="1">
        <f t="shared" si="24"/>
        <v>1</v>
      </c>
      <c r="AQ17" s="1">
        <f t="shared" si="25"/>
        <v>1</v>
      </c>
      <c r="AR17" s="1">
        <f t="shared" si="26"/>
        <v>1</v>
      </c>
      <c r="AS17" s="1">
        <f t="shared" si="27"/>
        <v>1</v>
      </c>
      <c r="AT17" s="1">
        <f t="shared" si="28"/>
        <v>1</v>
      </c>
      <c r="AV17" s="1">
        <v>1</v>
      </c>
      <c r="AW17" s="1">
        <f t="shared" si="57"/>
        <v>0</v>
      </c>
      <c r="AX17" s="1">
        <f t="shared" si="58"/>
        <v>0</v>
      </c>
      <c r="AY17" s="1">
        <f t="shared" si="59"/>
        <v>0</v>
      </c>
      <c r="AZ17" s="1">
        <f t="shared" si="60"/>
        <v>1</v>
      </c>
      <c r="BA17" s="1">
        <f t="shared" si="61"/>
        <v>1</v>
      </c>
      <c r="BB17" s="1">
        <f t="shared" si="62"/>
        <v>0</v>
      </c>
      <c r="BC17" s="1">
        <f t="shared" si="63"/>
        <v>0</v>
      </c>
      <c r="BD17" s="1">
        <f t="shared" si="64"/>
        <v>0</v>
      </c>
      <c r="BE17" s="1">
        <f t="shared" si="65"/>
        <v>0</v>
      </c>
      <c r="BF17" s="1">
        <f t="shared" si="29"/>
        <v>0</v>
      </c>
      <c r="BG17" s="1">
        <f t="shared" si="30"/>
        <v>0</v>
      </c>
      <c r="BH17" s="1">
        <f t="shared" si="8"/>
        <v>0</v>
      </c>
      <c r="BI17" s="1">
        <f t="shared" si="8"/>
        <v>1</v>
      </c>
      <c r="BK17" s="1">
        <v>1</v>
      </c>
      <c r="BL17" s="1">
        <f t="shared" si="9"/>
        <v>0</v>
      </c>
      <c r="BM17" s="1">
        <f t="shared" si="10"/>
        <v>0</v>
      </c>
      <c r="BN17" s="1">
        <f t="shared" si="11"/>
        <v>0</v>
      </c>
      <c r="BO17" s="1">
        <f t="shared" si="12"/>
        <v>1</v>
      </c>
    </row>
    <row r="18" ht="15" spans="1:67">
      <c r="A18" s="1">
        <f t="shared" si="13"/>
        <v>16</v>
      </c>
      <c r="C18" s="5" t="str">
        <f>Cities_list!AF19</f>
        <v>Johannesburg</v>
      </c>
      <c r="D18" s="1">
        <f t="shared" si="14"/>
        <v>1</v>
      </c>
      <c r="E18" s="1">
        <f t="shared" si="15"/>
        <v>0</v>
      </c>
      <c r="F18" s="1">
        <f t="shared" si="16"/>
        <v>1</v>
      </c>
      <c r="G18" s="1">
        <f t="shared" si="17"/>
        <v>0</v>
      </c>
      <c r="H18" s="17">
        <f t="shared" si="18"/>
        <v>1</v>
      </c>
      <c r="I18" s="1" t="str">
        <f t="shared" si="19"/>
        <v>Johannesburg</v>
      </c>
      <c r="J18" s="27" t="str">
        <f t="shared" si="20"/>
        <v>Johannesburg</v>
      </c>
      <c r="K18" s="30">
        <f t="shared" si="21"/>
        <v>0</v>
      </c>
      <c r="L18" s="31">
        <v>1</v>
      </c>
      <c r="M18" s="32"/>
      <c r="N18" s="24"/>
      <c r="P18" s="24">
        <f t="shared" si="31"/>
        <v>3</v>
      </c>
      <c r="Q18" s="24"/>
      <c r="S18" s="39"/>
      <c r="T18" s="32"/>
      <c r="U18" s="24">
        <v>0</v>
      </c>
      <c r="V18" s="1">
        <v>1</v>
      </c>
      <c r="W18" s="33">
        <v>0</v>
      </c>
      <c r="X18" s="33">
        <v>0</v>
      </c>
      <c r="Y18" s="33">
        <v>0</v>
      </c>
      <c r="Z18" s="33">
        <v>1</v>
      </c>
      <c r="AA18" s="33">
        <v>0</v>
      </c>
      <c r="AB18" s="44">
        <v>0</v>
      </c>
      <c r="AC18" s="45">
        <v>0</v>
      </c>
      <c r="AD18" s="45">
        <v>1</v>
      </c>
      <c r="AE18" s="49">
        <v>0</v>
      </c>
      <c r="AF18" s="43">
        <v>0</v>
      </c>
      <c r="AG18" s="43">
        <v>1</v>
      </c>
      <c r="AH18" s="43">
        <v>0</v>
      </c>
      <c r="AI18" s="43">
        <v>0</v>
      </c>
      <c r="AK18">
        <f t="shared" si="22"/>
        <v>3</v>
      </c>
      <c r="AL18" s="1">
        <f t="shared" si="23"/>
        <v>4</v>
      </c>
      <c r="AM18" s="47"/>
      <c r="AP18" s="1">
        <f t="shared" si="24"/>
        <v>1</v>
      </c>
      <c r="AQ18" s="1">
        <f t="shared" si="25"/>
        <v>1</v>
      </c>
      <c r="AR18" s="1">
        <f t="shared" si="26"/>
        <v>1</v>
      </c>
      <c r="AS18" s="1">
        <f t="shared" si="27"/>
        <v>1</v>
      </c>
      <c r="AT18" s="1">
        <f t="shared" si="28"/>
        <v>1</v>
      </c>
      <c r="AV18" s="1">
        <v>1</v>
      </c>
      <c r="AW18" s="1">
        <f t="shared" si="57"/>
        <v>0</v>
      </c>
      <c r="AX18" s="1">
        <f t="shared" si="58"/>
        <v>0</v>
      </c>
      <c r="AY18" s="1">
        <f t="shared" si="59"/>
        <v>1</v>
      </c>
      <c r="AZ18" s="1">
        <f t="shared" si="60"/>
        <v>0</v>
      </c>
      <c r="BA18" s="1">
        <f t="shared" si="61"/>
        <v>0</v>
      </c>
      <c r="BB18" s="1">
        <f t="shared" si="62"/>
        <v>0</v>
      </c>
      <c r="BC18" s="1">
        <f t="shared" si="63"/>
        <v>0</v>
      </c>
      <c r="BD18" s="1">
        <f t="shared" si="64"/>
        <v>1</v>
      </c>
      <c r="BE18" s="1">
        <f t="shared" si="65"/>
        <v>0</v>
      </c>
      <c r="BF18" s="1">
        <f t="shared" si="29"/>
        <v>0</v>
      </c>
      <c r="BG18" s="1">
        <f t="shared" si="30"/>
        <v>1</v>
      </c>
      <c r="BH18" s="1">
        <f t="shared" si="8"/>
        <v>0</v>
      </c>
      <c r="BI18" s="1">
        <f t="shared" si="8"/>
        <v>0</v>
      </c>
      <c r="BK18" s="1">
        <v>1</v>
      </c>
      <c r="BL18" s="1">
        <f t="shared" si="9"/>
        <v>0</v>
      </c>
      <c r="BM18" s="1">
        <f t="shared" si="10"/>
        <v>1</v>
      </c>
      <c r="BN18" s="1">
        <f t="shared" si="11"/>
        <v>0</v>
      </c>
      <c r="BO18" s="1">
        <f t="shared" si="12"/>
        <v>0</v>
      </c>
    </row>
    <row r="19" ht="15" spans="1:67">
      <c r="A19" s="1">
        <f t="shared" si="13"/>
        <v>17</v>
      </c>
      <c r="C19" s="5" t="str">
        <f>Cities_list!AF20</f>
        <v>Kuwait City</v>
      </c>
      <c r="D19" s="1">
        <f t="shared" si="14"/>
        <v>1</v>
      </c>
      <c r="E19" s="1">
        <f t="shared" si="15"/>
        <v>0</v>
      </c>
      <c r="F19" s="1">
        <f t="shared" si="16"/>
        <v>1</v>
      </c>
      <c r="G19" s="1">
        <f t="shared" si="17"/>
        <v>0</v>
      </c>
      <c r="H19" s="17">
        <f t="shared" si="18"/>
        <v>1</v>
      </c>
      <c r="I19" s="1" t="str">
        <f t="shared" si="19"/>
        <v>KuwaitCity</v>
      </c>
      <c r="J19" s="27" t="str">
        <f t="shared" si="20"/>
        <v>Kuwait City</v>
      </c>
      <c r="K19" s="30">
        <f t="shared" si="21"/>
        <v>0</v>
      </c>
      <c r="L19" s="31">
        <v>1</v>
      </c>
      <c r="M19" s="32"/>
      <c r="N19" s="24"/>
      <c r="P19" s="24">
        <f t="shared" si="31"/>
        <v>3</v>
      </c>
      <c r="Q19" s="24"/>
      <c r="S19" s="39"/>
      <c r="T19" s="32"/>
      <c r="U19" s="24">
        <v>0</v>
      </c>
      <c r="V19" s="1">
        <v>1</v>
      </c>
      <c r="W19" s="33">
        <v>0</v>
      </c>
      <c r="X19" s="33">
        <v>0</v>
      </c>
      <c r="Y19" s="33">
        <v>0</v>
      </c>
      <c r="Z19" s="33">
        <v>1</v>
      </c>
      <c r="AA19" s="33">
        <v>0</v>
      </c>
      <c r="AB19" s="44">
        <v>1</v>
      </c>
      <c r="AC19" s="45">
        <v>0</v>
      </c>
      <c r="AD19" s="45">
        <v>0</v>
      </c>
      <c r="AE19" s="49">
        <v>0</v>
      </c>
      <c r="AF19" s="43">
        <v>1</v>
      </c>
      <c r="AG19" s="43">
        <v>0</v>
      </c>
      <c r="AH19" s="43">
        <v>0</v>
      </c>
      <c r="AI19" s="43">
        <v>0</v>
      </c>
      <c r="AK19">
        <f t="shared" si="22"/>
        <v>1</v>
      </c>
      <c r="AL19" s="1">
        <f t="shared" si="23"/>
        <v>4</v>
      </c>
      <c r="AM19" s="47"/>
      <c r="AP19" s="1">
        <f t="shared" si="24"/>
        <v>1</v>
      </c>
      <c r="AQ19" s="1">
        <f t="shared" si="25"/>
        <v>1</v>
      </c>
      <c r="AR19" s="1">
        <f t="shared" si="26"/>
        <v>1</v>
      </c>
      <c r="AS19" s="1">
        <f t="shared" si="27"/>
        <v>1</v>
      </c>
      <c r="AT19" s="1">
        <f t="shared" si="28"/>
        <v>1</v>
      </c>
      <c r="AV19" s="1">
        <v>1</v>
      </c>
      <c r="AW19" s="1">
        <f t="shared" si="57"/>
        <v>1</v>
      </c>
      <c r="AX19" s="1">
        <f t="shared" si="58"/>
        <v>0</v>
      </c>
      <c r="AY19" s="1">
        <f t="shared" si="59"/>
        <v>0</v>
      </c>
      <c r="AZ19" s="1">
        <f t="shared" si="60"/>
        <v>0</v>
      </c>
      <c r="BA19" s="1">
        <f t="shared" si="61"/>
        <v>0</v>
      </c>
      <c r="BB19" s="1">
        <f t="shared" si="62"/>
        <v>0</v>
      </c>
      <c r="BC19" s="1">
        <f t="shared" si="63"/>
        <v>0</v>
      </c>
      <c r="BD19" s="1">
        <f t="shared" si="64"/>
        <v>1</v>
      </c>
      <c r="BE19" s="1">
        <f t="shared" si="65"/>
        <v>0</v>
      </c>
      <c r="BF19" s="1">
        <f t="shared" si="29"/>
        <v>1</v>
      </c>
      <c r="BG19" s="1">
        <f t="shared" si="30"/>
        <v>0</v>
      </c>
      <c r="BH19" s="1">
        <f t="shared" ref="BH19:BH48" si="66">BN19</f>
        <v>0</v>
      </c>
      <c r="BI19" s="1">
        <f t="shared" ref="BI19:BI48" si="67">BO19</f>
        <v>0</v>
      </c>
      <c r="BK19" s="1">
        <v>1</v>
      </c>
      <c r="BL19" s="1">
        <f t="shared" si="9"/>
        <v>1</v>
      </c>
      <c r="BM19" s="1">
        <f t="shared" si="10"/>
        <v>0</v>
      </c>
      <c r="BN19" s="1">
        <f t="shared" si="11"/>
        <v>0</v>
      </c>
      <c r="BO19" s="1">
        <f t="shared" si="12"/>
        <v>0</v>
      </c>
    </row>
    <row r="20" ht="15" spans="1:67">
      <c r="A20" s="1">
        <f t="shared" si="13"/>
        <v>18</v>
      </c>
      <c r="C20" s="5" t="str">
        <f>Cities_list!AF21</f>
        <v>Lima</v>
      </c>
      <c r="D20" s="1">
        <f t="shared" si="14"/>
        <v>1</v>
      </c>
      <c r="E20" s="1">
        <f t="shared" si="15"/>
        <v>0</v>
      </c>
      <c r="F20" s="1">
        <f t="shared" si="16"/>
        <v>1</v>
      </c>
      <c r="G20" s="1">
        <f t="shared" si="17"/>
        <v>0</v>
      </c>
      <c r="H20" s="17">
        <f t="shared" si="18"/>
        <v>1</v>
      </c>
      <c r="I20" s="1" t="str">
        <f t="shared" si="19"/>
        <v>Lima</v>
      </c>
      <c r="J20" s="27" t="str">
        <f t="shared" si="20"/>
        <v>Lima</v>
      </c>
      <c r="K20" s="30">
        <f t="shared" si="21"/>
        <v>0</v>
      </c>
      <c r="L20" s="31">
        <v>1</v>
      </c>
      <c r="M20" s="32"/>
      <c r="N20" s="24"/>
      <c r="P20" s="24">
        <f t="shared" si="31"/>
        <v>2</v>
      </c>
      <c r="Q20" s="24"/>
      <c r="S20" s="39"/>
      <c r="T20" s="32"/>
      <c r="U20" s="24">
        <v>0</v>
      </c>
      <c r="V20" s="1">
        <v>1</v>
      </c>
      <c r="W20" s="33">
        <v>0</v>
      </c>
      <c r="X20" s="33">
        <v>0</v>
      </c>
      <c r="Y20" s="33">
        <v>1</v>
      </c>
      <c r="Z20" s="33">
        <v>0</v>
      </c>
      <c r="AA20" s="33">
        <v>0</v>
      </c>
      <c r="AB20" s="44">
        <v>0</v>
      </c>
      <c r="AC20" s="45">
        <v>0</v>
      </c>
      <c r="AD20" s="45">
        <v>1</v>
      </c>
      <c r="AE20" s="49">
        <v>0</v>
      </c>
      <c r="AF20" s="43">
        <v>0</v>
      </c>
      <c r="AG20" s="43">
        <v>0</v>
      </c>
      <c r="AH20" s="43">
        <v>1</v>
      </c>
      <c r="AI20" s="43">
        <v>0</v>
      </c>
      <c r="AK20">
        <f t="shared" si="22"/>
        <v>3</v>
      </c>
      <c r="AL20" s="1">
        <f t="shared" si="23"/>
        <v>3</v>
      </c>
      <c r="AM20" s="47"/>
      <c r="AP20" s="1">
        <f t="shared" si="24"/>
        <v>1</v>
      </c>
      <c r="AQ20" s="1">
        <f t="shared" si="25"/>
        <v>1</v>
      </c>
      <c r="AR20" s="1">
        <f t="shared" si="26"/>
        <v>1</v>
      </c>
      <c r="AS20" s="1">
        <f t="shared" si="27"/>
        <v>1</v>
      </c>
      <c r="AT20" s="1">
        <f t="shared" si="28"/>
        <v>1</v>
      </c>
      <c r="AV20" s="1">
        <v>1</v>
      </c>
      <c r="AW20" s="1">
        <f t="shared" si="57"/>
        <v>0</v>
      </c>
      <c r="AX20" s="1">
        <f t="shared" si="58"/>
        <v>0</v>
      </c>
      <c r="AY20" s="1">
        <f t="shared" si="59"/>
        <v>1</v>
      </c>
      <c r="AZ20" s="1">
        <f t="shared" si="60"/>
        <v>0</v>
      </c>
      <c r="BA20" s="1">
        <f t="shared" si="61"/>
        <v>0</v>
      </c>
      <c r="BB20" s="1">
        <f t="shared" si="62"/>
        <v>0</v>
      </c>
      <c r="BC20" s="1">
        <f t="shared" si="63"/>
        <v>1</v>
      </c>
      <c r="BD20" s="1">
        <f t="shared" si="64"/>
        <v>0</v>
      </c>
      <c r="BE20" s="1">
        <f t="shared" si="65"/>
        <v>0</v>
      </c>
      <c r="BF20" s="1">
        <f t="shared" si="29"/>
        <v>0</v>
      </c>
      <c r="BG20" s="1">
        <f t="shared" si="30"/>
        <v>0</v>
      </c>
      <c r="BH20" s="1">
        <f t="shared" si="66"/>
        <v>1</v>
      </c>
      <c r="BI20" s="1">
        <f t="shared" si="67"/>
        <v>0</v>
      </c>
      <c r="BK20" s="1">
        <v>1</v>
      </c>
      <c r="BL20" s="1">
        <f t="shared" si="9"/>
        <v>0</v>
      </c>
      <c r="BM20" s="1">
        <f t="shared" si="10"/>
        <v>0</v>
      </c>
      <c r="BN20" s="1">
        <f t="shared" si="11"/>
        <v>1</v>
      </c>
      <c r="BO20" s="1">
        <f t="shared" si="12"/>
        <v>0</v>
      </c>
    </row>
    <row r="21" ht="15" spans="1:67">
      <c r="A21" s="1">
        <f t="shared" si="13"/>
        <v>19</v>
      </c>
      <c r="C21" s="5" t="str">
        <f>Cities_list!AF22</f>
        <v>London</v>
      </c>
      <c r="D21" s="1">
        <f t="shared" si="14"/>
        <v>1</v>
      </c>
      <c r="E21" s="1">
        <f t="shared" si="15"/>
        <v>0</v>
      </c>
      <c r="F21" s="1">
        <f t="shared" si="16"/>
        <v>1</v>
      </c>
      <c r="G21" s="1">
        <f t="shared" si="17"/>
        <v>0</v>
      </c>
      <c r="H21" s="17">
        <f t="shared" si="18"/>
        <v>1</v>
      </c>
      <c r="I21" s="1" t="str">
        <f t="shared" si="19"/>
        <v>London</v>
      </c>
      <c r="J21" s="27" t="str">
        <f t="shared" si="20"/>
        <v>London</v>
      </c>
      <c r="K21" s="30">
        <f t="shared" si="21"/>
        <v>0</v>
      </c>
      <c r="L21" s="31">
        <v>1</v>
      </c>
      <c r="M21" s="32"/>
      <c r="N21" s="24"/>
      <c r="P21" s="24">
        <f t="shared" si="31"/>
        <v>1</v>
      </c>
      <c r="Q21" s="24"/>
      <c r="S21" s="39"/>
      <c r="T21" s="32"/>
      <c r="U21" s="24">
        <v>0</v>
      </c>
      <c r="V21" s="1">
        <v>1</v>
      </c>
      <c r="W21" s="33">
        <v>0</v>
      </c>
      <c r="X21" s="33">
        <v>1</v>
      </c>
      <c r="Y21" s="33">
        <v>0</v>
      </c>
      <c r="Z21" s="33">
        <v>0</v>
      </c>
      <c r="AA21" s="33">
        <v>0</v>
      </c>
      <c r="AB21" s="44">
        <v>0</v>
      </c>
      <c r="AC21" s="45">
        <v>1</v>
      </c>
      <c r="AD21" s="45">
        <v>0</v>
      </c>
      <c r="AE21" s="49">
        <v>0</v>
      </c>
      <c r="AF21" s="43">
        <v>0</v>
      </c>
      <c r="AG21" s="43">
        <v>0</v>
      </c>
      <c r="AH21" s="43">
        <v>1</v>
      </c>
      <c r="AI21" s="43">
        <v>0</v>
      </c>
      <c r="AK21">
        <f t="shared" si="22"/>
        <v>2</v>
      </c>
      <c r="AL21" s="1">
        <f t="shared" si="23"/>
        <v>2</v>
      </c>
      <c r="AM21" s="47"/>
      <c r="AP21" s="1">
        <f t="shared" si="24"/>
        <v>1</v>
      </c>
      <c r="AQ21" s="1">
        <f t="shared" si="25"/>
        <v>1</v>
      </c>
      <c r="AR21" s="1">
        <f t="shared" si="26"/>
        <v>1</v>
      </c>
      <c r="AS21" s="1">
        <f t="shared" si="27"/>
        <v>1</v>
      </c>
      <c r="AT21" s="1">
        <f t="shared" si="28"/>
        <v>1</v>
      </c>
      <c r="AV21" s="1">
        <v>1</v>
      </c>
      <c r="AW21" s="1">
        <f t="shared" si="57"/>
        <v>0</v>
      </c>
      <c r="AX21" s="1">
        <f t="shared" si="58"/>
        <v>1</v>
      </c>
      <c r="AY21" s="1">
        <f t="shared" si="59"/>
        <v>0</v>
      </c>
      <c r="AZ21" s="1">
        <f t="shared" si="60"/>
        <v>0</v>
      </c>
      <c r="BA21" s="1">
        <f t="shared" si="61"/>
        <v>0</v>
      </c>
      <c r="BB21" s="1">
        <f t="shared" si="62"/>
        <v>1</v>
      </c>
      <c r="BC21" s="1">
        <f t="shared" si="63"/>
        <v>0</v>
      </c>
      <c r="BD21" s="1">
        <f t="shared" si="64"/>
        <v>0</v>
      </c>
      <c r="BE21" s="1">
        <f t="shared" si="65"/>
        <v>0</v>
      </c>
      <c r="BF21" s="1">
        <f t="shared" si="29"/>
        <v>0</v>
      </c>
      <c r="BG21" s="1">
        <f t="shared" si="30"/>
        <v>0</v>
      </c>
      <c r="BH21" s="1">
        <f t="shared" si="66"/>
        <v>1</v>
      </c>
      <c r="BI21" s="1">
        <f t="shared" si="67"/>
        <v>0</v>
      </c>
      <c r="BK21" s="1">
        <v>1</v>
      </c>
      <c r="BL21" s="1">
        <f t="shared" si="9"/>
        <v>0</v>
      </c>
      <c r="BM21" s="1">
        <f t="shared" si="10"/>
        <v>0</v>
      </c>
      <c r="BN21" s="1">
        <f t="shared" si="11"/>
        <v>1</v>
      </c>
      <c r="BO21" s="1">
        <f t="shared" si="12"/>
        <v>0</v>
      </c>
    </row>
    <row r="22" ht="15" spans="1:67">
      <c r="A22" s="1">
        <f t="shared" si="13"/>
        <v>20</v>
      </c>
      <c r="C22" s="5" t="str">
        <f>Cities_list!AF23</f>
        <v>Los Angeles</v>
      </c>
      <c r="D22" s="1">
        <f t="shared" si="14"/>
        <v>1</v>
      </c>
      <c r="E22" s="1">
        <f t="shared" si="15"/>
        <v>0</v>
      </c>
      <c r="F22" s="1">
        <f t="shared" si="16"/>
        <v>1</v>
      </c>
      <c r="G22" s="1">
        <f t="shared" si="17"/>
        <v>0</v>
      </c>
      <c r="H22" s="17">
        <f t="shared" si="18"/>
        <v>1</v>
      </c>
      <c r="I22" s="1" t="str">
        <f t="shared" si="19"/>
        <v>LosAngeles</v>
      </c>
      <c r="J22" s="27" t="str">
        <f t="shared" si="20"/>
        <v>Los Angeles</v>
      </c>
      <c r="K22" s="30">
        <f t="shared" si="21"/>
        <v>0</v>
      </c>
      <c r="L22" s="31">
        <v>1</v>
      </c>
      <c r="M22" s="32"/>
      <c r="N22" s="24"/>
      <c r="P22" s="24">
        <f t="shared" si="31"/>
        <v>4</v>
      </c>
      <c r="Q22" s="24"/>
      <c r="S22" s="39"/>
      <c r="T22" s="32"/>
      <c r="U22" s="24">
        <v>0</v>
      </c>
      <c r="V22" s="1">
        <v>1</v>
      </c>
      <c r="W22" s="33">
        <v>0</v>
      </c>
      <c r="X22" s="33">
        <v>0</v>
      </c>
      <c r="Y22" s="33">
        <v>0</v>
      </c>
      <c r="Z22" s="33">
        <v>0</v>
      </c>
      <c r="AA22" s="33">
        <v>1</v>
      </c>
      <c r="AB22" s="44">
        <v>1</v>
      </c>
      <c r="AC22" s="45">
        <v>0</v>
      </c>
      <c r="AD22" s="45">
        <v>0</v>
      </c>
      <c r="AE22" s="49">
        <v>0</v>
      </c>
      <c r="AF22" s="43">
        <v>0</v>
      </c>
      <c r="AG22" s="43">
        <v>0</v>
      </c>
      <c r="AH22" s="43">
        <v>1</v>
      </c>
      <c r="AI22" s="43">
        <v>0</v>
      </c>
      <c r="AK22">
        <f t="shared" si="22"/>
        <v>1</v>
      </c>
      <c r="AL22" s="1">
        <f t="shared" si="23"/>
        <v>5</v>
      </c>
      <c r="AM22" s="47"/>
      <c r="AP22" s="1">
        <f t="shared" si="24"/>
        <v>1</v>
      </c>
      <c r="AQ22" s="1">
        <f t="shared" si="25"/>
        <v>1</v>
      </c>
      <c r="AR22" s="1">
        <f t="shared" si="26"/>
        <v>1</v>
      </c>
      <c r="AS22" s="1">
        <f t="shared" si="27"/>
        <v>1</v>
      </c>
      <c r="AT22" s="1">
        <f t="shared" si="28"/>
        <v>1</v>
      </c>
      <c r="AV22" s="1">
        <v>1</v>
      </c>
      <c r="AW22" s="1">
        <f t="shared" si="57"/>
        <v>1</v>
      </c>
      <c r="AX22" s="1">
        <f t="shared" si="58"/>
        <v>0</v>
      </c>
      <c r="AY22" s="1">
        <f t="shared" si="59"/>
        <v>0</v>
      </c>
      <c r="AZ22" s="1">
        <f t="shared" si="60"/>
        <v>0</v>
      </c>
      <c r="BA22" s="1">
        <f t="shared" si="61"/>
        <v>0</v>
      </c>
      <c r="BB22" s="1">
        <f t="shared" si="62"/>
        <v>0</v>
      </c>
      <c r="BC22" s="1">
        <f t="shared" si="63"/>
        <v>0</v>
      </c>
      <c r="BD22" s="1">
        <f t="shared" si="64"/>
        <v>0</v>
      </c>
      <c r="BE22" s="1">
        <f t="shared" si="65"/>
        <v>1</v>
      </c>
      <c r="BF22" s="1">
        <f t="shared" si="29"/>
        <v>0</v>
      </c>
      <c r="BG22" s="1">
        <f t="shared" si="30"/>
        <v>0</v>
      </c>
      <c r="BH22" s="1">
        <f t="shared" si="66"/>
        <v>1</v>
      </c>
      <c r="BI22" s="1">
        <f t="shared" si="67"/>
        <v>0</v>
      </c>
      <c r="BK22" s="1">
        <v>1</v>
      </c>
      <c r="BL22" s="1">
        <f t="shared" si="9"/>
        <v>0</v>
      </c>
      <c r="BM22" s="1">
        <f t="shared" si="10"/>
        <v>0</v>
      </c>
      <c r="BN22" s="1">
        <f t="shared" si="11"/>
        <v>1</v>
      </c>
      <c r="BO22" s="1">
        <f t="shared" si="12"/>
        <v>0</v>
      </c>
    </row>
    <row r="23" ht="15" spans="1:67">
      <c r="A23" s="1">
        <f t="shared" si="13"/>
        <v>21</v>
      </c>
      <c r="C23" s="5" t="str">
        <f>Cities_list!AF24</f>
        <v>Madrid</v>
      </c>
      <c r="D23" s="1">
        <f t="shared" si="14"/>
        <v>1</v>
      </c>
      <c r="E23" s="1">
        <f t="shared" si="15"/>
        <v>0</v>
      </c>
      <c r="F23" s="1">
        <f t="shared" si="16"/>
        <v>1</v>
      </c>
      <c r="G23" s="1">
        <f t="shared" si="17"/>
        <v>0</v>
      </c>
      <c r="H23" s="17">
        <f t="shared" si="18"/>
        <v>1</v>
      </c>
      <c r="I23" s="1" t="str">
        <f t="shared" si="19"/>
        <v>Madrid</v>
      </c>
      <c r="J23" s="27" t="str">
        <f t="shared" si="20"/>
        <v>Madrid</v>
      </c>
      <c r="K23" s="30">
        <f t="shared" si="21"/>
        <v>0</v>
      </c>
      <c r="L23" s="31">
        <v>1</v>
      </c>
      <c r="M23" s="32"/>
      <c r="N23" s="24"/>
      <c r="P23" s="24">
        <f t="shared" si="31"/>
        <v>1</v>
      </c>
      <c r="Q23" s="24"/>
      <c r="S23" s="39"/>
      <c r="T23" s="32"/>
      <c r="U23" s="24">
        <v>0</v>
      </c>
      <c r="V23" s="1">
        <v>1</v>
      </c>
      <c r="W23" s="33">
        <v>0</v>
      </c>
      <c r="X23" s="33">
        <v>1</v>
      </c>
      <c r="Y23" s="33">
        <v>0</v>
      </c>
      <c r="Z23" s="33">
        <v>0</v>
      </c>
      <c r="AA23" s="33">
        <v>0</v>
      </c>
      <c r="AB23" s="44">
        <v>0</v>
      </c>
      <c r="AC23" s="45">
        <v>1</v>
      </c>
      <c r="AD23" s="45">
        <v>0</v>
      </c>
      <c r="AE23" s="49">
        <v>0</v>
      </c>
      <c r="AF23" s="43">
        <v>0</v>
      </c>
      <c r="AG23" s="43">
        <v>1</v>
      </c>
      <c r="AH23" s="43">
        <v>0</v>
      </c>
      <c r="AI23" s="43">
        <v>0</v>
      </c>
      <c r="AK23">
        <f t="shared" si="22"/>
        <v>2</v>
      </c>
      <c r="AL23" s="1">
        <f t="shared" si="23"/>
        <v>2</v>
      </c>
      <c r="AM23" s="47"/>
      <c r="AP23" s="1">
        <f t="shared" si="24"/>
        <v>1</v>
      </c>
      <c r="AQ23" s="1">
        <f t="shared" si="25"/>
        <v>1</v>
      </c>
      <c r="AR23" s="1">
        <f t="shared" si="26"/>
        <v>1</v>
      </c>
      <c r="AS23" s="1">
        <f t="shared" si="27"/>
        <v>1</v>
      </c>
      <c r="AT23" s="1">
        <f t="shared" si="28"/>
        <v>1</v>
      </c>
      <c r="AV23" s="1">
        <v>1</v>
      </c>
      <c r="AW23" s="1">
        <f t="shared" si="57"/>
        <v>0</v>
      </c>
      <c r="AX23" s="1">
        <f t="shared" si="58"/>
        <v>1</v>
      </c>
      <c r="AY23" s="1">
        <f t="shared" si="59"/>
        <v>0</v>
      </c>
      <c r="AZ23" s="1">
        <f t="shared" si="60"/>
        <v>0</v>
      </c>
      <c r="BA23" s="1">
        <f t="shared" si="61"/>
        <v>0</v>
      </c>
      <c r="BB23" s="1">
        <f t="shared" si="62"/>
        <v>1</v>
      </c>
      <c r="BC23" s="1">
        <f t="shared" si="63"/>
        <v>0</v>
      </c>
      <c r="BD23" s="1">
        <f t="shared" si="64"/>
        <v>0</v>
      </c>
      <c r="BE23" s="1">
        <f t="shared" si="65"/>
        <v>0</v>
      </c>
      <c r="BF23" s="1">
        <f t="shared" si="29"/>
        <v>0</v>
      </c>
      <c r="BG23" s="1">
        <f t="shared" si="30"/>
        <v>1</v>
      </c>
      <c r="BH23" s="1">
        <f t="shared" si="66"/>
        <v>0</v>
      </c>
      <c r="BI23" s="1">
        <f t="shared" si="67"/>
        <v>0</v>
      </c>
      <c r="BK23" s="1">
        <v>1</v>
      </c>
      <c r="BL23" s="1">
        <f t="shared" si="9"/>
        <v>0</v>
      </c>
      <c r="BM23" s="1">
        <f t="shared" si="10"/>
        <v>1</v>
      </c>
      <c r="BN23" s="1">
        <f t="shared" si="11"/>
        <v>0</v>
      </c>
      <c r="BO23" s="1">
        <f t="shared" si="12"/>
        <v>0</v>
      </c>
    </row>
    <row r="24" ht="15" spans="1:67">
      <c r="A24" s="1">
        <f t="shared" si="13"/>
        <v>22</v>
      </c>
      <c r="C24" s="5" t="str">
        <f>Cities_list!AF25</f>
        <v>Melbourne</v>
      </c>
      <c r="D24" s="1">
        <f t="shared" si="14"/>
        <v>1</v>
      </c>
      <c r="E24" s="1">
        <f t="shared" si="15"/>
        <v>0</v>
      </c>
      <c r="F24" s="1">
        <f t="shared" si="16"/>
        <v>1</v>
      </c>
      <c r="G24" s="1">
        <f t="shared" si="17"/>
        <v>0</v>
      </c>
      <c r="H24" s="17">
        <f t="shared" si="18"/>
        <v>1</v>
      </c>
      <c r="I24" s="1" t="str">
        <f t="shared" si="19"/>
        <v>Melbourne</v>
      </c>
      <c r="J24" s="27" t="str">
        <f t="shared" si="20"/>
        <v>Melbourne</v>
      </c>
      <c r="K24" s="30">
        <f t="shared" si="21"/>
        <v>0</v>
      </c>
      <c r="L24" s="31">
        <v>1</v>
      </c>
      <c r="M24" s="32"/>
      <c r="N24" s="24"/>
      <c r="P24" s="24">
        <f t="shared" si="31"/>
        <v>6</v>
      </c>
      <c r="Q24" s="24"/>
      <c r="S24" s="39"/>
      <c r="T24" s="32"/>
      <c r="U24" s="24">
        <v>0</v>
      </c>
      <c r="V24" s="1">
        <v>1</v>
      </c>
      <c r="W24" s="33">
        <v>1</v>
      </c>
      <c r="X24" s="33">
        <v>0</v>
      </c>
      <c r="Y24" s="33">
        <v>0</v>
      </c>
      <c r="Z24" s="33">
        <v>0</v>
      </c>
      <c r="AA24" s="33">
        <v>0</v>
      </c>
      <c r="AB24" s="44">
        <v>0</v>
      </c>
      <c r="AC24" s="45">
        <v>1</v>
      </c>
      <c r="AD24" s="45">
        <v>0</v>
      </c>
      <c r="AE24" s="49">
        <v>0</v>
      </c>
      <c r="AF24" s="43">
        <v>1</v>
      </c>
      <c r="AG24" s="43">
        <v>0</v>
      </c>
      <c r="AH24" s="43">
        <v>0</v>
      </c>
      <c r="AI24" s="43">
        <v>0</v>
      </c>
      <c r="AK24">
        <f t="shared" si="22"/>
        <v>2</v>
      </c>
      <c r="AL24" s="1">
        <f t="shared" si="23"/>
        <v>1</v>
      </c>
      <c r="AM24" s="47"/>
      <c r="AP24" s="1">
        <f t="shared" si="24"/>
        <v>1</v>
      </c>
      <c r="AQ24" s="1">
        <f t="shared" si="25"/>
        <v>1</v>
      </c>
      <c r="AR24" s="1">
        <f t="shared" si="26"/>
        <v>1</v>
      </c>
      <c r="AS24" s="1">
        <f t="shared" si="27"/>
        <v>1</v>
      </c>
      <c r="AT24" s="1">
        <f t="shared" si="28"/>
        <v>1</v>
      </c>
      <c r="AV24" s="1">
        <v>1</v>
      </c>
      <c r="AW24" s="1">
        <f t="shared" si="57"/>
        <v>0</v>
      </c>
      <c r="AX24" s="1">
        <f t="shared" si="58"/>
        <v>1</v>
      </c>
      <c r="AY24" s="1">
        <f t="shared" si="59"/>
        <v>0</v>
      </c>
      <c r="AZ24" s="1">
        <f t="shared" si="60"/>
        <v>0</v>
      </c>
      <c r="BA24" s="1">
        <f t="shared" si="61"/>
        <v>1</v>
      </c>
      <c r="BB24" s="1">
        <f t="shared" si="62"/>
        <v>0</v>
      </c>
      <c r="BC24" s="1">
        <f t="shared" si="63"/>
        <v>0</v>
      </c>
      <c r="BD24" s="1">
        <f t="shared" si="64"/>
        <v>0</v>
      </c>
      <c r="BE24" s="1">
        <f t="shared" si="65"/>
        <v>0</v>
      </c>
      <c r="BF24" s="1">
        <f t="shared" si="29"/>
        <v>1</v>
      </c>
      <c r="BG24" s="1">
        <f t="shared" si="30"/>
        <v>0</v>
      </c>
      <c r="BH24" s="1">
        <f t="shared" si="66"/>
        <v>0</v>
      </c>
      <c r="BI24" s="1">
        <f t="shared" si="67"/>
        <v>0</v>
      </c>
      <c r="BK24" s="1">
        <v>1</v>
      </c>
      <c r="BL24" s="1">
        <f t="shared" si="9"/>
        <v>1</v>
      </c>
      <c r="BM24" s="1">
        <f t="shared" si="10"/>
        <v>0</v>
      </c>
      <c r="BN24" s="1">
        <f t="shared" si="11"/>
        <v>0</v>
      </c>
      <c r="BO24" s="1">
        <f t="shared" si="12"/>
        <v>0</v>
      </c>
    </row>
    <row r="25" ht="15" spans="1:67">
      <c r="A25" s="1">
        <f t="shared" si="13"/>
        <v>23</v>
      </c>
      <c r="C25" s="5" t="str">
        <f>Cities_list!AF26</f>
        <v>Mexico City</v>
      </c>
      <c r="D25" s="1">
        <f t="shared" si="14"/>
        <v>1</v>
      </c>
      <c r="E25" s="1">
        <f t="shared" si="15"/>
        <v>0</v>
      </c>
      <c r="F25" s="1">
        <f t="shared" si="16"/>
        <v>1</v>
      </c>
      <c r="G25" s="1">
        <f t="shared" si="17"/>
        <v>0</v>
      </c>
      <c r="H25" s="17">
        <f t="shared" si="18"/>
        <v>1</v>
      </c>
      <c r="I25" s="1" t="str">
        <f t="shared" si="19"/>
        <v>MexicoCity</v>
      </c>
      <c r="J25" s="27" t="str">
        <f t="shared" si="20"/>
        <v>Mexico City</v>
      </c>
      <c r="K25" s="30">
        <f t="shared" si="21"/>
        <v>0</v>
      </c>
      <c r="L25" s="31">
        <v>1</v>
      </c>
      <c r="M25" s="32"/>
      <c r="N25" s="24"/>
      <c r="P25" s="24">
        <f t="shared" si="31"/>
        <v>2</v>
      </c>
      <c r="Q25" s="24"/>
      <c r="S25" s="39"/>
      <c r="T25" s="32"/>
      <c r="U25" s="24">
        <v>0</v>
      </c>
      <c r="V25" s="1">
        <v>1</v>
      </c>
      <c r="W25" s="33">
        <v>0</v>
      </c>
      <c r="X25" s="33">
        <v>0</v>
      </c>
      <c r="Y25" s="33">
        <v>1</v>
      </c>
      <c r="Z25" s="33">
        <v>0</v>
      </c>
      <c r="AA25" s="33">
        <v>0</v>
      </c>
      <c r="AB25" s="44">
        <v>0</v>
      </c>
      <c r="AC25" s="45">
        <v>0</v>
      </c>
      <c r="AD25" s="45">
        <v>1</v>
      </c>
      <c r="AE25" s="49">
        <v>0</v>
      </c>
      <c r="AF25" s="43">
        <v>0</v>
      </c>
      <c r="AG25" s="43">
        <v>0</v>
      </c>
      <c r="AH25" s="43">
        <v>0</v>
      </c>
      <c r="AI25" s="43">
        <v>1</v>
      </c>
      <c r="AK25">
        <f t="shared" si="22"/>
        <v>3</v>
      </c>
      <c r="AL25" s="1">
        <f t="shared" si="23"/>
        <v>3</v>
      </c>
      <c r="AM25" s="47"/>
      <c r="AP25" s="1">
        <f t="shared" si="24"/>
        <v>1</v>
      </c>
      <c r="AQ25" s="1">
        <f t="shared" si="25"/>
        <v>1</v>
      </c>
      <c r="AR25" s="1">
        <f t="shared" si="26"/>
        <v>1</v>
      </c>
      <c r="AS25" s="1">
        <f t="shared" si="27"/>
        <v>1</v>
      </c>
      <c r="AT25" s="1">
        <f t="shared" si="28"/>
        <v>1</v>
      </c>
      <c r="AV25" s="1">
        <v>1</v>
      </c>
      <c r="AW25" s="1">
        <f t="shared" si="57"/>
        <v>0</v>
      </c>
      <c r="AX25" s="1">
        <f t="shared" si="58"/>
        <v>0</v>
      </c>
      <c r="AY25" s="1">
        <f t="shared" si="59"/>
        <v>1</v>
      </c>
      <c r="AZ25" s="1">
        <f t="shared" si="60"/>
        <v>0</v>
      </c>
      <c r="BA25" s="1">
        <f t="shared" si="61"/>
        <v>0</v>
      </c>
      <c r="BB25" s="1">
        <f t="shared" si="62"/>
        <v>0</v>
      </c>
      <c r="BC25" s="1">
        <f t="shared" si="63"/>
        <v>1</v>
      </c>
      <c r="BD25" s="1">
        <f t="shared" si="64"/>
        <v>0</v>
      </c>
      <c r="BE25" s="1">
        <f t="shared" si="65"/>
        <v>0</v>
      </c>
      <c r="BF25" s="1">
        <f t="shared" si="29"/>
        <v>0</v>
      </c>
      <c r="BG25" s="1">
        <f t="shared" si="30"/>
        <v>0</v>
      </c>
      <c r="BH25" s="1">
        <f t="shared" si="66"/>
        <v>0</v>
      </c>
      <c r="BI25" s="1">
        <f t="shared" si="67"/>
        <v>1</v>
      </c>
      <c r="BK25" s="1">
        <v>1</v>
      </c>
      <c r="BL25" s="1">
        <f t="shared" si="9"/>
        <v>0</v>
      </c>
      <c r="BM25" s="1">
        <f t="shared" si="10"/>
        <v>0</v>
      </c>
      <c r="BN25" s="1">
        <f t="shared" si="11"/>
        <v>0</v>
      </c>
      <c r="BO25" s="1">
        <f t="shared" si="12"/>
        <v>1</v>
      </c>
    </row>
    <row r="26" ht="15" spans="1:67">
      <c r="A26" s="1">
        <f t="shared" si="13"/>
        <v>24</v>
      </c>
      <c r="C26" s="5" t="str">
        <f>Cities_list!AF27</f>
        <v>Milan</v>
      </c>
      <c r="D26" s="1">
        <f t="shared" si="14"/>
        <v>1</v>
      </c>
      <c r="E26" s="1">
        <f t="shared" si="15"/>
        <v>0</v>
      </c>
      <c r="F26" s="1">
        <f t="shared" si="16"/>
        <v>1</v>
      </c>
      <c r="G26" s="1">
        <f t="shared" si="17"/>
        <v>0</v>
      </c>
      <c r="H26" s="17">
        <f t="shared" si="18"/>
        <v>1</v>
      </c>
      <c r="I26" s="1" t="str">
        <f t="shared" si="19"/>
        <v>Milan</v>
      </c>
      <c r="J26" s="27" t="str">
        <f t="shared" si="20"/>
        <v>Milan</v>
      </c>
      <c r="K26" s="30">
        <f t="shared" si="21"/>
        <v>0</v>
      </c>
      <c r="L26" s="31">
        <v>1</v>
      </c>
      <c r="M26" s="32"/>
      <c r="N26" s="24"/>
      <c r="P26" s="24">
        <f t="shared" si="31"/>
        <v>1</v>
      </c>
      <c r="Q26" s="24"/>
      <c r="S26" s="39"/>
      <c r="T26" s="32"/>
      <c r="U26" s="24">
        <v>0</v>
      </c>
      <c r="V26" s="1">
        <v>1</v>
      </c>
      <c r="W26" s="33">
        <v>0</v>
      </c>
      <c r="X26" s="33">
        <v>1</v>
      </c>
      <c r="Y26" s="33">
        <v>0</v>
      </c>
      <c r="Z26" s="33">
        <v>0</v>
      </c>
      <c r="AA26" s="33">
        <v>0</v>
      </c>
      <c r="AB26" s="44">
        <v>0</v>
      </c>
      <c r="AC26" s="45">
        <v>1</v>
      </c>
      <c r="AD26" s="45">
        <v>0</v>
      </c>
      <c r="AE26" s="49">
        <v>0</v>
      </c>
      <c r="AF26" s="43">
        <v>1</v>
      </c>
      <c r="AG26" s="43">
        <v>0</v>
      </c>
      <c r="AH26" s="43">
        <v>0</v>
      </c>
      <c r="AI26" s="43">
        <v>0</v>
      </c>
      <c r="AK26">
        <f t="shared" si="22"/>
        <v>2</v>
      </c>
      <c r="AL26" s="1">
        <f t="shared" si="23"/>
        <v>2</v>
      </c>
      <c r="AM26" s="47"/>
      <c r="AP26" s="1">
        <f t="shared" si="24"/>
        <v>1</v>
      </c>
      <c r="AQ26" s="1">
        <f t="shared" si="25"/>
        <v>1</v>
      </c>
      <c r="AR26" s="1">
        <f t="shared" si="26"/>
        <v>1</v>
      </c>
      <c r="AS26" s="1">
        <f t="shared" si="27"/>
        <v>1</v>
      </c>
      <c r="AT26" s="1">
        <f t="shared" si="28"/>
        <v>1</v>
      </c>
      <c r="AV26" s="1">
        <v>1</v>
      </c>
      <c r="AW26" s="1">
        <f t="shared" si="57"/>
        <v>0</v>
      </c>
      <c r="AX26" s="1">
        <f t="shared" si="58"/>
        <v>1</v>
      </c>
      <c r="AY26" s="1">
        <f t="shared" si="59"/>
        <v>0</v>
      </c>
      <c r="AZ26" s="1">
        <f t="shared" si="60"/>
        <v>0</v>
      </c>
      <c r="BA26" s="1">
        <f t="shared" si="61"/>
        <v>0</v>
      </c>
      <c r="BB26" s="1">
        <f t="shared" si="62"/>
        <v>1</v>
      </c>
      <c r="BC26" s="1">
        <f t="shared" si="63"/>
        <v>0</v>
      </c>
      <c r="BD26" s="1">
        <f t="shared" si="64"/>
        <v>0</v>
      </c>
      <c r="BE26" s="1">
        <f t="shared" si="65"/>
        <v>0</v>
      </c>
      <c r="BF26" s="1">
        <f t="shared" si="29"/>
        <v>1</v>
      </c>
      <c r="BG26" s="1">
        <f t="shared" si="30"/>
        <v>0</v>
      </c>
      <c r="BH26" s="1">
        <f t="shared" si="66"/>
        <v>0</v>
      </c>
      <c r="BI26" s="1">
        <f t="shared" si="67"/>
        <v>0</v>
      </c>
      <c r="BK26" s="1">
        <v>1</v>
      </c>
      <c r="BL26" s="1">
        <f t="shared" si="9"/>
        <v>1</v>
      </c>
      <c r="BM26" s="1">
        <f t="shared" si="10"/>
        <v>0</v>
      </c>
      <c r="BN26" s="1">
        <f t="shared" si="11"/>
        <v>0</v>
      </c>
      <c r="BO26" s="1">
        <f t="shared" si="12"/>
        <v>0</v>
      </c>
    </row>
    <row r="27" ht="15" spans="1:67">
      <c r="A27" s="1">
        <f t="shared" si="13"/>
        <v>25</v>
      </c>
      <c r="C27" s="5" t="str">
        <f>Cities_list!AF28</f>
        <v>Moscow</v>
      </c>
      <c r="D27" s="1">
        <f t="shared" si="14"/>
        <v>1</v>
      </c>
      <c r="E27" s="1">
        <f t="shared" si="15"/>
        <v>0</v>
      </c>
      <c r="F27" s="1">
        <f t="shared" si="16"/>
        <v>1</v>
      </c>
      <c r="G27" s="1">
        <f t="shared" si="17"/>
        <v>0</v>
      </c>
      <c r="H27" s="17">
        <f t="shared" si="18"/>
        <v>1</v>
      </c>
      <c r="I27" s="1" t="str">
        <f t="shared" si="19"/>
        <v>Moscow</v>
      </c>
      <c r="J27" s="27" t="str">
        <f t="shared" si="20"/>
        <v>Moscow</v>
      </c>
      <c r="K27" s="30">
        <f t="shared" si="21"/>
        <v>0</v>
      </c>
      <c r="L27" s="31">
        <v>1</v>
      </c>
      <c r="M27" s="32"/>
      <c r="N27" s="24"/>
      <c r="P27" s="24">
        <f t="shared" si="31"/>
        <v>1</v>
      </c>
      <c r="Q27" s="24"/>
      <c r="S27" s="39"/>
      <c r="T27" s="32"/>
      <c r="U27" s="24">
        <v>0</v>
      </c>
      <c r="V27" s="1">
        <v>1</v>
      </c>
      <c r="W27" s="33">
        <v>0</v>
      </c>
      <c r="X27" s="33">
        <v>1</v>
      </c>
      <c r="Y27" s="33">
        <v>0</v>
      </c>
      <c r="Z27" s="33">
        <v>0</v>
      </c>
      <c r="AA27" s="33">
        <v>0</v>
      </c>
      <c r="AB27" s="44">
        <v>0</v>
      </c>
      <c r="AC27" s="45">
        <v>0</v>
      </c>
      <c r="AD27" s="45">
        <v>1</v>
      </c>
      <c r="AE27" s="49">
        <v>0</v>
      </c>
      <c r="AF27" s="43">
        <v>0</v>
      </c>
      <c r="AG27" s="43">
        <v>0</v>
      </c>
      <c r="AH27" s="43">
        <v>1</v>
      </c>
      <c r="AI27" s="43">
        <v>0</v>
      </c>
      <c r="AK27">
        <f t="shared" si="22"/>
        <v>3</v>
      </c>
      <c r="AL27" s="1">
        <f t="shared" si="23"/>
        <v>2</v>
      </c>
      <c r="AM27" s="47"/>
      <c r="AP27" s="1">
        <f t="shared" si="24"/>
        <v>1</v>
      </c>
      <c r="AQ27" s="1">
        <f t="shared" si="25"/>
        <v>1</v>
      </c>
      <c r="AR27" s="1">
        <f t="shared" si="26"/>
        <v>1</v>
      </c>
      <c r="AS27" s="1">
        <f t="shared" si="27"/>
        <v>1</v>
      </c>
      <c r="AT27" s="1">
        <f t="shared" si="28"/>
        <v>1</v>
      </c>
      <c r="AV27" s="1">
        <v>1</v>
      </c>
      <c r="AW27" s="1">
        <f t="shared" si="57"/>
        <v>0</v>
      </c>
      <c r="AX27" s="1">
        <f t="shared" si="58"/>
        <v>0</v>
      </c>
      <c r="AY27" s="1">
        <f t="shared" si="59"/>
        <v>1</v>
      </c>
      <c r="AZ27" s="1">
        <f t="shared" si="60"/>
        <v>0</v>
      </c>
      <c r="BA27" s="1">
        <f t="shared" si="61"/>
        <v>0</v>
      </c>
      <c r="BB27" s="1">
        <f t="shared" si="62"/>
        <v>1</v>
      </c>
      <c r="BC27" s="1">
        <f t="shared" si="63"/>
        <v>0</v>
      </c>
      <c r="BD27" s="1">
        <f t="shared" si="64"/>
        <v>0</v>
      </c>
      <c r="BE27" s="1">
        <f t="shared" si="65"/>
        <v>0</v>
      </c>
      <c r="BF27" s="1">
        <f t="shared" si="29"/>
        <v>0</v>
      </c>
      <c r="BG27" s="1">
        <f t="shared" si="30"/>
        <v>0</v>
      </c>
      <c r="BH27" s="1">
        <f t="shared" si="66"/>
        <v>1</v>
      </c>
      <c r="BI27" s="1">
        <f t="shared" si="67"/>
        <v>0</v>
      </c>
      <c r="BK27" s="1">
        <v>1</v>
      </c>
      <c r="BL27" s="1">
        <f t="shared" si="9"/>
        <v>0</v>
      </c>
      <c r="BM27" s="1">
        <f t="shared" si="10"/>
        <v>0</v>
      </c>
      <c r="BN27" s="1">
        <f t="shared" si="11"/>
        <v>1</v>
      </c>
      <c r="BO27" s="1">
        <f t="shared" si="12"/>
        <v>0</v>
      </c>
    </row>
    <row r="28" ht="15" spans="1:67">
      <c r="A28" s="1">
        <f t="shared" si="13"/>
        <v>26</v>
      </c>
      <c r="C28" s="5" t="str">
        <f>Cities_list!AF29</f>
        <v>Mumbai</v>
      </c>
      <c r="D28" s="1">
        <f t="shared" si="14"/>
        <v>1</v>
      </c>
      <c r="E28" s="1">
        <f t="shared" si="15"/>
        <v>0</v>
      </c>
      <c r="F28" s="1">
        <f t="shared" si="16"/>
        <v>1</v>
      </c>
      <c r="G28" s="1">
        <f t="shared" si="17"/>
        <v>0</v>
      </c>
      <c r="H28" s="17">
        <f t="shared" si="18"/>
        <v>1</v>
      </c>
      <c r="I28" s="1" t="str">
        <f t="shared" si="19"/>
        <v>Mumbai</v>
      </c>
      <c r="J28" s="27" t="str">
        <f t="shared" si="20"/>
        <v>Mumbai</v>
      </c>
      <c r="K28" s="30">
        <f t="shared" si="21"/>
        <v>0</v>
      </c>
      <c r="L28" s="31">
        <v>1</v>
      </c>
      <c r="M28" s="32"/>
      <c r="N28" s="24"/>
      <c r="P28" s="24">
        <f t="shared" si="31"/>
        <v>8</v>
      </c>
      <c r="Q28" s="24"/>
      <c r="S28" s="39"/>
      <c r="T28" s="32"/>
      <c r="U28" s="24">
        <v>0</v>
      </c>
      <c r="V28" s="1">
        <v>1</v>
      </c>
      <c r="W28" s="33">
        <v>1</v>
      </c>
      <c r="X28" s="33">
        <v>0</v>
      </c>
      <c r="Y28" s="33">
        <v>0</v>
      </c>
      <c r="Z28" s="33">
        <v>0</v>
      </c>
      <c r="AA28" s="33">
        <v>0</v>
      </c>
      <c r="AB28" s="44">
        <v>0</v>
      </c>
      <c r="AC28" s="45">
        <v>0</v>
      </c>
      <c r="AD28" s="45">
        <v>0</v>
      </c>
      <c r="AE28" s="49">
        <v>1</v>
      </c>
      <c r="AF28" s="43">
        <v>0</v>
      </c>
      <c r="AG28" s="43">
        <v>0</v>
      </c>
      <c r="AH28" s="43">
        <v>0</v>
      </c>
      <c r="AI28" s="43">
        <v>1</v>
      </c>
      <c r="AK28">
        <f t="shared" si="22"/>
        <v>4</v>
      </c>
      <c r="AL28" s="1">
        <f t="shared" si="23"/>
        <v>1</v>
      </c>
      <c r="AM28" s="47"/>
      <c r="AP28" s="1">
        <f t="shared" si="24"/>
        <v>1</v>
      </c>
      <c r="AQ28" s="1">
        <f t="shared" si="25"/>
        <v>1</v>
      </c>
      <c r="AR28" s="1">
        <f t="shared" si="26"/>
        <v>1</v>
      </c>
      <c r="AS28" s="1">
        <f t="shared" si="27"/>
        <v>1</v>
      </c>
      <c r="AT28" s="1">
        <f t="shared" si="28"/>
        <v>1</v>
      </c>
      <c r="AV28" s="1">
        <v>1</v>
      </c>
      <c r="AW28" s="1">
        <f t="shared" si="57"/>
        <v>0</v>
      </c>
      <c r="AX28" s="1">
        <f t="shared" si="58"/>
        <v>0</v>
      </c>
      <c r="AY28" s="1">
        <f t="shared" si="59"/>
        <v>0</v>
      </c>
      <c r="AZ28" s="1">
        <f t="shared" si="60"/>
        <v>1</v>
      </c>
      <c r="BA28" s="1">
        <f t="shared" si="61"/>
        <v>1</v>
      </c>
      <c r="BB28" s="1">
        <f t="shared" si="62"/>
        <v>0</v>
      </c>
      <c r="BC28" s="1">
        <f t="shared" si="63"/>
        <v>0</v>
      </c>
      <c r="BD28" s="1">
        <f t="shared" si="64"/>
        <v>0</v>
      </c>
      <c r="BE28" s="1">
        <f t="shared" si="65"/>
        <v>0</v>
      </c>
      <c r="BF28" s="1">
        <f t="shared" si="29"/>
        <v>0</v>
      </c>
      <c r="BG28" s="1">
        <f t="shared" si="30"/>
        <v>0</v>
      </c>
      <c r="BH28" s="1">
        <f t="shared" si="66"/>
        <v>0</v>
      </c>
      <c r="BI28" s="1">
        <f t="shared" si="67"/>
        <v>1</v>
      </c>
      <c r="BK28" s="1">
        <v>1</v>
      </c>
      <c r="BL28" s="1">
        <f t="shared" si="9"/>
        <v>0</v>
      </c>
      <c r="BM28" s="1">
        <f t="shared" si="10"/>
        <v>0</v>
      </c>
      <c r="BN28" s="1">
        <f t="shared" si="11"/>
        <v>0</v>
      </c>
      <c r="BO28" s="1">
        <f t="shared" si="12"/>
        <v>1</v>
      </c>
    </row>
    <row r="29" ht="15" spans="1:67">
      <c r="A29" s="1">
        <f t="shared" si="13"/>
        <v>27</v>
      </c>
      <c r="C29" s="5" t="str">
        <f>Cities_list!AF30</f>
        <v>New York</v>
      </c>
      <c r="D29" s="1">
        <f t="shared" si="14"/>
        <v>1</v>
      </c>
      <c r="E29" s="1">
        <f t="shared" si="15"/>
        <v>0</v>
      </c>
      <c r="F29" s="1">
        <f t="shared" si="16"/>
        <v>1</v>
      </c>
      <c r="G29" s="1">
        <f t="shared" si="17"/>
        <v>0</v>
      </c>
      <c r="H29" s="17">
        <f t="shared" si="18"/>
        <v>1</v>
      </c>
      <c r="I29" s="1" t="str">
        <f t="shared" si="19"/>
        <v>NewYork</v>
      </c>
      <c r="J29" s="27" t="str">
        <f t="shared" si="20"/>
        <v>New York</v>
      </c>
      <c r="K29" s="30">
        <f t="shared" si="21"/>
        <v>0</v>
      </c>
      <c r="L29" s="31">
        <v>1</v>
      </c>
      <c r="M29" s="32"/>
      <c r="N29" s="24"/>
      <c r="P29" s="24">
        <f t="shared" si="31"/>
        <v>4</v>
      </c>
      <c r="Q29" s="24"/>
      <c r="S29" s="39"/>
      <c r="T29" s="32"/>
      <c r="U29" s="24">
        <v>0</v>
      </c>
      <c r="V29" s="1">
        <v>1</v>
      </c>
      <c r="W29" s="33">
        <v>0</v>
      </c>
      <c r="X29" s="33">
        <v>0</v>
      </c>
      <c r="Y29" s="33">
        <v>0</v>
      </c>
      <c r="Z29" s="33">
        <v>0</v>
      </c>
      <c r="AA29" s="33">
        <v>1</v>
      </c>
      <c r="AB29" s="44">
        <v>1</v>
      </c>
      <c r="AC29" s="45">
        <v>0</v>
      </c>
      <c r="AD29" s="45">
        <v>0</v>
      </c>
      <c r="AE29" s="49">
        <v>0</v>
      </c>
      <c r="AF29" s="43">
        <v>0</v>
      </c>
      <c r="AG29" s="43">
        <v>0</v>
      </c>
      <c r="AH29" s="43">
        <v>0</v>
      </c>
      <c r="AI29" s="43">
        <v>1</v>
      </c>
      <c r="AK29">
        <f t="shared" si="22"/>
        <v>1</v>
      </c>
      <c r="AL29" s="1">
        <f t="shared" si="23"/>
        <v>5</v>
      </c>
      <c r="AM29" s="47"/>
      <c r="AP29" s="1">
        <f t="shared" si="24"/>
        <v>1</v>
      </c>
      <c r="AQ29" s="1">
        <f t="shared" si="25"/>
        <v>1</v>
      </c>
      <c r="AR29" s="1">
        <f t="shared" si="26"/>
        <v>1</v>
      </c>
      <c r="AS29" s="1">
        <f t="shared" si="27"/>
        <v>1</v>
      </c>
      <c r="AT29" s="1">
        <f t="shared" si="28"/>
        <v>1</v>
      </c>
      <c r="AV29" s="1">
        <v>1</v>
      </c>
      <c r="AW29" s="1">
        <f t="shared" si="57"/>
        <v>1</v>
      </c>
      <c r="AX29" s="1">
        <f t="shared" si="58"/>
        <v>0</v>
      </c>
      <c r="AY29" s="1">
        <f t="shared" si="59"/>
        <v>0</v>
      </c>
      <c r="AZ29" s="1">
        <f t="shared" si="60"/>
        <v>0</v>
      </c>
      <c r="BA29" s="1">
        <f t="shared" si="61"/>
        <v>0</v>
      </c>
      <c r="BB29" s="1">
        <f t="shared" si="62"/>
        <v>0</v>
      </c>
      <c r="BC29" s="1">
        <f t="shared" si="63"/>
        <v>0</v>
      </c>
      <c r="BD29" s="1">
        <f t="shared" si="64"/>
        <v>0</v>
      </c>
      <c r="BE29" s="1">
        <f t="shared" si="65"/>
        <v>1</v>
      </c>
      <c r="BF29" s="1">
        <f t="shared" si="29"/>
        <v>0</v>
      </c>
      <c r="BG29" s="1">
        <f t="shared" si="30"/>
        <v>0</v>
      </c>
      <c r="BH29" s="1">
        <f t="shared" si="66"/>
        <v>0</v>
      </c>
      <c r="BI29" s="1">
        <f t="shared" si="67"/>
        <v>1</v>
      </c>
      <c r="BK29" s="1">
        <v>1</v>
      </c>
      <c r="BL29" s="1">
        <f t="shared" si="9"/>
        <v>0</v>
      </c>
      <c r="BM29" s="1">
        <f t="shared" si="10"/>
        <v>0</v>
      </c>
      <c r="BN29" s="1">
        <f t="shared" si="11"/>
        <v>0</v>
      </c>
      <c r="BO29" s="1">
        <f t="shared" si="12"/>
        <v>1</v>
      </c>
    </row>
    <row r="30" ht="15" spans="1:67">
      <c r="A30" s="1">
        <f t="shared" si="13"/>
        <v>28</v>
      </c>
      <c r="C30" s="5" t="str">
        <f>Cities_list!AF31</f>
        <v>Osaka</v>
      </c>
      <c r="D30" s="1">
        <f t="shared" si="14"/>
        <v>1</v>
      </c>
      <c r="E30" s="1">
        <f t="shared" si="15"/>
        <v>0</v>
      </c>
      <c r="F30" s="1">
        <f t="shared" si="16"/>
        <v>1</v>
      </c>
      <c r="G30" s="1">
        <f t="shared" si="17"/>
        <v>0</v>
      </c>
      <c r="H30" s="17">
        <f t="shared" si="18"/>
        <v>1</v>
      </c>
      <c r="I30" s="1" t="str">
        <f t="shared" si="19"/>
        <v>Osaka</v>
      </c>
      <c r="J30" s="27" t="str">
        <f t="shared" si="20"/>
        <v>Osaka</v>
      </c>
      <c r="K30" s="30">
        <f t="shared" si="21"/>
        <v>0</v>
      </c>
      <c r="L30" s="31">
        <v>1</v>
      </c>
      <c r="M30" s="32"/>
      <c r="N30" s="24"/>
      <c r="P30" s="24">
        <f t="shared" si="31"/>
        <v>6</v>
      </c>
      <c r="Q30" s="24"/>
      <c r="S30" s="39"/>
      <c r="T30" s="32"/>
      <c r="U30" s="24">
        <v>0</v>
      </c>
      <c r="V30" s="1">
        <v>1</v>
      </c>
      <c r="W30" s="33">
        <v>1</v>
      </c>
      <c r="X30" s="33">
        <v>0</v>
      </c>
      <c r="Y30" s="33">
        <v>0</v>
      </c>
      <c r="Z30" s="33">
        <v>0</v>
      </c>
      <c r="AA30" s="33">
        <v>0</v>
      </c>
      <c r="AB30" s="44">
        <v>0</v>
      </c>
      <c r="AC30" s="45">
        <v>1</v>
      </c>
      <c r="AD30" s="45">
        <v>0</v>
      </c>
      <c r="AE30" s="49">
        <v>0</v>
      </c>
      <c r="AF30" s="43">
        <v>0</v>
      </c>
      <c r="AG30" s="43">
        <v>0</v>
      </c>
      <c r="AH30" s="43">
        <v>0</v>
      </c>
      <c r="AI30" s="43">
        <v>1</v>
      </c>
      <c r="AK30">
        <f t="shared" si="22"/>
        <v>2</v>
      </c>
      <c r="AL30" s="1">
        <f t="shared" si="23"/>
        <v>1</v>
      </c>
      <c r="AM30" s="47"/>
      <c r="AP30" s="1">
        <f t="shared" si="24"/>
        <v>1</v>
      </c>
      <c r="AQ30" s="1">
        <f t="shared" si="25"/>
        <v>1</v>
      </c>
      <c r="AR30" s="1">
        <f t="shared" si="26"/>
        <v>1</v>
      </c>
      <c r="AS30" s="1">
        <f t="shared" si="27"/>
        <v>1</v>
      </c>
      <c r="AT30" s="1">
        <f t="shared" si="28"/>
        <v>1</v>
      </c>
      <c r="AV30" s="1">
        <v>1</v>
      </c>
      <c r="AW30" s="1">
        <f t="shared" si="57"/>
        <v>0</v>
      </c>
      <c r="AX30" s="1">
        <f t="shared" si="58"/>
        <v>1</v>
      </c>
      <c r="AY30" s="1">
        <f t="shared" si="59"/>
        <v>0</v>
      </c>
      <c r="AZ30" s="1">
        <f t="shared" si="60"/>
        <v>0</v>
      </c>
      <c r="BA30" s="1">
        <f t="shared" si="61"/>
        <v>1</v>
      </c>
      <c r="BB30" s="1">
        <f t="shared" si="62"/>
        <v>0</v>
      </c>
      <c r="BC30" s="1">
        <f t="shared" si="63"/>
        <v>0</v>
      </c>
      <c r="BD30" s="1">
        <f t="shared" si="64"/>
        <v>0</v>
      </c>
      <c r="BE30" s="1">
        <f t="shared" si="65"/>
        <v>0</v>
      </c>
      <c r="BF30" s="1">
        <f t="shared" si="29"/>
        <v>0</v>
      </c>
      <c r="BG30" s="1">
        <f t="shared" si="30"/>
        <v>0</v>
      </c>
      <c r="BH30" s="1">
        <f t="shared" si="66"/>
        <v>0</v>
      </c>
      <c r="BI30" s="1">
        <f t="shared" si="67"/>
        <v>1</v>
      </c>
      <c r="BK30" s="1">
        <v>1</v>
      </c>
      <c r="BL30" s="1">
        <f t="shared" si="9"/>
        <v>0</v>
      </c>
      <c r="BM30" s="1">
        <f t="shared" si="10"/>
        <v>0</v>
      </c>
      <c r="BN30" s="1">
        <f t="shared" si="11"/>
        <v>0</v>
      </c>
      <c r="BO30" s="1">
        <f t="shared" si="12"/>
        <v>1</v>
      </c>
    </row>
    <row r="31" ht="15" spans="1:67">
      <c r="A31" s="1">
        <f t="shared" si="13"/>
        <v>29</v>
      </c>
      <c r="C31" s="5" t="str">
        <f>Cities_list!AF32</f>
        <v>Paris</v>
      </c>
      <c r="D31" s="1">
        <f t="shared" si="14"/>
        <v>1</v>
      </c>
      <c r="E31" s="1">
        <f t="shared" si="15"/>
        <v>0</v>
      </c>
      <c r="F31" s="1">
        <f t="shared" si="16"/>
        <v>1</v>
      </c>
      <c r="G31" s="1">
        <f t="shared" si="17"/>
        <v>0</v>
      </c>
      <c r="H31" s="17">
        <f t="shared" si="18"/>
        <v>1</v>
      </c>
      <c r="I31" s="1" t="str">
        <f t="shared" si="19"/>
        <v>Paris</v>
      </c>
      <c r="J31" s="27" t="str">
        <f t="shared" si="20"/>
        <v>Paris</v>
      </c>
      <c r="K31" s="30">
        <f t="shared" si="21"/>
        <v>0</v>
      </c>
      <c r="L31" s="31">
        <v>1</v>
      </c>
      <c r="M31" s="32"/>
      <c r="N31" s="24"/>
      <c r="P31" s="24">
        <f t="shared" si="31"/>
        <v>1</v>
      </c>
      <c r="Q31" s="24"/>
      <c r="S31" s="39"/>
      <c r="T31" s="32"/>
      <c r="U31" s="24">
        <v>0</v>
      </c>
      <c r="V31" s="1">
        <v>1</v>
      </c>
      <c r="W31" s="33">
        <v>0</v>
      </c>
      <c r="X31" s="33">
        <v>1</v>
      </c>
      <c r="Y31" s="33">
        <v>0</v>
      </c>
      <c r="Z31" s="33">
        <v>0</v>
      </c>
      <c r="AA31" s="33">
        <v>0</v>
      </c>
      <c r="AB31" s="44">
        <v>0</v>
      </c>
      <c r="AC31" s="45">
        <v>1</v>
      </c>
      <c r="AD31" s="45">
        <v>0</v>
      </c>
      <c r="AE31" s="49">
        <v>0</v>
      </c>
      <c r="AF31" s="43">
        <v>0</v>
      </c>
      <c r="AG31" s="43">
        <v>0</v>
      </c>
      <c r="AH31" s="43">
        <v>1</v>
      </c>
      <c r="AI31" s="43">
        <v>0</v>
      </c>
      <c r="AK31">
        <f t="shared" si="22"/>
        <v>2</v>
      </c>
      <c r="AL31" s="1">
        <f t="shared" si="23"/>
        <v>2</v>
      </c>
      <c r="AM31" s="47"/>
      <c r="AP31" s="1">
        <f t="shared" si="24"/>
        <v>1</v>
      </c>
      <c r="AQ31" s="1">
        <f t="shared" si="25"/>
        <v>1</v>
      </c>
      <c r="AR31" s="1">
        <f t="shared" si="26"/>
        <v>1</v>
      </c>
      <c r="AS31" s="1">
        <f t="shared" si="27"/>
        <v>1</v>
      </c>
      <c r="AT31" s="1">
        <f t="shared" si="28"/>
        <v>1</v>
      </c>
      <c r="AV31" s="1">
        <v>1</v>
      </c>
      <c r="AW31" s="1">
        <f t="shared" si="57"/>
        <v>0</v>
      </c>
      <c r="AX31" s="1">
        <f t="shared" si="58"/>
        <v>1</v>
      </c>
      <c r="AY31" s="1">
        <f t="shared" si="59"/>
        <v>0</v>
      </c>
      <c r="AZ31" s="1">
        <f t="shared" si="60"/>
        <v>0</v>
      </c>
      <c r="BA31" s="1">
        <f t="shared" si="61"/>
        <v>0</v>
      </c>
      <c r="BB31" s="1">
        <f t="shared" si="62"/>
        <v>1</v>
      </c>
      <c r="BC31" s="1">
        <f t="shared" si="63"/>
        <v>0</v>
      </c>
      <c r="BD31" s="1">
        <f t="shared" si="64"/>
        <v>0</v>
      </c>
      <c r="BE31" s="1">
        <f t="shared" si="65"/>
        <v>0</v>
      </c>
      <c r="BF31" s="1">
        <f t="shared" si="29"/>
        <v>0</v>
      </c>
      <c r="BG31" s="1">
        <f t="shared" si="30"/>
        <v>0</v>
      </c>
      <c r="BH31" s="1">
        <f t="shared" si="66"/>
        <v>1</v>
      </c>
      <c r="BI31" s="1">
        <f t="shared" si="67"/>
        <v>0</v>
      </c>
      <c r="BK31" s="1">
        <v>1</v>
      </c>
      <c r="BL31" s="1">
        <f t="shared" si="9"/>
        <v>0</v>
      </c>
      <c r="BM31" s="1">
        <f t="shared" si="10"/>
        <v>0</v>
      </c>
      <c r="BN31" s="1">
        <f t="shared" si="11"/>
        <v>1</v>
      </c>
      <c r="BO31" s="1">
        <f t="shared" si="12"/>
        <v>0</v>
      </c>
    </row>
    <row r="32" ht="15" spans="1:67">
      <c r="A32" s="1">
        <f t="shared" si="13"/>
        <v>30</v>
      </c>
      <c r="C32" s="5" t="str">
        <f>Cities_list!AF33</f>
        <v>Rio de Janeiro</v>
      </c>
      <c r="D32" s="1">
        <f t="shared" si="14"/>
        <v>1</v>
      </c>
      <c r="E32" s="1">
        <f t="shared" si="15"/>
        <v>0</v>
      </c>
      <c r="F32" s="1">
        <f t="shared" si="16"/>
        <v>1</v>
      </c>
      <c r="G32" s="1">
        <f t="shared" si="17"/>
        <v>0</v>
      </c>
      <c r="H32" s="17">
        <f t="shared" si="18"/>
        <v>1</v>
      </c>
      <c r="I32" s="1" t="str">
        <f t="shared" si="19"/>
        <v>RiodeJaneiro</v>
      </c>
      <c r="J32" s="27" t="str">
        <f t="shared" si="20"/>
        <v>Rio de Janeiro</v>
      </c>
      <c r="K32" s="30">
        <f t="shared" si="21"/>
        <v>0</v>
      </c>
      <c r="L32" s="31">
        <v>1</v>
      </c>
      <c r="M32" s="32"/>
      <c r="N32" s="24"/>
      <c r="P32" s="24">
        <f t="shared" si="31"/>
        <v>2</v>
      </c>
      <c r="Q32" s="24"/>
      <c r="S32" s="39"/>
      <c r="T32" s="32"/>
      <c r="U32" s="24">
        <v>0</v>
      </c>
      <c r="V32" s="1">
        <v>1</v>
      </c>
      <c r="W32" s="33">
        <v>0</v>
      </c>
      <c r="X32" s="33">
        <v>0</v>
      </c>
      <c r="Y32" s="33">
        <v>1</v>
      </c>
      <c r="Z32" s="33">
        <v>0</v>
      </c>
      <c r="AA32" s="33">
        <v>0</v>
      </c>
      <c r="AB32" s="44">
        <v>0</v>
      </c>
      <c r="AC32" s="45">
        <v>0</v>
      </c>
      <c r="AD32" s="45">
        <v>1</v>
      </c>
      <c r="AE32" s="49">
        <v>0</v>
      </c>
      <c r="AF32" s="43">
        <v>0</v>
      </c>
      <c r="AG32" s="43">
        <v>0</v>
      </c>
      <c r="AH32" s="43">
        <v>1</v>
      </c>
      <c r="AI32" s="43">
        <v>0</v>
      </c>
      <c r="AK32">
        <f t="shared" si="22"/>
        <v>3</v>
      </c>
      <c r="AL32" s="1">
        <f t="shared" si="23"/>
        <v>3</v>
      </c>
      <c r="AM32" s="47"/>
      <c r="AP32" s="1">
        <f t="shared" si="24"/>
        <v>1</v>
      </c>
      <c r="AQ32" s="1">
        <f t="shared" si="25"/>
        <v>1</v>
      </c>
      <c r="AR32" s="1">
        <f t="shared" si="26"/>
        <v>1</v>
      </c>
      <c r="AS32" s="1">
        <f t="shared" si="27"/>
        <v>1</v>
      </c>
      <c r="AT32" s="1">
        <f t="shared" si="28"/>
        <v>1</v>
      </c>
      <c r="AV32" s="1">
        <v>1</v>
      </c>
      <c r="AW32" s="1">
        <f t="shared" si="57"/>
        <v>0</v>
      </c>
      <c r="AX32" s="1">
        <f t="shared" si="58"/>
        <v>0</v>
      </c>
      <c r="AY32" s="1">
        <f t="shared" si="59"/>
        <v>1</v>
      </c>
      <c r="AZ32" s="1">
        <f t="shared" si="60"/>
        <v>0</v>
      </c>
      <c r="BA32" s="1">
        <f t="shared" si="61"/>
        <v>0</v>
      </c>
      <c r="BB32" s="1">
        <f t="shared" si="62"/>
        <v>0</v>
      </c>
      <c r="BC32" s="1">
        <f t="shared" si="63"/>
        <v>1</v>
      </c>
      <c r="BD32" s="1">
        <f t="shared" si="64"/>
        <v>0</v>
      </c>
      <c r="BE32" s="1">
        <f t="shared" si="65"/>
        <v>0</v>
      </c>
      <c r="BF32" s="1">
        <f t="shared" si="29"/>
        <v>0</v>
      </c>
      <c r="BG32" s="1">
        <f t="shared" si="30"/>
        <v>0</v>
      </c>
      <c r="BH32" s="1">
        <f t="shared" si="66"/>
        <v>1</v>
      </c>
      <c r="BI32" s="1">
        <f t="shared" si="67"/>
        <v>0</v>
      </c>
      <c r="BK32" s="1">
        <v>1</v>
      </c>
      <c r="BL32" s="1">
        <f t="shared" si="9"/>
        <v>0</v>
      </c>
      <c r="BM32" s="1">
        <f t="shared" si="10"/>
        <v>0</v>
      </c>
      <c r="BN32" s="1">
        <f t="shared" si="11"/>
        <v>1</v>
      </c>
      <c r="BO32" s="1">
        <f t="shared" si="12"/>
        <v>0</v>
      </c>
    </row>
    <row r="33" ht="15" spans="1:67">
      <c r="A33" s="1">
        <f t="shared" si="13"/>
        <v>31</v>
      </c>
      <c r="C33" s="5" t="str">
        <f>Cities_list!AF34</f>
        <v>Riyadh</v>
      </c>
      <c r="D33" s="1">
        <f t="shared" si="14"/>
        <v>1</v>
      </c>
      <c r="E33" s="1">
        <f t="shared" si="15"/>
        <v>0</v>
      </c>
      <c r="F33" s="1">
        <f t="shared" si="16"/>
        <v>1</v>
      </c>
      <c r="G33" s="1">
        <f t="shared" si="17"/>
        <v>0</v>
      </c>
      <c r="H33" s="17">
        <f t="shared" si="18"/>
        <v>1</v>
      </c>
      <c r="I33" s="1" t="str">
        <f t="shared" si="19"/>
        <v>Riyadh</v>
      </c>
      <c r="J33" s="27" t="str">
        <f t="shared" si="20"/>
        <v>Riyadh</v>
      </c>
      <c r="K33" s="30">
        <f t="shared" si="21"/>
        <v>0</v>
      </c>
      <c r="L33" s="31">
        <v>1</v>
      </c>
      <c r="M33" s="32"/>
      <c r="N33" s="24"/>
      <c r="P33" s="24">
        <f t="shared" si="31"/>
        <v>3</v>
      </c>
      <c r="Q33" s="24"/>
      <c r="S33" s="39"/>
      <c r="T33" s="32"/>
      <c r="U33" s="24">
        <v>0</v>
      </c>
      <c r="V33" s="1">
        <v>1</v>
      </c>
      <c r="W33" s="33">
        <v>0</v>
      </c>
      <c r="X33" s="33">
        <v>0</v>
      </c>
      <c r="Y33" s="33">
        <v>0</v>
      </c>
      <c r="Z33" s="33">
        <v>1</v>
      </c>
      <c r="AA33" s="33">
        <v>0</v>
      </c>
      <c r="AB33" s="44">
        <v>1</v>
      </c>
      <c r="AC33" s="45">
        <v>0</v>
      </c>
      <c r="AD33" s="45">
        <v>0</v>
      </c>
      <c r="AE33" s="49">
        <v>0</v>
      </c>
      <c r="AF33" s="43">
        <v>0</v>
      </c>
      <c r="AG33" s="43">
        <v>1</v>
      </c>
      <c r="AH33" s="43">
        <v>0</v>
      </c>
      <c r="AI33" s="43">
        <v>0</v>
      </c>
      <c r="AK33">
        <f t="shared" si="22"/>
        <v>1</v>
      </c>
      <c r="AL33" s="1">
        <f t="shared" si="23"/>
        <v>4</v>
      </c>
      <c r="AM33" s="47"/>
      <c r="AP33" s="1">
        <f t="shared" si="24"/>
        <v>1</v>
      </c>
      <c r="AQ33" s="1">
        <f t="shared" si="25"/>
        <v>1</v>
      </c>
      <c r="AR33" s="1">
        <f t="shared" si="26"/>
        <v>1</v>
      </c>
      <c r="AS33" s="1">
        <f t="shared" si="27"/>
        <v>1</v>
      </c>
      <c r="AT33" s="1">
        <f t="shared" si="28"/>
        <v>1</v>
      </c>
      <c r="AV33" s="1">
        <v>1</v>
      </c>
      <c r="AW33" s="1">
        <f t="shared" si="57"/>
        <v>1</v>
      </c>
      <c r="AX33" s="1">
        <f t="shared" si="58"/>
        <v>0</v>
      </c>
      <c r="AY33" s="1">
        <f t="shared" si="59"/>
        <v>0</v>
      </c>
      <c r="AZ33" s="1">
        <f t="shared" si="60"/>
        <v>0</v>
      </c>
      <c r="BA33" s="1">
        <f t="shared" si="61"/>
        <v>0</v>
      </c>
      <c r="BB33" s="1">
        <f t="shared" si="62"/>
        <v>0</v>
      </c>
      <c r="BC33" s="1">
        <f t="shared" si="63"/>
        <v>0</v>
      </c>
      <c r="BD33" s="1">
        <f t="shared" si="64"/>
        <v>1</v>
      </c>
      <c r="BE33" s="1">
        <f t="shared" si="65"/>
        <v>0</v>
      </c>
      <c r="BF33" s="1">
        <f t="shared" si="29"/>
        <v>0</v>
      </c>
      <c r="BG33" s="1">
        <f t="shared" si="30"/>
        <v>1</v>
      </c>
      <c r="BH33" s="1">
        <f t="shared" si="66"/>
        <v>0</v>
      </c>
      <c r="BI33" s="1">
        <f t="shared" si="67"/>
        <v>0</v>
      </c>
      <c r="BK33" s="1">
        <v>1</v>
      </c>
      <c r="BL33" s="1">
        <f t="shared" si="9"/>
        <v>0</v>
      </c>
      <c r="BM33" s="1">
        <f t="shared" si="10"/>
        <v>1</v>
      </c>
      <c r="BN33" s="1">
        <f t="shared" si="11"/>
        <v>0</v>
      </c>
      <c r="BO33" s="1">
        <f t="shared" si="12"/>
        <v>0</v>
      </c>
    </row>
    <row r="34" ht="15" spans="1:67">
      <c r="A34" s="1">
        <f t="shared" si="13"/>
        <v>32</v>
      </c>
      <c r="C34" s="5" t="str">
        <f>Cities_list!AF35</f>
        <v>Rome</v>
      </c>
      <c r="D34" s="1">
        <f t="shared" si="14"/>
        <v>1</v>
      </c>
      <c r="E34" s="1">
        <f t="shared" si="15"/>
        <v>0</v>
      </c>
      <c r="F34" s="1">
        <f t="shared" si="16"/>
        <v>1</v>
      </c>
      <c r="G34" s="1">
        <f t="shared" si="17"/>
        <v>0</v>
      </c>
      <c r="H34" s="17">
        <f t="shared" si="18"/>
        <v>1</v>
      </c>
      <c r="I34" s="1" t="str">
        <f t="shared" si="19"/>
        <v>Rome</v>
      </c>
      <c r="J34" s="27" t="str">
        <f t="shared" si="20"/>
        <v>Rome</v>
      </c>
      <c r="K34" s="30">
        <f t="shared" si="21"/>
        <v>0</v>
      </c>
      <c r="L34" s="31">
        <v>1</v>
      </c>
      <c r="M34" s="32"/>
      <c r="N34" s="24"/>
      <c r="P34" s="24">
        <f t="shared" si="31"/>
        <v>1</v>
      </c>
      <c r="Q34" s="24"/>
      <c r="S34" s="39"/>
      <c r="T34" s="32"/>
      <c r="U34" s="24">
        <v>0</v>
      </c>
      <c r="V34" s="1">
        <v>1</v>
      </c>
      <c r="W34" s="33">
        <v>0</v>
      </c>
      <c r="X34" s="33">
        <v>1</v>
      </c>
      <c r="Y34" s="33">
        <v>0</v>
      </c>
      <c r="Z34" s="33">
        <v>0</v>
      </c>
      <c r="AA34" s="33">
        <v>0</v>
      </c>
      <c r="AB34" s="44">
        <v>0</v>
      </c>
      <c r="AC34" s="45">
        <v>1</v>
      </c>
      <c r="AD34" s="45">
        <v>0</v>
      </c>
      <c r="AE34" s="49">
        <v>0</v>
      </c>
      <c r="AF34" s="43">
        <v>1</v>
      </c>
      <c r="AG34" s="43">
        <v>0</v>
      </c>
      <c r="AH34" s="43">
        <v>0</v>
      </c>
      <c r="AI34" s="43">
        <v>0</v>
      </c>
      <c r="AK34">
        <f t="shared" si="22"/>
        <v>2</v>
      </c>
      <c r="AL34" s="1">
        <f t="shared" si="23"/>
        <v>2</v>
      </c>
      <c r="AM34" s="47"/>
      <c r="AP34" s="1">
        <f t="shared" si="24"/>
        <v>1</v>
      </c>
      <c r="AQ34" s="1">
        <f t="shared" si="25"/>
        <v>1</v>
      </c>
      <c r="AR34" s="1">
        <f t="shared" si="26"/>
        <v>1</v>
      </c>
      <c r="AS34" s="1">
        <f t="shared" si="27"/>
        <v>1</v>
      </c>
      <c r="AT34" s="1">
        <f t="shared" si="28"/>
        <v>1</v>
      </c>
      <c r="AV34" s="1">
        <v>1</v>
      </c>
      <c r="AW34" s="1">
        <f t="shared" si="57"/>
        <v>0</v>
      </c>
      <c r="AX34" s="1">
        <f t="shared" si="58"/>
        <v>1</v>
      </c>
      <c r="AY34" s="1">
        <f t="shared" si="59"/>
        <v>0</v>
      </c>
      <c r="AZ34" s="1">
        <f t="shared" si="60"/>
        <v>0</v>
      </c>
      <c r="BA34" s="1">
        <f t="shared" si="61"/>
        <v>0</v>
      </c>
      <c r="BB34" s="1">
        <f t="shared" si="62"/>
        <v>1</v>
      </c>
      <c r="BC34" s="1">
        <f t="shared" si="63"/>
        <v>0</v>
      </c>
      <c r="BD34" s="1">
        <f t="shared" si="64"/>
        <v>0</v>
      </c>
      <c r="BE34" s="1">
        <f t="shared" si="65"/>
        <v>0</v>
      </c>
      <c r="BF34" s="1">
        <f t="shared" si="29"/>
        <v>1</v>
      </c>
      <c r="BG34" s="1">
        <f t="shared" si="30"/>
        <v>0</v>
      </c>
      <c r="BH34" s="1">
        <f t="shared" si="66"/>
        <v>0</v>
      </c>
      <c r="BI34" s="1">
        <f t="shared" si="67"/>
        <v>0</v>
      </c>
      <c r="BK34" s="1">
        <v>1</v>
      </c>
      <c r="BL34" s="1">
        <f t="shared" si="9"/>
        <v>1</v>
      </c>
      <c r="BM34" s="1">
        <f t="shared" si="10"/>
        <v>0</v>
      </c>
      <c r="BN34" s="1">
        <f t="shared" si="11"/>
        <v>0</v>
      </c>
      <c r="BO34" s="1">
        <f t="shared" si="12"/>
        <v>0</v>
      </c>
    </row>
    <row r="35" ht="15" spans="1:67">
      <c r="A35" s="1">
        <f t="shared" si="13"/>
        <v>33</v>
      </c>
      <c r="C35" s="5" t="str">
        <f>Cities_list!AF36</f>
        <v>San Francisco</v>
      </c>
      <c r="D35" s="1">
        <f t="shared" si="14"/>
        <v>1</v>
      </c>
      <c r="E35" s="1">
        <f t="shared" si="15"/>
        <v>0</v>
      </c>
      <c r="F35" s="1">
        <f t="shared" si="16"/>
        <v>1</v>
      </c>
      <c r="G35" s="1">
        <f t="shared" si="17"/>
        <v>0</v>
      </c>
      <c r="H35" s="17">
        <f t="shared" si="18"/>
        <v>1</v>
      </c>
      <c r="I35" s="1" t="str">
        <f t="shared" si="19"/>
        <v>SanFrancisco</v>
      </c>
      <c r="J35" s="27" t="str">
        <f t="shared" si="20"/>
        <v>San Francisco</v>
      </c>
      <c r="K35" s="30">
        <f t="shared" si="21"/>
        <v>0</v>
      </c>
      <c r="L35" s="31">
        <v>1</v>
      </c>
      <c r="M35" s="32"/>
      <c r="N35" s="24"/>
      <c r="P35" s="24">
        <f t="shared" si="31"/>
        <v>4</v>
      </c>
      <c r="Q35" s="24"/>
      <c r="S35" s="39"/>
      <c r="T35" s="32"/>
      <c r="U35" s="24">
        <v>0</v>
      </c>
      <c r="V35" s="1">
        <v>1</v>
      </c>
      <c r="W35" s="33">
        <v>0</v>
      </c>
      <c r="X35" s="33">
        <v>0</v>
      </c>
      <c r="Y35" s="33">
        <v>0</v>
      </c>
      <c r="Z35" s="33">
        <v>0</v>
      </c>
      <c r="AA35" s="33">
        <v>1</v>
      </c>
      <c r="AB35" s="44">
        <v>1</v>
      </c>
      <c r="AC35" s="45">
        <v>0</v>
      </c>
      <c r="AD35" s="45">
        <v>0</v>
      </c>
      <c r="AE35" s="49">
        <v>0</v>
      </c>
      <c r="AF35" s="43">
        <v>1</v>
      </c>
      <c r="AG35" s="43">
        <v>0</v>
      </c>
      <c r="AH35" s="43">
        <v>0</v>
      </c>
      <c r="AI35" s="43">
        <v>0</v>
      </c>
      <c r="AK35">
        <f t="shared" si="22"/>
        <v>1</v>
      </c>
      <c r="AL35" s="1">
        <f t="shared" si="23"/>
        <v>5</v>
      </c>
      <c r="AM35" s="47"/>
      <c r="AP35" s="1">
        <f t="shared" si="24"/>
        <v>1</v>
      </c>
      <c r="AQ35" s="1">
        <f t="shared" si="25"/>
        <v>1</v>
      </c>
      <c r="AR35" s="1">
        <f t="shared" si="26"/>
        <v>1</v>
      </c>
      <c r="AS35" s="1">
        <f t="shared" si="27"/>
        <v>1</v>
      </c>
      <c r="AT35" s="1">
        <f t="shared" si="28"/>
        <v>1</v>
      </c>
      <c r="AV35" s="1">
        <v>1</v>
      </c>
      <c r="AW35" s="1">
        <f t="shared" si="57"/>
        <v>1</v>
      </c>
      <c r="AX35" s="1">
        <f t="shared" si="58"/>
        <v>0</v>
      </c>
      <c r="AY35" s="1">
        <f t="shared" si="59"/>
        <v>0</v>
      </c>
      <c r="AZ35" s="1">
        <f t="shared" si="60"/>
        <v>0</v>
      </c>
      <c r="BA35" s="1">
        <f t="shared" si="61"/>
        <v>0</v>
      </c>
      <c r="BB35" s="1">
        <f t="shared" si="62"/>
        <v>0</v>
      </c>
      <c r="BC35" s="1">
        <f t="shared" si="63"/>
        <v>0</v>
      </c>
      <c r="BD35" s="1">
        <f t="shared" si="64"/>
        <v>0</v>
      </c>
      <c r="BE35" s="1">
        <f t="shared" si="65"/>
        <v>1</v>
      </c>
      <c r="BF35" s="1">
        <f t="shared" si="29"/>
        <v>1</v>
      </c>
      <c r="BG35" s="1">
        <f t="shared" si="30"/>
        <v>0</v>
      </c>
      <c r="BH35" s="1">
        <f t="shared" si="66"/>
        <v>0</v>
      </c>
      <c r="BI35" s="1">
        <f t="shared" si="67"/>
        <v>0</v>
      </c>
      <c r="BK35" s="1">
        <v>1</v>
      </c>
      <c r="BL35" s="1">
        <f t="shared" si="9"/>
        <v>1</v>
      </c>
      <c r="BM35" s="1">
        <f t="shared" si="10"/>
        <v>0</v>
      </c>
      <c r="BN35" s="1">
        <f t="shared" si="11"/>
        <v>0</v>
      </c>
      <c r="BO35" s="1">
        <f t="shared" si="12"/>
        <v>0</v>
      </c>
    </row>
    <row r="36" ht="15" spans="1:67">
      <c r="A36" s="1">
        <f t="shared" si="13"/>
        <v>34</v>
      </c>
      <c r="C36" s="5" t="str">
        <f>Cities_list!AF37</f>
        <v>Santiago</v>
      </c>
      <c r="D36" s="1">
        <f t="shared" si="14"/>
        <v>1</v>
      </c>
      <c r="E36" s="1">
        <f t="shared" si="15"/>
        <v>0</v>
      </c>
      <c r="F36" s="1">
        <f t="shared" si="16"/>
        <v>1</v>
      </c>
      <c r="G36" s="1">
        <f t="shared" si="17"/>
        <v>0</v>
      </c>
      <c r="H36" s="17">
        <f t="shared" si="18"/>
        <v>1</v>
      </c>
      <c r="I36" s="1" t="str">
        <f t="shared" si="19"/>
        <v>Santiago</v>
      </c>
      <c r="J36" s="27" t="str">
        <f t="shared" si="20"/>
        <v>Santiago</v>
      </c>
      <c r="K36" s="30">
        <f t="shared" si="21"/>
        <v>0</v>
      </c>
      <c r="L36" s="31">
        <v>1</v>
      </c>
      <c r="M36" s="32"/>
      <c r="N36" s="24"/>
      <c r="P36" s="24">
        <f t="shared" si="31"/>
        <v>2</v>
      </c>
      <c r="Q36" s="24"/>
      <c r="S36" s="39"/>
      <c r="T36" s="32"/>
      <c r="U36" s="24">
        <v>0</v>
      </c>
      <c r="V36" s="1">
        <v>1</v>
      </c>
      <c r="W36" s="33">
        <v>0</v>
      </c>
      <c r="X36" s="33">
        <v>0</v>
      </c>
      <c r="Y36" s="33">
        <v>1</v>
      </c>
      <c r="Z36" s="33">
        <v>0</v>
      </c>
      <c r="AA36" s="33">
        <v>0</v>
      </c>
      <c r="AB36" s="44">
        <v>0</v>
      </c>
      <c r="AC36" s="45">
        <v>0</v>
      </c>
      <c r="AD36" s="45">
        <v>1</v>
      </c>
      <c r="AE36" s="49">
        <v>0</v>
      </c>
      <c r="AF36" s="43">
        <v>0</v>
      </c>
      <c r="AG36" s="43">
        <v>1</v>
      </c>
      <c r="AH36" s="43">
        <v>0</v>
      </c>
      <c r="AI36" s="43">
        <v>0</v>
      </c>
      <c r="AK36">
        <f t="shared" si="22"/>
        <v>3</v>
      </c>
      <c r="AL36" s="1">
        <f t="shared" si="23"/>
        <v>3</v>
      </c>
      <c r="AM36" s="47"/>
      <c r="AP36" s="1">
        <f t="shared" si="24"/>
        <v>1</v>
      </c>
      <c r="AQ36" s="1">
        <f t="shared" si="25"/>
        <v>1</v>
      </c>
      <c r="AR36" s="1">
        <f t="shared" si="26"/>
        <v>1</v>
      </c>
      <c r="AS36" s="1">
        <f t="shared" si="27"/>
        <v>1</v>
      </c>
      <c r="AT36" s="1">
        <f t="shared" si="28"/>
        <v>1</v>
      </c>
      <c r="AV36" s="1">
        <v>1</v>
      </c>
      <c r="AW36" s="1">
        <f t="shared" ref="AW36:AZ48" si="68">AB36</f>
        <v>0</v>
      </c>
      <c r="AX36" s="1">
        <f t="shared" si="68"/>
        <v>0</v>
      </c>
      <c r="AY36" s="1">
        <f t="shared" si="68"/>
        <v>1</v>
      </c>
      <c r="AZ36" s="1">
        <f t="shared" si="68"/>
        <v>0</v>
      </c>
      <c r="BA36" s="1">
        <f t="shared" ref="BA36:BE48" si="69">W36</f>
        <v>0</v>
      </c>
      <c r="BB36" s="1">
        <f t="shared" si="69"/>
        <v>0</v>
      </c>
      <c r="BC36" s="1">
        <f t="shared" si="69"/>
        <v>1</v>
      </c>
      <c r="BD36" s="1">
        <f t="shared" si="69"/>
        <v>0</v>
      </c>
      <c r="BE36" s="1">
        <f t="shared" si="69"/>
        <v>0</v>
      </c>
      <c r="BF36" s="1">
        <f t="shared" si="29"/>
        <v>0</v>
      </c>
      <c r="BG36" s="1">
        <f t="shared" si="30"/>
        <v>1</v>
      </c>
      <c r="BH36" s="1">
        <f t="shared" si="66"/>
        <v>0</v>
      </c>
      <c r="BI36" s="1">
        <f t="shared" si="67"/>
        <v>0</v>
      </c>
      <c r="BK36" s="1">
        <v>1</v>
      </c>
      <c r="BL36" s="1">
        <f t="shared" si="9"/>
        <v>0</v>
      </c>
      <c r="BM36" s="1">
        <f t="shared" si="10"/>
        <v>1</v>
      </c>
      <c r="BN36" s="1">
        <f t="shared" si="11"/>
        <v>0</v>
      </c>
      <c r="BO36" s="1">
        <f t="shared" si="12"/>
        <v>0</v>
      </c>
    </row>
    <row r="37" ht="15" spans="1:67">
      <c r="A37" s="1">
        <f t="shared" si="13"/>
        <v>35</v>
      </c>
      <c r="C37" s="5" t="str">
        <f>Cities_list!AF38</f>
        <v>Sao Paulo</v>
      </c>
      <c r="D37" s="1">
        <f t="shared" si="14"/>
        <v>1</v>
      </c>
      <c r="E37" s="1">
        <f t="shared" si="15"/>
        <v>0</v>
      </c>
      <c r="F37" s="1">
        <f t="shared" si="16"/>
        <v>1</v>
      </c>
      <c r="G37" s="1">
        <f t="shared" si="17"/>
        <v>0</v>
      </c>
      <c r="H37" s="17">
        <f t="shared" si="18"/>
        <v>1</v>
      </c>
      <c r="I37" s="1" t="str">
        <f t="shared" si="19"/>
        <v>SaoPaulo</v>
      </c>
      <c r="J37" s="27" t="str">
        <f t="shared" si="20"/>
        <v>Sao Paulo</v>
      </c>
      <c r="K37" s="30">
        <f t="shared" si="21"/>
        <v>0</v>
      </c>
      <c r="L37" s="31">
        <v>1</v>
      </c>
      <c r="M37" s="32"/>
      <c r="N37" s="24"/>
      <c r="P37" s="24">
        <f t="shared" si="31"/>
        <v>2</v>
      </c>
      <c r="Q37" s="24"/>
      <c r="S37" s="39"/>
      <c r="T37" s="32"/>
      <c r="U37" s="24">
        <v>0</v>
      </c>
      <c r="V37" s="1">
        <v>1</v>
      </c>
      <c r="W37" s="33">
        <v>0</v>
      </c>
      <c r="X37" s="33">
        <v>0</v>
      </c>
      <c r="Y37" s="33">
        <v>1</v>
      </c>
      <c r="Z37" s="33">
        <v>0</v>
      </c>
      <c r="AA37" s="33">
        <v>0</v>
      </c>
      <c r="AB37" s="44">
        <v>0</v>
      </c>
      <c r="AC37" s="45">
        <v>0</v>
      </c>
      <c r="AD37" s="45">
        <v>1</v>
      </c>
      <c r="AE37" s="49">
        <v>0</v>
      </c>
      <c r="AF37" s="43">
        <v>0</v>
      </c>
      <c r="AG37" s="43">
        <v>0</v>
      </c>
      <c r="AH37" s="43">
        <v>0</v>
      </c>
      <c r="AI37" s="43">
        <v>1</v>
      </c>
      <c r="AK37">
        <f t="shared" si="22"/>
        <v>3</v>
      </c>
      <c r="AL37" s="1">
        <f t="shared" si="23"/>
        <v>3</v>
      </c>
      <c r="AM37" s="47"/>
      <c r="AP37" s="1">
        <f t="shared" si="24"/>
        <v>1</v>
      </c>
      <c r="AQ37" s="1">
        <f t="shared" si="25"/>
        <v>1</v>
      </c>
      <c r="AR37" s="1">
        <f t="shared" si="26"/>
        <v>1</v>
      </c>
      <c r="AS37" s="1">
        <f t="shared" si="27"/>
        <v>1</v>
      </c>
      <c r="AT37" s="1">
        <f t="shared" si="28"/>
        <v>1</v>
      </c>
      <c r="AV37" s="1">
        <v>1</v>
      </c>
      <c r="AW37" s="1">
        <f t="shared" si="68"/>
        <v>0</v>
      </c>
      <c r="AX37" s="1">
        <f t="shared" si="68"/>
        <v>0</v>
      </c>
      <c r="AY37" s="1">
        <f t="shared" si="68"/>
        <v>1</v>
      </c>
      <c r="AZ37" s="1">
        <f t="shared" si="68"/>
        <v>0</v>
      </c>
      <c r="BA37" s="1">
        <f t="shared" si="69"/>
        <v>0</v>
      </c>
      <c r="BB37" s="1">
        <f t="shared" si="69"/>
        <v>0</v>
      </c>
      <c r="BC37" s="1">
        <f t="shared" si="69"/>
        <v>1</v>
      </c>
      <c r="BD37" s="1">
        <f t="shared" si="69"/>
        <v>0</v>
      </c>
      <c r="BE37" s="1">
        <f t="shared" si="69"/>
        <v>0</v>
      </c>
      <c r="BF37" s="1">
        <f t="shared" si="29"/>
        <v>0</v>
      </c>
      <c r="BG37" s="1">
        <f t="shared" si="30"/>
        <v>0</v>
      </c>
      <c r="BH37" s="1">
        <f t="shared" si="66"/>
        <v>0</v>
      </c>
      <c r="BI37" s="1">
        <f t="shared" si="67"/>
        <v>1</v>
      </c>
      <c r="BK37" s="1">
        <v>1</v>
      </c>
      <c r="BL37" s="1">
        <f t="shared" si="9"/>
        <v>0</v>
      </c>
      <c r="BM37" s="1">
        <f t="shared" si="10"/>
        <v>0</v>
      </c>
      <c r="BN37" s="1">
        <f t="shared" si="11"/>
        <v>0</v>
      </c>
      <c r="BO37" s="1">
        <f t="shared" si="12"/>
        <v>1</v>
      </c>
    </row>
    <row r="38" ht="15" spans="1:67">
      <c r="A38" s="1">
        <f t="shared" si="13"/>
        <v>36</v>
      </c>
      <c r="C38" s="5" t="str">
        <f>Cities_list!AF39</f>
        <v>Seoul</v>
      </c>
      <c r="D38" s="1">
        <f t="shared" si="14"/>
        <v>1</v>
      </c>
      <c r="E38" s="1">
        <f t="shared" si="15"/>
        <v>0</v>
      </c>
      <c r="F38" s="1">
        <f t="shared" si="16"/>
        <v>1</v>
      </c>
      <c r="G38" s="1">
        <f t="shared" si="17"/>
        <v>0</v>
      </c>
      <c r="H38" s="17">
        <f t="shared" si="18"/>
        <v>1</v>
      </c>
      <c r="I38" s="1" t="str">
        <f t="shared" si="19"/>
        <v>Seoul</v>
      </c>
      <c r="J38" s="27" t="str">
        <f t="shared" si="20"/>
        <v>Seoul</v>
      </c>
      <c r="K38" s="30">
        <f t="shared" si="21"/>
        <v>0</v>
      </c>
      <c r="L38" s="31">
        <v>1</v>
      </c>
      <c r="M38" s="32"/>
      <c r="N38" s="24"/>
      <c r="P38" s="24">
        <f t="shared" si="31"/>
        <v>6</v>
      </c>
      <c r="Q38" s="24"/>
      <c r="S38" s="39"/>
      <c r="T38" s="32"/>
      <c r="U38" s="24">
        <v>0</v>
      </c>
      <c r="V38" s="1">
        <v>1</v>
      </c>
      <c r="W38" s="33">
        <v>1</v>
      </c>
      <c r="X38" s="33">
        <v>0</v>
      </c>
      <c r="Y38" s="33">
        <v>0</v>
      </c>
      <c r="Z38" s="33">
        <v>0</v>
      </c>
      <c r="AA38" s="33">
        <v>0</v>
      </c>
      <c r="AB38" s="44">
        <v>0</v>
      </c>
      <c r="AC38" s="45">
        <v>1</v>
      </c>
      <c r="AD38" s="45">
        <v>0</v>
      </c>
      <c r="AE38" s="49">
        <v>0</v>
      </c>
      <c r="AF38" s="43">
        <v>0</v>
      </c>
      <c r="AG38" s="43">
        <v>0</v>
      </c>
      <c r="AH38" s="43">
        <v>0</v>
      </c>
      <c r="AI38" s="43">
        <v>1</v>
      </c>
      <c r="AK38">
        <f t="shared" si="22"/>
        <v>2</v>
      </c>
      <c r="AL38" s="1">
        <f t="shared" si="23"/>
        <v>1</v>
      </c>
      <c r="AM38" s="47"/>
      <c r="AP38" s="1">
        <f t="shared" si="24"/>
        <v>1</v>
      </c>
      <c r="AQ38" s="1">
        <f t="shared" si="25"/>
        <v>1</v>
      </c>
      <c r="AR38" s="1">
        <f t="shared" si="26"/>
        <v>1</v>
      </c>
      <c r="AS38" s="1">
        <f t="shared" si="27"/>
        <v>1</v>
      </c>
      <c r="AT38" s="1">
        <f t="shared" si="28"/>
        <v>1</v>
      </c>
      <c r="AV38" s="1">
        <v>1</v>
      </c>
      <c r="AW38" s="1">
        <f t="shared" si="68"/>
        <v>0</v>
      </c>
      <c r="AX38" s="1">
        <f t="shared" si="68"/>
        <v>1</v>
      </c>
      <c r="AY38" s="1">
        <f t="shared" si="68"/>
        <v>0</v>
      </c>
      <c r="AZ38" s="1">
        <f t="shared" si="68"/>
        <v>0</v>
      </c>
      <c r="BA38" s="1">
        <f t="shared" si="69"/>
        <v>1</v>
      </c>
      <c r="BB38" s="1">
        <f t="shared" si="69"/>
        <v>0</v>
      </c>
      <c r="BC38" s="1">
        <f t="shared" si="69"/>
        <v>0</v>
      </c>
      <c r="BD38" s="1">
        <f t="shared" si="69"/>
        <v>0</v>
      </c>
      <c r="BE38" s="1">
        <f t="shared" si="69"/>
        <v>0</v>
      </c>
      <c r="BF38" s="1">
        <f t="shared" si="29"/>
        <v>0</v>
      </c>
      <c r="BG38" s="1">
        <f t="shared" si="30"/>
        <v>0</v>
      </c>
      <c r="BH38" s="1">
        <f t="shared" si="66"/>
        <v>0</v>
      </c>
      <c r="BI38" s="1">
        <f t="shared" si="67"/>
        <v>1</v>
      </c>
      <c r="BK38" s="1">
        <v>1</v>
      </c>
      <c r="BL38" s="1">
        <f t="shared" si="9"/>
        <v>0</v>
      </c>
      <c r="BM38" s="1">
        <f t="shared" si="10"/>
        <v>0</v>
      </c>
      <c r="BN38" s="1">
        <f t="shared" si="11"/>
        <v>0</v>
      </c>
      <c r="BO38" s="1">
        <f t="shared" si="12"/>
        <v>1</v>
      </c>
    </row>
    <row r="39" ht="15" spans="1:67">
      <c r="A39" s="1">
        <f t="shared" si="13"/>
        <v>37</v>
      </c>
      <c r="C39" s="5" t="str">
        <f>Cities_list!AF40</f>
        <v>Shanghai</v>
      </c>
      <c r="D39" s="1">
        <f t="shared" si="14"/>
        <v>1</v>
      </c>
      <c r="E39" s="1">
        <f t="shared" si="15"/>
        <v>0</v>
      </c>
      <c r="F39" s="1">
        <f t="shared" si="16"/>
        <v>1</v>
      </c>
      <c r="G39" s="1">
        <f t="shared" si="17"/>
        <v>0</v>
      </c>
      <c r="H39" s="17">
        <f t="shared" si="18"/>
        <v>1</v>
      </c>
      <c r="I39" s="1" t="str">
        <f t="shared" si="19"/>
        <v>Shanghai</v>
      </c>
      <c r="J39" s="27" t="str">
        <f t="shared" si="20"/>
        <v>Shanghai</v>
      </c>
      <c r="K39" s="30">
        <f t="shared" si="21"/>
        <v>0</v>
      </c>
      <c r="L39" s="31">
        <v>1</v>
      </c>
      <c r="M39" s="32"/>
      <c r="N39" s="24"/>
      <c r="P39" s="24">
        <f t="shared" si="31"/>
        <v>7</v>
      </c>
      <c r="Q39" s="24"/>
      <c r="S39" s="39"/>
      <c r="T39" s="32"/>
      <c r="U39" s="24">
        <v>0</v>
      </c>
      <c r="V39" s="1">
        <v>1</v>
      </c>
      <c r="W39" s="33">
        <v>1</v>
      </c>
      <c r="X39" s="33">
        <v>0</v>
      </c>
      <c r="Y39" s="33">
        <v>0</v>
      </c>
      <c r="Z39" s="33">
        <v>0</v>
      </c>
      <c r="AA39" s="33">
        <v>0</v>
      </c>
      <c r="AB39" s="44">
        <v>0</v>
      </c>
      <c r="AC39" s="45">
        <v>0</v>
      </c>
      <c r="AD39" s="45">
        <v>1</v>
      </c>
      <c r="AE39" s="49">
        <v>0</v>
      </c>
      <c r="AF39" s="43">
        <v>0</v>
      </c>
      <c r="AG39" s="43">
        <v>0</v>
      </c>
      <c r="AH39" s="43">
        <v>0</v>
      </c>
      <c r="AI39" s="43">
        <v>1</v>
      </c>
      <c r="AK39">
        <f t="shared" si="22"/>
        <v>3</v>
      </c>
      <c r="AL39" s="1">
        <f t="shared" si="23"/>
        <v>1</v>
      </c>
      <c r="AM39" s="47"/>
      <c r="AP39" s="1">
        <f t="shared" si="24"/>
        <v>1</v>
      </c>
      <c r="AQ39" s="1">
        <f t="shared" si="25"/>
        <v>1</v>
      </c>
      <c r="AR39" s="1">
        <f t="shared" si="26"/>
        <v>1</v>
      </c>
      <c r="AS39" s="1">
        <f t="shared" si="27"/>
        <v>1</v>
      </c>
      <c r="AT39" s="1">
        <f t="shared" si="28"/>
        <v>1</v>
      </c>
      <c r="AV39" s="1">
        <v>1</v>
      </c>
      <c r="AW39" s="1">
        <f t="shared" si="68"/>
        <v>0</v>
      </c>
      <c r="AX39" s="1">
        <f t="shared" si="68"/>
        <v>0</v>
      </c>
      <c r="AY39" s="1">
        <f t="shared" si="68"/>
        <v>1</v>
      </c>
      <c r="AZ39" s="1">
        <f t="shared" si="68"/>
        <v>0</v>
      </c>
      <c r="BA39" s="1">
        <f t="shared" si="69"/>
        <v>1</v>
      </c>
      <c r="BB39" s="1">
        <f t="shared" si="69"/>
        <v>0</v>
      </c>
      <c r="BC39" s="1">
        <f t="shared" si="69"/>
        <v>0</v>
      </c>
      <c r="BD39" s="1">
        <f t="shared" si="69"/>
        <v>0</v>
      </c>
      <c r="BE39" s="1">
        <f t="shared" si="69"/>
        <v>0</v>
      </c>
      <c r="BF39" s="1">
        <f t="shared" si="29"/>
        <v>0</v>
      </c>
      <c r="BG39" s="1">
        <f t="shared" si="30"/>
        <v>0</v>
      </c>
      <c r="BH39" s="1">
        <f t="shared" si="66"/>
        <v>0</v>
      </c>
      <c r="BI39" s="1">
        <f t="shared" si="67"/>
        <v>1</v>
      </c>
      <c r="BK39" s="1">
        <v>1</v>
      </c>
      <c r="BL39" s="1">
        <f t="shared" si="9"/>
        <v>0</v>
      </c>
      <c r="BM39" s="1">
        <f t="shared" si="10"/>
        <v>0</v>
      </c>
      <c r="BN39" s="1">
        <f t="shared" si="11"/>
        <v>0</v>
      </c>
      <c r="BO39" s="1">
        <f t="shared" si="12"/>
        <v>1</v>
      </c>
    </row>
    <row r="40" ht="15" spans="1:67">
      <c r="A40" s="1">
        <f t="shared" si="13"/>
        <v>38</v>
      </c>
      <c r="C40" s="5" t="str">
        <f>Cities_list!AF41</f>
        <v>Singapore</v>
      </c>
      <c r="D40" s="1">
        <f t="shared" si="14"/>
        <v>1</v>
      </c>
      <c r="E40" s="1">
        <f t="shared" si="15"/>
        <v>0</v>
      </c>
      <c r="F40" s="1">
        <f t="shared" si="16"/>
        <v>1</v>
      </c>
      <c r="G40" s="1">
        <f t="shared" si="17"/>
        <v>0</v>
      </c>
      <c r="H40" s="17">
        <f t="shared" si="18"/>
        <v>1</v>
      </c>
      <c r="I40" s="1" t="str">
        <f t="shared" si="19"/>
        <v>Singapore</v>
      </c>
      <c r="J40" s="27" t="str">
        <f t="shared" si="20"/>
        <v>Singapore</v>
      </c>
      <c r="K40" s="30">
        <f t="shared" si="21"/>
        <v>0</v>
      </c>
      <c r="L40" s="31">
        <v>1</v>
      </c>
      <c r="M40" s="32"/>
      <c r="N40" s="24"/>
      <c r="P40" s="24">
        <f t="shared" si="31"/>
        <v>5</v>
      </c>
      <c r="Q40" s="24"/>
      <c r="S40" s="39"/>
      <c r="T40" s="32"/>
      <c r="U40" s="24">
        <v>0</v>
      </c>
      <c r="V40" s="1">
        <v>1</v>
      </c>
      <c r="W40" s="33">
        <v>1</v>
      </c>
      <c r="X40" s="33">
        <v>0</v>
      </c>
      <c r="Y40" s="33">
        <v>0</v>
      </c>
      <c r="Z40" s="33">
        <v>0</v>
      </c>
      <c r="AA40" s="33">
        <v>0</v>
      </c>
      <c r="AB40" s="44">
        <v>1</v>
      </c>
      <c r="AC40" s="45">
        <v>0</v>
      </c>
      <c r="AD40" s="45">
        <v>0</v>
      </c>
      <c r="AE40" s="49">
        <v>0</v>
      </c>
      <c r="AF40" s="43">
        <v>0</v>
      </c>
      <c r="AG40" s="43">
        <v>1</v>
      </c>
      <c r="AH40" s="43">
        <v>0</v>
      </c>
      <c r="AI40" s="43">
        <v>0</v>
      </c>
      <c r="AK40">
        <f t="shared" si="22"/>
        <v>1</v>
      </c>
      <c r="AL40" s="1">
        <f t="shared" si="23"/>
        <v>1</v>
      </c>
      <c r="AM40" s="47"/>
      <c r="AP40" s="1">
        <f t="shared" si="24"/>
        <v>1</v>
      </c>
      <c r="AQ40" s="1">
        <f t="shared" si="25"/>
        <v>1</v>
      </c>
      <c r="AR40" s="1">
        <f t="shared" si="26"/>
        <v>1</v>
      </c>
      <c r="AS40" s="1">
        <f t="shared" si="27"/>
        <v>1</v>
      </c>
      <c r="AT40" s="1">
        <f t="shared" si="28"/>
        <v>1</v>
      </c>
      <c r="AV40" s="1">
        <v>1</v>
      </c>
      <c r="AW40" s="1">
        <f t="shared" si="68"/>
        <v>1</v>
      </c>
      <c r="AX40" s="1">
        <f t="shared" si="68"/>
        <v>0</v>
      </c>
      <c r="AY40" s="1">
        <f t="shared" si="68"/>
        <v>0</v>
      </c>
      <c r="AZ40" s="1">
        <f t="shared" si="68"/>
        <v>0</v>
      </c>
      <c r="BA40" s="1">
        <f t="shared" si="69"/>
        <v>1</v>
      </c>
      <c r="BB40" s="1">
        <f t="shared" si="69"/>
        <v>0</v>
      </c>
      <c r="BC40" s="1">
        <f t="shared" si="69"/>
        <v>0</v>
      </c>
      <c r="BD40" s="1">
        <f t="shared" si="69"/>
        <v>0</v>
      </c>
      <c r="BE40" s="1">
        <f t="shared" si="69"/>
        <v>0</v>
      </c>
      <c r="BF40" s="1">
        <f t="shared" si="29"/>
        <v>0</v>
      </c>
      <c r="BG40" s="1">
        <f t="shared" si="30"/>
        <v>1</v>
      </c>
      <c r="BH40" s="1">
        <f t="shared" si="66"/>
        <v>0</v>
      </c>
      <c r="BI40" s="1">
        <f t="shared" si="67"/>
        <v>0</v>
      </c>
      <c r="BK40" s="1">
        <v>1</v>
      </c>
      <c r="BL40" s="1">
        <f t="shared" si="9"/>
        <v>0</v>
      </c>
      <c r="BM40" s="1">
        <f t="shared" si="10"/>
        <v>1</v>
      </c>
      <c r="BN40" s="1">
        <f t="shared" si="11"/>
        <v>0</v>
      </c>
      <c r="BO40" s="1">
        <f t="shared" si="12"/>
        <v>0</v>
      </c>
    </row>
    <row r="41" ht="15" spans="1:67">
      <c r="A41" s="1">
        <f t="shared" si="13"/>
        <v>39</v>
      </c>
      <c r="C41" s="5" t="str">
        <f>Cities_list!AF42</f>
        <v>Stockholm</v>
      </c>
      <c r="D41" s="1">
        <f t="shared" si="14"/>
        <v>1</v>
      </c>
      <c r="E41" s="1">
        <f t="shared" si="15"/>
        <v>0</v>
      </c>
      <c r="F41" s="1">
        <f t="shared" si="16"/>
        <v>1</v>
      </c>
      <c r="G41" s="1">
        <f t="shared" si="17"/>
        <v>0</v>
      </c>
      <c r="H41" s="17">
        <f t="shared" si="18"/>
        <v>1</v>
      </c>
      <c r="I41" s="1" t="str">
        <f t="shared" si="19"/>
        <v>Stockholm</v>
      </c>
      <c r="J41" s="27" t="str">
        <f t="shared" si="20"/>
        <v>Stockholm</v>
      </c>
      <c r="K41" s="30">
        <f t="shared" si="21"/>
        <v>0</v>
      </c>
      <c r="L41" s="31">
        <v>1</v>
      </c>
      <c r="M41" s="32"/>
      <c r="N41" s="24"/>
      <c r="P41" s="24">
        <f t="shared" si="31"/>
        <v>1</v>
      </c>
      <c r="Q41" s="24"/>
      <c r="S41" s="39"/>
      <c r="T41" s="32"/>
      <c r="U41" s="24">
        <v>0</v>
      </c>
      <c r="V41" s="1">
        <v>1</v>
      </c>
      <c r="W41" s="33">
        <v>0</v>
      </c>
      <c r="X41" s="33">
        <v>1</v>
      </c>
      <c r="Y41" s="33">
        <v>0</v>
      </c>
      <c r="Z41" s="33">
        <v>0</v>
      </c>
      <c r="AA41" s="33">
        <v>0</v>
      </c>
      <c r="AB41" s="44">
        <v>0</v>
      </c>
      <c r="AC41" s="45">
        <v>1</v>
      </c>
      <c r="AD41" s="45">
        <v>0</v>
      </c>
      <c r="AE41" s="49">
        <v>0</v>
      </c>
      <c r="AF41" s="43">
        <v>1</v>
      </c>
      <c r="AG41" s="43">
        <v>0</v>
      </c>
      <c r="AH41" s="43">
        <v>0</v>
      </c>
      <c r="AI41" s="43">
        <v>0</v>
      </c>
      <c r="AK41">
        <f t="shared" si="22"/>
        <v>2</v>
      </c>
      <c r="AL41" s="1">
        <f t="shared" si="23"/>
        <v>2</v>
      </c>
      <c r="AM41" s="47"/>
      <c r="AP41" s="1">
        <f t="shared" si="24"/>
        <v>1</v>
      </c>
      <c r="AQ41" s="1">
        <f t="shared" si="25"/>
        <v>1</v>
      </c>
      <c r="AR41" s="1">
        <f t="shared" si="26"/>
        <v>1</v>
      </c>
      <c r="AS41" s="1">
        <f t="shared" si="27"/>
        <v>1</v>
      </c>
      <c r="AT41" s="1">
        <f t="shared" si="28"/>
        <v>1</v>
      </c>
      <c r="AV41" s="1">
        <v>1</v>
      </c>
      <c r="AW41" s="1">
        <f t="shared" si="68"/>
        <v>0</v>
      </c>
      <c r="AX41" s="1">
        <f t="shared" si="68"/>
        <v>1</v>
      </c>
      <c r="AY41" s="1">
        <f t="shared" si="68"/>
        <v>0</v>
      </c>
      <c r="AZ41" s="1">
        <f t="shared" si="68"/>
        <v>0</v>
      </c>
      <c r="BA41" s="1">
        <f t="shared" si="69"/>
        <v>0</v>
      </c>
      <c r="BB41" s="1">
        <f t="shared" si="69"/>
        <v>1</v>
      </c>
      <c r="BC41" s="1">
        <f t="shared" si="69"/>
        <v>0</v>
      </c>
      <c r="BD41" s="1">
        <f t="shared" si="69"/>
        <v>0</v>
      </c>
      <c r="BE41" s="1">
        <f t="shared" si="69"/>
        <v>0</v>
      </c>
      <c r="BF41" s="1">
        <f t="shared" si="29"/>
        <v>1</v>
      </c>
      <c r="BG41" s="1">
        <f t="shared" si="30"/>
        <v>0</v>
      </c>
      <c r="BH41" s="1">
        <f t="shared" si="66"/>
        <v>0</v>
      </c>
      <c r="BI41" s="1">
        <f t="shared" si="67"/>
        <v>0</v>
      </c>
      <c r="BK41" s="1">
        <v>1</v>
      </c>
      <c r="BL41" s="1">
        <f t="shared" si="9"/>
        <v>1</v>
      </c>
      <c r="BM41" s="1">
        <f t="shared" si="10"/>
        <v>0</v>
      </c>
      <c r="BN41" s="1">
        <f t="shared" si="11"/>
        <v>0</v>
      </c>
      <c r="BO41" s="1">
        <f t="shared" si="12"/>
        <v>0</v>
      </c>
    </row>
    <row r="42" ht="15" spans="1:67">
      <c r="A42" s="1">
        <f t="shared" si="13"/>
        <v>40</v>
      </c>
      <c r="C42" s="5" t="str">
        <f>Cities_list!AF43</f>
        <v>Sydney</v>
      </c>
      <c r="D42" s="1">
        <f t="shared" si="14"/>
        <v>1</v>
      </c>
      <c r="E42" s="1">
        <f t="shared" si="15"/>
        <v>0</v>
      </c>
      <c r="F42" s="1">
        <f t="shared" si="16"/>
        <v>1</v>
      </c>
      <c r="G42" s="1">
        <f t="shared" si="17"/>
        <v>0</v>
      </c>
      <c r="H42" s="17">
        <f t="shared" si="18"/>
        <v>1</v>
      </c>
      <c r="I42" s="1" t="str">
        <f t="shared" si="19"/>
        <v>Sydney</v>
      </c>
      <c r="J42" s="27" t="str">
        <f t="shared" si="20"/>
        <v>Sydney</v>
      </c>
      <c r="K42" s="30">
        <f t="shared" si="21"/>
        <v>0</v>
      </c>
      <c r="L42" s="31">
        <v>1</v>
      </c>
      <c r="M42" s="32"/>
      <c r="N42" s="24"/>
      <c r="P42" s="24">
        <f t="shared" si="31"/>
        <v>6</v>
      </c>
      <c r="Q42" s="24"/>
      <c r="S42" s="39"/>
      <c r="T42" s="32"/>
      <c r="U42" s="24">
        <v>0</v>
      </c>
      <c r="V42" s="1">
        <v>1</v>
      </c>
      <c r="W42" s="33">
        <v>1</v>
      </c>
      <c r="X42" s="33">
        <v>0</v>
      </c>
      <c r="Y42" s="33">
        <v>0</v>
      </c>
      <c r="Z42" s="33">
        <v>0</v>
      </c>
      <c r="AA42" s="33">
        <v>0</v>
      </c>
      <c r="AB42" s="44">
        <v>0</v>
      </c>
      <c r="AC42" s="45">
        <v>1</v>
      </c>
      <c r="AD42" s="45">
        <v>0</v>
      </c>
      <c r="AE42" s="49">
        <v>0</v>
      </c>
      <c r="AF42" s="43">
        <v>1</v>
      </c>
      <c r="AG42" s="43">
        <v>0</v>
      </c>
      <c r="AH42" s="43">
        <v>0</v>
      </c>
      <c r="AI42" s="43">
        <v>0</v>
      </c>
      <c r="AK42">
        <f t="shared" si="22"/>
        <v>2</v>
      </c>
      <c r="AL42" s="1">
        <f t="shared" si="23"/>
        <v>1</v>
      </c>
      <c r="AM42" s="47"/>
      <c r="AP42" s="1">
        <f t="shared" si="24"/>
        <v>1</v>
      </c>
      <c r="AQ42" s="1">
        <f t="shared" si="25"/>
        <v>1</v>
      </c>
      <c r="AR42" s="1">
        <f t="shared" si="26"/>
        <v>1</v>
      </c>
      <c r="AS42" s="1">
        <f t="shared" si="27"/>
        <v>1</v>
      </c>
      <c r="AT42" s="1">
        <f t="shared" si="28"/>
        <v>1</v>
      </c>
      <c r="AV42" s="1">
        <v>1</v>
      </c>
      <c r="AW42" s="1">
        <f t="shared" si="68"/>
        <v>0</v>
      </c>
      <c r="AX42" s="1">
        <f t="shared" si="68"/>
        <v>1</v>
      </c>
      <c r="AY42" s="1">
        <f t="shared" si="68"/>
        <v>0</v>
      </c>
      <c r="AZ42" s="1">
        <f t="shared" si="68"/>
        <v>0</v>
      </c>
      <c r="BA42" s="1">
        <f t="shared" si="69"/>
        <v>1</v>
      </c>
      <c r="BB42" s="1">
        <f t="shared" si="69"/>
        <v>0</v>
      </c>
      <c r="BC42" s="1">
        <f t="shared" si="69"/>
        <v>0</v>
      </c>
      <c r="BD42" s="1">
        <f t="shared" si="69"/>
        <v>0</v>
      </c>
      <c r="BE42" s="1">
        <f t="shared" si="69"/>
        <v>0</v>
      </c>
      <c r="BF42" s="1">
        <f t="shared" si="29"/>
        <v>1</v>
      </c>
      <c r="BG42" s="1">
        <f t="shared" si="30"/>
        <v>0</v>
      </c>
      <c r="BH42" s="1">
        <f t="shared" si="66"/>
        <v>0</v>
      </c>
      <c r="BI42" s="1">
        <f t="shared" si="67"/>
        <v>0</v>
      </c>
      <c r="BK42" s="1">
        <v>1</v>
      </c>
      <c r="BL42" s="1">
        <f t="shared" si="9"/>
        <v>1</v>
      </c>
      <c r="BM42" s="1">
        <f t="shared" si="10"/>
        <v>0</v>
      </c>
      <c r="BN42" s="1">
        <f t="shared" si="11"/>
        <v>0</v>
      </c>
      <c r="BO42" s="1">
        <f t="shared" si="12"/>
        <v>0</v>
      </c>
    </row>
    <row r="43" ht="15" spans="1:67">
      <c r="A43" s="1">
        <f t="shared" si="13"/>
        <v>41</v>
      </c>
      <c r="C43" s="5" t="str">
        <f>Cities_list!AF44</f>
        <v>Taipei</v>
      </c>
      <c r="D43" s="1">
        <f t="shared" si="14"/>
        <v>1</v>
      </c>
      <c r="E43" s="1">
        <f t="shared" si="15"/>
        <v>0</v>
      </c>
      <c r="F43" s="1">
        <f t="shared" si="16"/>
        <v>1</v>
      </c>
      <c r="G43" s="1">
        <f t="shared" si="17"/>
        <v>0</v>
      </c>
      <c r="H43" s="17">
        <f t="shared" si="18"/>
        <v>1</v>
      </c>
      <c r="I43" s="1" t="str">
        <f t="shared" si="19"/>
        <v>Taipei</v>
      </c>
      <c r="J43" s="27" t="str">
        <f t="shared" si="20"/>
        <v>Taipei</v>
      </c>
      <c r="K43" s="30">
        <f t="shared" si="21"/>
        <v>0</v>
      </c>
      <c r="L43" s="31">
        <v>1</v>
      </c>
      <c r="M43" s="32"/>
      <c r="N43" s="24"/>
      <c r="P43" s="24">
        <f t="shared" si="31"/>
        <v>6</v>
      </c>
      <c r="Q43" s="24"/>
      <c r="S43" s="39"/>
      <c r="T43" s="32"/>
      <c r="U43" s="24">
        <v>0</v>
      </c>
      <c r="V43" s="1">
        <v>1</v>
      </c>
      <c r="W43" s="33">
        <v>1</v>
      </c>
      <c r="X43" s="33">
        <v>0</v>
      </c>
      <c r="Y43" s="33">
        <v>0</v>
      </c>
      <c r="Z43" s="33">
        <v>0</v>
      </c>
      <c r="AA43" s="33">
        <v>0</v>
      </c>
      <c r="AB43" s="44">
        <v>0</v>
      </c>
      <c r="AC43" s="45">
        <v>1</v>
      </c>
      <c r="AD43" s="45">
        <v>0</v>
      </c>
      <c r="AE43" s="49">
        <v>0</v>
      </c>
      <c r="AF43" s="43">
        <v>0</v>
      </c>
      <c r="AG43" s="43">
        <v>1</v>
      </c>
      <c r="AH43" s="43">
        <v>0</v>
      </c>
      <c r="AI43" s="43">
        <v>0</v>
      </c>
      <c r="AK43">
        <f t="shared" si="22"/>
        <v>2</v>
      </c>
      <c r="AL43" s="1">
        <f t="shared" si="23"/>
        <v>1</v>
      </c>
      <c r="AM43" s="47"/>
      <c r="AP43" s="1">
        <f t="shared" si="24"/>
        <v>1</v>
      </c>
      <c r="AQ43" s="1">
        <f t="shared" si="25"/>
        <v>1</v>
      </c>
      <c r="AR43" s="1">
        <f t="shared" si="26"/>
        <v>1</v>
      </c>
      <c r="AS43" s="1">
        <f t="shared" si="27"/>
        <v>1</v>
      </c>
      <c r="AT43" s="1">
        <f t="shared" si="28"/>
        <v>1</v>
      </c>
      <c r="AV43" s="1">
        <v>1</v>
      </c>
      <c r="AW43" s="1">
        <f t="shared" si="68"/>
        <v>0</v>
      </c>
      <c r="AX43" s="1">
        <f t="shared" si="68"/>
        <v>1</v>
      </c>
      <c r="AY43" s="1">
        <f t="shared" si="68"/>
        <v>0</v>
      </c>
      <c r="AZ43" s="1">
        <f t="shared" si="68"/>
        <v>0</v>
      </c>
      <c r="BA43" s="1">
        <f t="shared" si="69"/>
        <v>1</v>
      </c>
      <c r="BB43" s="1">
        <f t="shared" si="69"/>
        <v>0</v>
      </c>
      <c r="BC43" s="1">
        <f t="shared" si="69"/>
        <v>0</v>
      </c>
      <c r="BD43" s="1">
        <f t="shared" si="69"/>
        <v>0</v>
      </c>
      <c r="BE43" s="1">
        <f t="shared" si="69"/>
        <v>0</v>
      </c>
      <c r="BF43" s="1">
        <f t="shared" si="29"/>
        <v>0</v>
      </c>
      <c r="BG43" s="1">
        <f t="shared" si="30"/>
        <v>1</v>
      </c>
      <c r="BH43" s="1">
        <f t="shared" si="66"/>
        <v>0</v>
      </c>
      <c r="BI43" s="1">
        <f t="shared" si="67"/>
        <v>0</v>
      </c>
      <c r="BK43" s="1">
        <v>1</v>
      </c>
      <c r="BL43" s="1">
        <f t="shared" si="9"/>
        <v>0</v>
      </c>
      <c r="BM43" s="1">
        <f t="shared" si="10"/>
        <v>1</v>
      </c>
      <c r="BN43" s="1">
        <f t="shared" si="11"/>
        <v>0</v>
      </c>
      <c r="BO43" s="1">
        <f t="shared" si="12"/>
        <v>0</v>
      </c>
    </row>
    <row r="44" ht="15" spans="1:67">
      <c r="A44" s="1">
        <f t="shared" si="13"/>
        <v>42</v>
      </c>
      <c r="C44" s="5" t="str">
        <f>Cities_list!AF45</f>
        <v>Tehran</v>
      </c>
      <c r="D44" s="1">
        <f t="shared" si="14"/>
        <v>1</v>
      </c>
      <c r="E44" s="1">
        <f t="shared" si="15"/>
        <v>0</v>
      </c>
      <c r="F44" s="1">
        <f t="shared" si="16"/>
        <v>1</v>
      </c>
      <c r="G44" s="1">
        <f t="shared" si="17"/>
        <v>0</v>
      </c>
      <c r="H44" s="17">
        <f t="shared" si="18"/>
        <v>1</v>
      </c>
      <c r="I44" s="1" t="str">
        <f t="shared" si="19"/>
        <v>Tehran</v>
      </c>
      <c r="J44" s="27" t="str">
        <f t="shared" si="20"/>
        <v>Tehran</v>
      </c>
      <c r="K44" s="30">
        <f t="shared" si="21"/>
        <v>0</v>
      </c>
      <c r="L44" s="31">
        <v>1</v>
      </c>
      <c r="M44" s="32"/>
      <c r="N44" s="24"/>
      <c r="P44" s="24">
        <f t="shared" si="31"/>
        <v>3</v>
      </c>
      <c r="Q44" s="24"/>
      <c r="S44" s="39"/>
      <c r="T44" s="32"/>
      <c r="U44" s="24">
        <v>0</v>
      </c>
      <c r="V44" s="1">
        <v>1</v>
      </c>
      <c r="W44" s="33">
        <v>0</v>
      </c>
      <c r="X44" s="33">
        <v>0</v>
      </c>
      <c r="Y44" s="33">
        <v>0</v>
      </c>
      <c r="Z44" s="33">
        <v>1</v>
      </c>
      <c r="AA44" s="33">
        <v>0</v>
      </c>
      <c r="AB44" s="44">
        <v>0</v>
      </c>
      <c r="AC44" s="45">
        <v>0</v>
      </c>
      <c r="AD44" s="45">
        <v>1</v>
      </c>
      <c r="AE44" s="49">
        <v>0</v>
      </c>
      <c r="AF44" s="43">
        <v>0</v>
      </c>
      <c r="AG44" s="43">
        <v>1</v>
      </c>
      <c r="AH44" s="43">
        <v>0</v>
      </c>
      <c r="AI44" s="43">
        <v>0</v>
      </c>
      <c r="AK44">
        <f t="shared" si="22"/>
        <v>3</v>
      </c>
      <c r="AL44" s="1">
        <f t="shared" si="23"/>
        <v>4</v>
      </c>
      <c r="AM44" s="47"/>
      <c r="AP44" s="1">
        <f t="shared" si="24"/>
        <v>1</v>
      </c>
      <c r="AQ44" s="1">
        <f t="shared" si="25"/>
        <v>1</v>
      </c>
      <c r="AR44" s="1">
        <f t="shared" si="26"/>
        <v>1</v>
      </c>
      <c r="AS44" s="1">
        <f t="shared" si="27"/>
        <v>1</v>
      </c>
      <c r="AT44" s="1">
        <f t="shared" si="28"/>
        <v>1</v>
      </c>
      <c r="AV44" s="1">
        <v>1</v>
      </c>
      <c r="AW44" s="1">
        <f t="shared" si="68"/>
        <v>0</v>
      </c>
      <c r="AX44" s="1">
        <f t="shared" si="68"/>
        <v>0</v>
      </c>
      <c r="AY44" s="1">
        <f t="shared" si="68"/>
        <v>1</v>
      </c>
      <c r="AZ44" s="1">
        <f t="shared" si="68"/>
        <v>0</v>
      </c>
      <c r="BA44" s="1">
        <f t="shared" si="69"/>
        <v>0</v>
      </c>
      <c r="BB44" s="1">
        <f t="shared" si="69"/>
        <v>0</v>
      </c>
      <c r="BC44" s="1">
        <f t="shared" si="69"/>
        <v>0</v>
      </c>
      <c r="BD44" s="1">
        <f t="shared" si="69"/>
        <v>1</v>
      </c>
      <c r="BE44" s="1">
        <f t="shared" si="69"/>
        <v>0</v>
      </c>
      <c r="BF44" s="1">
        <f t="shared" si="29"/>
        <v>0</v>
      </c>
      <c r="BG44" s="1">
        <f t="shared" si="30"/>
        <v>1</v>
      </c>
      <c r="BH44" s="1">
        <f t="shared" si="66"/>
        <v>0</v>
      </c>
      <c r="BI44" s="1">
        <f t="shared" si="67"/>
        <v>0</v>
      </c>
      <c r="BK44" s="1">
        <v>1</v>
      </c>
      <c r="BL44" s="1">
        <f t="shared" si="9"/>
        <v>0</v>
      </c>
      <c r="BM44" s="1">
        <f t="shared" si="10"/>
        <v>1</v>
      </c>
      <c r="BN44" s="1">
        <f t="shared" si="11"/>
        <v>0</v>
      </c>
      <c r="BO44" s="1">
        <f t="shared" si="12"/>
        <v>0</v>
      </c>
    </row>
    <row r="45" ht="15" spans="1:67">
      <c r="A45" s="1">
        <f t="shared" si="13"/>
        <v>43</v>
      </c>
      <c r="C45" s="5" t="str">
        <f>Cities_list!AF46</f>
        <v>Tokyo</v>
      </c>
      <c r="D45" s="1">
        <f t="shared" si="14"/>
        <v>1</v>
      </c>
      <c r="E45" s="1">
        <f t="shared" si="15"/>
        <v>0</v>
      </c>
      <c r="F45" s="1">
        <f t="shared" si="16"/>
        <v>1</v>
      </c>
      <c r="G45" s="1">
        <f t="shared" si="17"/>
        <v>0</v>
      </c>
      <c r="H45" s="17">
        <f t="shared" si="18"/>
        <v>1</v>
      </c>
      <c r="I45" s="1" t="str">
        <f t="shared" si="19"/>
        <v>Tokyo</v>
      </c>
      <c r="J45" s="27" t="str">
        <f t="shared" si="20"/>
        <v>Tokyo</v>
      </c>
      <c r="K45" s="30">
        <f t="shared" si="21"/>
        <v>0</v>
      </c>
      <c r="L45" s="31">
        <v>1</v>
      </c>
      <c r="M45" s="32"/>
      <c r="N45" s="24"/>
      <c r="P45" s="24">
        <f t="shared" si="31"/>
        <v>6</v>
      </c>
      <c r="Q45" s="24"/>
      <c r="S45" s="39"/>
      <c r="T45" s="32"/>
      <c r="U45" s="24">
        <v>0</v>
      </c>
      <c r="V45" s="1">
        <v>1</v>
      </c>
      <c r="W45" s="33">
        <v>1</v>
      </c>
      <c r="X45" s="33">
        <v>0</v>
      </c>
      <c r="Y45" s="33">
        <v>0</v>
      </c>
      <c r="Z45" s="33">
        <v>0</v>
      </c>
      <c r="AA45" s="33">
        <v>0</v>
      </c>
      <c r="AB45" s="44">
        <v>0</v>
      </c>
      <c r="AC45" s="45">
        <v>1</v>
      </c>
      <c r="AD45" s="45">
        <v>0</v>
      </c>
      <c r="AE45" s="49">
        <v>0</v>
      </c>
      <c r="AF45" s="43">
        <v>0</v>
      </c>
      <c r="AG45" s="43">
        <v>0</v>
      </c>
      <c r="AH45" s="43">
        <v>0</v>
      </c>
      <c r="AI45" s="43">
        <v>1</v>
      </c>
      <c r="AK45">
        <f t="shared" si="22"/>
        <v>2</v>
      </c>
      <c r="AL45" s="1">
        <f t="shared" si="23"/>
        <v>1</v>
      </c>
      <c r="AM45" s="47"/>
      <c r="AP45" s="1">
        <f t="shared" si="24"/>
        <v>1</v>
      </c>
      <c r="AQ45" s="1">
        <f t="shared" si="25"/>
        <v>1</v>
      </c>
      <c r="AR45" s="1">
        <f t="shared" si="26"/>
        <v>1</v>
      </c>
      <c r="AS45" s="1">
        <f t="shared" si="27"/>
        <v>1</v>
      </c>
      <c r="AT45" s="1">
        <f t="shared" si="28"/>
        <v>1</v>
      </c>
      <c r="AV45" s="1">
        <v>1</v>
      </c>
      <c r="AW45" s="1">
        <f t="shared" si="68"/>
        <v>0</v>
      </c>
      <c r="AX45" s="1">
        <f t="shared" si="68"/>
        <v>1</v>
      </c>
      <c r="AY45" s="1">
        <f t="shared" si="68"/>
        <v>0</v>
      </c>
      <c r="AZ45" s="1">
        <f t="shared" si="68"/>
        <v>0</v>
      </c>
      <c r="BA45" s="1">
        <f t="shared" si="69"/>
        <v>1</v>
      </c>
      <c r="BB45" s="1">
        <f t="shared" si="69"/>
        <v>0</v>
      </c>
      <c r="BC45" s="1">
        <f t="shared" si="69"/>
        <v>0</v>
      </c>
      <c r="BD45" s="1">
        <f t="shared" si="69"/>
        <v>0</v>
      </c>
      <c r="BE45" s="1">
        <f t="shared" si="69"/>
        <v>0</v>
      </c>
      <c r="BF45" s="1">
        <f t="shared" si="29"/>
        <v>0</v>
      </c>
      <c r="BG45" s="1">
        <f t="shared" si="30"/>
        <v>0</v>
      </c>
      <c r="BH45" s="1">
        <f t="shared" si="66"/>
        <v>0</v>
      </c>
      <c r="BI45" s="1">
        <f t="shared" si="67"/>
        <v>1</v>
      </c>
      <c r="BK45" s="1">
        <v>1</v>
      </c>
      <c r="BL45" s="1">
        <f t="shared" si="9"/>
        <v>0</v>
      </c>
      <c r="BM45" s="1">
        <f t="shared" si="10"/>
        <v>0</v>
      </c>
      <c r="BN45" s="1">
        <f t="shared" si="11"/>
        <v>0</v>
      </c>
      <c r="BO45" s="1">
        <f t="shared" si="12"/>
        <v>1</v>
      </c>
    </row>
    <row r="46" ht="15" spans="1:67">
      <c r="A46" s="1">
        <f t="shared" si="13"/>
        <v>44</v>
      </c>
      <c r="C46" s="5" t="str">
        <f>Cities_list!AF47</f>
        <v>Toronto</v>
      </c>
      <c r="D46" s="1">
        <f t="shared" si="14"/>
        <v>1</v>
      </c>
      <c r="E46" s="1">
        <f t="shared" si="15"/>
        <v>0</v>
      </c>
      <c r="F46" s="1">
        <f t="shared" si="16"/>
        <v>1</v>
      </c>
      <c r="G46" s="1">
        <f t="shared" si="17"/>
        <v>0</v>
      </c>
      <c r="H46" s="17">
        <f t="shared" si="18"/>
        <v>1</v>
      </c>
      <c r="I46" s="1" t="str">
        <f t="shared" si="19"/>
        <v>Toronto</v>
      </c>
      <c r="J46" s="27" t="str">
        <f t="shared" si="20"/>
        <v>Toronto</v>
      </c>
      <c r="K46" s="30">
        <f t="shared" si="21"/>
        <v>0</v>
      </c>
      <c r="L46" s="31">
        <v>1</v>
      </c>
      <c r="M46" s="32"/>
      <c r="N46" s="24"/>
      <c r="P46" s="24">
        <f t="shared" si="31"/>
        <v>4</v>
      </c>
      <c r="Q46" s="24"/>
      <c r="S46" s="39"/>
      <c r="T46" s="32"/>
      <c r="U46" s="24">
        <v>0</v>
      </c>
      <c r="V46" s="1">
        <v>1</v>
      </c>
      <c r="W46" s="33">
        <v>0</v>
      </c>
      <c r="X46" s="33">
        <v>0</v>
      </c>
      <c r="Y46" s="33">
        <v>0</v>
      </c>
      <c r="Z46" s="33">
        <v>0</v>
      </c>
      <c r="AA46" s="33">
        <v>1</v>
      </c>
      <c r="AB46" s="44">
        <v>0</v>
      </c>
      <c r="AC46" s="45">
        <v>1</v>
      </c>
      <c r="AD46" s="45">
        <v>0</v>
      </c>
      <c r="AE46" s="49">
        <v>0</v>
      </c>
      <c r="AF46" s="43">
        <v>0</v>
      </c>
      <c r="AG46" s="43">
        <v>1</v>
      </c>
      <c r="AH46" s="43">
        <v>0</v>
      </c>
      <c r="AI46" s="43">
        <v>0</v>
      </c>
      <c r="AK46">
        <f t="shared" si="22"/>
        <v>2</v>
      </c>
      <c r="AL46" s="1">
        <f t="shared" si="23"/>
        <v>5</v>
      </c>
      <c r="AM46" s="47"/>
      <c r="AP46" s="1">
        <f t="shared" si="24"/>
        <v>1</v>
      </c>
      <c r="AQ46" s="1">
        <f t="shared" si="25"/>
        <v>1</v>
      </c>
      <c r="AR46" s="1">
        <f t="shared" si="26"/>
        <v>1</v>
      </c>
      <c r="AS46" s="1">
        <f t="shared" si="27"/>
        <v>1</v>
      </c>
      <c r="AT46" s="1">
        <f t="shared" si="28"/>
        <v>1</v>
      </c>
      <c r="AV46" s="1">
        <v>1</v>
      </c>
      <c r="AW46" s="1">
        <f t="shared" si="68"/>
        <v>0</v>
      </c>
      <c r="AX46" s="1">
        <f t="shared" si="68"/>
        <v>1</v>
      </c>
      <c r="AY46" s="1">
        <f t="shared" si="68"/>
        <v>0</v>
      </c>
      <c r="AZ46" s="1">
        <f t="shared" si="68"/>
        <v>0</v>
      </c>
      <c r="BA46" s="1">
        <f t="shared" si="69"/>
        <v>0</v>
      </c>
      <c r="BB46" s="1">
        <f t="shared" si="69"/>
        <v>0</v>
      </c>
      <c r="BC46" s="1">
        <f t="shared" si="69"/>
        <v>0</v>
      </c>
      <c r="BD46" s="1">
        <f t="shared" si="69"/>
        <v>0</v>
      </c>
      <c r="BE46" s="1">
        <f t="shared" si="69"/>
        <v>1</v>
      </c>
      <c r="BF46" s="1">
        <f t="shared" si="29"/>
        <v>0</v>
      </c>
      <c r="BG46" s="1">
        <f t="shared" si="30"/>
        <v>1</v>
      </c>
      <c r="BH46" s="1">
        <f t="shared" si="66"/>
        <v>0</v>
      </c>
      <c r="BI46" s="1">
        <f t="shared" si="67"/>
        <v>0</v>
      </c>
      <c r="BK46" s="1">
        <v>1</v>
      </c>
      <c r="BL46" s="1">
        <f t="shared" si="9"/>
        <v>0</v>
      </c>
      <c r="BM46" s="1">
        <f t="shared" si="10"/>
        <v>1</v>
      </c>
      <c r="BN46" s="1">
        <f t="shared" si="11"/>
        <v>0</v>
      </c>
      <c r="BO46" s="1">
        <f t="shared" si="12"/>
        <v>0</v>
      </c>
    </row>
    <row r="47" ht="15" spans="1:67">
      <c r="A47" s="1">
        <f t="shared" si="13"/>
        <v>45</v>
      </c>
      <c r="C47" s="5" t="str">
        <f>Cities_list!AF48</f>
        <v>Washington DC</v>
      </c>
      <c r="D47" s="1">
        <f t="shared" si="14"/>
        <v>1</v>
      </c>
      <c r="E47" s="1">
        <f t="shared" si="15"/>
        <v>0</v>
      </c>
      <c r="F47" s="1">
        <f t="shared" si="16"/>
        <v>1</v>
      </c>
      <c r="G47" s="1">
        <f t="shared" si="17"/>
        <v>0</v>
      </c>
      <c r="H47" s="17">
        <f t="shared" si="18"/>
        <v>1</v>
      </c>
      <c r="I47" s="1" t="str">
        <f t="shared" si="19"/>
        <v>WashingtonDC</v>
      </c>
      <c r="J47" s="27" t="str">
        <f t="shared" si="20"/>
        <v>Washington DC</v>
      </c>
      <c r="K47" s="30">
        <f t="shared" si="21"/>
        <v>0</v>
      </c>
      <c r="L47" s="31">
        <v>1</v>
      </c>
      <c r="M47" s="32"/>
      <c r="N47" s="24"/>
      <c r="P47" s="24">
        <f t="shared" si="31"/>
        <v>4</v>
      </c>
      <c r="Q47" s="24"/>
      <c r="S47" s="39"/>
      <c r="T47" s="32"/>
      <c r="U47" s="24">
        <v>0</v>
      </c>
      <c r="V47" s="1">
        <v>1</v>
      </c>
      <c r="W47" s="33">
        <v>0</v>
      </c>
      <c r="X47" s="33">
        <v>0</v>
      </c>
      <c r="Y47" s="33">
        <v>0</v>
      </c>
      <c r="Z47" s="33">
        <v>0</v>
      </c>
      <c r="AA47" s="33">
        <v>1</v>
      </c>
      <c r="AB47" s="44">
        <v>1</v>
      </c>
      <c r="AC47" s="45">
        <v>0</v>
      </c>
      <c r="AD47" s="45">
        <v>0</v>
      </c>
      <c r="AE47" s="49">
        <v>0</v>
      </c>
      <c r="AF47" s="43">
        <v>0</v>
      </c>
      <c r="AG47" s="43">
        <v>1</v>
      </c>
      <c r="AH47" s="43">
        <v>0</v>
      </c>
      <c r="AI47" s="43">
        <v>0</v>
      </c>
      <c r="AK47">
        <f t="shared" si="22"/>
        <v>1</v>
      </c>
      <c r="AL47" s="1">
        <f t="shared" si="23"/>
        <v>5</v>
      </c>
      <c r="AM47" s="47"/>
      <c r="AP47" s="1">
        <f t="shared" si="24"/>
        <v>1</v>
      </c>
      <c r="AQ47" s="1">
        <f t="shared" si="25"/>
        <v>1</v>
      </c>
      <c r="AR47" s="1">
        <f t="shared" si="26"/>
        <v>1</v>
      </c>
      <c r="AS47" s="1">
        <f t="shared" si="27"/>
        <v>1</v>
      </c>
      <c r="AT47" s="1">
        <f t="shared" si="28"/>
        <v>1</v>
      </c>
      <c r="AV47" s="1">
        <v>1</v>
      </c>
      <c r="AW47" s="1">
        <f t="shared" si="68"/>
        <v>1</v>
      </c>
      <c r="AX47" s="1">
        <f t="shared" si="68"/>
        <v>0</v>
      </c>
      <c r="AY47" s="1">
        <f t="shared" si="68"/>
        <v>0</v>
      </c>
      <c r="AZ47" s="1">
        <f t="shared" si="68"/>
        <v>0</v>
      </c>
      <c r="BA47" s="1">
        <f t="shared" si="69"/>
        <v>0</v>
      </c>
      <c r="BB47" s="1">
        <f t="shared" si="69"/>
        <v>0</v>
      </c>
      <c r="BC47" s="1">
        <f t="shared" si="69"/>
        <v>0</v>
      </c>
      <c r="BD47" s="1">
        <f t="shared" si="69"/>
        <v>0</v>
      </c>
      <c r="BE47" s="1">
        <f t="shared" si="69"/>
        <v>1</v>
      </c>
      <c r="BF47" s="1">
        <f t="shared" si="29"/>
        <v>0</v>
      </c>
      <c r="BG47" s="1">
        <f t="shared" si="30"/>
        <v>1</v>
      </c>
      <c r="BH47" s="1">
        <f t="shared" si="66"/>
        <v>0</v>
      </c>
      <c r="BI47" s="1">
        <f t="shared" si="67"/>
        <v>0</v>
      </c>
      <c r="BK47" s="1">
        <v>1</v>
      </c>
      <c r="BL47" s="1">
        <f t="shared" si="9"/>
        <v>0</v>
      </c>
      <c r="BM47" s="1">
        <f t="shared" si="10"/>
        <v>1</v>
      </c>
      <c r="BN47" s="1">
        <f t="shared" si="11"/>
        <v>0</v>
      </c>
      <c r="BO47" s="1">
        <f t="shared" si="12"/>
        <v>0</v>
      </c>
    </row>
    <row r="48" ht="15" spans="1:67">
      <c r="A48" s="1">
        <f t="shared" si="13"/>
        <v>46</v>
      </c>
      <c r="C48" s="5" t="str">
        <f>Cities_list!AF49</f>
        <v>Zurich</v>
      </c>
      <c r="D48" s="1">
        <f t="shared" si="14"/>
        <v>1</v>
      </c>
      <c r="E48" s="1">
        <f t="shared" si="15"/>
        <v>0</v>
      </c>
      <c r="F48" s="1">
        <f t="shared" si="16"/>
        <v>1</v>
      </c>
      <c r="G48" s="1">
        <f t="shared" si="17"/>
        <v>0</v>
      </c>
      <c r="H48" s="17">
        <f t="shared" si="18"/>
        <v>1</v>
      </c>
      <c r="I48" s="1" t="str">
        <f t="shared" si="19"/>
        <v>Zurich</v>
      </c>
      <c r="J48" s="27" t="str">
        <f t="shared" si="20"/>
        <v>Zurich</v>
      </c>
      <c r="K48" s="30">
        <f t="shared" si="21"/>
        <v>0</v>
      </c>
      <c r="L48" s="31">
        <v>1</v>
      </c>
      <c r="M48" s="32"/>
      <c r="N48" s="24"/>
      <c r="P48" s="24">
        <f t="shared" si="31"/>
        <v>1</v>
      </c>
      <c r="Q48" s="24"/>
      <c r="S48" s="39"/>
      <c r="T48" s="32"/>
      <c r="U48" s="24">
        <v>0</v>
      </c>
      <c r="V48" s="1">
        <v>1</v>
      </c>
      <c r="W48" s="33">
        <v>0</v>
      </c>
      <c r="X48" s="33">
        <v>1</v>
      </c>
      <c r="Y48" s="33">
        <v>0</v>
      </c>
      <c r="Z48" s="33">
        <v>0</v>
      </c>
      <c r="AA48" s="33">
        <v>0</v>
      </c>
      <c r="AB48" s="44">
        <v>1</v>
      </c>
      <c r="AC48" s="45">
        <v>0</v>
      </c>
      <c r="AD48" s="45">
        <v>0</v>
      </c>
      <c r="AE48" s="49">
        <v>0</v>
      </c>
      <c r="AF48" s="43">
        <v>1</v>
      </c>
      <c r="AG48" s="43">
        <v>0</v>
      </c>
      <c r="AH48" s="43">
        <v>0</v>
      </c>
      <c r="AI48" s="43">
        <v>0</v>
      </c>
      <c r="AK48">
        <f t="shared" si="22"/>
        <v>1</v>
      </c>
      <c r="AL48" s="1">
        <f t="shared" si="23"/>
        <v>2</v>
      </c>
      <c r="AM48" s="47"/>
      <c r="AN48"/>
      <c r="AO48"/>
      <c r="AP48" s="1">
        <f t="shared" si="24"/>
        <v>1</v>
      </c>
      <c r="AQ48" s="1">
        <f t="shared" si="25"/>
        <v>1</v>
      </c>
      <c r="AR48" s="1">
        <f t="shared" si="26"/>
        <v>1</v>
      </c>
      <c r="AS48" s="1">
        <f t="shared" si="27"/>
        <v>1</v>
      </c>
      <c r="AT48" s="1">
        <f t="shared" si="28"/>
        <v>1</v>
      </c>
      <c r="AV48" s="1">
        <v>1</v>
      </c>
      <c r="AW48" s="1">
        <f t="shared" si="68"/>
        <v>1</v>
      </c>
      <c r="AX48" s="1">
        <f t="shared" si="68"/>
        <v>0</v>
      </c>
      <c r="AY48" s="1">
        <f t="shared" si="68"/>
        <v>0</v>
      </c>
      <c r="AZ48" s="1">
        <f t="shared" si="68"/>
        <v>0</v>
      </c>
      <c r="BA48" s="1">
        <f t="shared" si="69"/>
        <v>0</v>
      </c>
      <c r="BB48" s="1">
        <f t="shared" si="69"/>
        <v>1</v>
      </c>
      <c r="BC48" s="1">
        <f t="shared" si="69"/>
        <v>0</v>
      </c>
      <c r="BD48" s="1">
        <f t="shared" si="69"/>
        <v>0</v>
      </c>
      <c r="BE48" s="1">
        <f t="shared" si="69"/>
        <v>0</v>
      </c>
      <c r="BF48" s="1">
        <f t="shared" si="29"/>
        <v>1</v>
      </c>
      <c r="BG48" s="1">
        <f t="shared" si="30"/>
        <v>0</v>
      </c>
      <c r="BH48" s="1">
        <f t="shared" si="66"/>
        <v>0</v>
      </c>
      <c r="BI48" s="1">
        <f t="shared" si="67"/>
        <v>0</v>
      </c>
      <c r="BK48" s="1">
        <v>1</v>
      </c>
      <c r="BL48" s="1">
        <f t="shared" si="9"/>
        <v>1</v>
      </c>
      <c r="BM48" s="1">
        <f t="shared" si="10"/>
        <v>0</v>
      </c>
      <c r="BN48" s="1">
        <f t="shared" si="11"/>
        <v>0</v>
      </c>
      <c r="BO48" s="1">
        <f t="shared" si="12"/>
        <v>0</v>
      </c>
    </row>
    <row r="49" customFormat="1" ht="15" spans="32:67">
      <c r="AF49" s="43"/>
      <c r="AG49" s="43"/>
      <c r="AH49" s="43"/>
      <c r="AI49" s="43"/>
      <c r="AR49" s="1"/>
      <c r="AS49" s="1"/>
      <c r="BK49" s="1"/>
      <c r="BL49" s="1"/>
      <c r="BM49" s="1"/>
      <c r="BN49" s="1"/>
      <c r="BO49" s="1"/>
    </row>
    <row r="50" customFormat="1" ht="15" spans="32:67">
      <c r="AF50" s="43"/>
      <c r="AG50" s="43"/>
      <c r="AH50" s="43"/>
      <c r="AI50" s="43"/>
      <c r="AR50" s="1"/>
      <c r="AS50" s="1"/>
      <c r="BK50" s="1"/>
      <c r="BL50" s="1"/>
      <c r="BM50" s="1"/>
      <c r="BN50" s="1"/>
      <c r="BO50" s="1"/>
    </row>
    <row r="51" customFormat="1" ht="15" spans="32:67">
      <c r="AF51" s="43"/>
      <c r="AG51" s="43"/>
      <c r="AH51" s="43"/>
      <c r="AI51" s="43"/>
      <c r="AR51" s="1"/>
      <c r="AS51" s="1"/>
      <c r="BK51" s="1"/>
      <c r="BL51" s="1"/>
      <c r="BM51" s="1"/>
      <c r="BN51" s="1"/>
      <c r="BO51" s="1"/>
    </row>
    <row r="52" customFormat="1" ht="15" spans="32:67">
      <c r="AF52" s="43"/>
      <c r="AG52" s="43"/>
      <c r="AH52" s="43"/>
      <c r="AI52" s="43"/>
      <c r="AR52" s="1"/>
      <c r="AS52" s="1"/>
      <c r="BK52" s="1"/>
      <c r="BL52" s="1"/>
      <c r="BM52" s="1"/>
      <c r="BN52" s="1"/>
      <c r="BO52" s="1"/>
    </row>
    <row r="53" customFormat="1" ht="15" spans="32:67">
      <c r="AF53" s="43"/>
      <c r="AG53" s="43"/>
      <c r="AH53" s="43"/>
      <c r="AI53" s="43"/>
      <c r="AR53" s="1"/>
      <c r="AS53" s="1"/>
      <c r="BK53" s="1"/>
      <c r="BL53" s="1"/>
      <c r="BM53" s="1"/>
      <c r="BN53" s="1"/>
      <c r="BO53" s="1"/>
    </row>
    <row r="54" customFormat="1" ht="15" spans="32:67">
      <c r="AF54" s="43"/>
      <c r="AG54" s="43"/>
      <c r="AH54" s="43"/>
      <c r="AI54" s="43"/>
      <c r="AR54" s="1"/>
      <c r="AS54" s="1"/>
      <c r="BK54" s="1"/>
      <c r="BL54" s="1"/>
      <c r="BM54" s="1"/>
      <c r="BN54" s="1"/>
      <c r="BO54" s="1"/>
    </row>
    <row r="55" customFormat="1" ht="15" spans="32:67">
      <c r="AF55" s="43"/>
      <c r="AG55" s="43"/>
      <c r="AH55" s="43"/>
      <c r="AI55" s="43"/>
      <c r="AR55" s="1"/>
      <c r="AS55" s="1"/>
      <c r="BK55" s="1"/>
      <c r="BL55" s="1"/>
      <c r="BM55" s="1"/>
      <c r="BN55" s="1"/>
      <c r="BO55" s="1"/>
    </row>
    <row r="56" customFormat="1" ht="15" spans="32:67">
      <c r="AF56" s="43"/>
      <c r="AG56" s="43"/>
      <c r="AH56" s="43"/>
      <c r="AI56" s="43"/>
      <c r="AR56" s="1"/>
      <c r="AS56" s="1"/>
      <c r="BK56" s="1"/>
      <c r="BL56" s="1"/>
      <c r="BM56" s="1"/>
      <c r="BN56" s="1"/>
      <c r="BO56" s="1"/>
    </row>
    <row r="57" customFormat="1" ht="15" spans="32:67">
      <c r="AF57" s="43"/>
      <c r="AG57" s="43"/>
      <c r="AH57" s="43"/>
      <c r="AI57" s="43"/>
      <c r="AR57" s="1"/>
      <c r="AS57" s="1"/>
      <c r="BK57" s="1"/>
      <c r="BL57" s="1"/>
      <c r="BM57" s="1"/>
      <c r="BN57" s="1"/>
      <c r="BO57" s="1"/>
    </row>
    <row r="58" customFormat="1" ht="15" spans="32:67">
      <c r="AF58" s="43"/>
      <c r="AG58" s="43"/>
      <c r="AH58" s="43"/>
      <c r="AI58" s="43"/>
      <c r="AR58" s="1"/>
      <c r="AS58" s="1"/>
      <c r="BK58" s="1"/>
      <c r="BL58" s="1"/>
      <c r="BM58" s="1"/>
      <c r="BN58" s="1"/>
      <c r="BO58" s="1"/>
    </row>
    <row r="59" customFormat="1" ht="15" spans="32:67">
      <c r="AF59" s="43"/>
      <c r="AG59" s="43"/>
      <c r="AH59" s="43"/>
      <c r="AI59" s="43"/>
      <c r="AR59" s="1"/>
      <c r="AS59" s="1"/>
      <c r="BK59" s="1"/>
      <c r="BL59" s="1"/>
      <c r="BM59" s="1"/>
      <c r="BN59" s="1"/>
      <c r="BO59" s="1"/>
    </row>
    <row r="60" customFormat="1" ht="15" spans="32:67">
      <c r="AF60" s="43"/>
      <c r="AG60" s="43"/>
      <c r="AH60" s="43"/>
      <c r="AI60" s="43"/>
      <c r="AR60" s="1"/>
      <c r="AS60" s="1"/>
      <c r="BK60" s="1"/>
      <c r="BL60" s="1"/>
      <c r="BM60" s="1"/>
      <c r="BN60" s="1"/>
      <c r="BO60" s="1"/>
    </row>
    <row r="61" customFormat="1" ht="15" spans="32:67">
      <c r="AF61" s="43"/>
      <c r="AG61" s="43"/>
      <c r="AH61" s="43"/>
      <c r="AI61" s="43"/>
      <c r="AR61" s="1"/>
      <c r="AS61" s="1"/>
      <c r="BK61" s="1"/>
      <c r="BL61" s="1"/>
      <c r="BM61" s="1"/>
      <c r="BN61" s="1"/>
      <c r="BO61" s="1"/>
    </row>
    <row r="62" customFormat="1" ht="15" spans="32:67">
      <c r="AF62" s="43"/>
      <c r="AG62" s="43"/>
      <c r="AH62" s="43"/>
      <c r="AI62" s="43"/>
      <c r="AR62" s="1"/>
      <c r="AS62" s="1"/>
      <c r="BK62" s="1"/>
      <c r="BL62" s="1"/>
      <c r="BM62" s="1"/>
      <c r="BN62" s="1"/>
      <c r="BO62" s="1"/>
    </row>
    <row r="63" customFormat="1" ht="15" spans="32:67">
      <c r="AF63" s="43"/>
      <c r="AG63" s="43"/>
      <c r="AH63" s="43"/>
      <c r="AI63" s="43"/>
      <c r="AN63" s="1"/>
      <c r="AO63" s="1"/>
      <c r="AR63" s="1"/>
      <c r="AS63" s="1"/>
      <c r="BK63" s="1"/>
      <c r="BL63" s="1"/>
      <c r="BM63" s="1"/>
      <c r="BN63" s="1"/>
      <c r="BO63" s="1"/>
    </row>
  </sheetData>
  <conditionalFormatting sqref="S11">
    <cfRule type="expression" dxfId="32" priority="1">
      <formula>$I12="New"</formula>
    </cfRule>
    <cfRule type="expression" dxfId="33" priority="2">
      <formula>$I12="Change classification"</formula>
    </cfRule>
  </conditionalFormatting>
  <conditionalFormatting sqref="S13">
    <cfRule type="expression" dxfId="32" priority="77">
      <formula>$I14="New"</formula>
    </cfRule>
    <cfRule type="expression" dxfId="33" priority="78">
      <formula>$I14="Change classification"</formula>
    </cfRule>
  </conditionalFormatting>
  <conditionalFormatting sqref="S10 S12">
    <cfRule type="expression" dxfId="32" priority="3">
      <formula>$I10="New"</formula>
    </cfRule>
    <cfRule type="expression" dxfId="33" priority="4">
      <formula>$I10="Change classification"</formula>
    </cfRule>
  </conditionalFormatting>
  <pageMargins left="0.551181102362205" right="0.551181102362205" top="0.590551181102362" bottom="0.78740157480315" header="0.511811023622047" footer="0.511811023622047"/>
  <pageSetup paperSize="9" scale="24" orientation="landscape" horizontalDpi="1200" verticalDpi="1200"/>
  <headerFooter alignWithMargins="0">
    <oddHeader>&amp;RSafe Cities Index : 2017</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FFC000"/>
    <pageSetUpPr fitToPage="1"/>
  </sheetPr>
  <dimension ref="A1:BO65"/>
  <sheetViews>
    <sheetView showRowColHeaders="0" zoomScale="90" zoomScaleNormal="90" workbookViewId="0">
      <pane xSplit="3" ySplit="2" topLeftCell="D49" activePane="bottomRight" state="frozen"/>
      <selection/>
      <selection pane="topRight"/>
      <selection pane="bottomLeft"/>
      <selection pane="bottomRight" activeCell="L64" sqref="L64"/>
    </sheetView>
  </sheetViews>
  <sheetFormatPr defaultColWidth="9" defaultRowHeight="11.25"/>
  <cols>
    <col min="1" max="2" width="9.14285714285714" style="1"/>
    <col min="3" max="3" width="17.2857142857143" style="1" customWidth="1"/>
    <col min="4" max="4" width="8.57142857142857" style="1" customWidth="1"/>
    <col min="5" max="5" width="12.7142857142857" style="1" customWidth="1"/>
    <col min="6" max="6" width="5.85714285714286" style="1" customWidth="1"/>
    <col min="7" max="7" width="11" style="1" customWidth="1"/>
    <col min="8" max="8" width="2.57142857142857" style="17" customWidth="1"/>
    <col min="9" max="9" width="11.7142857142857" style="1" customWidth="1"/>
    <col min="10" max="10" width="13.5714285714286" style="18" customWidth="1"/>
    <col min="11" max="11" width="12.8571428571429" style="1" customWidth="1"/>
    <col min="12" max="12" width="2.57142857142857" style="1" customWidth="1"/>
    <col min="13" max="13" width="2.57142857142857" style="19" customWidth="1"/>
    <col min="14" max="14" width="18.8571428571429" style="1" customWidth="1"/>
    <col min="15" max="18" width="2.57142857142857" style="1" customWidth="1"/>
    <col min="19" max="19" width="20.8571428571429" style="1" customWidth="1"/>
    <col min="20" max="20" width="2.57142857142857" style="1" customWidth="1"/>
    <col min="21" max="21" width="9.14285714285714" style="1"/>
    <col min="22" max="22" width="15.2857142857143" style="1" customWidth="1"/>
    <col min="23" max="23" width="19.5714285714286" style="1" customWidth="1"/>
    <col min="24" max="28" width="6.28571428571429" style="1" customWidth="1"/>
    <col min="29" max="30" width="6.28571428571429" style="20" customWidth="1"/>
    <col min="31" max="32" width="6.28571428571429" style="1" customWidth="1"/>
    <col min="33" max="35" width="6.28571428571429" style="20" customWidth="1"/>
    <col min="36" max="40" width="9.14285714285714" style="1"/>
    <col min="41" max="41" width="16.4285714285714" style="1" customWidth="1"/>
    <col min="42" max="16384" width="9.14285714285714" style="1"/>
  </cols>
  <sheetData>
    <row r="1" spans="1:67">
      <c r="A1" s="21" t="s">
        <v>373</v>
      </c>
      <c r="B1" s="21"/>
      <c r="C1" s="21" t="s">
        <v>15</v>
      </c>
      <c r="D1" s="22" t="s">
        <v>953</v>
      </c>
      <c r="E1" s="1" t="s">
        <v>954</v>
      </c>
      <c r="F1" s="1" t="s">
        <v>338</v>
      </c>
      <c r="G1" s="21" t="s">
        <v>955</v>
      </c>
      <c r="I1" s="1" t="s">
        <v>956</v>
      </c>
      <c r="K1" s="24"/>
      <c r="L1" s="25" t="s">
        <v>948</v>
      </c>
      <c r="M1" s="26" t="s">
        <v>957</v>
      </c>
      <c r="N1" s="24"/>
      <c r="P1" s="1" t="s">
        <v>958</v>
      </c>
      <c r="U1" s="1">
        <v>1</v>
      </c>
      <c r="V1" s="1">
        <v>2</v>
      </c>
      <c r="W1" s="1">
        <v>3</v>
      </c>
      <c r="X1" s="1">
        <v>4</v>
      </c>
      <c r="Y1" s="1">
        <v>5</v>
      </c>
      <c r="Z1" s="1">
        <v>6</v>
      </c>
      <c r="AA1" s="1">
        <v>7</v>
      </c>
      <c r="AB1" s="1">
        <v>1</v>
      </c>
      <c r="AC1" s="20">
        <v>2</v>
      </c>
      <c r="AD1" s="20">
        <v>3</v>
      </c>
      <c r="AE1" s="1">
        <v>4</v>
      </c>
      <c r="AF1" s="1">
        <v>5</v>
      </c>
      <c r="AG1" s="20">
        <v>6</v>
      </c>
      <c r="AH1" s="20">
        <v>7</v>
      </c>
      <c r="AI1" s="20">
        <v>8</v>
      </c>
      <c r="AK1" s="1" t="s">
        <v>989</v>
      </c>
      <c r="AL1" s="1" t="s">
        <v>990</v>
      </c>
      <c r="AP1" s="1" t="s">
        <v>349</v>
      </c>
      <c r="AQ1" s="1" t="s">
        <v>978</v>
      </c>
      <c r="AR1" s="1" t="s">
        <v>979</v>
      </c>
      <c r="AS1" s="1" t="s">
        <v>980</v>
      </c>
      <c r="AT1" s="1" t="s">
        <v>981</v>
      </c>
      <c r="AV1" s="1" t="s">
        <v>982</v>
      </c>
      <c r="AW1" s="1" t="str">
        <f>AB2</f>
        <v>High Income</v>
      </c>
      <c r="AX1" s="1" t="str">
        <f>AC2</f>
        <v>Upper Middle Income</v>
      </c>
      <c r="AY1" s="1" t="str">
        <f>AD2</f>
        <v>Lower Middle Income</v>
      </c>
      <c r="AZ1" s="1" t="str">
        <f>AE2</f>
        <v>Low Income</v>
      </c>
      <c r="BA1" s="1" t="str">
        <f>W2</f>
        <v>Asia Pacific</v>
      </c>
      <c r="BB1" s="1" t="str">
        <f>X2</f>
        <v>Europe</v>
      </c>
      <c r="BC1" s="1" t="str">
        <f>Y2</f>
        <v>Latin America</v>
      </c>
      <c r="BD1" s="1" t="str">
        <f>Z2</f>
        <v>Middle East and Africa</v>
      </c>
      <c r="BE1" s="1" t="str">
        <f>AA2</f>
        <v>North America</v>
      </c>
      <c r="BF1" s="1" t="str">
        <f>BL1</f>
        <v>Pop1</v>
      </c>
      <c r="BG1" s="1" t="str">
        <f>BM1</f>
        <v>pop2</v>
      </c>
      <c r="BH1" s="1" t="str">
        <f t="shared" ref="BH1:BI1" si="0">BO1</f>
        <v>Pop3</v>
      </c>
      <c r="BI1" s="1">
        <f t="shared" si="0"/>
        <v>0</v>
      </c>
      <c r="BK1" s="1" t="s">
        <v>983</v>
      </c>
      <c r="BL1" s="1" t="str">
        <f>AF2</f>
        <v>Pop1</v>
      </c>
      <c r="BM1" s="1" t="str">
        <f>AG2</f>
        <v>pop2</v>
      </c>
      <c r="BN1" s="1" t="str">
        <f t="shared" ref="BN1:BO1" si="1">AH2</f>
        <v>jjj</v>
      </c>
      <c r="BO1" s="1" t="str">
        <f t="shared" si="1"/>
        <v>Pop3</v>
      </c>
    </row>
    <row r="2" ht="13.5" spans="1:44">
      <c r="A2" s="1">
        <v>0</v>
      </c>
      <c r="C2" s="1" t="s">
        <v>46</v>
      </c>
      <c r="D2" s="23">
        <f>uxb_works!$B$8</f>
        <v>1</v>
      </c>
      <c r="E2" s="23">
        <f>uxb_works!$B$8</f>
        <v>1</v>
      </c>
      <c r="F2" s="23">
        <f>uxb_works!$B$7</f>
        <v>0</v>
      </c>
      <c r="G2" s="1">
        <f>uxb_works!$B$14</f>
        <v>1</v>
      </c>
      <c r="H2" s="17">
        <f t="shared" ref="H2:H8" si="2">L2</f>
        <v>1</v>
      </c>
      <c r="I2" s="1" t="str">
        <f>C2</f>
        <v>&lt;none&gt;</v>
      </c>
      <c r="J2" s="27" t="str">
        <f t="shared" ref="J2:J8" si="3">C2</f>
        <v>&lt;none&gt;</v>
      </c>
      <c r="K2" s="28">
        <v>0</v>
      </c>
      <c r="L2" s="28">
        <v>1</v>
      </c>
      <c r="M2" s="29"/>
      <c r="N2" s="24"/>
      <c r="O2" s="23"/>
      <c r="S2" s="1" t="s">
        <v>959</v>
      </c>
      <c r="U2" s="1" t="str">
        <f t="shared" ref="U2:AA2" si="4">INDEX(luRegionsPlusNone,U1)</f>
        <v>&lt;none&gt;</v>
      </c>
      <c r="V2" s="1" t="str">
        <f t="shared" si="4"/>
        <v>All Regions/Groups</v>
      </c>
      <c r="W2" s="1" t="str">
        <f t="shared" si="4"/>
        <v>Asia Pacific</v>
      </c>
      <c r="X2" s="1" t="str">
        <f t="shared" si="4"/>
        <v>Europe</v>
      </c>
      <c r="Y2" s="1" t="str">
        <f t="shared" si="4"/>
        <v>Latin America</v>
      </c>
      <c r="Z2" s="1" t="str">
        <f t="shared" si="4"/>
        <v>Middle East and Africa</v>
      </c>
      <c r="AA2" s="1" t="str">
        <f t="shared" si="4"/>
        <v>North America</v>
      </c>
      <c r="AB2" s="1" t="str">
        <f>INDEX($S$10:$S$13,AB1)</f>
        <v>High Income</v>
      </c>
      <c r="AC2" s="1" t="str">
        <f>INDEX($S$10:$S$13,AC1)</f>
        <v>Upper Middle Income</v>
      </c>
      <c r="AD2" s="1" t="str">
        <f>INDEX($S$10:$S$13,AD1)</f>
        <v>Lower Middle Income</v>
      </c>
      <c r="AE2" s="1" t="str">
        <f>INDEX($S$10:$S$17,AE1)</f>
        <v>Low Income</v>
      </c>
      <c r="AF2" s="1" t="str">
        <f>INDEX($S$10:$S$17,AF1)</f>
        <v>Pop1</v>
      </c>
      <c r="AG2" s="1" t="str">
        <f>INDEX($S$10:$S$17,AG1)</f>
        <v>pop2</v>
      </c>
      <c r="AH2" s="1" t="str">
        <f t="shared" ref="AH2:AI2" si="5">INDEX($S$10:$S$17,AH1)</f>
        <v>jjj</v>
      </c>
      <c r="AI2" s="1" t="str">
        <f t="shared" si="5"/>
        <v>Pop3</v>
      </c>
      <c r="AP2" s="1">
        <f>uxb_works!$B$12</f>
        <v>1</v>
      </c>
      <c r="AQ2" s="1">
        <f>uxb_works!$B$10</f>
        <v>1</v>
      </c>
      <c r="AR2" s="1">
        <f>uxb_works!$B$15</f>
        <v>1</v>
      </c>
    </row>
    <row r="3" ht="15" spans="1:67">
      <c r="A3" s="1">
        <f>A2+1</f>
        <v>1</v>
      </c>
      <c r="C3" t="s">
        <v>70</v>
      </c>
      <c r="D3" s="1">
        <f>AS3</f>
        <v>1</v>
      </c>
      <c r="E3" s="1">
        <f>IF($E$2=1,0,INDEX(AV3:BL3,$E$2))</f>
        <v>0</v>
      </c>
      <c r="F3" s="1">
        <f>IF(D3=0,0,IF(A3=$F$2,3,IF(D3=0,0,IF(E3=1,2,1))))</f>
        <v>1</v>
      </c>
      <c r="G3" s="1">
        <f t="shared" ref="G3:G8" si="6">IF($G$2=1,0,INDEX(V3:AA3,$G$2))</f>
        <v>0</v>
      </c>
      <c r="H3" s="17">
        <f t="shared" si="2"/>
        <v>1</v>
      </c>
      <c r="I3" s="1" t="str">
        <f t="shared" ref="I3:I8" si="7">SUBSTITUTE(C3," ","")</f>
        <v>AbuDhabi</v>
      </c>
      <c r="J3" s="27" t="str">
        <f t="shared" si="3"/>
        <v>Abu Dhabi</v>
      </c>
      <c r="K3" s="30">
        <f>IF(D3=0,0,IF(A3=$O$3,3,IF(INDEX($U3:$AI3,$O$5)=0,0,IF(INDEX($U3:$AI3,$O$4)=1,2,1))))</f>
        <v>0</v>
      </c>
      <c r="L3" s="31">
        <v>1</v>
      </c>
      <c r="M3" s="32"/>
      <c r="N3" s="24" t="s">
        <v>47</v>
      </c>
      <c r="O3" s="23">
        <f>uxb_works!B7</f>
        <v>0</v>
      </c>
      <c r="P3" s="1">
        <f t="shared" ref="P3:P8" si="8">MATCH(1,X3:AI3,0)</f>
        <v>3</v>
      </c>
      <c r="R3" s="1">
        <v>1</v>
      </c>
      <c r="S3" s="1" t="s">
        <v>46</v>
      </c>
      <c r="U3" s="1">
        <v>0</v>
      </c>
      <c r="V3" s="1">
        <v>1</v>
      </c>
      <c r="W3" s="33">
        <v>0</v>
      </c>
      <c r="X3" s="33">
        <v>0</v>
      </c>
      <c r="Y3" s="33">
        <v>0</v>
      </c>
      <c r="Z3" s="33">
        <v>1</v>
      </c>
      <c r="AA3" s="33">
        <v>0</v>
      </c>
      <c r="AB3" s="40">
        <v>1</v>
      </c>
      <c r="AC3" s="41">
        <v>0</v>
      </c>
      <c r="AD3" s="41">
        <v>0</v>
      </c>
      <c r="AE3" s="42">
        <v>0</v>
      </c>
      <c r="AF3" s="43">
        <v>1</v>
      </c>
      <c r="AG3" s="43">
        <v>0</v>
      </c>
      <c r="AH3" s="43">
        <v>0</v>
      </c>
      <c r="AI3" s="43">
        <v>0</v>
      </c>
      <c r="AK3">
        <f>MATCH(1,AB3:AE3,0)</f>
        <v>1</v>
      </c>
      <c r="AL3" s="1">
        <f>MATCH(1,W3:AA3,0)</f>
        <v>4</v>
      </c>
      <c r="AM3" s="1" t="s">
        <v>960</v>
      </c>
      <c r="AN3" s="1" t="s">
        <v>960</v>
      </c>
      <c r="AO3" s="1" t="s">
        <v>46</v>
      </c>
      <c r="AP3" s="1">
        <f>INDEX(V3:AA3,$AP$2)</f>
        <v>1</v>
      </c>
      <c r="AQ3" s="1">
        <f>INDEX(AV3:AZ3,$AQ$2)</f>
        <v>1</v>
      </c>
      <c r="AR3" s="1">
        <f>INDEX(BK3:BP3,$AR$2)</f>
        <v>1</v>
      </c>
      <c r="AS3" s="1">
        <f>IF(AND(AP3=1,AQ3=1,AR3=1),1,0)</f>
        <v>1</v>
      </c>
      <c r="AT3" s="1">
        <f>IF(AND($AP$2=1,$AQ$2&lt;&gt;1),AQ3,IF(AND($AP$2&lt;&gt;1,$AQ$2=1),AP3,IF(AND($AP$2&lt;&gt;1,$AQ$2&lt;&gt;1),AS3,1)))</f>
        <v>1</v>
      </c>
      <c r="AV3" s="1">
        <v>1</v>
      </c>
      <c r="AW3" s="1">
        <f t="shared" ref="AW3:AW35" si="9">AB3</f>
        <v>1</v>
      </c>
      <c r="AX3" s="1">
        <f t="shared" ref="AX3:AX35" si="10">AC3</f>
        <v>0</v>
      </c>
      <c r="AY3" s="1">
        <f t="shared" ref="AY3:AY35" si="11">AD3</f>
        <v>0</v>
      </c>
      <c r="AZ3" s="1">
        <f t="shared" ref="AZ3:AZ35" si="12">AE3</f>
        <v>0</v>
      </c>
      <c r="BA3" s="1">
        <f t="shared" ref="BA3:BA35" si="13">W3</f>
        <v>0</v>
      </c>
      <c r="BB3" s="1">
        <f t="shared" ref="BB3:BB35" si="14">X3</f>
        <v>0</v>
      </c>
      <c r="BC3" s="1">
        <f t="shared" ref="BC3:BC35" si="15">Y3</f>
        <v>0</v>
      </c>
      <c r="BD3" s="1">
        <f t="shared" ref="BD3:BD35" si="16">Z3</f>
        <v>1</v>
      </c>
      <c r="BE3" s="1">
        <f t="shared" ref="BE3:BE35" si="17">AA3</f>
        <v>0</v>
      </c>
      <c r="BF3" s="1">
        <f>BL3</f>
        <v>1</v>
      </c>
      <c r="BG3" s="1">
        <f>BM3</f>
        <v>0</v>
      </c>
      <c r="BH3" s="1">
        <f t="shared" ref="BH3:BI18" si="18">BO3</f>
        <v>0</v>
      </c>
      <c r="BI3" s="1">
        <f t="shared" si="18"/>
        <v>0</v>
      </c>
      <c r="BK3" s="1">
        <v>1</v>
      </c>
      <c r="BL3" s="1">
        <f>AF3</f>
        <v>1</v>
      </c>
      <c r="BM3" s="1">
        <f>AG3</f>
        <v>0</v>
      </c>
      <c r="BN3" s="1">
        <f t="shared" ref="BN3:BO18" si="19">AH3</f>
        <v>0</v>
      </c>
      <c r="BO3" s="1">
        <f t="shared" si="19"/>
        <v>0</v>
      </c>
    </row>
    <row r="4" ht="15" spans="1:67">
      <c r="A4" s="1">
        <f t="shared" ref="A4:A63" si="20">A3+1</f>
        <v>2</v>
      </c>
      <c r="C4" t="s">
        <v>779</v>
      </c>
      <c r="D4" s="1">
        <f t="shared" ref="D4:D61" si="21">AS4</f>
        <v>1</v>
      </c>
      <c r="E4" s="1">
        <f t="shared" ref="E4:E8" si="22">IF($E$2=1,0,INDEX(AV4:BL4,$E$2))</f>
        <v>0</v>
      </c>
      <c r="F4" s="1">
        <f t="shared" ref="F4:F63" si="23">IF(D4=0,0,IF(A4=$F$2,3,IF(D4=0,0,IF(E4=1,2,1))))</f>
        <v>1</v>
      </c>
      <c r="G4" s="1">
        <f t="shared" si="6"/>
        <v>0</v>
      </c>
      <c r="H4" s="17">
        <f t="shared" si="2"/>
        <v>1</v>
      </c>
      <c r="I4" s="1" t="str">
        <f t="shared" si="7"/>
        <v>Amsterdam</v>
      </c>
      <c r="J4" s="27" t="str">
        <f t="shared" si="3"/>
        <v>Amsterdam</v>
      </c>
      <c r="K4" s="30">
        <f t="shared" ref="K4:K63" si="24">IF(D4=0,0,IF(A4=$O$3,3,IF(INDEX($U4:$AI4,$O$5)=0,0,IF(INDEX($U4:$AI4,$O$4)=1,2,1))))</f>
        <v>0</v>
      </c>
      <c r="L4" s="31">
        <v>1</v>
      </c>
      <c r="M4" s="32"/>
      <c r="N4" s="24" t="s">
        <v>952</v>
      </c>
      <c r="O4" s="23">
        <f>IF(uxb_works!B9=2,1,uxb_works!B9)</f>
        <v>1</v>
      </c>
      <c r="P4" s="24">
        <f t="shared" si="8"/>
        <v>1</v>
      </c>
      <c r="Q4" s="24"/>
      <c r="S4" s="34" t="s">
        <v>962</v>
      </c>
      <c r="T4" s="24"/>
      <c r="U4" s="24">
        <v>0</v>
      </c>
      <c r="V4" s="1">
        <v>1</v>
      </c>
      <c r="W4" s="33">
        <v>0</v>
      </c>
      <c r="X4" s="33">
        <v>1</v>
      </c>
      <c r="Y4" s="33">
        <v>0</v>
      </c>
      <c r="Z4" s="33">
        <v>0</v>
      </c>
      <c r="AA4" s="33">
        <v>0</v>
      </c>
      <c r="AB4" s="44">
        <v>0</v>
      </c>
      <c r="AC4" s="45">
        <v>1</v>
      </c>
      <c r="AD4" s="45">
        <v>0</v>
      </c>
      <c r="AE4" s="46">
        <v>0</v>
      </c>
      <c r="AF4" s="43">
        <v>1</v>
      </c>
      <c r="AG4" s="43">
        <v>0</v>
      </c>
      <c r="AH4" s="43">
        <v>0</v>
      </c>
      <c r="AI4" s="43">
        <v>0</v>
      </c>
      <c r="AK4">
        <f t="shared" ref="AK4:AK63" si="25">MATCH(1,AB4:AE4,0)</f>
        <v>2</v>
      </c>
      <c r="AL4" s="1">
        <f t="shared" ref="AL4:AL35" si="26">MATCH(1,W4:AA4,0)</f>
        <v>2</v>
      </c>
      <c r="AM4" s="47" t="str">
        <f>S5</f>
        <v>Asia Pacific</v>
      </c>
      <c r="AN4" s="1" t="str">
        <f>S10</f>
        <v>High Income</v>
      </c>
      <c r="AO4" s="1" t="str">
        <f t="shared" ref="AO4:AO12" si="27">AN4</f>
        <v>High Income</v>
      </c>
      <c r="AP4" s="1">
        <f t="shared" ref="AP4:AP35" si="28">INDEX(V4:AA4,$AP$2)</f>
        <v>1</v>
      </c>
      <c r="AQ4" s="1">
        <f t="shared" ref="AQ4:AQ61" si="29">INDEX(AV4:AZ4,$AQ$2)</f>
        <v>1</v>
      </c>
      <c r="AR4" s="1">
        <f t="shared" ref="AR4:AR61" si="30">INDEX(BK4:BP4,$AR$2)</f>
        <v>1</v>
      </c>
      <c r="AS4" s="1">
        <f t="shared" ref="AS4:AS61" si="31">IF(AND(AP4=1,AQ4=1,AR4=1),1,0)</f>
        <v>1</v>
      </c>
      <c r="AT4" s="1">
        <f t="shared" ref="AT4:AT35" si="32">IF(AND($AP$2=1,$AQ$2&lt;&gt;1),AQ4,IF(AND($AP$2&lt;&gt;1,$AQ$2=1),AP4,IF(AND($AP$2&lt;&gt;1,$AQ$2&lt;&gt;1),AS4,1)))</f>
        <v>1</v>
      </c>
      <c r="AV4" s="1">
        <v>1</v>
      </c>
      <c r="AW4" s="1">
        <f t="shared" si="9"/>
        <v>0</v>
      </c>
      <c r="AX4" s="1">
        <f t="shared" si="10"/>
        <v>1</v>
      </c>
      <c r="AY4" s="1">
        <f t="shared" si="11"/>
        <v>0</v>
      </c>
      <c r="AZ4" s="1">
        <f t="shared" si="12"/>
        <v>0</v>
      </c>
      <c r="BA4" s="1">
        <f t="shared" si="13"/>
        <v>0</v>
      </c>
      <c r="BB4" s="1">
        <f t="shared" si="14"/>
        <v>1</v>
      </c>
      <c r="BC4" s="1">
        <f t="shared" si="15"/>
        <v>0</v>
      </c>
      <c r="BD4" s="1">
        <f t="shared" si="16"/>
        <v>0</v>
      </c>
      <c r="BE4" s="1">
        <f t="shared" si="17"/>
        <v>0</v>
      </c>
      <c r="BF4" s="1">
        <f t="shared" ref="BF4:BF61" si="33">BL4</f>
        <v>1</v>
      </c>
      <c r="BG4" s="1">
        <f t="shared" ref="BG4:BG61" si="34">BM4</f>
        <v>0</v>
      </c>
      <c r="BH4" s="1">
        <f t="shared" si="18"/>
        <v>0</v>
      </c>
      <c r="BI4" s="1">
        <f t="shared" si="18"/>
        <v>0</v>
      </c>
      <c r="BK4" s="1">
        <v>1</v>
      </c>
      <c r="BL4" s="1">
        <f t="shared" ref="BL4:BL61" si="35">AF4</f>
        <v>1</v>
      </c>
      <c r="BM4" s="1">
        <f t="shared" ref="BM4:BM61" si="36">AG4</f>
        <v>0</v>
      </c>
      <c r="BN4" s="1">
        <f t="shared" si="19"/>
        <v>0</v>
      </c>
      <c r="BO4" s="1">
        <f t="shared" si="19"/>
        <v>0</v>
      </c>
    </row>
    <row r="5" ht="15" spans="1:67">
      <c r="A5" s="1">
        <f t="shared" si="20"/>
        <v>3</v>
      </c>
      <c r="C5" t="s">
        <v>991</v>
      </c>
      <c r="D5" s="1">
        <f t="shared" si="21"/>
        <v>1</v>
      </c>
      <c r="E5" s="1">
        <f t="shared" si="22"/>
        <v>0</v>
      </c>
      <c r="F5" s="1">
        <f t="shared" si="23"/>
        <v>1</v>
      </c>
      <c r="G5" s="1">
        <f t="shared" si="6"/>
        <v>0</v>
      </c>
      <c r="H5" s="17">
        <f t="shared" si="2"/>
        <v>1</v>
      </c>
      <c r="I5" s="1" t="str">
        <f t="shared" si="7"/>
        <v>Athens</v>
      </c>
      <c r="J5" s="27" t="str">
        <f t="shared" si="3"/>
        <v>Athens</v>
      </c>
      <c r="K5" s="30">
        <f t="shared" si="24"/>
        <v>0</v>
      </c>
      <c r="L5" s="31">
        <v>1</v>
      </c>
      <c r="M5" s="32"/>
      <c r="N5" s="24" t="s">
        <v>984</v>
      </c>
      <c r="O5" s="23">
        <f>uxb_works!B10</f>
        <v>1</v>
      </c>
      <c r="P5" s="24">
        <f t="shared" si="8"/>
        <v>1</v>
      </c>
      <c r="Q5" s="24"/>
      <c r="R5" s="24">
        <v>2</v>
      </c>
      <c r="S5" s="35" t="s">
        <v>963</v>
      </c>
      <c r="T5" s="32"/>
      <c r="U5" s="24">
        <v>0</v>
      </c>
      <c r="V5" s="1">
        <v>1</v>
      </c>
      <c r="W5" s="33">
        <v>0</v>
      </c>
      <c r="X5" s="33">
        <v>1</v>
      </c>
      <c r="Y5" s="33">
        <v>0</v>
      </c>
      <c r="Z5" s="33">
        <v>0</v>
      </c>
      <c r="AA5" s="33">
        <v>0</v>
      </c>
      <c r="AB5" s="44">
        <v>0</v>
      </c>
      <c r="AC5" s="45">
        <v>0</v>
      </c>
      <c r="AD5" s="45">
        <v>1</v>
      </c>
      <c r="AE5" s="46">
        <v>0</v>
      </c>
      <c r="AF5" s="43">
        <v>1</v>
      </c>
      <c r="AG5" s="43">
        <v>0</v>
      </c>
      <c r="AH5" s="43">
        <v>0</v>
      </c>
      <c r="AI5" s="43">
        <v>0</v>
      </c>
      <c r="AK5">
        <f t="shared" si="25"/>
        <v>3</v>
      </c>
      <c r="AL5" s="1">
        <f t="shared" si="26"/>
        <v>2</v>
      </c>
      <c r="AM5" s="47" t="str">
        <f>S6</f>
        <v>Europe</v>
      </c>
      <c r="AN5" s="1" t="str">
        <f>S11</f>
        <v>Upper Middle Income</v>
      </c>
      <c r="AO5" s="1" t="str">
        <f t="shared" si="27"/>
        <v>Upper Middle Income</v>
      </c>
      <c r="AP5" s="1">
        <f t="shared" si="28"/>
        <v>1</v>
      </c>
      <c r="AQ5" s="1">
        <f t="shared" si="29"/>
        <v>1</v>
      </c>
      <c r="AR5" s="1">
        <f t="shared" si="30"/>
        <v>1</v>
      </c>
      <c r="AS5" s="1">
        <f t="shared" si="31"/>
        <v>1</v>
      </c>
      <c r="AT5" s="1">
        <f t="shared" si="32"/>
        <v>1</v>
      </c>
      <c r="AV5" s="1">
        <v>1</v>
      </c>
      <c r="AW5" s="1">
        <f t="shared" si="9"/>
        <v>0</v>
      </c>
      <c r="AX5" s="1">
        <f t="shared" si="10"/>
        <v>0</v>
      </c>
      <c r="AY5" s="1">
        <f t="shared" si="11"/>
        <v>1</v>
      </c>
      <c r="AZ5" s="1">
        <f t="shared" si="12"/>
        <v>0</v>
      </c>
      <c r="BA5" s="1">
        <f t="shared" si="13"/>
        <v>0</v>
      </c>
      <c r="BB5" s="1">
        <f t="shared" si="14"/>
        <v>1</v>
      </c>
      <c r="BC5" s="1">
        <f t="shared" si="15"/>
        <v>0</v>
      </c>
      <c r="BD5" s="1">
        <f t="shared" si="16"/>
        <v>0</v>
      </c>
      <c r="BE5" s="1">
        <f t="shared" si="17"/>
        <v>0</v>
      </c>
      <c r="BF5" s="1">
        <f t="shared" si="33"/>
        <v>1</v>
      </c>
      <c r="BG5" s="1">
        <f t="shared" si="34"/>
        <v>0</v>
      </c>
      <c r="BH5" s="1">
        <f t="shared" si="18"/>
        <v>0</v>
      </c>
      <c r="BI5" s="1">
        <f t="shared" si="18"/>
        <v>0</v>
      </c>
      <c r="BK5" s="1">
        <v>1</v>
      </c>
      <c r="BL5" s="1">
        <f t="shared" si="35"/>
        <v>1</v>
      </c>
      <c r="BM5" s="1">
        <f t="shared" si="36"/>
        <v>0</v>
      </c>
      <c r="BN5" s="1">
        <f t="shared" si="19"/>
        <v>0</v>
      </c>
      <c r="BO5" s="1">
        <f t="shared" si="19"/>
        <v>0</v>
      </c>
    </row>
    <row r="6" ht="15" spans="1:67">
      <c r="A6" s="1">
        <f t="shared" si="20"/>
        <v>4</v>
      </c>
      <c r="C6" t="s">
        <v>780</v>
      </c>
      <c r="D6" s="1">
        <f t="shared" si="21"/>
        <v>1</v>
      </c>
      <c r="E6" s="1">
        <f t="shared" si="22"/>
        <v>0</v>
      </c>
      <c r="F6" s="1">
        <f t="shared" si="23"/>
        <v>1</v>
      </c>
      <c r="G6" s="1">
        <f t="shared" si="6"/>
        <v>0</v>
      </c>
      <c r="H6" s="17">
        <f t="shared" si="2"/>
        <v>1</v>
      </c>
      <c r="I6" s="1" t="str">
        <f t="shared" si="7"/>
        <v>Bangkok</v>
      </c>
      <c r="J6" s="27" t="str">
        <f t="shared" si="3"/>
        <v>Bangkok</v>
      </c>
      <c r="K6" s="30">
        <f t="shared" si="24"/>
        <v>0</v>
      </c>
      <c r="L6" s="31">
        <v>1</v>
      </c>
      <c r="M6" s="32"/>
      <c r="N6" s="24"/>
      <c r="P6" s="24">
        <f t="shared" si="8"/>
        <v>7</v>
      </c>
      <c r="Q6" s="24"/>
      <c r="R6" s="24">
        <v>3</v>
      </c>
      <c r="S6" s="36" t="s">
        <v>964</v>
      </c>
      <c r="T6" s="32"/>
      <c r="U6" s="24">
        <v>0</v>
      </c>
      <c r="V6" s="1">
        <v>1</v>
      </c>
      <c r="W6" s="33">
        <v>1</v>
      </c>
      <c r="X6" s="33">
        <v>0</v>
      </c>
      <c r="Y6" s="33">
        <v>0</v>
      </c>
      <c r="Z6" s="33">
        <v>0</v>
      </c>
      <c r="AA6" s="33">
        <v>0</v>
      </c>
      <c r="AB6" s="44">
        <v>0</v>
      </c>
      <c r="AC6" s="45">
        <v>0</v>
      </c>
      <c r="AD6" s="45">
        <v>1</v>
      </c>
      <c r="AE6" s="46">
        <v>0</v>
      </c>
      <c r="AF6" s="43">
        <v>0</v>
      </c>
      <c r="AG6" s="43">
        <v>0</v>
      </c>
      <c r="AH6" s="43">
        <v>1</v>
      </c>
      <c r="AI6" s="43">
        <v>0</v>
      </c>
      <c r="AK6">
        <f t="shared" si="25"/>
        <v>3</v>
      </c>
      <c r="AL6" s="1">
        <f t="shared" si="26"/>
        <v>1</v>
      </c>
      <c r="AM6" s="47" t="str">
        <f>S7</f>
        <v>Latin America</v>
      </c>
      <c r="AN6" s="1" t="str">
        <f>S12</f>
        <v>Lower Middle Income</v>
      </c>
      <c r="AO6" s="1" t="str">
        <f t="shared" si="27"/>
        <v>Lower Middle Income</v>
      </c>
      <c r="AP6" s="1">
        <f t="shared" si="28"/>
        <v>1</v>
      </c>
      <c r="AQ6" s="1">
        <f t="shared" si="29"/>
        <v>1</v>
      </c>
      <c r="AR6" s="1">
        <f t="shared" si="30"/>
        <v>1</v>
      </c>
      <c r="AS6" s="1">
        <f t="shared" si="31"/>
        <v>1</v>
      </c>
      <c r="AT6" s="1">
        <f t="shared" si="32"/>
        <v>1</v>
      </c>
      <c r="AV6" s="1">
        <v>1</v>
      </c>
      <c r="AW6" s="1">
        <f t="shared" si="9"/>
        <v>0</v>
      </c>
      <c r="AX6" s="1">
        <f t="shared" si="10"/>
        <v>0</v>
      </c>
      <c r="AY6" s="1">
        <f t="shared" si="11"/>
        <v>1</v>
      </c>
      <c r="AZ6" s="1">
        <f t="shared" si="12"/>
        <v>0</v>
      </c>
      <c r="BA6" s="1">
        <f t="shared" si="13"/>
        <v>1</v>
      </c>
      <c r="BB6" s="1">
        <f t="shared" si="14"/>
        <v>0</v>
      </c>
      <c r="BC6" s="1">
        <f t="shared" si="15"/>
        <v>0</v>
      </c>
      <c r="BD6" s="1">
        <f t="shared" si="16"/>
        <v>0</v>
      </c>
      <c r="BE6" s="1">
        <f t="shared" si="17"/>
        <v>0</v>
      </c>
      <c r="BF6" s="1">
        <f t="shared" si="33"/>
        <v>0</v>
      </c>
      <c r="BG6" s="1">
        <f t="shared" si="34"/>
        <v>0</v>
      </c>
      <c r="BH6" s="1">
        <f t="shared" si="18"/>
        <v>0</v>
      </c>
      <c r="BI6" s="1">
        <f t="shared" si="18"/>
        <v>0</v>
      </c>
      <c r="BK6" s="1">
        <v>1</v>
      </c>
      <c r="BL6" s="1">
        <f t="shared" si="35"/>
        <v>0</v>
      </c>
      <c r="BM6" s="1">
        <f t="shared" si="36"/>
        <v>0</v>
      </c>
      <c r="BN6" s="1">
        <f t="shared" si="19"/>
        <v>1</v>
      </c>
      <c r="BO6" s="1">
        <f t="shared" si="19"/>
        <v>0</v>
      </c>
    </row>
    <row r="7" ht="15" spans="1:67">
      <c r="A7" s="1">
        <f t="shared" si="20"/>
        <v>5</v>
      </c>
      <c r="C7" t="s">
        <v>781</v>
      </c>
      <c r="D7" s="1">
        <f t="shared" si="21"/>
        <v>1</v>
      </c>
      <c r="E7" s="1">
        <f t="shared" si="22"/>
        <v>0</v>
      </c>
      <c r="F7" s="1">
        <f t="shared" si="23"/>
        <v>1</v>
      </c>
      <c r="G7" s="1">
        <f t="shared" si="6"/>
        <v>0</v>
      </c>
      <c r="H7" s="17">
        <f t="shared" si="2"/>
        <v>1</v>
      </c>
      <c r="I7" s="1" t="str">
        <f t="shared" si="7"/>
        <v>Barcelona</v>
      </c>
      <c r="J7" s="27" t="str">
        <f t="shared" si="3"/>
        <v>Barcelona</v>
      </c>
      <c r="K7" s="30">
        <f t="shared" si="24"/>
        <v>0</v>
      </c>
      <c r="L7" s="31">
        <v>1</v>
      </c>
      <c r="M7" s="32"/>
      <c r="N7" s="24"/>
      <c r="P7" s="24">
        <f t="shared" si="8"/>
        <v>1</v>
      </c>
      <c r="Q7" s="24"/>
      <c r="R7" s="24">
        <v>4</v>
      </c>
      <c r="S7" s="36" t="s">
        <v>965</v>
      </c>
      <c r="T7" s="32"/>
      <c r="U7" s="24">
        <v>0</v>
      </c>
      <c r="V7" s="1">
        <v>1</v>
      </c>
      <c r="W7" s="33">
        <v>0</v>
      </c>
      <c r="X7" s="33">
        <v>1</v>
      </c>
      <c r="Y7" s="33">
        <v>0</v>
      </c>
      <c r="Z7" s="33">
        <v>0</v>
      </c>
      <c r="AA7" s="33">
        <v>0</v>
      </c>
      <c r="AB7" s="44">
        <v>0</v>
      </c>
      <c r="AC7" s="45">
        <v>1</v>
      </c>
      <c r="AD7" s="45">
        <v>0</v>
      </c>
      <c r="AE7" s="46">
        <v>0</v>
      </c>
      <c r="AF7" s="43">
        <v>0</v>
      </c>
      <c r="AG7" s="43">
        <v>1</v>
      </c>
      <c r="AH7" s="43">
        <v>0</v>
      </c>
      <c r="AI7" s="43">
        <v>0</v>
      </c>
      <c r="AK7">
        <f t="shared" si="25"/>
        <v>2</v>
      </c>
      <c r="AL7" s="1">
        <f t="shared" si="26"/>
        <v>2</v>
      </c>
      <c r="AM7" s="47" t="str">
        <f>S8</f>
        <v>Middle East and Africa</v>
      </c>
      <c r="AN7" s="1" t="str">
        <f>S13</f>
        <v>Low Income</v>
      </c>
      <c r="AO7" s="1" t="str">
        <f t="shared" si="27"/>
        <v>Low Income</v>
      </c>
      <c r="AP7" s="1">
        <f t="shared" si="28"/>
        <v>1</v>
      </c>
      <c r="AQ7" s="1">
        <f t="shared" si="29"/>
        <v>1</v>
      </c>
      <c r="AR7" s="1">
        <f t="shared" si="30"/>
        <v>1</v>
      </c>
      <c r="AS7" s="1">
        <f t="shared" si="31"/>
        <v>1</v>
      </c>
      <c r="AT7" s="1">
        <f t="shared" si="32"/>
        <v>1</v>
      </c>
      <c r="AV7" s="1">
        <v>1</v>
      </c>
      <c r="AW7" s="1">
        <f t="shared" si="9"/>
        <v>0</v>
      </c>
      <c r="AX7" s="1">
        <f t="shared" si="10"/>
        <v>1</v>
      </c>
      <c r="AY7" s="1">
        <f t="shared" si="11"/>
        <v>0</v>
      </c>
      <c r="AZ7" s="1">
        <f t="shared" si="12"/>
        <v>0</v>
      </c>
      <c r="BA7" s="1">
        <f t="shared" si="13"/>
        <v>0</v>
      </c>
      <c r="BB7" s="1">
        <f t="shared" si="14"/>
        <v>1</v>
      </c>
      <c r="BC7" s="1">
        <f t="shared" si="15"/>
        <v>0</v>
      </c>
      <c r="BD7" s="1">
        <f t="shared" si="16"/>
        <v>0</v>
      </c>
      <c r="BE7" s="1">
        <f t="shared" si="17"/>
        <v>0</v>
      </c>
      <c r="BF7" s="1">
        <f t="shared" si="33"/>
        <v>0</v>
      </c>
      <c r="BG7" s="1">
        <f t="shared" si="34"/>
        <v>1</v>
      </c>
      <c r="BH7" s="1">
        <f t="shared" si="18"/>
        <v>0</v>
      </c>
      <c r="BI7" s="1">
        <f t="shared" si="18"/>
        <v>0</v>
      </c>
      <c r="BK7" s="1">
        <v>1</v>
      </c>
      <c r="BL7" s="1">
        <f t="shared" si="35"/>
        <v>0</v>
      </c>
      <c r="BM7" s="1">
        <f t="shared" si="36"/>
        <v>1</v>
      </c>
      <c r="BN7" s="1">
        <f t="shared" si="19"/>
        <v>0</v>
      </c>
      <c r="BO7" s="1">
        <f t="shared" si="19"/>
        <v>0</v>
      </c>
    </row>
    <row r="8" ht="15" spans="1:67">
      <c r="A8" s="1">
        <f t="shared" si="20"/>
        <v>6</v>
      </c>
      <c r="C8" t="s">
        <v>782</v>
      </c>
      <c r="D8" s="1">
        <f t="shared" si="21"/>
        <v>1</v>
      </c>
      <c r="E8" s="1">
        <f t="shared" si="22"/>
        <v>0</v>
      </c>
      <c r="F8" s="1">
        <f t="shared" si="23"/>
        <v>1</v>
      </c>
      <c r="G8" s="1">
        <f t="shared" si="6"/>
        <v>0</v>
      </c>
      <c r="H8" s="17">
        <f t="shared" si="2"/>
        <v>1</v>
      </c>
      <c r="I8" s="1" t="str">
        <f t="shared" si="7"/>
        <v>Beijing</v>
      </c>
      <c r="J8" s="27" t="str">
        <f t="shared" si="3"/>
        <v>Beijing</v>
      </c>
      <c r="K8" s="30">
        <f t="shared" si="24"/>
        <v>0</v>
      </c>
      <c r="L8" s="31">
        <v>1</v>
      </c>
      <c r="M8" s="32"/>
      <c r="N8" s="24"/>
      <c r="P8" s="24">
        <f t="shared" si="8"/>
        <v>7</v>
      </c>
      <c r="Q8" s="24"/>
      <c r="S8" s="35" t="s">
        <v>966</v>
      </c>
      <c r="T8" s="32"/>
      <c r="U8" s="24">
        <v>0</v>
      </c>
      <c r="V8" s="1">
        <v>1</v>
      </c>
      <c r="W8" s="33">
        <v>1</v>
      </c>
      <c r="X8" s="33">
        <v>0</v>
      </c>
      <c r="Y8" s="33">
        <v>0</v>
      </c>
      <c r="Z8" s="33">
        <v>0</v>
      </c>
      <c r="AA8" s="33">
        <v>0</v>
      </c>
      <c r="AB8" s="44">
        <v>0</v>
      </c>
      <c r="AC8" s="45">
        <v>0</v>
      </c>
      <c r="AD8" s="45">
        <v>1</v>
      </c>
      <c r="AE8" s="46">
        <v>0</v>
      </c>
      <c r="AF8" s="43">
        <v>0</v>
      </c>
      <c r="AG8" s="43">
        <v>0</v>
      </c>
      <c r="AH8" s="43">
        <v>0</v>
      </c>
      <c r="AI8" s="43">
        <v>1</v>
      </c>
      <c r="AK8">
        <f t="shared" si="25"/>
        <v>3</v>
      </c>
      <c r="AL8" s="1">
        <f t="shared" si="26"/>
        <v>1</v>
      </c>
      <c r="AM8" s="47" t="str">
        <f>S9</f>
        <v>North America</v>
      </c>
      <c r="AN8" s="1" t="str">
        <f>S5</f>
        <v>Asia Pacific</v>
      </c>
      <c r="AO8" s="1" t="str">
        <f t="shared" si="27"/>
        <v>Asia Pacific</v>
      </c>
      <c r="AP8" s="1">
        <f t="shared" si="28"/>
        <v>1</v>
      </c>
      <c r="AQ8" s="1">
        <f t="shared" si="29"/>
        <v>1</v>
      </c>
      <c r="AR8" s="1">
        <f t="shared" si="30"/>
        <v>1</v>
      </c>
      <c r="AS8" s="1">
        <f t="shared" si="31"/>
        <v>1</v>
      </c>
      <c r="AT8" s="1">
        <f t="shared" si="32"/>
        <v>1</v>
      </c>
      <c r="AV8" s="1">
        <v>1</v>
      </c>
      <c r="AW8" s="1">
        <f t="shared" si="9"/>
        <v>0</v>
      </c>
      <c r="AX8" s="1">
        <f t="shared" si="10"/>
        <v>0</v>
      </c>
      <c r="AY8" s="1">
        <f t="shared" si="11"/>
        <v>1</v>
      </c>
      <c r="AZ8" s="1">
        <f t="shared" si="12"/>
        <v>0</v>
      </c>
      <c r="BA8" s="1">
        <f t="shared" si="13"/>
        <v>1</v>
      </c>
      <c r="BB8" s="1">
        <f t="shared" si="14"/>
        <v>0</v>
      </c>
      <c r="BC8" s="1">
        <f t="shared" si="15"/>
        <v>0</v>
      </c>
      <c r="BD8" s="1">
        <f t="shared" si="16"/>
        <v>0</v>
      </c>
      <c r="BE8" s="1">
        <f t="shared" si="17"/>
        <v>0</v>
      </c>
      <c r="BF8" s="1">
        <f t="shared" si="33"/>
        <v>0</v>
      </c>
      <c r="BG8" s="1">
        <f t="shared" si="34"/>
        <v>0</v>
      </c>
      <c r="BH8" s="1">
        <f t="shared" si="18"/>
        <v>1</v>
      </c>
      <c r="BI8" s="1">
        <f t="shared" si="18"/>
        <v>0</v>
      </c>
      <c r="BK8" s="1">
        <v>1</v>
      </c>
      <c r="BL8" s="1">
        <f t="shared" si="35"/>
        <v>0</v>
      </c>
      <c r="BM8" s="1">
        <f t="shared" si="36"/>
        <v>0</v>
      </c>
      <c r="BN8" s="1">
        <f t="shared" si="19"/>
        <v>0</v>
      </c>
      <c r="BO8" s="1">
        <f t="shared" si="19"/>
        <v>1</v>
      </c>
    </row>
    <row r="9" ht="15" spans="1:67">
      <c r="A9" s="1">
        <f t="shared" si="20"/>
        <v>7</v>
      </c>
      <c r="C9" t="s">
        <v>992</v>
      </c>
      <c r="D9" s="1">
        <f t="shared" si="21"/>
        <v>1</v>
      </c>
      <c r="E9" s="1">
        <f t="shared" ref="E9:E61" si="37">IF($E$2=1,0,INDEX(AV9:BL9,$E$2))</f>
        <v>0</v>
      </c>
      <c r="F9" s="1">
        <f t="shared" si="23"/>
        <v>1</v>
      </c>
      <c r="G9" s="1">
        <f t="shared" ref="G9:G61" si="38">IF($G$2=1,0,INDEX(V9:AA9,$G$2))</f>
        <v>0</v>
      </c>
      <c r="H9" s="17">
        <f t="shared" ref="H9:H61" si="39">L9</f>
        <v>1</v>
      </c>
      <c r="I9" s="1" t="str">
        <f t="shared" ref="I9:I61" si="40">SUBSTITUTE(C9," ","")</f>
        <v>Bogota</v>
      </c>
      <c r="J9" s="27" t="str">
        <f t="shared" ref="J9:J61" si="41">C9</f>
        <v>Bogota</v>
      </c>
      <c r="K9" s="30">
        <f t="shared" si="24"/>
        <v>0</v>
      </c>
      <c r="L9" s="31">
        <v>1</v>
      </c>
      <c r="M9" s="32"/>
      <c r="N9" s="24"/>
      <c r="P9" s="24">
        <f t="shared" ref="P9:P61" si="42">MATCH(1,X9:AI9,0)</f>
        <v>2</v>
      </c>
      <c r="Q9" s="24"/>
      <c r="S9" s="36" t="s">
        <v>967</v>
      </c>
      <c r="T9" s="32"/>
      <c r="U9" s="24">
        <v>0</v>
      </c>
      <c r="V9" s="1">
        <v>1</v>
      </c>
      <c r="W9" s="33">
        <v>0</v>
      </c>
      <c r="X9" s="33">
        <v>0</v>
      </c>
      <c r="Y9" s="33">
        <v>1</v>
      </c>
      <c r="Z9" s="33">
        <v>0</v>
      </c>
      <c r="AA9" s="33">
        <v>0</v>
      </c>
      <c r="AB9" s="44">
        <v>0</v>
      </c>
      <c r="AC9" s="45">
        <v>0</v>
      </c>
      <c r="AD9" s="45">
        <v>1</v>
      </c>
      <c r="AE9" s="46">
        <v>0</v>
      </c>
      <c r="AF9" s="43">
        <v>0</v>
      </c>
      <c r="AG9" s="43">
        <v>1</v>
      </c>
      <c r="AH9" s="43">
        <v>0</v>
      </c>
      <c r="AI9" s="43">
        <v>0</v>
      </c>
      <c r="AK9">
        <f t="shared" si="25"/>
        <v>3</v>
      </c>
      <c r="AL9" s="1">
        <f t="shared" si="26"/>
        <v>3</v>
      </c>
      <c r="AM9" s="47"/>
      <c r="AN9" s="1" t="str">
        <f>S6</f>
        <v>Europe</v>
      </c>
      <c r="AO9" s="1" t="str">
        <f t="shared" si="27"/>
        <v>Europe</v>
      </c>
      <c r="AP9" s="1">
        <f t="shared" si="28"/>
        <v>1</v>
      </c>
      <c r="AQ9" s="1">
        <f t="shared" si="29"/>
        <v>1</v>
      </c>
      <c r="AR9" s="1">
        <f t="shared" si="30"/>
        <v>1</v>
      </c>
      <c r="AS9" s="1">
        <f t="shared" si="31"/>
        <v>1</v>
      </c>
      <c r="AT9" s="1">
        <f t="shared" si="32"/>
        <v>1</v>
      </c>
      <c r="AV9" s="1">
        <v>1</v>
      </c>
      <c r="AW9" s="1">
        <f t="shared" si="9"/>
        <v>0</v>
      </c>
      <c r="AX9" s="1">
        <f t="shared" si="10"/>
        <v>0</v>
      </c>
      <c r="AY9" s="1">
        <f t="shared" si="11"/>
        <v>1</v>
      </c>
      <c r="AZ9" s="1">
        <f t="shared" si="12"/>
        <v>0</v>
      </c>
      <c r="BA9" s="1">
        <f t="shared" si="13"/>
        <v>0</v>
      </c>
      <c r="BB9" s="1">
        <f t="shared" si="14"/>
        <v>0</v>
      </c>
      <c r="BC9" s="1">
        <f t="shared" si="15"/>
        <v>1</v>
      </c>
      <c r="BD9" s="1">
        <f t="shared" si="16"/>
        <v>0</v>
      </c>
      <c r="BE9" s="1">
        <f t="shared" si="17"/>
        <v>0</v>
      </c>
      <c r="BF9" s="1">
        <f t="shared" si="33"/>
        <v>0</v>
      </c>
      <c r="BG9" s="1">
        <f t="shared" si="34"/>
        <v>1</v>
      </c>
      <c r="BH9" s="1">
        <f t="shared" si="18"/>
        <v>0</v>
      </c>
      <c r="BI9" s="1">
        <f t="shared" si="18"/>
        <v>0</v>
      </c>
      <c r="BK9" s="1">
        <v>1</v>
      </c>
      <c r="BL9" s="1">
        <f t="shared" si="35"/>
        <v>0</v>
      </c>
      <c r="BM9" s="1">
        <f t="shared" si="36"/>
        <v>1</v>
      </c>
      <c r="BN9" s="1">
        <f t="shared" si="19"/>
        <v>0</v>
      </c>
      <c r="BO9" s="1">
        <f t="shared" si="19"/>
        <v>0</v>
      </c>
    </row>
    <row r="10" ht="15" spans="1:67">
      <c r="A10" s="1">
        <f t="shared" si="20"/>
        <v>8</v>
      </c>
      <c r="C10" t="s">
        <v>783</v>
      </c>
      <c r="D10" s="1">
        <f t="shared" si="21"/>
        <v>1</v>
      </c>
      <c r="E10" s="1">
        <f t="shared" si="37"/>
        <v>0</v>
      </c>
      <c r="F10" s="1">
        <f t="shared" si="23"/>
        <v>1</v>
      </c>
      <c r="G10" s="1">
        <f t="shared" si="38"/>
        <v>0</v>
      </c>
      <c r="H10" s="17">
        <f t="shared" si="39"/>
        <v>1</v>
      </c>
      <c r="I10" s="1" t="str">
        <f t="shared" si="40"/>
        <v>Brussels</v>
      </c>
      <c r="J10" s="27" t="str">
        <f t="shared" si="41"/>
        <v>Brussels</v>
      </c>
      <c r="K10" s="30">
        <f t="shared" si="24"/>
        <v>0</v>
      </c>
      <c r="L10" s="31">
        <v>1</v>
      </c>
      <c r="M10" s="32"/>
      <c r="N10" s="24"/>
      <c r="P10" s="24">
        <f t="shared" si="42"/>
        <v>1</v>
      </c>
      <c r="Q10" s="24"/>
      <c r="S10" s="37" t="s">
        <v>968</v>
      </c>
      <c r="T10" s="32"/>
      <c r="U10" s="24">
        <v>0</v>
      </c>
      <c r="V10" s="1">
        <v>1</v>
      </c>
      <c r="W10" s="33">
        <v>0</v>
      </c>
      <c r="X10" s="33">
        <v>1</v>
      </c>
      <c r="Y10" s="33">
        <v>0</v>
      </c>
      <c r="Z10" s="33">
        <v>0</v>
      </c>
      <c r="AA10" s="33">
        <v>0</v>
      </c>
      <c r="AB10" s="44">
        <v>0</v>
      </c>
      <c r="AC10" s="45">
        <v>1</v>
      </c>
      <c r="AD10" s="45">
        <v>0</v>
      </c>
      <c r="AE10" s="46">
        <v>0</v>
      </c>
      <c r="AF10" s="43">
        <v>1</v>
      </c>
      <c r="AG10" s="43">
        <v>0</v>
      </c>
      <c r="AH10" s="43">
        <v>0</v>
      </c>
      <c r="AI10" s="43">
        <v>0</v>
      </c>
      <c r="AK10">
        <f t="shared" si="25"/>
        <v>2</v>
      </c>
      <c r="AL10" s="1">
        <f t="shared" si="26"/>
        <v>2</v>
      </c>
      <c r="AM10" s="47"/>
      <c r="AN10" s="1" t="str">
        <f>S7</f>
        <v>Latin America</v>
      </c>
      <c r="AO10" s="1" t="str">
        <f t="shared" si="27"/>
        <v>Latin America</v>
      </c>
      <c r="AP10" s="1">
        <f t="shared" si="28"/>
        <v>1</v>
      </c>
      <c r="AQ10" s="1">
        <f t="shared" si="29"/>
        <v>1</v>
      </c>
      <c r="AR10" s="1">
        <f t="shared" si="30"/>
        <v>1</v>
      </c>
      <c r="AS10" s="1">
        <f t="shared" si="31"/>
        <v>1</v>
      </c>
      <c r="AT10" s="1">
        <f t="shared" si="32"/>
        <v>1</v>
      </c>
      <c r="AV10" s="1">
        <v>1</v>
      </c>
      <c r="AW10" s="1">
        <f t="shared" si="9"/>
        <v>0</v>
      </c>
      <c r="AX10" s="1">
        <f t="shared" si="10"/>
        <v>1</v>
      </c>
      <c r="AY10" s="1">
        <f t="shared" si="11"/>
        <v>0</v>
      </c>
      <c r="AZ10" s="1">
        <f t="shared" si="12"/>
        <v>0</v>
      </c>
      <c r="BA10" s="1">
        <f t="shared" si="13"/>
        <v>0</v>
      </c>
      <c r="BB10" s="1">
        <f t="shared" si="14"/>
        <v>1</v>
      </c>
      <c r="BC10" s="1">
        <f t="shared" si="15"/>
        <v>0</v>
      </c>
      <c r="BD10" s="1">
        <f t="shared" si="16"/>
        <v>0</v>
      </c>
      <c r="BE10" s="1">
        <f t="shared" si="17"/>
        <v>0</v>
      </c>
      <c r="BF10" s="1">
        <f t="shared" si="33"/>
        <v>1</v>
      </c>
      <c r="BG10" s="1">
        <f t="shared" si="34"/>
        <v>0</v>
      </c>
      <c r="BH10" s="1">
        <f t="shared" si="18"/>
        <v>0</v>
      </c>
      <c r="BI10" s="1">
        <f t="shared" si="18"/>
        <v>0</v>
      </c>
      <c r="BK10" s="1">
        <v>1</v>
      </c>
      <c r="BL10" s="1">
        <f t="shared" si="35"/>
        <v>1</v>
      </c>
      <c r="BM10" s="1">
        <f t="shared" si="36"/>
        <v>0</v>
      </c>
      <c r="BN10" s="1">
        <f t="shared" si="19"/>
        <v>0</v>
      </c>
      <c r="BO10" s="1">
        <f t="shared" si="19"/>
        <v>0</v>
      </c>
    </row>
    <row r="11" ht="15" spans="1:67">
      <c r="A11" s="1">
        <f t="shared" si="20"/>
        <v>9</v>
      </c>
      <c r="C11" t="s">
        <v>784</v>
      </c>
      <c r="D11" s="1">
        <f t="shared" si="21"/>
        <v>1</v>
      </c>
      <c r="E11" s="1">
        <f t="shared" si="37"/>
        <v>0</v>
      </c>
      <c r="F11" s="1">
        <f t="shared" si="23"/>
        <v>1</v>
      </c>
      <c r="G11" s="1">
        <f t="shared" si="38"/>
        <v>0</v>
      </c>
      <c r="H11" s="17">
        <f t="shared" si="39"/>
        <v>1</v>
      </c>
      <c r="I11" s="1" t="str">
        <f t="shared" si="40"/>
        <v>BuenosAires</v>
      </c>
      <c r="J11" s="27" t="str">
        <f t="shared" si="41"/>
        <v>Buenos Aires</v>
      </c>
      <c r="K11" s="30">
        <f t="shared" si="24"/>
        <v>0</v>
      </c>
      <c r="L11" s="31">
        <v>1</v>
      </c>
      <c r="M11" s="32"/>
      <c r="N11" s="24"/>
      <c r="P11" s="24">
        <f t="shared" si="42"/>
        <v>2</v>
      </c>
      <c r="Q11" s="24"/>
      <c r="S11" s="37" t="s">
        <v>969</v>
      </c>
      <c r="T11" s="32"/>
      <c r="U11" s="24">
        <v>0</v>
      </c>
      <c r="V11" s="1">
        <v>1</v>
      </c>
      <c r="W11" s="33">
        <v>0</v>
      </c>
      <c r="X11" s="33">
        <v>0</v>
      </c>
      <c r="Y11" s="33">
        <v>1</v>
      </c>
      <c r="Z11" s="33">
        <v>0</v>
      </c>
      <c r="AA11" s="33">
        <v>0</v>
      </c>
      <c r="AB11" s="44">
        <v>0</v>
      </c>
      <c r="AC11" s="45">
        <v>0</v>
      </c>
      <c r="AD11" s="45">
        <v>1</v>
      </c>
      <c r="AE11" s="46">
        <v>0</v>
      </c>
      <c r="AF11" s="43">
        <v>0</v>
      </c>
      <c r="AG11" s="43">
        <v>0</v>
      </c>
      <c r="AH11" s="43">
        <v>0</v>
      </c>
      <c r="AI11" s="43">
        <v>1</v>
      </c>
      <c r="AK11">
        <f t="shared" si="25"/>
        <v>3</v>
      </c>
      <c r="AL11" s="1">
        <f t="shared" si="26"/>
        <v>3</v>
      </c>
      <c r="AM11" s="47"/>
      <c r="AN11" s="1" t="str">
        <f>S8</f>
        <v>Middle East and Africa</v>
      </c>
      <c r="AO11" s="1" t="str">
        <f t="shared" si="27"/>
        <v>Middle East and Africa</v>
      </c>
      <c r="AP11" s="1">
        <f t="shared" si="28"/>
        <v>1</v>
      </c>
      <c r="AQ11" s="1">
        <f t="shared" si="29"/>
        <v>1</v>
      </c>
      <c r="AR11" s="1">
        <f t="shared" si="30"/>
        <v>1</v>
      </c>
      <c r="AS11" s="1">
        <f t="shared" si="31"/>
        <v>1</v>
      </c>
      <c r="AT11" s="1">
        <f t="shared" si="32"/>
        <v>1</v>
      </c>
      <c r="AV11" s="1">
        <v>1</v>
      </c>
      <c r="AW11" s="1">
        <f t="shared" si="9"/>
        <v>0</v>
      </c>
      <c r="AX11" s="1">
        <f t="shared" si="10"/>
        <v>0</v>
      </c>
      <c r="AY11" s="1">
        <f t="shared" si="11"/>
        <v>1</v>
      </c>
      <c r="AZ11" s="1">
        <f t="shared" si="12"/>
        <v>0</v>
      </c>
      <c r="BA11" s="1">
        <f t="shared" si="13"/>
        <v>0</v>
      </c>
      <c r="BB11" s="1">
        <f t="shared" si="14"/>
        <v>0</v>
      </c>
      <c r="BC11" s="1">
        <f t="shared" si="15"/>
        <v>1</v>
      </c>
      <c r="BD11" s="1">
        <f t="shared" si="16"/>
        <v>0</v>
      </c>
      <c r="BE11" s="1">
        <f t="shared" si="17"/>
        <v>0</v>
      </c>
      <c r="BF11" s="1">
        <f t="shared" si="33"/>
        <v>0</v>
      </c>
      <c r="BG11" s="1">
        <f t="shared" si="34"/>
        <v>0</v>
      </c>
      <c r="BH11" s="1">
        <f t="shared" si="18"/>
        <v>1</v>
      </c>
      <c r="BI11" s="1">
        <f t="shared" si="18"/>
        <v>0</v>
      </c>
      <c r="BK11" s="1">
        <v>1</v>
      </c>
      <c r="BL11" s="1">
        <f t="shared" si="35"/>
        <v>0</v>
      </c>
      <c r="BM11" s="1">
        <f t="shared" si="36"/>
        <v>0</v>
      </c>
      <c r="BN11" s="1">
        <f t="shared" si="19"/>
        <v>0</v>
      </c>
      <c r="BO11" s="1">
        <f t="shared" si="19"/>
        <v>1</v>
      </c>
    </row>
    <row r="12" ht="15" spans="1:67">
      <c r="A12" s="1">
        <f t="shared" si="20"/>
        <v>10</v>
      </c>
      <c r="C12" t="s">
        <v>993</v>
      </c>
      <c r="D12" s="1">
        <f t="shared" si="21"/>
        <v>1</v>
      </c>
      <c r="E12" s="1">
        <f t="shared" si="37"/>
        <v>0</v>
      </c>
      <c r="F12" s="1">
        <f t="shared" si="23"/>
        <v>1</v>
      </c>
      <c r="G12" s="1">
        <f t="shared" si="38"/>
        <v>0</v>
      </c>
      <c r="H12" s="17">
        <f t="shared" si="39"/>
        <v>1</v>
      </c>
      <c r="I12" s="1" t="str">
        <f t="shared" si="40"/>
        <v>Cairo</v>
      </c>
      <c r="J12" s="27" t="str">
        <f t="shared" si="41"/>
        <v>Cairo</v>
      </c>
      <c r="K12" s="30">
        <f t="shared" si="24"/>
        <v>0</v>
      </c>
      <c r="L12" s="31">
        <v>1</v>
      </c>
      <c r="M12" s="32"/>
      <c r="N12" s="24"/>
      <c r="P12" s="24">
        <f t="shared" si="42"/>
        <v>3</v>
      </c>
      <c r="Q12" s="24"/>
      <c r="S12" s="37" t="s">
        <v>970</v>
      </c>
      <c r="T12" s="32"/>
      <c r="U12" s="24">
        <v>0</v>
      </c>
      <c r="V12" s="1">
        <v>1</v>
      </c>
      <c r="W12" s="33">
        <v>0</v>
      </c>
      <c r="X12" s="33">
        <v>0</v>
      </c>
      <c r="Y12" s="33">
        <v>0</v>
      </c>
      <c r="Z12" s="33">
        <v>1</v>
      </c>
      <c r="AA12" s="33">
        <v>0</v>
      </c>
      <c r="AB12" s="44">
        <v>0</v>
      </c>
      <c r="AC12" s="45">
        <v>0</v>
      </c>
      <c r="AD12" s="45">
        <v>1</v>
      </c>
      <c r="AE12" s="46">
        <v>0</v>
      </c>
      <c r="AF12" s="43">
        <v>0</v>
      </c>
      <c r="AG12" s="43">
        <v>0</v>
      </c>
      <c r="AH12" s="43">
        <v>0</v>
      </c>
      <c r="AI12" s="43">
        <v>1</v>
      </c>
      <c r="AK12">
        <f t="shared" si="25"/>
        <v>3</v>
      </c>
      <c r="AL12" s="1">
        <f t="shared" si="26"/>
        <v>4</v>
      </c>
      <c r="AM12" s="47"/>
      <c r="AN12" s="1" t="str">
        <f>S9</f>
        <v>North America</v>
      </c>
      <c r="AO12" s="1" t="str">
        <f t="shared" si="27"/>
        <v>North America</v>
      </c>
      <c r="AP12" s="1">
        <f t="shared" si="28"/>
        <v>1</v>
      </c>
      <c r="AQ12" s="1">
        <f t="shared" si="29"/>
        <v>1</v>
      </c>
      <c r="AR12" s="1">
        <f t="shared" si="30"/>
        <v>1</v>
      </c>
      <c r="AS12" s="1">
        <f t="shared" si="31"/>
        <v>1</v>
      </c>
      <c r="AT12" s="1">
        <f t="shared" si="32"/>
        <v>1</v>
      </c>
      <c r="AV12" s="1">
        <v>1</v>
      </c>
      <c r="AW12" s="1">
        <f t="shared" si="9"/>
        <v>0</v>
      </c>
      <c r="AX12" s="1">
        <f t="shared" si="10"/>
        <v>0</v>
      </c>
      <c r="AY12" s="1">
        <f t="shared" si="11"/>
        <v>1</v>
      </c>
      <c r="AZ12" s="1">
        <f t="shared" si="12"/>
        <v>0</v>
      </c>
      <c r="BA12" s="1">
        <f t="shared" si="13"/>
        <v>0</v>
      </c>
      <c r="BB12" s="1">
        <f t="shared" si="14"/>
        <v>0</v>
      </c>
      <c r="BC12" s="1">
        <f t="shared" si="15"/>
        <v>0</v>
      </c>
      <c r="BD12" s="1">
        <f t="shared" si="16"/>
        <v>1</v>
      </c>
      <c r="BE12" s="1">
        <f t="shared" si="17"/>
        <v>0</v>
      </c>
      <c r="BF12" s="1">
        <f t="shared" si="33"/>
        <v>0</v>
      </c>
      <c r="BG12" s="1">
        <f t="shared" si="34"/>
        <v>0</v>
      </c>
      <c r="BH12" s="1">
        <f t="shared" si="18"/>
        <v>1</v>
      </c>
      <c r="BI12" s="1">
        <f t="shared" si="18"/>
        <v>0</v>
      </c>
      <c r="BK12" s="1">
        <v>1</v>
      </c>
      <c r="BL12" s="1">
        <f t="shared" si="35"/>
        <v>0</v>
      </c>
      <c r="BM12" s="1">
        <f t="shared" si="36"/>
        <v>0</v>
      </c>
      <c r="BN12" s="1">
        <f t="shared" si="19"/>
        <v>0</v>
      </c>
      <c r="BO12" s="1">
        <f t="shared" si="19"/>
        <v>1</v>
      </c>
    </row>
    <row r="13" ht="15" spans="1:67">
      <c r="A13" s="1">
        <f t="shared" si="20"/>
        <v>11</v>
      </c>
      <c r="C13" t="s">
        <v>994</v>
      </c>
      <c r="D13" s="1">
        <f t="shared" si="21"/>
        <v>1</v>
      </c>
      <c r="E13" s="1">
        <f t="shared" si="37"/>
        <v>0</v>
      </c>
      <c r="F13" s="1">
        <f t="shared" si="23"/>
        <v>1</v>
      </c>
      <c r="G13" s="1">
        <f t="shared" si="38"/>
        <v>0</v>
      </c>
      <c r="H13" s="17">
        <f t="shared" si="39"/>
        <v>1</v>
      </c>
      <c r="I13" s="1" t="str">
        <f t="shared" si="40"/>
        <v>Caracas</v>
      </c>
      <c r="J13" s="27" t="str">
        <f t="shared" si="41"/>
        <v>Caracas</v>
      </c>
      <c r="K13" s="30">
        <f t="shared" si="24"/>
        <v>0</v>
      </c>
      <c r="L13" s="31">
        <v>1</v>
      </c>
      <c r="M13" s="32"/>
      <c r="N13" s="24"/>
      <c r="P13" s="24">
        <f t="shared" si="42"/>
        <v>2</v>
      </c>
      <c r="Q13" s="24"/>
      <c r="S13" t="s">
        <v>971</v>
      </c>
      <c r="T13" s="32"/>
      <c r="U13" s="24">
        <v>0</v>
      </c>
      <c r="V13" s="1">
        <v>1</v>
      </c>
      <c r="W13" s="33">
        <v>0</v>
      </c>
      <c r="X13" s="33">
        <v>0</v>
      </c>
      <c r="Y13" s="33">
        <v>1</v>
      </c>
      <c r="Z13" s="33">
        <v>0</v>
      </c>
      <c r="AA13" s="33">
        <v>0</v>
      </c>
      <c r="AB13" s="44">
        <v>0</v>
      </c>
      <c r="AC13" s="45">
        <v>0</v>
      </c>
      <c r="AD13" s="45">
        <v>1</v>
      </c>
      <c r="AE13" s="46">
        <v>0</v>
      </c>
      <c r="AF13" s="43">
        <v>1</v>
      </c>
      <c r="AG13" s="43">
        <v>0</v>
      </c>
      <c r="AH13" s="43">
        <v>0</v>
      </c>
      <c r="AI13" s="43">
        <v>0</v>
      </c>
      <c r="AK13">
        <f t="shared" si="25"/>
        <v>3</v>
      </c>
      <c r="AL13" s="1">
        <f t="shared" si="26"/>
        <v>3</v>
      </c>
      <c r="AM13" s="47"/>
      <c r="AP13" s="1">
        <f t="shared" si="28"/>
        <v>1</v>
      </c>
      <c r="AQ13" s="1">
        <f t="shared" si="29"/>
        <v>1</v>
      </c>
      <c r="AR13" s="1">
        <f t="shared" si="30"/>
        <v>1</v>
      </c>
      <c r="AS13" s="1">
        <f t="shared" si="31"/>
        <v>1</v>
      </c>
      <c r="AT13" s="1">
        <f t="shared" si="32"/>
        <v>1</v>
      </c>
      <c r="AV13" s="1">
        <v>1</v>
      </c>
      <c r="AW13" s="1">
        <f t="shared" si="9"/>
        <v>0</v>
      </c>
      <c r="AX13" s="1">
        <f t="shared" si="10"/>
        <v>0</v>
      </c>
      <c r="AY13" s="1">
        <f t="shared" si="11"/>
        <v>1</v>
      </c>
      <c r="AZ13" s="1">
        <f t="shared" si="12"/>
        <v>0</v>
      </c>
      <c r="BA13" s="1">
        <f t="shared" si="13"/>
        <v>0</v>
      </c>
      <c r="BB13" s="1">
        <f t="shared" si="14"/>
        <v>0</v>
      </c>
      <c r="BC13" s="1">
        <f t="shared" si="15"/>
        <v>1</v>
      </c>
      <c r="BD13" s="1">
        <f t="shared" si="16"/>
        <v>0</v>
      </c>
      <c r="BE13" s="1">
        <f t="shared" si="17"/>
        <v>0</v>
      </c>
      <c r="BF13" s="1">
        <f t="shared" si="33"/>
        <v>1</v>
      </c>
      <c r="BG13" s="1">
        <f t="shared" si="34"/>
        <v>0</v>
      </c>
      <c r="BH13" s="1">
        <f t="shared" si="18"/>
        <v>0</v>
      </c>
      <c r="BI13" s="1">
        <f t="shared" si="18"/>
        <v>0</v>
      </c>
      <c r="BK13" s="1">
        <v>1</v>
      </c>
      <c r="BL13" s="1">
        <f t="shared" si="35"/>
        <v>1</v>
      </c>
      <c r="BM13" s="1">
        <f t="shared" si="36"/>
        <v>0</v>
      </c>
      <c r="BN13" s="1">
        <f t="shared" si="19"/>
        <v>0</v>
      </c>
      <c r="BO13" s="1">
        <f t="shared" si="19"/>
        <v>0</v>
      </c>
    </row>
    <row r="14" ht="15" spans="1:67">
      <c r="A14" s="1">
        <f t="shared" si="20"/>
        <v>12</v>
      </c>
      <c r="C14" t="s">
        <v>995</v>
      </c>
      <c r="D14" s="1">
        <f t="shared" si="21"/>
        <v>1</v>
      </c>
      <c r="E14" s="1">
        <f t="shared" si="37"/>
        <v>0</v>
      </c>
      <c r="F14" s="1">
        <f t="shared" si="23"/>
        <v>1</v>
      </c>
      <c r="G14" s="1">
        <f t="shared" si="38"/>
        <v>0</v>
      </c>
      <c r="H14" s="17">
        <f t="shared" si="39"/>
        <v>1</v>
      </c>
      <c r="I14" s="1" t="str">
        <f t="shared" si="40"/>
        <v>Casablanca</v>
      </c>
      <c r="J14" s="27" t="str">
        <f t="shared" si="41"/>
        <v>Casablanca</v>
      </c>
      <c r="K14" s="30">
        <f t="shared" si="24"/>
        <v>0</v>
      </c>
      <c r="L14" s="31">
        <v>1</v>
      </c>
      <c r="M14" s="32"/>
      <c r="N14" s="24"/>
      <c r="P14" s="24">
        <f t="shared" si="42"/>
        <v>3</v>
      </c>
      <c r="Q14" s="24"/>
      <c r="S14" s="38" t="s">
        <v>985</v>
      </c>
      <c r="T14" s="32"/>
      <c r="U14" s="24">
        <v>0</v>
      </c>
      <c r="V14" s="1">
        <v>1</v>
      </c>
      <c r="W14" s="33">
        <v>0</v>
      </c>
      <c r="X14" s="33">
        <v>0</v>
      </c>
      <c r="Y14" s="33">
        <v>0</v>
      </c>
      <c r="Z14" s="33">
        <v>1</v>
      </c>
      <c r="AA14" s="33">
        <v>0</v>
      </c>
      <c r="AB14" s="44">
        <v>0</v>
      </c>
      <c r="AC14" s="45">
        <v>0</v>
      </c>
      <c r="AD14" s="45">
        <v>0</v>
      </c>
      <c r="AE14" s="46">
        <v>1</v>
      </c>
      <c r="AF14" s="43">
        <v>1</v>
      </c>
      <c r="AG14" s="43">
        <v>0</v>
      </c>
      <c r="AH14" s="43">
        <v>0</v>
      </c>
      <c r="AI14" s="43">
        <v>0</v>
      </c>
      <c r="AK14">
        <f t="shared" si="25"/>
        <v>4</v>
      </c>
      <c r="AL14" s="1">
        <f t="shared" si="26"/>
        <v>4</v>
      </c>
      <c r="AM14" s="47"/>
      <c r="AP14" s="1">
        <f t="shared" si="28"/>
        <v>1</v>
      </c>
      <c r="AQ14" s="1">
        <f t="shared" si="29"/>
        <v>1</v>
      </c>
      <c r="AR14" s="1">
        <f t="shared" si="30"/>
        <v>1</v>
      </c>
      <c r="AS14" s="1">
        <f t="shared" si="31"/>
        <v>1</v>
      </c>
      <c r="AT14" s="1">
        <f t="shared" si="32"/>
        <v>1</v>
      </c>
      <c r="AV14" s="1">
        <v>1</v>
      </c>
      <c r="AW14" s="1">
        <f t="shared" si="9"/>
        <v>0</v>
      </c>
      <c r="AX14" s="1">
        <f t="shared" si="10"/>
        <v>0</v>
      </c>
      <c r="AY14" s="1">
        <f t="shared" si="11"/>
        <v>0</v>
      </c>
      <c r="AZ14" s="1">
        <f t="shared" si="12"/>
        <v>1</v>
      </c>
      <c r="BA14" s="1">
        <f t="shared" si="13"/>
        <v>0</v>
      </c>
      <c r="BB14" s="1">
        <f t="shared" si="14"/>
        <v>0</v>
      </c>
      <c r="BC14" s="1">
        <f t="shared" si="15"/>
        <v>0</v>
      </c>
      <c r="BD14" s="1">
        <f t="shared" si="16"/>
        <v>1</v>
      </c>
      <c r="BE14" s="1">
        <f t="shared" si="17"/>
        <v>0</v>
      </c>
      <c r="BF14" s="1">
        <f t="shared" si="33"/>
        <v>1</v>
      </c>
      <c r="BG14" s="1">
        <f t="shared" si="34"/>
        <v>0</v>
      </c>
      <c r="BH14" s="1">
        <f t="shared" si="18"/>
        <v>0</v>
      </c>
      <c r="BI14" s="1">
        <f t="shared" si="18"/>
        <v>0</v>
      </c>
      <c r="BK14" s="1">
        <v>1</v>
      </c>
      <c r="BL14" s="1">
        <f t="shared" si="35"/>
        <v>1</v>
      </c>
      <c r="BM14" s="1">
        <f t="shared" si="36"/>
        <v>0</v>
      </c>
      <c r="BN14" s="1">
        <f t="shared" si="19"/>
        <v>0</v>
      </c>
      <c r="BO14" s="1">
        <f t="shared" si="19"/>
        <v>0</v>
      </c>
    </row>
    <row r="15" ht="15" spans="1:67">
      <c r="A15" s="1">
        <f t="shared" si="20"/>
        <v>13</v>
      </c>
      <c r="C15" t="s">
        <v>785</v>
      </c>
      <c r="D15" s="1">
        <f t="shared" si="21"/>
        <v>1</v>
      </c>
      <c r="E15" s="1">
        <f t="shared" si="37"/>
        <v>0</v>
      </c>
      <c r="F15" s="1">
        <f t="shared" si="23"/>
        <v>1</v>
      </c>
      <c r="G15" s="1">
        <f t="shared" si="38"/>
        <v>0</v>
      </c>
      <c r="H15" s="17">
        <f t="shared" si="39"/>
        <v>1</v>
      </c>
      <c r="I15" s="1" t="str">
        <f t="shared" si="40"/>
        <v>Chicago</v>
      </c>
      <c r="J15" s="27" t="str">
        <f t="shared" si="41"/>
        <v>Chicago</v>
      </c>
      <c r="K15" s="30">
        <f t="shared" si="24"/>
        <v>0</v>
      </c>
      <c r="L15" s="31">
        <v>1</v>
      </c>
      <c r="M15" s="32"/>
      <c r="N15" s="24"/>
      <c r="P15" s="24">
        <f t="shared" si="42"/>
        <v>4</v>
      </c>
      <c r="Q15" s="24"/>
      <c r="S15" s="38" t="s">
        <v>986</v>
      </c>
      <c r="T15" s="32"/>
      <c r="U15" s="24">
        <v>0</v>
      </c>
      <c r="V15" s="1">
        <v>1</v>
      </c>
      <c r="W15" s="33">
        <v>0</v>
      </c>
      <c r="X15" s="33">
        <v>0</v>
      </c>
      <c r="Y15" s="33">
        <v>0</v>
      </c>
      <c r="Z15" s="33">
        <v>0</v>
      </c>
      <c r="AA15" s="33">
        <v>1</v>
      </c>
      <c r="AB15" s="44">
        <v>1</v>
      </c>
      <c r="AC15" s="45">
        <v>0</v>
      </c>
      <c r="AD15" s="45">
        <v>0</v>
      </c>
      <c r="AE15" s="46">
        <v>0</v>
      </c>
      <c r="AF15" s="43">
        <v>0</v>
      </c>
      <c r="AG15" s="43">
        <v>1</v>
      </c>
      <c r="AH15" s="43">
        <v>0</v>
      </c>
      <c r="AI15" s="43">
        <v>0</v>
      </c>
      <c r="AK15">
        <f t="shared" si="25"/>
        <v>1</v>
      </c>
      <c r="AL15" s="1">
        <f t="shared" si="26"/>
        <v>5</v>
      </c>
      <c r="AM15" s="47"/>
      <c r="AP15" s="1">
        <f t="shared" si="28"/>
        <v>1</v>
      </c>
      <c r="AQ15" s="1">
        <f t="shared" si="29"/>
        <v>1</v>
      </c>
      <c r="AR15" s="1">
        <f t="shared" si="30"/>
        <v>1</v>
      </c>
      <c r="AS15" s="1">
        <f t="shared" si="31"/>
        <v>1</v>
      </c>
      <c r="AT15" s="1">
        <f t="shared" si="32"/>
        <v>1</v>
      </c>
      <c r="AV15" s="1">
        <v>1</v>
      </c>
      <c r="AW15" s="1">
        <f t="shared" si="9"/>
        <v>1</v>
      </c>
      <c r="AX15" s="1">
        <f t="shared" si="10"/>
        <v>0</v>
      </c>
      <c r="AY15" s="1">
        <f t="shared" si="11"/>
        <v>0</v>
      </c>
      <c r="AZ15" s="1">
        <f t="shared" si="12"/>
        <v>0</v>
      </c>
      <c r="BA15" s="1">
        <f t="shared" si="13"/>
        <v>0</v>
      </c>
      <c r="BB15" s="1">
        <f t="shared" si="14"/>
        <v>0</v>
      </c>
      <c r="BC15" s="1">
        <f t="shared" si="15"/>
        <v>0</v>
      </c>
      <c r="BD15" s="1">
        <f t="shared" si="16"/>
        <v>0</v>
      </c>
      <c r="BE15" s="1">
        <f t="shared" si="17"/>
        <v>1</v>
      </c>
      <c r="BF15" s="1">
        <f t="shared" si="33"/>
        <v>0</v>
      </c>
      <c r="BG15" s="1">
        <f t="shared" si="34"/>
        <v>1</v>
      </c>
      <c r="BH15" s="1">
        <f t="shared" si="18"/>
        <v>0</v>
      </c>
      <c r="BI15" s="1">
        <f t="shared" si="18"/>
        <v>0</v>
      </c>
      <c r="BK15" s="1">
        <v>1</v>
      </c>
      <c r="BL15" s="1">
        <f t="shared" si="35"/>
        <v>0</v>
      </c>
      <c r="BM15" s="1">
        <f t="shared" si="36"/>
        <v>1</v>
      </c>
      <c r="BN15" s="1">
        <f t="shared" si="19"/>
        <v>0</v>
      </c>
      <c r="BO15" s="1">
        <f t="shared" si="19"/>
        <v>0</v>
      </c>
    </row>
    <row r="16" ht="15" spans="1:67">
      <c r="A16" s="1">
        <f t="shared" si="20"/>
        <v>14</v>
      </c>
      <c r="C16" t="s">
        <v>996</v>
      </c>
      <c r="D16" s="1">
        <f t="shared" si="21"/>
        <v>1</v>
      </c>
      <c r="E16" s="1">
        <f t="shared" si="37"/>
        <v>0</v>
      </c>
      <c r="F16" s="1">
        <f t="shared" si="23"/>
        <v>1</v>
      </c>
      <c r="G16" s="1">
        <f t="shared" si="38"/>
        <v>0</v>
      </c>
      <c r="H16" s="17">
        <f t="shared" si="39"/>
        <v>1</v>
      </c>
      <c r="I16" s="1" t="str">
        <f t="shared" si="40"/>
        <v>Dallas</v>
      </c>
      <c r="J16" s="27" t="str">
        <f t="shared" si="41"/>
        <v>Dallas</v>
      </c>
      <c r="K16" s="30">
        <f t="shared" si="24"/>
        <v>0</v>
      </c>
      <c r="L16" s="31">
        <v>1</v>
      </c>
      <c r="M16" s="32"/>
      <c r="N16" s="24"/>
      <c r="P16" s="24">
        <f t="shared" si="42"/>
        <v>4</v>
      </c>
      <c r="Q16" s="24"/>
      <c r="S16" s="38" t="s">
        <v>997</v>
      </c>
      <c r="T16" s="32"/>
      <c r="U16" s="24">
        <v>0</v>
      </c>
      <c r="V16" s="1">
        <v>1</v>
      </c>
      <c r="W16" s="33">
        <v>0</v>
      </c>
      <c r="X16" s="33">
        <v>0</v>
      </c>
      <c r="Y16" s="33">
        <v>0</v>
      </c>
      <c r="Z16" s="33">
        <v>0</v>
      </c>
      <c r="AA16" s="33">
        <v>1</v>
      </c>
      <c r="AB16" s="44">
        <v>1</v>
      </c>
      <c r="AC16" s="45">
        <v>0</v>
      </c>
      <c r="AD16" s="45">
        <v>0</v>
      </c>
      <c r="AE16" s="46">
        <v>0</v>
      </c>
      <c r="AF16" s="43">
        <v>1</v>
      </c>
      <c r="AG16" s="43">
        <v>0</v>
      </c>
      <c r="AH16" s="43">
        <v>0</v>
      </c>
      <c r="AI16" s="43">
        <v>0</v>
      </c>
      <c r="AK16">
        <f t="shared" si="25"/>
        <v>1</v>
      </c>
      <c r="AL16" s="1">
        <f t="shared" si="26"/>
        <v>5</v>
      </c>
      <c r="AM16" s="47"/>
      <c r="AP16" s="1">
        <f t="shared" si="28"/>
        <v>1</v>
      </c>
      <c r="AQ16" s="1">
        <f t="shared" si="29"/>
        <v>1</v>
      </c>
      <c r="AR16" s="1">
        <f t="shared" si="30"/>
        <v>1</v>
      </c>
      <c r="AS16" s="1">
        <f t="shared" si="31"/>
        <v>1</v>
      </c>
      <c r="AT16" s="1">
        <f t="shared" si="32"/>
        <v>1</v>
      </c>
      <c r="AV16" s="1">
        <v>1</v>
      </c>
      <c r="AW16" s="1">
        <f t="shared" si="9"/>
        <v>1</v>
      </c>
      <c r="AX16" s="1">
        <f t="shared" si="10"/>
        <v>0</v>
      </c>
      <c r="AY16" s="1">
        <f t="shared" si="11"/>
        <v>0</v>
      </c>
      <c r="AZ16" s="1">
        <f t="shared" si="12"/>
        <v>0</v>
      </c>
      <c r="BA16" s="1">
        <f t="shared" si="13"/>
        <v>0</v>
      </c>
      <c r="BB16" s="1">
        <f t="shared" si="14"/>
        <v>0</v>
      </c>
      <c r="BC16" s="1">
        <f t="shared" si="15"/>
        <v>0</v>
      </c>
      <c r="BD16" s="1">
        <f t="shared" si="16"/>
        <v>0</v>
      </c>
      <c r="BE16" s="1">
        <f t="shared" si="17"/>
        <v>1</v>
      </c>
      <c r="BF16" s="1">
        <f t="shared" si="33"/>
        <v>1</v>
      </c>
      <c r="BG16" s="1">
        <f t="shared" si="34"/>
        <v>0</v>
      </c>
      <c r="BH16" s="1">
        <f t="shared" si="18"/>
        <v>0</v>
      </c>
      <c r="BI16" s="1">
        <f t="shared" si="18"/>
        <v>0</v>
      </c>
      <c r="BK16" s="1">
        <v>1</v>
      </c>
      <c r="BL16" s="1">
        <f t="shared" si="35"/>
        <v>1</v>
      </c>
      <c r="BM16" s="1">
        <f t="shared" si="36"/>
        <v>0</v>
      </c>
      <c r="BN16" s="1">
        <f t="shared" si="19"/>
        <v>0</v>
      </c>
      <c r="BO16" s="1">
        <f t="shared" si="19"/>
        <v>0</v>
      </c>
    </row>
    <row r="17" ht="15" spans="1:67">
      <c r="A17" s="1">
        <f t="shared" si="20"/>
        <v>15</v>
      </c>
      <c r="C17" t="s">
        <v>786</v>
      </c>
      <c r="D17" s="1">
        <f t="shared" si="21"/>
        <v>1</v>
      </c>
      <c r="E17" s="1">
        <f t="shared" si="37"/>
        <v>0</v>
      </c>
      <c r="F17" s="1">
        <f t="shared" si="23"/>
        <v>1</v>
      </c>
      <c r="G17" s="1">
        <f t="shared" si="38"/>
        <v>0</v>
      </c>
      <c r="H17" s="17">
        <f t="shared" si="39"/>
        <v>1</v>
      </c>
      <c r="I17" s="1" t="str">
        <f t="shared" si="40"/>
        <v>Delhi</v>
      </c>
      <c r="J17" s="27" t="str">
        <f t="shared" si="41"/>
        <v>Delhi</v>
      </c>
      <c r="K17" s="30">
        <f t="shared" si="24"/>
        <v>0</v>
      </c>
      <c r="L17" s="31">
        <v>1</v>
      </c>
      <c r="M17" s="32"/>
      <c r="N17" s="24"/>
      <c r="P17" s="24">
        <f t="shared" si="42"/>
        <v>8</v>
      </c>
      <c r="Q17" s="24"/>
      <c r="S17" s="38" t="s">
        <v>987</v>
      </c>
      <c r="T17" s="32"/>
      <c r="U17" s="24">
        <v>0</v>
      </c>
      <c r="V17" s="1">
        <v>1</v>
      </c>
      <c r="W17" s="33">
        <v>1</v>
      </c>
      <c r="X17" s="33">
        <v>0</v>
      </c>
      <c r="Y17" s="33">
        <v>0</v>
      </c>
      <c r="Z17" s="33">
        <v>0</v>
      </c>
      <c r="AA17" s="33">
        <v>0</v>
      </c>
      <c r="AB17" s="44">
        <v>0</v>
      </c>
      <c r="AC17" s="45">
        <v>0</v>
      </c>
      <c r="AD17" s="45">
        <v>0</v>
      </c>
      <c r="AE17" s="46">
        <v>1</v>
      </c>
      <c r="AF17" s="43">
        <v>0</v>
      </c>
      <c r="AG17" s="43">
        <v>0</v>
      </c>
      <c r="AH17" s="43">
        <v>0</v>
      </c>
      <c r="AI17" s="43">
        <v>1</v>
      </c>
      <c r="AK17">
        <f t="shared" si="25"/>
        <v>4</v>
      </c>
      <c r="AL17" s="1">
        <f t="shared" si="26"/>
        <v>1</v>
      </c>
      <c r="AM17" s="47"/>
      <c r="AP17" s="1">
        <f t="shared" si="28"/>
        <v>1</v>
      </c>
      <c r="AQ17" s="1">
        <f t="shared" si="29"/>
        <v>1</v>
      </c>
      <c r="AR17" s="1">
        <f t="shared" si="30"/>
        <v>1</v>
      </c>
      <c r="AS17" s="1">
        <f t="shared" si="31"/>
        <v>1</v>
      </c>
      <c r="AT17" s="1">
        <f t="shared" si="32"/>
        <v>1</v>
      </c>
      <c r="AV17" s="1">
        <v>1</v>
      </c>
      <c r="AW17" s="1">
        <f t="shared" si="9"/>
        <v>0</v>
      </c>
      <c r="AX17" s="1">
        <f t="shared" si="10"/>
        <v>0</v>
      </c>
      <c r="AY17" s="1">
        <f t="shared" si="11"/>
        <v>0</v>
      </c>
      <c r="AZ17" s="1">
        <f t="shared" si="12"/>
        <v>1</v>
      </c>
      <c r="BA17" s="1">
        <f t="shared" si="13"/>
        <v>1</v>
      </c>
      <c r="BB17" s="1">
        <f t="shared" si="14"/>
        <v>0</v>
      </c>
      <c r="BC17" s="1">
        <f t="shared" si="15"/>
        <v>0</v>
      </c>
      <c r="BD17" s="1">
        <f t="shared" si="16"/>
        <v>0</v>
      </c>
      <c r="BE17" s="1">
        <f t="shared" si="17"/>
        <v>0</v>
      </c>
      <c r="BF17" s="1">
        <f t="shared" si="33"/>
        <v>0</v>
      </c>
      <c r="BG17" s="1">
        <f t="shared" si="34"/>
        <v>0</v>
      </c>
      <c r="BH17" s="1">
        <f t="shared" si="18"/>
        <v>1</v>
      </c>
      <c r="BI17" s="1">
        <f t="shared" si="18"/>
        <v>0</v>
      </c>
      <c r="BK17" s="1">
        <v>1</v>
      </c>
      <c r="BL17" s="1">
        <f t="shared" si="35"/>
        <v>0</v>
      </c>
      <c r="BM17" s="1">
        <f t="shared" si="36"/>
        <v>0</v>
      </c>
      <c r="BN17" s="1">
        <f t="shared" si="19"/>
        <v>0</v>
      </c>
      <c r="BO17" s="1">
        <f t="shared" si="19"/>
        <v>1</v>
      </c>
    </row>
    <row r="18" ht="15" spans="1:67">
      <c r="A18" s="1">
        <f t="shared" si="20"/>
        <v>16</v>
      </c>
      <c r="C18" t="s">
        <v>998</v>
      </c>
      <c r="D18" s="1">
        <f t="shared" si="21"/>
        <v>1</v>
      </c>
      <c r="E18" s="1">
        <f t="shared" si="37"/>
        <v>0</v>
      </c>
      <c r="F18" s="1">
        <f t="shared" si="23"/>
        <v>1</v>
      </c>
      <c r="G18" s="1">
        <f t="shared" si="38"/>
        <v>0</v>
      </c>
      <c r="H18" s="17">
        <f t="shared" si="39"/>
        <v>1</v>
      </c>
      <c r="I18" s="1" t="str">
        <f t="shared" si="40"/>
        <v>Dhaka</v>
      </c>
      <c r="J18" s="27" t="str">
        <f t="shared" si="41"/>
        <v>Dhaka</v>
      </c>
      <c r="K18" s="30">
        <f t="shared" si="24"/>
        <v>0</v>
      </c>
      <c r="L18" s="31">
        <v>1</v>
      </c>
      <c r="M18" s="32"/>
      <c r="N18" s="24"/>
      <c r="P18" s="24">
        <f t="shared" si="42"/>
        <v>8</v>
      </c>
      <c r="Q18" s="24"/>
      <c r="S18" s="39"/>
      <c r="T18" s="32"/>
      <c r="U18" s="24">
        <v>0</v>
      </c>
      <c r="V18" s="1">
        <v>1</v>
      </c>
      <c r="W18" s="33">
        <v>1</v>
      </c>
      <c r="X18" s="33">
        <v>0</v>
      </c>
      <c r="Y18" s="33">
        <v>0</v>
      </c>
      <c r="Z18" s="33">
        <v>0</v>
      </c>
      <c r="AA18" s="33">
        <v>0</v>
      </c>
      <c r="AB18" s="44">
        <v>0</v>
      </c>
      <c r="AC18" s="45">
        <v>0</v>
      </c>
      <c r="AD18" s="45">
        <v>0</v>
      </c>
      <c r="AE18" s="46">
        <v>1</v>
      </c>
      <c r="AF18" s="43">
        <v>0</v>
      </c>
      <c r="AG18" s="43">
        <v>0</v>
      </c>
      <c r="AH18" s="43">
        <v>0</v>
      </c>
      <c r="AI18" s="43">
        <v>1</v>
      </c>
      <c r="AK18">
        <f t="shared" si="25"/>
        <v>4</v>
      </c>
      <c r="AL18" s="1">
        <f t="shared" si="26"/>
        <v>1</v>
      </c>
      <c r="AM18" s="47"/>
      <c r="AP18" s="1">
        <f t="shared" si="28"/>
        <v>1</v>
      </c>
      <c r="AQ18" s="1">
        <f t="shared" si="29"/>
        <v>1</v>
      </c>
      <c r="AR18" s="1">
        <f t="shared" si="30"/>
        <v>1</v>
      </c>
      <c r="AS18" s="1">
        <f t="shared" si="31"/>
        <v>1</v>
      </c>
      <c r="AT18" s="1">
        <f t="shared" si="32"/>
        <v>1</v>
      </c>
      <c r="AV18" s="1">
        <v>1</v>
      </c>
      <c r="AW18" s="1">
        <f t="shared" si="9"/>
        <v>0</v>
      </c>
      <c r="AX18" s="1">
        <f t="shared" si="10"/>
        <v>0</v>
      </c>
      <c r="AY18" s="1">
        <f t="shared" si="11"/>
        <v>0</v>
      </c>
      <c r="AZ18" s="1">
        <f t="shared" si="12"/>
        <v>1</v>
      </c>
      <c r="BA18" s="1">
        <f t="shared" si="13"/>
        <v>1</v>
      </c>
      <c r="BB18" s="1">
        <f t="shared" si="14"/>
        <v>0</v>
      </c>
      <c r="BC18" s="1">
        <f t="shared" si="15"/>
        <v>0</v>
      </c>
      <c r="BD18" s="1">
        <f t="shared" si="16"/>
        <v>0</v>
      </c>
      <c r="BE18" s="1">
        <f t="shared" si="17"/>
        <v>0</v>
      </c>
      <c r="BF18" s="1">
        <f t="shared" si="33"/>
        <v>0</v>
      </c>
      <c r="BG18" s="1">
        <f t="shared" si="34"/>
        <v>0</v>
      </c>
      <c r="BH18" s="1">
        <f t="shared" si="18"/>
        <v>1</v>
      </c>
      <c r="BI18" s="1">
        <f t="shared" si="18"/>
        <v>0</v>
      </c>
      <c r="BK18" s="1">
        <v>1</v>
      </c>
      <c r="BL18" s="1">
        <f t="shared" si="35"/>
        <v>0</v>
      </c>
      <c r="BM18" s="1">
        <f t="shared" si="36"/>
        <v>0</v>
      </c>
      <c r="BN18" s="1">
        <f t="shared" si="19"/>
        <v>0</v>
      </c>
      <c r="BO18" s="1">
        <f t="shared" si="19"/>
        <v>1</v>
      </c>
    </row>
    <row r="19" ht="15" spans="1:67">
      <c r="A19" s="1">
        <f t="shared" si="20"/>
        <v>17</v>
      </c>
      <c r="C19" t="s">
        <v>787</v>
      </c>
      <c r="D19" s="1">
        <f t="shared" si="21"/>
        <v>1</v>
      </c>
      <c r="E19" s="1">
        <f t="shared" si="37"/>
        <v>0</v>
      </c>
      <c r="F19" s="1">
        <f t="shared" si="23"/>
        <v>1</v>
      </c>
      <c r="G19" s="1">
        <f t="shared" si="38"/>
        <v>0</v>
      </c>
      <c r="H19" s="17">
        <f t="shared" si="39"/>
        <v>1</v>
      </c>
      <c r="I19" s="1" t="str">
        <f t="shared" si="40"/>
        <v>Doha</v>
      </c>
      <c r="J19" s="27" t="str">
        <f t="shared" si="41"/>
        <v>Doha</v>
      </c>
      <c r="K19" s="30">
        <f t="shared" si="24"/>
        <v>0</v>
      </c>
      <c r="L19" s="31">
        <v>1</v>
      </c>
      <c r="M19" s="32"/>
      <c r="N19" s="24"/>
      <c r="P19" s="24">
        <f t="shared" si="42"/>
        <v>3</v>
      </c>
      <c r="Q19" s="24"/>
      <c r="S19" s="39"/>
      <c r="T19" s="32"/>
      <c r="U19" s="24">
        <v>0</v>
      </c>
      <c r="V19" s="1">
        <v>1</v>
      </c>
      <c r="W19" s="33">
        <v>0</v>
      </c>
      <c r="X19" s="33">
        <v>0</v>
      </c>
      <c r="Y19" s="33">
        <v>0</v>
      </c>
      <c r="Z19" s="33">
        <v>1</v>
      </c>
      <c r="AA19" s="33">
        <v>0</v>
      </c>
      <c r="AB19" s="44">
        <v>1</v>
      </c>
      <c r="AC19" s="45">
        <v>0</v>
      </c>
      <c r="AD19" s="45">
        <v>0</v>
      </c>
      <c r="AE19" s="46">
        <v>0</v>
      </c>
      <c r="AF19" s="43">
        <v>1</v>
      </c>
      <c r="AG19" s="43">
        <v>0</v>
      </c>
      <c r="AH19" s="43">
        <v>0</v>
      </c>
      <c r="AI19" s="43">
        <v>0</v>
      </c>
      <c r="AK19">
        <f t="shared" si="25"/>
        <v>1</v>
      </c>
      <c r="AL19" s="1">
        <f t="shared" si="26"/>
        <v>4</v>
      </c>
      <c r="AM19" s="47"/>
      <c r="AP19" s="1">
        <f t="shared" si="28"/>
        <v>1</v>
      </c>
      <c r="AQ19" s="1">
        <f t="shared" si="29"/>
        <v>1</v>
      </c>
      <c r="AR19" s="1">
        <f t="shared" si="30"/>
        <v>1</v>
      </c>
      <c r="AS19" s="1">
        <f t="shared" si="31"/>
        <v>1</v>
      </c>
      <c r="AT19" s="1">
        <f t="shared" si="32"/>
        <v>1</v>
      </c>
      <c r="AV19" s="1">
        <v>1</v>
      </c>
      <c r="AW19" s="1">
        <f t="shared" si="9"/>
        <v>1</v>
      </c>
      <c r="AX19" s="1">
        <f t="shared" si="10"/>
        <v>0</v>
      </c>
      <c r="AY19" s="1">
        <f t="shared" si="11"/>
        <v>0</v>
      </c>
      <c r="AZ19" s="1">
        <f t="shared" si="12"/>
        <v>0</v>
      </c>
      <c r="BA19" s="1">
        <f t="shared" si="13"/>
        <v>0</v>
      </c>
      <c r="BB19" s="1">
        <f t="shared" si="14"/>
        <v>0</v>
      </c>
      <c r="BC19" s="1">
        <f t="shared" si="15"/>
        <v>0</v>
      </c>
      <c r="BD19" s="1">
        <f t="shared" si="16"/>
        <v>1</v>
      </c>
      <c r="BE19" s="1">
        <f t="shared" si="17"/>
        <v>0</v>
      </c>
      <c r="BF19" s="1">
        <f t="shared" si="33"/>
        <v>1</v>
      </c>
      <c r="BG19" s="1">
        <f t="shared" si="34"/>
        <v>0</v>
      </c>
      <c r="BH19" s="1">
        <f t="shared" ref="BH19:BH61" si="43">BO19</f>
        <v>0</v>
      </c>
      <c r="BI19" s="1">
        <f t="shared" ref="BI19:BI61" si="44">BP19</f>
        <v>0</v>
      </c>
      <c r="BK19" s="1">
        <v>1</v>
      </c>
      <c r="BL19" s="1">
        <f t="shared" si="35"/>
        <v>1</v>
      </c>
      <c r="BM19" s="1">
        <f t="shared" si="36"/>
        <v>0</v>
      </c>
      <c r="BN19" s="1">
        <f t="shared" ref="BN19:BN61" si="45">AH19</f>
        <v>0</v>
      </c>
      <c r="BO19" s="1">
        <f t="shared" ref="BO19:BO61" si="46">AI19</f>
        <v>0</v>
      </c>
    </row>
    <row r="20" ht="15" spans="1:67">
      <c r="A20" s="1">
        <f t="shared" si="20"/>
        <v>18</v>
      </c>
      <c r="C20" t="s">
        <v>788</v>
      </c>
      <c r="D20" s="1">
        <f t="shared" si="21"/>
        <v>1</v>
      </c>
      <c r="E20" s="1">
        <f t="shared" si="37"/>
        <v>0</v>
      </c>
      <c r="F20" s="1">
        <f t="shared" si="23"/>
        <v>1</v>
      </c>
      <c r="G20" s="1">
        <f t="shared" si="38"/>
        <v>0</v>
      </c>
      <c r="H20" s="17">
        <f t="shared" si="39"/>
        <v>1</v>
      </c>
      <c r="I20" s="1" t="str">
        <f t="shared" si="40"/>
        <v>Frankfurt</v>
      </c>
      <c r="J20" s="27" t="str">
        <f t="shared" si="41"/>
        <v>Frankfurt</v>
      </c>
      <c r="K20" s="30">
        <f t="shared" si="24"/>
        <v>0</v>
      </c>
      <c r="L20" s="31">
        <v>1</v>
      </c>
      <c r="M20" s="32"/>
      <c r="N20" s="24"/>
      <c r="P20" s="24">
        <f t="shared" si="42"/>
        <v>1</v>
      </c>
      <c r="Q20" s="24"/>
      <c r="S20" s="39"/>
      <c r="T20" s="32"/>
      <c r="U20" s="24">
        <v>0</v>
      </c>
      <c r="V20" s="1">
        <v>1</v>
      </c>
      <c r="W20" s="33">
        <v>0</v>
      </c>
      <c r="X20" s="33">
        <v>1</v>
      </c>
      <c r="Y20" s="33">
        <v>0</v>
      </c>
      <c r="Z20" s="33">
        <v>0</v>
      </c>
      <c r="AA20" s="33">
        <v>0</v>
      </c>
      <c r="AB20" s="44">
        <v>0</v>
      </c>
      <c r="AC20" s="45">
        <v>1</v>
      </c>
      <c r="AD20" s="45">
        <v>0</v>
      </c>
      <c r="AE20" s="46">
        <v>0</v>
      </c>
      <c r="AF20" s="43">
        <v>1</v>
      </c>
      <c r="AG20" s="43">
        <v>0</v>
      </c>
      <c r="AH20" s="43">
        <v>0</v>
      </c>
      <c r="AI20" s="43">
        <v>0</v>
      </c>
      <c r="AK20">
        <f t="shared" si="25"/>
        <v>2</v>
      </c>
      <c r="AL20" s="1">
        <f t="shared" si="26"/>
        <v>2</v>
      </c>
      <c r="AM20" s="47"/>
      <c r="AP20" s="1">
        <f t="shared" si="28"/>
        <v>1</v>
      </c>
      <c r="AQ20" s="1">
        <f t="shared" si="29"/>
        <v>1</v>
      </c>
      <c r="AR20" s="1">
        <f t="shared" si="30"/>
        <v>1</v>
      </c>
      <c r="AS20" s="1">
        <f t="shared" si="31"/>
        <v>1</v>
      </c>
      <c r="AT20" s="1">
        <f t="shared" si="32"/>
        <v>1</v>
      </c>
      <c r="AV20" s="1">
        <v>1</v>
      </c>
      <c r="AW20" s="1">
        <f t="shared" si="9"/>
        <v>0</v>
      </c>
      <c r="AX20" s="1">
        <f t="shared" si="10"/>
        <v>1</v>
      </c>
      <c r="AY20" s="1">
        <f t="shared" si="11"/>
        <v>0</v>
      </c>
      <c r="AZ20" s="1">
        <f t="shared" si="12"/>
        <v>0</v>
      </c>
      <c r="BA20" s="1">
        <f t="shared" si="13"/>
        <v>0</v>
      </c>
      <c r="BB20" s="1">
        <f t="shared" si="14"/>
        <v>1</v>
      </c>
      <c r="BC20" s="1">
        <f t="shared" si="15"/>
        <v>0</v>
      </c>
      <c r="BD20" s="1">
        <f t="shared" si="16"/>
        <v>0</v>
      </c>
      <c r="BE20" s="1">
        <f t="shared" si="17"/>
        <v>0</v>
      </c>
      <c r="BF20" s="1">
        <f t="shared" si="33"/>
        <v>1</v>
      </c>
      <c r="BG20" s="1">
        <f t="shared" si="34"/>
        <v>0</v>
      </c>
      <c r="BH20" s="1">
        <f t="shared" si="43"/>
        <v>0</v>
      </c>
      <c r="BI20" s="1">
        <f t="shared" si="44"/>
        <v>0</v>
      </c>
      <c r="BK20" s="1">
        <v>1</v>
      </c>
      <c r="BL20" s="1">
        <f t="shared" si="35"/>
        <v>1</v>
      </c>
      <c r="BM20" s="1">
        <f t="shared" si="36"/>
        <v>0</v>
      </c>
      <c r="BN20" s="1">
        <f t="shared" si="45"/>
        <v>0</v>
      </c>
      <c r="BO20" s="1">
        <f t="shared" si="46"/>
        <v>0</v>
      </c>
    </row>
    <row r="21" ht="15" spans="1:67">
      <c r="A21" s="1">
        <f t="shared" si="20"/>
        <v>19</v>
      </c>
      <c r="C21" t="s">
        <v>790</v>
      </c>
      <c r="D21" s="1">
        <f t="shared" si="21"/>
        <v>1</v>
      </c>
      <c r="E21" s="1">
        <f t="shared" si="37"/>
        <v>0</v>
      </c>
      <c r="F21" s="1">
        <f t="shared" si="23"/>
        <v>1</v>
      </c>
      <c r="G21" s="1">
        <f t="shared" si="38"/>
        <v>0</v>
      </c>
      <c r="H21" s="17">
        <f t="shared" si="39"/>
        <v>1</v>
      </c>
      <c r="I21" s="1" t="str">
        <f t="shared" si="40"/>
        <v>HoChiMinhCity</v>
      </c>
      <c r="J21" s="27" t="str">
        <f t="shared" si="41"/>
        <v>Ho Chi Minh City</v>
      </c>
      <c r="K21" s="30">
        <f t="shared" si="24"/>
        <v>0</v>
      </c>
      <c r="L21" s="31">
        <v>1</v>
      </c>
      <c r="M21" s="32"/>
      <c r="N21" s="24"/>
      <c r="P21" s="24">
        <f t="shared" si="42"/>
        <v>8</v>
      </c>
      <c r="Q21" s="24"/>
      <c r="S21" s="39"/>
      <c r="T21" s="32"/>
      <c r="U21" s="24">
        <v>0</v>
      </c>
      <c r="V21" s="1">
        <v>1</v>
      </c>
      <c r="W21" s="33">
        <v>1</v>
      </c>
      <c r="X21" s="33">
        <v>0</v>
      </c>
      <c r="Y21" s="33">
        <v>0</v>
      </c>
      <c r="Z21" s="33">
        <v>0</v>
      </c>
      <c r="AA21" s="33">
        <v>0</v>
      </c>
      <c r="AB21" s="44">
        <v>0</v>
      </c>
      <c r="AC21" s="45">
        <v>0</v>
      </c>
      <c r="AD21" s="45">
        <v>0</v>
      </c>
      <c r="AE21" s="46">
        <v>1</v>
      </c>
      <c r="AF21" s="43">
        <v>0</v>
      </c>
      <c r="AG21" s="43">
        <v>0</v>
      </c>
      <c r="AH21" s="43">
        <v>0</v>
      </c>
      <c r="AI21" s="43">
        <v>1</v>
      </c>
      <c r="AK21">
        <f t="shared" si="25"/>
        <v>4</v>
      </c>
      <c r="AL21" s="1">
        <f t="shared" si="26"/>
        <v>1</v>
      </c>
      <c r="AM21" s="47"/>
      <c r="AP21" s="1">
        <f t="shared" si="28"/>
        <v>1</v>
      </c>
      <c r="AQ21" s="1">
        <f t="shared" si="29"/>
        <v>1</v>
      </c>
      <c r="AR21" s="1">
        <f t="shared" si="30"/>
        <v>1</v>
      </c>
      <c r="AS21" s="1">
        <f t="shared" si="31"/>
        <v>1</v>
      </c>
      <c r="AT21" s="1">
        <f t="shared" si="32"/>
        <v>1</v>
      </c>
      <c r="AV21" s="1">
        <v>1</v>
      </c>
      <c r="AW21" s="1">
        <f t="shared" si="9"/>
        <v>0</v>
      </c>
      <c r="AX21" s="1">
        <f t="shared" si="10"/>
        <v>0</v>
      </c>
      <c r="AY21" s="1">
        <f t="shared" si="11"/>
        <v>0</v>
      </c>
      <c r="AZ21" s="1">
        <f t="shared" si="12"/>
        <v>1</v>
      </c>
      <c r="BA21" s="1">
        <f t="shared" si="13"/>
        <v>1</v>
      </c>
      <c r="BB21" s="1">
        <f t="shared" si="14"/>
        <v>0</v>
      </c>
      <c r="BC21" s="1">
        <f t="shared" si="15"/>
        <v>0</v>
      </c>
      <c r="BD21" s="1">
        <f t="shared" si="16"/>
        <v>0</v>
      </c>
      <c r="BE21" s="1">
        <f t="shared" si="17"/>
        <v>0</v>
      </c>
      <c r="BF21" s="1">
        <f t="shared" si="33"/>
        <v>0</v>
      </c>
      <c r="BG21" s="1">
        <f t="shared" si="34"/>
        <v>0</v>
      </c>
      <c r="BH21" s="1">
        <f t="shared" si="43"/>
        <v>1</v>
      </c>
      <c r="BI21" s="1">
        <f t="shared" si="44"/>
        <v>0</v>
      </c>
      <c r="BK21" s="1">
        <v>1</v>
      </c>
      <c r="BL21" s="1">
        <f t="shared" si="35"/>
        <v>0</v>
      </c>
      <c r="BM21" s="1">
        <f t="shared" si="36"/>
        <v>0</v>
      </c>
      <c r="BN21" s="1">
        <f t="shared" si="45"/>
        <v>0</v>
      </c>
      <c r="BO21" s="1">
        <f t="shared" si="46"/>
        <v>1</v>
      </c>
    </row>
    <row r="22" ht="15" spans="1:67">
      <c r="A22" s="1">
        <f t="shared" si="20"/>
        <v>20</v>
      </c>
      <c r="C22" t="s">
        <v>791</v>
      </c>
      <c r="D22" s="1">
        <f t="shared" si="21"/>
        <v>1</v>
      </c>
      <c r="E22" s="1">
        <f t="shared" si="37"/>
        <v>0</v>
      </c>
      <c r="F22" s="1">
        <f t="shared" si="23"/>
        <v>1</v>
      </c>
      <c r="G22" s="1">
        <f t="shared" si="38"/>
        <v>0</v>
      </c>
      <c r="H22" s="17">
        <f t="shared" si="39"/>
        <v>1</v>
      </c>
      <c r="I22" s="1" t="str">
        <f t="shared" si="40"/>
        <v>HongKong</v>
      </c>
      <c r="J22" s="27" t="str">
        <f t="shared" si="41"/>
        <v>Hong Kong</v>
      </c>
      <c r="K22" s="30">
        <f t="shared" si="24"/>
        <v>0</v>
      </c>
      <c r="L22" s="31">
        <v>1</v>
      </c>
      <c r="M22" s="32"/>
      <c r="N22" s="24"/>
      <c r="P22" s="24">
        <f t="shared" si="42"/>
        <v>5</v>
      </c>
      <c r="Q22" s="24"/>
      <c r="S22" s="39"/>
      <c r="T22" s="32"/>
      <c r="U22" s="24">
        <v>0</v>
      </c>
      <c r="V22" s="1">
        <v>1</v>
      </c>
      <c r="W22" s="33">
        <v>1</v>
      </c>
      <c r="X22" s="33">
        <v>0</v>
      </c>
      <c r="Y22" s="33">
        <v>0</v>
      </c>
      <c r="Z22" s="33">
        <v>0</v>
      </c>
      <c r="AA22" s="33">
        <v>0</v>
      </c>
      <c r="AB22" s="44">
        <v>1</v>
      </c>
      <c r="AC22" s="45">
        <v>0</v>
      </c>
      <c r="AD22" s="45">
        <v>0</v>
      </c>
      <c r="AE22" s="46">
        <v>0</v>
      </c>
      <c r="AF22" s="43">
        <v>0</v>
      </c>
      <c r="AG22" s="43">
        <v>1</v>
      </c>
      <c r="AH22" s="43">
        <v>0</v>
      </c>
      <c r="AI22" s="43">
        <v>0</v>
      </c>
      <c r="AK22">
        <f t="shared" si="25"/>
        <v>1</v>
      </c>
      <c r="AL22" s="1">
        <f t="shared" si="26"/>
        <v>1</v>
      </c>
      <c r="AM22" s="47"/>
      <c r="AP22" s="1">
        <f t="shared" si="28"/>
        <v>1</v>
      </c>
      <c r="AQ22" s="1">
        <f t="shared" si="29"/>
        <v>1</v>
      </c>
      <c r="AR22" s="1">
        <f t="shared" si="30"/>
        <v>1</v>
      </c>
      <c r="AS22" s="1">
        <f t="shared" si="31"/>
        <v>1</v>
      </c>
      <c r="AT22" s="1">
        <f t="shared" si="32"/>
        <v>1</v>
      </c>
      <c r="AV22" s="1">
        <v>1</v>
      </c>
      <c r="AW22" s="1">
        <f t="shared" si="9"/>
        <v>1</v>
      </c>
      <c r="AX22" s="1">
        <f t="shared" si="10"/>
        <v>0</v>
      </c>
      <c r="AY22" s="1">
        <f t="shared" si="11"/>
        <v>0</v>
      </c>
      <c r="AZ22" s="1">
        <f t="shared" si="12"/>
        <v>0</v>
      </c>
      <c r="BA22" s="1">
        <f t="shared" si="13"/>
        <v>1</v>
      </c>
      <c r="BB22" s="1">
        <f t="shared" si="14"/>
        <v>0</v>
      </c>
      <c r="BC22" s="1">
        <f t="shared" si="15"/>
        <v>0</v>
      </c>
      <c r="BD22" s="1">
        <f t="shared" si="16"/>
        <v>0</v>
      </c>
      <c r="BE22" s="1">
        <f t="shared" si="17"/>
        <v>0</v>
      </c>
      <c r="BF22" s="1">
        <f t="shared" si="33"/>
        <v>0</v>
      </c>
      <c r="BG22" s="1">
        <f t="shared" si="34"/>
        <v>1</v>
      </c>
      <c r="BH22" s="1">
        <f t="shared" si="43"/>
        <v>0</v>
      </c>
      <c r="BI22" s="1">
        <f t="shared" si="44"/>
        <v>0</v>
      </c>
      <c r="BK22" s="1">
        <v>1</v>
      </c>
      <c r="BL22" s="1">
        <f t="shared" si="35"/>
        <v>0</v>
      </c>
      <c r="BM22" s="1">
        <f t="shared" si="36"/>
        <v>1</v>
      </c>
      <c r="BN22" s="1">
        <f t="shared" si="45"/>
        <v>0</v>
      </c>
      <c r="BO22" s="1">
        <f t="shared" si="46"/>
        <v>0</v>
      </c>
    </row>
    <row r="23" ht="15" spans="1:67">
      <c r="A23" s="1">
        <f t="shared" si="20"/>
        <v>21</v>
      </c>
      <c r="C23" t="s">
        <v>792</v>
      </c>
      <c r="D23" s="1">
        <f t="shared" si="21"/>
        <v>1</v>
      </c>
      <c r="E23" s="1">
        <f t="shared" si="37"/>
        <v>0</v>
      </c>
      <c r="F23" s="1">
        <f t="shared" si="23"/>
        <v>1</v>
      </c>
      <c r="G23" s="1">
        <f t="shared" si="38"/>
        <v>0</v>
      </c>
      <c r="H23" s="17">
        <f t="shared" si="39"/>
        <v>1</v>
      </c>
      <c r="I23" s="1" t="str">
        <f t="shared" si="40"/>
        <v>Istanbul</v>
      </c>
      <c r="J23" s="27" t="str">
        <f t="shared" si="41"/>
        <v>Istanbul</v>
      </c>
      <c r="K23" s="30">
        <f t="shared" si="24"/>
        <v>0</v>
      </c>
      <c r="L23" s="31">
        <v>1</v>
      </c>
      <c r="M23" s="32"/>
      <c r="N23" s="24"/>
      <c r="P23" s="24">
        <f t="shared" si="42"/>
        <v>1</v>
      </c>
      <c r="Q23" s="24"/>
      <c r="S23" s="39"/>
      <c r="T23" s="32"/>
      <c r="U23" s="24">
        <v>0</v>
      </c>
      <c r="V23" s="1">
        <v>1</v>
      </c>
      <c r="W23" s="33">
        <v>0</v>
      </c>
      <c r="X23" s="33">
        <v>1</v>
      </c>
      <c r="Y23" s="33">
        <v>0</v>
      </c>
      <c r="Z23" s="33">
        <v>0</v>
      </c>
      <c r="AA23" s="33">
        <v>0</v>
      </c>
      <c r="AB23" s="44">
        <v>0</v>
      </c>
      <c r="AC23" s="45">
        <v>0</v>
      </c>
      <c r="AD23" s="45">
        <v>1</v>
      </c>
      <c r="AE23" s="46">
        <v>0</v>
      </c>
      <c r="AF23" s="43">
        <v>0</v>
      </c>
      <c r="AG23" s="43">
        <v>0</v>
      </c>
      <c r="AH23" s="43">
        <v>1</v>
      </c>
      <c r="AI23" s="43">
        <v>0</v>
      </c>
      <c r="AK23">
        <f t="shared" si="25"/>
        <v>3</v>
      </c>
      <c r="AL23" s="1">
        <f t="shared" si="26"/>
        <v>2</v>
      </c>
      <c r="AM23" s="47"/>
      <c r="AP23" s="1">
        <f t="shared" si="28"/>
        <v>1</v>
      </c>
      <c r="AQ23" s="1">
        <f t="shared" si="29"/>
        <v>1</v>
      </c>
      <c r="AR23" s="1">
        <f t="shared" si="30"/>
        <v>1</v>
      </c>
      <c r="AS23" s="1">
        <f t="shared" si="31"/>
        <v>1</v>
      </c>
      <c r="AT23" s="1">
        <f t="shared" si="32"/>
        <v>1</v>
      </c>
      <c r="AV23" s="1">
        <v>1</v>
      </c>
      <c r="AW23" s="1">
        <f t="shared" si="9"/>
        <v>0</v>
      </c>
      <c r="AX23" s="1">
        <f t="shared" si="10"/>
        <v>0</v>
      </c>
      <c r="AY23" s="1">
        <f t="shared" si="11"/>
        <v>1</v>
      </c>
      <c r="AZ23" s="1">
        <f t="shared" si="12"/>
        <v>0</v>
      </c>
      <c r="BA23" s="1">
        <f t="shared" si="13"/>
        <v>0</v>
      </c>
      <c r="BB23" s="1">
        <f t="shared" si="14"/>
        <v>1</v>
      </c>
      <c r="BC23" s="1">
        <f t="shared" si="15"/>
        <v>0</v>
      </c>
      <c r="BD23" s="1">
        <f t="shared" si="16"/>
        <v>0</v>
      </c>
      <c r="BE23" s="1">
        <f t="shared" si="17"/>
        <v>0</v>
      </c>
      <c r="BF23" s="1">
        <f t="shared" si="33"/>
        <v>0</v>
      </c>
      <c r="BG23" s="1">
        <f t="shared" si="34"/>
        <v>0</v>
      </c>
      <c r="BH23" s="1">
        <f t="shared" si="43"/>
        <v>0</v>
      </c>
      <c r="BI23" s="1">
        <f t="shared" si="44"/>
        <v>0</v>
      </c>
      <c r="BK23" s="1">
        <v>1</v>
      </c>
      <c r="BL23" s="1">
        <f t="shared" si="35"/>
        <v>0</v>
      </c>
      <c r="BM23" s="1">
        <f t="shared" si="36"/>
        <v>0</v>
      </c>
      <c r="BN23" s="1">
        <f t="shared" si="45"/>
        <v>1</v>
      </c>
      <c r="BO23" s="1">
        <f t="shared" si="46"/>
        <v>0</v>
      </c>
    </row>
    <row r="24" ht="15" spans="1:67">
      <c r="A24" s="1">
        <f t="shared" si="20"/>
        <v>22</v>
      </c>
      <c r="C24" t="s">
        <v>793</v>
      </c>
      <c r="D24" s="1">
        <f t="shared" si="21"/>
        <v>1</v>
      </c>
      <c r="E24" s="1">
        <f t="shared" si="37"/>
        <v>0</v>
      </c>
      <c r="F24" s="1">
        <f t="shared" si="23"/>
        <v>1</v>
      </c>
      <c r="G24" s="1">
        <f t="shared" si="38"/>
        <v>0</v>
      </c>
      <c r="H24" s="17">
        <f t="shared" si="39"/>
        <v>1</v>
      </c>
      <c r="I24" s="1" t="str">
        <f t="shared" si="40"/>
        <v>Jakarta</v>
      </c>
      <c r="J24" s="27" t="str">
        <f t="shared" si="41"/>
        <v>Jakarta</v>
      </c>
      <c r="K24" s="30">
        <f t="shared" si="24"/>
        <v>0</v>
      </c>
      <c r="L24" s="31">
        <v>1</v>
      </c>
      <c r="M24" s="32"/>
      <c r="N24" s="24"/>
      <c r="P24" s="24">
        <f t="shared" si="42"/>
        <v>7</v>
      </c>
      <c r="Q24" s="24"/>
      <c r="S24" s="39"/>
      <c r="T24" s="32"/>
      <c r="U24" s="24">
        <v>0</v>
      </c>
      <c r="V24" s="1">
        <v>1</v>
      </c>
      <c r="W24" s="33">
        <v>1</v>
      </c>
      <c r="X24" s="33">
        <v>0</v>
      </c>
      <c r="Y24" s="33">
        <v>0</v>
      </c>
      <c r="Z24" s="33">
        <v>0</v>
      </c>
      <c r="AA24" s="33">
        <v>0</v>
      </c>
      <c r="AB24" s="44">
        <v>0</v>
      </c>
      <c r="AC24" s="45">
        <v>0</v>
      </c>
      <c r="AD24" s="45">
        <v>1</v>
      </c>
      <c r="AE24" s="46">
        <v>0</v>
      </c>
      <c r="AF24" s="43">
        <v>0</v>
      </c>
      <c r="AG24" s="43">
        <v>0</v>
      </c>
      <c r="AH24" s="43">
        <v>0</v>
      </c>
      <c r="AI24" s="43">
        <v>1</v>
      </c>
      <c r="AK24">
        <f t="shared" si="25"/>
        <v>3</v>
      </c>
      <c r="AL24" s="1">
        <f t="shared" si="26"/>
        <v>1</v>
      </c>
      <c r="AM24" s="47"/>
      <c r="AP24" s="1">
        <f t="shared" si="28"/>
        <v>1</v>
      </c>
      <c r="AQ24" s="1">
        <f t="shared" si="29"/>
        <v>1</v>
      </c>
      <c r="AR24" s="1">
        <f t="shared" si="30"/>
        <v>1</v>
      </c>
      <c r="AS24" s="1">
        <f t="shared" si="31"/>
        <v>1</v>
      </c>
      <c r="AT24" s="1">
        <f t="shared" si="32"/>
        <v>1</v>
      </c>
      <c r="AV24" s="1">
        <v>1</v>
      </c>
      <c r="AW24" s="1">
        <f t="shared" si="9"/>
        <v>0</v>
      </c>
      <c r="AX24" s="1">
        <f t="shared" si="10"/>
        <v>0</v>
      </c>
      <c r="AY24" s="1">
        <f t="shared" si="11"/>
        <v>1</v>
      </c>
      <c r="AZ24" s="1">
        <f t="shared" si="12"/>
        <v>0</v>
      </c>
      <c r="BA24" s="1">
        <f t="shared" si="13"/>
        <v>1</v>
      </c>
      <c r="BB24" s="1">
        <f t="shared" si="14"/>
        <v>0</v>
      </c>
      <c r="BC24" s="1">
        <f t="shared" si="15"/>
        <v>0</v>
      </c>
      <c r="BD24" s="1">
        <f t="shared" si="16"/>
        <v>0</v>
      </c>
      <c r="BE24" s="1">
        <f t="shared" si="17"/>
        <v>0</v>
      </c>
      <c r="BF24" s="1">
        <f t="shared" si="33"/>
        <v>0</v>
      </c>
      <c r="BG24" s="1">
        <f t="shared" si="34"/>
        <v>0</v>
      </c>
      <c r="BH24" s="1">
        <f t="shared" si="43"/>
        <v>1</v>
      </c>
      <c r="BI24" s="1">
        <f t="shared" si="44"/>
        <v>0</v>
      </c>
      <c r="BK24" s="1">
        <v>1</v>
      </c>
      <c r="BL24" s="1">
        <f t="shared" si="35"/>
        <v>0</v>
      </c>
      <c r="BM24" s="1">
        <f t="shared" si="36"/>
        <v>0</v>
      </c>
      <c r="BN24" s="1">
        <f t="shared" si="45"/>
        <v>0</v>
      </c>
      <c r="BO24" s="1">
        <f t="shared" si="46"/>
        <v>1</v>
      </c>
    </row>
    <row r="25" ht="15" spans="1:67">
      <c r="A25" s="1">
        <f t="shared" si="20"/>
        <v>23</v>
      </c>
      <c r="C25" t="s">
        <v>999</v>
      </c>
      <c r="D25" s="1">
        <f t="shared" si="21"/>
        <v>1</v>
      </c>
      <c r="E25" s="1">
        <f t="shared" si="37"/>
        <v>0</v>
      </c>
      <c r="F25" s="1">
        <f t="shared" si="23"/>
        <v>1</v>
      </c>
      <c r="G25" s="1">
        <f t="shared" si="38"/>
        <v>0</v>
      </c>
      <c r="H25" s="17">
        <f t="shared" si="39"/>
        <v>1</v>
      </c>
      <c r="I25" s="1" t="str">
        <f t="shared" si="40"/>
        <v>Jeddah</v>
      </c>
      <c r="J25" s="27" t="str">
        <f t="shared" si="41"/>
        <v>Jeddah</v>
      </c>
      <c r="K25" s="30">
        <f t="shared" si="24"/>
        <v>0</v>
      </c>
      <c r="L25" s="31">
        <v>1</v>
      </c>
      <c r="M25" s="32"/>
      <c r="N25" s="24"/>
      <c r="P25" s="24">
        <f t="shared" si="42"/>
        <v>3</v>
      </c>
      <c r="Q25" s="24"/>
      <c r="S25" s="39"/>
      <c r="T25" s="32"/>
      <c r="U25" s="24">
        <v>0</v>
      </c>
      <c r="V25" s="1">
        <v>1</v>
      </c>
      <c r="W25" s="33">
        <v>0</v>
      </c>
      <c r="X25" s="33">
        <v>0</v>
      </c>
      <c r="Y25" s="33">
        <v>0</v>
      </c>
      <c r="Z25" s="33">
        <v>1</v>
      </c>
      <c r="AA25" s="33">
        <v>0</v>
      </c>
      <c r="AB25" s="44">
        <v>1</v>
      </c>
      <c r="AC25" s="45">
        <v>0</v>
      </c>
      <c r="AD25" s="45">
        <v>0</v>
      </c>
      <c r="AE25" s="46">
        <v>0</v>
      </c>
      <c r="AF25" s="43">
        <v>1</v>
      </c>
      <c r="AG25" s="43">
        <v>0</v>
      </c>
      <c r="AH25" s="43">
        <v>0</v>
      </c>
      <c r="AI25" s="43">
        <v>0</v>
      </c>
      <c r="AK25">
        <f t="shared" si="25"/>
        <v>1</v>
      </c>
      <c r="AL25" s="1">
        <f t="shared" si="26"/>
        <v>4</v>
      </c>
      <c r="AM25" s="47"/>
      <c r="AP25" s="1">
        <f t="shared" si="28"/>
        <v>1</v>
      </c>
      <c r="AQ25" s="1">
        <f t="shared" si="29"/>
        <v>1</v>
      </c>
      <c r="AR25" s="1">
        <f t="shared" si="30"/>
        <v>1</v>
      </c>
      <c r="AS25" s="1">
        <f t="shared" si="31"/>
        <v>1</v>
      </c>
      <c r="AT25" s="1">
        <f t="shared" si="32"/>
        <v>1</v>
      </c>
      <c r="AV25" s="1">
        <v>1</v>
      </c>
      <c r="AW25" s="1">
        <f t="shared" si="9"/>
        <v>1</v>
      </c>
      <c r="AX25" s="1">
        <f t="shared" si="10"/>
        <v>0</v>
      </c>
      <c r="AY25" s="1">
        <f t="shared" si="11"/>
        <v>0</v>
      </c>
      <c r="AZ25" s="1">
        <f t="shared" si="12"/>
        <v>0</v>
      </c>
      <c r="BA25" s="1">
        <f t="shared" si="13"/>
        <v>0</v>
      </c>
      <c r="BB25" s="1">
        <f t="shared" si="14"/>
        <v>0</v>
      </c>
      <c r="BC25" s="1">
        <f t="shared" si="15"/>
        <v>0</v>
      </c>
      <c r="BD25" s="1">
        <f t="shared" si="16"/>
        <v>1</v>
      </c>
      <c r="BE25" s="1">
        <f t="shared" si="17"/>
        <v>0</v>
      </c>
      <c r="BF25" s="1">
        <f t="shared" si="33"/>
        <v>1</v>
      </c>
      <c r="BG25" s="1">
        <f t="shared" si="34"/>
        <v>0</v>
      </c>
      <c r="BH25" s="1">
        <f t="shared" si="43"/>
        <v>0</v>
      </c>
      <c r="BI25" s="1">
        <f t="shared" si="44"/>
        <v>0</v>
      </c>
      <c r="BK25" s="1">
        <v>1</v>
      </c>
      <c r="BL25" s="1">
        <f t="shared" si="35"/>
        <v>1</v>
      </c>
      <c r="BM25" s="1">
        <f t="shared" si="36"/>
        <v>0</v>
      </c>
      <c r="BN25" s="1">
        <f t="shared" si="45"/>
        <v>0</v>
      </c>
      <c r="BO25" s="1">
        <f t="shared" si="46"/>
        <v>0</v>
      </c>
    </row>
    <row r="26" ht="15" spans="1:67">
      <c r="A26" s="1">
        <f t="shared" si="20"/>
        <v>24</v>
      </c>
      <c r="C26" t="s">
        <v>794</v>
      </c>
      <c r="D26" s="1">
        <f t="shared" si="21"/>
        <v>1</v>
      </c>
      <c r="E26" s="1">
        <f t="shared" si="37"/>
        <v>0</v>
      </c>
      <c r="F26" s="1">
        <f t="shared" si="23"/>
        <v>1</v>
      </c>
      <c r="G26" s="1">
        <f t="shared" si="38"/>
        <v>0</v>
      </c>
      <c r="H26" s="17">
        <f t="shared" si="39"/>
        <v>1</v>
      </c>
      <c r="I26" s="1" t="str">
        <f t="shared" si="40"/>
        <v>Johannesburg</v>
      </c>
      <c r="J26" s="27" t="str">
        <f t="shared" si="41"/>
        <v>Johannesburg</v>
      </c>
      <c r="K26" s="30">
        <f t="shared" si="24"/>
        <v>0</v>
      </c>
      <c r="L26" s="31">
        <v>1</v>
      </c>
      <c r="M26" s="32"/>
      <c r="N26" s="24"/>
      <c r="P26" s="24">
        <f t="shared" si="42"/>
        <v>3</v>
      </c>
      <c r="Q26" s="24"/>
      <c r="S26" s="39"/>
      <c r="T26" s="32"/>
      <c r="U26" s="24">
        <v>0</v>
      </c>
      <c r="V26" s="1">
        <v>1</v>
      </c>
      <c r="W26" s="33">
        <v>0</v>
      </c>
      <c r="X26" s="33">
        <v>0</v>
      </c>
      <c r="Y26" s="33">
        <v>0</v>
      </c>
      <c r="Z26" s="33">
        <v>1</v>
      </c>
      <c r="AA26" s="33">
        <v>0</v>
      </c>
      <c r="AB26" s="44">
        <v>0</v>
      </c>
      <c r="AC26" s="45">
        <v>0</v>
      </c>
      <c r="AD26" s="45">
        <v>1</v>
      </c>
      <c r="AE26" s="46">
        <v>0</v>
      </c>
      <c r="AF26" s="43">
        <v>0</v>
      </c>
      <c r="AG26" s="43">
        <v>1</v>
      </c>
      <c r="AH26" s="43">
        <v>0</v>
      </c>
      <c r="AI26" s="43">
        <v>0</v>
      </c>
      <c r="AK26">
        <f t="shared" si="25"/>
        <v>3</v>
      </c>
      <c r="AL26" s="1">
        <f t="shared" si="26"/>
        <v>4</v>
      </c>
      <c r="AM26" s="47"/>
      <c r="AP26" s="1">
        <f t="shared" si="28"/>
        <v>1</v>
      </c>
      <c r="AQ26" s="1">
        <f t="shared" si="29"/>
        <v>1</v>
      </c>
      <c r="AR26" s="1">
        <f t="shared" si="30"/>
        <v>1</v>
      </c>
      <c r="AS26" s="1">
        <f t="shared" si="31"/>
        <v>1</v>
      </c>
      <c r="AT26" s="1">
        <f t="shared" si="32"/>
        <v>1</v>
      </c>
      <c r="AV26" s="1">
        <v>1</v>
      </c>
      <c r="AW26" s="1">
        <f t="shared" si="9"/>
        <v>0</v>
      </c>
      <c r="AX26" s="1">
        <f t="shared" si="10"/>
        <v>0</v>
      </c>
      <c r="AY26" s="1">
        <f t="shared" si="11"/>
        <v>1</v>
      </c>
      <c r="AZ26" s="1">
        <f t="shared" si="12"/>
        <v>0</v>
      </c>
      <c r="BA26" s="1">
        <f t="shared" si="13"/>
        <v>0</v>
      </c>
      <c r="BB26" s="1">
        <f t="shared" si="14"/>
        <v>0</v>
      </c>
      <c r="BC26" s="1">
        <f t="shared" si="15"/>
        <v>0</v>
      </c>
      <c r="BD26" s="1">
        <f t="shared" si="16"/>
        <v>1</v>
      </c>
      <c r="BE26" s="1">
        <f t="shared" si="17"/>
        <v>0</v>
      </c>
      <c r="BF26" s="1">
        <f t="shared" si="33"/>
        <v>0</v>
      </c>
      <c r="BG26" s="1">
        <f t="shared" si="34"/>
        <v>1</v>
      </c>
      <c r="BH26" s="1">
        <f t="shared" si="43"/>
        <v>0</v>
      </c>
      <c r="BI26" s="1">
        <f t="shared" si="44"/>
        <v>0</v>
      </c>
      <c r="BK26" s="1">
        <v>1</v>
      </c>
      <c r="BL26" s="1">
        <f t="shared" si="35"/>
        <v>0</v>
      </c>
      <c r="BM26" s="1">
        <f t="shared" si="36"/>
        <v>1</v>
      </c>
      <c r="BN26" s="1">
        <f t="shared" si="45"/>
        <v>0</v>
      </c>
      <c r="BO26" s="1">
        <f t="shared" si="46"/>
        <v>0</v>
      </c>
    </row>
    <row r="27" ht="15" spans="1:67">
      <c r="A27" s="1">
        <f t="shared" si="20"/>
        <v>25</v>
      </c>
      <c r="C27" t="s">
        <v>1000</v>
      </c>
      <c r="D27" s="1">
        <f t="shared" si="21"/>
        <v>1</v>
      </c>
      <c r="E27" s="1">
        <f t="shared" si="37"/>
        <v>0</v>
      </c>
      <c r="F27" s="1">
        <f t="shared" si="23"/>
        <v>1</v>
      </c>
      <c r="G27" s="1">
        <f t="shared" si="38"/>
        <v>0</v>
      </c>
      <c r="H27" s="17">
        <f t="shared" si="39"/>
        <v>1</v>
      </c>
      <c r="I27" s="1" t="str">
        <f t="shared" si="40"/>
        <v>Karachi</v>
      </c>
      <c r="J27" s="27" t="str">
        <f t="shared" si="41"/>
        <v>Karachi</v>
      </c>
      <c r="K27" s="30">
        <f t="shared" si="24"/>
        <v>0</v>
      </c>
      <c r="L27" s="31">
        <v>1</v>
      </c>
      <c r="M27" s="32"/>
      <c r="N27" s="24"/>
      <c r="P27" s="24">
        <f t="shared" si="42"/>
        <v>8</v>
      </c>
      <c r="Q27" s="24"/>
      <c r="S27" s="39"/>
      <c r="T27" s="32"/>
      <c r="U27" s="24">
        <v>0</v>
      </c>
      <c r="V27" s="1">
        <v>1</v>
      </c>
      <c r="W27" s="33">
        <v>1</v>
      </c>
      <c r="X27" s="33">
        <v>0</v>
      </c>
      <c r="Y27" s="33">
        <v>0</v>
      </c>
      <c r="Z27" s="33">
        <v>0</v>
      </c>
      <c r="AA27" s="33">
        <v>0</v>
      </c>
      <c r="AB27" s="44">
        <v>0</v>
      </c>
      <c r="AC27" s="45">
        <v>0</v>
      </c>
      <c r="AD27" s="45">
        <v>0</v>
      </c>
      <c r="AE27" s="46">
        <v>1</v>
      </c>
      <c r="AF27" s="43">
        <v>0</v>
      </c>
      <c r="AG27" s="43">
        <v>0</v>
      </c>
      <c r="AH27" s="43">
        <v>0</v>
      </c>
      <c r="AI27" s="43">
        <v>1</v>
      </c>
      <c r="AK27">
        <f t="shared" si="25"/>
        <v>4</v>
      </c>
      <c r="AL27" s="1">
        <f t="shared" si="26"/>
        <v>1</v>
      </c>
      <c r="AM27" s="47"/>
      <c r="AP27" s="1">
        <f t="shared" si="28"/>
        <v>1</v>
      </c>
      <c r="AQ27" s="1">
        <f t="shared" si="29"/>
        <v>1</v>
      </c>
      <c r="AR27" s="1">
        <f t="shared" si="30"/>
        <v>1</v>
      </c>
      <c r="AS27" s="1">
        <f t="shared" si="31"/>
        <v>1</v>
      </c>
      <c r="AT27" s="1">
        <f t="shared" si="32"/>
        <v>1</v>
      </c>
      <c r="AV27" s="1">
        <v>1</v>
      </c>
      <c r="AW27" s="1">
        <f t="shared" si="9"/>
        <v>0</v>
      </c>
      <c r="AX27" s="1">
        <f t="shared" si="10"/>
        <v>0</v>
      </c>
      <c r="AY27" s="1">
        <f t="shared" si="11"/>
        <v>0</v>
      </c>
      <c r="AZ27" s="1">
        <f t="shared" si="12"/>
        <v>1</v>
      </c>
      <c r="BA27" s="1">
        <f t="shared" si="13"/>
        <v>1</v>
      </c>
      <c r="BB27" s="1">
        <f t="shared" si="14"/>
        <v>0</v>
      </c>
      <c r="BC27" s="1">
        <f t="shared" si="15"/>
        <v>0</v>
      </c>
      <c r="BD27" s="1">
        <f t="shared" si="16"/>
        <v>0</v>
      </c>
      <c r="BE27" s="1">
        <f t="shared" si="17"/>
        <v>0</v>
      </c>
      <c r="BF27" s="1">
        <f t="shared" si="33"/>
        <v>0</v>
      </c>
      <c r="BG27" s="1">
        <f t="shared" si="34"/>
        <v>0</v>
      </c>
      <c r="BH27" s="1">
        <f t="shared" si="43"/>
        <v>1</v>
      </c>
      <c r="BI27" s="1">
        <f t="shared" si="44"/>
        <v>0</v>
      </c>
      <c r="BK27" s="1">
        <v>1</v>
      </c>
      <c r="BL27" s="1">
        <f t="shared" si="35"/>
        <v>0</v>
      </c>
      <c r="BM27" s="1">
        <f t="shared" si="36"/>
        <v>0</v>
      </c>
      <c r="BN27" s="1">
        <f t="shared" si="45"/>
        <v>0</v>
      </c>
      <c r="BO27" s="1">
        <f t="shared" si="46"/>
        <v>1</v>
      </c>
    </row>
    <row r="28" ht="15" spans="1:67">
      <c r="A28" s="1">
        <f t="shared" si="20"/>
        <v>26</v>
      </c>
      <c r="C28" t="s">
        <v>1001</v>
      </c>
      <c r="D28" s="1">
        <f t="shared" si="21"/>
        <v>1</v>
      </c>
      <c r="E28" s="1">
        <f t="shared" si="37"/>
        <v>0</v>
      </c>
      <c r="F28" s="1">
        <f t="shared" si="23"/>
        <v>1</v>
      </c>
      <c r="G28" s="1">
        <f t="shared" si="38"/>
        <v>0</v>
      </c>
      <c r="H28" s="17">
        <f t="shared" si="39"/>
        <v>1</v>
      </c>
      <c r="I28" s="1" t="str">
        <f t="shared" si="40"/>
        <v>KualaLumpur</v>
      </c>
      <c r="J28" s="27" t="str">
        <f t="shared" si="41"/>
        <v>Kuala Lumpur</v>
      </c>
      <c r="K28" s="30">
        <f t="shared" si="24"/>
        <v>0</v>
      </c>
      <c r="L28" s="31">
        <v>1</v>
      </c>
      <c r="M28" s="32"/>
      <c r="N28" s="24"/>
      <c r="P28" s="24">
        <f t="shared" si="42"/>
        <v>7</v>
      </c>
      <c r="Q28" s="24"/>
      <c r="S28" s="39"/>
      <c r="T28" s="32"/>
      <c r="U28" s="24">
        <v>0</v>
      </c>
      <c r="V28" s="1">
        <v>1</v>
      </c>
      <c r="W28" s="33">
        <v>1</v>
      </c>
      <c r="X28" s="33">
        <v>0</v>
      </c>
      <c r="Y28" s="33">
        <v>0</v>
      </c>
      <c r="Z28" s="33">
        <v>0</v>
      </c>
      <c r="AA28" s="33">
        <v>0</v>
      </c>
      <c r="AB28" s="44">
        <v>0</v>
      </c>
      <c r="AC28" s="45">
        <v>0</v>
      </c>
      <c r="AD28" s="45">
        <v>1</v>
      </c>
      <c r="AE28" s="46">
        <v>0</v>
      </c>
      <c r="AF28" s="43">
        <v>0</v>
      </c>
      <c r="AG28" s="43">
        <v>1</v>
      </c>
      <c r="AH28" s="43">
        <v>0</v>
      </c>
      <c r="AI28" s="43">
        <v>0</v>
      </c>
      <c r="AK28">
        <f t="shared" si="25"/>
        <v>3</v>
      </c>
      <c r="AL28" s="1">
        <f t="shared" si="26"/>
        <v>1</v>
      </c>
      <c r="AM28" s="47"/>
      <c r="AP28" s="1">
        <f t="shared" si="28"/>
        <v>1</v>
      </c>
      <c r="AQ28" s="1">
        <f t="shared" si="29"/>
        <v>1</v>
      </c>
      <c r="AR28" s="1">
        <f t="shared" si="30"/>
        <v>1</v>
      </c>
      <c r="AS28" s="1">
        <f t="shared" si="31"/>
        <v>1</v>
      </c>
      <c r="AT28" s="1">
        <f t="shared" si="32"/>
        <v>1</v>
      </c>
      <c r="AV28" s="1">
        <v>1</v>
      </c>
      <c r="AW28" s="1">
        <f t="shared" si="9"/>
        <v>0</v>
      </c>
      <c r="AX28" s="1">
        <f t="shared" si="10"/>
        <v>0</v>
      </c>
      <c r="AY28" s="1">
        <f t="shared" si="11"/>
        <v>1</v>
      </c>
      <c r="AZ28" s="1">
        <f t="shared" si="12"/>
        <v>0</v>
      </c>
      <c r="BA28" s="1">
        <f t="shared" si="13"/>
        <v>1</v>
      </c>
      <c r="BB28" s="1">
        <f t="shared" si="14"/>
        <v>0</v>
      </c>
      <c r="BC28" s="1">
        <f t="shared" si="15"/>
        <v>0</v>
      </c>
      <c r="BD28" s="1">
        <f t="shared" si="16"/>
        <v>0</v>
      </c>
      <c r="BE28" s="1">
        <f t="shared" si="17"/>
        <v>0</v>
      </c>
      <c r="BF28" s="1">
        <f t="shared" si="33"/>
        <v>0</v>
      </c>
      <c r="BG28" s="1">
        <f t="shared" si="34"/>
        <v>1</v>
      </c>
      <c r="BH28" s="1">
        <f t="shared" si="43"/>
        <v>0</v>
      </c>
      <c r="BI28" s="1">
        <f t="shared" si="44"/>
        <v>0</v>
      </c>
      <c r="BK28" s="1">
        <v>1</v>
      </c>
      <c r="BL28" s="1">
        <f t="shared" si="35"/>
        <v>0</v>
      </c>
      <c r="BM28" s="1">
        <f t="shared" si="36"/>
        <v>1</v>
      </c>
      <c r="BN28" s="1">
        <f t="shared" si="45"/>
        <v>0</v>
      </c>
      <c r="BO28" s="1">
        <f t="shared" si="46"/>
        <v>0</v>
      </c>
    </row>
    <row r="29" ht="15" spans="1:67">
      <c r="A29" s="1">
        <f t="shared" si="20"/>
        <v>27</v>
      </c>
      <c r="C29" t="s">
        <v>795</v>
      </c>
      <c r="D29" s="1">
        <f t="shared" si="21"/>
        <v>1</v>
      </c>
      <c r="E29" s="1">
        <f t="shared" si="37"/>
        <v>0</v>
      </c>
      <c r="F29" s="1">
        <f t="shared" si="23"/>
        <v>1</v>
      </c>
      <c r="G29" s="1">
        <f t="shared" si="38"/>
        <v>0</v>
      </c>
      <c r="H29" s="17">
        <f t="shared" si="39"/>
        <v>1</v>
      </c>
      <c r="I29" s="1" t="str">
        <f t="shared" si="40"/>
        <v>KuwaitCity</v>
      </c>
      <c r="J29" s="27" t="str">
        <f t="shared" si="41"/>
        <v>Kuwait City</v>
      </c>
      <c r="K29" s="30">
        <f t="shared" si="24"/>
        <v>0</v>
      </c>
      <c r="L29" s="31">
        <v>1</v>
      </c>
      <c r="M29" s="32"/>
      <c r="N29" s="24"/>
      <c r="P29" s="24">
        <f t="shared" si="42"/>
        <v>3</v>
      </c>
      <c r="Q29" s="24"/>
      <c r="S29" s="39"/>
      <c r="T29" s="32"/>
      <c r="U29" s="24">
        <v>0</v>
      </c>
      <c r="V29" s="1">
        <v>1</v>
      </c>
      <c r="W29" s="33">
        <v>0</v>
      </c>
      <c r="X29" s="33">
        <v>0</v>
      </c>
      <c r="Y29" s="33">
        <v>0</v>
      </c>
      <c r="Z29" s="33">
        <v>1</v>
      </c>
      <c r="AA29" s="33">
        <v>0</v>
      </c>
      <c r="AB29" s="44">
        <v>1</v>
      </c>
      <c r="AC29" s="45">
        <v>0</v>
      </c>
      <c r="AD29" s="45">
        <v>0</v>
      </c>
      <c r="AE29" s="46">
        <v>0</v>
      </c>
      <c r="AF29" s="43">
        <v>1</v>
      </c>
      <c r="AG29" s="43">
        <v>0</v>
      </c>
      <c r="AH29" s="43">
        <v>0</v>
      </c>
      <c r="AI29" s="43">
        <v>0</v>
      </c>
      <c r="AK29">
        <f t="shared" si="25"/>
        <v>1</v>
      </c>
      <c r="AL29" s="1">
        <f t="shared" si="26"/>
        <v>4</v>
      </c>
      <c r="AM29" s="47"/>
      <c r="AP29" s="1">
        <f t="shared" si="28"/>
        <v>1</v>
      </c>
      <c r="AQ29" s="1">
        <f t="shared" si="29"/>
        <v>1</v>
      </c>
      <c r="AR29" s="1">
        <f t="shared" si="30"/>
        <v>1</v>
      </c>
      <c r="AS29" s="1">
        <f t="shared" si="31"/>
        <v>1</v>
      </c>
      <c r="AT29" s="1">
        <f t="shared" si="32"/>
        <v>1</v>
      </c>
      <c r="AV29" s="1">
        <v>1</v>
      </c>
      <c r="AW29" s="1">
        <f t="shared" si="9"/>
        <v>1</v>
      </c>
      <c r="AX29" s="1">
        <f t="shared" si="10"/>
        <v>0</v>
      </c>
      <c r="AY29" s="1">
        <f t="shared" si="11"/>
        <v>0</v>
      </c>
      <c r="AZ29" s="1">
        <f t="shared" si="12"/>
        <v>0</v>
      </c>
      <c r="BA29" s="1">
        <f t="shared" si="13"/>
        <v>0</v>
      </c>
      <c r="BB29" s="1">
        <f t="shared" si="14"/>
        <v>0</v>
      </c>
      <c r="BC29" s="1">
        <f t="shared" si="15"/>
        <v>0</v>
      </c>
      <c r="BD29" s="1">
        <f t="shared" si="16"/>
        <v>1</v>
      </c>
      <c r="BE29" s="1">
        <f t="shared" si="17"/>
        <v>0</v>
      </c>
      <c r="BF29" s="1">
        <f t="shared" si="33"/>
        <v>1</v>
      </c>
      <c r="BG29" s="1">
        <f t="shared" si="34"/>
        <v>0</v>
      </c>
      <c r="BH29" s="1">
        <f t="shared" si="43"/>
        <v>0</v>
      </c>
      <c r="BI29" s="1">
        <f t="shared" si="44"/>
        <v>0</v>
      </c>
      <c r="BK29" s="1">
        <v>1</v>
      </c>
      <c r="BL29" s="1">
        <f t="shared" si="35"/>
        <v>1</v>
      </c>
      <c r="BM29" s="1">
        <f t="shared" si="36"/>
        <v>0</v>
      </c>
      <c r="BN29" s="1">
        <f t="shared" si="45"/>
        <v>0</v>
      </c>
      <c r="BO29" s="1">
        <f t="shared" si="46"/>
        <v>0</v>
      </c>
    </row>
    <row r="30" ht="15" spans="1:67">
      <c r="A30" s="1">
        <f t="shared" si="20"/>
        <v>28</v>
      </c>
      <c r="C30" t="s">
        <v>796</v>
      </c>
      <c r="D30" s="1">
        <f t="shared" si="21"/>
        <v>1</v>
      </c>
      <c r="E30" s="1">
        <f t="shared" si="37"/>
        <v>0</v>
      </c>
      <c r="F30" s="1">
        <f t="shared" si="23"/>
        <v>1</v>
      </c>
      <c r="G30" s="1">
        <f t="shared" si="38"/>
        <v>0</v>
      </c>
      <c r="H30" s="17">
        <f t="shared" si="39"/>
        <v>1</v>
      </c>
      <c r="I30" s="1" t="str">
        <f t="shared" si="40"/>
        <v>Lima</v>
      </c>
      <c r="J30" s="27" t="str">
        <f t="shared" si="41"/>
        <v>Lima</v>
      </c>
      <c r="K30" s="30">
        <f t="shared" si="24"/>
        <v>0</v>
      </c>
      <c r="L30" s="31">
        <v>1</v>
      </c>
      <c r="M30" s="32"/>
      <c r="N30" s="24"/>
      <c r="P30" s="24">
        <f t="shared" si="42"/>
        <v>2</v>
      </c>
      <c r="Q30" s="24"/>
      <c r="S30" s="39"/>
      <c r="T30" s="32"/>
      <c r="U30" s="24">
        <v>0</v>
      </c>
      <c r="V30" s="1">
        <v>1</v>
      </c>
      <c r="W30" s="33">
        <v>0</v>
      </c>
      <c r="X30" s="33">
        <v>0</v>
      </c>
      <c r="Y30" s="33">
        <v>1</v>
      </c>
      <c r="Z30" s="33">
        <v>0</v>
      </c>
      <c r="AA30" s="33">
        <v>0</v>
      </c>
      <c r="AB30" s="44">
        <v>0</v>
      </c>
      <c r="AC30" s="45">
        <v>0</v>
      </c>
      <c r="AD30" s="45">
        <v>1</v>
      </c>
      <c r="AE30" s="46">
        <v>0</v>
      </c>
      <c r="AF30" s="43">
        <v>0</v>
      </c>
      <c r="AG30" s="43">
        <v>0</v>
      </c>
      <c r="AH30" s="43">
        <v>1</v>
      </c>
      <c r="AI30" s="43">
        <v>0</v>
      </c>
      <c r="AK30">
        <f t="shared" si="25"/>
        <v>3</v>
      </c>
      <c r="AL30" s="1">
        <f t="shared" si="26"/>
        <v>3</v>
      </c>
      <c r="AM30" s="47"/>
      <c r="AP30" s="1">
        <f t="shared" si="28"/>
        <v>1</v>
      </c>
      <c r="AQ30" s="1">
        <f t="shared" si="29"/>
        <v>1</v>
      </c>
      <c r="AR30" s="1">
        <f t="shared" si="30"/>
        <v>1</v>
      </c>
      <c r="AS30" s="1">
        <f t="shared" si="31"/>
        <v>1</v>
      </c>
      <c r="AT30" s="1">
        <f t="shared" si="32"/>
        <v>1</v>
      </c>
      <c r="AV30" s="1">
        <v>1</v>
      </c>
      <c r="AW30" s="1">
        <f t="shared" si="9"/>
        <v>0</v>
      </c>
      <c r="AX30" s="1">
        <f t="shared" si="10"/>
        <v>0</v>
      </c>
      <c r="AY30" s="1">
        <f t="shared" si="11"/>
        <v>1</v>
      </c>
      <c r="AZ30" s="1">
        <f t="shared" si="12"/>
        <v>0</v>
      </c>
      <c r="BA30" s="1">
        <f t="shared" si="13"/>
        <v>0</v>
      </c>
      <c r="BB30" s="1">
        <f t="shared" si="14"/>
        <v>0</v>
      </c>
      <c r="BC30" s="1">
        <f t="shared" si="15"/>
        <v>1</v>
      </c>
      <c r="BD30" s="1">
        <f t="shared" si="16"/>
        <v>0</v>
      </c>
      <c r="BE30" s="1">
        <f t="shared" si="17"/>
        <v>0</v>
      </c>
      <c r="BF30" s="1">
        <f t="shared" si="33"/>
        <v>0</v>
      </c>
      <c r="BG30" s="1">
        <f t="shared" si="34"/>
        <v>0</v>
      </c>
      <c r="BH30" s="1">
        <f t="shared" si="43"/>
        <v>0</v>
      </c>
      <c r="BI30" s="1">
        <f t="shared" si="44"/>
        <v>0</v>
      </c>
      <c r="BK30" s="1">
        <v>1</v>
      </c>
      <c r="BL30" s="1">
        <f t="shared" si="35"/>
        <v>0</v>
      </c>
      <c r="BM30" s="1">
        <f t="shared" si="36"/>
        <v>0</v>
      </c>
      <c r="BN30" s="1">
        <f t="shared" si="45"/>
        <v>1</v>
      </c>
      <c r="BO30" s="1">
        <f t="shared" si="46"/>
        <v>0</v>
      </c>
    </row>
    <row r="31" ht="15" spans="1:67">
      <c r="A31" s="1">
        <f t="shared" si="20"/>
        <v>29</v>
      </c>
      <c r="C31" t="s">
        <v>797</v>
      </c>
      <c r="D31" s="1">
        <f t="shared" si="21"/>
        <v>1</v>
      </c>
      <c r="E31" s="1">
        <f t="shared" si="37"/>
        <v>0</v>
      </c>
      <c r="F31" s="1">
        <f t="shared" si="23"/>
        <v>1</v>
      </c>
      <c r="G31" s="1">
        <f t="shared" si="38"/>
        <v>0</v>
      </c>
      <c r="H31" s="17">
        <f t="shared" si="39"/>
        <v>1</v>
      </c>
      <c r="I31" s="1" t="str">
        <f t="shared" si="40"/>
        <v>London</v>
      </c>
      <c r="J31" s="27" t="str">
        <f t="shared" si="41"/>
        <v>London</v>
      </c>
      <c r="K31" s="30">
        <f t="shared" si="24"/>
        <v>0</v>
      </c>
      <c r="L31" s="31">
        <v>1</v>
      </c>
      <c r="M31" s="32"/>
      <c r="N31" s="24"/>
      <c r="P31" s="24">
        <f t="shared" si="42"/>
        <v>1</v>
      </c>
      <c r="Q31" s="24"/>
      <c r="S31" s="39"/>
      <c r="T31" s="32"/>
      <c r="U31" s="24">
        <v>0</v>
      </c>
      <c r="V31" s="1">
        <v>1</v>
      </c>
      <c r="W31" s="33">
        <v>0</v>
      </c>
      <c r="X31" s="33">
        <v>1</v>
      </c>
      <c r="Y31" s="33">
        <v>0</v>
      </c>
      <c r="Z31" s="33">
        <v>0</v>
      </c>
      <c r="AA31" s="33">
        <v>0</v>
      </c>
      <c r="AB31" s="44">
        <v>0</v>
      </c>
      <c r="AC31" s="45">
        <v>1</v>
      </c>
      <c r="AD31" s="45">
        <v>0</v>
      </c>
      <c r="AE31" s="46">
        <v>0</v>
      </c>
      <c r="AF31" s="43">
        <v>0</v>
      </c>
      <c r="AG31" s="43">
        <v>0</v>
      </c>
      <c r="AH31" s="43">
        <v>1</v>
      </c>
      <c r="AI31" s="43">
        <v>0</v>
      </c>
      <c r="AK31">
        <f t="shared" si="25"/>
        <v>2</v>
      </c>
      <c r="AL31" s="1">
        <f t="shared" si="26"/>
        <v>2</v>
      </c>
      <c r="AM31" s="47"/>
      <c r="AP31" s="1">
        <f t="shared" si="28"/>
        <v>1</v>
      </c>
      <c r="AQ31" s="1">
        <f t="shared" si="29"/>
        <v>1</v>
      </c>
      <c r="AR31" s="1">
        <f t="shared" si="30"/>
        <v>1</v>
      </c>
      <c r="AS31" s="1">
        <f t="shared" si="31"/>
        <v>1</v>
      </c>
      <c r="AT31" s="1">
        <f t="shared" si="32"/>
        <v>1</v>
      </c>
      <c r="AV31" s="1">
        <v>1</v>
      </c>
      <c r="AW31" s="1">
        <f t="shared" si="9"/>
        <v>0</v>
      </c>
      <c r="AX31" s="1">
        <f t="shared" si="10"/>
        <v>1</v>
      </c>
      <c r="AY31" s="1">
        <f t="shared" si="11"/>
        <v>0</v>
      </c>
      <c r="AZ31" s="1">
        <f t="shared" si="12"/>
        <v>0</v>
      </c>
      <c r="BA31" s="1">
        <f t="shared" si="13"/>
        <v>0</v>
      </c>
      <c r="BB31" s="1">
        <f t="shared" si="14"/>
        <v>1</v>
      </c>
      <c r="BC31" s="1">
        <f t="shared" si="15"/>
        <v>0</v>
      </c>
      <c r="BD31" s="1">
        <f t="shared" si="16"/>
        <v>0</v>
      </c>
      <c r="BE31" s="1">
        <f t="shared" si="17"/>
        <v>0</v>
      </c>
      <c r="BF31" s="1">
        <f t="shared" si="33"/>
        <v>0</v>
      </c>
      <c r="BG31" s="1">
        <f t="shared" si="34"/>
        <v>0</v>
      </c>
      <c r="BH31" s="1">
        <f t="shared" si="43"/>
        <v>0</v>
      </c>
      <c r="BI31" s="1">
        <f t="shared" si="44"/>
        <v>0</v>
      </c>
      <c r="BK31" s="1">
        <v>1</v>
      </c>
      <c r="BL31" s="1">
        <f t="shared" si="35"/>
        <v>0</v>
      </c>
      <c r="BM31" s="1">
        <f t="shared" si="36"/>
        <v>0</v>
      </c>
      <c r="BN31" s="1">
        <f t="shared" si="45"/>
        <v>1</v>
      </c>
      <c r="BO31" s="1">
        <f t="shared" si="46"/>
        <v>0</v>
      </c>
    </row>
    <row r="32" ht="15" spans="1:67">
      <c r="A32" s="1">
        <f t="shared" si="20"/>
        <v>30</v>
      </c>
      <c r="C32" t="s">
        <v>798</v>
      </c>
      <c r="D32" s="1">
        <f t="shared" si="21"/>
        <v>1</v>
      </c>
      <c r="E32" s="1">
        <f t="shared" si="37"/>
        <v>0</v>
      </c>
      <c r="F32" s="1">
        <f t="shared" si="23"/>
        <v>1</v>
      </c>
      <c r="G32" s="1">
        <f t="shared" si="38"/>
        <v>0</v>
      </c>
      <c r="H32" s="17">
        <f t="shared" si="39"/>
        <v>1</v>
      </c>
      <c r="I32" s="1" t="str">
        <f t="shared" si="40"/>
        <v>LosAngeles</v>
      </c>
      <c r="J32" s="27" t="str">
        <f t="shared" si="41"/>
        <v>Los Angeles</v>
      </c>
      <c r="K32" s="30">
        <f t="shared" si="24"/>
        <v>0</v>
      </c>
      <c r="L32" s="31">
        <v>1</v>
      </c>
      <c r="M32" s="32"/>
      <c r="N32" s="24"/>
      <c r="P32" s="24">
        <f t="shared" si="42"/>
        <v>4</v>
      </c>
      <c r="Q32" s="24"/>
      <c r="S32" s="39"/>
      <c r="T32" s="32"/>
      <c r="U32" s="24">
        <v>0</v>
      </c>
      <c r="V32" s="1">
        <v>1</v>
      </c>
      <c r="W32" s="33">
        <v>0</v>
      </c>
      <c r="X32" s="33">
        <v>0</v>
      </c>
      <c r="Y32" s="33">
        <v>0</v>
      </c>
      <c r="Z32" s="33">
        <v>0</v>
      </c>
      <c r="AA32" s="33">
        <v>1</v>
      </c>
      <c r="AB32" s="44">
        <v>1</v>
      </c>
      <c r="AC32" s="45">
        <v>0</v>
      </c>
      <c r="AD32" s="45">
        <v>0</v>
      </c>
      <c r="AE32" s="46">
        <v>0</v>
      </c>
      <c r="AF32" s="43">
        <v>0</v>
      </c>
      <c r="AG32" s="43">
        <v>0</v>
      </c>
      <c r="AH32" s="43">
        <v>1</v>
      </c>
      <c r="AI32" s="43">
        <v>0</v>
      </c>
      <c r="AK32">
        <f t="shared" si="25"/>
        <v>1</v>
      </c>
      <c r="AL32" s="1">
        <f t="shared" si="26"/>
        <v>5</v>
      </c>
      <c r="AM32" s="47"/>
      <c r="AP32" s="1">
        <f t="shared" si="28"/>
        <v>1</v>
      </c>
      <c r="AQ32" s="1">
        <f t="shared" si="29"/>
        <v>1</v>
      </c>
      <c r="AR32" s="1">
        <f t="shared" si="30"/>
        <v>1</v>
      </c>
      <c r="AS32" s="1">
        <f t="shared" si="31"/>
        <v>1</v>
      </c>
      <c r="AT32" s="1">
        <f t="shared" si="32"/>
        <v>1</v>
      </c>
      <c r="AV32" s="1">
        <v>1</v>
      </c>
      <c r="AW32" s="1">
        <f t="shared" si="9"/>
        <v>1</v>
      </c>
      <c r="AX32" s="1">
        <f t="shared" si="10"/>
        <v>0</v>
      </c>
      <c r="AY32" s="1">
        <f t="shared" si="11"/>
        <v>0</v>
      </c>
      <c r="AZ32" s="1">
        <f t="shared" si="12"/>
        <v>0</v>
      </c>
      <c r="BA32" s="1">
        <f t="shared" si="13"/>
        <v>0</v>
      </c>
      <c r="BB32" s="1">
        <f t="shared" si="14"/>
        <v>0</v>
      </c>
      <c r="BC32" s="1">
        <f t="shared" si="15"/>
        <v>0</v>
      </c>
      <c r="BD32" s="1">
        <f t="shared" si="16"/>
        <v>0</v>
      </c>
      <c r="BE32" s="1">
        <f t="shared" si="17"/>
        <v>1</v>
      </c>
      <c r="BF32" s="1">
        <f t="shared" si="33"/>
        <v>0</v>
      </c>
      <c r="BG32" s="1">
        <f t="shared" si="34"/>
        <v>0</v>
      </c>
      <c r="BH32" s="1">
        <f t="shared" si="43"/>
        <v>0</v>
      </c>
      <c r="BI32" s="1">
        <f t="shared" si="44"/>
        <v>0</v>
      </c>
      <c r="BK32" s="1">
        <v>1</v>
      </c>
      <c r="BL32" s="1">
        <f t="shared" si="35"/>
        <v>0</v>
      </c>
      <c r="BM32" s="1">
        <f t="shared" si="36"/>
        <v>0</v>
      </c>
      <c r="BN32" s="1">
        <f t="shared" si="45"/>
        <v>1</v>
      </c>
      <c r="BO32" s="1">
        <f t="shared" si="46"/>
        <v>0</v>
      </c>
    </row>
    <row r="33" ht="15" spans="1:67">
      <c r="A33" s="1">
        <f t="shared" si="20"/>
        <v>31</v>
      </c>
      <c r="C33" t="s">
        <v>799</v>
      </c>
      <c r="D33" s="1">
        <f t="shared" si="21"/>
        <v>1</v>
      </c>
      <c r="E33" s="1">
        <f t="shared" si="37"/>
        <v>0</v>
      </c>
      <c r="F33" s="1">
        <f t="shared" si="23"/>
        <v>1</v>
      </c>
      <c r="G33" s="1">
        <f t="shared" si="38"/>
        <v>0</v>
      </c>
      <c r="H33" s="17">
        <f t="shared" si="39"/>
        <v>1</v>
      </c>
      <c r="I33" s="1" t="str">
        <f t="shared" si="40"/>
        <v>Madrid</v>
      </c>
      <c r="J33" s="27" t="str">
        <f t="shared" si="41"/>
        <v>Madrid</v>
      </c>
      <c r="K33" s="30">
        <f t="shared" si="24"/>
        <v>0</v>
      </c>
      <c r="L33" s="31">
        <v>1</v>
      </c>
      <c r="M33" s="32"/>
      <c r="N33" s="24"/>
      <c r="P33" s="24">
        <f t="shared" si="42"/>
        <v>1</v>
      </c>
      <c r="Q33" s="24"/>
      <c r="S33" s="39"/>
      <c r="T33" s="32"/>
      <c r="U33" s="24">
        <v>0</v>
      </c>
      <c r="V33" s="1">
        <v>1</v>
      </c>
      <c r="W33" s="33">
        <v>0</v>
      </c>
      <c r="X33" s="33">
        <v>1</v>
      </c>
      <c r="Y33" s="33">
        <v>0</v>
      </c>
      <c r="Z33" s="33">
        <v>0</v>
      </c>
      <c r="AA33" s="33">
        <v>0</v>
      </c>
      <c r="AB33" s="44">
        <v>0</v>
      </c>
      <c r="AC33" s="45">
        <v>1</v>
      </c>
      <c r="AD33" s="45">
        <v>0</v>
      </c>
      <c r="AE33" s="46">
        <v>0</v>
      </c>
      <c r="AF33" s="43">
        <v>0</v>
      </c>
      <c r="AG33" s="43">
        <v>1</v>
      </c>
      <c r="AH33" s="43">
        <v>0</v>
      </c>
      <c r="AI33" s="43">
        <v>0</v>
      </c>
      <c r="AK33">
        <f t="shared" si="25"/>
        <v>2</v>
      </c>
      <c r="AL33" s="1">
        <f t="shared" si="26"/>
        <v>2</v>
      </c>
      <c r="AM33" s="47"/>
      <c r="AP33" s="1">
        <f t="shared" si="28"/>
        <v>1</v>
      </c>
      <c r="AQ33" s="1">
        <f t="shared" si="29"/>
        <v>1</v>
      </c>
      <c r="AR33" s="1">
        <f t="shared" si="30"/>
        <v>1</v>
      </c>
      <c r="AS33" s="1">
        <f t="shared" si="31"/>
        <v>1</v>
      </c>
      <c r="AT33" s="1">
        <f t="shared" si="32"/>
        <v>1</v>
      </c>
      <c r="AV33" s="1">
        <v>1</v>
      </c>
      <c r="AW33" s="1">
        <f t="shared" si="9"/>
        <v>0</v>
      </c>
      <c r="AX33" s="1">
        <f t="shared" si="10"/>
        <v>1</v>
      </c>
      <c r="AY33" s="1">
        <f t="shared" si="11"/>
        <v>0</v>
      </c>
      <c r="AZ33" s="1">
        <f t="shared" si="12"/>
        <v>0</v>
      </c>
      <c r="BA33" s="1">
        <f t="shared" si="13"/>
        <v>0</v>
      </c>
      <c r="BB33" s="1">
        <f t="shared" si="14"/>
        <v>1</v>
      </c>
      <c r="BC33" s="1">
        <f t="shared" si="15"/>
        <v>0</v>
      </c>
      <c r="BD33" s="1">
        <f t="shared" si="16"/>
        <v>0</v>
      </c>
      <c r="BE33" s="1">
        <f t="shared" si="17"/>
        <v>0</v>
      </c>
      <c r="BF33" s="1">
        <f t="shared" si="33"/>
        <v>0</v>
      </c>
      <c r="BG33" s="1">
        <f t="shared" si="34"/>
        <v>1</v>
      </c>
      <c r="BH33" s="1">
        <f t="shared" si="43"/>
        <v>0</v>
      </c>
      <c r="BI33" s="1">
        <f t="shared" si="44"/>
        <v>0</v>
      </c>
      <c r="BK33" s="1">
        <v>1</v>
      </c>
      <c r="BL33" s="1">
        <f t="shared" si="35"/>
        <v>0</v>
      </c>
      <c r="BM33" s="1">
        <f t="shared" si="36"/>
        <v>1</v>
      </c>
      <c r="BN33" s="1">
        <f t="shared" si="45"/>
        <v>0</v>
      </c>
      <c r="BO33" s="1">
        <f t="shared" si="46"/>
        <v>0</v>
      </c>
    </row>
    <row r="34" ht="15" spans="1:67">
      <c r="A34" s="1">
        <f t="shared" si="20"/>
        <v>32</v>
      </c>
      <c r="C34" t="s">
        <v>1002</v>
      </c>
      <c r="D34" s="1">
        <f t="shared" si="21"/>
        <v>1</v>
      </c>
      <c r="E34" s="1">
        <f t="shared" si="37"/>
        <v>0</v>
      </c>
      <c r="F34" s="1">
        <f t="shared" si="23"/>
        <v>1</v>
      </c>
      <c r="G34" s="1">
        <f t="shared" si="38"/>
        <v>0</v>
      </c>
      <c r="H34" s="17">
        <f t="shared" si="39"/>
        <v>1</v>
      </c>
      <c r="I34" s="1" t="str">
        <f t="shared" si="40"/>
        <v>Manila</v>
      </c>
      <c r="J34" s="27" t="str">
        <f t="shared" si="41"/>
        <v>Manila</v>
      </c>
      <c r="K34" s="30">
        <f t="shared" si="24"/>
        <v>0</v>
      </c>
      <c r="L34" s="31">
        <v>1</v>
      </c>
      <c r="M34" s="32"/>
      <c r="N34" s="24"/>
      <c r="P34" s="24">
        <f t="shared" si="42"/>
        <v>8</v>
      </c>
      <c r="Q34" s="24"/>
      <c r="S34" s="39"/>
      <c r="T34" s="32"/>
      <c r="U34" s="24">
        <v>0</v>
      </c>
      <c r="V34" s="1">
        <v>1</v>
      </c>
      <c r="W34" s="33">
        <v>1</v>
      </c>
      <c r="X34" s="33">
        <v>0</v>
      </c>
      <c r="Y34" s="33">
        <v>0</v>
      </c>
      <c r="Z34" s="33">
        <v>0</v>
      </c>
      <c r="AA34" s="33">
        <v>0</v>
      </c>
      <c r="AB34" s="44">
        <v>0</v>
      </c>
      <c r="AC34" s="45">
        <v>0</v>
      </c>
      <c r="AD34" s="45">
        <v>0</v>
      </c>
      <c r="AE34" s="46">
        <v>1</v>
      </c>
      <c r="AF34" s="43">
        <v>0</v>
      </c>
      <c r="AG34" s="43">
        <v>0</v>
      </c>
      <c r="AH34" s="43">
        <v>0</v>
      </c>
      <c r="AI34" s="43">
        <v>1</v>
      </c>
      <c r="AK34">
        <f t="shared" si="25"/>
        <v>4</v>
      </c>
      <c r="AL34" s="1">
        <f t="shared" si="26"/>
        <v>1</v>
      </c>
      <c r="AM34" s="47"/>
      <c r="AP34" s="1">
        <f t="shared" si="28"/>
        <v>1</v>
      </c>
      <c r="AQ34" s="1">
        <f t="shared" si="29"/>
        <v>1</v>
      </c>
      <c r="AR34" s="1">
        <f t="shared" si="30"/>
        <v>1</v>
      </c>
      <c r="AS34" s="1">
        <f t="shared" si="31"/>
        <v>1</v>
      </c>
      <c r="AT34" s="1">
        <f t="shared" si="32"/>
        <v>1</v>
      </c>
      <c r="AV34" s="1">
        <v>1</v>
      </c>
      <c r="AW34" s="1">
        <f t="shared" si="9"/>
        <v>0</v>
      </c>
      <c r="AX34" s="1">
        <f t="shared" si="10"/>
        <v>0</v>
      </c>
      <c r="AY34" s="1">
        <f t="shared" si="11"/>
        <v>0</v>
      </c>
      <c r="AZ34" s="1">
        <f t="shared" si="12"/>
        <v>1</v>
      </c>
      <c r="BA34" s="1">
        <f t="shared" si="13"/>
        <v>1</v>
      </c>
      <c r="BB34" s="1">
        <f t="shared" si="14"/>
        <v>0</v>
      </c>
      <c r="BC34" s="1">
        <f t="shared" si="15"/>
        <v>0</v>
      </c>
      <c r="BD34" s="1">
        <f t="shared" si="16"/>
        <v>0</v>
      </c>
      <c r="BE34" s="1">
        <f t="shared" si="17"/>
        <v>0</v>
      </c>
      <c r="BF34" s="1">
        <f t="shared" si="33"/>
        <v>0</v>
      </c>
      <c r="BG34" s="1">
        <f t="shared" si="34"/>
        <v>0</v>
      </c>
      <c r="BH34" s="1">
        <f t="shared" si="43"/>
        <v>1</v>
      </c>
      <c r="BI34" s="1">
        <f t="shared" si="44"/>
        <v>0</v>
      </c>
      <c r="BK34" s="1">
        <v>1</v>
      </c>
      <c r="BL34" s="1">
        <f t="shared" si="35"/>
        <v>0</v>
      </c>
      <c r="BM34" s="1">
        <f t="shared" si="36"/>
        <v>0</v>
      </c>
      <c r="BN34" s="1">
        <f t="shared" si="45"/>
        <v>0</v>
      </c>
      <c r="BO34" s="1">
        <f t="shared" si="46"/>
        <v>1</v>
      </c>
    </row>
    <row r="35" ht="15" spans="1:67">
      <c r="A35" s="1">
        <f t="shared" si="20"/>
        <v>33</v>
      </c>
      <c r="C35" t="s">
        <v>800</v>
      </c>
      <c r="D35" s="1">
        <f t="shared" si="21"/>
        <v>1</v>
      </c>
      <c r="E35" s="1">
        <f t="shared" si="37"/>
        <v>0</v>
      </c>
      <c r="F35" s="1">
        <f t="shared" si="23"/>
        <v>1</v>
      </c>
      <c r="G35" s="1">
        <f t="shared" si="38"/>
        <v>0</v>
      </c>
      <c r="H35" s="17">
        <f t="shared" si="39"/>
        <v>1</v>
      </c>
      <c r="I35" s="1" t="str">
        <f t="shared" si="40"/>
        <v>Melbourne</v>
      </c>
      <c r="J35" s="27" t="str">
        <f t="shared" si="41"/>
        <v>Melbourne</v>
      </c>
      <c r="K35" s="30">
        <f t="shared" si="24"/>
        <v>0</v>
      </c>
      <c r="L35" s="31">
        <v>1</v>
      </c>
      <c r="M35" s="32"/>
      <c r="N35" s="24"/>
      <c r="P35" s="24">
        <f t="shared" si="42"/>
        <v>6</v>
      </c>
      <c r="Q35" s="24"/>
      <c r="S35" s="39"/>
      <c r="T35" s="32"/>
      <c r="U35" s="24">
        <v>0</v>
      </c>
      <c r="V35" s="1">
        <v>1</v>
      </c>
      <c r="W35" s="33">
        <v>1</v>
      </c>
      <c r="X35" s="33">
        <v>0</v>
      </c>
      <c r="Y35" s="33">
        <v>0</v>
      </c>
      <c r="Z35" s="33">
        <v>0</v>
      </c>
      <c r="AA35" s="33">
        <v>0</v>
      </c>
      <c r="AB35" s="44">
        <v>0</v>
      </c>
      <c r="AC35" s="45">
        <v>1</v>
      </c>
      <c r="AD35" s="45">
        <v>0</v>
      </c>
      <c r="AE35" s="46">
        <v>0</v>
      </c>
      <c r="AF35" s="43">
        <v>1</v>
      </c>
      <c r="AG35" s="43">
        <v>0</v>
      </c>
      <c r="AH35" s="43">
        <v>0</v>
      </c>
      <c r="AI35" s="43">
        <v>0</v>
      </c>
      <c r="AK35">
        <f t="shared" si="25"/>
        <v>2</v>
      </c>
      <c r="AL35" s="1">
        <f t="shared" si="26"/>
        <v>1</v>
      </c>
      <c r="AM35" s="47"/>
      <c r="AP35" s="1">
        <f t="shared" si="28"/>
        <v>1</v>
      </c>
      <c r="AQ35" s="1">
        <f t="shared" si="29"/>
        <v>1</v>
      </c>
      <c r="AR35" s="1">
        <f t="shared" si="30"/>
        <v>1</v>
      </c>
      <c r="AS35" s="1">
        <f t="shared" si="31"/>
        <v>1</v>
      </c>
      <c r="AT35" s="1">
        <f t="shared" si="32"/>
        <v>1</v>
      </c>
      <c r="AV35" s="1">
        <v>1</v>
      </c>
      <c r="AW35" s="1">
        <f t="shared" si="9"/>
        <v>0</v>
      </c>
      <c r="AX35" s="1">
        <f t="shared" si="10"/>
        <v>1</v>
      </c>
      <c r="AY35" s="1">
        <f t="shared" si="11"/>
        <v>0</v>
      </c>
      <c r="AZ35" s="1">
        <f t="shared" si="12"/>
        <v>0</v>
      </c>
      <c r="BA35" s="1">
        <f t="shared" si="13"/>
        <v>1</v>
      </c>
      <c r="BB35" s="1">
        <f t="shared" si="14"/>
        <v>0</v>
      </c>
      <c r="BC35" s="1">
        <f t="shared" si="15"/>
        <v>0</v>
      </c>
      <c r="BD35" s="1">
        <f t="shared" si="16"/>
        <v>0</v>
      </c>
      <c r="BE35" s="1">
        <f t="shared" si="17"/>
        <v>0</v>
      </c>
      <c r="BF35" s="1">
        <f t="shared" si="33"/>
        <v>1</v>
      </c>
      <c r="BG35" s="1">
        <f t="shared" si="34"/>
        <v>0</v>
      </c>
      <c r="BH35" s="1">
        <f t="shared" si="43"/>
        <v>0</v>
      </c>
      <c r="BI35" s="1">
        <f t="shared" si="44"/>
        <v>0</v>
      </c>
      <c r="BK35" s="1">
        <v>1</v>
      </c>
      <c r="BL35" s="1">
        <f t="shared" si="35"/>
        <v>1</v>
      </c>
      <c r="BM35" s="1">
        <f t="shared" si="36"/>
        <v>0</v>
      </c>
      <c r="BN35" s="1">
        <f t="shared" si="45"/>
        <v>0</v>
      </c>
      <c r="BO35" s="1">
        <f t="shared" si="46"/>
        <v>0</v>
      </c>
    </row>
    <row r="36" ht="15" spans="1:67">
      <c r="A36" s="1">
        <f t="shared" si="20"/>
        <v>34</v>
      </c>
      <c r="C36" t="s">
        <v>801</v>
      </c>
      <c r="D36" s="1">
        <f t="shared" si="21"/>
        <v>1</v>
      </c>
      <c r="E36" s="1">
        <f t="shared" si="37"/>
        <v>0</v>
      </c>
      <c r="F36" s="1">
        <f t="shared" si="23"/>
        <v>1</v>
      </c>
      <c r="G36" s="1">
        <f t="shared" si="38"/>
        <v>0</v>
      </c>
      <c r="H36" s="17">
        <f t="shared" si="39"/>
        <v>1</v>
      </c>
      <c r="I36" s="1" t="str">
        <f t="shared" si="40"/>
        <v>MexicoCity</v>
      </c>
      <c r="J36" s="27" t="str">
        <f t="shared" si="41"/>
        <v>Mexico City</v>
      </c>
      <c r="K36" s="30">
        <f t="shared" si="24"/>
        <v>0</v>
      </c>
      <c r="L36" s="31">
        <v>1</v>
      </c>
      <c r="M36" s="32"/>
      <c r="N36" s="24"/>
      <c r="P36" s="24">
        <f t="shared" si="42"/>
        <v>2</v>
      </c>
      <c r="Q36" s="24"/>
      <c r="S36" s="39"/>
      <c r="T36" s="32"/>
      <c r="U36" s="24">
        <v>0</v>
      </c>
      <c r="V36" s="1">
        <v>1</v>
      </c>
      <c r="W36" s="33">
        <v>0</v>
      </c>
      <c r="X36" s="33">
        <v>0</v>
      </c>
      <c r="Y36" s="33">
        <v>1</v>
      </c>
      <c r="Z36" s="33">
        <v>0</v>
      </c>
      <c r="AA36" s="33">
        <v>0</v>
      </c>
      <c r="AB36" s="44">
        <v>0</v>
      </c>
      <c r="AC36" s="45">
        <v>0</v>
      </c>
      <c r="AD36" s="45">
        <v>1</v>
      </c>
      <c r="AE36" s="46">
        <v>0</v>
      </c>
      <c r="AF36" s="43">
        <v>0</v>
      </c>
      <c r="AG36" s="43">
        <v>0</v>
      </c>
      <c r="AH36" s="43">
        <v>0</v>
      </c>
      <c r="AI36" s="43">
        <v>1</v>
      </c>
      <c r="AK36">
        <f t="shared" si="25"/>
        <v>3</v>
      </c>
      <c r="AL36" s="1">
        <f t="shared" ref="AL36:AL61" si="47">MATCH(1,W36:AA36,0)</f>
        <v>3</v>
      </c>
      <c r="AM36" s="47"/>
      <c r="AP36" s="1">
        <f t="shared" ref="AP36:AP61" si="48">INDEX(V36:AA36,$AP$2)</f>
        <v>1</v>
      </c>
      <c r="AQ36" s="1">
        <f t="shared" si="29"/>
        <v>1</v>
      </c>
      <c r="AR36" s="1">
        <f t="shared" si="30"/>
        <v>1</v>
      </c>
      <c r="AS36" s="1">
        <f t="shared" si="31"/>
        <v>1</v>
      </c>
      <c r="AT36" s="1">
        <f t="shared" ref="AT36:AT61" si="49">IF(AND($AP$2=1,$AQ$2&lt;&gt;1),AQ36,IF(AND($AP$2&lt;&gt;1,$AQ$2=1),AP36,IF(AND($AP$2&lt;&gt;1,$AQ$2&lt;&gt;1),AS36,1)))</f>
        <v>1</v>
      </c>
      <c r="AV36" s="1">
        <v>1</v>
      </c>
      <c r="AW36" s="1">
        <f t="shared" ref="AW36:AW61" si="50">AB36</f>
        <v>0</v>
      </c>
      <c r="AX36" s="1">
        <f t="shared" ref="AX36:AX61" si="51">AC36</f>
        <v>0</v>
      </c>
      <c r="AY36" s="1">
        <f t="shared" ref="AY36:AY61" si="52">AD36</f>
        <v>1</v>
      </c>
      <c r="AZ36" s="1">
        <f t="shared" ref="AZ36:AZ61" si="53">AE36</f>
        <v>0</v>
      </c>
      <c r="BA36" s="1">
        <f t="shared" ref="BA36:BA61" si="54">W36</f>
        <v>0</v>
      </c>
      <c r="BB36" s="1">
        <f t="shared" ref="BB36:BB61" si="55">X36</f>
        <v>0</v>
      </c>
      <c r="BC36" s="1">
        <f t="shared" ref="BC36:BC61" si="56">Y36</f>
        <v>1</v>
      </c>
      <c r="BD36" s="1">
        <f t="shared" ref="BD36:BD61" si="57">Z36</f>
        <v>0</v>
      </c>
      <c r="BE36" s="1">
        <f t="shared" ref="BE36:BE61" si="58">AA36</f>
        <v>0</v>
      </c>
      <c r="BF36" s="1">
        <f t="shared" si="33"/>
        <v>0</v>
      </c>
      <c r="BG36" s="1">
        <f t="shared" si="34"/>
        <v>0</v>
      </c>
      <c r="BH36" s="1">
        <f t="shared" si="43"/>
        <v>1</v>
      </c>
      <c r="BI36" s="1">
        <f t="shared" si="44"/>
        <v>0</v>
      </c>
      <c r="BK36" s="1">
        <v>1</v>
      </c>
      <c r="BL36" s="1">
        <f t="shared" si="35"/>
        <v>0</v>
      </c>
      <c r="BM36" s="1">
        <f t="shared" si="36"/>
        <v>0</v>
      </c>
      <c r="BN36" s="1">
        <f t="shared" si="45"/>
        <v>0</v>
      </c>
      <c r="BO36" s="1">
        <f t="shared" si="46"/>
        <v>1</v>
      </c>
    </row>
    <row r="37" ht="15" spans="1:67">
      <c r="A37" s="1">
        <f t="shared" si="20"/>
        <v>35</v>
      </c>
      <c r="C37" t="s">
        <v>802</v>
      </c>
      <c r="D37" s="1">
        <f t="shared" si="21"/>
        <v>1</v>
      </c>
      <c r="E37" s="1">
        <f t="shared" si="37"/>
        <v>0</v>
      </c>
      <c r="F37" s="1">
        <f t="shared" si="23"/>
        <v>1</v>
      </c>
      <c r="G37" s="1">
        <f t="shared" si="38"/>
        <v>0</v>
      </c>
      <c r="H37" s="17">
        <f t="shared" si="39"/>
        <v>1</v>
      </c>
      <c r="I37" s="1" t="str">
        <f t="shared" si="40"/>
        <v>Milan</v>
      </c>
      <c r="J37" s="27" t="str">
        <f t="shared" si="41"/>
        <v>Milan</v>
      </c>
      <c r="K37" s="30">
        <f t="shared" si="24"/>
        <v>0</v>
      </c>
      <c r="L37" s="31">
        <v>1</v>
      </c>
      <c r="M37" s="32"/>
      <c r="N37" s="24"/>
      <c r="P37" s="24">
        <f t="shared" si="42"/>
        <v>1</v>
      </c>
      <c r="Q37" s="24"/>
      <c r="S37" s="39"/>
      <c r="T37" s="32"/>
      <c r="U37" s="24">
        <v>0</v>
      </c>
      <c r="V37" s="1">
        <v>1</v>
      </c>
      <c r="W37" s="33">
        <v>0</v>
      </c>
      <c r="X37" s="33">
        <v>1</v>
      </c>
      <c r="Y37" s="33">
        <v>0</v>
      </c>
      <c r="Z37" s="33">
        <v>0</v>
      </c>
      <c r="AA37" s="33">
        <v>0</v>
      </c>
      <c r="AB37" s="44">
        <v>0</v>
      </c>
      <c r="AC37" s="45">
        <v>1</v>
      </c>
      <c r="AD37" s="45">
        <v>0</v>
      </c>
      <c r="AE37" s="46">
        <v>0</v>
      </c>
      <c r="AF37" s="43">
        <v>1</v>
      </c>
      <c r="AG37" s="43">
        <v>0</v>
      </c>
      <c r="AH37" s="43">
        <v>0</v>
      </c>
      <c r="AI37" s="43">
        <v>0</v>
      </c>
      <c r="AK37">
        <f t="shared" si="25"/>
        <v>2</v>
      </c>
      <c r="AL37" s="1">
        <f t="shared" si="47"/>
        <v>2</v>
      </c>
      <c r="AM37" s="47"/>
      <c r="AP37" s="1">
        <f t="shared" si="48"/>
        <v>1</v>
      </c>
      <c r="AQ37" s="1">
        <f t="shared" si="29"/>
        <v>1</v>
      </c>
      <c r="AR37" s="1">
        <f t="shared" si="30"/>
        <v>1</v>
      </c>
      <c r="AS37" s="1">
        <f t="shared" si="31"/>
        <v>1</v>
      </c>
      <c r="AT37" s="1">
        <f t="shared" si="49"/>
        <v>1</v>
      </c>
      <c r="AV37" s="1">
        <v>1</v>
      </c>
      <c r="AW37" s="1">
        <f t="shared" si="50"/>
        <v>0</v>
      </c>
      <c r="AX37" s="1">
        <f t="shared" si="51"/>
        <v>1</v>
      </c>
      <c r="AY37" s="1">
        <f t="shared" si="52"/>
        <v>0</v>
      </c>
      <c r="AZ37" s="1">
        <f t="shared" si="53"/>
        <v>0</v>
      </c>
      <c r="BA37" s="1">
        <f t="shared" si="54"/>
        <v>0</v>
      </c>
      <c r="BB37" s="1">
        <f t="shared" si="55"/>
        <v>1</v>
      </c>
      <c r="BC37" s="1">
        <f t="shared" si="56"/>
        <v>0</v>
      </c>
      <c r="BD37" s="1">
        <f t="shared" si="57"/>
        <v>0</v>
      </c>
      <c r="BE37" s="1">
        <f t="shared" si="58"/>
        <v>0</v>
      </c>
      <c r="BF37" s="1">
        <f t="shared" si="33"/>
        <v>1</v>
      </c>
      <c r="BG37" s="1">
        <f t="shared" si="34"/>
        <v>0</v>
      </c>
      <c r="BH37" s="1">
        <f t="shared" si="43"/>
        <v>0</v>
      </c>
      <c r="BI37" s="1">
        <f t="shared" si="44"/>
        <v>0</v>
      </c>
      <c r="BK37" s="1">
        <v>1</v>
      </c>
      <c r="BL37" s="1">
        <f t="shared" si="35"/>
        <v>1</v>
      </c>
      <c r="BM37" s="1">
        <f t="shared" si="36"/>
        <v>0</v>
      </c>
      <c r="BN37" s="1">
        <f t="shared" si="45"/>
        <v>0</v>
      </c>
      <c r="BO37" s="1">
        <f t="shared" si="46"/>
        <v>0</v>
      </c>
    </row>
    <row r="38" ht="15" spans="1:67">
      <c r="A38" s="1">
        <f t="shared" si="20"/>
        <v>36</v>
      </c>
      <c r="C38" t="s">
        <v>804</v>
      </c>
      <c r="D38" s="1">
        <f t="shared" si="21"/>
        <v>1</v>
      </c>
      <c r="E38" s="1">
        <f t="shared" si="37"/>
        <v>0</v>
      </c>
      <c r="F38" s="1">
        <f t="shared" si="23"/>
        <v>1</v>
      </c>
      <c r="G38" s="1">
        <f t="shared" si="38"/>
        <v>0</v>
      </c>
      <c r="H38" s="17">
        <f t="shared" si="39"/>
        <v>1</v>
      </c>
      <c r="I38" s="1" t="str">
        <f t="shared" si="40"/>
        <v>Moscow</v>
      </c>
      <c r="J38" s="27" t="str">
        <f t="shared" si="41"/>
        <v>Moscow</v>
      </c>
      <c r="K38" s="30">
        <f t="shared" si="24"/>
        <v>0</v>
      </c>
      <c r="L38" s="31">
        <v>1</v>
      </c>
      <c r="M38" s="32"/>
      <c r="N38" s="24"/>
      <c r="P38" s="24">
        <f t="shared" si="42"/>
        <v>1</v>
      </c>
      <c r="Q38" s="24"/>
      <c r="S38" s="39"/>
      <c r="T38" s="32"/>
      <c r="U38" s="24">
        <v>0</v>
      </c>
      <c r="V38" s="1">
        <v>1</v>
      </c>
      <c r="W38" s="33">
        <v>0</v>
      </c>
      <c r="X38" s="33">
        <v>1</v>
      </c>
      <c r="Y38" s="33">
        <v>0</v>
      </c>
      <c r="Z38" s="33">
        <v>0</v>
      </c>
      <c r="AA38" s="33">
        <v>0</v>
      </c>
      <c r="AB38" s="44">
        <v>0</v>
      </c>
      <c r="AC38" s="45">
        <v>0</v>
      </c>
      <c r="AD38" s="45">
        <v>1</v>
      </c>
      <c r="AE38" s="46">
        <v>0</v>
      </c>
      <c r="AF38" s="43">
        <v>0</v>
      </c>
      <c r="AG38" s="43">
        <v>0</v>
      </c>
      <c r="AH38" s="43">
        <v>1</v>
      </c>
      <c r="AI38" s="43">
        <v>0</v>
      </c>
      <c r="AK38">
        <f t="shared" si="25"/>
        <v>3</v>
      </c>
      <c r="AL38" s="1">
        <f t="shared" si="47"/>
        <v>2</v>
      </c>
      <c r="AM38" s="47"/>
      <c r="AP38" s="1">
        <f t="shared" si="48"/>
        <v>1</v>
      </c>
      <c r="AQ38" s="1">
        <f t="shared" si="29"/>
        <v>1</v>
      </c>
      <c r="AR38" s="1">
        <f t="shared" si="30"/>
        <v>1</v>
      </c>
      <c r="AS38" s="1">
        <f t="shared" si="31"/>
        <v>1</v>
      </c>
      <c r="AT38" s="1">
        <f t="shared" si="49"/>
        <v>1</v>
      </c>
      <c r="AV38" s="1">
        <v>1</v>
      </c>
      <c r="AW38" s="1">
        <f t="shared" si="50"/>
        <v>0</v>
      </c>
      <c r="AX38" s="1">
        <f t="shared" si="51"/>
        <v>0</v>
      </c>
      <c r="AY38" s="1">
        <f t="shared" si="52"/>
        <v>1</v>
      </c>
      <c r="AZ38" s="1">
        <f t="shared" si="53"/>
        <v>0</v>
      </c>
      <c r="BA38" s="1">
        <f t="shared" si="54"/>
        <v>0</v>
      </c>
      <c r="BB38" s="1">
        <f t="shared" si="55"/>
        <v>1</v>
      </c>
      <c r="BC38" s="1">
        <f t="shared" si="56"/>
        <v>0</v>
      </c>
      <c r="BD38" s="1">
        <f t="shared" si="57"/>
        <v>0</v>
      </c>
      <c r="BE38" s="1">
        <f t="shared" si="58"/>
        <v>0</v>
      </c>
      <c r="BF38" s="1">
        <f t="shared" si="33"/>
        <v>0</v>
      </c>
      <c r="BG38" s="1">
        <f t="shared" si="34"/>
        <v>0</v>
      </c>
      <c r="BH38" s="1">
        <f t="shared" si="43"/>
        <v>0</v>
      </c>
      <c r="BI38" s="1">
        <f t="shared" si="44"/>
        <v>0</v>
      </c>
      <c r="BK38" s="1">
        <v>1</v>
      </c>
      <c r="BL38" s="1">
        <f t="shared" si="35"/>
        <v>0</v>
      </c>
      <c r="BM38" s="1">
        <f t="shared" si="36"/>
        <v>0</v>
      </c>
      <c r="BN38" s="1">
        <f t="shared" si="45"/>
        <v>1</v>
      </c>
      <c r="BO38" s="1">
        <f t="shared" si="46"/>
        <v>0</v>
      </c>
    </row>
    <row r="39" ht="15" spans="1:67">
      <c r="A39" s="1">
        <f t="shared" si="20"/>
        <v>37</v>
      </c>
      <c r="C39" t="s">
        <v>805</v>
      </c>
      <c r="D39" s="1">
        <f t="shared" si="21"/>
        <v>1</v>
      </c>
      <c r="E39" s="1">
        <f t="shared" si="37"/>
        <v>0</v>
      </c>
      <c r="F39" s="1">
        <f t="shared" si="23"/>
        <v>1</v>
      </c>
      <c r="G39" s="1">
        <f t="shared" si="38"/>
        <v>0</v>
      </c>
      <c r="H39" s="17">
        <f t="shared" si="39"/>
        <v>1</v>
      </c>
      <c r="I39" s="1" t="str">
        <f t="shared" si="40"/>
        <v>Mumbai</v>
      </c>
      <c r="J39" s="27" t="str">
        <f t="shared" si="41"/>
        <v>Mumbai</v>
      </c>
      <c r="K39" s="30">
        <f t="shared" si="24"/>
        <v>0</v>
      </c>
      <c r="L39" s="31">
        <v>1</v>
      </c>
      <c r="M39" s="32"/>
      <c r="N39" s="24"/>
      <c r="P39" s="24">
        <f t="shared" si="42"/>
        <v>8</v>
      </c>
      <c r="Q39" s="24"/>
      <c r="S39" s="39"/>
      <c r="T39" s="32"/>
      <c r="U39" s="24">
        <v>0</v>
      </c>
      <c r="V39" s="1">
        <v>1</v>
      </c>
      <c r="W39" s="33">
        <v>1</v>
      </c>
      <c r="X39" s="33">
        <v>0</v>
      </c>
      <c r="Y39" s="33">
        <v>0</v>
      </c>
      <c r="Z39" s="33">
        <v>0</v>
      </c>
      <c r="AA39" s="33">
        <v>0</v>
      </c>
      <c r="AB39" s="44">
        <v>0</v>
      </c>
      <c r="AC39" s="45">
        <v>0</v>
      </c>
      <c r="AD39" s="45">
        <v>0</v>
      </c>
      <c r="AE39" s="46">
        <v>1</v>
      </c>
      <c r="AF39" s="43">
        <v>0</v>
      </c>
      <c r="AG39" s="43">
        <v>0</v>
      </c>
      <c r="AH39" s="43">
        <v>0</v>
      </c>
      <c r="AI39" s="43">
        <v>1</v>
      </c>
      <c r="AK39">
        <f t="shared" si="25"/>
        <v>4</v>
      </c>
      <c r="AL39" s="1">
        <f t="shared" si="47"/>
        <v>1</v>
      </c>
      <c r="AM39" s="47"/>
      <c r="AP39" s="1">
        <f t="shared" si="48"/>
        <v>1</v>
      </c>
      <c r="AQ39" s="1">
        <f t="shared" si="29"/>
        <v>1</v>
      </c>
      <c r="AR39" s="1">
        <f t="shared" si="30"/>
        <v>1</v>
      </c>
      <c r="AS39" s="1">
        <f t="shared" si="31"/>
        <v>1</v>
      </c>
      <c r="AT39" s="1">
        <f t="shared" si="49"/>
        <v>1</v>
      </c>
      <c r="AV39" s="1">
        <v>1</v>
      </c>
      <c r="AW39" s="1">
        <f t="shared" si="50"/>
        <v>0</v>
      </c>
      <c r="AX39" s="1">
        <f t="shared" si="51"/>
        <v>0</v>
      </c>
      <c r="AY39" s="1">
        <f t="shared" si="52"/>
        <v>0</v>
      </c>
      <c r="AZ39" s="1">
        <f t="shared" si="53"/>
        <v>1</v>
      </c>
      <c r="BA39" s="1">
        <f t="shared" si="54"/>
        <v>1</v>
      </c>
      <c r="BB39" s="1">
        <f t="shared" si="55"/>
        <v>0</v>
      </c>
      <c r="BC39" s="1">
        <f t="shared" si="56"/>
        <v>0</v>
      </c>
      <c r="BD39" s="1">
        <f t="shared" si="57"/>
        <v>0</v>
      </c>
      <c r="BE39" s="1">
        <f t="shared" si="58"/>
        <v>0</v>
      </c>
      <c r="BF39" s="1">
        <f t="shared" si="33"/>
        <v>0</v>
      </c>
      <c r="BG39" s="1">
        <f t="shared" si="34"/>
        <v>0</v>
      </c>
      <c r="BH39" s="1">
        <f t="shared" si="43"/>
        <v>1</v>
      </c>
      <c r="BI39" s="1">
        <f t="shared" si="44"/>
        <v>0</v>
      </c>
      <c r="BK39" s="1">
        <v>1</v>
      </c>
      <c r="BL39" s="1">
        <f t="shared" si="35"/>
        <v>0</v>
      </c>
      <c r="BM39" s="1">
        <f t="shared" si="36"/>
        <v>0</v>
      </c>
      <c r="BN39" s="1">
        <f t="shared" si="45"/>
        <v>0</v>
      </c>
      <c r="BO39" s="1">
        <f t="shared" si="46"/>
        <v>1</v>
      </c>
    </row>
    <row r="40" ht="15" spans="1:67">
      <c r="A40" s="1">
        <f t="shared" si="20"/>
        <v>38</v>
      </c>
      <c r="C40" t="s">
        <v>806</v>
      </c>
      <c r="D40" s="1">
        <f t="shared" si="21"/>
        <v>1</v>
      </c>
      <c r="E40" s="1">
        <f t="shared" si="37"/>
        <v>0</v>
      </c>
      <c r="F40" s="1">
        <f t="shared" si="23"/>
        <v>1</v>
      </c>
      <c r="G40" s="1">
        <f t="shared" si="38"/>
        <v>0</v>
      </c>
      <c r="H40" s="17">
        <f t="shared" si="39"/>
        <v>1</v>
      </c>
      <c r="I40" s="1" t="str">
        <f t="shared" si="40"/>
        <v>NewYork</v>
      </c>
      <c r="J40" s="27" t="str">
        <f t="shared" si="41"/>
        <v>New York</v>
      </c>
      <c r="K40" s="30">
        <f t="shared" si="24"/>
        <v>0</v>
      </c>
      <c r="L40" s="31">
        <v>1</v>
      </c>
      <c r="M40" s="32"/>
      <c r="N40" s="24"/>
      <c r="P40" s="24">
        <f t="shared" si="42"/>
        <v>4</v>
      </c>
      <c r="Q40" s="24"/>
      <c r="S40" s="39"/>
      <c r="T40" s="32"/>
      <c r="U40" s="24">
        <v>0</v>
      </c>
      <c r="V40" s="1">
        <v>1</v>
      </c>
      <c r="W40" s="33">
        <v>0</v>
      </c>
      <c r="X40" s="33">
        <v>0</v>
      </c>
      <c r="Y40" s="33">
        <v>0</v>
      </c>
      <c r="Z40" s="33">
        <v>0</v>
      </c>
      <c r="AA40" s="33">
        <v>1</v>
      </c>
      <c r="AB40" s="44">
        <v>1</v>
      </c>
      <c r="AC40" s="45">
        <v>0</v>
      </c>
      <c r="AD40" s="45">
        <v>0</v>
      </c>
      <c r="AE40" s="46">
        <v>0</v>
      </c>
      <c r="AF40" s="43">
        <v>0</v>
      </c>
      <c r="AG40" s="43">
        <v>0</v>
      </c>
      <c r="AH40" s="43">
        <v>0</v>
      </c>
      <c r="AI40" s="43">
        <v>1</v>
      </c>
      <c r="AK40">
        <f t="shared" si="25"/>
        <v>1</v>
      </c>
      <c r="AL40" s="1">
        <f t="shared" si="47"/>
        <v>5</v>
      </c>
      <c r="AM40" s="47"/>
      <c r="AP40" s="1">
        <f t="shared" si="48"/>
        <v>1</v>
      </c>
      <c r="AQ40" s="1">
        <f t="shared" si="29"/>
        <v>1</v>
      </c>
      <c r="AR40" s="1">
        <f t="shared" si="30"/>
        <v>1</v>
      </c>
      <c r="AS40" s="1">
        <f t="shared" si="31"/>
        <v>1</v>
      </c>
      <c r="AT40" s="1">
        <f t="shared" si="49"/>
        <v>1</v>
      </c>
      <c r="AV40" s="1">
        <v>1</v>
      </c>
      <c r="AW40" s="1">
        <f t="shared" si="50"/>
        <v>1</v>
      </c>
      <c r="AX40" s="1">
        <f t="shared" si="51"/>
        <v>0</v>
      </c>
      <c r="AY40" s="1">
        <f t="shared" si="52"/>
        <v>0</v>
      </c>
      <c r="AZ40" s="1">
        <f t="shared" si="53"/>
        <v>0</v>
      </c>
      <c r="BA40" s="1">
        <f t="shared" si="54"/>
        <v>0</v>
      </c>
      <c r="BB40" s="1">
        <f t="shared" si="55"/>
        <v>0</v>
      </c>
      <c r="BC40" s="1">
        <f t="shared" si="56"/>
        <v>0</v>
      </c>
      <c r="BD40" s="1">
        <f t="shared" si="57"/>
        <v>0</v>
      </c>
      <c r="BE40" s="1">
        <f t="shared" si="58"/>
        <v>1</v>
      </c>
      <c r="BF40" s="1">
        <f t="shared" si="33"/>
        <v>0</v>
      </c>
      <c r="BG40" s="1">
        <f t="shared" si="34"/>
        <v>0</v>
      </c>
      <c r="BH40" s="1">
        <f t="shared" si="43"/>
        <v>1</v>
      </c>
      <c r="BI40" s="1">
        <f t="shared" si="44"/>
        <v>0</v>
      </c>
      <c r="BK40" s="1">
        <v>1</v>
      </c>
      <c r="BL40" s="1">
        <f t="shared" si="35"/>
        <v>0</v>
      </c>
      <c r="BM40" s="1">
        <f t="shared" si="36"/>
        <v>0</v>
      </c>
      <c r="BN40" s="1">
        <f t="shared" si="45"/>
        <v>0</v>
      </c>
      <c r="BO40" s="1">
        <f t="shared" si="46"/>
        <v>1</v>
      </c>
    </row>
    <row r="41" ht="15" spans="1:67">
      <c r="A41" s="1">
        <f t="shared" si="20"/>
        <v>39</v>
      </c>
      <c r="C41" t="s">
        <v>807</v>
      </c>
      <c r="D41" s="1">
        <f t="shared" si="21"/>
        <v>1</v>
      </c>
      <c r="E41" s="1">
        <f t="shared" si="37"/>
        <v>0</v>
      </c>
      <c r="F41" s="1">
        <f t="shared" si="23"/>
        <v>1</v>
      </c>
      <c r="G41" s="1">
        <f t="shared" si="38"/>
        <v>0</v>
      </c>
      <c r="H41" s="17">
        <f t="shared" si="39"/>
        <v>1</v>
      </c>
      <c r="I41" s="1" t="str">
        <f t="shared" si="40"/>
        <v>Osaka</v>
      </c>
      <c r="J41" s="27" t="str">
        <f t="shared" si="41"/>
        <v>Osaka</v>
      </c>
      <c r="K41" s="30">
        <f t="shared" si="24"/>
        <v>0</v>
      </c>
      <c r="L41" s="31">
        <v>1</v>
      </c>
      <c r="M41" s="32"/>
      <c r="N41" s="24"/>
      <c r="P41" s="24">
        <f t="shared" si="42"/>
        <v>6</v>
      </c>
      <c r="Q41" s="24"/>
      <c r="S41" s="39"/>
      <c r="T41" s="32"/>
      <c r="U41" s="24">
        <v>0</v>
      </c>
      <c r="V41" s="1">
        <v>1</v>
      </c>
      <c r="W41" s="33">
        <v>1</v>
      </c>
      <c r="X41" s="33">
        <v>0</v>
      </c>
      <c r="Y41" s="33">
        <v>0</v>
      </c>
      <c r="Z41" s="33">
        <v>0</v>
      </c>
      <c r="AA41" s="33">
        <v>0</v>
      </c>
      <c r="AB41" s="44">
        <v>0</v>
      </c>
      <c r="AC41" s="45">
        <v>1</v>
      </c>
      <c r="AD41" s="45">
        <v>0</v>
      </c>
      <c r="AE41" s="46">
        <v>0</v>
      </c>
      <c r="AF41" s="43">
        <v>0</v>
      </c>
      <c r="AG41" s="43">
        <v>0</v>
      </c>
      <c r="AH41" s="43">
        <v>0</v>
      </c>
      <c r="AI41" s="43">
        <v>1</v>
      </c>
      <c r="AK41">
        <f t="shared" si="25"/>
        <v>2</v>
      </c>
      <c r="AL41" s="1">
        <f t="shared" si="47"/>
        <v>1</v>
      </c>
      <c r="AM41" s="47"/>
      <c r="AP41" s="1">
        <f t="shared" si="48"/>
        <v>1</v>
      </c>
      <c r="AQ41" s="1">
        <f t="shared" si="29"/>
        <v>1</v>
      </c>
      <c r="AR41" s="1">
        <f t="shared" si="30"/>
        <v>1</v>
      </c>
      <c r="AS41" s="1">
        <f t="shared" si="31"/>
        <v>1</v>
      </c>
      <c r="AT41" s="1">
        <f t="shared" si="49"/>
        <v>1</v>
      </c>
      <c r="AV41" s="1">
        <v>1</v>
      </c>
      <c r="AW41" s="1">
        <f t="shared" si="50"/>
        <v>0</v>
      </c>
      <c r="AX41" s="1">
        <f t="shared" si="51"/>
        <v>1</v>
      </c>
      <c r="AY41" s="1">
        <f t="shared" si="52"/>
        <v>0</v>
      </c>
      <c r="AZ41" s="1">
        <f t="shared" si="53"/>
        <v>0</v>
      </c>
      <c r="BA41" s="1">
        <f t="shared" si="54"/>
        <v>1</v>
      </c>
      <c r="BB41" s="1">
        <f t="shared" si="55"/>
        <v>0</v>
      </c>
      <c r="BC41" s="1">
        <f t="shared" si="56"/>
        <v>0</v>
      </c>
      <c r="BD41" s="1">
        <f t="shared" si="57"/>
        <v>0</v>
      </c>
      <c r="BE41" s="1">
        <f t="shared" si="58"/>
        <v>0</v>
      </c>
      <c r="BF41" s="1">
        <f t="shared" si="33"/>
        <v>0</v>
      </c>
      <c r="BG41" s="1">
        <f t="shared" si="34"/>
        <v>0</v>
      </c>
      <c r="BH41" s="1">
        <f t="shared" si="43"/>
        <v>1</v>
      </c>
      <c r="BI41" s="1">
        <f t="shared" si="44"/>
        <v>0</v>
      </c>
      <c r="BK41" s="1">
        <v>1</v>
      </c>
      <c r="BL41" s="1">
        <f t="shared" si="35"/>
        <v>0</v>
      </c>
      <c r="BM41" s="1">
        <f t="shared" si="36"/>
        <v>0</v>
      </c>
      <c r="BN41" s="1">
        <f t="shared" si="45"/>
        <v>0</v>
      </c>
      <c r="BO41" s="1">
        <f t="shared" si="46"/>
        <v>1</v>
      </c>
    </row>
    <row r="42" ht="15" spans="1:67">
      <c r="A42" s="1">
        <f t="shared" si="20"/>
        <v>40</v>
      </c>
      <c r="C42" t="s">
        <v>808</v>
      </c>
      <c r="D42" s="1">
        <f t="shared" si="21"/>
        <v>1</v>
      </c>
      <c r="E42" s="1">
        <f t="shared" si="37"/>
        <v>0</v>
      </c>
      <c r="F42" s="1">
        <f t="shared" si="23"/>
        <v>1</v>
      </c>
      <c r="G42" s="1">
        <f t="shared" si="38"/>
        <v>0</v>
      </c>
      <c r="H42" s="17">
        <f t="shared" si="39"/>
        <v>1</v>
      </c>
      <c r="I42" s="1" t="str">
        <f t="shared" si="40"/>
        <v>Paris</v>
      </c>
      <c r="J42" s="27" t="str">
        <f t="shared" si="41"/>
        <v>Paris</v>
      </c>
      <c r="K42" s="30">
        <f t="shared" si="24"/>
        <v>0</v>
      </c>
      <c r="L42" s="31">
        <v>1</v>
      </c>
      <c r="M42" s="32"/>
      <c r="N42" s="24"/>
      <c r="P42" s="24">
        <f t="shared" si="42"/>
        <v>1</v>
      </c>
      <c r="Q42" s="24"/>
      <c r="S42" s="39"/>
      <c r="T42" s="32"/>
      <c r="U42" s="24">
        <v>0</v>
      </c>
      <c r="V42" s="1">
        <v>1</v>
      </c>
      <c r="W42" s="33">
        <v>0</v>
      </c>
      <c r="X42" s="33">
        <v>1</v>
      </c>
      <c r="Y42" s="33">
        <v>0</v>
      </c>
      <c r="Z42" s="33">
        <v>0</v>
      </c>
      <c r="AA42" s="33">
        <v>0</v>
      </c>
      <c r="AB42" s="44">
        <v>0</v>
      </c>
      <c r="AC42" s="45">
        <v>1</v>
      </c>
      <c r="AD42" s="45">
        <v>0</v>
      </c>
      <c r="AE42" s="46">
        <v>0</v>
      </c>
      <c r="AF42" s="43">
        <v>0</v>
      </c>
      <c r="AG42" s="43">
        <v>0</v>
      </c>
      <c r="AH42" s="43">
        <v>1</v>
      </c>
      <c r="AI42" s="43">
        <v>0</v>
      </c>
      <c r="AK42">
        <f t="shared" si="25"/>
        <v>2</v>
      </c>
      <c r="AL42" s="1">
        <f t="shared" si="47"/>
        <v>2</v>
      </c>
      <c r="AM42" s="47"/>
      <c r="AP42" s="1">
        <f t="shared" si="48"/>
        <v>1</v>
      </c>
      <c r="AQ42" s="1">
        <f t="shared" si="29"/>
        <v>1</v>
      </c>
      <c r="AR42" s="1">
        <f t="shared" si="30"/>
        <v>1</v>
      </c>
      <c r="AS42" s="1">
        <f t="shared" si="31"/>
        <v>1</v>
      </c>
      <c r="AT42" s="1">
        <f t="shared" si="49"/>
        <v>1</v>
      </c>
      <c r="AV42" s="1">
        <v>1</v>
      </c>
      <c r="AW42" s="1">
        <f t="shared" si="50"/>
        <v>0</v>
      </c>
      <c r="AX42" s="1">
        <f t="shared" si="51"/>
        <v>1</v>
      </c>
      <c r="AY42" s="1">
        <f t="shared" si="52"/>
        <v>0</v>
      </c>
      <c r="AZ42" s="1">
        <f t="shared" si="53"/>
        <v>0</v>
      </c>
      <c r="BA42" s="1">
        <f t="shared" si="54"/>
        <v>0</v>
      </c>
      <c r="BB42" s="1">
        <f t="shared" si="55"/>
        <v>1</v>
      </c>
      <c r="BC42" s="1">
        <f t="shared" si="56"/>
        <v>0</v>
      </c>
      <c r="BD42" s="1">
        <f t="shared" si="57"/>
        <v>0</v>
      </c>
      <c r="BE42" s="1">
        <f t="shared" si="58"/>
        <v>0</v>
      </c>
      <c r="BF42" s="1">
        <f t="shared" si="33"/>
        <v>0</v>
      </c>
      <c r="BG42" s="1">
        <f t="shared" si="34"/>
        <v>0</v>
      </c>
      <c r="BH42" s="1">
        <f t="shared" si="43"/>
        <v>0</v>
      </c>
      <c r="BI42" s="1">
        <f t="shared" si="44"/>
        <v>0</v>
      </c>
      <c r="BK42" s="1">
        <v>1</v>
      </c>
      <c r="BL42" s="1">
        <f t="shared" si="35"/>
        <v>0</v>
      </c>
      <c r="BM42" s="1">
        <f t="shared" si="36"/>
        <v>0</v>
      </c>
      <c r="BN42" s="1">
        <f t="shared" si="45"/>
        <v>1</v>
      </c>
      <c r="BO42" s="1">
        <f t="shared" si="46"/>
        <v>0</v>
      </c>
    </row>
    <row r="43" ht="15" spans="1:67">
      <c r="A43" s="1">
        <f t="shared" si="20"/>
        <v>41</v>
      </c>
      <c r="C43" t="s">
        <v>1003</v>
      </c>
      <c r="D43" s="1">
        <f t="shared" si="21"/>
        <v>1</v>
      </c>
      <c r="E43" s="1">
        <f t="shared" si="37"/>
        <v>0</v>
      </c>
      <c r="F43" s="1">
        <f t="shared" si="23"/>
        <v>1</v>
      </c>
      <c r="G43" s="1">
        <f t="shared" si="38"/>
        <v>0</v>
      </c>
      <c r="H43" s="17">
        <f t="shared" si="39"/>
        <v>1</v>
      </c>
      <c r="I43" s="1" t="str">
        <f t="shared" si="40"/>
        <v>Quito</v>
      </c>
      <c r="J43" s="27" t="str">
        <f t="shared" si="41"/>
        <v>Quito</v>
      </c>
      <c r="K43" s="30">
        <f t="shared" si="24"/>
        <v>0</v>
      </c>
      <c r="L43" s="31">
        <v>1</v>
      </c>
      <c r="M43" s="32"/>
      <c r="N43" s="24"/>
      <c r="P43" s="24">
        <f t="shared" si="42"/>
        <v>2</v>
      </c>
      <c r="Q43" s="24"/>
      <c r="S43" s="39"/>
      <c r="T43" s="32"/>
      <c r="U43" s="24">
        <v>0</v>
      </c>
      <c r="V43" s="1">
        <v>1</v>
      </c>
      <c r="W43" s="33">
        <v>0</v>
      </c>
      <c r="X43" s="33">
        <v>0</v>
      </c>
      <c r="Y43" s="33">
        <v>1</v>
      </c>
      <c r="Z43" s="33">
        <v>0</v>
      </c>
      <c r="AA43" s="33">
        <v>0</v>
      </c>
      <c r="AB43" s="44">
        <v>0</v>
      </c>
      <c r="AC43" s="45">
        <v>0</v>
      </c>
      <c r="AD43" s="45">
        <v>1</v>
      </c>
      <c r="AE43" s="46">
        <v>0</v>
      </c>
      <c r="AF43" s="43">
        <v>1</v>
      </c>
      <c r="AG43" s="43">
        <v>0</v>
      </c>
      <c r="AH43" s="43">
        <v>0</v>
      </c>
      <c r="AI43" s="43">
        <v>0</v>
      </c>
      <c r="AK43">
        <f t="shared" si="25"/>
        <v>3</v>
      </c>
      <c r="AL43" s="1">
        <f t="shared" si="47"/>
        <v>3</v>
      </c>
      <c r="AM43" s="47"/>
      <c r="AP43" s="1">
        <f t="shared" si="48"/>
        <v>1</v>
      </c>
      <c r="AQ43" s="1">
        <f t="shared" si="29"/>
        <v>1</v>
      </c>
      <c r="AR43" s="1">
        <f t="shared" si="30"/>
        <v>1</v>
      </c>
      <c r="AS43" s="1">
        <f t="shared" si="31"/>
        <v>1</v>
      </c>
      <c r="AT43" s="1">
        <f t="shared" si="49"/>
        <v>1</v>
      </c>
      <c r="AV43" s="1">
        <v>1</v>
      </c>
      <c r="AW43" s="1">
        <f t="shared" si="50"/>
        <v>0</v>
      </c>
      <c r="AX43" s="1">
        <f t="shared" si="51"/>
        <v>0</v>
      </c>
      <c r="AY43" s="1">
        <f t="shared" si="52"/>
        <v>1</v>
      </c>
      <c r="AZ43" s="1">
        <f t="shared" si="53"/>
        <v>0</v>
      </c>
      <c r="BA43" s="1">
        <f t="shared" si="54"/>
        <v>0</v>
      </c>
      <c r="BB43" s="1">
        <f t="shared" si="55"/>
        <v>0</v>
      </c>
      <c r="BC43" s="1">
        <f t="shared" si="56"/>
        <v>1</v>
      </c>
      <c r="BD43" s="1">
        <f t="shared" si="57"/>
        <v>0</v>
      </c>
      <c r="BE43" s="1">
        <f t="shared" si="58"/>
        <v>0</v>
      </c>
      <c r="BF43" s="1">
        <f t="shared" si="33"/>
        <v>1</v>
      </c>
      <c r="BG43" s="1">
        <f t="shared" si="34"/>
        <v>0</v>
      </c>
      <c r="BH43" s="1">
        <f t="shared" si="43"/>
        <v>0</v>
      </c>
      <c r="BI43" s="1">
        <f t="shared" si="44"/>
        <v>0</v>
      </c>
      <c r="BK43" s="1">
        <v>1</v>
      </c>
      <c r="BL43" s="1">
        <f t="shared" si="35"/>
        <v>1</v>
      </c>
      <c r="BM43" s="1">
        <f t="shared" si="36"/>
        <v>0</v>
      </c>
      <c r="BN43" s="1">
        <f t="shared" si="45"/>
        <v>0</v>
      </c>
      <c r="BO43" s="1">
        <f t="shared" si="46"/>
        <v>0</v>
      </c>
    </row>
    <row r="44" ht="15" spans="1:67">
      <c r="A44" s="1">
        <f t="shared" si="20"/>
        <v>42</v>
      </c>
      <c r="C44" t="s">
        <v>809</v>
      </c>
      <c r="D44" s="1">
        <f t="shared" si="21"/>
        <v>1</v>
      </c>
      <c r="E44" s="1">
        <f t="shared" si="37"/>
        <v>0</v>
      </c>
      <c r="F44" s="1">
        <f t="shared" si="23"/>
        <v>1</v>
      </c>
      <c r="G44" s="1">
        <f t="shared" si="38"/>
        <v>0</v>
      </c>
      <c r="H44" s="17">
        <f t="shared" si="39"/>
        <v>1</v>
      </c>
      <c r="I44" s="1" t="str">
        <f t="shared" si="40"/>
        <v>RiodeJaneiro</v>
      </c>
      <c r="J44" s="27" t="str">
        <f t="shared" si="41"/>
        <v>Rio de Janeiro</v>
      </c>
      <c r="K44" s="30">
        <f t="shared" si="24"/>
        <v>0</v>
      </c>
      <c r="L44" s="31">
        <v>1</v>
      </c>
      <c r="M44" s="32"/>
      <c r="N44" s="24"/>
      <c r="P44" s="24">
        <f t="shared" si="42"/>
        <v>2</v>
      </c>
      <c r="Q44" s="24"/>
      <c r="S44" s="39"/>
      <c r="T44" s="32"/>
      <c r="U44" s="24">
        <v>0</v>
      </c>
      <c r="V44" s="1">
        <v>1</v>
      </c>
      <c r="W44" s="33">
        <v>0</v>
      </c>
      <c r="X44" s="33">
        <v>0</v>
      </c>
      <c r="Y44" s="33">
        <v>1</v>
      </c>
      <c r="Z44" s="33">
        <v>0</v>
      </c>
      <c r="AA44" s="33">
        <v>0</v>
      </c>
      <c r="AB44" s="44">
        <v>0</v>
      </c>
      <c r="AC44" s="45">
        <v>0</v>
      </c>
      <c r="AD44" s="45">
        <v>1</v>
      </c>
      <c r="AE44" s="46">
        <v>0</v>
      </c>
      <c r="AF44" s="43">
        <v>0</v>
      </c>
      <c r="AG44" s="43">
        <v>0</v>
      </c>
      <c r="AH44" s="43">
        <v>1</v>
      </c>
      <c r="AI44" s="43">
        <v>0</v>
      </c>
      <c r="AK44">
        <f t="shared" si="25"/>
        <v>3</v>
      </c>
      <c r="AL44" s="1">
        <f t="shared" si="47"/>
        <v>3</v>
      </c>
      <c r="AM44" s="47"/>
      <c r="AP44" s="1">
        <f t="shared" si="48"/>
        <v>1</v>
      </c>
      <c r="AQ44" s="1">
        <f t="shared" si="29"/>
        <v>1</v>
      </c>
      <c r="AR44" s="1">
        <f t="shared" si="30"/>
        <v>1</v>
      </c>
      <c r="AS44" s="1">
        <f t="shared" si="31"/>
        <v>1</v>
      </c>
      <c r="AT44" s="1">
        <f t="shared" si="49"/>
        <v>1</v>
      </c>
      <c r="AV44" s="1">
        <v>1</v>
      </c>
      <c r="AW44" s="1">
        <f t="shared" si="50"/>
        <v>0</v>
      </c>
      <c r="AX44" s="1">
        <f t="shared" si="51"/>
        <v>0</v>
      </c>
      <c r="AY44" s="1">
        <f t="shared" si="52"/>
        <v>1</v>
      </c>
      <c r="AZ44" s="1">
        <f t="shared" si="53"/>
        <v>0</v>
      </c>
      <c r="BA44" s="1">
        <f t="shared" si="54"/>
        <v>0</v>
      </c>
      <c r="BB44" s="1">
        <f t="shared" si="55"/>
        <v>0</v>
      </c>
      <c r="BC44" s="1">
        <f t="shared" si="56"/>
        <v>1</v>
      </c>
      <c r="BD44" s="1">
        <f t="shared" si="57"/>
        <v>0</v>
      </c>
      <c r="BE44" s="1">
        <f t="shared" si="58"/>
        <v>0</v>
      </c>
      <c r="BF44" s="1">
        <f t="shared" si="33"/>
        <v>0</v>
      </c>
      <c r="BG44" s="1">
        <f t="shared" si="34"/>
        <v>0</v>
      </c>
      <c r="BH44" s="1">
        <f t="shared" si="43"/>
        <v>0</v>
      </c>
      <c r="BI44" s="1">
        <f t="shared" si="44"/>
        <v>0</v>
      </c>
      <c r="BK44" s="1">
        <v>1</v>
      </c>
      <c r="BL44" s="1">
        <f t="shared" si="35"/>
        <v>0</v>
      </c>
      <c r="BM44" s="1">
        <f t="shared" si="36"/>
        <v>0</v>
      </c>
      <c r="BN44" s="1">
        <f t="shared" si="45"/>
        <v>1</v>
      </c>
      <c r="BO44" s="1">
        <f t="shared" si="46"/>
        <v>0</v>
      </c>
    </row>
    <row r="45" ht="15" spans="1:67">
      <c r="A45" s="1">
        <f t="shared" si="20"/>
        <v>43</v>
      </c>
      <c r="C45" t="s">
        <v>810</v>
      </c>
      <c r="D45" s="1">
        <f t="shared" si="21"/>
        <v>1</v>
      </c>
      <c r="E45" s="1">
        <f t="shared" si="37"/>
        <v>0</v>
      </c>
      <c r="F45" s="1">
        <f t="shared" si="23"/>
        <v>1</v>
      </c>
      <c r="G45" s="1">
        <f t="shared" si="38"/>
        <v>0</v>
      </c>
      <c r="H45" s="17">
        <f t="shared" si="39"/>
        <v>1</v>
      </c>
      <c r="I45" s="1" t="str">
        <f t="shared" si="40"/>
        <v>Riyadh</v>
      </c>
      <c r="J45" s="27" t="str">
        <f t="shared" si="41"/>
        <v>Riyadh</v>
      </c>
      <c r="K45" s="30">
        <f t="shared" si="24"/>
        <v>0</v>
      </c>
      <c r="L45" s="31">
        <v>1</v>
      </c>
      <c r="M45" s="32"/>
      <c r="N45" s="24"/>
      <c r="P45" s="24">
        <f t="shared" si="42"/>
        <v>3</v>
      </c>
      <c r="Q45" s="24"/>
      <c r="S45" s="39"/>
      <c r="T45" s="32"/>
      <c r="U45" s="24">
        <v>0</v>
      </c>
      <c r="V45" s="1">
        <v>1</v>
      </c>
      <c r="W45" s="33">
        <v>0</v>
      </c>
      <c r="X45" s="33">
        <v>0</v>
      </c>
      <c r="Y45" s="33">
        <v>0</v>
      </c>
      <c r="Z45" s="33">
        <v>1</v>
      </c>
      <c r="AA45" s="33">
        <v>0</v>
      </c>
      <c r="AB45" s="44">
        <v>1</v>
      </c>
      <c r="AC45" s="45">
        <v>0</v>
      </c>
      <c r="AD45" s="45">
        <v>0</v>
      </c>
      <c r="AE45" s="46">
        <v>0</v>
      </c>
      <c r="AF45" s="43">
        <v>0</v>
      </c>
      <c r="AG45" s="43">
        <v>1</v>
      </c>
      <c r="AH45" s="43">
        <v>0</v>
      </c>
      <c r="AI45" s="43">
        <v>0</v>
      </c>
      <c r="AK45">
        <f t="shared" si="25"/>
        <v>1</v>
      </c>
      <c r="AL45" s="1">
        <f t="shared" si="47"/>
        <v>4</v>
      </c>
      <c r="AM45" s="47"/>
      <c r="AP45" s="1">
        <f t="shared" si="48"/>
        <v>1</v>
      </c>
      <c r="AQ45" s="1">
        <f t="shared" si="29"/>
        <v>1</v>
      </c>
      <c r="AR45" s="1">
        <f t="shared" si="30"/>
        <v>1</v>
      </c>
      <c r="AS45" s="1">
        <f t="shared" si="31"/>
        <v>1</v>
      </c>
      <c r="AT45" s="1">
        <f t="shared" si="49"/>
        <v>1</v>
      </c>
      <c r="AV45" s="1">
        <v>1</v>
      </c>
      <c r="AW45" s="1">
        <f t="shared" si="50"/>
        <v>1</v>
      </c>
      <c r="AX45" s="1">
        <f t="shared" si="51"/>
        <v>0</v>
      </c>
      <c r="AY45" s="1">
        <f t="shared" si="52"/>
        <v>0</v>
      </c>
      <c r="AZ45" s="1">
        <f t="shared" si="53"/>
        <v>0</v>
      </c>
      <c r="BA45" s="1">
        <f t="shared" si="54"/>
        <v>0</v>
      </c>
      <c r="BB45" s="1">
        <f t="shared" si="55"/>
        <v>0</v>
      </c>
      <c r="BC45" s="1">
        <f t="shared" si="56"/>
        <v>0</v>
      </c>
      <c r="BD45" s="1">
        <f t="shared" si="57"/>
        <v>1</v>
      </c>
      <c r="BE45" s="1">
        <f t="shared" si="58"/>
        <v>0</v>
      </c>
      <c r="BF45" s="1">
        <f t="shared" si="33"/>
        <v>0</v>
      </c>
      <c r="BG45" s="1">
        <f t="shared" si="34"/>
        <v>1</v>
      </c>
      <c r="BH45" s="1">
        <f t="shared" si="43"/>
        <v>0</v>
      </c>
      <c r="BI45" s="1">
        <f t="shared" si="44"/>
        <v>0</v>
      </c>
      <c r="BK45" s="1">
        <v>1</v>
      </c>
      <c r="BL45" s="1">
        <f t="shared" si="35"/>
        <v>0</v>
      </c>
      <c r="BM45" s="1">
        <f t="shared" si="36"/>
        <v>1</v>
      </c>
      <c r="BN45" s="1">
        <f t="shared" si="45"/>
        <v>0</v>
      </c>
      <c r="BO45" s="1">
        <f t="shared" si="46"/>
        <v>0</v>
      </c>
    </row>
    <row r="46" ht="15" spans="1:67">
      <c r="A46" s="1">
        <f t="shared" si="20"/>
        <v>44</v>
      </c>
      <c r="C46" t="s">
        <v>811</v>
      </c>
      <c r="D46" s="1">
        <f t="shared" si="21"/>
        <v>1</v>
      </c>
      <c r="E46" s="1">
        <f t="shared" si="37"/>
        <v>0</v>
      </c>
      <c r="F46" s="1">
        <f t="shared" si="23"/>
        <v>1</v>
      </c>
      <c r="G46" s="1">
        <f t="shared" si="38"/>
        <v>0</v>
      </c>
      <c r="H46" s="17">
        <f t="shared" si="39"/>
        <v>1</v>
      </c>
      <c r="I46" s="1" t="str">
        <f t="shared" si="40"/>
        <v>Rome</v>
      </c>
      <c r="J46" s="27" t="str">
        <f t="shared" si="41"/>
        <v>Rome</v>
      </c>
      <c r="K46" s="30">
        <f t="shared" si="24"/>
        <v>0</v>
      </c>
      <c r="L46" s="31">
        <v>1</v>
      </c>
      <c r="M46" s="32"/>
      <c r="N46" s="24"/>
      <c r="P46" s="24">
        <f t="shared" si="42"/>
        <v>1</v>
      </c>
      <c r="Q46" s="24"/>
      <c r="S46" s="39"/>
      <c r="T46" s="32"/>
      <c r="U46" s="24">
        <v>0</v>
      </c>
      <c r="V46" s="1">
        <v>1</v>
      </c>
      <c r="W46" s="33">
        <v>0</v>
      </c>
      <c r="X46" s="33">
        <v>1</v>
      </c>
      <c r="Y46" s="33">
        <v>0</v>
      </c>
      <c r="Z46" s="33">
        <v>0</v>
      </c>
      <c r="AA46" s="33">
        <v>0</v>
      </c>
      <c r="AB46" s="44">
        <v>0</v>
      </c>
      <c r="AC46" s="45">
        <v>1</v>
      </c>
      <c r="AD46" s="45">
        <v>0</v>
      </c>
      <c r="AE46" s="46">
        <v>0</v>
      </c>
      <c r="AF46" s="43">
        <v>1</v>
      </c>
      <c r="AG46" s="43">
        <v>0</v>
      </c>
      <c r="AH46" s="43">
        <v>0</v>
      </c>
      <c r="AI46" s="43">
        <v>0</v>
      </c>
      <c r="AK46">
        <f t="shared" si="25"/>
        <v>2</v>
      </c>
      <c r="AL46" s="1">
        <f t="shared" si="47"/>
        <v>2</v>
      </c>
      <c r="AM46" s="47"/>
      <c r="AP46" s="1">
        <f t="shared" si="48"/>
        <v>1</v>
      </c>
      <c r="AQ46" s="1">
        <f t="shared" si="29"/>
        <v>1</v>
      </c>
      <c r="AR46" s="1">
        <f t="shared" si="30"/>
        <v>1</v>
      </c>
      <c r="AS46" s="1">
        <f t="shared" si="31"/>
        <v>1</v>
      </c>
      <c r="AT46" s="1">
        <f t="shared" si="49"/>
        <v>1</v>
      </c>
      <c r="AV46" s="1">
        <v>1</v>
      </c>
      <c r="AW46" s="1">
        <f t="shared" si="50"/>
        <v>0</v>
      </c>
      <c r="AX46" s="1">
        <f t="shared" si="51"/>
        <v>1</v>
      </c>
      <c r="AY46" s="1">
        <f t="shared" si="52"/>
        <v>0</v>
      </c>
      <c r="AZ46" s="1">
        <f t="shared" si="53"/>
        <v>0</v>
      </c>
      <c r="BA46" s="1">
        <f t="shared" si="54"/>
        <v>0</v>
      </c>
      <c r="BB46" s="1">
        <f t="shared" si="55"/>
        <v>1</v>
      </c>
      <c r="BC46" s="1">
        <f t="shared" si="56"/>
        <v>0</v>
      </c>
      <c r="BD46" s="1">
        <f t="shared" si="57"/>
        <v>0</v>
      </c>
      <c r="BE46" s="1">
        <f t="shared" si="58"/>
        <v>0</v>
      </c>
      <c r="BF46" s="1">
        <f t="shared" si="33"/>
        <v>1</v>
      </c>
      <c r="BG46" s="1">
        <f t="shared" si="34"/>
        <v>0</v>
      </c>
      <c r="BH46" s="1">
        <f t="shared" si="43"/>
        <v>0</v>
      </c>
      <c r="BI46" s="1">
        <f t="shared" si="44"/>
        <v>0</v>
      </c>
      <c r="BK46" s="1">
        <v>1</v>
      </c>
      <c r="BL46" s="1">
        <f t="shared" si="35"/>
        <v>1</v>
      </c>
      <c r="BM46" s="1">
        <f t="shared" si="36"/>
        <v>0</v>
      </c>
      <c r="BN46" s="1">
        <f t="shared" si="45"/>
        <v>0</v>
      </c>
      <c r="BO46" s="1">
        <f t="shared" si="46"/>
        <v>0</v>
      </c>
    </row>
    <row r="47" ht="15" spans="1:67">
      <c r="A47" s="1">
        <f t="shared" si="20"/>
        <v>45</v>
      </c>
      <c r="C47" t="s">
        <v>812</v>
      </c>
      <c r="D47" s="1">
        <f t="shared" si="21"/>
        <v>1</v>
      </c>
      <c r="E47" s="1">
        <f t="shared" si="37"/>
        <v>0</v>
      </c>
      <c r="F47" s="1">
        <f t="shared" si="23"/>
        <v>1</v>
      </c>
      <c r="G47" s="1">
        <f t="shared" si="38"/>
        <v>0</v>
      </c>
      <c r="H47" s="17">
        <f t="shared" si="39"/>
        <v>1</v>
      </c>
      <c r="I47" s="1" t="str">
        <f t="shared" si="40"/>
        <v>SanFrancisco</v>
      </c>
      <c r="J47" s="27" t="str">
        <f t="shared" si="41"/>
        <v>San Francisco</v>
      </c>
      <c r="K47" s="30">
        <f t="shared" si="24"/>
        <v>0</v>
      </c>
      <c r="L47" s="31">
        <v>1</v>
      </c>
      <c r="M47" s="32"/>
      <c r="N47" s="24"/>
      <c r="P47" s="24">
        <f t="shared" si="42"/>
        <v>4</v>
      </c>
      <c r="Q47" s="24"/>
      <c r="S47" s="39"/>
      <c r="T47" s="32"/>
      <c r="U47" s="24">
        <v>0</v>
      </c>
      <c r="V47" s="1">
        <v>1</v>
      </c>
      <c r="W47" s="33">
        <v>0</v>
      </c>
      <c r="X47" s="33">
        <v>0</v>
      </c>
      <c r="Y47" s="33">
        <v>0</v>
      </c>
      <c r="Z47" s="33">
        <v>0</v>
      </c>
      <c r="AA47" s="33">
        <v>1</v>
      </c>
      <c r="AB47" s="44">
        <v>1</v>
      </c>
      <c r="AC47" s="45">
        <v>0</v>
      </c>
      <c r="AD47" s="45">
        <v>0</v>
      </c>
      <c r="AE47" s="46">
        <v>0</v>
      </c>
      <c r="AF47" s="43">
        <v>1</v>
      </c>
      <c r="AG47" s="43">
        <v>0</v>
      </c>
      <c r="AH47" s="43">
        <v>0</v>
      </c>
      <c r="AI47" s="43">
        <v>0</v>
      </c>
      <c r="AK47">
        <f t="shared" si="25"/>
        <v>1</v>
      </c>
      <c r="AL47" s="1">
        <f t="shared" si="47"/>
        <v>5</v>
      </c>
      <c r="AM47" s="47"/>
      <c r="AP47" s="1">
        <f t="shared" si="48"/>
        <v>1</v>
      </c>
      <c r="AQ47" s="1">
        <f t="shared" si="29"/>
        <v>1</v>
      </c>
      <c r="AR47" s="1">
        <f t="shared" si="30"/>
        <v>1</v>
      </c>
      <c r="AS47" s="1">
        <f t="shared" si="31"/>
        <v>1</v>
      </c>
      <c r="AT47" s="1">
        <f t="shared" si="49"/>
        <v>1</v>
      </c>
      <c r="AV47" s="1">
        <v>1</v>
      </c>
      <c r="AW47" s="1">
        <f t="shared" si="50"/>
        <v>1</v>
      </c>
      <c r="AX47" s="1">
        <f t="shared" si="51"/>
        <v>0</v>
      </c>
      <c r="AY47" s="1">
        <f t="shared" si="52"/>
        <v>0</v>
      </c>
      <c r="AZ47" s="1">
        <f t="shared" si="53"/>
        <v>0</v>
      </c>
      <c r="BA47" s="1">
        <f t="shared" si="54"/>
        <v>0</v>
      </c>
      <c r="BB47" s="1">
        <f t="shared" si="55"/>
        <v>0</v>
      </c>
      <c r="BC47" s="1">
        <f t="shared" si="56"/>
        <v>0</v>
      </c>
      <c r="BD47" s="1">
        <f t="shared" si="57"/>
        <v>0</v>
      </c>
      <c r="BE47" s="1">
        <f t="shared" si="58"/>
        <v>1</v>
      </c>
      <c r="BF47" s="1">
        <f t="shared" si="33"/>
        <v>1</v>
      </c>
      <c r="BG47" s="1">
        <f t="shared" si="34"/>
        <v>0</v>
      </c>
      <c r="BH47" s="1">
        <f t="shared" si="43"/>
        <v>0</v>
      </c>
      <c r="BI47" s="1">
        <f t="shared" si="44"/>
        <v>0</v>
      </c>
      <c r="BK47" s="1">
        <v>1</v>
      </c>
      <c r="BL47" s="1">
        <f t="shared" si="35"/>
        <v>1</v>
      </c>
      <c r="BM47" s="1">
        <f t="shared" si="36"/>
        <v>0</v>
      </c>
      <c r="BN47" s="1">
        <f t="shared" si="45"/>
        <v>0</v>
      </c>
      <c r="BO47" s="1">
        <f t="shared" si="46"/>
        <v>0</v>
      </c>
    </row>
    <row r="48" ht="15" spans="1:67">
      <c r="A48" s="1">
        <f t="shared" si="20"/>
        <v>46</v>
      </c>
      <c r="C48" t="s">
        <v>813</v>
      </c>
      <c r="D48" s="1">
        <f t="shared" si="21"/>
        <v>1</v>
      </c>
      <c r="E48" s="1">
        <f t="shared" si="37"/>
        <v>0</v>
      </c>
      <c r="F48" s="1">
        <f t="shared" si="23"/>
        <v>1</v>
      </c>
      <c r="G48" s="1">
        <f t="shared" si="38"/>
        <v>0</v>
      </c>
      <c r="H48" s="17">
        <f t="shared" si="39"/>
        <v>1</v>
      </c>
      <c r="I48" s="1" t="str">
        <f t="shared" si="40"/>
        <v>Santiago</v>
      </c>
      <c r="J48" s="27" t="str">
        <f t="shared" si="41"/>
        <v>Santiago</v>
      </c>
      <c r="K48" s="30">
        <f t="shared" si="24"/>
        <v>0</v>
      </c>
      <c r="L48" s="31">
        <v>1</v>
      </c>
      <c r="M48" s="32"/>
      <c r="N48" s="24"/>
      <c r="P48" s="24">
        <f t="shared" si="42"/>
        <v>2</v>
      </c>
      <c r="Q48" s="24"/>
      <c r="S48" s="39"/>
      <c r="T48" s="32"/>
      <c r="U48" s="24">
        <v>0</v>
      </c>
      <c r="V48" s="1">
        <v>1</v>
      </c>
      <c r="W48" s="33">
        <v>0</v>
      </c>
      <c r="X48" s="33">
        <v>0</v>
      </c>
      <c r="Y48" s="33">
        <v>1</v>
      </c>
      <c r="Z48" s="33">
        <v>0</v>
      </c>
      <c r="AA48" s="33">
        <v>0</v>
      </c>
      <c r="AB48" s="44">
        <v>0</v>
      </c>
      <c r="AC48" s="45">
        <v>0</v>
      </c>
      <c r="AD48" s="45">
        <v>1</v>
      </c>
      <c r="AE48" s="46">
        <v>0</v>
      </c>
      <c r="AF48" s="43">
        <v>0</v>
      </c>
      <c r="AG48" s="43">
        <v>1</v>
      </c>
      <c r="AH48" s="43">
        <v>0</v>
      </c>
      <c r="AI48" s="43">
        <v>0</v>
      </c>
      <c r="AK48">
        <f t="shared" si="25"/>
        <v>3</v>
      </c>
      <c r="AL48" s="1">
        <f t="shared" si="47"/>
        <v>3</v>
      </c>
      <c r="AM48" s="47"/>
      <c r="AP48" s="1">
        <f t="shared" si="48"/>
        <v>1</v>
      </c>
      <c r="AQ48" s="1">
        <f t="shared" si="29"/>
        <v>1</v>
      </c>
      <c r="AR48" s="1">
        <f t="shared" si="30"/>
        <v>1</v>
      </c>
      <c r="AS48" s="1">
        <f t="shared" si="31"/>
        <v>1</v>
      </c>
      <c r="AT48" s="1">
        <f t="shared" si="49"/>
        <v>1</v>
      </c>
      <c r="AV48" s="1">
        <v>1</v>
      </c>
      <c r="AW48" s="1">
        <f t="shared" si="50"/>
        <v>0</v>
      </c>
      <c r="AX48" s="1">
        <f t="shared" si="51"/>
        <v>0</v>
      </c>
      <c r="AY48" s="1">
        <f t="shared" si="52"/>
        <v>1</v>
      </c>
      <c r="AZ48" s="1">
        <f t="shared" si="53"/>
        <v>0</v>
      </c>
      <c r="BA48" s="1">
        <f t="shared" si="54"/>
        <v>0</v>
      </c>
      <c r="BB48" s="1">
        <f t="shared" si="55"/>
        <v>0</v>
      </c>
      <c r="BC48" s="1">
        <f t="shared" si="56"/>
        <v>1</v>
      </c>
      <c r="BD48" s="1">
        <f t="shared" si="57"/>
        <v>0</v>
      </c>
      <c r="BE48" s="1">
        <f t="shared" si="58"/>
        <v>0</v>
      </c>
      <c r="BF48" s="1">
        <f t="shared" si="33"/>
        <v>0</v>
      </c>
      <c r="BG48" s="1">
        <f t="shared" si="34"/>
        <v>1</v>
      </c>
      <c r="BH48" s="1">
        <f t="shared" si="43"/>
        <v>0</v>
      </c>
      <c r="BI48" s="1">
        <f t="shared" si="44"/>
        <v>0</v>
      </c>
      <c r="BK48" s="1">
        <v>1</v>
      </c>
      <c r="BL48" s="1">
        <f t="shared" si="35"/>
        <v>0</v>
      </c>
      <c r="BM48" s="1">
        <f t="shared" si="36"/>
        <v>1</v>
      </c>
      <c r="BN48" s="1">
        <f t="shared" si="45"/>
        <v>0</v>
      </c>
      <c r="BO48" s="1">
        <f t="shared" si="46"/>
        <v>0</v>
      </c>
    </row>
    <row r="49" ht="15" spans="1:67">
      <c r="A49" s="1">
        <f t="shared" si="20"/>
        <v>47</v>
      </c>
      <c r="C49" t="s">
        <v>814</v>
      </c>
      <c r="D49" s="1">
        <f t="shared" si="21"/>
        <v>1</v>
      </c>
      <c r="E49" s="1">
        <f t="shared" si="37"/>
        <v>0</v>
      </c>
      <c r="F49" s="1">
        <f t="shared" si="23"/>
        <v>1</v>
      </c>
      <c r="G49" s="1">
        <f t="shared" si="38"/>
        <v>0</v>
      </c>
      <c r="H49" s="17">
        <f t="shared" si="39"/>
        <v>1</v>
      </c>
      <c r="I49" s="1" t="str">
        <f t="shared" si="40"/>
        <v>SaoPaulo</v>
      </c>
      <c r="J49" s="27" t="str">
        <f t="shared" si="41"/>
        <v>Sao Paulo</v>
      </c>
      <c r="K49" s="30">
        <f t="shared" si="24"/>
        <v>0</v>
      </c>
      <c r="L49" s="31">
        <v>1</v>
      </c>
      <c r="M49" s="32"/>
      <c r="N49" s="24"/>
      <c r="P49" s="24">
        <f t="shared" si="42"/>
        <v>2</v>
      </c>
      <c r="Q49" s="24"/>
      <c r="S49" s="39"/>
      <c r="T49" s="32"/>
      <c r="U49" s="24">
        <v>0</v>
      </c>
      <c r="V49" s="1">
        <v>1</v>
      </c>
      <c r="W49" s="33">
        <v>0</v>
      </c>
      <c r="X49" s="33">
        <v>0</v>
      </c>
      <c r="Y49" s="33">
        <v>1</v>
      </c>
      <c r="Z49" s="33">
        <v>0</v>
      </c>
      <c r="AA49" s="33">
        <v>0</v>
      </c>
      <c r="AB49" s="44">
        <v>0</v>
      </c>
      <c r="AC49" s="45">
        <v>0</v>
      </c>
      <c r="AD49" s="45">
        <v>1</v>
      </c>
      <c r="AE49" s="46">
        <v>0</v>
      </c>
      <c r="AF49" s="43">
        <v>0</v>
      </c>
      <c r="AG49" s="43">
        <v>0</v>
      </c>
      <c r="AH49" s="43">
        <v>0</v>
      </c>
      <c r="AI49" s="43">
        <v>1</v>
      </c>
      <c r="AK49">
        <f t="shared" si="25"/>
        <v>3</v>
      </c>
      <c r="AL49" s="1">
        <f t="shared" si="47"/>
        <v>3</v>
      </c>
      <c r="AM49" s="47"/>
      <c r="AP49" s="1">
        <f t="shared" si="48"/>
        <v>1</v>
      </c>
      <c r="AQ49" s="1">
        <f t="shared" si="29"/>
        <v>1</v>
      </c>
      <c r="AR49" s="1">
        <f t="shared" si="30"/>
        <v>1</v>
      </c>
      <c r="AS49" s="1">
        <f t="shared" si="31"/>
        <v>1</v>
      </c>
      <c r="AT49" s="1">
        <f t="shared" si="49"/>
        <v>1</v>
      </c>
      <c r="AV49" s="1">
        <v>1</v>
      </c>
      <c r="AW49" s="1">
        <f t="shared" si="50"/>
        <v>0</v>
      </c>
      <c r="AX49" s="1">
        <f t="shared" si="51"/>
        <v>0</v>
      </c>
      <c r="AY49" s="1">
        <f t="shared" si="52"/>
        <v>1</v>
      </c>
      <c r="AZ49" s="1">
        <f t="shared" si="53"/>
        <v>0</v>
      </c>
      <c r="BA49" s="1">
        <f t="shared" si="54"/>
        <v>0</v>
      </c>
      <c r="BB49" s="1">
        <f t="shared" si="55"/>
        <v>0</v>
      </c>
      <c r="BC49" s="1">
        <f t="shared" si="56"/>
        <v>1</v>
      </c>
      <c r="BD49" s="1">
        <f t="shared" si="57"/>
        <v>0</v>
      </c>
      <c r="BE49" s="1">
        <f t="shared" si="58"/>
        <v>0</v>
      </c>
      <c r="BF49" s="1">
        <f t="shared" si="33"/>
        <v>0</v>
      </c>
      <c r="BG49" s="1">
        <f t="shared" si="34"/>
        <v>0</v>
      </c>
      <c r="BH49" s="1">
        <f t="shared" si="43"/>
        <v>1</v>
      </c>
      <c r="BI49" s="1">
        <f t="shared" si="44"/>
        <v>0</v>
      </c>
      <c r="BK49" s="1">
        <v>1</v>
      </c>
      <c r="BL49" s="1">
        <f t="shared" si="35"/>
        <v>0</v>
      </c>
      <c r="BM49" s="1">
        <f t="shared" si="36"/>
        <v>0</v>
      </c>
      <c r="BN49" s="1">
        <f t="shared" si="45"/>
        <v>0</v>
      </c>
      <c r="BO49" s="1">
        <f t="shared" si="46"/>
        <v>1</v>
      </c>
    </row>
    <row r="50" ht="15" spans="1:67">
      <c r="A50" s="1">
        <f t="shared" si="20"/>
        <v>48</v>
      </c>
      <c r="C50" t="s">
        <v>815</v>
      </c>
      <c r="D50" s="1">
        <f t="shared" si="21"/>
        <v>1</v>
      </c>
      <c r="E50" s="1">
        <f t="shared" si="37"/>
        <v>0</v>
      </c>
      <c r="F50" s="1">
        <f t="shared" si="23"/>
        <v>1</v>
      </c>
      <c r="G50" s="1">
        <f t="shared" si="38"/>
        <v>0</v>
      </c>
      <c r="H50" s="17">
        <f t="shared" si="39"/>
        <v>1</v>
      </c>
      <c r="I50" s="1" t="str">
        <f t="shared" si="40"/>
        <v>Seoul</v>
      </c>
      <c r="J50" s="27" t="str">
        <f t="shared" si="41"/>
        <v>Seoul</v>
      </c>
      <c r="K50" s="30">
        <f t="shared" si="24"/>
        <v>0</v>
      </c>
      <c r="L50" s="31">
        <v>1</v>
      </c>
      <c r="M50" s="32"/>
      <c r="N50" s="24"/>
      <c r="P50" s="24">
        <f t="shared" si="42"/>
        <v>6</v>
      </c>
      <c r="Q50" s="24"/>
      <c r="S50" s="39"/>
      <c r="T50" s="32"/>
      <c r="U50" s="24">
        <v>0</v>
      </c>
      <c r="V50" s="1">
        <v>1</v>
      </c>
      <c r="W50" s="33">
        <v>1</v>
      </c>
      <c r="X50" s="33">
        <v>0</v>
      </c>
      <c r="Y50" s="33">
        <v>0</v>
      </c>
      <c r="Z50" s="33">
        <v>0</v>
      </c>
      <c r="AA50" s="33">
        <v>0</v>
      </c>
      <c r="AB50" s="44">
        <v>0</v>
      </c>
      <c r="AC50" s="45">
        <v>1</v>
      </c>
      <c r="AD50" s="45">
        <v>0</v>
      </c>
      <c r="AE50" s="46">
        <v>0</v>
      </c>
      <c r="AF50" s="43">
        <v>0</v>
      </c>
      <c r="AG50" s="43">
        <v>0</v>
      </c>
      <c r="AH50" s="43">
        <v>0</v>
      </c>
      <c r="AI50" s="43">
        <v>1</v>
      </c>
      <c r="AK50">
        <f t="shared" si="25"/>
        <v>2</v>
      </c>
      <c r="AL50" s="1">
        <f t="shared" si="47"/>
        <v>1</v>
      </c>
      <c r="AM50" s="47"/>
      <c r="AP50" s="1">
        <f t="shared" si="48"/>
        <v>1</v>
      </c>
      <c r="AQ50" s="1">
        <f t="shared" si="29"/>
        <v>1</v>
      </c>
      <c r="AR50" s="1">
        <f t="shared" si="30"/>
        <v>1</v>
      </c>
      <c r="AS50" s="1">
        <f t="shared" si="31"/>
        <v>1</v>
      </c>
      <c r="AT50" s="1">
        <f t="shared" si="49"/>
        <v>1</v>
      </c>
      <c r="AV50" s="1">
        <v>1</v>
      </c>
      <c r="AW50" s="1">
        <f t="shared" si="50"/>
        <v>0</v>
      </c>
      <c r="AX50" s="1">
        <f t="shared" si="51"/>
        <v>1</v>
      </c>
      <c r="AY50" s="1">
        <f t="shared" si="52"/>
        <v>0</v>
      </c>
      <c r="AZ50" s="1">
        <f t="shared" si="53"/>
        <v>0</v>
      </c>
      <c r="BA50" s="1">
        <f t="shared" si="54"/>
        <v>1</v>
      </c>
      <c r="BB50" s="1">
        <f t="shared" si="55"/>
        <v>0</v>
      </c>
      <c r="BC50" s="1">
        <f t="shared" si="56"/>
        <v>0</v>
      </c>
      <c r="BD50" s="1">
        <f t="shared" si="57"/>
        <v>0</v>
      </c>
      <c r="BE50" s="1">
        <f t="shared" si="58"/>
        <v>0</v>
      </c>
      <c r="BF50" s="1">
        <f t="shared" si="33"/>
        <v>0</v>
      </c>
      <c r="BG50" s="1">
        <f t="shared" si="34"/>
        <v>0</v>
      </c>
      <c r="BH50" s="1">
        <f t="shared" si="43"/>
        <v>1</v>
      </c>
      <c r="BI50" s="1">
        <f t="shared" si="44"/>
        <v>0</v>
      </c>
      <c r="BK50" s="1">
        <v>1</v>
      </c>
      <c r="BL50" s="1">
        <f t="shared" si="35"/>
        <v>0</v>
      </c>
      <c r="BM50" s="1">
        <f t="shared" si="36"/>
        <v>0</v>
      </c>
      <c r="BN50" s="1">
        <f t="shared" si="45"/>
        <v>0</v>
      </c>
      <c r="BO50" s="1">
        <f t="shared" si="46"/>
        <v>1</v>
      </c>
    </row>
    <row r="51" ht="15" spans="1:67">
      <c r="A51" s="1">
        <f t="shared" si="20"/>
        <v>49</v>
      </c>
      <c r="C51" t="s">
        <v>816</v>
      </c>
      <c r="D51" s="1">
        <f t="shared" si="21"/>
        <v>1</v>
      </c>
      <c r="E51" s="1">
        <f t="shared" si="37"/>
        <v>0</v>
      </c>
      <c r="F51" s="1">
        <f t="shared" si="23"/>
        <v>1</v>
      </c>
      <c r="G51" s="1">
        <f t="shared" si="38"/>
        <v>0</v>
      </c>
      <c r="H51" s="17">
        <f t="shared" si="39"/>
        <v>1</v>
      </c>
      <c r="I51" s="1" t="str">
        <f t="shared" si="40"/>
        <v>Shanghai</v>
      </c>
      <c r="J51" s="27" t="str">
        <f t="shared" si="41"/>
        <v>Shanghai</v>
      </c>
      <c r="K51" s="30">
        <f t="shared" si="24"/>
        <v>0</v>
      </c>
      <c r="L51" s="31">
        <v>1</v>
      </c>
      <c r="M51" s="32"/>
      <c r="N51" s="24"/>
      <c r="P51" s="24">
        <f t="shared" si="42"/>
        <v>7</v>
      </c>
      <c r="Q51" s="24"/>
      <c r="S51" s="39"/>
      <c r="T51" s="32"/>
      <c r="U51" s="24">
        <v>0</v>
      </c>
      <c r="V51" s="1">
        <v>1</v>
      </c>
      <c r="W51" s="33">
        <v>1</v>
      </c>
      <c r="X51" s="33">
        <v>0</v>
      </c>
      <c r="Y51" s="33">
        <v>0</v>
      </c>
      <c r="Z51" s="33">
        <v>0</v>
      </c>
      <c r="AA51" s="33">
        <v>0</v>
      </c>
      <c r="AB51" s="44">
        <v>0</v>
      </c>
      <c r="AC51" s="45">
        <v>0</v>
      </c>
      <c r="AD51" s="45">
        <v>1</v>
      </c>
      <c r="AE51" s="46">
        <v>0</v>
      </c>
      <c r="AF51" s="43">
        <v>0</v>
      </c>
      <c r="AG51" s="43">
        <v>0</v>
      </c>
      <c r="AH51" s="43">
        <v>0</v>
      </c>
      <c r="AI51" s="43">
        <v>1</v>
      </c>
      <c r="AK51">
        <f t="shared" si="25"/>
        <v>3</v>
      </c>
      <c r="AL51" s="1">
        <f t="shared" si="47"/>
        <v>1</v>
      </c>
      <c r="AM51" s="47"/>
      <c r="AP51" s="1">
        <f t="shared" si="48"/>
        <v>1</v>
      </c>
      <c r="AQ51" s="1">
        <f t="shared" si="29"/>
        <v>1</v>
      </c>
      <c r="AR51" s="1">
        <f t="shared" si="30"/>
        <v>1</v>
      </c>
      <c r="AS51" s="1">
        <f t="shared" si="31"/>
        <v>1</v>
      </c>
      <c r="AT51" s="1">
        <f t="shared" si="49"/>
        <v>1</v>
      </c>
      <c r="AV51" s="1">
        <v>1</v>
      </c>
      <c r="AW51" s="1">
        <f t="shared" si="50"/>
        <v>0</v>
      </c>
      <c r="AX51" s="1">
        <f t="shared" si="51"/>
        <v>0</v>
      </c>
      <c r="AY51" s="1">
        <f t="shared" si="52"/>
        <v>1</v>
      </c>
      <c r="AZ51" s="1">
        <f t="shared" si="53"/>
        <v>0</v>
      </c>
      <c r="BA51" s="1">
        <f t="shared" si="54"/>
        <v>1</v>
      </c>
      <c r="BB51" s="1">
        <f t="shared" si="55"/>
        <v>0</v>
      </c>
      <c r="BC51" s="1">
        <f t="shared" si="56"/>
        <v>0</v>
      </c>
      <c r="BD51" s="1">
        <f t="shared" si="57"/>
        <v>0</v>
      </c>
      <c r="BE51" s="1">
        <f t="shared" si="58"/>
        <v>0</v>
      </c>
      <c r="BF51" s="1">
        <f t="shared" si="33"/>
        <v>0</v>
      </c>
      <c r="BG51" s="1">
        <f t="shared" si="34"/>
        <v>0</v>
      </c>
      <c r="BH51" s="1">
        <f t="shared" si="43"/>
        <v>1</v>
      </c>
      <c r="BI51" s="1">
        <f t="shared" si="44"/>
        <v>0</v>
      </c>
      <c r="BK51" s="1">
        <v>1</v>
      </c>
      <c r="BL51" s="1">
        <f t="shared" si="35"/>
        <v>0</v>
      </c>
      <c r="BM51" s="1">
        <f t="shared" si="36"/>
        <v>0</v>
      </c>
      <c r="BN51" s="1">
        <f t="shared" si="45"/>
        <v>0</v>
      </c>
      <c r="BO51" s="1">
        <f t="shared" si="46"/>
        <v>1</v>
      </c>
    </row>
    <row r="52" ht="15" spans="1:67">
      <c r="A52" s="1">
        <f t="shared" si="20"/>
        <v>50</v>
      </c>
      <c r="C52" t="s">
        <v>818</v>
      </c>
      <c r="D52" s="1">
        <f t="shared" si="21"/>
        <v>1</v>
      </c>
      <c r="E52" s="1">
        <f t="shared" si="37"/>
        <v>0</v>
      </c>
      <c r="F52" s="1">
        <f t="shared" si="23"/>
        <v>1</v>
      </c>
      <c r="G52" s="1">
        <f t="shared" si="38"/>
        <v>0</v>
      </c>
      <c r="H52" s="17">
        <f t="shared" si="39"/>
        <v>1</v>
      </c>
      <c r="I52" s="1" t="str">
        <f t="shared" si="40"/>
        <v>Singapore</v>
      </c>
      <c r="J52" s="27" t="str">
        <f t="shared" si="41"/>
        <v>Singapore</v>
      </c>
      <c r="K52" s="30">
        <f t="shared" si="24"/>
        <v>0</v>
      </c>
      <c r="L52" s="31">
        <v>1</v>
      </c>
      <c r="M52" s="32"/>
      <c r="N52" s="24"/>
      <c r="P52" s="24">
        <f t="shared" si="42"/>
        <v>5</v>
      </c>
      <c r="Q52" s="24"/>
      <c r="S52" s="39"/>
      <c r="T52" s="32"/>
      <c r="U52" s="24">
        <v>0</v>
      </c>
      <c r="V52" s="1">
        <v>1</v>
      </c>
      <c r="W52" s="33">
        <v>1</v>
      </c>
      <c r="X52" s="33">
        <v>0</v>
      </c>
      <c r="Y52" s="33">
        <v>0</v>
      </c>
      <c r="Z52" s="33">
        <v>0</v>
      </c>
      <c r="AA52" s="33">
        <v>0</v>
      </c>
      <c r="AB52" s="44">
        <v>1</v>
      </c>
      <c r="AC52" s="45">
        <v>0</v>
      </c>
      <c r="AD52" s="45">
        <v>0</v>
      </c>
      <c r="AE52" s="46">
        <v>0</v>
      </c>
      <c r="AF52" s="43">
        <v>0</v>
      </c>
      <c r="AG52" s="43">
        <v>1</v>
      </c>
      <c r="AH52" s="43">
        <v>0</v>
      </c>
      <c r="AI52" s="43">
        <v>0</v>
      </c>
      <c r="AK52">
        <f t="shared" si="25"/>
        <v>1</v>
      </c>
      <c r="AL52" s="1">
        <f t="shared" si="47"/>
        <v>1</v>
      </c>
      <c r="AM52" s="47"/>
      <c r="AP52" s="1">
        <f t="shared" si="48"/>
        <v>1</v>
      </c>
      <c r="AQ52" s="1">
        <f t="shared" si="29"/>
        <v>1</v>
      </c>
      <c r="AR52" s="1">
        <f t="shared" si="30"/>
        <v>1</v>
      </c>
      <c r="AS52" s="1">
        <f t="shared" si="31"/>
        <v>1</v>
      </c>
      <c r="AT52" s="1">
        <f t="shared" si="49"/>
        <v>1</v>
      </c>
      <c r="AV52" s="1">
        <v>1</v>
      </c>
      <c r="AW52" s="1">
        <f t="shared" si="50"/>
        <v>1</v>
      </c>
      <c r="AX52" s="1">
        <f t="shared" si="51"/>
        <v>0</v>
      </c>
      <c r="AY52" s="1">
        <f t="shared" si="52"/>
        <v>0</v>
      </c>
      <c r="AZ52" s="1">
        <f t="shared" si="53"/>
        <v>0</v>
      </c>
      <c r="BA52" s="1">
        <f t="shared" si="54"/>
        <v>1</v>
      </c>
      <c r="BB52" s="1">
        <f t="shared" si="55"/>
        <v>0</v>
      </c>
      <c r="BC52" s="1">
        <f t="shared" si="56"/>
        <v>0</v>
      </c>
      <c r="BD52" s="1">
        <f t="shared" si="57"/>
        <v>0</v>
      </c>
      <c r="BE52" s="1">
        <f t="shared" si="58"/>
        <v>0</v>
      </c>
      <c r="BF52" s="1">
        <f t="shared" si="33"/>
        <v>0</v>
      </c>
      <c r="BG52" s="1">
        <f t="shared" si="34"/>
        <v>1</v>
      </c>
      <c r="BH52" s="1">
        <f t="shared" si="43"/>
        <v>0</v>
      </c>
      <c r="BI52" s="1">
        <f t="shared" si="44"/>
        <v>0</v>
      </c>
      <c r="BK52" s="1">
        <v>1</v>
      </c>
      <c r="BL52" s="1">
        <f t="shared" si="35"/>
        <v>0</v>
      </c>
      <c r="BM52" s="1">
        <f t="shared" si="36"/>
        <v>1</v>
      </c>
      <c r="BN52" s="1">
        <f t="shared" si="45"/>
        <v>0</v>
      </c>
      <c r="BO52" s="1">
        <f t="shared" si="46"/>
        <v>0</v>
      </c>
    </row>
    <row r="53" ht="15" spans="1:67">
      <c r="A53" s="1">
        <f t="shared" si="20"/>
        <v>51</v>
      </c>
      <c r="C53" t="s">
        <v>819</v>
      </c>
      <c r="D53" s="1">
        <f t="shared" si="21"/>
        <v>1</v>
      </c>
      <c r="E53" s="1">
        <f t="shared" si="37"/>
        <v>0</v>
      </c>
      <c r="F53" s="1">
        <f t="shared" si="23"/>
        <v>1</v>
      </c>
      <c r="G53" s="1">
        <f t="shared" si="38"/>
        <v>0</v>
      </c>
      <c r="H53" s="17">
        <f t="shared" si="39"/>
        <v>1</v>
      </c>
      <c r="I53" s="1" t="str">
        <f t="shared" si="40"/>
        <v>Stockholm</v>
      </c>
      <c r="J53" s="27" t="str">
        <f t="shared" si="41"/>
        <v>Stockholm</v>
      </c>
      <c r="K53" s="30">
        <f t="shared" si="24"/>
        <v>0</v>
      </c>
      <c r="L53" s="31">
        <v>1</v>
      </c>
      <c r="M53" s="32"/>
      <c r="N53" s="24"/>
      <c r="P53" s="24">
        <f t="shared" si="42"/>
        <v>1</v>
      </c>
      <c r="Q53" s="24"/>
      <c r="S53" s="39"/>
      <c r="T53" s="32"/>
      <c r="U53" s="24">
        <v>0</v>
      </c>
      <c r="V53" s="1">
        <v>1</v>
      </c>
      <c r="W53" s="33">
        <v>0</v>
      </c>
      <c r="X53" s="33">
        <v>1</v>
      </c>
      <c r="Y53" s="33">
        <v>0</v>
      </c>
      <c r="Z53" s="33">
        <v>0</v>
      </c>
      <c r="AA53" s="33">
        <v>0</v>
      </c>
      <c r="AB53" s="44">
        <v>0</v>
      </c>
      <c r="AC53" s="45">
        <v>1</v>
      </c>
      <c r="AD53" s="45">
        <v>0</v>
      </c>
      <c r="AE53" s="46">
        <v>0</v>
      </c>
      <c r="AF53" s="43">
        <v>1</v>
      </c>
      <c r="AG53" s="43">
        <v>0</v>
      </c>
      <c r="AH53" s="43">
        <v>0</v>
      </c>
      <c r="AI53" s="43">
        <v>0</v>
      </c>
      <c r="AK53">
        <f t="shared" si="25"/>
        <v>2</v>
      </c>
      <c r="AL53" s="1">
        <f t="shared" si="47"/>
        <v>2</v>
      </c>
      <c r="AM53" s="47"/>
      <c r="AP53" s="1">
        <f t="shared" si="48"/>
        <v>1</v>
      </c>
      <c r="AQ53" s="1">
        <f t="shared" si="29"/>
        <v>1</v>
      </c>
      <c r="AR53" s="1">
        <f t="shared" si="30"/>
        <v>1</v>
      </c>
      <c r="AS53" s="1">
        <f t="shared" si="31"/>
        <v>1</v>
      </c>
      <c r="AT53" s="1">
        <f t="shared" si="49"/>
        <v>1</v>
      </c>
      <c r="AV53" s="1">
        <v>1</v>
      </c>
      <c r="AW53" s="1">
        <f t="shared" si="50"/>
        <v>0</v>
      </c>
      <c r="AX53" s="1">
        <f t="shared" si="51"/>
        <v>1</v>
      </c>
      <c r="AY53" s="1">
        <f t="shared" si="52"/>
        <v>0</v>
      </c>
      <c r="AZ53" s="1">
        <f t="shared" si="53"/>
        <v>0</v>
      </c>
      <c r="BA53" s="1">
        <f t="shared" si="54"/>
        <v>0</v>
      </c>
      <c r="BB53" s="1">
        <f t="shared" si="55"/>
        <v>1</v>
      </c>
      <c r="BC53" s="1">
        <f t="shared" si="56"/>
        <v>0</v>
      </c>
      <c r="BD53" s="1">
        <f t="shared" si="57"/>
        <v>0</v>
      </c>
      <c r="BE53" s="1">
        <f t="shared" si="58"/>
        <v>0</v>
      </c>
      <c r="BF53" s="1">
        <f t="shared" si="33"/>
        <v>1</v>
      </c>
      <c r="BG53" s="1">
        <f t="shared" si="34"/>
        <v>0</v>
      </c>
      <c r="BH53" s="1">
        <f t="shared" si="43"/>
        <v>0</v>
      </c>
      <c r="BI53" s="1">
        <f t="shared" si="44"/>
        <v>0</v>
      </c>
      <c r="BK53" s="1">
        <v>1</v>
      </c>
      <c r="BL53" s="1">
        <f t="shared" si="35"/>
        <v>1</v>
      </c>
      <c r="BM53" s="1">
        <f t="shared" si="36"/>
        <v>0</v>
      </c>
      <c r="BN53" s="1">
        <f t="shared" si="45"/>
        <v>0</v>
      </c>
      <c r="BO53" s="1">
        <f t="shared" si="46"/>
        <v>0</v>
      </c>
    </row>
    <row r="54" ht="15" spans="1:67">
      <c r="A54" s="1">
        <f t="shared" si="20"/>
        <v>52</v>
      </c>
      <c r="C54" t="s">
        <v>820</v>
      </c>
      <c r="D54" s="1">
        <f t="shared" si="21"/>
        <v>1</v>
      </c>
      <c r="E54" s="1">
        <f t="shared" si="37"/>
        <v>0</v>
      </c>
      <c r="F54" s="1">
        <f t="shared" si="23"/>
        <v>1</v>
      </c>
      <c r="G54" s="1">
        <f t="shared" si="38"/>
        <v>0</v>
      </c>
      <c r="H54" s="17">
        <f t="shared" si="39"/>
        <v>1</v>
      </c>
      <c r="I54" s="1" t="str">
        <f t="shared" si="40"/>
        <v>Sydney</v>
      </c>
      <c r="J54" s="27" t="str">
        <f t="shared" si="41"/>
        <v>Sydney</v>
      </c>
      <c r="K54" s="30">
        <f t="shared" si="24"/>
        <v>0</v>
      </c>
      <c r="L54" s="31">
        <v>1</v>
      </c>
      <c r="M54" s="32"/>
      <c r="N54" s="24"/>
      <c r="P54" s="24">
        <f t="shared" si="42"/>
        <v>6</v>
      </c>
      <c r="Q54" s="24"/>
      <c r="S54" s="39"/>
      <c r="T54" s="32"/>
      <c r="U54" s="24">
        <v>0</v>
      </c>
      <c r="V54" s="1">
        <v>1</v>
      </c>
      <c r="W54" s="33">
        <v>1</v>
      </c>
      <c r="X54" s="33">
        <v>0</v>
      </c>
      <c r="Y54" s="33">
        <v>0</v>
      </c>
      <c r="Z54" s="33">
        <v>0</v>
      </c>
      <c r="AA54" s="33">
        <v>0</v>
      </c>
      <c r="AB54" s="44">
        <v>0</v>
      </c>
      <c r="AC54" s="45">
        <v>1</v>
      </c>
      <c r="AD54" s="45">
        <v>0</v>
      </c>
      <c r="AE54" s="46">
        <v>0</v>
      </c>
      <c r="AF54" s="43">
        <v>1</v>
      </c>
      <c r="AG54" s="43">
        <v>0</v>
      </c>
      <c r="AH54" s="43">
        <v>0</v>
      </c>
      <c r="AI54" s="43">
        <v>0</v>
      </c>
      <c r="AK54">
        <f t="shared" si="25"/>
        <v>2</v>
      </c>
      <c r="AL54" s="1">
        <f t="shared" si="47"/>
        <v>1</v>
      </c>
      <c r="AM54" s="47"/>
      <c r="AP54" s="1">
        <f t="shared" si="48"/>
        <v>1</v>
      </c>
      <c r="AQ54" s="1">
        <f t="shared" si="29"/>
        <v>1</v>
      </c>
      <c r="AR54" s="1">
        <f t="shared" si="30"/>
        <v>1</v>
      </c>
      <c r="AS54" s="1">
        <f t="shared" si="31"/>
        <v>1</v>
      </c>
      <c r="AT54" s="1">
        <f t="shared" si="49"/>
        <v>1</v>
      </c>
      <c r="AV54" s="1">
        <v>1</v>
      </c>
      <c r="AW54" s="1">
        <f t="shared" si="50"/>
        <v>0</v>
      </c>
      <c r="AX54" s="1">
        <f t="shared" si="51"/>
        <v>1</v>
      </c>
      <c r="AY54" s="1">
        <f t="shared" si="52"/>
        <v>0</v>
      </c>
      <c r="AZ54" s="1">
        <f t="shared" si="53"/>
        <v>0</v>
      </c>
      <c r="BA54" s="1">
        <f t="shared" si="54"/>
        <v>1</v>
      </c>
      <c r="BB54" s="1">
        <f t="shared" si="55"/>
        <v>0</v>
      </c>
      <c r="BC54" s="1">
        <f t="shared" si="56"/>
        <v>0</v>
      </c>
      <c r="BD54" s="1">
        <f t="shared" si="57"/>
        <v>0</v>
      </c>
      <c r="BE54" s="1">
        <f t="shared" si="58"/>
        <v>0</v>
      </c>
      <c r="BF54" s="1">
        <f t="shared" si="33"/>
        <v>1</v>
      </c>
      <c r="BG54" s="1">
        <f t="shared" si="34"/>
        <v>0</v>
      </c>
      <c r="BH54" s="1">
        <f t="shared" si="43"/>
        <v>0</v>
      </c>
      <c r="BI54" s="1">
        <f t="shared" si="44"/>
        <v>0</v>
      </c>
      <c r="BK54" s="1">
        <v>1</v>
      </c>
      <c r="BL54" s="1">
        <f t="shared" si="35"/>
        <v>1</v>
      </c>
      <c r="BM54" s="1">
        <f t="shared" si="36"/>
        <v>0</v>
      </c>
      <c r="BN54" s="1">
        <f t="shared" si="45"/>
        <v>0</v>
      </c>
      <c r="BO54" s="1">
        <f t="shared" si="46"/>
        <v>0</v>
      </c>
    </row>
    <row r="55" ht="15" spans="1:67">
      <c r="A55" s="1">
        <f t="shared" si="20"/>
        <v>53</v>
      </c>
      <c r="C55" t="s">
        <v>821</v>
      </c>
      <c r="D55" s="1">
        <f t="shared" si="21"/>
        <v>1</v>
      </c>
      <c r="E55" s="1">
        <f t="shared" si="37"/>
        <v>0</v>
      </c>
      <c r="F55" s="1">
        <f t="shared" si="23"/>
        <v>1</v>
      </c>
      <c r="G55" s="1">
        <f t="shared" si="38"/>
        <v>0</v>
      </c>
      <c r="H55" s="17">
        <f t="shared" si="39"/>
        <v>1</v>
      </c>
      <c r="I55" s="1" t="str">
        <f t="shared" si="40"/>
        <v>Taipei</v>
      </c>
      <c r="J55" s="27" t="str">
        <f t="shared" si="41"/>
        <v>Taipei</v>
      </c>
      <c r="K55" s="30">
        <f t="shared" si="24"/>
        <v>0</v>
      </c>
      <c r="L55" s="31">
        <v>1</v>
      </c>
      <c r="M55" s="32"/>
      <c r="N55" s="24"/>
      <c r="P55" s="24">
        <f t="shared" si="42"/>
        <v>6</v>
      </c>
      <c r="Q55" s="24"/>
      <c r="S55" s="39"/>
      <c r="T55" s="32"/>
      <c r="U55" s="24">
        <v>0</v>
      </c>
      <c r="V55" s="1">
        <v>1</v>
      </c>
      <c r="W55" s="33">
        <v>1</v>
      </c>
      <c r="X55" s="33">
        <v>0</v>
      </c>
      <c r="Y55" s="33">
        <v>0</v>
      </c>
      <c r="Z55" s="33">
        <v>0</v>
      </c>
      <c r="AA55" s="33">
        <v>0</v>
      </c>
      <c r="AB55" s="44">
        <v>0</v>
      </c>
      <c r="AC55" s="45">
        <v>1</v>
      </c>
      <c r="AD55" s="45">
        <v>0</v>
      </c>
      <c r="AE55" s="46">
        <v>0</v>
      </c>
      <c r="AF55" s="43">
        <v>0</v>
      </c>
      <c r="AG55" s="43">
        <v>1</v>
      </c>
      <c r="AH55" s="43">
        <v>0</v>
      </c>
      <c r="AI55" s="43">
        <v>0</v>
      </c>
      <c r="AK55">
        <f t="shared" si="25"/>
        <v>2</v>
      </c>
      <c r="AL55" s="1">
        <f t="shared" si="47"/>
        <v>1</v>
      </c>
      <c r="AM55" s="47"/>
      <c r="AP55" s="1">
        <f t="shared" si="48"/>
        <v>1</v>
      </c>
      <c r="AQ55" s="1">
        <f t="shared" si="29"/>
        <v>1</v>
      </c>
      <c r="AR55" s="1">
        <f t="shared" si="30"/>
        <v>1</v>
      </c>
      <c r="AS55" s="1">
        <f t="shared" si="31"/>
        <v>1</v>
      </c>
      <c r="AT55" s="1">
        <f t="shared" si="49"/>
        <v>1</v>
      </c>
      <c r="AV55" s="1">
        <v>1</v>
      </c>
      <c r="AW55" s="1">
        <f t="shared" si="50"/>
        <v>0</v>
      </c>
      <c r="AX55" s="1">
        <f t="shared" si="51"/>
        <v>1</v>
      </c>
      <c r="AY55" s="1">
        <f t="shared" si="52"/>
        <v>0</v>
      </c>
      <c r="AZ55" s="1">
        <f t="shared" si="53"/>
        <v>0</v>
      </c>
      <c r="BA55" s="1">
        <f t="shared" si="54"/>
        <v>1</v>
      </c>
      <c r="BB55" s="1">
        <f t="shared" si="55"/>
        <v>0</v>
      </c>
      <c r="BC55" s="1">
        <f t="shared" si="56"/>
        <v>0</v>
      </c>
      <c r="BD55" s="1">
        <f t="shared" si="57"/>
        <v>0</v>
      </c>
      <c r="BE55" s="1">
        <f t="shared" si="58"/>
        <v>0</v>
      </c>
      <c r="BF55" s="1">
        <f t="shared" si="33"/>
        <v>0</v>
      </c>
      <c r="BG55" s="1">
        <f t="shared" si="34"/>
        <v>1</v>
      </c>
      <c r="BH55" s="1">
        <f t="shared" si="43"/>
        <v>0</v>
      </c>
      <c r="BI55" s="1">
        <f t="shared" si="44"/>
        <v>0</v>
      </c>
      <c r="BK55" s="1">
        <v>1</v>
      </c>
      <c r="BL55" s="1">
        <f t="shared" si="35"/>
        <v>0</v>
      </c>
      <c r="BM55" s="1">
        <f t="shared" si="36"/>
        <v>1</v>
      </c>
      <c r="BN55" s="1">
        <f t="shared" si="45"/>
        <v>0</v>
      </c>
      <c r="BO55" s="1">
        <f t="shared" si="46"/>
        <v>0</v>
      </c>
    </row>
    <row r="56" ht="15" spans="1:67">
      <c r="A56" s="1">
        <f t="shared" si="20"/>
        <v>54</v>
      </c>
      <c r="C56" t="s">
        <v>822</v>
      </c>
      <c r="D56" s="1">
        <f t="shared" si="21"/>
        <v>1</v>
      </c>
      <c r="E56" s="1">
        <f t="shared" si="37"/>
        <v>0</v>
      </c>
      <c r="F56" s="1">
        <f t="shared" si="23"/>
        <v>1</v>
      </c>
      <c r="G56" s="1">
        <f t="shared" si="38"/>
        <v>0</v>
      </c>
      <c r="H56" s="17">
        <f t="shared" si="39"/>
        <v>1</v>
      </c>
      <c r="I56" s="1" t="str">
        <f t="shared" si="40"/>
        <v>Tehran</v>
      </c>
      <c r="J56" s="27" t="str">
        <f t="shared" si="41"/>
        <v>Tehran</v>
      </c>
      <c r="K56" s="30">
        <f t="shared" si="24"/>
        <v>0</v>
      </c>
      <c r="L56" s="31">
        <v>1</v>
      </c>
      <c r="M56" s="32"/>
      <c r="N56" s="24"/>
      <c r="P56" s="24">
        <f t="shared" si="42"/>
        <v>3</v>
      </c>
      <c r="Q56" s="24"/>
      <c r="S56" s="39"/>
      <c r="T56" s="32"/>
      <c r="U56" s="24">
        <v>0</v>
      </c>
      <c r="V56" s="1">
        <v>1</v>
      </c>
      <c r="W56" s="33">
        <v>0</v>
      </c>
      <c r="X56" s="33">
        <v>0</v>
      </c>
      <c r="Y56" s="33">
        <v>0</v>
      </c>
      <c r="Z56" s="33">
        <v>1</v>
      </c>
      <c r="AA56" s="33">
        <v>0</v>
      </c>
      <c r="AB56" s="44">
        <v>0</v>
      </c>
      <c r="AC56" s="45">
        <v>0</v>
      </c>
      <c r="AD56" s="45">
        <v>1</v>
      </c>
      <c r="AE56" s="46">
        <v>0</v>
      </c>
      <c r="AF56" s="43">
        <v>0</v>
      </c>
      <c r="AG56" s="43">
        <v>1</v>
      </c>
      <c r="AH56" s="43">
        <v>0</v>
      </c>
      <c r="AI56" s="43">
        <v>0</v>
      </c>
      <c r="AK56">
        <f t="shared" si="25"/>
        <v>3</v>
      </c>
      <c r="AL56" s="1">
        <f t="shared" si="47"/>
        <v>4</v>
      </c>
      <c r="AM56" s="47"/>
      <c r="AP56" s="1">
        <f t="shared" si="48"/>
        <v>1</v>
      </c>
      <c r="AQ56" s="1">
        <f t="shared" si="29"/>
        <v>1</v>
      </c>
      <c r="AR56" s="1">
        <f t="shared" si="30"/>
        <v>1</v>
      </c>
      <c r="AS56" s="1">
        <f t="shared" si="31"/>
        <v>1</v>
      </c>
      <c r="AT56" s="1">
        <f t="shared" si="49"/>
        <v>1</v>
      </c>
      <c r="AV56" s="1">
        <v>1</v>
      </c>
      <c r="AW56" s="1">
        <f t="shared" si="50"/>
        <v>0</v>
      </c>
      <c r="AX56" s="1">
        <f t="shared" si="51"/>
        <v>0</v>
      </c>
      <c r="AY56" s="1">
        <f t="shared" si="52"/>
        <v>1</v>
      </c>
      <c r="AZ56" s="1">
        <f t="shared" si="53"/>
        <v>0</v>
      </c>
      <c r="BA56" s="1">
        <f t="shared" si="54"/>
        <v>0</v>
      </c>
      <c r="BB56" s="1">
        <f t="shared" si="55"/>
        <v>0</v>
      </c>
      <c r="BC56" s="1">
        <f t="shared" si="56"/>
        <v>0</v>
      </c>
      <c r="BD56" s="1">
        <f t="shared" si="57"/>
        <v>1</v>
      </c>
      <c r="BE56" s="1">
        <f t="shared" si="58"/>
        <v>0</v>
      </c>
      <c r="BF56" s="1">
        <f t="shared" si="33"/>
        <v>0</v>
      </c>
      <c r="BG56" s="1">
        <f t="shared" si="34"/>
        <v>1</v>
      </c>
      <c r="BH56" s="1">
        <f t="shared" si="43"/>
        <v>0</v>
      </c>
      <c r="BI56" s="1">
        <f t="shared" si="44"/>
        <v>0</v>
      </c>
      <c r="BK56" s="1">
        <v>1</v>
      </c>
      <c r="BL56" s="1">
        <f t="shared" si="35"/>
        <v>0</v>
      </c>
      <c r="BM56" s="1">
        <f t="shared" si="36"/>
        <v>1</v>
      </c>
      <c r="BN56" s="1">
        <f t="shared" si="45"/>
        <v>0</v>
      </c>
      <c r="BO56" s="1">
        <f t="shared" si="46"/>
        <v>0</v>
      </c>
    </row>
    <row r="57" ht="15" spans="1:67">
      <c r="A57" s="1">
        <f t="shared" si="20"/>
        <v>55</v>
      </c>
      <c r="C57" t="s">
        <v>824</v>
      </c>
      <c r="D57" s="1">
        <f t="shared" si="21"/>
        <v>1</v>
      </c>
      <c r="E57" s="1">
        <f t="shared" si="37"/>
        <v>0</v>
      </c>
      <c r="F57" s="1">
        <f t="shared" si="23"/>
        <v>1</v>
      </c>
      <c r="G57" s="1">
        <f t="shared" si="38"/>
        <v>0</v>
      </c>
      <c r="H57" s="17">
        <f t="shared" si="39"/>
        <v>1</v>
      </c>
      <c r="I57" s="1" t="str">
        <f t="shared" si="40"/>
        <v>Tokyo</v>
      </c>
      <c r="J57" s="27" t="str">
        <f t="shared" si="41"/>
        <v>Tokyo</v>
      </c>
      <c r="K57" s="30">
        <f t="shared" si="24"/>
        <v>0</v>
      </c>
      <c r="L57" s="31">
        <v>1</v>
      </c>
      <c r="M57" s="32"/>
      <c r="N57" s="24"/>
      <c r="P57" s="24">
        <f t="shared" si="42"/>
        <v>6</v>
      </c>
      <c r="Q57" s="24"/>
      <c r="S57" s="39"/>
      <c r="T57" s="32"/>
      <c r="U57" s="24">
        <v>0</v>
      </c>
      <c r="V57" s="1">
        <v>1</v>
      </c>
      <c r="W57" s="33">
        <v>1</v>
      </c>
      <c r="X57" s="33">
        <v>0</v>
      </c>
      <c r="Y57" s="33">
        <v>0</v>
      </c>
      <c r="Z57" s="33">
        <v>0</v>
      </c>
      <c r="AA57" s="33">
        <v>0</v>
      </c>
      <c r="AB57" s="44">
        <v>0</v>
      </c>
      <c r="AC57" s="45">
        <v>1</v>
      </c>
      <c r="AD57" s="45">
        <v>0</v>
      </c>
      <c r="AE57" s="46">
        <v>0</v>
      </c>
      <c r="AF57" s="43">
        <v>0</v>
      </c>
      <c r="AG57" s="43">
        <v>0</v>
      </c>
      <c r="AH57" s="43">
        <v>0</v>
      </c>
      <c r="AI57" s="43">
        <v>1</v>
      </c>
      <c r="AK57">
        <f t="shared" si="25"/>
        <v>2</v>
      </c>
      <c r="AL57" s="1">
        <f t="shared" si="47"/>
        <v>1</v>
      </c>
      <c r="AM57" s="47"/>
      <c r="AP57" s="1">
        <f t="shared" si="48"/>
        <v>1</v>
      </c>
      <c r="AQ57" s="1">
        <f t="shared" si="29"/>
        <v>1</v>
      </c>
      <c r="AR57" s="1">
        <f t="shared" si="30"/>
        <v>1</v>
      </c>
      <c r="AS57" s="1">
        <f t="shared" si="31"/>
        <v>1</v>
      </c>
      <c r="AT57" s="1">
        <f t="shared" si="49"/>
        <v>1</v>
      </c>
      <c r="AV57" s="1">
        <v>1</v>
      </c>
      <c r="AW57" s="1">
        <f t="shared" si="50"/>
        <v>0</v>
      </c>
      <c r="AX57" s="1">
        <f t="shared" si="51"/>
        <v>1</v>
      </c>
      <c r="AY57" s="1">
        <f t="shared" si="52"/>
        <v>0</v>
      </c>
      <c r="AZ57" s="1">
        <f t="shared" si="53"/>
        <v>0</v>
      </c>
      <c r="BA57" s="1">
        <f t="shared" si="54"/>
        <v>1</v>
      </c>
      <c r="BB57" s="1">
        <f t="shared" si="55"/>
        <v>0</v>
      </c>
      <c r="BC57" s="1">
        <f t="shared" si="56"/>
        <v>0</v>
      </c>
      <c r="BD57" s="1">
        <f t="shared" si="57"/>
        <v>0</v>
      </c>
      <c r="BE57" s="1">
        <f t="shared" si="58"/>
        <v>0</v>
      </c>
      <c r="BF57" s="1">
        <f t="shared" si="33"/>
        <v>0</v>
      </c>
      <c r="BG57" s="1">
        <f t="shared" si="34"/>
        <v>0</v>
      </c>
      <c r="BH57" s="1">
        <f t="shared" si="43"/>
        <v>1</v>
      </c>
      <c r="BI57" s="1">
        <f t="shared" si="44"/>
        <v>0</v>
      </c>
      <c r="BK57" s="1">
        <v>1</v>
      </c>
      <c r="BL57" s="1">
        <f t="shared" si="35"/>
        <v>0</v>
      </c>
      <c r="BM57" s="1">
        <f t="shared" si="36"/>
        <v>0</v>
      </c>
      <c r="BN57" s="1">
        <f t="shared" si="45"/>
        <v>0</v>
      </c>
      <c r="BO57" s="1">
        <f t="shared" si="46"/>
        <v>1</v>
      </c>
    </row>
    <row r="58" ht="15" spans="1:67">
      <c r="A58" s="1">
        <f t="shared" si="20"/>
        <v>56</v>
      </c>
      <c r="C58" t="s">
        <v>825</v>
      </c>
      <c r="D58" s="1">
        <f t="shared" si="21"/>
        <v>1</v>
      </c>
      <c r="E58" s="1">
        <f t="shared" si="37"/>
        <v>0</v>
      </c>
      <c r="F58" s="1">
        <f t="shared" si="23"/>
        <v>1</v>
      </c>
      <c r="G58" s="1">
        <f t="shared" si="38"/>
        <v>0</v>
      </c>
      <c r="H58" s="17">
        <f t="shared" si="39"/>
        <v>1</v>
      </c>
      <c r="I58" s="1" t="str">
        <f t="shared" si="40"/>
        <v>Toronto</v>
      </c>
      <c r="J58" s="27" t="str">
        <f t="shared" si="41"/>
        <v>Toronto</v>
      </c>
      <c r="K58" s="30">
        <f t="shared" si="24"/>
        <v>0</v>
      </c>
      <c r="L58" s="31">
        <v>1</v>
      </c>
      <c r="M58" s="32"/>
      <c r="N58" s="24"/>
      <c r="P58" s="24">
        <f t="shared" si="42"/>
        <v>4</v>
      </c>
      <c r="Q58" s="24"/>
      <c r="S58" s="39"/>
      <c r="T58" s="32"/>
      <c r="U58" s="24">
        <v>0</v>
      </c>
      <c r="V58" s="1">
        <v>1</v>
      </c>
      <c r="W58" s="33">
        <v>0</v>
      </c>
      <c r="X58" s="33">
        <v>0</v>
      </c>
      <c r="Y58" s="33">
        <v>0</v>
      </c>
      <c r="Z58" s="33">
        <v>0</v>
      </c>
      <c r="AA58" s="33">
        <v>1</v>
      </c>
      <c r="AB58" s="44">
        <v>0</v>
      </c>
      <c r="AC58" s="45">
        <v>1</v>
      </c>
      <c r="AD58" s="45">
        <v>0</v>
      </c>
      <c r="AE58" s="46">
        <v>0</v>
      </c>
      <c r="AF58" s="43">
        <v>0</v>
      </c>
      <c r="AG58" s="43">
        <v>1</v>
      </c>
      <c r="AH58" s="43">
        <v>0</v>
      </c>
      <c r="AI58" s="43">
        <v>0</v>
      </c>
      <c r="AK58">
        <f t="shared" si="25"/>
        <v>2</v>
      </c>
      <c r="AL58" s="1">
        <f t="shared" si="47"/>
        <v>5</v>
      </c>
      <c r="AM58" s="47"/>
      <c r="AP58" s="1">
        <f t="shared" si="48"/>
        <v>1</v>
      </c>
      <c r="AQ58" s="1">
        <f t="shared" si="29"/>
        <v>1</v>
      </c>
      <c r="AR58" s="1">
        <f t="shared" si="30"/>
        <v>1</v>
      </c>
      <c r="AS58" s="1">
        <f t="shared" si="31"/>
        <v>1</v>
      </c>
      <c r="AT58" s="1">
        <f t="shared" si="49"/>
        <v>1</v>
      </c>
      <c r="AV58" s="1">
        <v>1</v>
      </c>
      <c r="AW58" s="1">
        <f t="shared" si="50"/>
        <v>0</v>
      </c>
      <c r="AX58" s="1">
        <f t="shared" si="51"/>
        <v>1</v>
      </c>
      <c r="AY58" s="1">
        <f t="shared" si="52"/>
        <v>0</v>
      </c>
      <c r="AZ58" s="1">
        <f t="shared" si="53"/>
        <v>0</v>
      </c>
      <c r="BA58" s="1">
        <f t="shared" si="54"/>
        <v>0</v>
      </c>
      <c r="BB58" s="1">
        <f t="shared" si="55"/>
        <v>0</v>
      </c>
      <c r="BC58" s="1">
        <f t="shared" si="56"/>
        <v>0</v>
      </c>
      <c r="BD58" s="1">
        <f t="shared" si="57"/>
        <v>0</v>
      </c>
      <c r="BE58" s="1">
        <f t="shared" si="58"/>
        <v>1</v>
      </c>
      <c r="BF58" s="1">
        <f t="shared" si="33"/>
        <v>0</v>
      </c>
      <c r="BG58" s="1">
        <f t="shared" si="34"/>
        <v>1</v>
      </c>
      <c r="BH58" s="1">
        <f t="shared" si="43"/>
        <v>0</v>
      </c>
      <c r="BI58" s="1">
        <f t="shared" si="44"/>
        <v>0</v>
      </c>
      <c r="BK58" s="1">
        <v>1</v>
      </c>
      <c r="BL58" s="1">
        <f t="shared" si="35"/>
        <v>0</v>
      </c>
      <c r="BM58" s="1">
        <f t="shared" si="36"/>
        <v>1</v>
      </c>
      <c r="BN58" s="1">
        <f t="shared" si="45"/>
        <v>0</v>
      </c>
      <c r="BO58" s="1">
        <f t="shared" si="46"/>
        <v>0</v>
      </c>
    </row>
    <row r="59" ht="15" spans="1:67">
      <c r="A59" s="1">
        <f t="shared" si="20"/>
        <v>57</v>
      </c>
      <c r="C59" t="s">
        <v>826</v>
      </c>
      <c r="D59" s="1">
        <f t="shared" si="21"/>
        <v>1</v>
      </c>
      <c r="E59" s="1">
        <f t="shared" si="37"/>
        <v>0</v>
      </c>
      <c r="F59" s="1">
        <f t="shared" si="23"/>
        <v>1</v>
      </c>
      <c r="G59" s="1">
        <f t="shared" si="38"/>
        <v>0</v>
      </c>
      <c r="H59" s="17">
        <f t="shared" si="39"/>
        <v>1</v>
      </c>
      <c r="I59" s="1" t="str">
        <f t="shared" si="40"/>
        <v>WashingtonDC</v>
      </c>
      <c r="J59" s="27" t="str">
        <f t="shared" si="41"/>
        <v>Washington DC</v>
      </c>
      <c r="K59" s="30">
        <f t="shared" si="24"/>
        <v>0</v>
      </c>
      <c r="L59" s="31">
        <v>1</v>
      </c>
      <c r="M59" s="32"/>
      <c r="N59" s="24"/>
      <c r="P59" s="24">
        <f t="shared" si="42"/>
        <v>4</v>
      </c>
      <c r="Q59" s="24"/>
      <c r="S59" s="39"/>
      <c r="T59" s="32"/>
      <c r="U59" s="24">
        <v>0</v>
      </c>
      <c r="V59" s="1">
        <v>1</v>
      </c>
      <c r="W59" s="33">
        <v>0</v>
      </c>
      <c r="X59" s="33">
        <v>0</v>
      </c>
      <c r="Y59" s="33">
        <v>0</v>
      </c>
      <c r="Z59" s="33">
        <v>0</v>
      </c>
      <c r="AA59" s="33">
        <v>1</v>
      </c>
      <c r="AB59" s="44">
        <v>1</v>
      </c>
      <c r="AC59" s="45">
        <v>0</v>
      </c>
      <c r="AD59" s="45">
        <v>0</v>
      </c>
      <c r="AE59" s="46">
        <v>0</v>
      </c>
      <c r="AF59" s="43">
        <v>0</v>
      </c>
      <c r="AG59" s="43">
        <v>1</v>
      </c>
      <c r="AH59" s="43">
        <v>0</v>
      </c>
      <c r="AI59" s="43">
        <v>0</v>
      </c>
      <c r="AK59">
        <f t="shared" si="25"/>
        <v>1</v>
      </c>
      <c r="AL59" s="1">
        <f t="shared" si="47"/>
        <v>5</v>
      </c>
      <c r="AM59" s="47"/>
      <c r="AP59" s="1">
        <f t="shared" si="48"/>
        <v>1</v>
      </c>
      <c r="AQ59" s="1">
        <f t="shared" si="29"/>
        <v>1</v>
      </c>
      <c r="AR59" s="1">
        <f t="shared" si="30"/>
        <v>1</v>
      </c>
      <c r="AS59" s="1">
        <f t="shared" si="31"/>
        <v>1</v>
      </c>
      <c r="AT59" s="1">
        <f t="shared" si="49"/>
        <v>1</v>
      </c>
      <c r="AV59" s="1">
        <v>1</v>
      </c>
      <c r="AW59" s="1">
        <f t="shared" si="50"/>
        <v>1</v>
      </c>
      <c r="AX59" s="1">
        <f t="shared" si="51"/>
        <v>0</v>
      </c>
      <c r="AY59" s="1">
        <f t="shared" si="52"/>
        <v>0</v>
      </c>
      <c r="AZ59" s="1">
        <f t="shared" si="53"/>
        <v>0</v>
      </c>
      <c r="BA59" s="1">
        <f t="shared" si="54"/>
        <v>0</v>
      </c>
      <c r="BB59" s="1">
        <f t="shared" si="55"/>
        <v>0</v>
      </c>
      <c r="BC59" s="1">
        <f t="shared" si="56"/>
        <v>0</v>
      </c>
      <c r="BD59" s="1">
        <f t="shared" si="57"/>
        <v>0</v>
      </c>
      <c r="BE59" s="1">
        <f t="shared" si="58"/>
        <v>1</v>
      </c>
      <c r="BF59" s="1">
        <f t="shared" si="33"/>
        <v>0</v>
      </c>
      <c r="BG59" s="1">
        <f t="shared" si="34"/>
        <v>1</v>
      </c>
      <c r="BH59" s="1">
        <f t="shared" si="43"/>
        <v>0</v>
      </c>
      <c r="BI59" s="1">
        <f t="shared" si="44"/>
        <v>0</v>
      </c>
      <c r="BK59" s="1">
        <v>1</v>
      </c>
      <c r="BL59" s="1">
        <f t="shared" si="35"/>
        <v>0</v>
      </c>
      <c r="BM59" s="1">
        <f t="shared" si="36"/>
        <v>1</v>
      </c>
      <c r="BN59" s="1">
        <f t="shared" si="45"/>
        <v>0</v>
      </c>
      <c r="BO59" s="1">
        <f t="shared" si="46"/>
        <v>0</v>
      </c>
    </row>
    <row r="60" ht="15" spans="1:67">
      <c r="A60" s="1">
        <f t="shared" si="20"/>
        <v>58</v>
      </c>
      <c r="C60" t="s">
        <v>1004</v>
      </c>
      <c r="D60" s="1">
        <f t="shared" si="21"/>
        <v>1</v>
      </c>
      <c r="E60" s="1">
        <f t="shared" si="37"/>
        <v>0</v>
      </c>
      <c r="F60" s="1">
        <f t="shared" si="23"/>
        <v>1</v>
      </c>
      <c r="G60" s="1">
        <f t="shared" si="38"/>
        <v>0</v>
      </c>
      <c r="H60" s="17">
        <f t="shared" si="39"/>
        <v>1</v>
      </c>
      <c r="I60" s="1" t="str">
        <f t="shared" si="40"/>
        <v>Wellington</v>
      </c>
      <c r="J60" s="27" t="str">
        <f t="shared" si="41"/>
        <v>Wellington</v>
      </c>
      <c r="K60" s="30">
        <f t="shared" si="24"/>
        <v>0</v>
      </c>
      <c r="L60" s="31">
        <v>1</v>
      </c>
      <c r="M60" s="32"/>
      <c r="N60" s="24"/>
      <c r="P60" s="24">
        <f t="shared" si="42"/>
        <v>6</v>
      </c>
      <c r="Q60" s="24"/>
      <c r="S60" s="39"/>
      <c r="T60" s="32"/>
      <c r="U60" s="24">
        <v>0</v>
      </c>
      <c r="V60" s="1">
        <v>1</v>
      </c>
      <c r="W60" s="33">
        <v>1</v>
      </c>
      <c r="X60" s="33">
        <v>0</v>
      </c>
      <c r="Y60" s="33">
        <v>0</v>
      </c>
      <c r="Z60" s="33">
        <v>0</v>
      </c>
      <c r="AA60" s="33">
        <v>0</v>
      </c>
      <c r="AB60" s="44">
        <v>0</v>
      </c>
      <c r="AC60" s="45">
        <v>1</v>
      </c>
      <c r="AD60" s="45">
        <v>0</v>
      </c>
      <c r="AE60" s="46">
        <v>0</v>
      </c>
      <c r="AF60" s="43">
        <v>1</v>
      </c>
      <c r="AG60" s="43">
        <v>0</v>
      </c>
      <c r="AH60" s="43">
        <v>0</v>
      </c>
      <c r="AI60" s="43">
        <v>0</v>
      </c>
      <c r="AK60">
        <f t="shared" si="25"/>
        <v>2</v>
      </c>
      <c r="AL60" s="1">
        <f t="shared" si="47"/>
        <v>1</v>
      </c>
      <c r="AM60" s="47"/>
      <c r="AP60" s="1">
        <f t="shared" si="48"/>
        <v>1</v>
      </c>
      <c r="AQ60" s="1">
        <f t="shared" si="29"/>
        <v>1</v>
      </c>
      <c r="AR60" s="1">
        <f t="shared" si="30"/>
        <v>1</v>
      </c>
      <c r="AS60" s="1">
        <f t="shared" si="31"/>
        <v>1</v>
      </c>
      <c r="AT60" s="1">
        <f t="shared" si="49"/>
        <v>1</v>
      </c>
      <c r="AV60" s="1">
        <v>1</v>
      </c>
      <c r="AW60" s="1">
        <f t="shared" si="50"/>
        <v>0</v>
      </c>
      <c r="AX60" s="1">
        <f t="shared" si="51"/>
        <v>1</v>
      </c>
      <c r="AY60" s="1">
        <f t="shared" si="52"/>
        <v>0</v>
      </c>
      <c r="AZ60" s="1">
        <f t="shared" si="53"/>
        <v>0</v>
      </c>
      <c r="BA60" s="1">
        <f t="shared" si="54"/>
        <v>1</v>
      </c>
      <c r="BB60" s="1">
        <f t="shared" si="55"/>
        <v>0</v>
      </c>
      <c r="BC60" s="1">
        <f t="shared" si="56"/>
        <v>0</v>
      </c>
      <c r="BD60" s="1">
        <f t="shared" si="57"/>
        <v>0</v>
      </c>
      <c r="BE60" s="1">
        <f t="shared" si="58"/>
        <v>0</v>
      </c>
      <c r="BF60" s="1">
        <f t="shared" si="33"/>
        <v>1</v>
      </c>
      <c r="BG60" s="1">
        <f t="shared" si="34"/>
        <v>0</v>
      </c>
      <c r="BH60" s="1">
        <f t="shared" si="43"/>
        <v>0</v>
      </c>
      <c r="BI60" s="1">
        <f t="shared" si="44"/>
        <v>0</v>
      </c>
      <c r="BK60" s="1">
        <v>1</v>
      </c>
      <c r="BL60" s="1">
        <f t="shared" si="35"/>
        <v>1</v>
      </c>
      <c r="BM60" s="1">
        <f t="shared" si="36"/>
        <v>0</v>
      </c>
      <c r="BN60" s="1">
        <f t="shared" si="45"/>
        <v>0</v>
      </c>
      <c r="BO60" s="1">
        <f t="shared" si="46"/>
        <v>0</v>
      </c>
    </row>
    <row r="61" ht="15" spans="1:67">
      <c r="A61" s="1">
        <f t="shared" si="20"/>
        <v>59</v>
      </c>
      <c r="C61" t="s">
        <v>1005</v>
      </c>
      <c r="D61" s="1">
        <f t="shared" si="21"/>
        <v>1</v>
      </c>
      <c r="E61" s="1">
        <f t="shared" si="37"/>
        <v>0</v>
      </c>
      <c r="F61" s="1">
        <f t="shared" si="23"/>
        <v>1</v>
      </c>
      <c r="G61" s="1">
        <f t="shared" si="38"/>
        <v>0</v>
      </c>
      <c r="H61" s="17">
        <f t="shared" si="39"/>
        <v>1</v>
      </c>
      <c r="I61" s="1" t="str">
        <f t="shared" si="40"/>
        <v>Yangon</v>
      </c>
      <c r="J61" s="27" t="str">
        <f t="shared" si="41"/>
        <v>Yangon</v>
      </c>
      <c r="K61" s="30">
        <f t="shared" si="24"/>
        <v>0</v>
      </c>
      <c r="L61" s="31">
        <v>1</v>
      </c>
      <c r="M61" s="32"/>
      <c r="N61" s="24"/>
      <c r="P61" s="24">
        <f t="shared" si="42"/>
        <v>8</v>
      </c>
      <c r="Q61" s="24"/>
      <c r="S61" s="39"/>
      <c r="T61" s="32"/>
      <c r="U61" s="24">
        <v>0</v>
      </c>
      <c r="V61" s="1">
        <v>1</v>
      </c>
      <c r="W61" s="33">
        <v>1</v>
      </c>
      <c r="X61" s="33">
        <v>0</v>
      </c>
      <c r="Y61" s="33">
        <v>0</v>
      </c>
      <c r="Z61" s="33">
        <v>0</v>
      </c>
      <c r="AA61" s="33">
        <v>0</v>
      </c>
      <c r="AB61" s="44">
        <v>0</v>
      </c>
      <c r="AC61" s="45">
        <v>0</v>
      </c>
      <c r="AD61" s="45">
        <v>0</v>
      </c>
      <c r="AE61" s="46">
        <v>1</v>
      </c>
      <c r="AF61" s="43">
        <v>1</v>
      </c>
      <c r="AG61" s="43">
        <v>0</v>
      </c>
      <c r="AH61" s="43">
        <v>0</v>
      </c>
      <c r="AI61" s="43">
        <v>0</v>
      </c>
      <c r="AK61">
        <f t="shared" si="25"/>
        <v>4</v>
      </c>
      <c r="AL61" s="1">
        <f t="shared" si="47"/>
        <v>1</v>
      </c>
      <c r="AM61" s="47"/>
      <c r="AP61" s="1">
        <f t="shared" si="48"/>
        <v>1</v>
      </c>
      <c r="AQ61" s="1">
        <f t="shared" si="29"/>
        <v>1</v>
      </c>
      <c r="AR61" s="1">
        <f t="shared" si="30"/>
        <v>1</v>
      </c>
      <c r="AS61" s="1">
        <f t="shared" si="31"/>
        <v>1</v>
      </c>
      <c r="AT61" s="1">
        <f t="shared" si="49"/>
        <v>1</v>
      </c>
      <c r="AV61" s="1">
        <v>1</v>
      </c>
      <c r="AW61" s="1">
        <f t="shared" si="50"/>
        <v>0</v>
      </c>
      <c r="AX61" s="1">
        <f t="shared" si="51"/>
        <v>0</v>
      </c>
      <c r="AY61" s="1">
        <f t="shared" si="52"/>
        <v>0</v>
      </c>
      <c r="AZ61" s="1">
        <f t="shared" si="53"/>
        <v>1</v>
      </c>
      <c r="BA61" s="1">
        <f t="shared" si="54"/>
        <v>1</v>
      </c>
      <c r="BB61" s="1">
        <f t="shared" si="55"/>
        <v>0</v>
      </c>
      <c r="BC61" s="1">
        <f t="shared" si="56"/>
        <v>0</v>
      </c>
      <c r="BD61" s="1">
        <f t="shared" si="57"/>
        <v>0</v>
      </c>
      <c r="BE61" s="1">
        <f t="shared" si="58"/>
        <v>0</v>
      </c>
      <c r="BF61" s="1">
        <f t="shared" si="33"/>
        <v>1</v>
      </c>
      <c r="BG61" s="1">
        <f t="shared" si="34"/>
        <v>0</v>
      </c>
      <c r="BH61" s="1">
        <f t="shared" si="43"/>
        <v>0</v>
      </c>
      <c r="BI61" s="1">
        <f t="shared" si="44"/>
        <v>0</v>
      </c>
      <c r="BK61" s="1">
        <v>1</v>
      </c>
      <c r="BL61" s="1">
        <f t="shared" si="35"/>
        <v>1</v>
      </c>
      <c r="BM61" s="1">
        <f t="shared" si="36"/>
        <v>0</v>
      </c>
      <c r="BN61" s="1">
        <f t="shared" si="45"/>
        <v>0</v>
      </c>
      <c r="BO61" s="1">
        <f t="shared" si="46"/>
        <v>0</v>
      </c>
    </row>
    <row r="62" ht="15" spans="1:67">
      <c r="A62" s="1">
        <f t="shared" si="20"/>
        <v>60</v>
      </c>
      <c r="C62" t="s">
        <v>827</v>
      </c>
      <c r="D62" s="1">
        <f t="shared" ref="D62:D63" si="59">AS62</f>
        <v>1</v>
      </c>
      <c r="E62" s="1">
        <f t="shared" ref="E62:E63" si="60">IF($E$2=1,0,INDEX(AV62:BL62,$E$2))</f>
        <v>0</v>
      </c>
      <c r="F62" s="1">
        <f t="shared" si="23"/>
        <v>1</v>
      </c>
      <c r="G62" s="1">
        <f t="shared" ref="G62:G63" si="61">IF($G$2=1,0,INDEX(V62:AA62,$G$2))</f>
        <v>0</v>
      </c>
      <c r="H62" s="17">
        <f t="shared" ref="H62:H63" si="62">L62</f>
        <v>1</v>
      </c>
      <c r="I62" s="1" t="str">
        <f t="shared" ref="I62:I63" si="63">SUBSTITUTE(C62," ","")</f>
        <v>Zurich</v>
      </c>
      <c r="J62" s="27" t="str">
        <f t="shared" ref="J62:J63" si="64">C62</f>
        <v>Zurich</v>
      </c>
      <c r="K62" s="30">
        <f t="shared" si="24"/>
        <v>0</v>
      </c>
      <c r="L62" s="31">
        <v>1</v>
      </c>
      <c r="M62" s="32"/>
      <c r="N62" s="24"/>
      <c r="P62" s="24">
        <f t="shared" ref="P62:P63" si="65">MATCH(1,X62:AI62,0)</f>
        <v>1</v>
      </c>
      <c r="Q62" s="24"/>
      <c r="S62" s="39"/>
      <c r="T62" s="32"/>
      <c r="U62" s="24">
        <v>0</v>
      </c>
      <c r="V62" s="1">
        <v>1</v>
      </c>
      <c r="W62" s="33">
        <v>0</v>
      </c>
      <c r="X62" s="33">
        <v>1</v>
      </c>
      <c r="Y62" s="33">
        <v>0</v>
      </c>
      <c r="Z62" s="33">
        <v>0</v>
      </c>
      <c r="AA62" s="33">
        <v>0</v>
      </c>
      <c r="AB62" s="44">
        <v>1</v>
      </c>
      <c r="AC62" s="45">
        <v>0</v>
      </c>
      <c r="AD62" s="45">
        <v>0</v>
      </c>
      <c r="AE62" s="46">
        <v>0</v>
      </c>
      <c r="AF62" s="43">
        <v>1</v>
      </c>
      <c r="AG62" s="43">
        <v>0</v>
      </c>
      <c r="AH62" s="43">
        <v>0</v>
      </c>
      <c r="AI62" s="43">
        <v>0</v>
      </c>
      <c r="AK62">
        <f t="shared" si="25"/>
        <v>1</v>
      </c>
      <c r="AL62" s="1">
        <f t="shared" ref="AL62:AL63" si="66">MATCH(1,W62:AA62,0)</f>
        <v>2</v>
      </c>
      <c r="AM62" s="47"/>
      <c r="AP62" s="1">
        <f t="shared" ref="AP62:AP63" si="67">INDEX(V62:AA62,$AP$2)</f>
        <v>1</v>
      </c>
      <c r="AQ62" s="1">
        <f t="shared" ref="AQ62:AQ63" si="68">INDEX(AV62:AZ62,$AQ$2)</f>
        <v>1</v>
      </c>
      <c r="AR62" s="1">
        <f t="shared" ref="AR62:AR63" si="69">INDEX(BK62:BP62,$AR$2)</f>
        <v>1</v>
      </c>
      <c r="AS62" s="1">
        <f t="shared" ref="AS62:AS63" si="70">IF(AND(AP62=1,AQ62=1,AR62=1),1,0)</f>
        <v>1</v>
      </c>
      <c r="AT62" s="1">
        <f t="shared" ref="AT62:AT63" si="71">IF(AND($AP$2=1,$AQ$2&lt;&gt;1),AQ62,IF(AND($AP$2&lt;&gt;1,$AQ$2=1),AP62,IF(AND($AP$2&lt;&gt;1,$AQ$2&lt;&gt;1),AS62,1)))</f>
        <v>1</v>
      </c>
      <c r="AV62" s="1">
        <v>1</v>
      </c>
      <c r="AW62" s="1">
        <f t="shared" ref="AW62:AW63" si="72">AB62</f>
        <v>1</v>
      </c>
      <c r="AX62" s="1">
        <f t="shared" ref="AX62:AX63" si="73">AC62</f>
        <v>0</v>
      </c>
      <c r="AY62" s="1">
        <f t="shared" ref="AY62:AY63" si="74">AD62</f>
        <v>0</v>
      </c>
      <c r="AZ62" s="1">
        <f t="shared" ref="AZ62:AZ63" si="75">AE62</f>
        <v>0</v>
      </c>
      <c r="BA62" s="1">
        <f t="shared" ref="BA62:BA63" si="76">W62</f>
        <v>0</v>
      </c>
      <c r="BB62" s="1">
        <f t="shared" ref="BB62:BB63" si="77">X62</f>
        <v>1</v>
      </c>
      <c r="BC62" s="1">
        <f t="shared" ref="BC62:BC63" si="78">Y62</f>
        <v>0</v>
      </c>
      <c r="BD62" s="1">
        <f t="shared" ref="BD62:BD63" si="79">Z62</f>
        <v>0</v>
      </c>
      <c r="BE62" s="1">
        <f t="shared" ref="BE62:BE63" si="80">AA62</f>
        <v>0</v>
      </c>
      <c r="BF62" s="1">
        <f t="shared" ref="BF62:BF63" si="81">BL62</f>
        <v>1</v>
      </c>
      <c r="BG62" s="1">
        <f t="shared" ref="BG62:BG63" si="82">BM62</f>
        <v>0</v>
      </c>
      <c r="BH62" s="1">
        <f t="shared" ref="BH62:BH63" si="83">BO62</f>
        <v>0</v>
      </c>
      <c r="BI62" s="1">
        <f t="shared" ref="BI62:BI63" si="84">BP62</f>
        <v>0</v>
      </c>
      <c r="BK62" s="1">
        <v>1</v>
      </c>
      <c r="BL62" s="1">
        <f t="shared" ref="BL62:BL63" si="85">AF62</f>
        <v>1</v>
      </c>
      <c r="BM62" s="1">
        <f t="shared" ref="BM62:BM63" si="86">AG62</f>
        <v>0</v>
      </c>
      <c r="BN62" s="1">
        <f t="shared" ref="BN62:BN63" si="87">AH62</f>
        <v>0</v>
      </c>
      <c r="BO62" s="1">
        <f t="shared" ref="BO62:BO63" si="88">AI62</f>
        <v>0</v>
      </c>
    </row>
    <row r="63" ht="15" spans="1:67">
      <c r="A63" s="1">
        <f t="shared" si="20"/>
        <v>61</v>
      </c>
      <c r="C63" t="s">
        <v>1006</v>
      </c>
      <c r="D63" s="1">
        <f t="shared" si="59"/>
        <v>0</v>
      </c>
      <c r="E63" s="1">
        <f t="shared" si="60"/>
        <v>0</v>
      </c>
      <c r="F63" s="1">
        <f t="shared" si="23"/>
        <v>0</v>
      </c>
      <c r="G63" s="1">
        <f t="shared" si="61"/>
        <v>0</v>
      </c>
      <c r="H63" s="17">
        <f t="shared" si="62"/>
        <v>0</v>
      </c>
      <c r="I63" s="1" t="str">
        <f t="shared" si="63"/>
        <v>Kyoto</v>
      </c>
      <c r="J63" s="27" t="str">
        <f t="shared" si="64"/>
        <v>Kyoto</v>
      </c>
      <c r="K63" s="30">
        <f t="shared" si="24"/>
        <v>0</v>
      </c>
      <c r="L63" s="31">
        <f>F63</f>
        <v>0</v>
      </c>
      <c r="M63" s="32"/>
      <c r="N63" s="24"/>
      <c r="P63" s="24" t="e">
        <f t="shared" si="65"/>
        <v>#N/A</v>
      </c>
      <c r="Q63" s="24"/>
      <c r="S63" s="39"/>
      <c r="T63" s="32"/>
      <c r="U63" s="24">
        <v>0</v>
      </c>
      <c r="V63" s="1">
        <f>uxb_works!$B$66</f>
        <v>0</v>
      </c>
      <c r="W63" s="33">
        <f>uxb_works!$B$66</f>
        <v>0</v>
      </c>
      <c r="X63" s="33">
        <v>0</v>
      </c>
      <c r="Y63" s="33">
        <v>0</v>
      </c>
      <c r="Z63" s="33">
        <v>0</v>
      </c>
      <c r="AA63" s="33">
        <v>0</v>
      </c>
      <c r="AB63" s="44">
        <v>0</v>
      </c>
      <c r="AC63" s="45">
        <f>uxb_works!$B$66</f>
        <v>0</v>
      </c>
      <c r="AD63" s="45">
        <v>0</v>
      </c>
      <c r="AE63" s="46">
        <v>0</v>
      </c>
      <c r="AF63" s="43">
        <f>uxb_works!$B$66</f>
        <v>0</v>
      </c>
      <c r="AG63" s="43">
        <v>0</v>
      </c>
      <c r="AH63" s="43">
        <v>0</v>
      </c>
      <c r="AI63" s="43">
        <v>0</v>
      </c>
      <c r="AK63" t="e">
        <f t="shared" si="25"/>
        <v>#N/A</v>
      </c>
      <c r="AL63" s="1" t="e">
        <f t="shared" si="66"/>
        <v>#N/A</v>
      </c>
      <c r="AM63" s="47"/>
      <c r="AP63" s="1">
        <f t="shared" si="67"/>
        <v>0</v>
      </c>
      <c r="AQ63" s="1">
        <f t="shared" si="68"/>
        <v>1</v>
      </c>
      <c r="AR63" s="1">
        <f t="shared" si="69"/>
        <v>1</v>
      </c>
      <c r="AS63" s="1">
        <f t="shared" si="70"/>
        <v>0</v>
      </c>
      <c r="AT63" s="1">
        <f t="shared" si="71"/>
        <v>1</v>
      </c>
      <c r="AV63" s="1">
        <v>1</v>
      </c>
      <c r="AW63" s="1">
        <f t="shared" si="72"/>
        <v>0</v>
      </c>
      <c r="AX63" s="1">
        <f t="shared" si="73"/>
        <v>0</v>
      </c>
      <c r="AY63" s="1">
        <f t="shared" si="74"/>
        <v>0</v>
      </c>
      <c r="AZ63" s="1">
        <f t="shared" si="75"/>
        <v>0</v>
      </c>
      <c r="BA63" s="1">
        <f t="shared" si="76"/>
        <v>0</v>
      </c>
      <c r="BB63" s="1">
        <f t="shared" si="77"/>
        <v>0</v>
      </c>
      <c r="BC63" s="1">
        <f t="shared" si="78"/>
        <v>0</v>
      </c>
      <c r="BD63" s="1">
        <f t="shared" si="79"/>
        <v>0</v>
      </c>
      <c r="BE63" s="1">
        <f t="shared" si="80"/>
        <v>0</v>
      </c>
      <c r="BF63" s="1">
        <f t="shared" si="81"/>
        <v>0</v>
      </c>
      <c r="BG63" s="1">
        <f t="shared" si="82"/>
        <v>0</v>
      </c>
      <c r="BH63" s="1">
        <f t="shared" si="83"/>
        <v>0</v>
      </c>
      <c r="BI63" s="1">
        <f t="shared" si="84"/>
        <v>0</v>
      </c>
      <c r="BK63" s="1">
        <v>1</v>
      </c>
      <c r="BL63" s="1">
        <f t="shared" si="85"/>
        <v>0</v>
      </c>
      <c r="BM63" s="1">
        <f t="shared" si="86"/>
        <v>0</v>
      </c>
      <c r="BN63" s="1">
        <f t="shared" si="87"/>
        <v>0</v>
      </c>
      <c r="BO63" s="1">
        <f t="shared" si="88"/>
        <v>0</v>
      </c>
    </row>
    <row r="64" ht="12.75" spans="19:19">
      <c r="S64" s="39"/>
    </row>
    <row r="65" ht="12.75" spans="19:19">
      <c r="S65" s="39"/>
    </row>
  </sheetData>
  <conditionalFormatting sqref="S10:S13">
    <cfRule type="expression" dxfId="32" priority="1">
      <formula>$I10="New"</formula>
    </cfRule>
    <cfRule type="expression" dxfId="33" priority="2">
      <formula>$I10="Change classification"</formula>
    </cfRule>
  </conditionalFormatting>
  <pageMargins left="0.551181102362205" right="0.551181102362205" top="0.590551181102362" bottom="0.78740157480315" header="0.511811023622047" footer="0.511811023622047"/>
  <pageSetup paperSize="9" scale="24" orientation="landscape" horizontalDpi="1200" verticalDpi="1200"/>
  <headerFooter alignWithMargins="0">
    <oddHeader>&amp;RSafe Cities Index : 2017</oddHead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0000"/>
    <pageSetUpPr fitToPage="1"/>
  </sheetPr>
  <dimension ref="A1:AT68"/>
  <sheetViews>
    <sheetView showGridLines="0" showRowColHeaders="0" zoomScale="90" zoomScaleNormal="90" topLeftCell="A61" workbookViewId="0">
      <selection activeCell="N4" sqref="N4:N68"/>
    </sheetView>
  </sheetViews>
  <sheetFormatPr defaultColWidth="9" defaultRowHeight="12"/>
  <cols>
    <col min="1" max="1" width="9.14285714285714" style="4"/>
    <col min="2" max="2" width="14" style="4" customWidth="1"/>
    <col min="3" max="8" width="9.14285714285714" style="4"/>
    <col min="9" max="9" width="9.28571428571429" style="4" customWidth="1"/>
    <col min="10" max="13" width="7.42857142857143" style="4" customWidth="1"/>
    <col min="14" max="14" width="14" style="4" customWidth="1"/>
    <col min="15" max="18" width="7.42857142857143" style="4" customWidth="1"/>
    <col min="19" max="19" width="3.57142857142857" style="4" customWidth="1"/>
    <col min="20" max="20" width="21" style="4" customWidth="1"/>
    <col min="21" max="21" width="2.57142857142857" style="4" customWidth="1"/>
    <col min="22" max="22" width="3.57142857142857" style="4" customWidth="1"/>
    <col min="23" max="23" width="14.7142857142857" style="4" customWidth="1"/>
    <col min="24" max="24" width="5.71428571428571" style="4" customWidth="1"/>
    <col min="25" max="25" width="3.57142857142857" style="4" customWidth="1"/>
    <col min="26" max="26" width="15.5714285714286" style="4" customWidth="1"/>
    <col min="27" max="27" width="5.71428571428571" style="4" customWidth="1"/>
    <col min="28" max="28" width="2.57142857142857" style="4" customWidth="1"/>
    <col min="29" max="29" width="22.1428571428571" style="4" customWidth="1"/>
    <col min="30" max="30" width="5.71428571428571" style="4" customWidth="1"/>
    <col min="31" max="31" width="3.57142857142857" style="4" customWidth="1"/>
    <col min="32" max="32" width="18.4285714285714" style="5" customWidth="1"/>
    <col min="33" max="16384" width="9.14285714285714" style="4"/>
  </cols>
  <sheetData>
    <row r="1" spans="1:14">
      <c r="A1" s="4" t="str">
        <f>uxb_works!A46</f>
        <v>YEAR_SELECT</v>
      </c>
      <c r="B1" s="4">
        <f>uxb_works!B46</f>
        <v>3</v>
      </c>
      <c r="M1" s="6" t="s">
        <v>1007</v>
      </c>
      <c r="N1" s="7"/>
    </row>
    <row r="2" spans="13:32">
      <c r="M2" s="8">
        <f>COUNT(M4:M68)</f>
        <v>46</v>
      </c>
      <c r="N2" s="9"/>
      <c r="T2" s="12" t="s">
        <v>1008</v>
      </c>
      <c r="Z2" s="12" t="s">
        <v>1008</v>
      </c>
      <c r="AF2" s="12" t="s">
        <v>1008</v>
      </c>
    </row>
    <row r="3" s="3" customFormat="1" ht="24" spans="3:46">
      <c r="C3" s="3">
        <v>2017</v>
      </c>
      <c r="D3" s="3" t="s">
        <v>1009</v>
      </c>
      <c r="E3" s="3" t="s">
        <v>1010</v>
      </c>
      <c r="G3" s="3" t="s">
        <v>1011</v>
      </c>
      <c r="I3" s="1" t="s">
        <v>339</v>
      </c>
      <c r="J3" s="1" t="s">
        <v>340</v>
      </c>
      <c r="K3" s="1" t="s">
        <v>327</v>
      </c>
      <c r="M3" s="10"/>
      <c r="N3" s="11" t="s">
        <v>46</v>
      </c>
      <c r="T3" s="13" t="s">
        <v>1012</v>
      </c>
      <c r="W3" s="13" t="s">
        <v>1013</v>
      </c>
      <c r="Z3" s="13" t="s">
        <v>1014</v>
      </c>
      <c r="AA3" s="13"/>
      <c r="AC3" s="13" t="s">
        <v>1015</v>
      </c>
      <c r="AD3" s="13"/>
      <c r="AE3" s="15"/>
      <c r="AF3" s="16" t="s">
        <v>1016</v>
      </c>
      <c r="AG3" s="15"/>
      <c r="AH3" s="13"/>
      <c r="AI3" s="13"/>
      <c r="AJ3" s="13"/>
      <c r="AK3" s="13"/>
      <c r="AL3" s="13"/>
      <c r="AN3" s="13"/>
      <c r="AP3" s="13"/>
      <c r="AS3" s="13"/>
      <c r="AT3" s="13"/>
    </row>
    <row r="4" spans="1:32">
      <c r="A4" s="4">
        <v>1</v>
      </c>
      <c r="B4" s="4" t="s">
        <v>70</v>
      </c>
      <c r="C4" s="4">
        <f t="shared" ref="C4:C35" si="0">IF(ISNA(VLOOKUP(B4,$T$4:$T$67,1,FALSE)),0,1)</f>
        <v>1</v>
      </c>
      <c r="D4" s="4">
        <f t="shared" ref="D4:D34" si="1">IF(ISNA(VLOOKUP(B4,$Z$4:$Z$68,1,FALSE)),0,1)</f>
        <v>1</v>
      </c>
      <c r="E4" s="4">
        <f t="shared" ref="E4:E34" si="2">IF(ISNA(VLOOKUP(B4,$AF$4:$AF$68,1,FALSE)),0,1)</f>
        <v>1</v>
      </c>
      <c r="G4" s="1">
        <f>INDEX($C$4:$E$68,A4,$B$1)</f>
        <v>1</v>
      </c>
      <c r="H4" s="1"/>
      <c r="I4" s="1">
        <f>IF(G4=0,"",1000-A4)</f>
        <v>999</v>
      </c>
      <c r="J4" s="1">
        <f>IF(G4=0,"",RANK(I4,I$4:I$68,0)+COUNTIF(I4:I$68,I4)-1)</f>
        <v>1</v>
      </c>
      <c r="K4" s="1">
        <f>IF(ISNA(MATCH($A4,J$4:J$68)),"",MATCH($A4,J$4:J$68,0))</f>
        <v>1</v>
      </c>
      <c r="M4" s="8">
        <f>IF(ISNA(K4),"",INDEX($A$4:$A$68,K4))</f>
        <v>1</v>
      </c>
      <c r="N4" s="9" t="str">
        <f>IF(ISNA(K4),"",INDEX($B$4:$B$68,K4))</f>
        <v>Abu Dhabi</v>
      </c>
      <c r="S4" s="14">
        <v>1</v>
      </c>
      <c r="T4" s="4" t="s">
        <v>70</v>
      </c>
      <c r="V4" s="14">
        <v>1</v>
      </c>
      <c r="W4" s="4" t="s">
        <v>991</v>
      </c>
      <c r="Y4" s="14">
        <v>1</v>
      </c>
      <c r="Z4" s="4" t="s">
        <v>70</v>
      </c>
      <c r="AB4" s="14">
        <v>1</v>
      </c>
      <c r="AC4" s="4" t="s">
        <v>789</v>
      </c>
      <c r="AE4" s="14">
        <v>1</v>
      </c>
      <c r="AF4" s="5" t="s">
        <v>70</v>
      </c>
    </row>
    <row r="5" spans="1:32">
      <c r="A5" s="4">
        <v>2</v>
      </c>
      <c r="B5" s="4" t="s">
        <v>779</v>
      </c>
      <c r="C5" s="4">
        <f t="shared" si="0"/>
        <v>1</v>
      </c>
      <c r="D5" s="4">
        <f t="shared" si="1"/>
        <v>1</v>
      </c>
      <c r="E5" s="4">
        <f t="shared" si="2"/>
        <v>1</v>
      </c>
      <c r="G5" s="1">
        <f t="shared" ref="G5:G68" si="3">INDEX($C$4:$E$68,A5,$B$1)</f>
        <v>1</v>
      </c>
      <c r="H5" s="1"/>
      <c r="I5" s="1">
        <f t="shared" ref="I5:I66" si="4">IF(G5=0,"",1000-A5)</f>
        <v>998</v>
      </c>
      <c r="J5" s="1">
        <f>IF(G5=0,"",RANK(I5,I$4:I$68,0)+COUNTIF(I5:I$68,I5)-1)</f>
        <v>2</v>
      </c>
      <c r="K5" s="1">
        <f t="shared" ref="K5:K68" si="5">IF(ISNA(MATCH($A5,J$4:J$68)),"",MATCH($A5,J$4:J$68,0))</f>
        <v>2</v>
      </c>
      <c r="M5" s="8">
        <f t="shared" ref="M5:M68" si="6">IF(ISNA(K5),"",INDEX($A$4:$A$68,K5))</f>
        <v>2</v>
      </c>
      <c r="N5" s="9" t="str">
        <f t="shared" ref="N5:N68" si="7">IF(ISNA(K5),"",INDEX($B$4:$B$68,K5))</f>
        <v>Amsterdam</v>
      </c>
      <c r="S5" s="14">
        <v>2</v>
      </c>
      <c r="T5" s="4" t="s">
        <v>779</v>
      </c>
      <c r="V5" s="14">
        <v>2</v>
      </c>
      <c r="W5" s="4" t="s">
        <v>992</v>
      </c>
      <c r="Y5" s="14">
        <f>Y4+1</f>
        <v>2</v>
      </c>
      <c r="Z5" s="4" t="s">
        <v>779</v>
      </c>
      <c r="AB5" s="14">
        <v>2</v>
      </c>
      <c r="AC5" s="4" t="s">
        <v>803</v>
      </c>
      <c r="AE5" s="14">
        <v>2</v>
      </c>
      <c r="AF5" s="5" t="s">
        <v>779</v>
      </c>
    </row>
    <row r="6" spans="1:32">
      <c r="A6" s="4">
        <v>3</v>
      </c>
      <c r="B6" s="4" t="s">
        <v>991</v>
      </c>
      <c r="C6" s="4">
        <f t="shared" si="0"/>
        <v>1</v>
      </c>
      <c r="D6" s="4">
        <f t="shared" si="1"/>
        <v>0</v>
      </c>
      <c r="E6" s="4">
        <f t="shared" si="2"/>
        <v>0</v>
      </c>
      <c r="G6" s="1">
        <f t="shared" si="3"/>
        <v>0</v>
      </c>
      <c r="H6" s="1"/>
      <c r="I6" s="1" t="str">
        <f t="shared" si="4"/>
        <v/>
      </c>
      <c r="J6" s="1" t="str">
        <f>IF(G6=0,"",RANK(I6,I$4:I$68,0)+COUNTIF(I6:I$68,I6)-1)</f>
        <v/>
      </c>
      <c r="K6" s="1">
        <f t="shared" si="5"/>
        <v>4</v>
      </c>
      <c r="M6" s="8">
        <f t="shared" si="6"/>
        <v>4</v>
      </c>
      <c r="N6" s="9" t="str">
        <f t="shared" si="7"/>
        <v>Bangkok</v>
      </c>
      <c r="S6" s="14">
        <v>3</v>
      </c>
      <c r="T6" s="4" t="s">
        <v>991</v>
      </c>
      <c r="V6" s="14">
        <v>3</v>
      </c>
      <c r="W6" s="4" t="s">
        <v>993</v>
      </c>
      <c r="Y6" s="14">
        <f t="shared" ref="Y6:Y53" si="8">Y5+1</f>
        <v>3</v>
      </c>
      <c r="Z6" s="4" t="s">
        <v>780</v>
      </c>
      <c r="AB6" s="14">
        <v>3</v>
      </c>
      <c r="AC6" s="4" t="s">
        <v>817</v>
      </c>
      <c r="AE6" s="14">
        <v>3</v>
      </c>
      <c r="AF6" s="5" t="s">
        <v>780</v>
      </c>
    </row>
    <row r="7" spans="1:32">
      <c r="A7" s="4">
        <v>4</v>
      </c>
      <c r="B7" s="4" t="s">
        <v>780</v>
      </c>
      <c r="C7" s="4">
        <f t="shared" si="0"/>
        <v>1</v>
      </c>
      <c r="D7" s="4">
        <f t="shared" si="1"/>
        <v>1</v>
      </c>
      <c r="E7" s="4">
        <f t="shared" si="2"/>
        <v>1</v>
      </c>
      <c r="G7" s="1">
        <f t="shared" si="3"/>
        <v>1</v>
      </c>
      <c r="H7" s="1"/>
      <c r="I7" s="1">
        <f t="shared" si="4"/>
        <v>996</v>
      </c>
      <c r="J7" s="1">
        <f>IF(G7=0,"",RANK(I7,I$4:I$68,0)+COUNTIF(I7:I$68,I7)-1)</f>
        <v>3</v>
      </c>
      <c r="K7" s="1">
        <f t="shared" si="5"/>
        <v>5</v>
      </c>
      <c r="M7" s="8">
        <f t="shared" si="6"/>
        <v>5</v>
      </c>
      <c r="N7" s="9" t="str">
        <f t="shared" si="7"/>
        <v>Barcelona</v>
      </c>
      <c r="S7" s="14">
        <v>4</v>
      </c>
      <c r="T7" s="4" t="s">
        <v>780</v>
      </c>
      <c r="V7" s="14">
        <v>4</v>
      </c>
      <c r="W7" s="4" t="s">
        <v>994</v>
      </c>
      <c r="Y7" s="14">
        <f t="shared" si="8"/>
        <v>4</v>
      </c>
      <c r="Z7" s="4" t="s">
        <v>781</v>
      </c>
      <c r="AB7" s="14">
        <v>4</v>
      </c>
      <c r="AC7" s="4" t="s">
        <v>823</v>
      </c>
      <c r="AE7" s="14">
        <v>4</v>
      </c>
      <c r="AF7" s="5" t="s">
        <v>781</v>
      </c>
    </row>
    <row r="8" spans="1:32">
      <c r="A8" s="4">
        <v>5</v>
      </c>
      <c r="B8" s="4" t="s">
        <v>781</v>
      </c>
      <c r="C8" s="4">
        <f t="shared" si="0"/>
        <v>1</v>
      </c>
      <c r="D8" s="4">
        <f t="shared" si="1"/>
        <v>1</v>
      </c>
      <c r="E8" s="4">
        <f t="shared" si="2"/>
        <v>1</v>
      </c>
      <c r="G8" s="1">
        <f t="shared" si="3"/>
        <v>1</v>
      </c>
      <c r="H8" s="1"/>
      <c r="I8" s="1">
        <f t="shared" si="4"/>
        <v>995</v>
      </c>
      <c r="J8" s="1">
        <f>IF(G8=0,"",RANK(I8,I$4:I$68,0)+COUNTIF(I8:I$68,I8)-1)</f>
        <v>4</v>
      </c>
      <c r="K8" s="1">
        <f t="shared" si="5"/>
        <v>6</v>
      </c>
      <c r="M8" s="8">
        <f t="shared" si="6"/>
        <v>6</v>
      </c>
      <c r="N8" s="9" t="str">
        <f t="shared" si="7"/>
        <v>Beijing</v>
      </c>
      <c r="S8" s="14">
        <v>5</v>
      </c>
      <c r="T8" s="4" t="s">
        <v>781</v>
      </c>
      <c r="V8" s="14">
        <v>5</v>
      </c>
      <c r="W8" s="4" t="s">
        <v>995</v>
      </c>
      <c r="Y8" s="14">
        <f t="shared" si="8"/>
        <v>5</v>
      </c>
      <c r="Z8" s="4" t="s">
        <v>782</v>
      </c>
      <c r="AE8" s="14">
        <v>5</v>
      </c>
      <c r="AF8" s="5" t="s">
        <v>782</v>
      </c>
    </row>
    <row r="9" spans="1:32">
      <c r="A9" s="4">
        <v>6</v>
      </c>
      <c r="B9" s="4" t="s">
        <v>782</v>
      </c>
      <c r="C9" s="4">
        <f t="shared" si="0"/>
        <v>1</v>
      </c>
      <c r="D9" s="4">
        <f t="shared" si="1"/>
        <v>1</v>
      </c>
      <c r="E9" s="4">
        <f t="shared" si="2"/>
        <v>1</v>
      </c>
      <c r="G9" s="1">
        <f t="shared" si="3"/>
        <v>1</v>
      </c>
      <c r="H9" s="1"/>
      <c r="I9" s="1">
        <f t="shared" si="4"/>
        <v>994</v>
      </c>
      <c r="J9" s="1">
        <f>IF(G9=0,"",RANK(I9,I$4:I$68,0)+COUNTIF(I9:I$68,I9)-1)</f>
        <v>5</v>
      </c>
      <c r="K9" s="1">
        <f t="shared" si="5"/>
        <v>8</v>
      </c>
      <c r="M9" s="8">
        <f t="shared" si="6"/>
        <v>8</v>
      </c>
      <c r="N9" s="9" t="str">
        <f t="shared" si="7"/>
        <v>Brussels</v>
      </c>
      <c r="S9" s="14">
        <v>6</v>
      </c>
      <c r="T9" s="4" t="s">
        <v>782</v>
      </c>
      <c r="V9" s="14">
        <v>6</v>
      </c>
      <c r="W9" s="4" t="s">
        <v>996</v>
      </c>
      <c r="Y9" s="14">
        <f t="shared" si="8"/>
        <v>6</v>
      </c>
      <c r="Z9" s="4" t="s">
        <v>783</v>
      </c>
      <c r="AE9" s="14">
        <v>6</v>
      </c>
      <c r="AF9" s="5" t="s">
        <v>783</v>
      </c>
    </row>
    <row r="10" spans="1:32">
      <c r="A10" s="4">
        <v>7</v>
      </c>
      <c r="B10" s="4" t="s">
        <v>992</v>
      </c>
      <c r="C10" s="4">
        <f t="shared" si="0"/>
        <v>1</v>
      </c>
      <c r="D10" s="4">
        <f t="shared" si="1"/>
        <v>0</v>
      </c>
      <c r="E10" s="4">
        <f t="shared" si="2"/>
        <v>0</v>
      </c>
      <c r="G10" s="1">
        <f t="shared" si="3"/>
        <v>0</v>
      </c>
      <c r="H10" s="1"/>
      <c r="I10" s="1" t="str">
        <f t="shared" si="4"/>
        <v/>
      </c>
      <c r="J10" s="1" t="str">
        <f>IF(G10=0,"",RANK(I10,I$4:I$68,0)+COUNTIF(I10:I$68,I10)-1)</f>
        <v/>
      </c>
      <c r="K10" s="1">
        <f t="shared" si="5"/>
        <v>9</v>
      </c>
      <c r="M10" s="8">
        <f t="shared" si="6"/>
        <v>9</v>
      </c>
      <c r="N10" s="9" t="str">
        <f t="shared" si="7"/>
        <v>Buenos Aires</v>
      </c>
      <c r="S10" s="14">
        <v>7</v>
      </c>
      <c r="T10" s="4" t="s">
        <v>992</v>
      </c>
      <c r="V10" s="14">
        <v>7</v>
      </c>
      <c r="W10" s="4" t="s">
        <v>998</v>
      </c>
      <c r="Y10" s="14">
        <f t="shared" si="8"/>
        <v>7</v>
      </c>
      <c r="Z10" s="4" t="s">
        <v>784</v>
      </c>
      <c r="AE10" s="14">
        <v>7</v>
      </c>
      <c r="AF10" s="5" t="s">
        <v>784</v>
      </c>
    </row>
    <row r="11" spans="1:32">
      <c r="A11" s="4">
        <v>8</v>
      </c>
      <c r="B11" s="4" t="s">
        <v>783</v>
      </c>
      <c r="C11" s="4">
        <f t="shared" si="0"/>
        <v>1</v>
      </c>
      <c r="D11" s="4">
        <f t="shared" si="1"/>
        <v>1</v>
      </c>
      <c r="E11" s="4">
        <f t="shared" si="2"/>
        <v>1</v>
      </c>
      <c r="G11" s="1">
        <f t="shared" si="3"/>
        <v>1</v>
      </c>
      <c r="H11" s="1"/>
      <c r="I11" s="1">
        <f t="shared" si="4"/>
        <v>992</v>
      </c>
      <c r="J11" s="1">
        <f>IF(G11=0,"",RANK(I11,I$4:I$68,0)+COUNTIF(I11:I$68,I11)-1)</f>
        <v>6</v>
      </c>
      <c r="K11" s="1">
        <f t="shared" si="5"/>
        <v>13</v>
      </c>
      <c r="M11" s="8">
        <f t="shared" si="6"/>
        <v>13</v>
      </c>
      <c r="N11" s="9" t="str">
        <f t="shared" si="7"/>
        <v>Chicago</v>
      </c>
      <c r="S11" s="14">
        <v>8</v>
      </c>
      <c r="T11" s="4" t="s">
        <v>783</v>
      </c>
      <c r="V11" s="14">
        <v>8</v>
      </c>
      <c r="W11" s="4" t="s">
        <v>999</v>
      </c>
      <c r="Y11" s="14">
        <f t="shared" si="8"/>
        <v>8</v>
      </c>
      <c r="Z11" s="4" t="s">
        <v>785</v>
      </c>
      <c r="AE11" s="14">
        <v>8</v>
      </c>
      <c r="AF11" s="5" t="s">
        <v>785</v>
      </c>
    </row>
    <row r="12" spans="1:32">
      <c r="A12" s="4">
        <v>9</v>
      </c>
      <c r="B12" s="4" t="s">
        <v>784</v>
      </c>
      <c r="C12" s="4">
        <f t="shared" si="0"/>
        <v>1</v>
      </c>
      <c r="D12" s="4">
        <f t="shared" si="1"/>
        <v>1</v>
      </c>
      <c r="E12" s="4">
        <f t="shared" si="2"/>
        <v>1</v>
      </c>
      <c r="G12" s="1">
        <f t="shared" si="3"/>
        <v>1</v>
      </c>
      <c r="H12" s="1"/>
      <c r="I12" s="1">
        <f t="shared" si="4"/>
        <v>991</v>
      </c>
      <c r="J12" s="1">
        <f>IF(G12=0,"",RANK(I12,I$4:I$68,0)+COUNTIF(I12:I$68,I12)-1)</f>
        <v>7</v>
      </c>
      <c r="K12" s="1">
        <f t="shared" si="5"/>
        <v>15</v>
      </c>
      <c r="M12" s="8">
        <f t="shared" si="6"/>
        <v>15</v>
      </c>
      <c r="N12" s="9" t="str">
        <f t="shared" si="7"/>
        <v>Delhi</v>
      </c>
      <c r="S12" s="14">
        <v>9</v>
      </c>
      <c r="T12" s="4" t="s">
        <v>784</v>
      </c>
      <c r="V12" s="14">
        <v>9</v>
      </c>
      <c r="W12" s="4" t="s">
        <v>1000</v>
      </c>
      <c r="Y12" s="14">
        <f t="shared" si="8"/>
        <v>9</v>
      </c>
      <c r="Z12" s="4" t="s">
        <v>786</v>
      </c>
      <c r="AE12" s="14">
        <v>9</v>
      </c>
      <c r="AF12" s="5" t="s">
        <v>786</v>
      </c>
    </row>
    <row r="13" spans="1:32">
      <c r="A13" s="4">
        <v>10</v>
      </c>
      <c r="B13" s="4" t="s">
        <v>993</v>
      </c>
      <c r="C13" s="4">
        <f t="shared" si="0"/>
        <v>1</v>
      </c>
      <c r="D13" s="4">
        <f t="shared" si="1"/>
        <v>0</v>
      </c>
      <c r="E13" s="4">
        <f t="shared" si="2"/>
        <v>0</v>
      </c>
      <c r="G13" s="1">
        <f t="shared" si="3"/>
        <v>0</v>
      </c>
      <c r="H13" s="1"/>
      <c r="I13" s="1" t="str">
        <f t="shared" si="4"/>
        <v/>
      </c>
      <c r="J13" s="1" t="str">
        <f>IF(G13=0,"",RANK(I13,I$4:I$68,0)+COUNTIF(I13:I$68,I13)-1)</f>
        <v/>
      </c>
      <c r="K13" s="1">
        <f t="shared" si="5"/>
        <v>17</v>
      </c>
      <c r="M13" s="8">
        <f t="shared" si="6"/>
        <v>17</v>
      </c>
      <c r="N13" s="9" t="str">
        <f t="shared" si="7"/>
        <v>Doha</v>
      </c>
      <c r="S13" s="14">
        <v>10</v>
      </c>
      <c r="T13" s="4" t="s">
        <v>993</v>
      </c>
      <c r="V13" s="14">
        <v>10</v>
      </c>
      <c r="W13" s="4" t="s">
        <v>1001</v>
      </c>
      <c r="Y13" s="14">
        <f t="shared" si="8"/>
        <v>10</v>
      </c>
      <c r="Z13" s="4" t="s">
        <v>787</v>
      </c>
      <c r="AE13" s="14">
        <v>10</v>
      </c>
      <c r="AF13" s="5" t="s">
        <v>787</v>
      </c>
    </row>
    <row r="14" spans="1:32">
      <c r="A14" s="4">
        <v>11</v>
      </c>
      <c r="B14" s="4" t="s">
        <v>994</v>
      </c>
      <c r="C14" s="4">
        <f t="shared" si="0"/>
        <v>1</v>
      </c>
      <c r="D14" s="4">
        <f t="shared" si="1"/>
        <v>0</v>
      </c>
      <c r="E14" s="4">
        <f t="shared" si="2"/>
        <v>0</v>
      </c>
      <c r="G14" s="1">
        <f t="shared" si="3"/>
        <v>0</v>
      </c>
      <c r="H14" s="1"/>
      <c r="I14" s="1" t="str">
        <f t="shared" si="4"/>
        <v/>
      </c>
      <c r="J14" s="1" t="str">
        <f>IF(G14=0,"",RANK(I14,I$4:I$68,0)+COUNTIF(I14:I$68,I14)-1)</f>
        <v/>
      </c>
      <c r="K14" s="1">
        <f t="shared" si="5"/>
        <v>18</v>
      </c>
      <c r="M14" s="8">
        <f t="shared" si="6"/>
        <v>18</v>
      </c>
      <c r="N14" s="9" t="str">
        <f t="shared" si="7"/>
        <v>Frankfurt</v>
      </c>
      <c r="S14" s="14">
        <v>11</v>
      </c>
      <c r="T14" s="4" t="s">
        <v>994</v>
      </c>
      <c r="V14" s="14">
        <v>11</v>
      </c>
      <c r="W14" s="4" t="s">
        <v>1006</v>
      </c>
      <c r="Y14" s="14">
        <f t="shared" si="8"/>
        <v>11</v>
      </c>
      <c r="Z14" s="4" t="s">
        <v>788</v>
      </c>
      <c r="AE14" s="14">
        <v>11</v>
      </c>
      <c r="AF14" s="5" t="s">
        <v>788</v>
      </c>
    </row>
    <row r="15" spans="1:32">
      <c r="A15" s="4">
        <v>12</v>
      </c>
      <c r="B15" s="4" t="s">
        <v>995</v>
      </c>
      <c r="C15" s="4">
        <f t="shared" si="0"/>
        <v>1</v>
      </c>
      <c r="D15" s="4">
        <f t="shared" si="1"/>
        <v>0</v>
      </c>
      <c r="E15" s="4">
        <f t="shared" si="2"/>
        <v>0</v>
      </c>
      <c r="G15" s="1">
        <f t="shared" si="3"/>
        <v>0</v>
      </c>
      <c r="H15" s="1"/>
      <c r="I15" s="1" t="str">
        <f t="shared" si="4"/>
        <v/>
      </c>
      <c r="J15" s="1" t="str">
        <f>IF(G15=0,"",RANK(I15,I$4:I$68,0)+COUNTIF(I15:I$68,I15)-1)</f>
        <v/>
      </c>
      <c r="K15" s="1">
        <f t="shared" si="5"/>
        <v>20</v>
      </c>
      <c r="M15" s="8">
        <f t="shared" si="6"/>
        <v>20</v>
      </c>
      <c r="N15" s="9" t="str">
        <f t="shared" si="7"/>
        <v>Ho Chi Minh City</v>
      </c>
      <c r="S15" s="14">
        <v>12</v>
      </c>
      <c r="T15" s="4" t="s">
        <v>995</v>
      </c>
      <c r="V15" s="14">
        <v>12</v>
      </c>
      <c r="W15" s="4" t="s">
        <v>1002</v>
      </c>
      <c r="Y15" s="14">
        <f t="shared" si="8"/>
        <v>12</v>
      </c>
      <c r="Z15" s="4" t="s">
        <v>789</v>
      </c>
      <c r="AE15" s="14">
        <v>12</v>
      </c>
      <c r="AF15" s="5" t="s">
        <v>790</v>
      </c>
    </row>
    <row r="16" spans="1:32">
      <c r="A16" s="4">
        <v>13</v>
      </c>
      <c r="B16" s="4" t="s">
        <v>785</v>
      </c>
      <c r="C16" s="4">
        <f t="shared" si="0"/>
        <v>1</v>
      </c>
      <c r="D16" s="4">
        <f t="shared" si="1"/>
        <v>1</v>
      </c>
      <c r="E16" s="4">
        <f t="shared" si="2"/>
        <v>1</v>
      </c>
      <c r="G16" s="1">
        <f t="shared" si="3"/>
        <v>1</v>
      </c>
      <c r="H16" s="1"/>
      <c r="I16" s="1">
        <f t="shared" si="4"/>
        <v>987</v>
      </c>
      <c r="J16" s="1">
        <f>IF(G16=0,"",RANK(I16,I$4:I$68,0)+COUNTIF(I16:I$68,I16)-1)</f>
        <v>8</v>
      </c>
      <c r="K16" s="1">
        <f t="shared" si="5"/>
        <v>21</v>
      </c>
      <c r="M16" s="8">
        <f t="shared" si="6"/>
        <v>21</v>
      </c>
      <c r="N16" s="9" t="str">
        <f t="shared" si="7"/>
        <v>Hong Kong</v>
      </c>
      <c r="S16" s="14">
        <v>13</v>
      </c>
      <c r="T16" s="4" t="s">
        <v>785</v>
      </c>
      <c r="V16" s="14">
        <v>13</v>
      </c>
      <c r="W16" s="4" t="s">
        <v>1003</v>
      </c>
      <c r="Y16" s="14">
        <f t="shared" si="8"/>
        <v>13</v>
      </c>
      <c r="Z16" s="4" t="s">
        <v>790</v>
      </c>
      <c r="AE16" s="14">
        <v>13</v>
      </c>
      <c r="AF16" s="5" t="s">
        <v>791</v>
      </c>
    </row>
    <row r="17" spans="1:32">
      <c r="A17" s="4">
        <v>14</v>
      </c>
      <c r="B17" s="4" t="s">
        <v>996</v>
      </c>
      <c r="C17" s="4">
        <f t="shared" si="0"/>
        <v>1</v>
      </c>
      <c r="D17" s="4">
        <f t="shared" si="1"/>
        <v>0</v>
      </c>
      <c r="E17" s="4">
        <f t="shared" si="2"/>
        <v>0</v>
      </c>
      <c r="G17" s="1">
        <f t="shared" si="3"/>
        <v>0</v>
      </c>
      <c r="H17" s="1"/>
      <c r="I17" s="1" t="str">
        <f t="shared" si="4"/>
        <v/>
      </c>
      <c r="J17" s="1" t="str">
        <f>IF(G17=0,"",RANK(I17,I$4:I$68,0)+COUNTIF(I17:I$68,I17)-1)</f>
        <v/>
      </c>
      <c r="K17" s="1">
        <f t="shared" si="5"/>
        <v>22</v>
      </c>
      <c r="M17" s="8">
        <f t="shared" si="6"/>
        <v>22</v>
      </c>
      <c r="N17" s="9" t="str">
        <f t="shared" si="7"/>
        <v>Istanbul</v>
      </c>
      <c r="S17" s="14">
        <v>14</v>
      </c>
      <c r="T17" s="4" t="s">
        <v>996</v>
      </c>
      <c r="V17" s="14">
        <v>14</v>
      </c>
      <c r="W17" s="4" t="s">
        <v>1004</v>
      </c>
      <c r="Y17" s="14">
        <f t="shared" si="8"/>
        <v>14</v>
      </c>
      <c r="Z17" s="4" t="s">
        <v>791</v>
      </c>
      <c r="AE17" s="14">
        <v>14</v>
      </c>
      <c r="AF17" s="5" t="s">
        <v>792</v>
      </c>
    </row>
    <row r="18" spans="1:32">
      <c r="A18" s="4">
        <v>15</v>
      </c>
      <c r="B18" s="4" t="s">
        <v>786</v>
      </c>
      <c r="C18" s="4">
        <f t="shared" si="0"/>
        <v>1</v>
      </c>
      <c r="D18" s="4">
        <f t="shared" si="1"/>
        <v>1</v>
      </c>
      <c r="E18" s="4">
        <f t="shared" si="2"/>
        <v>1</v>
      </c>
      <c r="G18" s="1">
        <f t="shared" si="3"/>
        <v>1</v>
      </c>
      <c r="H18" s="1"/>
      <c r="I18" s="1">
        <f t="shared" si="4"/>
        <v>985</v>
      </c>
      <c r="J18" s="1">
        <f>IF(G18=0,"",RANK(I18,I$4:I$68,0)+COUNTIF(I18:I$68,I18)-1)</f>
        <v>9</v>
      </c>
      <c r="K18" s="1">
        <f t="shared" si="5"/>
        <v>23</v>
      </c>
      <c r="M18" s="8">
        <f t="shared" si="6"/>
        <v>23</v>
      </c>
      <c r="N18" s="9" t="str">
        <f t="shared" si="7"/>
        <v>Jakarta</v>
      </c>
      <c r="S18" s="14">
        <v>15</v>
      </c>
      <c r="T18" s="4" t="s">
        <v>786</v>
      </c>
      <c r="V18" s="14">
        <v>15</v>
      </c>
      <c r="W18" s="4" t="s">
        <v>1005</v>
      </c>
      <c r="Y18" s="14">
        <f t="shared" si="8"/>
        <v>15</v>
      </c>
      <c r="Z18" s="4" t="s">
        <v>792</v>
      </c>
      <c r="AE18" s="14">
        <v>15</v>
      </c>
      <c r="AF18" s="5" t="s">
        <v>793</v>
      </c>
    </row>
    <row r="19" spans="1:32">
      <c r="A19" s="4">
        <v>16</v>
      </c>
      <c r="B19" s="4" t="s">
        <v>998</v>
      </c>
      <c r="C19" s="4">
        <f t="shared" si="0"/>
        <v>1</v>
      </c>
      <c r="D19" s="4">
        <f t="shared" si="1"/>
        <v>0</v>
      </c>
      <c r="E19" s="4">
        <f t="shared" si="2"/>
        <v>0</v>
      </c>
      <c r="G19" s="1">
        <f t="shared" si="3"/>
        <v>0</v>
      </c>
      <c r="H19" s="1"/>
      <c r="I19" s="1" t="str">
        <f t="shared" si="4"/>
        <v/>
      </c>
      <c r="J19" s="1" t="str">
        <f>IF(G19=0,"",RANK(I19,I$4:I$68,0)+COUNTIF(I19:I$68,I19)-1)</f>
        <v/>
      </c>
      <c r="K19" s="1">
        <f t="shared" si="5"/>
        <v>25</v>
      </c>
      <c r="M19" s="8">
        <f t="shared" si="6"/>
        <v>25</v>
      </c>
      <c r="N19" s="9" t="str">
        <f t="shared" si="7"/>
        <v>Johannesburg</v>
      </c>
      <c r="S19" s="14">
        <v>16</v>
      </c>
      <c r="T19" s="4" t="s">
        <v>998</v>
      </c>
      <c r="Y19" s="14">
        <f t="shared" si="8"/>
        <v>16</v>
      </c>
      <c r="Z19" s="4" t="s">
        <v>793</v>
      </c>
      <c r="AE19" s="14">
        <v>16</v>
      </c>
      <c r="AF19" s="5" t="s">
        <v>794</v>
      </c>
    </row>
    <row r="20" spans="1:32">
      <c r="A20" s="4">
        <v>17</v>
      </c>
      <c r="B20" s="4" t="s">
        <v>787</v>
      </c>
      <c r="C20" s="4">
        <f t="shared" si="0"/>
        <v>1</v>
      </c>
      <c r="D20" s="4">
        <f t="shared" si="1"/>
        <v>1</v>
      </c>
      <c r="E20" s="4">
        <f t="shared" si="2"/>
        <v>1</v>
      </c>
      <c r="G20" s="1">
        <f t="shared" si="3"/>
        <v>1</v>
      </c>
      <c r="H20" s="1"/>
      <c r="I20" s="1">
        <f t="shared" si="4"/>
        <v>983</v>
      </c>
      <c r="J20" s="1">
        <f>IF(G20=0,"",RANK(I20,I$4:I$68,0)+COUNTIF(I20:I$68,I20)-1)</f>
        <v>10</v>
      </c>
      <c r="K20" s="1">
        <f t="shared" si="5"/>
        <v>28</v>
      </c>
      <c r="M20" s="8">
        <f t="shared" si="6"/>
        <v>28</v>
      </c>
      <c r="N20" s="9" t="str">
        <f t="shared" si="7"/>
        <v>Kuwait City</v>
      </c>
      <c r="S20" s="14">
        <v>17</v>
      </c>
      <c r="T20" s="4" t="s">
        <v>787</v>
      </c>
      <c r="Y20" s="14">
        <f t="shared" si="8"/>
        <v>17</v>
      </c>
      <c r="Z20" s="4" t="s">
        <v>794</v>
      </c>
      <c r="AE20" s="14">
        <v>17</v>
      </c>
      <c r="AF20" s="5" t="s">
        <v>795</v>
      </c>
    </row>
    <row r="21" spans="1:32">
      <c r="A21" s="4">
        <v>18</v>
      </c>
      <c r="B21" s="4" t="s">
        <v>788</v>
      </c>
      <c r="C21" s="4">
        <f t="shared" si="0"/>
        <v>1</v>
      </c>
      <c r="D21" s="4">
        <f t="shared" si="1"/>
        <v>1</v>
      </c>
      <c r="E21" s="4">
        <f t="shared" si="2"/>
        <v>1</v>
      </c>
      <c r="G21" s="1">
        <f t="shared" si="3"/>
        <v>1</v>
      </c>
      <c r="H21" s="1"/>
      <c r="I21" s="1">
        <f t="shared" si="4"/>
        <v>982</v>
      </c>
      <c r="J21" s="1">
        <f>IF(G21=0,"",RANK(I21,I$4:I$68,0)+COUNTIF(I21:I$68,I21)-1)</f>
        <v>11</v>
      </c>
      <c r="K21" s="1">
        <f t="shared" si="5"/>
        <v>29</v>
      </c>
      <c r="M21" s="8">
        <f t="shared" si="6"/>
        <v>29</v>
      </c>
      <c r="N21" s="9" t="str">
        <f t="shared" si="7"/>
        <v>Lima</v>
      </c>
      <c r="S21" s="14">
        <v>18</v>
      </c>
      <c r="T21" s="4" t="s">
        <v>788</v>
      </c>
      <c r="Y21" s="14">
        <f t="shared" si="8"/>
        <v>18</v>
      </c>
      <c r="Z21" s="4" t="s">
        <v>795</v>
      </c>
      <c r="AE21" s="14">
        <v>18</v>
      </c>
      <c r="AF21" s="5" t="s">
        <v>796</v>
      </c>
    </row>
    <row r="22" spans="1:32">
      <c r="A22" s="4">
        <v>19</v>
      </c>
      <c r="B22" s="4" t="s">
        <v>789</v>
      </c>
      <c r="C22" s="4">
        <f t="shared" si="0"/>
        <v>0</v>
      </c>
      <c r="D22" s="4">
        <f t="shared" si="1"/>
        <v>1</v>
      </c>
      <c r="E22" s="4">
        <f t="shared" si="2"/>
        <v>0</v>
      </c>
      <c r="G22" s="1">
        <f t="shared" si="3"/>
        <v>0</v>
      </c>
      <c r="H22" s="1"/>
      <c r="I22" s="1" t="str">
        <f t="shared" si="4"/>
        <v/>
      </c>
      <c r="J22" s="1" t="str">
        <f>IF(G22=0,"",RANK(I22,I$4:I$68,0)+COUNTIF(I22:I$68,I22)-1)</f>
        <v/>
      </c>
      <c r="K22" s="1">
        <f t="shared" si="5"/>
        <v>30</v>
      </c>
      <c r="M22" s="8">
        <f t="shared" si="6"/>
        <v>30</v>
      </c>
      <c r="N22" s="9" t="str">
        <f t="shared" si="7"/>
        <v>London</v>
      </c>
      <c r="S22" s="14">
        <v>19</v>
      </c>
      <c r="T22" s="4" t="s">
        <v>790</v>
      </c>
      <c r="Y22" s="14">
        <f t="shared" si="8"/>
        <v>19</v>
      </c>
      <c r="Z22" s="4" t="s">
        <v>796</v>
      </c>
      <c r="AE22" s="14">
        <v>19</v>
      </c>
      <c r="AF22" s="5" t="s">
        <v>797</v>
      </c>
    </row>
    <row r="23" spans="1:32">
      <c r="A23" s="4">
        <v>20</v>
      </c>
      <c r="B23" s="4" t="s">
        <v>790</v>
      </c>
      <c r="C23" s="4">
        <f t="shared" si="0"/>
        <v>1</v>
      </c>
      <c r="D23" s="4">
        <f t="shared" si="1"/>
        <v>1</v>
      </c>
      <c r="E23" s="4">
        <f t="shared" si="2"/>
        <v>1</v>
      </c>
      <c r="G23" s="1">
        <f t="shared" si="3"/>
        <v>1</v>
      </c>
      <c r="H23" s="1"/>
      <c r="I23" s="1">
        <f t="shared" si="4"/>
        <v>980</v>
      </c>
      <c r="J23" s="1">
        <f>IF(G23=0,"",RANK(I23,I$4:I$68,0)+COUNTIF(I23:I$68,I23)-1)</f>
        <v>12</v>
      </c>
      <c r="K23" s="1">
        <f t="shared" si="5"/>
        <v>31</v>
      </c>
      <c r="M23" s="8">
        <f t="shared" si="6"/>
        <v>31</v>
      </c>
      <c r="N23" s="9" t="str">
        <f t="shared" si="7"/>
        <v>Los Angeles</v>
      </c>
      <c r="S23" s="14">
        <v>20</v>
      </c>
      <c r="T23" s="4" t="s">
        <v>791</v>
      </c>
      <c r="Y23" s="14">
        <f t="shared" si="8"/>
        <v>20</v>
      </c>
      <c r="Z23" s="4" t="s">
        <v>797</v>
      </c>
      <c r="AE23" s="14">
        <v>20</v>
      </c>
      <c r="AF23" s="5" t="s">
        <v>798</v>
      </c>
    </row>
    <row r="24" spans="1:32">
      <c r="A24" s="4">
        <v>21</v>
      </c>
      <c r="B24" s="4" t="s">
        <v>791</v>
      </c>
      <c r="C24" s="4">
        <f t="shared" si="0"/>
        <v>1</v>
      </c>
      <c r="D24" s="4">
        <f t="shared" si="1"/>
        <v>1</v>
      </c>
      <c r="E24" s="4">
        <f t="shared" si="2"/>
        <v>1</v>
      </c>
      <c r="G24" s="1">
        <f t="shared" si="3"/>
        <v>1</v>
      </c>
      <c r="H24" s="1"/>
      <c r="I24" s="1">
        <f t="shared" si="4"/>
        <v>979</v>
      </c>
      <c r="J24" s="1">
        <f>IF(G24=0,"",RANK(I24,I$4:I$68,0)+COUNTIF(I24:I$68,I24)-1)</f>
        <v>13</v>
      </c>
      <c r="K24" s="1">
        <f t="shared" si="5"/>
        <v>32</v>
      </c>
      <c r="M24" s="8">
        <f t="shared" si="6"/>
        <v>32</v>
      </c>
      <c r="N24" s="9" t="str">
        <f t="shared" si="7"/>
        <v>Madrid</v>
      </c>
      <c r="S24" s="14">
        <v>21</v>
      </c>
      <c r="T24" s="4" t="s">
        <v>792</v>
      </c>
      <c r="Y24" s="14">
        <f t="shared" si="8"/>
        <v>21</v>
      </c>
      <c r="Z24" s="4" t="s">
        <v>798</v>
      </c>
      <c r="AE24" s="14">
        <v>21</v>
      </c>
      <c r="AF24" s="5" t="s">
        <v>799</v>
      </c>
    </row>
    <row r="25" spans="1:32">
      <c r="A25" s="4">
        <v>22</v>
      </c>
      <c r="B25" s="4" t="s">
        <v>792</v>
      </c>
      <c r="C25" s="4">
        <f t="shared" si="0"/>
        <v>1</v>
      </c>
      <c r="D25" s="4">
        <f t="shared" si="1"/>
        <v>1</v>
      </c>
      <c r="E25" s="4">
        <f t="shared" si="2"/>
        <v>1</v>
      </c>
      <c r="G25" s="1">
        <f t="shared" si="3"/>
        <v>1</v>
      </c>
      <c r="H25" s="1"/>
      <c r="I25" s="1">
        <f t="shared" si="4"/>
        <v>978</v>
      </c>
      <c r="J25" s="1">
        <f>IF(G25=0,"",RANK(I25,I$4:I$68,0)+COUNTIF(I25:I$68,I25)-1)</f>
        <v>14</v>
      </c>
      <c r="K25" s="1">
        <f t="shared" si="5"/>
        <v>34</v>
      </c>
      <c r="M25" s="8">
        <f t="shared" si="6"/>
        <v>34</v>
      </c>
      <c r="N25" s="9" t="str">
        <f t="shared" si="7"/>
        <v>Melbourne</v>
      </c>
      <c r="S25" s="14">
        <v>22</v>
      </c>
      <c r="T25" s="4" t="s">
        <v>793</v>
      </c>
      <c r="Y25" s="14">
        <f t="shared" si="8"/>
        <v>22</v>
      </c>
      <c r="Z25" s="4" t="s">
        <v>799</v>
      </c>
      <c r="AE25" s="14">
        <v>22</v>
      </c>
      <c r="AF25" s="5" t="s">
        <v>800</v>
      </c>
    </row>
    <row r="26" spans="1:32">
      <c r="A26" s="4">
        <v>23</v>
      </c>
      <c r="B26" s="4" t="s">
        <v>793</v>
      </c>
      <c r="C26" s="4">
        <f t="shared" si="0"/>
        <v>1</v>
      </c>
      <c r="D26" s="4">
        <f t="shared" si="1"/>
        <v>1</v>
      </c>
      <c r="E26" s="4">
        <f t="shared" si="2"/>
        <v>1</v>
      </c>
      <c r="G26" s="1">
        <f t="shared" si="3"/>
        <v>1</v>
      </c>
      <c r="H26" s="1"/>
      <c r="I26" s="1">
        <f t="shared" si="4"/>
        <v>977</v>
      </c>
      <c r="J26" s="1">
        <f>IF(G26=0,"",RANK(I26,I$4:I$68,0)+COUNTIF(I26:I$68,I26)-1)</f>
        <v>15</v>
      </c>
      <c r="K26" s="1">
        <f t="shared" si="5"/>
        <v>35</v>
      </c>
      <c r="M26" s="8">
        <f t="shared" si="6"/>
        <v>35</v>
      </c>
      <c r="N26" s="9" t="str">
        <f t="shared" si="7"/>
        <v>Mexico City</v>
      </c>
      <c r="S26" s="14">
        <v>23</v>
      </c>
      <c r="T26" s="4" t="s">
        <v>999</v>
      </c>
      <c r="Y26" s="14">
        <f t="shared" si="8"/>
        <v>23</v>
      </c>
      <c r="Z26" s="4" t="s">
        <v>800</v>
      </c>
      <c r="AE26" s="14">
        <v>23</v>
      </c>
      <c r="AF26" s="5" t="s">
        <v>801</v>
      </c>
    </row>
    <row r="27" spans="1:32">
      <c r="A27" s="4">
        <v>24</v>
      </c>
      <c r="B27" s="4" t="s">
        <v>999</v>
      </c>
      <c r="C27" s="4">
        <f t="shared" si="0"/>
        <v>1</v>
      </c>
      <c r="D27" s="4">
        <f t="shared" si="1"/>
        <v>0</v>
      </c>
      <c r="E27" s="4">
        <f t="shared" si="2"/>
        <v>0</v>
      </c>
      <c r="G27" s="1">
        <f t="shared" si="3"/>
        <v>0</v>
      </c>
      <c r="H27" s="1"/>
      <c r="I27" s="1" t="str">
        <f t="shared" si="4"/>
        <v/>
      </c>
      <c r="J27" s="1" t="str">
        <f>IF(G27=0,"",RANK(I27,I$4:I$68,0)+COUNTIF(I27:I$68,I27)-1)</f>
        <v/>
      </c>
      <c r="K27" s="1">
        <f t="shared" si="5"/>
        <v>36</v>
      </c>
      <c r="M27" s="8">
        <f t="shared" si="6"/>
        <v>36</v>
      </c>
      <c r="N27" s="9" t="str">
        <f t="shared" si="7"/>
        <v>Milan</v>
      </c>
      <c r="S27" s="14">
        <v>24</v>
      </c>
      <c r="T27" s="4" t="s">
        <v>794</v>
      </c>
      <c r="Y27" s="14">
        <f t="shared" si="8"/>
        <v>24</v>
      </c>
      <c r="Z27" s="4" t="s">
        <v>801</v>
      </c>
      <c r="AE27" s="14">
        <v>24</v>
      </c>
      <c r="AF27" s="5" t="s">
        <v>802</v>
      </c>
    </row>
    <row r="28" spans="1:32">
      <c r="A28" s="4">
        <v>25</v>
      </c>
      <c r="B28" s="4" t="s">
        <v>794</v>
      </c>
      <c r="C28" s="4">
        <f t="shared" si="0"/>
        <v>1</v>
      </c>
      <c r="D28" s="4">
        <f t="shared" si="1"/>
        <v>1</v>
      </c>
      <c r="E28" s="4">
        <f t="shared" si="2"/>
        <v>1</v>
      </c>
      <c r="G28" s="1">
        <f t="shared" si="3"/>
        <v>1</v>
      </c>
      <c r="H28" s="1"/>
      <c r="I28" s="1">
        <f t="shared" si="4"/>
        <v>975</v>
      </c>
      <c r="J28" s="1">
        <f>IF(G28=0,"",RANK(I28,I$4:I$68,0)+COUNTIF(I28:I$68,I28)-1)</f>
        <v>16</v>
      </c>
      <c r="K28" s="1">
        <f t="shared" si="5"/>
        <v>38</v>
      </c>
      <c r="M28" s="8">
        <f t="shared" si="6"/>
        <v>38</v>
      </c>
      <c r="N28" s="9" t="str">
        <f t="shared" si="7"/>
        <v>Moscow</v>
      </c>
      <c r="S28" s="14">
        <v>25</v>
      </c>
      <c r="T28" s="4" t="s">
        <v>1000</v>
      </c>
      <c r="Y28" s="14">
        <f t="shared" si="8"/>
        <v>25</v>
      </c>
      <c r="Z28" s="4" t="s">
        <v>802</v>
      </c>
      <c r="AE28" s="14">
        <v>25</v>
      </c>
      <c r="AF28" s="5" t="s">
        <v>804</v>
      </c>
    </row>
    <row r="29" spans="1:32">
      <c r="A29" s="4">
        <v>26</v>
      </c>
      <c r="B29" s="4" t="s">
        <v>1000</v>
      </c>
      <c r="C29" s="4">
        <f t="shared" si="0"/>
        <v>1</v>
      </c>
      <c r="D29" s="4">
        <f t="shared" si="1"/>
        <v>0</v>
      </c>
      <c r="E29" s="4">
        <f t="shared" si="2"/>
        <v>0</v>
      </c>
      <c r="G29" s="1">
        <f t="shared" si="3"/>
        <v>0</v>
      </c>
      <c r="H29" s="1"/>
      <c r="I29" s="1" t="str">
        <f t="shared" si="4"/>
        <v/>
      </c>
      <c r="J29" s="1" t="str">
        <f>IF(G29=0,"",RANK(I29,I$4:I$68,0)+COUNTIF(I29:I$68,I29)-1)</f>
        <v/>
      </c>
      <c r="K29" s="1">
        <f t="shared" si="5"/>
        <v>39</v>
      </c>
      <c r="M29" s="8">
        <f t="shared" si="6"/>
        <v>39</v>
      </c>
      <c r="N29" s="9" t="str">
        <f t="shared" si="7"/>
        <v>Mumbai</v>
      </c>
      <c r="S29" s="14">
        <v>26</v>
      </c>
      <c r="T29" s="4" t="s">
        <v>1001</v>
      </c>
      <c r="Y29" s="14">
        <f t="shared" si="8"/>
        <v>26</v>
      </c>
      <c r="Z29" s="4" t="s">
        <v>803</v>
      </c>
      <c r="AE29" s="14">
        <v>26</v>
      </c>
      <c r="AF29" s="5" t="s">
        <v>805</v>
      </c>
    </row>
    <row r="30" spans="1:32">
      <c r="A30" s="4">
        <v>27</v>
      </c>
      <c r="B30" s="4" t="s">
        <v>1001</v>
      </c>
      <c r="C30" s="4">
        <f t="shared" si="0"/>
        <v>1</v>
      </c>
      <c r="D30" s="4">
        <f t="shared" si="1"/>
        <v>0</v>
      </c>
      <c r="E30" s="4">
        <f t="shared" si="2"/>
        <v>0</v>
      </c>
      <c r="G30" s="1">
        <f t="shared" si="3"/>
        <v>0</v>
      </c>
      <c r="H30" s="1"/>
      <c r="I30" s="1" t="str">
        <f t="shared" si="4"/>
        <v/>
      </c>
      <c r="J30" s="1" t="str">
        <f>IF(G30=0,"",RANK(I30,I$4:I$68,0)+COUNTIF(I30:I$68,I30)-1)</f>
        <v/>
      </c>
      <c r="K30" s="1">
        <f t="shared" si="5"/>
        <v>40</v>
      </c>
      <c r="M30" s="8">
        <f t="shared" si="6"/>
        <v>40</v>
      </c>
      <c r="N30" s="9" t="str">
        <f t="shared" si="7"/>
        <v>New York</v>
      </c>
      <c r="S30" s="14">
        <v>27</v>
      </c>
      <c r="T30" s="4" t="s">
        <v>795</v>
      </c>
      <c r="Y30" s="14">
        <f t="shared" si="8"/>
        <v>27</v>
      </c>
      <c r="Z30" s="4" t="s">
        <v>804</v>
      </c>
      <c r="AE30" s="14">
        <v>27</v>
      </c>
      <c r="AF30" s="5" t="s">
        <v>806</v>
      </c>
    </row>
    <row r="31" spans="1:32">
      <c r="A31" s="4">
        <v>28</v>
      </c>
      <c r="B31" s="4" t="s">
        <v>795</v>
      </c>
      <c r="C31" s="4">
        <f t="shared" si="0"/>
        <v>1</v>
      </c>
      <c r="D31" s="4">
        <f t="shared" si="1"/>
        <v>1</v>
      </c>
      <c r="E31" s="4">
        <f t="shared" si="2"/>
        <v>1</v>
      </c>
      <c r="G31" s="1">
        <f t="shared" si="3"/>
        <v>1</v>
      </c>
      <c r="H31" s="1"/>
      <c r="I31" s="1">
        <f t="shared" si="4"/>
        <v>972</v>
      </c>
      <c r="J31" s="1">
        <f>IF(G31=0,"",RANK(I31,I$4:I$68,0)+COUNTIF(I31:I$68,I31)-1)</f>
        <v>17</v>
      </c>
      <c r="K31" s="1">
        <f t="shared" si="5"/>
        <v>41</v>
      </c>
      <c r="M31" s="8">
        <f t="shared" si="6"/>
        <v>41</v>
      </c>
      <c r="N31" s="9" t="str">
        <f t="shared" si="7"/>
        <v>Osaka</v>
      </c>
      <c r="S31" s="14">
        <v>28</v>
      </c>
      <c r="T31" s="4" t="s">
        <v>796</v>
      </c>
      <c r="Y31" s="14">
        <f t="shared" si="8"/>
        <v>28</v>
      </c>
      <c r="Z31" s="4" t="s">
        <v>805</v>
      </c>
      <c r="AE31" s="14">
        <v>28</v>
      </c>
      <c r="AF31" s="5" t="s">
        <v>807</v>
      </c>
    </row>
    <row r="32" spans="1:32">
      <c r="A32" s="4">
        <v>29</v>
      </c>
      <c r="B32" s="4" t="s">
        <v>796</v>
      </c>
      <c r="C32" s="4">
        <f t="shared" si="0"/>
        <v>1</v>
      </c>
      <c r="D32" s="4">
        <f t="shared" si="1"/>
        <v>1</v>
      </c>
      <c r="E32" s="4">
        <f t="shared" si="2"/>
        <v>1</v>
      </c>
      <c r="G32" s="1">
        <f t="shared" si="3"/>
        <v>1</v>
      </c>
      <c r="H32" s="1"/>
      <c r="I32" s="1">
        <f t="shared" si="4"/>
        <v>971</v>
      </c>
      <c r="J32" s="1">
        <f>IF(G32=0,"",RANK(I32,I$4:I$68,0)+COUNTIF(I32:I$68,I32)-1)</f>
        <v>18</v>
      </c>
      <c r="K32" s="1">
        <f t="shared" si="5"/>
        <v>42</v>
      </c>
      <c r="M32" s="8">
        <f t="shared" si="6"/>
        <v>42</v>
      </c>
      <c r="N32" s="9" t="str">
        <f t="shared" si="7"/>
        <v>Paris</v>
      </c>
      <c r="S32" s="14">
        <v>29</v>
      </c>
      <c r="T32" s="4" t="s">
        <v>797</v>
      </c>
      <c r="Y32" s="14">
        <f t="shared" si="8"/>
        <v>29</v>
      </c>
      <c r="Z32" s="4" t="s">
        <v>806</v>
      </c>
      <c r="AE32" s="14">
        <v>29</v>
      </c>
      <c r="AF32" s="5" t="s">
        <v>808</v>
      </c>
    </row>
    <row r="33" spans="1:32">
      <c r="A33" s="4">
        <v>30</v>
      </c>
      <c r="B33" s="4" t="s">
        <v>797</v>
      </c>
      <c r="C33" s="4">
        <f t="shared" si="0"/>
        <v>1</v>
      </c>
      <c r="D33" s="4">
        <f t="shared" si="1"/>
        <v>1</v>
      </c>
      <c r="E33" s="4">
        <f t="shared" si="2"/>
        <v>1</v>
      </c>
      <c r="G33" s="1">
        <f t="shared" si="3"/>
        <v>1</v>
      </c>
      <c r="H33" s="1"/>
      <c r="I33" s="1">
        <f t="shared" si="4"/>
        <v>970</v>
      </c>
      <c r="J33" s="1">
        <f>IF(G33=0,"",RANK(I33,I$4:I$68,0)+COUNTIF(I33:I$68,I33)-1)</f>
        <v>19</v>
      </c>
      <c r="K33" s="1">
        <f t="shared" si="5"/>
        <v>44</v>
      </c>
      <c r="M33" s="8">
        <f t="shared" si="6"/>
        <v>44</v>
      </c>
      <c r="N33" s="9" t="str">
        <f t="shared" si="7"/>
        <v>Rio de Janeiro</v>
      </c>
      <c r="S33" s="14">
        <v>30</v>
      </c>
      <c r="T33" s="4" t="s">
        <v>798</v>
      </c>
      <c r="Y33" s="14">
        <f t="shared" si="8"/>
        <v>30</v>
      </c>
      <c r="Z33" s="4" t="s">
        <v>807</v>
      </c>
      <c r="AE33" s="14">
        <v>30</v>
      </c>
      <c r="AF33" s="5" t="s">
        <v>809</v>
      </c>
    </row>
    <row r="34" spans="1:32">
      <c r="A34" s="4">
        <v>31</v>
      </c>
      <c r="B34" s="4" t="s">
        <v>798</v>
      </c>
      <c r="C34" s="4">
        <f t="shared" si="0"/>
        <v>1</v>
      </c>
      <c r="D34" s="4">
        <f t="shared" si="1"/>
        <v>1</v>
      </c>
      <c r="E34" s="4">
        <f t="shared" si="2"/>
        <v>1</v>
      </c>
      <c r="G34" s="1">
        <f t="shared" si="3"/>
        <v>1</v>
      </c>
      <c r="H34" s="1"/>
      <c r="I34" s="1">
        <f t="shared" si="4"/>
        <v>969</v>
      </c>
      <c r="J34" s="1">
        <f>IF(G34=0,"",RANK(I34,I$4:I$68,0)+COUNTIF(I34:I$68,I34)-1)</f>
        <v>20</v>
      </c>
      <c r="K34" s="1">
        <f t="shared" si="5"/>
        <v>45</v>
      </c>
      <c r="M34" s="8">
        <f t="shared" si="6"/>
        <v>45</v>
      </c>
      <c r="N34" s="9" t="str">
        <f t="shared" si="7"/>
        <v>Riyadh</v>
      </c>
      <c r="S34" s="14">
        <v>31</v>
      </c>
      <c r="T34" s="4" t="s">
        <v>799</v>
      </c>
      <c r="Y34" s="14">
        <f t="shared" si="8"/>
        <v>31</v>
      </c>
      <c r="Z34" s="4" t="s">
        <v>808</v>
      </c>
      <c r="AE34" s="14">
        <v>31</v>
      </c>
      <c r="AF34" s="5" t="s">
        <v>810</v>
      </c>
    </row>
    <row r="35" spans="1:32">
      <c r="A35" s="4">
        <v>32</v>
      </c>
      <c r="B35" s="4" t="s">
        <v>799</v>
      </c>
      <c r="C35" s="4">
        <f t="shared" si="0"/>
        <v>1</v>
      </c>
      <c r="D35" s="4">
        <f t="shared" ref="D35:D55" si="9">IF(ISNA(VLOOKUP(B35,$Z$4:$Z$68,1,FALSE)),0,1)</f>
        <v>1</v>
      </c>
      <c r="E35" s="4">
        <f t="shared" ref="E35:E55" si="10">IF(ISNA(VLOOKUP(B35,$AF$4:$AF$68,1,FALSE)),0,1)</f>
        <v>1</v>
      </c>
      <c r="G35" s="1">
        <f t="shared" si="3"/>
        <v>1</v>
      </c>
      <c r="H35" s="1"/>
      <c r="I35" s="1">
        <f t="shared" si="4"/>
        <v>968</v>
      </c>
      <c r="J35" s="1">
        <f>IF(G35=0,"",RANK(I35,I$4:I$68,0)+COUNTIF(I35:I$68,I35)-1)</f>
        <v>21</v>
      </c>
      <c r="K35" s="1">
        <f t="shared" si="5"/>
        <v>46</v>
      </c>
      <c r="M35" s="8">
        <f t="shared" si="6"/>
        <v>46</v>
      </c>
      <c r="N35" s="9" t="str">
        <f t="shared" si="7"/>
        <v>Rome</v>
      </c>
      <c r="S35" s="14">
        <v>32</v>
      </c>
      <c r="T35" s="4" t="s">
        <v>1002</v>
      </c>
      <c r="Y35" s="14">
        <f t="shared" si="8"/>
        <v>32</v>
      </c>
      <c r="Z35" s="4" t="s">
        <v>809</v>
      </c>
      <c r="AE35" s="14">
        <v>32</v>
      </c>
      <c r="AF35" s="5" t="s">
        <v>811</v>
      </c>
    </row>
    <row r="36" spans="1:32">
      <c r="A36" s="4">
        <v>33</v>
      </c>
      <c r="B36" s="4" t="s">
        <v>1002</v>
      </c>
      <c r="C36" s="4">
        <f t="shared" ref="C36:C55" si="11">IF(ISNA(VLOOKUP(B36,$T$4:$T$67,1,FALSE)),0,1)</f>
        <v>1</v>
      </c>
      <c r="D36" s="4">
        <f t="shared" si="9"/>
        <v>0</v>
      </c>
      <c r="E36" s="4">
        <f t="shared" si="10"/>
        <v>0</v>
      </c>
      <c r="G36" s="1">
        <f t="shared" si="3"/>
        <v>0</v>
      </c>
      <c r="H36" s="1"/>
      <c r="I36" s="1" t="str">
        <f t="shared" si="4"/>
        <v/>
      </c>
      <c r="J36" s="1" t="str">
        <f>IF(G36=0,"",RANK(I36,I$4:I$68,0)+COUNTIF(I36:I$68,I36)-1)</f>
        <v/>
      </c>
      <c r="K36" s="1">
        <f t="shared" si="5"/>
        <v>47</v>
      </c>
      <c r="M36" s="8">
        <f t="shared" si="6"/>
        <v>47</v>
      </c>
      <c r="N36" s="9" t="str">
        <f t="shared" si="7"/>
        <v>San Francisco</v>
      </c>
      <c r="S36" s="14">
        <v>33</v>
      </c>
      <c r="T36" s="4" t="s">
        <v>800</v>
      </c>
      <c r="Y36" s="14">
        <f t="shared" si="8"/>
        <v>33</v>
      </c>
      <c r="Z36" s="4" t="s">
        <v>810</v>
      </c>
      <c r="AE36" s="14">
        <v>33</v>
      </c>
      <c r="AF36" s="5" t="s">
        <v>812</v>
      </c>
    </row>
    <row r="37" spans="1:32">
      <c r="A37" s="4">
        <v>34</v>
      </c>
      <c r="B37" s="4" t="s">
        <v>800</v>
      </c>
      <c r="C37" s="4">
        <f t="shared" si="11"/>
        <v>1</v>
      </c>
      <c r="D37" s="4">
        <f t="shared" si="9"/>
        <v>1</v>
      </c>
      <c r="E37" s="4">
        <f t="shared" si="10"/>
        <v>1</v>
      </c>
      <c r="G37" s="1">
        <f t="shared" si="3"/>
        <v>1</v>
      </c>
      <c r="H37" s="1"/>
      <c r="I37" s="1">
        <f t="shared" si="4"/>
        <v>966</v>
      </c>
      <c r="J37" s="1">
        <f>IF(G37=0,"",RANK(I37,I$4:I$68,0)+COUNTIF(I37:I$68,I37)-1)</f>
        <v>22</v>
      </c>
      <c r="K37" s="1">
        <f t="shared" si="5"/>
        <v>48</v>
      </c>
      <c r="M37" s="8">
        <f t="shared" si="6"/>
        <v>48</v>
      </c>
      <c r="N37" s="9" t="str">
        <f t="shared" si="7"/>
        <v>Santiago</v>
      </c>
      <c r="S37" s="14">
        <v>34</v>
      </c>
      <c r="T37" s="4" t="s">
        <v>801</v>
      </c>
      <c r="Y37" s="14">
        <f t="shared" si="8"/>
        <v>34</v>
      </c>
      <c r="Z37" s="4" t="s">
        <v>811</v>
      </c>
      <c r="AE37" s="14">
        <v>34</v>
      </c>
      <c r="AF37" s="5" t="s">
        <v>813</v>
      </c>
    </row>
    <row r="38" spans="1:32">
      <c r="A38" s="4">
        <v>35</v>
      </c>
      <c r="B38" s="4" t="s">
        <v>801</v>
      </c>
      <c r="C38" s="4">
        <f t="shared" si="11"/>
        <v>1</v>
      </c>
      <c r="D38" s="4">
        <f t="shared" si="9"/>
        <v>1</v>
      </c>
      <c r="E38" s="4">
        <f t="shared" si="10"/>
        <v>1</v>
      </c>
      <c r="G38" s="1">
        <f t="shared" si="3"/>
        <v>1</v>
      </c>
      <c r="H38" s="1"/>
      <c r="I38" s="1">
        <f t="shared" si="4"/>
        <v>965</v>
      </c>
      <c r="J38" s="1">
        <f>IF(G38=0,"",RANK(I38,I$4:I$68,0)+COUNTIF(I38:I$68,I38)-1)</f>
        <v>23</v>
      </c>
      <c r="K38" s="1">
        <f t="shared" si="5"/>
        <v>49</v>
      </c>
      <c r="M38" s="8">
        <f t="shared" si="6"/>
        <v>49</v>
      </c>
      <c r="N38" s="9" t="str">
        <f t="shared" si="7"/>
        <v>Sao Paulo</v>
      </c>
      <c r="S38" s="14">
        <v>35</v>
      </c>
      <c r="T38" s="4" t="s">
        <v>802</v>
      </c>
      <c r="Y38" s="14">
        <f t="shared" si="8"/>
        <v>35</v>
      </c>
      <c r="Z38" s="4" t="s">
        <v>812</v>
      </c>
      <c r="AE38" s="14">
        <v>35</v>
      </c>
      <c r="AF38" s="5" t="s">
        <v>814</v>
      </c>
    </row>
    <row r="39" spans="1:32">
      <c r="A39" s="4">
        <v>36</v>
      </c>
      <c r="B39" s="4" t="s">
        <v>802</v>
      </c>
      <c r="C39" s="4">
        <f t="shared" si="11"/>
        <v>1</v>
      </c>
      <c r="D39" s="4">
        <f t="shared" si="9"/>
        <v>1</v>
      </c>
      <c r="E39" s="4">
        <f t="shared" si="10"/>
        <v>1</v>
      </c>
      <c r="G39" s="1">
        <f t="shared" si="3"/>
        <v>1</v>
      </c>
      <c r="H39" s="1"/>
      <c r="I39" s="1">
        <f t="shared" si="4"/>
        <v>964</v>
      </c>
      <c r="J39" s="1">
        <f>IF(G39=0,"",RANK(I39,I$4:I$68,0)+COUNTIF(I39:I$68,I39)-1)</f>
        <v>24</v>
      </c>
      <c r="K39" s="1">
        <f t="shared" si="5"/>
        <v>50</v>
      </c>
      <c r="M39" s="8">
        <f t="shared" si="6"/>
        <v>50</v>
      </c>
      <c r="N39" s="9" t="str">
        <f t="shared" si="7"/>
        <v>Seoul</v>
      </c>
      <c r="S39" s="14">
        <v>36</v>
      </c>
      <c r="T39" s="4" t="s">
        <v>804</v>
      </c>
      <c r="Y39" s="14">
        <f t="shared" si="8"/>
        <v>36</v>
      </c>
      <c r="Z39" s="4" t="s">
        <v>813</v>
      </c>
      <c r="AE39" s="14">
        <v>36</v>
      </c>
      <c r="AF39" s="5" t="s">
        <v>815</v>
      </c>
    </row>
    <row r="40" spans="1:32">
      <c r="A40" s="4">
        <v>37</v>
      </c>
      <c r="B40" s="4" t="s">
        <v>803</v>
      </c>
      <c r="C40" s="4">
        <f t="shared" si="11"/>
        <v>0</v>
      </c>
      <c r="D40" s="4">
        <f t="shared" si="9"/>
        <v>1</v>
      </c>
      <c r="E40" s="4">
        <f t="shared" si="10"/>
        <v>0</v>
      </c>
      <c r="G40" s="1">
        <f t="shared" si="3"/>
        <v>0</v>
      </c>
      <c r="H40" s="1"/>
      <c r="I40" s="1" t="str">
        <f t="shared" si="4"/>
        <v/>
      </c>
      <c r="J40" s="1" t="str">
        <f>IF(G40=0,"",RANK(I40,I$4:I$68,0)+COUNTIF(I40:I$68,I40)-1)</f>
        <v/>
      </c>
      <c r="K40" s="1">
        <f t="shared" si="5"/>
        <v>51</v>
      </c>
      <c r="M40" s="8">
        <f t="shared" si="6"/>
        <v>51</v>
      </c>
      <c r="N40" s="9" t="str">
        <f t="shared" si="7"/>
        <v>Shanghai</v>
      </c>
      <c r="S40" s="14">
        <v>37</v>
      </c>
      <c r="T40" s="4" t="s">
        <v>805</v>
      </c>
      <c r="Y40" s="14">
        <f t="shared" si="8"/>
        <v>37</v>
      </c>
      <c r="Z40" s="4" t="s">
        <v>814</v>
      </c>
      <c r="AE40" s="14">
        <v>37</v>
      </c>
      <c r="AF40" s="5" t="s">
        <v>816</v>
      </c>
    </row>
    <row r="41" spans="1:32">
      <c r="A41" s="4">
        <v>38</v>
      </c>
      <c r="B41" s="4" t="s">
        <v>804</v>
      </c>
      <c r="C41" s="4">
        <f t="shared" si="11"/>
        <v>1</v>
      </c>
      <c r="D41" s="4">
        <f t="shared" si="9"/>
        <v>1</v>
      </c>
      <c r="E41" s="4">
        <f t="shared" si="10"/>
        <v>1</v>
      </c>
      <c r="G41" s="1">
        <f t="shared" si="3"/>
        <v>1</v>
      </c>
      <c r="H41" s="1"/>
      <c r="I41" s="1">
        <f t="shared" si="4"/>
        <v>962</v>
      </c>
      <c r="J41" s="1">
        <f>IF(G41=0,"",RANK(I41,I$4:I$68,0)+COUNTIF(I41:I$68,I41)-1)</f>
        <v>25</v>
      </c>
      <c r="K41" s="1">
        <f t="shared" si="5"/>
        <v>53</v>
      </c>
      <c r="M41" s="8">
        <f t="shared" si="6"/>
        <v>53</v>
      </c>
      <c r="N41" s="9" t="str">
        <f t="shared" si="7"/>
        <v>Singapore</v>
      </c>
      <c r="S41" s="14">
        <v>38</v>
      </c>
      <c r="T41" s="4" t="s">
        <v>806</v>
      </c>
      <c r="Y41" s="14">
        <f t="shared" si="8"/>
        <v>38</v>
      </c>
      <c r="Z41" s="4" t="s">
        <v>815</v>
      </c>
      <c r="AE41" s="14">
        <v>38</v>
      </c>
      <c r="AF41" s="5" t="s">
        <v>818</v>
      </c>
    </row>
    <row r="42" spans="1:32">
      <c r="A42" s="4">
        <v>39</v>
      </c>
      <c r="B42" s="4" t="s">
        <v>805</v>
      </c>
      <c r="C42" s="4">
        <f t="shared" si="11"/>
        <v>1</v>
      </c>
      <c r="D42" s="4">
        <f t="shared" si="9"/>
        <v>1</v>
      </c>
      <c r="E42" s="4">
        <f t="shared" si="10"/>
        <v>1</v>
      </c>
      <c r="G42" s="1">
        <f t="shared" si="3"/>
        <v>1</v>
      </c>
      <c r="H42" s="1"/>
      <c r="I42" s="1">
        <f t="shared" si="4"/>
        <v>961</v>
      </c>
      <c r="J42" s="1">
        <f>IF(G42=0,"",RANK(I42,I$4:I$68,0)+COUNTIF(I42:I$68,I42)-1)</f>
        <v>26</v>
      </c>
      <c r="K42" s="1">
        <f t="shared" si="5"/>
        <v>54</v>
      </c>
      <c r="M42" s="8">
        <f t="shared" si="6"/>
        <v>54</v>
      </c>
      <c r="N42" s="9" t="str">
        <f t="shared" si="7"/>
        <v>Stockholm</v>
      </c>
      <c r="S42" s="14">
        <v>39</v>
      </c>
      <c r="T42" s="4" t="s">
        <v>807</v>
      </c>
      <c r="Y42" s="14">
        <f t="shared" si="8"/>
        <v>39</v>
      </c>
      <c r="Z42" s="4" t="s">
        <v>816</v>
      </c>
      <c r="AE42" s="14">
        <v>39</v>
      </c>
      <c r="AF42" s="5" t="s">
        <v>819</v>
      </c>
    </row>
    <row r="43" spans="1:32">
      <c r="A43" s="4">
        <v>40</v>
      </c>
      <c r="B43" s="4" t="s">
        <v>806</v>
      </c>
      <c r="C43" s="4">
        <f t="shared" si="11"/>
        <v>1</v>
      </c>
      <c r="D43" s="4">
        <f t="shared" si="9"/>
        <v>1</v>
      </c>
      <c r="E43" s="4">
        <f t="shared" si="10"/>
        <v>1</v>
      </c>
      <c r="G43" s="1">
        <f t="shared" si="3"/>
        <v>1</v>
      </c>
      <c r="H43" s="1"/>
      <c r="I43" s="1">
        <f t="shared" si="4"/>
        <v>960</v>
      </c>
      <c r="J43" s="1">
        <f>IF(G43=0,"",RANK(I43,I$4:I$68,0)+COUNTIF(I43:I$68,I43)-1)</f>
        <v>27</v>
      </c>
      <c r="K43" s="1">
        <f t="shared" si="5"/>
        <v>55</v>
      </c>
      <c r="M43" s="8">
        <f t="shared" si="6"/>
        <v>55</v>
      </c>
      <c r="N43" s="9" t="str">
        <f t="shared" si="7"/>
        <v>Sydney</v>
      </c>
      <c r="S43" s="14">
        <v>40</v>
      </c>
      <c r="T43" s="4" t="s">
        <v>808</v>
      </c>
      <c r="Y43" s="14">
        <f t="shared" si="8"/>
        <v>40</v>
      </c>
      <c r="Z43" s="4" t="s">
        <v>817</v>
      </c>
      <c r="AE43" s="14">
        <v>40</v>
      </c>
      <c r="AF43" s="5" t="s">
        <v>820</v>
      </c>
    </row>
    <row r="44" spans="1:32">
      <c r="A44" s="4">
        <v>41</v>
      </c>
      <c r="B44" s="4" t="s">
        <v>807</v>
      </c>
      <c r="C44" s="4">
        <f t="shared" si="11"/>
        <v>1</v>
      </c>
      <c r="D44" s="4">
        <f t="shared" si="9"/>
        <v>1</v>
      </c>
      <c r="E44" s="4">
        <f t="shared" si="10"/>
        <v>1</v>
      </c>
      <c r="G44" s="1">
        <f t="shared" si="3"/>
        <v>1</v>
      </c>
      <c r="H44" s="1"/>
      <c r="I44" s="1">
        <f t="shared" si="4"/>
        <v>959</v>
      </c>
      <c r="J44" s="1">
        <f>IF(G44=0,"",RANK(I44,I$4:I$68,0)+COUNTIF(I44:I$68,I44)-1)</f>
        <v>28</v>
      </c>
      <c r="K44" s="1">
        <f t="shared" si="5"/>
        <v>56</v>
      </c>
      <c r="M44" s="8">
        <f t="shared" si="6"/>
        <v>56</v>
      </c>
      <c r="N44" s="9" t="str">
        <f t="shared" si="7"/>
        <v>Taipei</v>
      </c>
      <c r="S44" s="14">
        <v>41</v>
      </c>
      <c r="T44" s="4" t="s">
        <v>1003</v>
      </c>
      <c r="Y44" s="14">
        <f t="shared" si="8"/>
        <v>41</v>
      </c>
      <c r="Z44" s="4" t="s">
        <v>818</v>
      </c>
      <c r="AE44" s="14">
        <v>41</v>
      </c>
      <c r="AF44" s="5" t="s">
        <v>821</v>
      </c>
    </row>
    <row r="45" spans="1:32">
      <c r="A45" s="4">
        <v>42</v>
      </c>
      <c r="B45" s="4" t="s">
        <v>808</v>
      </c>
      <c r="C45" s="4">
        <f t="shared" si="11"/>
        <v>1</v>
      </c>
      <c r="D45" s="4">
        <f t="shared" si="9"/>
        <v>1</v>
      </c>
      <c r="E45" s="4">
        <f t="shared" si="10"/>
        <v>1</v>
      </c>
      <c r="G45" s="1">
        <f t="shared" si="3"/>
        <v>1</v>
      </c>
      <c r="H45" s="1"/>
      <c r="I45" s="1">
        <f t="shared" si="4"/>
        <v>958</v>
      </c>
      <c r="J45" s="1">
        <f>IF(G45=0,"",RANK(I45,I$4:I$68,0)+COUNTIF(I45:I$68,I45)-1)</f>
        <v>29</v>
      </c>
      <c r="K45" s="1">
        <f t="shared" si="5"/>
        <v>57</v>
      </c>
      <c r="M45" s="8">
        <f t="shared" si="6"/>
        <v>57</v>
      </c>
      <c r="N45" s="9" t="str">
        <f t="shared" si="7"/>
        <v>Tehran</v>
      </c>
      <c r="S45" s="14">
        <v>42</v>
      </c>
      <c r="T45" s="4" t="s">
        <v>809</v>
      </c>
      <c r="Y45" s="14">
        <f t="shared" si="8"/>
        <v>42</v>
      </c>
      <c r="Z45" s="4" t="s">
        <v>819</v>
      </c>
      <c r="AE45" s="14">
        <v>42</v>
      </c>
      <c r="AF45" s="5" t="s">
        <v>822</v>
      </c>
    </row>
    <row r="46" spans="1:32">
      <c r="A46" s="4">
        <v>43</v>
      </c>
      <c r="B46" s="4" t="s">
        <v>1003</v>
      </c>
      <c r="C46" s="4">
        <f t="shared" si="11"/>
        <v>1</v>
      </c>
      <c r="D46" s="4">
        <f t="shared" si="9"/>
        <v>0</v>
      </c>
      <c r="E46" s="4">
        <f t="shared" si="10"/>
        <v>0</v>
      </c>
      <c r="G46" s="1">
        <f t="shared" si="3"/>
        <v>0</v>
      </c>
      <c r="H46" s="1"/>
      <c r="I46" s="1" t="str">
        <f t="shared" si="4"/>
        <v/>
      </c>
      <c r="J46" s="1" t="str">
        <f>IF(G46=0,"",RANK(I46,I$4:I$68,0)+COUNTIF(I46:I$68,I46)-1)</f>
        <v/>
      </c>
      <c r="K46" s="1">
        <f t="shared" si="5"/>
        <v>59</v>
      </c>
      <c r="M46" s="8">
        <f t="shared" si="6"/>
        <v>59</v>
      </c>
      <c r="N46" s="9" t="str">
        <f t="shared" si="7"/>
        <v>Tokyo</v>
      </c>
      <c r="S46" s="14">
        <v>43</v>
      </c>
      <c r="T46" s="4" t="s">
        <v>810</v>
      </c>
      <c r="Y46" s="14">
        <f t="shared" si="8"/>
        <v>43</v>
      </c>
      <c r="Z46" s="4" t="s">
        <v>820</v>
      </c>
      <c r="AE46" s="14">
        <v>43</v>
      </c>
      <c r="AF46" s="5" t="s">
        <v>824</v>
      </c>
    </row>
    <row r="47" spans="1:32">
      <c r="A47" s="4">
        <v>44</v>
      </c>
      <c r="B47" s="4" t="s">
        <v>809</v>
      </c>
      <c r="C47" s="4">
        <f t="shared" si="11"/>
        <v>1</v>
      </c>
      <c r="D47" s="4">
        <f t="shared" si="9"/>
        <v>1</v>
      </c>
      <c r="E47" s="4">
        <f t="shared" si="10"/>
        <v>1</v>
      </c>
      <c r="G47" s="1">
        <f t="shared" si="3"/>
        <v>1</v>
      </c>
      <c r="H47" s="1"/>
      <c r="I47" s="1">
        <f t="shared" si="4"/>
        <v>956</v>
      </c>
      <c r="J47" s="1">
        <f>IF(G47=0,"",RANK(I47,I$4:I$68,0)+COUNTIF(I47:I$68,I47)-1)</f>
        <v>30</v>
      </c>
      <c r="K47" s="1">
        <f t="shared" si="5"/>
        <v>60</v>
      </c>
      <c r="M47" s="8">
        <f t="shared" si="6"/>
        <v>60</v>
      </c>
      <c r="N47" s="9" t="str">
        <f t="shared" si="7"/>
        <v>Toronto</v>
      </c>
      <c r="S47" s="14">
        <v>44</v>
      </c>
      <c r="T47" s="4" t="s">
        <v>811</v>
      </c>
      <c r="Y47" s="14">
        <f t="shared" si="8"/>
        <v>44</v>
      </c>
      <c r="Z47" s="4" t="s">
        <v>821</v>
      </c>
      <c r="AE47" s="14">
        <v>44</v>
      </c>
      <c r="AF47" s="5" t="s">
        <v>825</v>
      </c>
    </row>
    <row r="48" spans="1:32">
      <c r="A48" s="4">
        <v>45</v>
      </c>
      <c r="B48" s="4" t="s">
        <v>810</v>
      </c>
      <c r="C48" s="4">
        <f t="shared" si="11"/>
        <v>1</v>
      </c>
      <c r="D48" s="4">
        <f t="shared" si="9"/>
        <v>1</v>
      </c>
      <c r="E48" s="4">
        <f t="shared" si="10"/>
        <v>1</v>
      </c>
      <c r="G48" s="1">
        <f t="shared" si="3"/>
        <v>1</v>
      </c>
      <c r="H48" s="1"/>
      <c r="I48" s="1">
        <f t="shared" si="4"/>
        <v>955</v>
      </c>
      <c r="J48" s="1">
        <f>IF(G48=0,"",RANK(I48,I$4:I$68,0)+COUNTIF(I48:I$68,I48)-1)</f>
        <v>31</v>
      </c>
      <c r="K48" s="1">
        <f t="shared" si="5"/>
        <v>61</v>
      </c>
      <c r="M48" s="8">
        <f t="shared" si="6"/>
        <v>61</v>
      </c>
      <c r="N48" s="9" t="str">
        <f t="shared" si="7"/>
        <v>Washington DC</v>
      </c>
      <c r="S48" s="14">
        <v>45</v>
      </c>
      <c r="T48" s="4" t="s">
        <v>812</v>
      </c>
      <c r="Y48" s="14">
        <f t="shared" si="8"/>
        <v>45</v>
      </c>
      <c r="Z48" s="4" t="s">
        <v>822</v>
      </c>
      <c r="AE48" s="14">
        <v>45</v>
      </c>
      <c r="AF48" s="5" t="s">
        <v>826</v>
      </c>
    </row>
    <row r="49" spans="1:32">
      <c r="A49" s="4">
        <v>46</v>
      </c>
      <c r="B49" s="4" t="s">
        <v>811</v>
      </c>
      <c r="C49" s="4">
        <f t="shared" si="11"/>
        <v>1</v>
      </c>
      <c r="D49" s="4">
        <f t="shared" si="9"/>
        <v>1</v>
      </c>
      <c r="E49" s="4">
        <f t="shared" si="10"/>
        <v>1</v>
      </c>
      <c r="G49" s="1">
        <f t="shared" si="3"/>
        <v>1</v>
      </c>
      <c r="H49" s="1"/>
      <c r="I49" s="1">
        <f t="shared" si="4"/>
        <v>954</v>
      </c>
      <c r="J49" s="1">
        <f>IF(G49=0,"",RANK(I49,I$4:I$68,0)+COUNTIF(I49:I$68,I49)-1)</f>
        <v>32</v>
      </c>
      <c r="K49" s="1">
        <f t="shared" si="5"/>
        <v>64</v>
      </c>
      <c r="M49" s="8">
        <f t="shared" si="6"/>
        <v>64</v>
      </c>
      <c r="N49" s="9" t="str">
        <f t="shared" si="7"/>
        <v>Zurich</v>
      </c>
      <c r="S49" s="14">
        <v>46</v>
      </c>
      <c r="T49" s="4" t="s">
        <v>813</v>
      </c>
      <c r="Y49" s="14">
        <f t="shared" si="8"/>
        <v>46</v>
      </c>
      <c r="Z49" s="4" t="s">
        <v>823</v>
      </c>
      <c r="AE49" s="14">
        <v>46</v>
      </c>
      <c r="AF49" s="5" t="s">
        <v>827</v>
      </c>
    </row>
    <row r="50" spans="1:26">
      <c r="A50" s="4">
        <v>47</v>
      </c>
      <c r="B50" s="4" t="s">
        <v>812</v>
      </c>
      <c r="C50" s="4">
        <f t="shared" si="11"/>
        <v>1</v>
      </c>
      <c r="D50" s="4">
        <f t="shared" si="9"/>
        <v>1</v>
      </c>
      <c r="E50" s="4">
        <f t="shared" si="10"/>
        <v>1</v>
      </c>
      <c r="G50" s="1">
        <f t="shared" si="3"/>
        <v>1</v>
      </c>
      <c r="H50" s="1"/>
      <c r="I50" s="1">
        <f t="shared" si="4"/>
        <v>953</v>
      </c>
      <c r="J50" s="1">
        <f>IF(G50=0,"",RANK(I50,I$4:I$68,0)+COUNTIF(I50:I$68,I50)-1)</f>
        <v>33</v>
      </c>
      <c r="K50" s="1" t="e">
        <f t="shared" si="5"/>
        <v>#N/A</v>
      </c>
      <c r="M50" s="8" t="str">
        <f t="shared" si="6"/>
        <v/>
      </c>
      <c r="N50" s="9" t="str">
        <f t="shared" si="7"/>
        <v/>
      </c>
      <c r="S50" s="14">
        <v>47</v>
      </c>
      <c r="T50" s="4" t="s">
        <v>814</v>
      </c>
      <c r="Y50" s="14">
        <f t="shared" si="8"/>
        <v>47</v>
      </c>
      <c r="Z50" s="4" t="s">
        <v>824</v>
      </c>
    </row>
    <row r="51" spans="1:26">
      <c r="A51" s="4">
        <v>48</v>
      </c>
      <c r="B51" s="4" t="s">
        <v>813</v>
      </c>
      <c r="C51" s="4">
        <f t="shared" si="11"/>
        <v>1</v>
      </c>
      <c r="D51" s="4">
        <f t="shared" si="9"/>
        <v>1</v>
      </c>
      <c r="E51" s="4">
        <f t="shared" si="10"/>
        <v>1</v>
      </c>
      <c r="G51" s="1">
        <f t="shared" si="3"/>
        <v>1</v>
      </c>
      <c r="H51" s="1"/>
      <c r="I51" s="1">
        <f t="shared" si="4"/>
        <v>952</v>
      </c>
      <c r="J51" s="1">
        <f>IF(G51=0,"",RANK(I51,I$4:I$68,0)+COUNTIF(I51:I$68,I51)-1)</f>
        <v>34</v>
      </c>
      <c r="K51" s="1" t="e">
        <f t="shared" si="5"/>
        <v>#N/A</v>
      </c>
      <c r="M51" s="8" t="str">
        <f t="shared" si="6"/>
        <v/>
      </c>
      <c r="N51" s="9" t="str">
        <f t="shared" si="7"/>
        <v/>
      </c>
      <c r="S51" s="14">
        <v>48</v>
      </c>
      <c r="T51" s="4" t="s">
        <v>815</v>
      </c>
      <c r="Y51" s="14">
        <f t="shared" si="8"/>
        <v>48</v>
      </c>
      <c r="Z51" s="4" t="s">
        <v>825</v>
      </c>
    </row>
    <row r="52" spans="1:26">
      <c r="A52" s="4">
        <v>49</v>
      </c>
      <c r="B52" s="4" t="s">
        <v>814</v>
      </c>
      <c r="C52" s="4">
        <f t="shared" si="11"/>
        <v>1</v>
      </c>
      <c r="D52" s="4">
        <f t="shared" si="9"/>
        <v>1</v>
      </c>
      <c r="E52" s="4">
        <f t="shared" si="10"/>
        <v>1</v>
      </c>
      <c r="G52" s="1">
        <f t="shared" si="3"/>
        <v>1</v>
      </c>
      <c r="H52" s="1"/>
      <c r="I52" s="1">
        <f t="shared" si="4"/>
        <v>951</v>
      </c>
      <c r="J52" s="1">
        <f>IF(G52=0,"",RANK(I52,I$4:I$68,0)+COUNTIF(I52:I$68,I52)-1)</f>
        <v>35</v>
      </c>
      <c r="K52" s="1" t="e">
        <f t="shared" si="5"/>
        <v>#N/A</v>
      </c>
      <c r="M52" s="8" t="str">
        <f t="shared" si="6"/>
        <v/>
      </c>
      <c r="N52" s="9" t="str">
        <f t="shared" si="7"/>
        <v/>
      </c>
      <c r="S52" s="14">
        <v>49</v>
      </c>
      <c r="T52" s="4" t="s">
        <v>816</v>
      </c>
      <c r="Y52" s="14">
        <f t="shared" si="8"/>
        <v>49</v>
      </c>
      <c r="Z52" s="4" t="s">
        <v>826</v>
      </c>
    </row>
    <row r="53" spans="1:26">
      <c r="A53" s="4">
        <v>50</v>
      </c>
      <c r="B53" s="4" t="s">
        <v>815</v>
      </c>
      <c r="C53" s="4">
        <f t="shared" si="11"/>
        <v>1</v>
      </c>
      <c r="D53" s="4">
        <f t="shared" si="9"/>
        <v>1</v>
      </c>
      <c r="E53" s="4">
        <f t="shared" si="10"/>
        <v>1</v>
      </c>
      <c r="G53" s="1">
        <f t="shared" si="3"/>
        <v>1</v>
      </c>
      <c r="H53" s="1"/>
      <c r="I53" s="1">
        <f t="shared" si="4"/>
        <v>950</v>
      </c>
      <c r="J53" s="1">
        <f>IF(G53=0,"",RANK(I53,I$4:I$68,0)+COUNTIF(I53:I$68,I53)-1)</f>
        <v>36</v>
      </c>
      <c r="K53" s="1" t="e">
        <f t="shared" si="5"/>
        <v>#N/A</v>
      </c>
      <c r="M53" s="8" t="str">
        <f t="shared" si="6"/>
        <v/>
      </c>
      <c r="N53" s="9" t="str">
        <f t="shared" si="7"/>
        <v/>
      </c>
      <c r="S53" s="14">
        <v>50</v>
      </c>
      <c r="T53" s="4" t="s">
        <v>818</v>
      </c>
      <c r="Y53" s="14">
        <f t="shared" si="8"/>
        <v>50</v>
      </c>
      <c r="Z53" s="4" t="s">
        <v>827</v>
      </c>
    </row>
    <row r="54" spans="1:20">
      <c r="A54" s="4">
        <v>51</v>
      </c>
      <c r="B54" s="4" t="s">
        <v>816</v>
      </c>
      <c r="C54" s="4">
        <f t="shared" si="11"/>
        <v>1</v>
      </c>
      <c r="D54" s="4">
        <f t="shared" si="9"/>
        <v>1</v>
      </c>
      <c r="E54" s="4">
        <f t="shared" si="10"/>
        <v>1</v>
      </c>
      <c r="G54" s="1">
        <f t="shared" si="3"/>
        <v>1</v>
      </c>
      <c r="H54" s="1"/>
      <c r="I54" s="1">
        <f t="shared" si="4"/>
        <v>949</v>
      </c>
      <c r="J54" s="1">
        <f>IF(G54=0,"",RANK(I54,I$4:I$68,0)+COUNTIF(I54:I$68,I54)-1)</f>
        <v>37</v>
      </c>
      <c r="K54" s="1" t="e">
        <f t="shared" si="5"/>
        <v>#N/A</v>
      </c>
      <c r="M54" s="8" t="str">
        <f t="shared" si="6"/>
        <v/>
      </c>
      <c r="N54" s="9" t="str">
        <f t="shared" si="7"/>
        <v/>
      </c>
      <c r="S54" s="14">
        <v>51</v>
      </c>
      <c r="T54" s="4" t="s">
        <v>819</v>
      </c>
    </row>
    <row r="55" spans="1:20">
      <c r="A55" s="4">
        <v>52</v>
      </c>
      <c r="B55" s="4" t="s">
        <v>817</v>
      </c>
      <c r="C55" s="4">
        <f t="shared" si="11"/>
        <v>0</v>
      </c>
      <c r="D55" s="4">
        <f t="shared" si="9"/>
        <v>1</v>
      </c>
      <c r="E55" s="4">
        <f t="shared" si="10"/>
        <v>0</v>
      </c>
      <c r="G55" s="1">
        <f t="shared" si="3"/>
        <v>0</v>
      </c>
      <c r="H55" s="1"/>
      <c r="I55" s="1" t="str">
        <f t="shared" si="4"/>
        <v/>
      </c>
      <c r="J55" s="1" t="str">
        <f>IF(G55=0,"",RANK(I55,I$4:I$68,0)+COUNTIF(I55:I$68,I55)-1)</f>
        <v/>
      </c>
      <c r="K55" s="1" t="e">
        <f t="shared" si="5"/>
        <v>#N/A</v>
      </c>
      <c r="M55" s="8" t="str">
        <f t="shared" si="6"/>
        <v/>
      </c>
      <c r="N55" s="9" t="str">
        <f t="shared" si="7"/>
        <v/>
      </c>
      <c r="S55" s="14">
        <v>52</v>
      </c>
      <c r="T55" s="4" t="s">
        <v>820</v>
      </c>
    </row>
    <row r="56" spans="1:20">
      <c r="A56" s="4">
        <v>53</v>
      </c>
      <c r="B56" s="4" t="s">
        <v>818</v>
      </c>
      <c r="C56" s="4">
        <f t="shared" ref="C56:C68" si="12">IF(ISNA(VLOOKUP(B56,$T$4:$T$67,1,FALSE)),0,1)</f>
        <v>1</v>
      </c>
      <c r="D56" s="4">
        <f t="shared" ref="D56:D68" si="13">IF(ISNA(VLOOKUP(B56,$Z$4:$Z$68,1,FALSE)),0,1)</f>
        <v>1</v>
      </c>
      <c r="E56" s="4">
        <f t="shared" ref="E56:E68" si="14">IF(ISNA(VLOOKUP(B56,$AF$4:$AF$68,1,FALSE)),0,1)</f>
        <v>1</v>
      </c>
      <c r="G56" s="1">
        <f t="shared" si="3"/>
        <v>1</v>
      </c>
      <c r="H56" s="1"/>
      <c r="I56" s="1">
        <f t="shared" si="4"/>
        <v>947</v>
      </c>
      <c r="J56" s="1">
        <f>IF(G56=0,"",RANK(I56,I$4:I$68,0)+COUNTIF(I56:I$68,I56)-1)</f>
        <v>38</v>
      </c>
      <c r="K56" s="1" t="e">
        <f t="shared" si="5"/>
        <v>#N/A</v>
      </c>
      <c r="M56" s="8" t="str">
        <f t="shared" si="6"/>
        <v/>
      </c>
      <c r="N56" s="9" t="str">
        <f t="shared" si="7"/>
        <v/>
      </c>
      <c r="S56" s="14">
        <v>53</v>
      </c>
      <c r="T56" s="4" t="s">
        <v>821</v>
      </c>
    </row>
    <row r="57" spans="1:20">
      <c r="A57" s="4">
        <v>54</v>
      </c>
      <c r="B57" s="4" t="s">
        <v>819</v>
      </c>
      <c r="C57" s="4">
        <f t="shared" si="12"/>
        <v>1</v>
      </c>
      <c r="D57" s="4">
        <f t="shared" si="13"/>
        <v>1</v>
      </c>
      <c r="E57" s="4">
        <f t="shared" si="14"/>
        <v>1</v>
      </c>
      <c r="G57" s="1">
        <f t="shared" si="3"/>
        <v>1</v>
      </c>
      <c r="H57" s="1"/>
      <c r="I57" s="1">
        <f t="shared" si="4"/>
        <v>946</v>
      </c>
      <c r="J57" s="1">
        <f>IF(G57=0,"",RANK(I57,I$4:I$68,0)+COUNTIF(I57:I$68,I57)-1)</f>
        <v>39</v>
      </c>
      <c r="K57" s="1" t="e">
        <f t="shared" si="5"/>
        <v>#N/A</v>
      </c>
      <c r="M57" s="8" t="str">
        <f t="shared" si="6"/>
        <v/>
      </c>
      <c r="N57" s="9" t="str">
        <f t="shared" si="7"/>
        <v/>
      </c>
      <c r="S57" s="14">
        <v>54</v>
      </c>
      <c r="T57" s="4" t="s">
        <v>822</v>
      </c>
    </row>
    <row r="58" spans="1:20">
      <c r="A58" s="4">
        <v>55</v>
      </c>
      <c r="B58" s="4" t="s">
        <v>820</v>
      </c>
      <c r="C58" s="4">
        <f t="shared" si="12"/>
        <v>1</v>
      </c>
      <c r="D58" s="4">
        <f t="shared" si="13"/>
        <v>1</v>
      </c>
      <c r="E58" s="4">
        <f t="shared" si="14"/>
        <v>1</v>
      </c>
      <c r="G58" s="1">
        <f t="shared" si="3"/>
        <v>1</v>
      </c>
      <c r="H58" s="1"/>
      <c r="I58" s="1">
        <f t="shared" si="4"/>
        <v>945</v>
      </c>
      <c r="J58" s="1">
        <f>IF(G58=0,"",RANK(I58,I$4:I$68,0)+COUNTIF(I58:I$68,I58)-1)</f>
        <v>40</v>
      </c>
      <c r="K58" s="1" t="e">
        <f t="shared" si="5"/>
        <v>#N/A</v>
      </c>
      <c r="M58" s="8" t="str">
        <f t="shared" si="6"/>
        <v/>
      </c>
      <c r="N58" s="9" t="str">
        <f t="shared" si="7"/>
        <v/>
      </c>
      <c r="S58" s="14">
        <v>55</v>
      </c>
      <c r="T58" s="4" t="s">
        <v>824</v>
      </c>
    </row>
    <row r="59" spans="1:20">
      <c r="A59" s="4">
        <v>56</v>
      </c>
      <c r="B59" s="4" t="s">
        <v>821</v>
      </c>
      <c r="C59" s="4">
        <f t="shared" si="12"/>
        <v>1</v>
      </c>
      <c r="D59" s="4">
        <f t="shared" si="13"/>
        <v>1</v>
      </c>
      <c r="E59" s="4">
        <f t="shared" si="14"/>
        <v>1</v>
      </c>
      <c r="G59" s="1">
        <f t="shared" si="3"/>
        <v>1</v>
      </c>
      <c r="H59" s="1"/>
      <c r="I59" s="1">
        <f t="shared" si="4"/>
        <v>944</v>
      </c>
      <c r="J59" s="1">
        <f>IF(G59=0,"",RANK(I59,I$4:I$68,0)+COUNTIF(I59:I$68,I59)-1)</f>
        <v>41</v>
      </c>
      <c r="K59" s="1" t="e">
        <f t="shared" si="5"/>
        <v>#N/A</v>
      </c>
      <c r="M59" s="8" t="str">
        <f t="shared" si="6"/>
        <v/>
      </c>
      <c r="N59" s="9" t="str">
        <f t="shared" si="7"/>
        <v/>
      </c>
      <c r="S59" s="14">
        <v>56</v>
      </c>
      <c r="T59" s="4" t="s">
        <v>825</v>
      </c>
    </row>
    <row r="60" spans="1:20">
      <c r="A60" s="4">
        <v>57</v>
      </c>
      <c r="B60" s="4" t="s">
        <v>822</v>
      </c>
      <c r="C60" s="4">
        <f t="shared" si="12"/>
        <v>1</v>
      </c>
      <c r="D60" s="4">
        <f t="shared" si="13"/>
        <v>1</v>
      </c>
      <c r="E60" s="4">
        <f t="shared" si="14"/>
        <v>1</v>
      </c>
      <c r="G60" s="1">
        <f t="shared" si="3"/>
        <v>1</v>
      </c>
      <c r="H60" s="1"/>
      <c r="I60" s="1">
        <f t="shared" si="4"/>
        <v>943</v>
      </c>
      <c r="J60" s="1">
        <f>IF(G60=0,"",RANK(I60,I$4:I$68,0)+COUNTIF(I60:I$68,I60)-1)</f>
        <v>42</v>
      </c>
      <c r="K60" s="1" t="e">
        <f t="shared" si="5"/>
        <v>#N/A</v>
      </c>
      <c r="M60" s="8" t="str">
        <f t="shared" si="6"/>
        <v/>
      </c>
      <c r="N60" s="9" t="str">
        <f t="shared" si="7"/>
        <v/>
      </c>
      <c r="S60" s="14">
        <v>57</v>
      </c>
      <c r="T60" s="4" t="s">
        <v>826</v>
      </c>
    </row>
    <row r="61" spans="1:20">
      <c r="A61" s="4">
        <v>58</v>
      </c>
      <c r="B61" s="4" t="s">
        <v>823</v>
      </c>
      <c r="C61" s="4">
        <f t="shared" si="12"/>
        <v>0</v>
      </c>
      <c r="D61" s="4">
        <f t="shared" si="13"/>
        <v>1</v>
      </c>
      <c r="E61" s="4">
        <f t="shared" si="14"/>
        <v>0</v>
      </c>
      <c r="G61" s="1">
        <f t="shared" si="3"/>
        <v>0</v>
      </c>
      <c r="H61" s="1"/>
      <c r="I61" s="1" t="str">
        <f t="shared" si="4"/>
        <v/>
      </c>
      <c r="J61" s="1" t="str">
        <f>IF(G61=0,"",RANK(I61,I$4:I$68,0)+COUNTIF(I61:I$68,I61)-1)</f>
        <v/>
      </c>
      <c r="K61" s="1" t="e">
        <f t="shared" si="5"/>
        <v>#N/A</v>
      </c>
      <c r="M61" s="8" t="str">
        <f t="shared" si="6"/>
        <v/>
      </c>
      <c r="N61" s="9" t="str">
        <f t="shared" si="7"/>
        <v/>
      </c>
      <c r="S61" s="14">
        <v>58</v>
      </c>
      <c r="T61" s="4" t="s">
        <v>1004</v>
      </c>
    </row>
    <row r="62" spans="1:20">
      <c r="A62" s="4">
        <v>59</v>
      </c>
      <c r="B62" s="4" t="s">
        <v>824</v>
      </c>
      <c r="C62" s="4">
        <f t="shared" si="12"/>
        <v>1</v>
      </c>
      <c r="D62" s="4">
        <f t="shared" si="13"/>
        <v>1</v>
      </c>
      <c r="E62" s="4">
        <f t="shared" si="14"/>
        <v>1</v>
      </c>
      <c r="G62" s="1">
        <f t="shared" si="3"/>
        <v>1</v>
      </c>
      <c r="H62" s="1"/>
      <c r="I62" s="1">
        <f t="shared" si="4"/>
        <v>941</v>
      </c>
      <c r="J62" s="1">
        <f>IF(G62=0,"",RANK(I62,I$4:I$68,0)+COUNTIF(I62:I$68,I62)-1)</f>
        <v>43</v>
      </c>
      <c r="K62" s="1" t="e">
        <f t="shared" si="5"/>
        <v>#N/A</v>
      </c>
      <c r="M62" s="8" t="str">
        <f t="shared" si="6"/>
        <v/>
      </c>
      <c r="N62" s="9" t="str">
        <f t="shared" si="7"/>
        <v/>
      </c>
      <c r="S62" s="14">
        <v>59</v>
      </c>
      <c r="T62" s="4" t="s">
        <v>1005</v>
      </c>
    </row>
    <row r="63" spans="1:20">
      <c r="A63" s="4">
        <v>60</v>
      </c>
      <c r="B63" s="4" t="s">
        <v>825</v>
      </c>
      <c r="C63" s="4">
        <f t="shared" si="12"/>
        <v>1</v>
      </c>
      <c r="D63" s="4">
        <f t="shared" si="13"/>
        <v>1</v>
      </c>
      <c r="E63" s="4">
        <f t="shared" si="14"/>
        <v>1</v>
      </c>
      <c r="G63" s="1">
        <f t="shared" si="3"/>
        <v>1</v>
      </c>
      <c r="H63" s="1"/>
      <c r="I63" s="1">
        <f t="shared" si="4"/>
        <v>940</v>
      </c>
      <c r="J63" s="1">
        <f>IF(G63=0,"",RANK(I63,I$4:I$68,0)+COUNTIF(I63:I$68,I63)-1)</f>
        <v>44</v>
      </c>
      <c r="K63" s="1" t="e">
        <f t="shared" si="5"/>
        <v>#N/A</v>
      </c>
      <c r="M63" s="8" t="str">
        <f t="shared" si="6"/>
        <v/>
      </c>
      <c r="N63" s="9" t="str">
        <f t="shared" si="7"/>
        <v/>
      </c>
      <c r="S63" s="14">
        <v>60</v>
      </c>
      <c r="T63" s="4" t="s">
        <v>827</v>
      </c>
    </row>
    <row r="64" spans="1:20">
      <c r="A64" s="4">
        <v>61</v>
      </c>
      <c r="B64" s="4" t="s">
        <v>826</v>
      </c>
      <c r="C64" s="4">
        <f t="shared" si="12"/>
        <v>1</v>
      </c>
      <c r="D64" s="4">
        <f t="shared" si="13"/>
        <v>1</v>
      </c>
      <c r="E64" s="4">
        <f t="shared" si="14"/>
        <v>1</v>
      </c>
      <c r="G64" s="1">
        <f t="shared" si="3"/>
        <v>1</v>
      </c>
      <c r="H64" s="1"/>
      <c r="I64" s="1">
        <f t="shared" si="4"/>
        <v>939</v>
      </c>
      <c r="J64" s="1">
        <f>IF(G64=0,"",RANK(I64,I$4:I$68,0)+COUNTIF(I64:I$68,I64)-1)</f>
        <v>45</v>
      </c>
      <c r="K64" s="1" t="e">
        <f t="shared" si="5"/>
        <v>#N/A</v>
      </c>
      <c r="M64" s="8" t="str">
        <f t="shared" si="6"/>
        <v/>
      </c>
      <c r="N64" s="9" t="str">
        <f t="shared" si="7"/>
        <v/>
      </c>
      <c r="S64" s="14">
        <v>61</v>
      </c>
      <c r="T64" s="4" t="s">
        <v>1006</v>
      </c>
    </row>
    <row r="65" spans="1:14">
      <c r="A65" s="4">
        <v>62</v>
      </c>
      <c r="B65" s="4" t="s">
        <v>1004</v>
      </c>
      <c r="C65" s="4">
        <f t="shared" si="12"/>
        <v>1</v>
      </c>
      <c r="D65" s="4">
        <f t="shared" si="13"/>
        <v>0</v>
      </c>
      <c r="E65" s="4">
        <f t="shared" si="14"/>
        <v>0</v>
      </c>
      <c r="G65" s="1">
        <f t="shared" si="3"/>
        <v>0</v>
      </c>
      <c r="H65" s="1"/>
      <c r="I65" s="1" t="str">
        <f t="shared" si="4"/>
        <v/>
      </c>
      <c r="J65" s="1" t="str">
        <f>IF(G65=0,"",RANK(I65,I$4:I$68,0)+COUNTIF(I65:I$68,I65)-1)</f>
        <v/>
      </c>
      <c r="K65" s="1" t="e">
        <f t="shared" si="5"/>
        <v>#N/A</v>
      </c>
      <c r="M65" s="8" t="str">
        <f t="shared" si="6"/>
        <v/>
      </c>
      <c r="N65" s="9" t="str">
        <f t="shared" si="7"/>
        <v/>
      </c>
    </row>
    <row r="66" spans="1:14">
      <c r="A66" s="4">
        <v>63</v>
      </c>
      <c r="B66" s="4" t="s">
        <v>1005</v>
      </c>
      <c r="C66" s="4">
        <f t="shared" si="12"/>
        <v>1</v>
      </c>
      <c r="D66" s="4">
        <f t="shared" si="13"/>
        <v>0</v>
      </c>
      <c r="E66" s="4">
        <f t="shared" si="14"/>
        <v>0</v>
      </c>
      <c r="G66" s="1">
        <f t="shared" si="3"/>
        <v>0</v>
      </c>
      <c r="H66" s="1"/>
      <c r="I66" s="1" t="str">
        <f t="shared" si="4"/>
        <v/>
      </c>
      <c r="J66" s="1" t="str">
        <f>IF(G66=0,"",RANK(I66,I$4:I$68,0)+COUNTIF(I66:I$68,I66)-1)</f>
        <v/>
      </c>
      <c r="K66" s="1" t="e">
        <f t="shared" si="5"/>
        <v>#N/A</v>
      </c>
      <c r="M66" s="8" t="str">
        <f t="shared" si="6"/>
        <v/>
      </c>
      <c r="N66" s="9" t="str">
        <f t="shared" si="7"/>
        <v/>
      </c>
    </row>
    <row r="67" spans="1:14">
      <c r="A67" s="4">
        <v>64</v>
      </c>
      <c r="B67" s="4" t="s">
        <v>827</v>
      </c>
      <c r="C67" s="4">
        <f t="shared" si="12"/>
        <v>1</v>
      </c>
      <c r="D67" s="4">
        <f t="shared" si="13"/>
        <v>1</v>
      </c>
      <c r="E67" s="4">
        <f t="shared" si="14"/>
        <v>1</v>
      </c>
      <c r="G67" s="1">
        <f t="shared" si="3"/>
        <v>1</v>
      </c>
      <c r="H67" s="1"/>
      <c r="I67" s="1">
        <f t="shared" ref="I67:I68" si="15">IF(G67=0,"",1000-A67)</f>
        <v>936</v>
      </c>
      <c r="J67" s="1">
        <f>IF(G67=0,"",RANK(I67,I$4:I$68,0)+COUNTIF(I67:I$68,I67)-1)</f>
        <v>46</v>
      </c>
      <c r="K67" s="1" t="e">
        <f t="shared" si="5"/>
        <v>#N/A</v>
      </c>
      <c r="M67" s="8" t="str">
        <f t="shared" si="6"/>
        <v/>
      </c>
      <c r="N67" s="9" t="str">
        <f t="shared" si="7"/>
        <v/>
      </c>
    </row>
    <row r="68" spans="1:14">
      <c r="A68" s="4">
        <v>65</v>
      </c>
      <c r="B68" s="4" t="s">
        <v>1006</v>
      </c>
      <c r="C68" s="4">
        <f t="shared" si="12"/>
        <v>1</v>
      </c>
      <c r="D68" s="4">
        <f t="shared" si="13"/>
        <v>0</v>
      </c>
      <c r="E68" s="4">
        <f t="shared" si="14"/>
        <v>0</v>
      </c>
      <c r="G68" s="1">
        <f t="shared" si="3"/>
        <v>0</v>
      </c>
      <c r="H68" s="1"/>
      <c r="I68" s="1" t="str">
        <f t="shared" si="15"/>
        <v/>
      </c>
      <c r="J68" s="1" t="str">
        <f>IF(G68=0,"",RANK(I68,I$4:I$68,0)+COUNTIF(I68:I$68,I68)-1)</f>
        <v/>
      </c>
      <c r="K68" s="1" t="e">
        <f t="shared" si="5"/>
        <v>#N/A</v>
      </c>
      <c r="M68" s="8" t="str">
        <f t="shared" si="6"/>
        <v/>
      </c>
      <c r="N68" s="9" t="str">
        <f t="shared" si="7"/>
        <v/>
      </c>
    </row>
  </sheetData>
  <sortState ref="AF4:AF44">
    <sortCondition ref="AF4"/>
  </sortState>
  <pageMargins left="0.551181102362205" right="0.551181102362205" top="0.590551181102362" bottom="0.78740157480315" header="0.511811023622047" footer="0.511811023622047"/>
  <pageSetup paperSize="9" scale="32" orientation="landscape"/>
  <headerFooter alignWithMargins="0">
    <oddHeader>&amp;RSafe Cities Index : 2017</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C000"/>
    <pageSetUpPr fitToPage="1"/>
  </sheetPr>
  <dimension ref="A1:BA280"/>
  <sheetViews>
    <sheetView showRowColHeaders="0" zoomScale="90" zoomScaleNormal="90" workbookViewId="0">
      <pane xSplit="1" ySplit="3" topLeftCell="B239" activePane="bottomRight" state="frozen"/>
      <selection/>
      <selection pane="topRight"/>
      <selection pane="bottomLeft"/>
      <selection pane="bottomRight" activeCell="A280" sqref="A280"/>
    </sheetView>
  </sheetViews>
  <sheetFormatPr defaultColWidth="9" defaultRowHeight="11.25"/>
  <cols>
    <col min="1" max="1" width="74.2857142857143" style="1" customWidth="1"/>
    <col min="2" max="16384" width="9.14285714285714" style="1"/>
  </cols>
  <sheetData>
    <row r="1" ht="12" spans="1:51">
      <c r="A1" s="2">
        <v>2</v>
      </c>
      <c r="B1" s="1" t="str">
        <f>Scores_2014_O!P5</f>
        <v>Abu Dhabi</v>
      </c>
      <c r="C1" s="1" t="str">
        <f>Scores_2014_O!Q5</f>
        <v>Amsterdam</v>
      </c>
      <c r="D1" s="1" t="str">
        <f>Scores_2014_O!R5</f>
        <v>Bangkok</v>
      </c>
      <c r="E1" s="1" t="str">
        <f>Scores_2014_O!S5</f>
        <v>Barcelona</v>
      </c>
      <c r="F1" s="1" t="str">
        <f>Scores_2014_O!T5</f>
        <v>Beijing</v>
      </c>
      <c r="G1" s="1" t="str">
        <f>Scores_2014_O!U5</f>
        <v>Brussels</v>
      </c>
      <c r="H1" s="1" t="str">
        <f>Scores_2014_O!V5</f>
        <v>Buenos Aires</v>
      </c>
      <c r="I1" s="1" t="str">
        <f>Scores_2014_O!W5</f>
        <v>Chicago</v>
      </c>
      <c r="J1" s="1" t="str">
        <f>Scores_2014_O!X5</f>
        <v>Delhi</v>
      </c>
      <c r="K1" s="1" t="str">
        <f>Scores_2014_O!Y5</f>
        <v>Doha</v>
      </c>
      <c r="L1" s="1" t="str">
        <f>Scores_2014_O!Z5</f>
        <v>Frankfurt</v>
      </c>
      <c r="M1" s="1" t="str">
        <f>Scores_2014_O!AA5</f>
        <v>Guangzhou</v>
      </c>
      <c r="N1" s="1" t="str">
        <f>Scores_2014_O!AB5</f>
        <v>Ho Chi Minh City</v>
      </c>
      <c r="O1" s="1" t="str">
        <f>Scores_2014_O!AC5</f>
        <v>Hong Kong</v>
      </c>
      <c r="P1" s="1" t="str">
        <f>Scores_2014_O!AD5</f>
        <v>Istanbul</v>
      </c>
      <c r="Q1" s="1" t="str">
        <f>Scores_2014_O!AE5</f>
        <v>Jakarta</v>
      </c>
      <c r="R1" s="1" t="str">
        <f>Scores_2014_O!AF5</f>
        <v>Johannesburg</v>
      </c>
      <c r="S1" s="1" t="str">
        <f>Scores_2014_O!AG5</f>
        <v>Kuwait City</v>
      </c>
      <c r="T1" s="1" t="str">
        <f>Scores_2014_O!AH5</f>
        <v>Lima</v>
      </c>
      <c r="U1" s="1" t="str">
        <f>Scores_2014_O!AI5</f>
        <v>London</v>
      </c>
      <c r="V1" s="1" t="str">
        <f>Scores_2014_O!AJ5</f>
        <v>Los Angeles</v>
      </c>
      <c r="W1" s="1" t="str">
        <f>Scores_2014_O!AK5</f>
        <v>Madrid</v>
      </c>
      <c r="X1" s="1" t="str">
        <f>Scores_2014_O!AL5</f>
        <v>Melbourne</v>
      </c>
      <c r="Y1" s="1" t="str">
        <f>Scores_2014_O!AM5</f>
        <v>Mexico City</v>
      </c>
      <c r="Z1" s="1" t="str">
        <f>Scores_2014_O!AN5</f>
        <v>Milan</v>
      </c>
      <c r="AA1" s="1" t="str">
        <f>Scores_2014_O!AO5</f>
        <v>Montreal</v>
      </c>
      <c r="AB1" s="1" t="str">
        <f>Scores_2014_O!AP5</f>
        <v>Moscow</v>
      </c>
      <c r="AC1" s="1" t="str">
        <f>Scores_2014_O!AQ5</f>
        <v>Mumbai</v>
      </c>
      <c r="AD1" s="1" t="str">
        <f>Scores_2014_O!AR5</f>
        <v>New York</v>
      </c>
      <c r="AE1" s="1" t="str">
        <f>Scores_2014_O!AS5</f>
        <v>Osaka</v>
      </c>
      <c r="AF1" s="1" t="str">
        <f>Scores_2014_O!AT5</f>
        <v>Paris</v>
      </c>
      <c r="AG1" s="1" t="str">
        <f>Scores_2014_O!AU5</f>
        <v>Rio de Janeiro</v>
      </c>
      <c r="AH1" s="1" t="str">
        <f>Scores_2014_O!AV5</f>
        <v>Riyadh</v>
      </c>
      <c r="AI1" s="1" t="str">
        <f>Scores_2014_O!AW5</f>
        <v>Rome</v>
      </c>
      <c r="AJ1" s="1" t="str">
        <f>Scores_2014_O!AX5</f>
        <v>San Francisco</v>
      </c>
      <c r="AK1" s="1" t="str">
        <f>Scores_2014_O!AY5</f>
        <v>Santiago</v>
      </c>
      <c r="AL1" s="1" t="str">
        <f>Scores_2014_O!AZ5</f>
        <v>Sao Paulo</v>
      </c>
      <c r="AM1" s="1" t="str">
        <f>Scores_2014_O!BA5</f>
        <v>Seoul</v>
      </c>
      <c r="AN1" s="1" t="str">
        <f>Scores_2014_O!BB5</f>
        <v>Shanghai</v>
      </c>
      <c r="AO1" s="1" t="str">
        <f>Scores_2014_O!BC5</f>
        <v>Shenzhen</v>
      </c>
      <c r="AP1" s="1" t="str">
        <f>Scores_2014_O!BD5</f>
        <v>Singapore</v>
      </c>
      <c r="AQ1" s="1" t="str">
        <f>Scores_2014_O!BE5</f>
        <v>Stockholm</v>
      </c>
      <c r="AR1" s="1" t="str">
        <f>Scores_2014_O!BF5</f>
        <v>Sydney</v>
      </c>
      <c r="AS1" s="1" t="str">
        <f>Scores_2014_O!BG5</f>
        <v>Taipei</v>
      </c>
      <c r="AT1" s="1" t="str">
        <f>Scores_2014_O!BH5</f>
        <v>Tehran</v>
      </c>
      <c r="AU1" s="1" t="str">
        <f>Scores_2014_O!BI5</f>
        <v>Tianjin</v>
      </c>
      <c r="AV1" s="1" t="str">
        <f>Scores_2014_O!BJ5</f>
        <v>Tokyo</v>
      </c>
      <c r="AW1" s="1" t="str">
        <f>Scores_2014_O!BK5</f>
        <v>Toronto</v>
      </c>
      <c r="AX1" s="1" t="str">
        <f>Scores_2014_O!BL5</f>
        <v>Washington DC</v>
      </c>
      <c r="AY1" s="1" t="str">
        <f>Scores_2014_O!BM5</f>
        <v>Zurich</v>
      </c>
    </row>
    <row r="2" spans="1:53">
      <c r="A2" s="1" t="str">
        <f>Scores_2014_O!N6</f>
        <v>OVERALL SCORE</v>
      </c>
      <c r="B2" s="1">
        <f>ROUND(Scores_2014_O!P6,$A$1)</f>
        <v>69.83</v>
      </c>
      <c r="C2" s="1">
        <f>ROUND(Scores_2014_O!Q6,$A$1)</f>
        <v>79.19</v>
      </c>
      <c r="D2" s="1">
        <f>ROUND(Scores_2014_O!R6,$A$1)</f>
        <v>62.69</v>
      </c>
      <c r="E2" s="1">
        <f>ROUND(Scores_2014_O!S6,$A$1)</f>
        <v>75.16</v>
      </c>
      <c r="F2" s="1">
        <f>ROUND(Scores_2014_O!T6,$A$1)</f>
        <v>63.25</v>
      </c>
      <c r="G2" s="1">
        <f>ROUND(Scores_2014_O!U6,$A$1)</f>
        <v>71.72</v>
      </c>
      <c r="H2" s="1">
        <f>ROUND(Scores_2014_O!V6,$A$1)</f>
        <v>65.88</v>
      </c>
      <c r="I2" s="1">
        <f>ROUND(Scores_2014_O!W6,$A$1)</f>
        <v>74.89</v>
      </c>
      <c r="J2" s="1">
        <f>ROUND(Scores_2014_O!X6,$A$1)</f>
        <v>61.88</v>
      </c>
      <c r="K2" s="1">
        <f>ROUND(Scores_2014_O!Y6,$A$1)</f>
        <v>66.41</v>
      </c>
      <c r="L2" s="1">
        <f>ROUND(Scores_2014_O!Z6,$A$1)</f>
        <v>73.05</v>
      </c>
      <c r="M2" s="1">
        <f>ROUND(Scores_2014_O!AA6,$A$1)</f>
        <v>62.79</v>
      </c>
      <c r="N2" s="1">
        <f>ROUND(Scores_2014_O!AB6,$A$1)</f>
        <v>54.93</v>
      </c>
      <c r="O2" s="1">
        <f>ROUND(Scores_2014_O!AC6,$A$1)</f>
        <v>77.24</v>
      </c>
      <c r="P2" s="1">
        <f>ROUND(Scores_2014_O!AD6,$A$1)</f>
        <v>62.25</v>
      </c>
      <c r="Q2" s="1">
        <f>ROUND(Scores_2014_O!AE6,$A$1)</f>
        <v>53.71</v>
      </c>
      <c r="R2" s="1">
        <f>ROUND(Scores_2014_O!AF6,$A$1)</f>
        <v>56.26</v>
      </c>
      <c r="S2" s="1">
        <f>ROUND(Scores_2014_O!AG6,$A$1)</f>
        <v>63.47</v>
      </c>
      <c r="T2" s="1">
        <f>ROUND(Scores_2014_O!AH6,$A$1)</f>
        <v>65.01</v>
      </c>
      <c r="U2" s="1">
        <f>ROUND(Scores_2014_O!AI6,$A$1)</f>
        <v>73.83</v>
      </c>
      <c r="V2" s="1">
        <f>ROUND(Scores_2014_O!AJ6,$A$1)</f>
        <v>74.24</v>
      </c>
      <c r="W2" s="1">
        <f>ROUND(Scores_2014_O!AK6,$A$1)</f>
        <v>72.35</v>
      </c>
      <c r="X2" s="1">
        <f>ROUND(Scores_2014_O!AL6,$A$1)</f>
        <v>78.67</v>
      </c>
      <c r="Y2" s="1">
        <f>ROUND(Scores_2014_O!AM6,$A$1)</f>
        <v>59.46</v>
      </c>
      <c r="Z2" s="1">
        <f>ROUND(Scores_2014_O!AN6,$A$1)</f>
        <v>69.64</v>
      </c>
      <c r="AA2" s="1">
        <f>ROUND(Scores_2014_O!AO6,$A$1)</f>
        <v>75.6</v>
      </c>
      <c r="AB2" s="1">
        <f>ROUND(Scores_2014_O!AP6,$A$1)</f>
        <v>61.6</v>
      </c>
      <c r="AC2" s="1">
        <f>ROUND(Scores_2014_O!AQ6,$A$1)</f>
        <v>60.72</v>
      </c>
      <c r="AD2" s="1">
        <f>ROUND(Scores_2014_O!AR6,$A$1)</f>
        <v>78.08</v>
      </c>
      <c r="AE2" s="1">
        <f>ROUND(Scores_2014_O!AS6,$A$1)</f>
        <v>82.36</v>
      </c>
      <c r="AF2" s="1">
        <f>ROUND(Scores_2014_O!AT6,$A$1)</f>
        <v>71.21</v>
      </c>
      <c r="AG2" s="1">
        <f>ROUND(Scores_2014_O!AU6,$A$1)</f>
        <v>63.52</v>
      </c>
      <c r="AH2" s="1">
        <f>ROUND(Scores_2014_O!AV6,$A$1)</f>
        <v>57.09</v>
      </c>
      <c r="AI2" s="1">
        <f>ROUND(Scores_2014_O!AW6,$A$1)</f>
        <v>67.13</v>
      </c>
      <c r="AJ2" s="1">
        <f>ROUND(Scores_2014_O!AX6,$A$1)</f>
        <v>76.63</v>
      </c>
      <c r="AK2" s="1">
        <f>ROUND(Scores_2014_O!AY6,$A$1)</f>
        <v>66.98</v>
      </c>
      <c r="AL2" s="1">
        <f>ROUND(Scores_2014_O!AZ6,$A$1)</f>
        <v>62.33</v>
      </c>
      <c r="AM2" s="1">
        <f>ROUND(Scores_2014_O!BA6,$A$1)</f>
        <v>70.9</v>
      </c>
      <c r="AN2" s="1">
        <f>ROUND(Scores_2014_O!BB6,$A$1)</f>
        <v>65.93</v>
      </c>
      <c r="AO2" s="1">
        <f>ROUND(Scores_2014_O!BC6,$A$1)</f>
        <v>65.76</v>
      </c>
      <c r="AP2" s="1">
        <f>ROUND(Scores_2014_O!BD6,$A$1)</f>
        <v>84.61</v>
      </c>
      <c r="AQ2" s="1">
        <f>ROUND(Scores_2014_O!BE6,$A$1)</f>
        <v>80.02</v>
      </c>
      <c r="AR2" s="1">
        <f>ROUND(Scores_2014_O!BF6,$A$1)</f>
        <v>78.91</v>
      </c>
      <c r="AS2" s="1">
        <f>ROUND(Scores_2014_O!BG6,$A$1)</f>
        <v>76.51</v>
      </c>
      <c r="AT2" s="1">
        <f>ROUND(Scores_2014_O!BH6,$A$1)</f>
        <v>53.78</v>
      </c>
      <c r="AU2" s="1">
        <f>ROUND(Scores_2014_O!BI6,$A$1)</f>
        <v>63.55</v>
      </c>
      <c r="AV2" s="1">
        <f>ROUND(Scores_2014_O!BJ6,$A$1)</f>
        <v>85.63</v>
      </c>
      <c r="AW2" s="1">
        <f>ROUND(Scores_2014_O!BK6,$A$1)</f>
        <v>78.81</v>
      </c>
      <c r="AX2" s="1">
        <f>ROUND(Scores_2014_O!BL6,$A$1)</f>
        <v>73.37</v>
      </c>
      <c r="AY2" s="1">
        <f>ROUND(Scores_2014_O!BM6,$A$1)</f>
        <v>78.84</v>
      </c>
      <c r="BA2" s="1">
        <f t="shared" ref="BA2:BA32" si="0">AVERAGE(B2:AY2)</f>
        <v>69.3534</v>
      </c>
    </row>
    <row r="3" spans="1:53">
      <c r="A3" s="1" t="str">
        <f>Scores_2014_O!N7</f>
        <v>1) DIGITAL SECURITY</v>
      </c>
      <c r="B3" s="1">
        <f>ROUND(Scores_2014_O!P7,$A$1)</f>
        <v>73.71</v>
      </c>
      <c r="C3" s="1">
        <f>ROUND(Scores_2014_O!Q7,$A$1)</f>
        <v>68.81</v>
      </c>
      <c r="D3" s="1">
        <f>ROUND(Scores_2014_O!R7,$A$1)</f>
        <v>52.86</v>
      </c>
      <c r="E3" s="1">
        <f>ROUND(Scores_2014_O!S7,$A$1)</f>
        <v>60.29</v>
      </c>
      <c r="F3" s="1">
        <f>ROUND(Scores_2014_O!T7,$A$1)</f>
        <v>56.87</v>
      </c>
      <c r="G3" s="1">
        <f>ROUND(Scores_2014_O!U7,$A$1)</f>
        <v>64.6</v>
      </c>
      <c r="H3" s="1">
        <f>ROUND(Scores_2014_O!V7,$A$1)</f>
        <v>59.58</v>
      </c>
      <c r="I3" s="1">
        <f>ROUND(Scores_2014_O!W7,$A$1)</f>
        <v>72.9</v>
      </c>
      <c r="J3" s="1">
        <f>ROUND(Scores_2014_O!X7,$A$1)</f>
        <v>63.33</v>
      </c>
      <c r="K3" s="1">
        <f>ROUND(Scores_2014_O!Y7,$A$1)</f>
        <v>58.73</v>
      </c>
      <c r="L3" s="1">
        <f>ROUND(Scores_2014_O!Z7,$A$1)</f>
        <v>57.45</v>
      </c>
      <c r="M3" s="1">
        <f>ROUND(Scores_2014_O!AA7,$A$1)</f>
        <v>55.14</v>
      </c>
      <c r="N3" s="1">
        <f>ROUND(Scores_2014_O!AB7,$A$1)</f>
        <v>53.31</v>
      </c>
      <c r="O3" s="1">
        <f>ROUND(Scores_2014_O!AC7,$A$1)</f>
        <v>78.78</v>
      </c>
      <c r="P3" s="1">
        <f>ROUND(Scores_2014_O!AD7,$A$1)</f>
        <v>46.83</v>
      </c>
      <c r="Q3" s="1">
        <f>ROUND(Scores_2014_O!AE7,$A$1)</f>
        <v>48.48</v>
      </c>
      <c r="R3" s="1">
        <f>ROUND(Scores_2014_O!AF7,$A$1)</f>
        <v>52.9</v>
      </c>
      <c r="S3" s="1">
        <f>ROUND(Scores_2014_O!AG7,$A$1)</f>
        <v>64.21</v>
      </c>
      <c r="T3" s="1">
        <f>ROUND(Scores_2014_O!AH7,$A$1)</f>
        <v>55.09</v>
      </c>
      <c r="U3" s="1">
        <f>ROUND(Scores_2014_O!AI7,$A$1)</f>
        <v>69.42</v>
      </c>
      <c r="V3" s="1">
        <f>ROUND(Scores_2014_O!AJ7,$A$1)</f>
        <v>74.99</v>
      </c>
      <c r="W3" s="1">
        <f>ROUND(Scores_2014_O!AK7,$A$1)</f>
        <v>60.78</v>
      </c>
      <c r="X3" s="1">
        <f>ROUND(Scores_2014_O!AL7,$A$1)</f>
        <v>65.42</v>
      </c>
      <c r="Y3" s="1">
        <f>ROUND(Scores_2014_O!AM7,$A$1)</f>
        <v>61.69</v>
      </c>
      <c r="Z3" s="1">
        <f>ROUND(Scores_2014_O!AN7,$A$1)</f>
        <v>62.62</v>
      </c>
      <c r="AA3" s="1">
        <f>ROUND(Scores_2014_O!AO7,$A$1)</f>
        <v>72.04</v>
      </c>
      <c r="AB3" s="1">
        <f>ROUND(Scores_2014_O!AP7,$A$1)</f>
        <v>51.54</v>
      </c>
      <c r="AC3" s="1">
        <f>ROUND(Scores_2014_O!AQ7,$A$1)</f>
        <v>68.07</v>
      </c>
      <c r="AD3" s="1">
        <f>ROUND(Scores_2014_O!AR7,$A$1)</f>
        <v>79.42</v>
      </c>
      <c r="AE3" s="1">
        <f>ROUND(Scores_2014_O!AS7,$A$1)</f>
        <v>77</v>
      </c>
      <c r="AF3" s="1">
        <f>ROUND(Scores_2014_O!AT7,$A$1)</f>
        <v>58.4</v>
      </c>
      <c r="AG3" s="1">
        <f>ROUND(Scores_2014_O!AU7,$A$1)</f>
        <v>54.74</v>
      </c>
      <c r="AH3" s="1">
        <f>ROUND(Scores_2014_O!AV7,$A$1)</f>
        <v>53.26</v>
      </c>
      <c r="AI3" s="1">
        <f>ROUND(Scores_2014_O!AW7,$A$1)</f>
        <v>56.67</v>
      </c>
      <c r="AJ3" s="1">
        <f>ROUND(Scores_2014_O!AX7,$A$1)</f>
        <v>73.85</v>
      </c>
      <c r="AK3" s="1">
        <f>ROUND(Scores_2014_O!AY7,$A$1)</f>
        <v>70.51</v>
      </c>
      <c r="AL3" s="1">
        <f>ROUND(Scores_2014_O!AZ7,$A$1)</f>
        <v>54.93</v>
      </c>
      <c r="AM3" s="1">
        <f>ROUND(Scores_2014_O!BA7,$A$1)</f>
        <v>51.46</v>
      </c>
      <c r="AN3" s="1">
        <f>ROUND(Scores_2014_O!BB7,$A$1)</f>
        <v>56.14</v>
      </c>
      <c r="AO3" s="1">
        <f>ROUND(Scores_2014_O!BC7,$A$1)</f>
        <v>62.74</v>
      </c>
      <c r="AP3" s="1">
        <f>ROUND(Scores_2014_O!BD7,$A$1)</f>
        <v>83.85</v>
      </c>
      <c r="AQ3" s="1">
        <f>ROUND(Scores_2014_O!BE7,$A$1)</f>
        <v>74.82</v>
      </c>
      <c r="AR3" s="1">
        <f>ROUND(Scores_2014_O!BF7,$A$1)</f>
        <v>70.48</v>
      </c>
      <c r="AS3" s="1">
        <f>ROUND(Scores_2014_O!BG7,$A$1)</f>
        <v>65.11</v>
      </c>
      <c r="AT3" s="1">
        <f>ROUND(Scores_2014_O!BH7,$A$1)</f>
        <v>46.58</v>
      </c>
      <c r="AU3" s="1">
        <f>ROUND(Scores_2014_O!BI7,$A$1)</f>
        <v>54.26</v>
      </c>
      <c r="AV3" s="1">
        <f>ROUND(Scores_2014_O!BJ7,$A$1)</f>
        <v>87.18</v>
      </c>
      <c r="AW3" s="1">
        <f>ROUND(Scores_2014_O!BK7,$A$1)</f>
        <v>72.04</v>
      </c>
      <c r="AX3" s="1">
        <f>ROUND(Scores_2014_O!BL7,$A$1)</f>
        <v>69.99</v>
      </c>
      <c r="AY3" s="1">
        <f>ROUND(Scores_2014_O!BM7,$A$1)</f>
        <v>67.04</v>
      </c>
      <c r="BA3" s="1">
        <f t="shared" si="0"/>
        <v>63.4182</v>
      </c>
    </row>
    <row r="4" spans="1:53">
      <c r="A4" s="1" t="str">
        <f>Scores_2014_O!N8</f>
        <v>1.1) Digital Security (Inputs)</v>
      </c>
      <c r="B4" s="1">
        <f>ROUND(Scores_2014_O!P8,$A$1)</f>
        <v>67.33</v>
      </c>
      <c r="C4" s="1">
        <f>ROUND(Scores_2014_O!Q8,$A$1)</f>
        <v>46.67</v>
      </c>
      <c r="D4" s="1">
        <f>ROUND(Scores_2014_O!R8,$A$1)</f>
        <v>57.67</v>
      </c>
      <c r="E4" s="1">
        <f>ROUND(Scores_2014_O!S8,$A$1)</f>
        <v>61.33</v>
      </c>
      <c r="F4" s="1">
        <f>ROUND(Scores_2014_O!T8,$A$1)</f>
        <v>57.67</v>
      </c>
      <c r="G4" s="1">
        <f>ROUND(Scores_2014_O!U8,$A$1)</f>
        <v>53.33</v>
      </c>
      <c r="H4" s="1">
        <f>ROUND(Scores_2014_O!V8,$A$1)</f>
        <v>38.33</v>
      </c>
      <c r="I4" s="1">
        <f>ROUND(Scores_2014_O!W8,$A$1)</f>
        <v>75.33</v>
      </c>
      <c r="J4" s="1">
        <f>ROUND(Scores_2014_O!X8,$A$1)</f>
        <v>77</v>
      </c>
      <c r="K4" s="1">
        <f>ROUND(Scores_2014_O!Y8,$A$1)</f>
        <v>39.67</v>
      </c>
      <c r="L4" s="1">
        <f>ROUND(Scores_2014_O!Z8,$A$1)</f>
        <v>50.67</v>
      </c>
      <c r="M4" s="1">
        <f>ROUND(Scores_2014_O!AA8,$A$1)</f>
        <v>57.67</v>
      </c>
      <c r="N4" s="1">
        <f>ROUND(Scores_2014_O!AB8,$A$1)</f>
        <v>57.67</v>
      </c>
      <c r="O4" s="1">
        <f>ROUND(Scores_2014_O!AC8,$A$1)</f>
        <v>81.33</v>
      </c>
      <c r="P4" s="1">
        <f>ROUND(Scores_2014_O!AD8,$A$1)</f>
        <v>43.67</v>
      </c>
      <c r="Q4" s="1">
        <f>ROUND(Scores_2014_O!AE8,$A$1)</f>
        <v>50.33</v>
      </c>
      <c r="R4" s="1">
        <f>ROUND(Scores_2014_O!AF8,$A$1)</f>
        <v>45.67</v>
      </c>
      <c r="S4" s="1">
        <f>ROUND(Scores_2014_O!AG8,$A$1)</f>
        <v>53.67</v>
      </c>
      <c r="T4" s="1">
        <f>ROUND(Scores_2014_O!AH8,$A$1)</f>
        <v>60.33</v>
      </c>
      <c r="U4" s="1">
        <f>ROUND(Scores_2014_O!AI8,$A$1)</f>
        <v>61.33</v>
      </c>
      <c r="V4" s="1">
        <f>ROUND(Scores_2014_O!AJ8,$A$1)</f>
        <v>75.33</v>
      </c>
      <c r="W4" s="1">
        <f>ROUND(Scores_2014_O!AK8,$A$1)</f>
        <v>61.33</v>
      </c>
      <c r="X4" s="1">
        <f>ROUND(Scores_2014_O!AL8,$A$1)</f>
        <v>61.33</v>
      </c>
      <c r="Y4" s="1">
        <f>ROUND(Scores_2014_O!AM8,$A$1)</f>
        <v>56.33</v>
      </c>
      <c r="Z4" s="1">
        <f>ROUND(Scores_2014_O!AN8,$A$1)</f>
        <v>54</v>
      </c>
      <c r="AA4" s="1">
        <f>ROUND(Scores_2014_O!AO8,$A$1)</f>
        <v>71.33</v>
      </c>
      <c r="AB4" s="1">
        <f>ROUND(Scores_2014_O!AP8,$A$1)</f>
        <v>53.67</v>
      </c>
      <c r="AC4" s="1">
        <f>ROUND(Scores_2014_O!AQ8,$A$1)</f>
        <v>87</v>
      </c>
      <c r="AD4" s="1">
        <f>ROUND(Scores_2014_O!AR8,$A$1)</f>
        <v>85.33</v>
      </c>
      <c r="AE4" s="1">
        <f>ROUND(Scores_2014_O!AS8,$A$1)</f>
        <v>58.67</v>
      </c>
      <c r="AF4" s="1">
        <f>ROUND(Scores_2014_O!AT8,$A$1)</f>
        <v>48</v>
      </c>
      <c r="AG4" s="1">
        <f>ROUND(Scores_2014_O!AU8,$A$1)</f>
        <v>53.67</v>
      </c>
      <c r="AH4" s="1">
        <f>ROUND(Scores_2014_O!AV8,$A$1)</f>
        <v>53.67</v>
      </c>
      <c r="AI4" s="1">
        <f>ROUND(Scores_2014_O!AW8,$A$1)</f>
        <v>44</v>
      </c>
      <c r="AJ4" s="1">
        <f>ROUND(Scores_2014_O!AX8,$A$1)</f>
        <v>75.33</v>
      </c>
      <c r="AK4" s="1">
        <f>ROUND(Scores_2014_O!AY8,$A$1)</f>
        <v>60.33</v>
      </c>
      <c r="AL4" s="1">
        <f>ROUND(Scores_2014_O!AZ8,$A$1)</f>
        <v>53.67</v>
      </c>
      <c r="AM4" s="1">
        <f>ROUND(Scores_2014_O!BA8,$A$1)</f>
        <v>57.33</v>
      </c>
      <c r="AN4" s="1">
        <f>ROUND(Scores_2014_O!BB8,$A$1)</f>
        <v>57.67</v>
      </c>
      <c r="AO4" s="1">
        <f>ROUND(Scores_2014_O!BC8,$A$1)</f>
        <v>67.67</v>
      </c>
      <c r="AP4" s="1">
        <f>ROUND(Scores_2014_O!BD8,$A$1)</f>
        <v>85.33</v>
      </c>
      <c r="AQ4" s="1">
        <f>ROUND(Scores_2014_O!BE8,$A$1)</f>
        <v>69.33</v>
      </c>
      <c r="AR4" s="1">
        <f>ROUND(Scores_2014_O!BF8,$A$1)</f>
        <v>71.33</v>
      </c>
      <c r="AS4" s="1">
        <f>ROUND(Scores_2014_O!BG8,$A$1)</f>
        <v>48.67</v>
      </c>
      <c r="AT4" s="1">
        <f>ROUND(Scores_2014_O!BH8,$A$1)</f>
        <v>36</v>
      </c>
      <c r="AU4" s="1">
        <f>ROUND(Scores_2014_O!BI8,$A$1)</f>
        <v>57.67</v>
      </c>
      <c r="AV4" s="1">
        <f>ROUND(Scores_2014_O!BJ8,$A$1)</f>
        <v>78.67</v>
      </c>
      <c r="AW4" s="1">
        <f>ROUND(Scores_2014_O!BK8,$A$1)</f>
        <v>71.33</v>
      </c>
      <c r="AX4" s="1">
        <f>ROUND(Scores_2014_O!BL8,$A$1)</f>
        <v>65.33</v>
      </c>
      <c r="AY4" s="1">
        <f>ROUND(Scores_2014_O!BM8,$A$1)</f>
        <v>54.67</v>
      </c>
      <c r="BA4" s="1">
        <f t="shared" si="0"/>
        <v>60.2132</v>
      </c>
    </row>
    <row r="5" spans="1:53">
      <c r="A5" s="1" t="str">
        <f>Scores_2014_O!N9</f>
        <v>1.1.1) Privacy policy</v>
      </c>
      <c r="B5" s="1">
        <f>ROUND(Scores_2014_O!P9,$A$1)</f>
        <v>20</v>
      </c>
      <c r="C5" s="1">
        <f>ROUND(Scores_2014_O!Q9,$A$1)</f>
        <v>0</v>
      </c>
      <c r="D5" s="1">
        <f>ROUND(Scores_2014_O!R9,$A$1)</f>
        <v>80</v>
      </c>
      <c r="E5" s="1">
        <f>ROUND(Scores_2014_O!S9,$A$1)</f>
        <v>40</v>
      </c>
      <c r="F5" s="1">
        <f>ROUND(Scores_2014_O!T9,$A$1)</f>
        <v>80</v>
      </c>
      <c r="G5" s="1">
        <f>ROUND(Scores_2014_O!U9,$A$1)</f>
        <v>0</v>
      </c>
      <c r="H5" s="1">
        <f>ROUND(Scores_2014_O!V9,$A$1)</f>
        <v>0</v>
      </c>
      <c r="I5" s="1">
        <f>ROUND(Scores_2014_O!W9,$A$1)</f>
        <v>60</v>
      </c>
      <c r="J5" s="1">
        <f>ROUND(Scores_2014_O!X9,$A$1)</f>
        <v>60</v>
      </c>
      <c r="K5" s="1">
        <f>ROUND(Scores_2014_O!Y9,$A$1)</f>
        <v>40</v>
      </c>
      <c r="L5" s="1">
        <f>ROUND(Scores_2014_O!Z9,$A$1)</f>
        <v>20</v>
      </c>
      <c r="M5" s="1">
        <f>ROUND(Scores_2014_O!AA9,$A$1)</f>
        <v>80</v>
      </c>
      <c r="N5" s="1">
        <f>ROUND(Scores_2014_O!AB9,$A$1)</f>
        <v>80</v>
      </c>
      <c r="O5" s="1">
        <f>ROUND(Scores_2014_O!AC9,$A$1)</f>
        <v>40</v>
      </c>
      <c r="P5" s="1">
        <f>ROUND(Scores_2014_O!AD9,$A$1)</f>
        <v>60</v>
      </c>
      <c r="Q5" s="1">
        <f>ROUND(Scores_2014_O!AE9,$A$1)</f>
        <v>60</v>
      </c>
      <c r="R5" s="1">
        <f>ROUND(Scores_2014_O!AF9,$A$1)</f>
        <v>20</v>
      </c>
      <c r="S5" s="1">
        <f>ROUND(Scores_2014_O!AG9,$A$1)</f>
        <v>60</v>
      </c>
      <c r="T5" s="1">
        <f>ROUND(Scores_2014_O!AH9,$A$1)</f>
        <v>60</v>
      </c>
      <c r="U5" s="1">
        <f>ROUND(Scores_2014_O!AI9,$A$1)</f>
        <v>40</v>
      </c>
      <c r="V5" s="1">
        <f>ROUND(Scores_2014_O!AJ9,$A$1)</f>
        <v>60</v>
      </c>
      <c r="W5" s="1">
        <f>ROUND(Scores_2014_O!AK9,$A$1)</f>
        <v>40</v>
      </c>
      <c r="X5" s="1">
        <f>ROUND(Scores_2014_O!AL9,$A$1)</f>
        <v>40</v>
      </c>
      <c r="Y5" s="1">
        <f>ROUND(Scores_2014_O!AM9,$A$1)</f>
        <v>40</v>
      </c>
      <c r="Z5" s="1">
        <f>ROUND(Scores_2014_O!AN9,$A$1)</f>
        <v>20</v>
      </c>
      <c r="AA5" s="1">
        <f>ROUND(Scores_2014_O!AO9,$A$1)</f>
        <v>40</v>
      </c>
      <c r="AB5" s="1">
        <f>ROUND(Scores_2014_O!AP9,$A$1)</f>
        <v>60</v>
      </c>
      <c r="AC5" s="1">
        <f>ROUND(Scores_2014_O!AQ9,$A$1)</f>
        <v>60</v>
      </c>
      <c r="AD5" s="1">
        <f>ROUND(Scores_2014_O!AR9,$A$1)</f>
        <v>60</v>
      </c>
      <c r="AE5" s="1">
        <f>ROUND(Scores_2014_O!AS9,$A$1)</f>
        <v>60</v>
      </c>
      <c r="AF5" s="1">
        <f>ROUND(Scores_2014_O!AT9,$A$1)</f>
        <v>40</v>
      </c>
      <c r="AG5" s="1">
        <f>ROUND(Scores_2014_O!AU9,$A$1)</f>
        <v>60</v>
      </c>
      <c r="AH5" s="1">
        <f>ROUND(Scores_2014_O!AV9,$A$1)</f>
        <v>60</v>
      </c>
      <c r="AI5" s="1">
        <f>ROUND(Scores_2014_O!AW9,$A$1)</f>
        <v>20</v>
      </c>
      <c r="AJ5" s="1">
        <f>ROUND(Scores_2014_O!AX9,$A$1)</f>
        <v>60</v>
      </c>
      <c r="AK5" s="1">
        <f>ROUND(Scores_2014_O!AY9,$A$1)</f>
        <v>60</v>
      </c>
      <c r="AL5" s="1">
        <f>ROUND(Scores_2014_O!AZ9,$A$1)</f>
        <v>60</v>
      </c>
      <c r="AM5" s="1">
        <f>ROUND(Scores_2014_O!BA9,$A$1)</f>
        <v>20</v>
      </c>
      <c r="AN5" s="1">
        <f>ROUND(Scores_2014_O!BB9,$A$1)</f>
        <v>80</v>
      </c>
      <c r="AO5" s="1">
        <f>ROUND(Scores_2014_O!BC9,$A$1)</f>
        <v>80</v>
      </c>
      <c r="AP5" s="1">
        <f>ROUND(Scores_2014_O!BD9,$A$1)</f>
        <v>60</v>
      </c>
      <c r="AQ5" s="1">
        <f>ROUND(Scores_2014_O!BE9,$A$1)</f>
        <v>80</v>
      </c>
      <c r="AR5" s="1">
        <f>ROUND(Scores_2014_O!BF9,$A$1)</f>
        <v>40</v>
      </c>
      <c r="AS5" s="1">
        <f>ROUND(Scores_2014_O!BG9,$A$1)</f>
        <v>60</v>
      </c>
      <c r="AT5" s="1">
        <f>ROUND(Scores_2014_O!BH9,$A$1)</f>
        <v>80</v>
      </c>
      <c r="AU5" s="1">
        <f>ROUND(Scores_2014_O!BI9,$A$1)</f>
        <v>80</v>
      </c>
      <c r="AV5" s="1">
        <f>ROUND(Scores_2014_O!BJ9,$A$1)</f>
        <v>60</v>
      </c>
      <c r="AW5" s="1">
        <f>ROUND(Scores_2014_O!BK9,$A$1)</f>
        <v>40</v>
      </c>
      <c r="AX5" s="1">
        <f>ROUND(Scores_2014_O!BL9,$A$1)</f>
        <v>60</v>
      </c>
      <c r="AY5" s="1">
        <f>ROUND(Scores_2014_O!BM9,$A$1)</f>
        <v>40</v>
      </c>
      <c r="BA5" s="1">
        <f t="shared" si="0"/>
        <v>50.4</v>
      </c>
    </row>
    <row r="6" spans="1:53">
      <c r="A6" s="1" t="str">
        <f>Scores_2014_O!N10</f>
        <v>1.1.2) Citizen awareness of digital threats</v>
      </c>
      <c r="B6" s="1">
        <f>ROUND(Scores_2014_O!P10,$A$1)</f>
        <v>66.67</v>
      </c>
      <c r="C6" s="1">
        <f>ROUND(Scores_2014_O!Q10,$A$1)</f>
        <v>33.33</v>
      </c>
      <c r="D6" s="1">
        <f>ROUND(Scores_2014_O!R10,$A$1)</f>
        <v>33.33</v>
      </c>
      <c r="E6" s="1">
        <f>ROUND(Scores_2014_O!S10,$A$1)</f>
        <v>66.67</v>
      </c>
      <c r="F6" s="1">
        <f>ROUND(Scores_2014_O!T10,$A$1)</f>
        <v>33.33</v>
      </c>
      <c r="G6" s="1">
        <f>ROUND(Scores_2014_O!U10,$A$1)</f>
        <v>66.67</v>
      </c>
      <c r="H6" s="1">
        <f>ROUND(Scores_2014_O!V10,$A$1)</f>
        <v>66.67</v>
      </c>
      <c r="I6" s="1">
        <f>ROUND(Scores_2014_O!W10,$A$1)</f>
        <v>66.67</v>
      </c>
      <c r="J6" s="1">
        <f>ROUND(Scores_2014_O!X10,$A$1)</f>
        <v>100</v>
      </c>
      <c r="K6" s="1">
        <f>ROUND(Scores_2014_O!Y10,$A$1)</f>
        <v>33.33</v>
      </c>
      <c r="L6" s="1">
        <f>ROUND(Scores_2014_O!Z10,$A$1)</f>
        <v>33.33</v>
      </c>
      <c r="M6" s="1">
        <f>ROUND(Scores_2014_O!AA10,$A$1)</f>
        <v>33.33</v>
      </c>
      <c r="N6" s="1">
        <f>ROUND(Scores_2014_O!AB10,$A$1)</f>
        <v>33.33</v>
      </c>
      <c r="O6" s="1">
        <f>ROUND(Scores_2014_O!AC10,$A$1)</f>
        <v>66.67</v>
      </c>
      <c r="P6" s="1">
        <f>ROUND(Scores_2014_O!AD10,$A$1)</f>
        <v>33.33</v>
      </c>
      <c r="Q6" s="1">
        <f>ROUND(Scores_2014_O!AE10,$A$1)</f>
        <v>66.67</v>
      </c>
      <c r="R6" s="1">
        <f>ROUND(Scores_2014_O!AF10,$A$1)</f>
        <v>33.33</v>
      </c>
      <c r="S6" s="1">
        <f>ROUND(Scores_2014_O!AG10,$A$1)</f>
        <v>33.33</v>
      </c>
      <c r="T6" s="1">
        <f>ROUND(Scores_2014_O!AH10,$A$1)</f>
        <v>66.67</v>
      </c>
      <c r="U6" s="1">
        <f>ROUND(Scores_2014_O!AI10,$A$1)</f>
        <v>66.67</v>
      </c>
      <c r="V6" s="1">
        <f>ROUND(Scores_2014_O!AJ10,$A$1)</f>
        <v>66.67</v>
      </c>
      <c r="W6" s="1">
        <f>ROUND(Scores_2014_O!AK10,$A$1)</f>
        <v>66.67</v>
      </c>
      <c r="X6" s="1">
        <f>ROUND(Scores_2014_O!AL10,$A$1)</f>
        <v>66.67</v>
      </c>
      <c r="Y6" s="1">
        <f>ROUND(Scores_2014_O!AM10,$A$1)</f>
        <v>66.67</v>
      </c>
      <c r="Z6" s="1">
        <f>ROUND(Scores_2014_O!AN10,$A$1)</f>
        <v>0</v>
      </c>
      <c r="AA6" s="1">
        <f>ROUND(Scores_2014_O!AO10,$A$1)</f>
        <v>66.67</v>
      </c>
      <c r="AB6" s="1">
        <f>ROUND(Scores_2014_O!AP10,$A$1)</f>
        <v>33.33</v>
      </c>
      <c r="AC6" s="1">
        <f>ROUND(Scores_2014_O!AQ10,$A$1)</f>
        <v>100</v>
      </c>
      <c r="AD6" s="1">
        <f>ROUND(Scores_2014_O!AR10,$A$1)</f>
        <v>66.67</v>
      </c>
      <c r="AE6" s="1">
        <f>ROUND(Scores_2014_O!AS10,$A$1)</f>
        <v>33.33</v>
      </c>
      <c r="AF6" s="1">
        <f>ROUND(Scores_2014_O!AT10,$A$1)</f>
        <v>0</v>
      </c>
      <c r="AG6" s="1">
        <f>ROUND(Scores_2014_O!AU10,$A$1)</f>
        <v>33.33</v>
      </c>
      <c r="AH6" s="1">
        <f>ROUND(Scores_2014_O!AV10,$A$1)</f>
        <v>33.33</v>
      </c>
      <c r="AI6" s="1">
        <f>ROUND(Scores_2014_O!AW10,$A$1)</f>
        <v>0</v>
      </c>
      <c r="AJ6" s="1">
        <f>ROUND(Scores_2014_O!AX10,$A$1)</f>
        <v>66.67</v>
      </c>
      <c r="AK6" s="1">
        <f>ROUND(Scores_2014_O!AY10,$A$1)</f>
        <v>66.67</v>
      </c>
      <c r="AL6" s="1">
        <f>ROUND(Scores_2014_O!AZ10,$A$1)</f>
        <v>33.33</v>
      </c>
      <c r="AM6" s="1">
        <f>ROUND(Scores_2014_O!BA10,$A$1)</f>
        <v>66.67</v>
      </c>
      <c r="AN6" s="1">
        <f>ROUND(Scores_2014_O!BB10,$A$1)</f>
        <v>33.33</v>
      </c>
      <c r="AO6" s="1">
        <f>ROUND(Scores_2014_O!BC10,$A$1)</f>
        <v>33.33</v>
      </c>
      <c r="AP6" s="1">
        <f>ROUND(Scores_2014_O!BD10,$A$1)</f>
        <v>66.67</v>
      </c>
      <c r="AQ6" s="1">
        <f>ROUND(Scores_2014_O!BE10,$A$1)</f>
        <v>66.67</v>
      </c>
      <c r="AR6" s="1">
        <f>ROUND(Scores_2014_O!BF10,$A$1)</f>
        <v>66.67</v>
      </c>
      <c r="AS6" s="1">
        <f>ROUND(Scores_2014_O!BG10,$A$1)</f>
        <v>33.33</v>
      </c>
      <c r="AT6" s="1">
        <f>ROUND(Scores_2014_O!BH10,$A$1)</f>
        <v>0</v>
      </c>
      <c r="AU6" s="1">
        <f>ROUND(Scores_2014_O!BI10,$A$1)</f>
        <v>33.33</v>
      </c>
      <c r="AV6" s="1">
        <f>ROUND(Scores_2014_O!BJ10,$A$1)</f>
        <v>33.33</v>
      </c>
      <c r="AW6" s="1">
        <f>ROUND(Scores_2014_O!BK10,$A$1)</f>
        <v>66.67</v>
      </c>
      <c r="AX6" s="1">
        <f>ROUND(Scores_2014_O!BL10,$A$1)</f>
        <v>66.67</v>
      </c>
      <c r="AY6" s="1">
        <f>ROUND(Scores_2014_O!BM10,$A$1)</f>
        <v>33.33</v>
      </c>
      <c r="BA6" s="1">
        <f t="shared" si="0"/>
        <v>48.6668</v>
      </c>
    </row>
    <row r="7" spans="1:53">
      <c r="A7" s="1" t="str">
        <f>Scores_2014_O!N11</f>
        <v>1.1.3) Public-private partnerships</v>
      </c>
      <c r="B7" s="1">
        <f>ROUND(Scores_2014_O!P11,$A$1)</f>
        <v>50</v>
      </c>
      <c r="C7" s="1">
        <f>ROUND(Scores_2014_O!Q11,$A$1)</f>
        <v>50</v>
      </c>
      <c r="D7" s="1">
        <f>ROUND(Scores_2014_O!R11,$A$1)</f>
        <v>50</v>
      </c>
      <c r="E7" s="1">
        <f>ROUND(Scores_2014_O!S11,$A$1)</f>
        <v>0</v>
      </c>
      <c r="F7" s="1">
        <f>ROUND(Scores_2014_O!T11,$A$1)</f>
        <v>50</v>
      </c>
      <c r="G7" s="1">
        <f>ROUND(Scores_2014_O!U11,$A$1)</f>
        <v>50</v>
      </c>
      <c r="H7" s="1">
        <f>ROUND(Scores_2014_O!V11,$A$1)</f>
        <v>0</v>
      </c>
      <c r="I7" s="1">
        <f>ROUND(Scores_2014_O!W11,$A$1)</f>
        <v>50</v>
      </c>
      <c r="J7" s="1">
        <f>ROUND(Scores_2014_O!X11,$A$1)</f>
        <v>100</v>
      </c>
      <c r="K7" s="1">
        <f>ROUND(Scores_2014_O!Y11,$A$1)</f>
        <v>0</v>
      </c>
      <c r="L7" s="1">
        <f>ROUND(Scores_2014_O!Z11,$A$1)</f>
        <v>50</v>
      </c>
      <c r="M7" s="1">
        <f>ROUND(Scores_2014_O!AA11,$A$1)</f>
        <v>50</v>
      </c>
      <c r="N7" s="1">
        <f>ROUND(Scores_2014_O!AB11,$A$1)</f>
        <v>50</v>
      </c>
      <c r="O7" s="1">
        <f>ROUND(Scores_2014_O!AC11,$A$1)</f>
        <v>100</v>
      </c>
      <c r="P7" s="1">
        <f>ROUND(Scores_2014_O!AD11,$A$1)</f>
        <v>0</v>
      </c>
      <c r="Q7" s="1">
        <f>ROUND(Scores_2014_O!AE11,$A$1)</f>
        <v>0</v>
      </c>
      <c r="R7" s="1">
        <f>ROUND(Scores_2014_O!AF11,$A$1)</f>
        <v>50</v>
      </c>
      <c r="S7" s="1">
        <f>ROUND(Scores_2014_O!AG11,$A$1)</f>
        <v>50</v>
      </c>
      <c r="T7" s="1">
        <f>ROUND(Scores_2014_O!AH11,$A$1)</f>
        <v>50</v>
      </c>
      <c r="U7" s="1">
        <f>ROUND(Scores_2014_O!AI11,$A$1)</f>
        <v>50</v>
      </c>
      <c r="V7" s="1">
        <f>ROUND(Scores_2014_O!AJ11,$A$1)</f>
        <v>50</v>
      </c>
      <c r="W7" s="1">
        <f>ROUND(Scores_2014_O!AK11,$A$1)</f>
        <v>50</v>
      </c>
      <c r="X7" s="1">
        <f>ROUND(Scores_2014_O!AL11,$A$1)</f>
        <v>50</v>
      </c>
      <c r="Y7" s="1">
        <f>ROUND(Scores_2014_O!AM11,$A$1)</f>
        <v>50</v>
      </c>
      <c r="Z7" s="1">
        <f>ROUND(Scores_2014_O!AN11,$A$1)</f>
        <v>50</v>
      </c>
      <c r="AA7" s="1">
        <f>ROUND(Scores_2014_O!AO11,$A$1)</f>
        <v>100</v>
      </c>
      <c r="AB7" s="1">
        <f>ROUND(Scores_2014_O!AP11,$A$1)</f>
        <v>50</v>
      </c>
      <c r="AC7" s="1">
        <f>ROUND(Scores_2014_O!AQ11,$A$1)</f>
        <v>100</v>
      </c>
      <c r="AD7" s="1">
        <f>ROUND(Scores_2014_O!AR11,$A$1)</f>
        <v>100</v>
      </c>
      <c r="AE7" s="1">
        <f>ROUND(Scores_2014_O!AS11,$A$1)</f>
        <v>50</v>
      </c>
      <c r="AF7" s="1">
        <f>ROUND(Scores_2014_O!AT11,$A$1)</f>
        <v>50</v>
      </c>
      <c r="AG7" s="1">
        <f>ROUND(Scores_2014_O!AU11,$A$1)</f>
        <v>50</v>
      </c>
      <c r="AH7" s="1">
        <f>ROUND(Scores_2014_O!AV11,$A$1)</f>
        <v>50</v>
      </c>
      <c r="AI7" s="1">
        <f>ROUND(Scores_2014_O!AW11,$A$1)</f>
        <v>50</v>
      </c>
      <c r="AJ7" s="1">
        <f>ROUND(Scores_2014_O!AX11,$A$1)</f>
        <v>50</v>
      </c>
      <c r="AK7" s="1">
        <f>ROUND(Scores_2014_O!AY11,$A$1)</f>
        <v>50</v>
      </c>
      <c r="AL7" s="1">
        <f>ROUND(Scores_2014_O!AZ11,$A$1)</f>
        <v>50</v>
      </c>
      <c r="AM7" s="1">
        <f>ROUND(Scores_2014_O!BA11,$A$1)</f>
        <v>50</v>
      </c>
      <c r="AN7" s="1">
        <f>ROUND(Scores_2014_O!BB11,$A$1)</f>
        <v>50</v>
      </c>
      <c r="AO7" s="1">
        <f>ROUND(Scores_2014_O!BC11,$A$1)</f>
        <v>50</v>
      </c>
      <c r="AP7" s="1">
        <f>ROUND(Scores_2014_O!BD11,$A$1)</f>
        <v>100</v>
      </c>
      <c r="AQ7" s="1">
        <f>ROUND(Scores_2014_O!BE11,$A$1)</f>
        <v>50</v>
      </c>
      <c r="AR7" s="1">
        <f>ROUND(Scores_2014_O!BF11,$A$1)</f>
        <v>50</v>
      </c>
      <c r="AS7" s="1">
        <f>ROUND(Scores_2014_O!BG11,$A$1)</f>
        <v>0</v>
      </c>
      <c r="AT7" s="1">
        <f>ROUND(Scores_2014_O!BH11,$A$1)</f>
        <v>0</v>
      </c>
      <c r="AU7" s="1">
        <f>ROUND(Scores_2014_O!BI11,$A$1)</f>
        <v>50</v>
      </c>
      <c r="AV7" s="1">
        <f>ROUND(Scores_2014_O!BJ11,$A$1)</f>
        <v>100</v>
      </c>
      <c r="AW7" s="1">
        <f>ROUND(Scores_2014_O!BK11,$A$1)</f>
        <v>50</v>
      </c>
      <c r="AX7" s="1">
        <f>ROUND(Scores_2014_O!BL11,$A$1)</f>
        <v>50</v>
      </c>
      <c r="AY7" s="1">
        <f>ROUND(Scores_2014_O!BM11,$A$1)</f>
        <v>50</v>
      </c>
      <c r="BA7" s="1">
        <f t="shared" si="0"/>
        <v>50</v>
      </c>
    </row>
    <row r="8" spans="1:53">
      <c r="A8" s="1" t="str">
        <f>Scores_2014_O!N12</f>
        <v>1.1.4) Level of technology employed</v>
      </c>
      <c r="B8" s="1">
        <f>ROUND(Scores_2014_O!P12,$A$1)</f>
        <v>100</v>
      </c>
      <c r="C8" s="1">
        <f>ROUND(Scores_2014_O!Q12,$A$1)</f>
        <v>100</v>
      </c>
      <c r="D8" s="1">
        <f>ROUND(Scores_2014_O!R12,$A$1)</f>
        <v>75</v>
      </c>
      <c r="E8" s="1">
        <f>ROUND(Scores_2014_O!S12,$A$1)</f>
        <v>100</v>
      </c>
      <c r="F8" s="1">
        <f>ROUND(Scores_2014_O!T12,$A$1)</f>
        <v>75</v>
      </c>
      <c r="G8" s="1">
        <f>ROUND(Scores_2014_O!U12,$A$1)</f>
        <v>100</v>
      </c>
      <c r="H8" s="1">
        <f>ROUND(Scores_2014_O!V12,$A$1)</f>
        <v>75</v>
      </c>
      <c r="I8" s="1">
        <f>ROUND(Scores_2014_O!W12,$A$1)</f>
        <v>100</v>
      </c>
      <c r="J8" s="1">
        <f>ROUND(Scores_2014_O!X12,$A$1)</f>
        <v>75</v>
      </c>
      <c r="K8" s="1">
        <f>ROUND(Scores_2014_O!Y12,$A$1)</f>
        <v>75</v>
      </c>
      <c r="L8" s="1">
        <f>ROUND(Scores_2014_O!Z12,$A$1)</f>
        <v>100</v>
      </c>
      <c r="M8" s="1">
        <f>ROUND(Scores_2014_O!AA12,$A$1)</f>
        <v>75</v>
      </c>
      <c r="N8" s="1">
        <f>ROUND(Scores_2014_O!AB12,$A$1)</f>
        <v>75</v>
      </c>
      <c r="O8" s="1">
        <f>ROUND(Scores_2014_O!AC12,$A$1)</f>
        <v>100</v>
      </c>
      <c r="P8" s="1">
        <f>ROUND(Scores_2014_O!AD12,$A$1)</f>
        <v>75</v>
      </c>
      <c r="Q8" s="1">
        <f>ROUND(Scores_2014_O!AE12,$A$1)</f>
        <v>75</v>
      </c>
      <c r="R8" s="1">
        <f>ROUND(Scores_2014_O!AF12,$A$1)</f>
        <v>75</v>
      </c>
      <c r="S8" s="1">
        <f>ROUND(Scores_2014_O!AG12,$A$1)</f>
        <v>75</v>
      </c>
      <c r="T8" s="1">
        <f>ROUND(Scores_2014_O!AH12,$A$1)</f>
        <v>75</v>
      </c>
      <c r="U8" s="1">
        <f>ROUND(Scores_2014_O!AI12,$A$1)</f>
        <v>100</v>
      </c>
      <c r="V8" s="1">
        <f>ROUND(Scores_2014_O!AJ12,$A$1)</f>
        <v>100</v>
      </c>
      <c r="W8" s="1">
        <f>ROUND(Scores_2014_O!AK12,$A$1)</f>
        <v>100</v>
      </c>
      <c r="X8" s="1">
        <f>ROUND(Scores_2014_O!AL12,$A$1)</f>
        <v>100</v>
      </c>
      <c r="Y8" s="1">
        <f>ROUND(Scores_2014_O!AM12,$A$1)</f>
        <v>75</v>
      </c>
      <c r="Z8" s="1">
        <f>ROUND(Scores_2014_O!AN12,$A$1)</f>
        <v>100</v>
      </c>
      <c r="AA8" s="1">
        <f>ROUND(Scores_2014_O!AO12,$A$1)</f>
        <v>100</v>
      </c>
      <c r="AB8" s="1">
        <f>ROUND(Scores_2014_O!AP12,$A$1)</f>
        <v>75</v>
      </c>
      <c r="AC8" s="1">
        <f>ROUND(Scores_2014_O!AQ12,$A$1)</f>
        <v>75</v>
      </c>
      <c r="AD8" s="1">
        <f>ROUND(Scores_2014_O!AR12,$A$1)</f>
        <v>100</v>
      </c>
      <c r="AE8" s="1">
        <f>ROUND(Scores_2014_O!AS12,$A$1)</f>
        <v>100</v>
      </c>
      <c r="AF8" s="1">
        <f>ROUND(Scores_2014_O!AT12,$A$1)</f>
        <v>100</v>
      </c>
      <c r="AG8" s="1">
        <f>ROUND(Scores_2014_O!AU12,$A$1)</f>
        <v>75</v>
      </c>
      <c r="AH8" s="1">
        <f>ROUND(Scores_2014_O!AV12,$A$1)</f>
        <v>75</v>
      </c>
      <c r="AI8" s="1">
        <f>ROUND(Scores_2014_O!AW12,$A$1)</f>
        <v>100</v>
      </c>
      <c r="AJ8" s="1">
        <f>ROUND(Scores_2014_O!AX12,$A$1)</f>
        <v>100</v>
      </c>
      <c r="AK8" s="1">
        <f>ROUND(Scores_2014_O!AY12,$A$1)</f>
        <v>75</v>
      </c>
      <c r="AL8" s="1">
        <f>ROUND(Scores_2014_O!AZ12,$A$1)</f>
        <v>75</v>
      </c>
      <c r="AM8" s="1">
        <f>ROUND(Scores_2014_O!BA12,$A$1)</f>
        <v>100</v>
      </c>
      <c r="AN8" s="1">
        <f>ROUND(Scores_2014_O!BB12,$A$1)</f>
        <v>75</v>
      </c>
      <c r="AO8" s="1">
        <f>ROUND(Scores_2014_O!BC12,$A$1)</f>
        <v>75</v>
      </c>
      <c r="AP8" s="1">
        <f>ROUND(Scores_2014_O!BD12,$A$1)</f>
        <v>100</v>
      </c>
      <c r="AQ8" s="1">
        <f>ROUND(Scores_2014_O!BE12,$A$1)</f>
        <v>100</v>
      </c>
      <c r="AR8" s="1">
        <f>ROUND(Scores_2014_O!BF12,$A$1)</f>
        <v>100</v>
      </c>
      <c r="AS8" s="1">
        <f>ROUND(Scores_2014_O!BG12,$A$1)</f>
        <v>100</v>
      </c>
      <c r="AT8" s="1">
        <f>ROUND(Scores_2014_O!BH12,$A$1)</f>
        <v>50</v>
      </c>
      <c r="AU8" s="1">
        <f>ROUND(Scores_2014_O!BI12,$A$1)</f>
        <v>75</v>
      </c>
      <c r="AV8" s="1">
        <f>ROUND(Scores_2014_O!BJ12,$A$1)</f>
        <v>100</v>
      </c>
      <c r="AW8" s="1">
        <f>ROUND(Scores_2014_O!BK12,$A$1)</f>
        <v>100</v>
      </c>
      <c r="AX8" s="1">
        <f>ROUND(Scores_2014_O!BL12,$A$1)</f>
        <v>100</v>
      </c>
      <c r="AY8" s="1">
        <f>ROUND(Scores_2014_O!BM12,$A$1)</f>
        <v>100</v>
      </c>
      <c r="BA8" s="1">
        <f t="shared" si="0"/>
        <v>88</v>
      </c>
    </row>
    <row r="9" spans="1:53">
      <c r="A9" s="1" t="str">
        <f>Scores_2014_O!N13</f>
        <v>1.1.5) Dedicated cyber security teams</v>
      </c>
      <c r="B9" s="1">
        <f>ROUND(Scores_2014_O!P13,$A$1)</f>
        <v>100</v>
      </c>
      <c r="C9" s="1">
        <f>ROUND(Scores_2014_O!Q13,$A$1)</f>
        <v>50</v>
      </c>
      <c r="D9" s="1">
        <f>ROUND(Scores_2014_O!R13,$A$1)</f>
        <v>50</v>
      </c>
      <c r="E9" s="1">
        <f>ROUND(Scores_2014_O!S13,$A$1)</f>
        <v>100</v>
      </c>
      <c r="F9" s="1">
        <f>ROUND(Scores_2014_O!T13,$A$1)</f>
        <v>50</v>
      </c>
      <c r="G9" s="1">
        <f>ROUND(Scores_2014_O!U13,$A$1)</f>
        <v>50</v>
      </c>
      <c r="H9" s="1">
        <f>ROUND(Scores_2014_O!V13,$A$1)</f>
        <v>50</v>
      </c>
      <c r="I9" s="1">
        <f>ROUND(Scores_2014_O!W13,$A$1)</f>
        <v>100</v>
      </c>
      <c r="J9" s="1">
        <f>ROUND(Scores_2014_O!X13,$A$1)</f>
        <v>50</v>
      </c>
      <c r="K9" s="1">
        <f>ROUND(Scores_2014_O!Y13,$A$1)</f>
        <v>50</v>
      </c>
      <c r="L9" s="1">
        <f>ROUND(Scores_2014_O!Z13,$A$1)</f>
        <v>50</v>
      </c>
      <c r="M9" s="1">
        <f>ROUND(Scores_2014_O!AA13,$A$1)</f>
        <v>50</v>
      </c>
      <c r="N9" s="1">
        <f>ROUND(Scores_2014_O!AB13,$A$1)</f>
        <v>50</v>
      </c>
      <c r="O9" s="1">
        <f>ROUND(Scores_2014_O!AC13,$A$1)</f>
        <v>100</v>
      </c>
      <c r="P9" s="1">
        <f>ROUND(Scores_2014_O!AD13,$A$1)</f>
        <v>50</v>
      </c>
      <c r="Q9" s="1">
        <f>ROUND(Scores_2014_O!AE13,$A$1)</f>
        <v>50</v>
      </c>
      <c r="R9" s="1">
        <f>ROUND(Scores_2014_O!AF13,$A$1)</f>
        <v>50</v>
      </c>
      <c r="S9" s="1">
        <f>ROUND(Scores_2014_O!AG13,$A$1)</f>
        <v>50</v>
      </c>
      <c r="T9" s="1">
        <f>ROUND(Scores_2014_O!AH13,$A$1)</f>
        <v>50</v>
      </c>
      <c r="U9" s="1">
        <f>ROUND(Scores_2014_O!AI13,$A$1)</f>
        <v>50</v>
      </c>
      <c r="V9" s="1">
        <f>ROUND(Scores_2014_O!AJ13,$A$1)</f>
        <v>100</v>
      </c>
      <c r="W9" s="1">
        <f>ROUND(Scores_2014_O!AK13,$A$1)</f>
        <v>50</v>
      </c>
      <c r="X9" s="1">
        <f>ROUND(Scores_2014_O!AL13,$A$1)</f>
        <v>50</v>
      </c>
      <c r="Y9" s="1">
        <f>ROUND(Scores_2014_O!AM13,$A$1)</f>
        <v>50</v>
      </c>
      <c r="Z9" s="1">
        <f>ROUND(Scores_2014_O!AN13,$A$1)</f>
        <v>100</v>
      </c>
      <c r="AA9" s="1">
        <f>ROUND(Scores_2014_O!AO13,$A$1)</f>
        <v>50</v>
      </c>
      <c r="AB9" s="1">
        <f>ROUND(Scores_2014_O!AP13,$A$1)</f>
        <v>50</v>
      </c>
      <c r="AC9" s="1">
        <f>ROUND(Scores_2014_O!AQ13,$A$1)</f>
        <v>100</v>
      </c>
      <c r="AD9" s="1">
        <f>ROUND(Scores_2014_O!AR13,$A$1)</f>
        <v>100</v>
      </c>
      <c r="AE9" s="1">
        <f>ROUND(Scores_2014_O!AS13,$A$1)</f>
        <v>50</v>
      </c>
      <c r="AF9" s="1">
        <f>ROUND(Scores_2014_O!AT13,$A$1)</f>
        <v>50</v>
      </c>
      <c r="AG9" s="1">
        <f>ROUND(Scores_2014_O!AU13,$A$1)</f>
        <v>50</v>
      </c>
      <c r="AH9" s="1">
        <f>ROUND(Scores_2014_O!AV13,$A$1)</f>
        <v>50</v>
      </c>
      <c r="AI9" s="1">
        <f>ROUND(Scores_2014_O!AW13,$A$1)</f>
        <v>50</v>
      </c>
      <c r="AJ9" s="1">
        <f>ROUND(Scores_2014_O!AX13,$A$1)</f>
        <v>100</v>
      </c>
      <c r="AK9" s="1">
        <f>ROUND(Scores_2014_O!AY13,$A$1)</f>
        <v>50</v>
      </c>
      <c r="AL9" s="1">
        <f>ROUND(Scores_2014_O!AZ13,$A$1)</f>
        <v>50</v>
      </c>
      <c r="AM9" s="1">
        <f>ROUND(Scores_2014_O!BA13,$A$1)</f>
        <v>50</v>
      </c>
      <c r="AN9" s="1">
        <f>ROUND(Scores_2014_O!BB13,$A$1)</f>
        <v>50</v>
      </c>
      <c r="AO9" s="1">
        <f>ROUND(Scores_2014_O!BC13,$A$1)</f>
        <v>100</v>
      </c>
      <c r="AP9" s="1">
        <f>ROUND(Scores_2014_O!BD13,$A$1)</f>
        <v>100</v>
      </c>
      <c r="AQ9" s="1">
        <f>ROUND(Scores_2014_O!BE13,$A$1)</f>
        <v>50</v>
      </c>
      <c r="AR9" s="1">
        <f>ROUND(Scores_2014_O!BF13,$A$1)</f>
        <v>100</v>
      </c>
      <c r="AS9" s="1">
        <f>ROUND(Scores_2014_O!BG13,$A$1)</f>
        <v>50</v>
      </c>
      <c r="AT9" s="1">
        <f>ROUND(Scores_2014_O!BH13,$A$1)</f>
        <v>50</v>
      </c>
      <c r="AU9" s="1">
        <f>ROUND(Scores_2014_O!BI13,$A$1)</f>
        <v>50</v>
      </c>
      <c r="AV9" s="1">
        <f>ROUND(Scores_2014_O!BJ13,$A$1)</f>
        <v>100</v>
      </c>
      <c r="AW9" s="1">
        <f>ROUND(Scores_2014_O!BK13,$A$1)</f>
        <v>100</v>
      </c>
      <c r="AX9" s="1">
        <f>ROUND(Scores_2014_O!BL13,$A$1)</f>
        <v>50</v>
      </c>
      <c r="AY9" s="1">
        <f>ROUND(Scores_2014_O!BM13,$A$1)</f>
        <v>50</v>
      </c>
      <c r="BA9" s="1">
        <f t="shared" si="0"/>
        <v>64</v>
      </c>
    </row>
    <row r="10" spans="1:53">
      <c r="A10" s="1" t="str">
        <f>Scores_2014_O!N14</f>
        <v>1.2) Digital Security (Outputs)</v>
      </c>
      <c r="B10" s="1">
        <f>ROUND(Scores_2014_O!P14,$A$1)</f>
        <v>80.08</v>
      </c>
      <c r="C10" s="1">
        <f>ROUND(Scores_2014_O!Q14,$A$1)</f>
        <v>90.96</v>
      </c>
      <c r="D10" s="1">
        <f>ROUND(Scores_2014_O!R14,$A$1)</f>
        <v>48.06</v>
      </c>
      <c r="E10" s="1">
        <f>ROUND(Scores_2014_O!S14,$A$1)</f>
        <v>59.24</v>
      </c>
      <c r="F10" s="1">
        <f>ROUND(Scores_2014_O!T14,$A$1)</f>
        <v>56.07</v>
      </c>
      <c r="G10" s="1">
        <f>ROUND(Scores_2014_O!U14,$A$1)</f>
        <v>75.86</v>
      </c>
      <c r="H10" s="1">
        <f>ROUND(Scores_2014_O!V14,$A$1)</f>
        <v>80.84</v>
      </c>
      <c r="I10" s="1">
        <f>ROUND(Scores_2014_O!W14,$A$1)</f>
        <v>70.47</v>
      </c>
      <c r="J10" s="1">
        <f>ROUND(Scores_2014_O!X14,$A$1)</f>
        <v>49.66</v>
      </c>
      <c r="K10" s="1">
        <f>ROUND(Scores_2014_O!Y14,$A$1)</f>
        <v>77.8</v>
      </c>
      <c r="L10" s="1">
        <f>ROUND(Scores_2014_O!Z14,$A$1)</f>
        <v>64.22</v>
      </c>
      <c r="M10" s="1">
        <f>ROUND(Scores_2014_O!AA14,$A$1)</f>
        <v>52.6</v>
      </c>
      <c r="N10" s="1">
        <f>ROUND(Scores_2014_O!AB14,$A$1)</f>
        <v>48.95</v>
      </c>
      <c r="O10" s="1">
        <f>ROUND(Scores_2014_O!AC14,$A$1)</f>
        <v>76.24</v>
      </c>
      <c r="P10" s="1">
        <f>ROUND(Scores_2014_O!AD14,$A$1)</f>
        <v>49.99</v>
      </c>
      <c r="Q10" s="1">
        <f>ROUND(Scores_2014_O!AE14,$A$1)</f>
        <v>46.63</v>
      </c>
      <c r="R10" s="1">
        <f>ROUND(Scores_2014_O!AF14,$A$1)</f>
        <v>60.14</v>
      </c>
      <c r="S10" s="1">
        <f>ROUND(Scores_2014_O!AG14,$A$1)</f>
        <v>74.75</v>
      </c>
      <c r="T10" s="1">
        <f>ROUND(Scores_2014_O!AH14,$A$1)</f>
        <v>49.85</v>
      </c>
      <c r="U10" s="1">
        <f>ROUND(Scores_2014_O!AI14,$A$1)</f>
        <v>77.51</v>
      </c>
      <c r="V10" s="1">
        <f>ROUND(Scores_2014_O!AJ14,$A$1)</f>
        <v>74.65</v>
      </c>
      <c r="W10" s="1">
        <f>ROUND(Scores_2014_O!AK14,$A$1)</f>
        <v>60.23</v>
      </c>
      <c r="X10" s="1">
        <f>ROUND(Scores_2014_O!AL14,$A$1)</f>
        <v>69.51</v>
      </c>
      <c r="Y10" s="1">
        <f>ROUND(Scores_2014_O!AM14,$A$1)</f>
        <v>67.05</v>
      </c>
      <c r="Z10" s="1">
        <f>ROUND(Scores_2014_O!AN14,$A$1)</f>
        <v>71.23</v>
      </c>
      <c r="AA10" s="1">
        <f>ROUND(Scores_2014_O!AO14,$A$1)</f>
        <v>72.75</v>
      </c>
      <c r="AB10" s="1">
        <f>ROUND(Scores_2014_O!AP14,$A$1)</f>
        <v>49.42</v>
      </c>
      <c r="AC10" s="1">
        <f>ROUND(Scores_2014_O!AQ14,$A$1)</f>
        <v>49.14</v>
      </c>
      <c r="AD10" s="1">
        <f>ROUND(Scores_2014_O!AR14,$A$1)</f>
        <v>73.51</v>
      </c>
      <c r="AE10" s="1">
        <f>ROUND(Scores_2014_O!AS14,$A$1)</f>
        <v>95.33</v>
      </c>
      <c r="AF10" s="1">
        <f>ROUND(Scores_2014_O!AT14,$A$1)</f>
        <v>68.8</v>
      </c>
      <c r="AG10" s="1">
        <f>ROUND(Scores_2014_O!AU14,$A$1)</f>
        <v>55.81</v>
      </c>
      <c r="AH10" s="1">
        <f>ROUND(Scores_2014_O!AV14,$A$1)</f>
        <v>52.85</v>
      </c>
      <c r="AI10" s="1">
        <f>ROUND(Scores_2014_O!AW14,$A$1)</f>
        <v>69.33</v>
      </c>
      <c r="AJ10" s="1">
        <f>ROUND(Scores_2014_O!AX14,$A$1)</f>
        <v>72.37</v>
      </c>
      <c r="AK10" s="1">
        <f>ROUND(Scores_2014_O!AY14,$A$1)</f>
        <v>80.69</v>
      </c>
      <c r="AL10" s="1">
        <f>ROUND(Scores_2014_O!AZ14,$A$1)</f>
        <v>56.19</v>
      </c>
      <c r="AM10" s="1">
        <f>ROUND(Scores_2014_O!BA14,$A$1)</f>
        <v>45.59</v>
      </c>
      <c r="AN10" s="1">
        <f>ROUND(Scores_2014_O!BB14,$A$1)</f>
        <v>54.62</v>
      </c>
      <c r="AO10" s="1">
        <f>ROUND(Scores_2014_O!BC14,$A$1)</f>
        <v>57.82</v>
      </c>
      <c r="AP10" s="1">
        <f>ROUND(Scores_2014_O!BD14,$A$1)</f>
        <v>82.37</v>
      </c>
      <c r="AQ10" s="1">
        <f>ROUND(Scores_2014_O!BE14,$A$1)</f>
        <v>80.31</v>
      </c>
      <c r="AR10" s="1">
        <f>ROUND(Scores_2014_O!BF14,$A$1)</f>
        <v>69.63</v>
      </c>
      <c r="AS10" s="1">
        <f>ROUND(Scores_2014_O!BG14,$A$1)</f>
        <v>81.56</v>
      </c>
      <c r="AT10" s="1">
        <f>ROUND(Scores_2014_O!BH14,$A$1)</f>
        <v>57.15</v>
      </c>
      <c r="AU10" s="1">
        <f>ROUND(Scores_2014_O!BI14,$A$1)</f>
        <v>50.85</v>
      </c>
      <c r="AV10" s="1">
        <f>ROUND(Scores_2014_O!BJ14,$A$1)</f>
        <v>95.7</v>
      </c>
      <c r="AW10" s="1">
        <f>ROUND(Scores_2014_O!BK14,$A$1)</f>
        <v>72.75</v>
      </c>
      <c r="AX10" s="1">
        <f>ROUND(Scores_2014_O!BL14,$A$1)</f>
        <v>74.65</v>
      </c>
      <c r="AY10" s="1">
        <f>ROUND(Scores_2014_O!BM14,$A$1)</f>
        <v>79.41</v>
      </c>
      <c r="BA10" s="1">
        <f t="shared" si="0"/>
        <v>66.6238</v>
      </c>
    </row>
    <row r="11" spans="1:53">
      <c r="A11" s="1" t="str">
        <f>Scores_2014_O!N15</f>
        <v>1.2.1) Frequency of identity theft</v>
      </c>
      <c r="B11" s="1">
        <f>ROUND(Scores_2014_O!P15,$A$1)</f>
        <v>98</v>
      </c>
      <c r="C11" s="1">
        <f>ROUND(Scores_2014_O!Q15,$A$1)</f>
        <v>98.8</v>
      </c>
      <c r="D11" s="1">
        <f>ROUND(Scores_2014_O!R15,$A$1)</f>
        <v>98</v>
      </c>
      <c r="E11" s="1">
        <f>ROUND(Scores_2014_O!S15,$A$1)</f>
        <v>76</v>
      </c>
      <c r="F11" s="1">
        <f>ROUND(Scores_2014_O!T15,$A$1)</f>
        <v>44</v>
      </c>
      <c r="G11" s="1">
        <f>ROUND(Scores_2014_O!U15,$A$1)</f>
        <v>92</v>
      </c>
      <c r="H11" s="1">
        <f>ROUND(Scores_2014_O!V15,$A$1)</f>
        <v>98</v>
      </c>
      <c r="I11" s="1">
        <f>ROUND(Scores_2014_O!W15,$A$1)</f>
        <v>84</v>
      </c>
      <c r="J11" s="1">
        <f>ROUND(Scores_2014_O!X15,$A$1)</f>
        <v>52</v>
      </c>
      <c r="K11" s="1">
        <f>ROUND(Scores_2014_O!Y15,$A$1)</f>
        <v>98</v>
      </c>
      <c r="L11" s="1">
        <f>ROUND(Scores_2014_O!Z15,$A$1)</f>
        <v>80</v>
      </c>
      <c r="M11" s="1">
        <f>ROUND(Scores_2014_O!AA15,$A$1)</f>
        <v>44</v>
      </c>
      <c r="N11" s="1">
        <f>ROUND(Scores_2014_O!AB15,$A$1)</f>
        <v>98</v>
      </c>
      <c r="O11" s="1">
        <f>ROUND(Scores_2014_O!AC15,$A$1)</f>
        <v>98</v>
      </c>
      <c r="P11" s="1">
        <f>ROUND(Scores_2014_O!AD15,$A$1)</f>
        <v>80</v>
      </c>
      <c r="Q11" s="1">
        <f>ROUND(Scores_2014_O!AE15,$A$1)</f>
        <v>56</v>
      </c>
      <c r="R11" s="1">
        <f>ROUND(Scores_2014_O!AF15,$A$1)</f>
        <v>52</v>
      </c>
      <c r="S11" s="1">
        <f>ROUND(Scores_2014_O!AG15,$A$1)</f>
        <v>98</v>
      </c>
      <c r="T11" s="1">
        <f>ROUND(Scores_2014_O!AH15,$A$1)</f>
        <v>99.56</v>
      </c>
      <c r="U11" s="1">
        <f>ROUND(Scores_2014_O!AI15,$A$1)</f>
        <v>88</v>
      </c>
      <c r="V11" s="1">
        <f>ROUND(Scores_2014_O!AJ15,$A$1)</f>
        <v>84</v>
      </c>
      <c r="W11" s="1">
        <f>ROUND(Scores_2014_O!AK15,$A$1)</f>
        <v>76</v>
      </c>
      <c r="X11" s="1">
        <f>ROUND(Scores_2014_O!AL15,$A$1)</f>
        <v>80</v>
      </c>
      <c r="Y11" s="1">
        <f>ROUND(Scores_2014_O!AM15,$A$1)</f>
        <v>76</v>
      </c>
      <c r="Z11" s="1">
        <f>ROUND(Scores_2014_O!AN15,$A$1)</f>
        <v>100</v>
      </c>
      <c r="AA11" s="1">
        <f>ROUND(Scores_2014_O!AO15,$A$1)</f>
        <v>84</v>
      </c>
      <c r="AB11" s="1">
        <f>ROUND(Scores_2014_O!AP15,$A$1)</f>
        <v>72</v>
      </c>
      <c r="AC11" s="1">
        <f>ROUND(Scores_2014_O!AQ15,$A$1)</f>
        <v>52</v>
      </c>
      <c r="AD11" s="1">
        <f>ROUND(Scores_2014_O!AR15,$A$1)</f>
        <v>84</v>
      </c>
      <c r="AE11" s="1">
        <f>ROUND(Scores_2014_O!AS15,$A$1)</f>
        <v>96</v>
      </c>
      <c r="AF11" s="1">
        <f>ROUND(Scores_2014_O!AT15,$A$1)</f>
        <v>96</v>
      </c>
      <c r="AG11" s="1">
        <f>ROUND(Scores_2014_O!AU15,$A$1)</f>
        <v>72</v>
      </c>
      <c r="AH11" s="1">
        <f>ROUND(Scores_2014_O!AV15,$A$1)</f>
        <v>80</v>
      </c>
      <c r="AI11" s="1">
        <f>ROUND(Scores_2014_O!AW15,$A$1)</f>
        <v>100</v>
      </c>
      <c r="AJ11" s="1">
        <f>ROUND(Scores_2014_O!AX15,$A$1)</f>
        <v>84</v>
      </c>
      <c r="AK11" s="1">
        <f>ROUND(Scores_2014_O!AY15,$A$1)</f>
        <v>98</v>
      </c>
      <c r="AL11" s="1">
        <f>ROUND(Scores_2014_O!AZ15,$A$1)</f>
        <v>72</v>
      </c>
      <c r="AM11" s="1">
        <f>ROUND(Scores_2014_O!BA15,$A$1)</f>
        <v>0</v>
      </c>
      <c r="AN11" s="1">
        <f>ROUND(Scores_2014_O!BB15,$A$1)</f>
        <v>44</v>
      </c>
      <c r="AO11" s="1">
        <f>ROUND(Scores_2014_O!BC15,$A$1)</f>
        <v>44</v>
      </c>
      <c r="AP11" s="1">
        <f>ROUND(Scores_2014_O!BD15,$A$1)</f>
        <v>72</v>
      </c>
      <c r="AQ11" s="1">
        <f>ROUND(Scores_2014_O!BE15,$A$1)</f>
        <v>90.92</v>
      </c>
      <c r="AR11" s="1">
        <f>ROUND(Scores_2014_O!BF15,$A$1)</f>
        <v>80</v>
      </c>
      <c r="AS11" s="1">
        <f>ROUND(Scores_2014_O!BG15,$A$1)</f>
        <v>98</v>
      </c>
      <c r="AT11" s="1">
        <f>ROUND(Scores_2014_O!BH15,$A$1)</f>
        <v>100</v>
      </c>
      <c r="AU11" s="1">
        <f>ROUND(Scores_2014_O!BI15,$A$1)</f>
        <v>44</v>
      </c>
      <c r="AV11" s="1">
        <f>ROUND(Scores_2014_O!BJ15,$A$1)</f>
        <v>96</v>
      </c>
      <c r="AW11" s="1">
        <f>ROUND(Scores_2014_O!BK15,$A$1)</f>
        <v>84</v>
      </c>
      <c r="AX11" s="1">
        <f>ROUND(Scores_2014_O!BL15,$A$1)</f>
        <v>84</v>
      </c>
      <c r="AY11" s="1">
        <f>ROUND(Scores_2014_O!BM15,$A$1)</f>
        <v>96</v>
      </c>
      <c r="BA11" s="1">
        <f t="shared" si="0"/>
        <v>79.4256</v>
      </c>
    </row>
    <row r="12" spans="1:53">
      <c r="A12" s="1" t="str">
        <f>Scores_2014_O!N16</f>
        <v>1.2.2) Percentage of computers infected</v>
      </c>
      <c r="B12" s="1">
        <f>ROUND(Scores_2014_O!P16,$A$1)</f>
        <v>50</v>
      </c>
      <c r="C12" s="1">
        <f>ROUND(Scores_2014_O!Q16,$A$1)</f>
        <v>75</v>
      </c>
      <c r="D12" s="1">
        <f>ROUND(Scores_2014_O!R16,$A$1)</f>
        <v>25</v>
      </c>
      <c r="E12" s="1">
        <f>ROUND(Scores_2014_O!S16,$A$1)</f>
        <v>25</v>
      </c>
      <c r="F12" s="1">
        <f>ROUND(Scores_2014_O!T16,$A$1)</f>
        <v>50</v>
      </c>
      <c r="G12" s="1">
        <f>ROUND(Scores_2014_O!U16,$A$1)</f>
        <v>50</v>
      </c>
      <c r="H12" s="1">
        <f>ROUND(Scores_2014_O!V16,$A$1)</f>
        <v>75</v>
      </c>
      <c r="I12" s="1">
        <f>ROUND(Scores_2014_O!W16,$A$1)</f>
        <v>50</v>
      </c>
      <c r="J12" s="1">
        <f>ROUND(Scores_2014_O!X16,$A$1)</f>
        <v>50</v>
      </c>
      <c r="K12" s="1">
        <f>ROUND(Scores_2014_O!Y16,$A$1)</f>
        <v>50</v>
      </c>
      <c r="L12" s="1">
        <f>ROUND(Scores_2014_O!Z16,$A$1)</f>
        <v>25</v>
      </c>
      <c r="M12" s="1">
        <f>ROUND(Scores_2014_O!AA16,$A$1)</f>
        <v>50</v>
      </c>
      <c r="N12" s="1">
        <f>ROUND(Scores_2014_O!AB16,$A$1)</f>
        <v>0</v>
      </c>
      <c r="O12" s="1">
        <f>ROUND(Scores_2014_O!AC16,$A$1)</f>
        <v>50</v>
      </c>
      <c r="P12" s="1">
        <f>ROUND(Scores_2014_O!AD16,$A$1)</f>
        <v>25</v>
      </c>
      <c r="Q12" s="1">
        <f>ROUND(Scores_2014_O!AE16,$A$1)</f>
        <v>50</v>
      </c>
      <c r="R12" s="1">
        <f>ROUND(Scores_2014_O!AF16,$A$1)</f>
        <v>75</v>
      </c>
      <c r="S12" s="1">
        <f>ROUND(Scores_2014_O!AG16,$A$1)</f>
        <v>50</v>
      </c>
      <c r="T12" s="1">
        <f>ROUND(Scores_2014_O!AH16,$A$1)</f>
        <v>50</v>
      </c>
      <c r="U12" s="1">
        <f>ROUND(Scores_2014_O!AI16,$A$1)</f>
        <v>50</v>
      </c>
      <c r="V12" s="1">
        <f>ROUND(Scores_2014_O!AJ16,$A$1)</f>
        <v>50</v>
      </c>
      <c r="W12" s="1">
        <f>ROUND(Scores_2014_O!AK16,$A$1)</f>
        <v>25</v>
      </c>
      <c r="X12" s="1">
        <f>ROUND(Scores_2014_O!AL16,$A$1)</f>
        <v>50</v>
      </c>
      <c r="Y12" s="1">
        <f>ROUND(Scores_2014_O!AM16,$A$1)</f>
        <v>75</v>
      </c>
      <c r="Z12" s="1">
        <f>ROUND(Scores_2014_O!AN16,$A$1)</f>
        <v>50</v>
      </c>
      <c r="AA12" s="1">
        <f>ROUND(Scores_2014_O!AO16,$A$1)</f>
        <v>50</v>
      </c>
      <c r="AB12" s="1">
        <f>ROUND(Scores_2014_O!AP16,$A$1)</f>
        <v>0</v>
      </c>
      <c r="AC12" s="1">
        <f>ROUND(Scores_2014_O!AQ16,$A$1)</f>
        <v>50</v>
      </c>
      <c r="AD12" s="1">
        <f>ROUND(Scores_2014_O!AR16,$A$1)</f>
        <v>50</v>
      </c>
      <c r="AE12" s="1">
        <f>ROUND(Scores_2014_O!AS16,$A$1)</f>
        <v>100</v>
      </c>
      <c r="AF12" s="1">
        <f>ROUND(Scores_2014_O!AT16,$A$1)</f>
        <v>25</v>
      </c>
      <c r="AG12" s="1">
        <f>ROUND(Scores_2014_O!AU16,$A$1)</f>
        <v>50</v>
      </c>
      <c r="AH12" s="1">
        <f>ROUND(Scores_2014_O!AV16,$A$1)</f>
        <v>25</v>
      </c>
      <c r="AI12" s="1">
        <f>ROUND(Scores_2014_O!AW16,$A$1)</f>
        <v>50</v>
      </c>
      <c r="AJ12" s="1">
        <f>ROUND(Scores_2014_O!AX16,$A$1)</f>
        <v>50</v>
      </c>
      <c r="AK12" s="1">
        <f>ROUND(Scores_2014_O!AY16,$A$1)</f>
        <v>75</v>
      </c>
      <c r="AL12" s="1">
        <f>ROUND(Scores_2014_O!AZ16,$A$1)</f>
        <v>50</v>
      </c>
      <c r="AM12" s="1">
        <f>ROUND(Scores_2014_O!BA16,$A$1)</f>
        <v>50</v>
      </c>
      <c r="AN12" s="1">
        <f>ROUND(Scores_2014_O!BB16,$A$1)</f>
        <v>50</v>
      </c>
      <c r="AO12" s="1">
        <f>ROUND(Scores_2014_O!BC16,$A$1)</f>
        <v>50</v>
      </c>
      <c r="AP12" s="1">
        <f>ROUND(Scores_2014_O!BD16,$A$1)</f>
        <v>100</v>
      </c>
      <c r="AQ12" s="1">
        <f>ROUND(Scores_2014_O!BE16,$A$1)</f>
        <v>50</v>
      </c>
      <c r="AR12" s="1">
        <f>ROUND(Scores_2014_O!BF16,$A$1)</f>
        <v>50</v>
      </c>
      <c r="AS12" s="1">
        <f>ROUND(Scores_2014_O!BG16,$A$1)</f>
        <v>75</v>
      </c>
      <c r="AT12" s="1">
        <f>ROUND(Scores_2014_O!BH16,$A$1)</f>
        <v>50</v>
      </c>
      <c r="AU12" s="1">
        <f>ROUND(Scores_2014_O!BI16,$A$1)</f>
        <v>50</v>
      </c>
      <c r="AV12" s="1">
        <f>ROUND(Scores_2014_O!BJ16,$A$1)</f>
        <v>100</v>
      </c>
      <c r="AW12" s="1">
        <f>ROUND(Scores_2014_O!BK16,$A$1)</f>
        <v>50</v>
      </c>
      <c r="AX12" s="1">
        <f>ROUND(Scores_2014_O!BL16,$A$1)</f>
        <v>50</v>
      </c>
      <c r="AY12" s="1">
        <f>ROUND(Scores_2014_O!BM16,$A$1)</f>
        <v>50</v>
      </c>
      <c r="BA12" s="1">
        <f t="shared" si="0"/>
        <v>50.5</v>
      </c>
    </row>
    <row r="13" spans="1:53">
      <c r="A13" s="1" t="str">
        <f>Scores_2014_O!N17</f>
        <v>1.2.3) Percent with internet access</v>
      </c>
      <c r="B13" s="1">
        <f>ROUND(Scores_2014_O!P17,$A$1)</f>
        <v>92.24</v>
      </c>
      <c r="C13" s="1">
        <f>ROUND(Scores_2014_O!Q17,$A$1)</f>
        <v>99.09</v>
      </c>
      <c r="D13" s="1">
        <f>ROUND(Scores_2014_O!R17,$A$1)</f>
        <v>21.19</v>
      </c>
      <c r="E13" s="1">
        <f>ROUND(Scores_2014_O!S17,$A$1)</f>
        <v>76.71</v>
      </c>
      <c r="F13" s="1">
        <f>ROUND(Scores_2014_O!T17,$A$1)</f>
        <v>74.2</v>
      </c>
      <c r="G13" s="1">
        <f>ROUND(Scores_2014_O!U17,$A$1)</f>
        <v>85.58</v>
      </c>
      <c r="H13" s="1">
        <f>ROUND(Scores_2014_O!V17,$A$1)</f>
        <v>69.51</v>
      </c>
      <c r="I13" s="1">
        <f>ROUND(Scores_2014_O!W17,$A$1)</f>
        <v>77.4</v>
      </c>
      <c r="J13" s="1">
        <f>ROUND(Scores_2014_O!X17,$A$1)</f>
        <v>46.97</v>
      </c>
      <c r="K13" s="1">
        <f>ROUND(Scores_2014_O!Y17,$A$1)</f>
        <v>85.39</v>
      </c>
      <c r="L13" s="1">
        <f>ROUND(Scores_2014_O!Z17,$A$1)</f>
        <v>87.67</v>
      </c>
      <c r="M13" s="1">
        <f>ROUND(Scores_2014_O!AA17,$A$1)</f>
        <v>63.81</v>
      </c>
      <c r="N13" s="1">
        <f>ROUND(Scores_2014_O!AB17,$A$1)</f>
        <v>48.86</v>
      </c>
      <c r="O13" s="1">
        <f>ROUND(Scores_2014_O!AC17,$A$1)</f>
        <v>80.71</v>
      </c>
      <c r="P13" s="1">
        <f>ROUND(Scores_2014_O!AD17,$A$1)</f>
        <v>44.98</v>
      </c>
      <c r="Q13" s="1">
        <f>ROUND(Scores_2014_O!AE17,$A$1)</f>
        <v>33.9</v>
      </c>
      <c r="R13" s="1">
        <f>ROUND(Scores_2014_O!AF17,$A$1)</f>
        <v>53.42</v>
      </c>
      <c r="S13" s="1">
        <f>ROUND(Scores_2014_O!AG17,$A$1)</f>
        <v>76.26</v>
      </c>
      <c r="T13" s="1">
        <f>ROUND(Scores_2014_O!AH17,$A$1)</f>
        <v>0</v>
      </c>
      <c r="U13" s="1">
        <f>ROUND(Scores_2014_O!AI17,$A$1)</f>
        <v>94.52</v>
      </c>
      <c r="V13" s="1">
        <f>ROUND(Scores_2014_O!AJ17,$A$1)</f>
        <v>89.95</v>
      </c>
      <c r="W13" s="1">
        <f>ROUND(Scores_2014_O!AK17,$A$1)</f>
        <v>79.68</v>
      </c>
      <c r="X13" s="1">
        <f>ROUND(Scores_2014_O!AL17,$A$1)</f>
        <v>78.54</v>
      </c>
      <c r="Y13" s="1">
        <f>ROUND(Scores_2014_O!AM17,$A$1)</f>
        <v>50.15</v>
      </c>
      <c r="Z13" s="1">
        <f>ROUND(Scores_2014_O!AN17,$A$1)</f>
        <v>63.7</v>
      </c>
      <c r="AA13" s="1">
        <f>ROUND(Scores_2014_O!AO17,$A$1)</f>
        <v>84.25</v>
      </c>
      <c r="AB13" s="1">
        <f>ROUND(Scores_2014_O!AP17,$A$1)</f>
        <v>76.26</v>
      </c>
      <c r="AC13" s="1">
        <f>ROUND(Scores_2014_O!AQ17,$A$1)</f>
        <v>45.43</v>
      </c>
      <c r="AD13" s="1">
        <f>ROUND(Scores_2014_O!AR17,$A$1)</f>
        <v>86.53</v>
      </c>
      <c r="AE13" s="1">
        <f>ROUND(Scores_2014_O!AS17,$A$1)</f>
        <v>89.99</v>
      </c>
      <c r="AF13" s="1">
        <f>ROUND(Scores_2014_O!AT17,$A$1)</f>
        <v>85.39</v>
      </c>
      <c r="AG13" s="1">
        <f>ROUND(Scores_2014_O!AU17,$A$1)</f>
        <v>45.43</v>
      </c>
      <c r="AH13" s="1">
        <f>ROUND(Scores_2014_O!AV17,$A$1)</f>
        <v>53.54</v>
      </c>
      <c r="AI13" s="1">
        <f>ROUND(Scores_2014_O!AW17,$A$1)</f>
        <v>57.99</v>
      </c>
      <c r="AJ13" s="1">
        <f>ROUND(Scores_2014_O!AX17,$A$1)</f>
        <v>83.11</v>
      </c>
      <c r="AK13" s="1">
        <f>ROUND(Scores_2014_O!AY17,$A$1)</f>
        <v>69.06</v>
      </c>
      <c r="AL13" s="1">
        <f>ROUND(Scores_2014_O!AZ17,$A$1)</f>
        <v>46.58</v>
      </c>
      <c r="AM13" s="1">
        <f>ROUND(Scores_2014_O!BA17,$A$1)</f>
        <v>86.76</v>
      </c>
      <c r="AN13" s="1">
        <f>ROUND(Scores_2014_O!BB17,$A$1)</f>
        <v>69.86</v>
      </c>
      <c r="AO13" s="1">
        <f>ROUND(Scores_2014_O!BC17,$A$1)</f>
        <v>79.45</v>
      </c>
      <c r="AP13" s="1">
        <f>ROUND(Scores_2014_O!BD17,$A$1)</f>
        <v>75.11</v>
      </c>
      <c r="AQ13" s="1">
        <f>ROUND(Scores_2014_O!BE17,$A$1)</f>
        <v>100</v>
      </c>
      <c r="AR13" s="1">
        <f>ROUND(Scores_2014_O!BF17,$A$1)</f>
        <v>78.88</v>
      </c>
      <c r="AS13" s="1">
        <f>ROUND(Scores_2014_O!BG17,$A$1)</f>
        <v>71.69</v>
      </c>
      <c r="AT13" s="1">
        <f>ROUND(Scores_2014_O!BH17,$A$1)</f>
        <v>21.46</v>
      </c>
      <c r="AU13" s="1">
        <f>ROUND(Scores_2014_O!BI17,$A$1)</f>
        <v>58.56</v>
      </c>
      <c r="AV13" s="1">
        <f>ROUND(Scores_2014_O!BJ17,$A$1)</f>
        <v>91.1</v>
      </c>
      <c r="AW13" s="1">
        <f>ROUND(Scores_2014_O!BK17,$A$1)</f>
        <v>84.25</v>
      </c>
      <c r="AX13" s="1">
        <f>ROUND(Scores_2014_O!BL17,$A$1)</f>
        <v>89.95</v>
      </c>
      <c r="AY13" s="1">
        <f>ROUND(Scores_2014_O!BM17,$A$1)</f>
        <v>92.24</v>
      </c>
      <c r="BA13" s="1">
        <f t="shared" si="0"/>
        <v>69.946</v>
      </c>
    </row>
    <row r="14" spans="1:53">
      <c r="A14" s="1" t="str">
        <f>Scores_2014_O!N18</f>
        <v>2) HEALTH SECURITY</v>
      </c>
      <c r="B14" s="1">
        <f>ROUND(Scores_2014_O!P18,$A$1)</f>
        <v>52.06</v>
      </c>
      <c r="C14" s="1">
        <f>ROUND(Scores_2014_O!Q18,$A$1)</f>
        <v>74.28</v>
      </c>
      <c r="D14" s="1">
        <f>ROUND(Scores_2014_O!R18,$A$1)</f>
        <v>60.5</v>
      </c>
      <c r="E14" s="1">
        <f>ROUND(Scores_2014_O!S18,$A$1)</f>
        <v>76.35</v>
      </c>
      <c r="F14" s="1">
        <f>ROUND(Scores_2014_O!T18,$A$1)</f>
        <v>64.1</v>
      </c>
      <c r="G14" s="1">
        <f>ROUND(Scores_2014_O!U18,$A$1)</f>
        <v>77.63</v>
      </c>
      <c r="H14" s="1">
        <f>ROUND(Scores_2014_O!V18,$A$1)</f>
        <v>64.64</v>
      </c>
      <c r="I14" s="1">
        <f>ROUND(Scores_2014_O!W18,$A$1)</f>
        <v>69.71</v>
      </c>
      <c r="J14" s="1">
        <f>ROUND(Scores_2014_O!X18,$A$1)</f>
        <v>53.76</v>
      </c>
      <c r="K14" s="1">
        <f>ROUND(Scores_2014_O!Y18,$A$1)</f>
        <v>54.16</v>
      </c>
      <c r="L14" s="1">
        <f>ROUND(Scores_2014_O!Z18,$A$1)</f>
        <v>77.38</v>
      </c>
      <c r="M14" s="1">
        <f>ROUND(Scores_2014_O!AA18,$A$1)</f>
        <v>60.07</v>
      </c>
      <c r="N14" s="1">
        <f>ROUND(Scores_2014_O!AB18,$A$1)</f>
        <v>48.39</v>
      </c>
      <c r="O14" s="1">
        <f>ROUND(Scores_2014_O!AC18,$A$1)</f>
        <v>73.61</v>
      </c>
      <c r="P14" s="1">
        <f>ROUND(Scores_2014_O!AD18,$A$1)</f>
        <v>50.77</v>
      </c>
      <c r="Q14" s="1">
        <f>ROUND(Scores_2014_O!AE18,$A$1)</f>
        <v>53.11</v>
      </c>
      <c r="R14" s="1">
        <f>ROUND(Scores_2014_O!AF18,$A$1)</f>
        <v>50.17</v>
      </c>
      <c r="S14" s="1">
        <f>ROUND(Scores_2014_O!AG18,$A$1)</f>
        <v>56.81</v>
      </c>
      <c r="T14" s="1">
        <f>ROUND(Scores_2014_O!AH18,$A$1)</f>
        <v>54.44</v>
      </c>
      <c r="U14" s="1">
        <f>ROUND(Scores_2014_O!AI18,$A$1)</f>
        <v>69.78</v>
      </c>
      <c r="V14" s="1">
        <f>ROUND(Scores_2014_O!AJ18,$A$1)</f>
        <v>66.57</v>
      </c>
      <c r="W14" s="1">
        <f>ROUND(Scores_2014_O!AK18,$A$1)</f>
        <v>75.53</v>
      </c>
      <c r="X14" s="1">
        <f>ROUND(Scores_2014_O!AL18,$A$1)</f>
        <v>74.27</v>
      </c>
      <c r="Y14" s="1">
        <f>ROUND(Scores_2014_O!AM18,$A$1)</f>
        <v>61.16</v>
      </c>
      <c r="Z14" s="1">
        <f>ROUND(Scores_2014_O!AN18,$A$1)</f>
        <v>66.16</v>
      </c>
      <c r="AA14" s="1">
        <f>ROUND(Scores_2014_O!AO18,$A$1)</f>
        <v>72.4</v>
      </c>
      <c r="AB14" s="1">
        <f>ROUND(Scores_2014_O!AP18,$A$1)</f>
        <v>68.93</v>
      </c>
      <c r="AC14" s="1">
        <f>ROUND(Scores_2014_O!AQ18,$A$1)</f>
        <v>45.31</v>
      </c>
      <c r="AD14" s="1">
        <f>ROUND(Scores_2014_O!AR18,$A$1)</f>
        <v>78.52</v>
      </c>
      <c r="AE14" s="1">
        <f>ROUND(Scores_2014_O!AS18,$A$1)</f>
        <v>76.55</v>
      </c>
      <c r="AF14" s="1">
        <f>ROUND(Scores_2014_O!AT18,$A$1)</f>
        <v>76.95</v>
      </c>
      <c r="AG14" s="1">
        <f>ROUND(Scores_2014_O!AU18,$A$1)</f>
        <v>57.48</v>
      </c>
      <c r="AH14" s="1">
        <f>ROUND(Scores_2014_O!AV18,$A$1)</f>
        <v>53.33</v>
      </c>
      <c r="AI14" s="1">
        <f>ROUND(Scores_2014_O!AW18,$A$1)</f>
        <v>67.13</v>
      </c>
      <c r="AJ14" s="1">
        <f>ROUND(Scores_2014_O!AX18,$A$1)</f>
        <v>73.53</v>
      </c>
      <c r="AK14" s="1">
        <f>ROUND(Scores_2014_O!AY18,$A$1)</f>
        <v>65.02</v>
      </c>
      <c r="AL14" s="1">
        <f>ROUND(Scores_2014_O!AZ18,$A$1)</f>
        <v>60.37</v>
      </c>
      <c r="AM14" s="1">
        <f>ROUND(Scores_2014_O!BA18,$A$1)</f>
        <v>72.86</v>
      </c>
      <c r="AN14" s="1">
        <f>ROUND(Scores_2014_O!BB18,$A$1)</f>
        <v>63.31</v>
      </c>
      <c r="AO14" s="1">
        <f>ROUND(Scores_2014_O!BC18,$A$1)</f>
        <v>61.85</v>
      </c>
      <c r="AP14" s="1">
        <f>ROUND(Scores_2014_O!BD18,$A$1)</f>
        <v>75.31</v>
      </c>
      <c r="AQ14" s="1">
        <f>ROUND(Scores_2014_O!BE18,$A$1)</f>
        <v>75.83</v>
      </c>
      <c r="AR14" s="1">
        <f>ROUND(Scores_2014_O!BF18,$A$1)</f>
        <v>73.35</v>
      </c>
      <c r="AS14" s="1">
        <f>ROUND(Scores_2014_O!BG18,$A$1)</f>
        <v>76</v>
      </c>
      <c r="AT14" s="1">
        <f>ROUND(Scores_2014_O!BH18,$A$1)</f>
        <v>48.22</v>
      </c>
      <c r="AU14" s="1">
        <f>ROUND(Scores_2014_O!BI18,$A$1)</f>
        <v>60.93</v>
      </c>
      <c r="AV14" s="1">
        <f>ROUND(Scores_2014_O!BJ18,$A$1)</f>
        <v>76.26</v>
      </c>
      <c r="AW14" s="1">
        <f>ROUND(Scores_2014_O!BK18,$A$1)</f>
        <v>70.8</v>
      </c>
      <c r="AX14" s="1">
        <f>ROUND(Scores_2014_O!BL18,$A$1)</f>
        <v>72.53</v>
      </c>
      <c r="AY14" s="1">
        <f>ROUND(Scores_2014_O!BM18,$A$1)</f>
        <v>79.05</v>
      </c>
      <c r="BA14" s="1">
        <f t="shared" si="0"/>
        <v>65.7446</v>
      </c>
    </row>
    <row r="15" spans="1:53">
      <c r="A15" s="1" t="str">
        <f>Scores_2014_O!N19</f>
        <v>2.1) Health Security (Inputs)</v>
      </c>
      <c r="B15" s="1">
        <f>ROUND(Scores_2014_O!P19,$A$1)</f>
        <v>54.38</v>
      </c>
      <c r="C15" s="1">
        <f>ROUND(Scores_2014_O!Q19,$A$1)</f>
        <v>70.51</v>
      </c>
      <c r="D15" s="1">
        <f>ROUND(Scores_2014_O!R19,$A$1)</f>
        <v>54.76</v>
      </c>
      <c r="E15" s="1">
        <f>ROUND(Scores_2014_O!S19,$A$1)</f>
        <v>67.49</v>
      </c>
      <c r="F15" s="1">
        <f>ROUND(Scores_2014_O!T19,$A$1)</f>
        <v>55.38</v>
      </c>
      <c r="G15" s="1">
        <f>ROUND(Scores_2014_O!U19,$A$1)</f>
        <v>77.13</v>
      </c>
      <c r="H15" s="1">
        <f>ROUND(Scores_2014_O!V19,$A$1)</f>
        <v>60.41</v>
      </c>
      <c r="I15" s="1">
        <f>ROUND(Scores_2014_O!W19,$A$1)</f>
        <v>63.93</v>
      </c>
      <c r="J15" s="1">
        <f>ROUND(Scores_2014_O!X19,$A$1)</f>
        <v>51.94</v>
      </c>
      <c r="K15" s="1">
        <f>ROUND(Scores_2014_O!Y19,$A$1)</f>
        <v>52.13</v>
      </c>
      <c r="L15" s="1">
        <f>ROUND(Scores_2014_O!Z19,$A$1)</f>
        <v>70.46</v>
      </c>
      <c r="M15" s="1">
        <f>ROUND(Scores_2014_O!AA19,$A$1)</f>
        <v>55.58</v>
      </c>
      <c r="N15" s="1">
        <f>ROUND(Scores_2014_O!AB19,$A$1)</f>
        <v>36.63</v>
      </c>
      <c r="O15" s="1">
        <f>ROUND(Scores_2014_O!AC19,$A$1)</f>
        <v>65.51</v>
      </c>
      <c r="P15" s="1">
        <f>ROUND(Scores_2014_O!AD19,$A$1)</f>
        <v>35.72</v>
      </c>
      <c r="Q15" s="1">
        <f>ROUND(Scores_2014_O!AE19,$A$1)</f>
        <v>41.41</v>
      </c>
      <c r="R15" s="1">
        <f>ROUND(Scores_2014_O!AF19,$A$1)</f>
        <v>43.99</v>
      </c>
      <c r="S15" s="1">
        <f>ROUND(Scores_2014_O!AG19,$A$1)</f>
        <v>46.24</v>
      </c>
      <c r="T15" s="1">
        <f>ROUND(Scores_2014_O!AH19,$A$1)</f>
        <v>42.91</v>
      </c>
      <c r="U15" s="1">
        <f>ROUND(Scores_2014_O!AI19,$A$1)</f>
        <v>59.12</v>
      </c>
      <c r="V15" s="1">
        <f>ROUND(Scores_2014_O!AJ19,$A$1)</f>
        <v>64.41</v>
      </c>
      <c r="W15" s="1">
        <f>ROUND(Scores_2014_O!AK19,$A$1)</f>
        <v>64.88</v>
      </c>
      <c r="X15" s="1">
        <f>ROUND(Scores_2014_O!AL19,$A$1)</f>
        <v>66.47</v>
      </c>
      <c r="Y15" s="1">
        <f>ROUND(Scores_2014_O!AM19,$A$1)</f>
        <v>53.21</v>
      </c>
      <c r="Z15" s="1">
        <f>ROUND(Scores_2014_O!AN19,$A$1)</f>
        <v>55.13</v>
      </c>
      <c r="AA15" s="1">
        <f>ROUND(Scores_2014_O!AO19,$A$1)</f>
        <v>70.91</v>
      </c>
      <c r="AB15" s="1">
        <f>ROUND(Scores_2014_O!AP19,$A$1)</f>
        <v>66.03</v>
      </c>
      <c r="AC15" s="1">
        <f>ROUND(Scores_2014_O!AQ19,$A$1)</f>
        <v>38.81</v>
      </c>
      <c r="AD15" s="1">
        <f>ROUND(Scores_2014_O!AR19,$A$1)</f>
        <v>67.77</v>
      </c>
      <c r="AE15" s="1">
        <f>ROUND(Scores_2014_O!AS19,$A$1)</f>
        <v>77.57</v>
      </c>
      <c r="AF15" s="1">
        <f>ROUND(Scores_2014_O!AT19,$A$1)</f>
        <v>73.46</v>
      </c>
      <c r="AG15" s="1">
        <f>ROUND(Scores_2014_O!AU19,$A$1)</f>
        <v>56.24</v>
      </c>
      <c r="AH15" s="1">
        <f>ROUND(Scores_2014_O!AV19,$A$1)</f>
        <v>41.24</v>
      </c>
      <c r="AI15" s="1">
        <f>ROUND(Scores_2014_O!AW19,$A$1)</f>
        <v>56.8</v>
      </c>
      <c r="AJ15" s="1">
        <f>ROUND(Scores_2014_O!AX19,$A$1)</f>
        <v>65.22</v>
      </c>
      <c r="AK15" s="1">
        <f>ROUND(Scores_2014_O!AY19,$A$1)</f>
        <v>50.08</v>
      </c>
      <c r="AL15" s="1">
        <f>ROUND(Scores_2014_O!AZ19,$A$1)</f>
        <v>52.16</v>
      </c>
      <c r="AM15" s="1">
        <f>ROUND(Scores_2014_O!BA19,$A$1)</f>
        <v>65.45</v>
      </c>
      <c r="AN15" s="1">
        <f>ROUND(Scores_2014_O!BB19,$A$1)</f>
        <v>54.51</v>
      </c>
      <c r="AO15" s="1">
        <f>ROUND(Scores_2014_O!BC19,$A$1)</f>
        <v>55.81</v>
      </c>
      <c r="AP15" s="1">
        <f>ROUND(Scores_2014_O!BD19,$A$1)</f>
        <v>66.65</v>
      </c>
      <c r="AQ15" s="1">
        <f>ROUND(Scores_2014_O!BE19,$A$1)</f>
        <v>70.73</v>
      </c>
      <c r="AR15" s="1">
        <f>ROUND(Scores_2014_O!BF19,$A$1)</f>
        <v>64.35</v>
      </c>
      <c r="AS15" s="1">
        <f>ROUND(Scores_2014_O!BG19,$A$1)</f>
        <v>81.07</v>
      </c>
      <c r="AT15" s="1">
        <f>ROUND(Scores_2014_O!BH19,$A$1)</f>
        <v>44.32</v>
      </c>
      <c r="AU15" s="1">
        <f>ROUND(Scores_2014_O!BI19,$A$1)</f>
        <v>53.29</v>
      </c>
      <c r="AV15" s="1">
        <f>ROUND(Scores_2014_O!BJ19,$A$1)</f>
        <v>74.36</v>
      </c>
      <c r="AW15" s="1">
        <f>ROUND(Scores_2014_O!BK19,$A$1)</f>
        <v>60.32</v>
      </c>
      <c r="AX15" s="1">
        <f>ROUND(Scores_2014_O!BL19,$A$1)</f>
        <v>73.7</v>
      </c>
      <c r="AY15" s="1">
        <f>ROUND(Scores_2014_O!BM19,$A$1)</f>
        <v>71.27</v>
      </c>
      <c r="BA15" s="1">
        <f t="shared" si="0"/>
        <v>59.237</v>
      </c>
    </row>
    <row r="16" spans="1:53">
      <c r="A16" s="1" t="str">
        <f>Scores_2014_O!N20</f>
        <v>2.1.1) Environmental policies</v>
      </c>
      <c r="B16" s="1">
        <f>ROUND(Scores_2014_O!P20,$A$1)</f>
        <v>53.85</v>
      </c>
      <c r="C16" s="1">
        <f>ROUND(Scores_2014_O!Q20,$A$1)</f>
        <v>88.59</v>
      </c>
      <c r="D16" s="1">
        <f>ROUND(Scores_2014_O!R20,$A$1)</f>
        <v>91.15</v>
      </c>
      <c r="E16" s="1">
        <f>ROUND(Scores_2014_O!S20,$A$1)</f>
        <v>74.36</v>
      </c>
      <c r="F16" s="1">
        <f>ROUND(Scores_2014_O!T20,$A$1)</f>
        <v>73.59</v>
      </c>
      <c r="G16" s="1">
        <f>ROUND(Scores_2014_O!U20,$A$1)</f>
        <v>100</v>
      </c>
      <c r="H16" s="1">
        <f>ROUND(Scores_2014_O!V20,$A$1)</f>
        <v>67.56</v>
      </c>
      <c r="I16" s="1">
        <f>ROUND(Scores_2014_O!W20,$A$1)</f>
        <v>84.36</v>
      </c>
      <c r="J16" s="1">
        <f>ROUND(Scores_2014_O!X20,$A$1)</f>
        <v>84.87</v>
      </c>
      <c r="K16" s="1">
        <f>ROUND(Scores_2014_O!Y20,$A$1)</f>
        <v>17.95</v>
      </c>
      <c r="L16" s="1">
        <f>ROUND(Scores_2014_O!Z20,$A$1)</f>
        <v>68.72</v>
      </c>
      <c r="M16" s="1">
        <f>ROUND(Scores_2014_O!AA20,$A$1)</f>
        <v>83.08</v>
      </c>
      <c r="N16" s="1">
        <f>ROUND(Scores_2014_O!AB20,$A$1)</f>
        <v>28.08</v>
      </c>
      <c r="O16" s="1">
        <f>ROUND(Scores_2014_O!AC20,$A$1)</f>
        <v>97.82</v>
      </c>
      <c r="P16" s="1">
        <f>ROUND(Scores_2014_O!AD20,$A$1)</f>
        <v>11.67</v>
      </c>
      <c r="Q16" s="1">
        <f>ROUND(Scores_2014_O!AE20,$A$1)</f>
        <v>86.67</v>
      </c>
      <c r="R16" s="1">
        <f>ROUND(Scores_2014_O!AF20,$A$1)</f>
        <v>60.77</v>
      </c>
      <c r="S16" s="1">
        <f>ROUND(Scores_2014_O!AG20,$A$1)</f>
        <v>0</v>
      </c>
      <c r="T16" s="1">
        <f>ROUND(Scores_2014_O!AH20,$A$1)</f>
        <v>50.64</v>
      </c>
      <c r="U16" s="1">
        <f>ROUND(Scores_2014_O!AI20,$A$1)</f>
        <v>70.13</v>
      </c>
      <c r="V16" s="1">
        <f>ROUND(Scores_2014_O!AJ20,$A$1)</f>
        <v>92.82</v>
      </c>
      <c r="W16" s="1">
        <f>ROUND(Scores_2014_O!AK20,$A$1)</f>
        <v>74.36</v>
      </c>
      <c r="X16" s="1">
        <f>ROUND(Scores_2014_O!AL20,$A$1)</f>
        <v>71.79</v>
      </c>
      <c r="Y16" s="1">
        <f>ROUND(Scores_2014_O!AM20,$A$1)</f>
        <v>92.18</v>
      </c>
      <c r="Z16" s="1">
        <f>ROUND(Scores_2014_O!AN20,$A$1)</f>
        <v>38.72</v>
      </c>
      <c r="AA16" s="1">
        <f>ROUND(Scores_2014_O!AO20,$A$1)</f>
        <v>67.18</v>
      </c>
      <c r="AB16" s="1">
        <f>ROUND(Scores_2014_O!AP20,$A$1)</f>
        <v>85.9</v>
      </c>
      <c r="AC16" s="1">
        <f>ROUND(Scores_2014_O!AQ20,$A$1)</f>
        <v>51.28</v>
      </c>
      <c r="AD16" s="1">
        <f>ROUND(Scores_2014_O!AR20,$A$1)</f>
        <v>100</v>
      </c>
      <c r="AE16" s="1">
        <f>ROUND(Scores_2014_O!AS20,$A$1)</f>
        <v>95.51</v>
      </c>
      <c r="AF16" s="1">
        <f>ROUND(Scores_2014_O!AT20,$A$1)</f>
        <v>92.82</v>
      </c>
      <c r="AG16" s="1">
        <f>ROUND(Scores_2014_O!AU20,$A$1)</f>
        <v>91.15</v>
      </c>
      <c r="AH16" s="1">
        <f>ROUND(Scores_2014_O!AV20,$A$1)</f>
        <v>0</v>
      </c>
      <c r="AI16" s="1">
        <f>ROUND(Scores_2014_O!AW20,$A$1)</f>
        <v>38.72</v>
      </c>
      <c r="AJ16" s="1">
        <f>ROUND(Scores_2014_O!AX20,$A$1)</f>
        <v>91.41</v>
      </c>
      <c r="AK16" s="1">
        <f>ROUND(Scores_2014_O!AY20,$A$1)</f>
        <v>60.77</v>
      </c>
      <c r="AL16" s="1">
        <f>ROUND(Scores_2014_O!AZ20,$A$1)</f>
        <v>57.31</v>
      </c>
      <c r="AM16" s="1">
        <f>ROUND(Scores_2014_O!BA20,$A$1)</f>
        <v>91.15</v>
      </c>
      <c r="AN16" s="1">
        <f>ROUND(Scores_2014_O!BB20,$A$1)</f>
        <v>80.77</v>
      </c>
      <c r="AO16" s="1">
        <f>ROUND(Scores_2014_O!BC20,$A$1)</f>
        <v>97.82</v>
      </c>
      <c r="AP16" s="1">
        <f>ROUND(Scores_2014_O!BD20,$A$1)</f>
        <v>96.79</v>
      </c>
      <c r="AQ16" s="1">
        <f>ROUND(Scores_2014_O!BE20,$A$1)</f>
        <v>100</v>
      </c>
      <c r="AR16" s="1">
        <f>ROUND(Scores_2014_O!BF20,$A$1)</f>
        <v>57.69</v>
      </c>
      <c r="AS16" s="1">
        <f>ROUND(Scores_2014_O!BG20,$A$1)</f>
        <v>91.15</v>
      </c>
      <c r="AT16" s="1">
        <f>ROUND(Scores_2014_O!BH20,$A$1)</f>
        <v>62.82</v>
      </c>
      <c r="AU16" s="1">
        <f>ROUND(Scores_2014_O!BI20,$A$1)</f>
        <v>73.59</v>
      </c>
      <c r="AV16" s="1">
        <f>ROUND(Scores_2014_O!BJ20,$A$1)</f>
        <v>95.51</v>
      </c>
      <c r="AW16" s="1">
        <f>ROUND(Scores_2014_O!BK20,$A$1)</f>
        <v>48.72</v>
      </c>
      <c r="AX16" s="1">
        <f>ROUND(Scores_2014_O!BL20,$A$1)</f>
        <v>100</v>
      </c>
      <c r="AY16" s="1">
        <f>ROUND(Scores_2014_O!BM20,$A$1)</f>
        <v>84.36</v>
      </c>
      <c r="BA16" s="1">
        <f t="shared" si="0"/>
        <v>71.523</v>
      </c>
    </row>
    <row r="17" spans="1:53">
      <c r="A17" s="1" t="str">
        <f>Scores_2014_O!N21</f>
        <v>2.1.2) Access to healthcare</v>
      </c>
      <c r="B17" s="1">
        <f>ROUND(Scores_2014_O!P21,$A$1)</f>
        <v>74.75</v>
      </c>
      <c r="C17" s="1">
        <f>ROUND(Scores_2014_O!Q21,$A$1)</f>
        <v>100</v>
      </c>
      <c r="D17" s="1">
        <f>ROUND(Scores_2014_O!R21,$A$1)</f>
        <v>62.12</v>
      </c>
      <c r="E17" s="1">
        <f>ROUND(Scores_2014_O!S21,$A$1)</f>
        <v>91.92</v>
      </c>
      <c r="F17" s="1">
        <f>ROUND(Scores_2014_O!T21,$A$1)</f>
        <v>66.36</v>
      </c>
      <c r="G17" s="1">
        <f>ROUND(Scores_2014_O!U21,$A$1)</f>
        <v>100</v>
      </c>
      <c r="H17" s="1">
        <f>ROUND(Scores_2014_O!V21,$A$1)</f>
        <v>87.37</v>
      </c>
      <c r="I17" s="1">
        <f>ROUND(Scores_2014_O!W21,$A$1)</f>
        <v>91.62</v>
      </c>
      <c r="J17" s="1">
        <f>ROUND(Scores_2014_O!X21,$A$1)</f>
        <v>57.88</v>
      </c>
      <c r="K17" s="1">
        <f>ROUND(Scores_2014_O!Y21,$A$1)</f>
        <v>70.71</v>
      </c>
      <c r="L17" s="1">
        <f>ROUND(Scores_2014_O!Z21,$A$1)</f>
        <v>100</v>
      </c>
      <c r="M17" s="1">
        <f>ROUND(Scores_2014_O!AA21,$A$1)</f>
        <v>62.12</v>
      </c>
      <c r="N17" s="1">
        <f>ROUND(Scores_2014_O!AB21,$A$1)</f>
        <v>49.49</v>
      </c>
      <c r="O17" s="1">
        <f>ROUND(Scores_2014_O!AC21,$A$1)</f>
        <v>87.37</v>
      </c>
      <c r="P17" s="1">
        <f>ROUND(Scores_2014_O!AD21,$A$1)</f>
        <v>49.49</v>
      </c>
      <c r="Q17" s="1">
        <f>ROUND(Scores_2014_O!AE21,$A$1)</f>
        <v>45.25</v>
      </c>
      <c r="R17" s="1">
        <f>ROUND(Scores_2014_O!AF21,$A$1)</f>
        <v>57.88</v>
      </c>
      <c r="S17" s="1">
        <f>ROUND(Scores_2014_O!AG21,$A$1)</f>
        <v>70.71</v>
      </c>
      <c r="T17" s="1">
        <f>ROUND(Scores_2014_O!AH21,$A$1)</f>
        <v>66.36</v>
      </c>
      <c r="U17" s="1">
        <f>ROUND(Scores_2014_O!AI21,$A$1)</f>
        <v>69.7</v>
      </c>
      <c r="V17" s="1">
        <f>ROUND(Scores_2014_O!AJ21,$A$1)</f>
        <v>91.62</v>
      </c>
      <c r="W17" s="1">
        <f>ROUND(Scores_2014_O!AK21,$A$1)</f>
        <v>87.37</v>
      </c>
      <c r="X17" s="1">
        <f>ROUND(Scores_2014_O!AL21,$A$1)</f>
        <v>100</v>
      </c>
      <c r="Y17" s="1">
        <f>ROUND(Scores_2014_O!AM21,$A$1)</f>
        <v>66.36</v>
      </c>
      <c r="Z17" s="1">
        <f>ROUND(Scores_2014_O!AN21,$A$1)</f>
        <v>87.88</v>
      </c>
      <c r="AA17" s="1">
        <f>ROUND(Scores_2014_O!AO21,$A$1)</f>
        <v>100</v>
      </c>
      <c r="AB17" s="1">
        <f>ROUND(Scores_2014_O!AP21,$A$1)</f>
        <v>78.99</v>
      </c>
      <c r="AC17" s="1">
        <f>ROUND(Scores_2014_O!AQ21,$A$1)</f>
        <v>53.74</v>
      </c>
      <c r="AD17" s="1">
        <f>ROUND(Scores_2014_O!AR21,$A$1)</f>
        <v>91.62</v>
      </c>
      <c r="AE17" s="1">
        <f>ROUND(Scores_2014_O!AS21,$A$1)</f>
        <v>100</v>
      </c>
      <c r="AF17" s="1">
        <f>ROUND(Scores_2014_O!AT21,$A$1)</f>
        <v>100</v>
      </c>
      <c r="AG17" s="1">
        <f>ROUND(Scores_2014_O!AU21,$A$1)</f>
        <v>66.36</v>
      </c>
      <c r="AH17" s="1">
        <f>ROUND(Scores_2014_O!AV21,$A$1)</f>
        <v>66.67</v>
      </c>
      <c r="AI17" s="1">
        <f>ROUND(Scores_2014_O!AW21,$A$1)</f>
        <v>87.37</v>
      </c>
      <c r="AJ17" s="1">
        <f>ROUND(Scores_2014_O!AX21,$A$1)</f>
        <v>91.62</v>
      </c>
      <c r="AK17" s="1">
        <f>ROUND(Scores_2014_O!AY21,$A$1)</f>
        <v>70.51</v>
      </c>
      <c r="AL17" s="1">
        <f>ROUND(Scores_2014_O!AZ21,$A$1)</f>
        <v>70.51</v>
      </c>
      <c r="AM17" s="1">
        <f>ROUND(Scores_2014_O!BA21,$A$1)</f>
        <v>83.13</v>
      </c>
      <c r="AN17" s="1">
        <f>ROUND(Scores_2014_O!BB21,$A$1)</f>
        <v>62.12</v>
      </c>
      <c r="AO17" s="1">
        <f>ROUND(Scores_2014_O!BC21,$A$1)</f>
        <v>62.12</v>
      </c>
      <c r="AP17" s="1">
        <f>ROUND(Scores_2014_O!BD21,$A$1)</f>
        <v>87.37</v>
      </c>
      <c r="AQ17" s="1">
        <f>ROUND(Scores_2014_O!BE21,$A$1)</f>
        <v>0</v>
      </c>
      <c r="AR17" s="1">
        <f>ROUND(Scores_2014_O!BF21,$A$1)</f>
        <v>100</v>
      </c>
      <c r="AS17" s="1">
        <f>ROUND(Scores_2014_O!BG21,$A$1)</f>
        <v>82.83</v>
      </c>
      <c r="AT17" s="1">
        <f>ROUND(Scores_2014_O!BH21,$A$1)</f>
        <v>62.12</v>
      </c>
      <c r="AU17" s="1">
        <f>ROUND(Scores_2014_O!BI21,$A$1)</f>
        <v>66.36</v>
      </c>
      <c r="AV17" s="1">
        <f>ROUND(Scores_2014_O!BJ21,$A$1)</f>
        <v>100</v>
      </c>
      <c r="AW17" s="1">
        <f>ROUND(Scores_2014_O!BK21,$A$1)</f>
        <v>100</v>
      </c>
      <c r="AX17" s="1">
        <f>ROUND(Scores_2014_O!BL21,$A$1)</f>
        <v>91.62</v>
      </c>
      <c r="AY17" s="1">
        <f>ROUND(Scores_2014_O!BM21,$A$1)</f>
        <v>100</v>
      </c>
      <c r="BA17" s="1">
        <f t="shared" si="0"/>
        <v>77.3878</v>
      </c>
    </row>
    <row r="18" spans="1:53">
      <c r="A18" s="1" t="str">
        <f>Scores_2014_O!N22</f>
        <v>2.1.3) No. of beds per 1000</v>
      </c>
      <c r="B18" s="1">
        <f>ROUND(Scores_2014_O!P22,$A$1)</f>
        <v>11.19</v>
      </c>
      <c r="C18" s="1">
        <f>ROUND(Scores_2014_O!Q22,$A$1)</f>
        <v>19.53</v>
      </c>
      <c r="D18" s="1">
        <f>ROUND(Scores_2014_O!R22,$A$1)</f>
        <v>15.61</v>
      </c>
      <c r="E18" s="1">
        <f>ROUND(Scores_2014_O!S22,$A$1)</f>
        <v>13.36</v>
      </c>
      <c r="F18" s="1">
        <f>ROUND(Scores_2014_O!T22,$A$1)</f>
        <v>20.11</v>
      </c>
      <c r="G18" s="1">
        <f>ROUND(Scores_2014_O!U22,$A$1)</f>
        <v>31.74</v>
      </c>
      <c r="H18" s="1">
        <f>ROUND(Scores_2014_O!V22,$A$1)</f>
        <v>18.69</v>
      </c>
      <c r="I18" s="1">
        <f>ROUND(Scores_2014_O!W22,$A$1)</f>
        <v>10.35</v>
      </c>
      <c r="J18" s="1">
        <f>ROUND(Scores_2014_O!X22,$A$1)</f>
        <v>9.31</v>
      </c>
      <c r="K18" s="1">
        <f>ROUND(Scores_2014_O!Y22,$A$1)</f>
        <v>4.93</v>
      </c>
      <c r="L18" s="1">
        <f>ROUND(Scores_2014_O!Z22,$A$1)</f>
        <v>34.54</v>
      </c>
      <c r="M18" s="1">
        <f>ROUND(Scores_2014_O!AA22,$A$1)</f>
        <v>20.11</v>
      </c>
      <c r="N18" s="1">
        <f>ROUND(Scores_2014_O!AB22,$A$1)</f>
        <v>15.77</v>
      </c>
      <c r="O18" s="1">
        <f>ROUND(Scores_2014_O!AC22,$A$1)</f>
        <v>20.74</v>
      </c>
      <c r="P18" s="1">
        <f>ROUND(Scores_2014_O!AD22,$A$1)</f>
        <v>0</v>
      </c>
      <c r="Q18" s="1">
        <f>ROUND(Scores_2014_O!AE22,$A$1)</f>
        <v>6.6</v>
      </c>
      <c r="R18" s="1">
        <f>ROUND(Scores_2014_O!AF22,$A$1)</f>
        <v>6.18</v>
      </c>
      <c r="S18" s="1">
        <f>ROUND(Scores_2014_O!AG22,$A$1)</f>
        <v>9.1</v>
      </c>
      <c r="T18" s="1">
        <f>ROUND(Scores_2014_O!AH22,$A$1)</f>
        <v>6.6</v>
      </c>
      <c r="U18" s="1">
        <f>ROUND(Scores_2014_O!AI22,$A$1)</f>
        <v>9.1</v>
      </c>
      <c r="V18" s="1">
        <f>ROUND(Scores_2014_O!AJ22,$A$1)</f>
        <v>5.06</v>
      </c>
      <c r="W18" s="1">
        <f>ROUND(Scores_2014_O!AK22,$A$1)</f>
        <v>12.6</v>
      </c>
      <c r="X18" s="1">
        <f>ROUND(Scores_2014_O!AL22,$A$1)</f>
        <v>9.6</v>
      </c>
      <c r="Y18" s="1">
        <f>ROUND(Scores_2014_O!AM22,$A$1)</f>
        <v>4.52</v>
      </c>
      <c r="Z18" s="1">
        <f>ROUND(Scores_2014_O!AN22,$A$1)</f>
        <v>23.28</v>
      </c>
      <c r="AA18" s="1">
        <f>ROUND(Scores_2014_O!AO22,$A$1)</f>
        <v>54.26</v>
      </c>
      <c r="AB18" s="1">
        <f>ROUND(Scores_2014_O!AP22,$A$1)</f>
        <v>40.37</v>
      </c>
      <c r="AC18" s="1">
        <f>ROUND(Scores_2014_O!AQ22,$A$1)</f>
        <v>7.93</v>
      </c>
      <c r="AD18" s="1">
        <f>ROUND(Scores_2014_O!AR22,$A$1)</f>
        <v>12.85</v>
      </c>
      <c r="AE18" s="1">
        <f>ROUND(Scores_2014_O!AS22,$A$1)</f>
        <v>42.88</v>
      </c>
      <c r="AF18" s="1">
        <f>ROUND(Scores_2014_O!AT22,$A$1)</f>
        <v>29.58</v>
      </c>
      <c r="AG18" s="1">
        <f>ROUND(Scores_2014_O!AU22,$A$1)</f>
        <v>7.85</v>
      </c>
      <c r="AH18" s="1">
        <f>ROUND(Scores_2014_O!AV22,$A$1)</f>
        <v>9.14</v>
      </c>
      <c r="AI18" s="1">
        <f>ROUND(Scores_2014_O!AW22,$A$1)</f>
        <v>17.86</v>
      </c>
      <c r="AJ18" s="1">
        <f>ROUND(Scores_2014_O!AX22,$A$1)</f>
        <v>12.44</v>
      </c>
      <c r="AK18" s="1">
        <f>ROUND(Scores_2014_O!AY22,$A$1)</f>
        <v>8.69</v>
      </c>
      <c r="AL18" s="1">
        <f>ROUND(Scores_2014_O!AZ22,$A$1)</f>
        <v>10.77</v>
      </c>
      <c r="AM18" s="1">
        <f>ROUND(Scores_2014_O!BA22,$A$1)</f>
        <v>19.94</v>
      </c>
      <c r="AN18" s="1">
        <f>ROUND(Scores_2014_O!BB22,$A$1)</f>
        <v>19.15</v>
      </c>
      <c r="AO18" s="1">
        <f>ROUND(Scores_2014_O!BC22,$A$1)</f>
        <v>10.27</v>
      </c>
      <c r="AP18" s="1">
        <f>ROUND(Scores_2014_O!BD22,$A$1)</f>
        <v>8.27</v>
      </c>
      <c r="AQ18" s="1">
        <f>ROUND(Scores_2014_O!BE22,$A$1)</f>
        <v>100</v>
      </c>
      <c r="AR18" s="1">
        <f>ROUND(Scores_2014_O!BF22,$A$1)</f>
        <v>12.4</v>
      </c>
      <c r="AS18" s="1">
        <f>ROUND(Scores_2014_O!BG22,$A$1)</f>
        <v>34.12</v>
      </c>
      <c r="AT18" s="1">
        <f>ROUND(Scores_2014_O!BH22,$A$1)</f>
        <v>0.35</v>
      </c>
      <c r="AU18" s="1">
        <f>ROUND(Scores_2014_O!BI22,$A$1)</f>
        <v>15.73</v>
      </c>
      <c r="AV18" s="1">
        <f>ROUND(Scores_2014_O!BJ22,$A$1)</f>
        <v>34.87</v>
      </c>
      <c r="AW18" s="1">
        <f>ROUND(Scores_2014_O!BK22,$A$1)</f>
        <v>10.35</v>
      </c>
      <c r="AX18" s="1">
        <f>ROUND(Scores_2014_O!BL22,$A$1)</f>
        <v>24.53</v>
      </c>
      <c r="AY18" s="1">
        <f>ROUND(Scores_2014_O!BM22,$A$1)</f>
        <v>18.28</v>
      </c>
      <c r="BA18" s="1">
        <f t="shared" si="0"/>
        <v>18.03</v>
      </c>
    </row>
    <row r="19" spans="1:53">
      <c r="A19" s="1" t="str">
        <f>Scores_2014_O!N23</f>
        <v>2.1.4) Number of doctors per 1000</v>
      </c>
      <c r="B19" s="1">
        <f>ROUND(Scores_2014_O!P23,$A$1)</f>
        <v>11.49</v>
      </c>
      <c r="C19" s="1">
        <f>ROUND(Scores_2014_O!Q23,$A$1)</f>
        <v>14.94</v>
      </c>
      <c r="D19" s="1">
        <f>ROUND(Scores_2014_O!R23,$A$1)</f>
        <v>0</v>
      </c>
      <c r="E19" s="1">
        <f>ROUND(Scores_2014_O!S23,$A$1)</f>
        <v>25.29</v>
      </c>
      <c r="F19" s="1">
        <f>ROUND(Scores_2014_O!T23,$A$1)</f>
        <v>18.91</v>
      </c>
      <c r="G19" s="1">
        <f>ROUND(Scores_2014_O!U23,$A$1)</f>
        <v>31.03</v>
      </c>
      <c r="H19" s="1">
        <f>ROUND(Scores_2014_O!V23,$A$1)</f>
        <v>16.67</v>
      </c>
      <c r="I19" s="1">
        <f>ROUND(Scores_2014_O!W23,$A$1)</f>
        <v>13.39</v>
      </c>
      <c r="J19" s="1">
        <f>ROUND(Scores_2014_O!X23,$A$1)</f>
        <v>16.09</v>
      </c>
      <c r="K19" s="1">
        <f>ROUND(Scores_2014_O!Y23,$A$1)</f>
        <v>46.21</v>
      </c>
      <c r="L19" s="1">
        <f>ROUND(Scores_2014_O!Z23,$A$1)</f>
        <v>19.48</v>
      </c>
      <c r="M19" s="1">
        <f>ROUND(Scores_2014_O!AA23,$A$1)</f>
        <v>14.89</v>
      </c>
      <c r="N19" s="1">
        <f>ROUND(Scores_2014_O!AB23,$A$1)</f>
        <v>5.29</v>
      </c>
      <c r="O19" s="1">
        <f>ROUND(Scores_2014_O!AC23,$A$1)</f>
        <v>8.85</v>
      </c>
      <c r="P19" s="1">
        <f>ROUND(Scores_2014_O!AD23,$A$1)</f>
        <v>3.68</v>
      </c>
      <c r="Q19" s="1">
        <f>ROUND(Scores_2014_O!AE23,$A$1)</f>
        <v>0</v>
      </c>
      <c r="R19" s="1">
        <f>ROUND(Scores_2014_O!AF23,$A$1)</f>
        <v>1.72</v>
      </c>
      <c r="S19" s="1">
        <f>ROUND(Scores_2014_O!AG23,$A$1)</f>
        <v>10.75</v>
      </c>
      <c r="T19" s="1">
        <f>ROUND(Scores_2014_O!AH23,$A$1)</f>
        <v>4.6</v>
      </c>
      <c r="U19" s="1">
        <f>ROUND(Scores_2014_O!AI23,$A$1)</f>
        <v>18.28</v>
      </c>
      <c r="V19" s="1">
        <f>ROUND(Scores_2014_O!AJ23,$A$1)</f>
        <v>13.1</v>
      </c>
      <c r="W19" s="1">
        <f>ROUND(Scores_2014_O!AK23,$A$1)</f>
        <v>27.41</v>
      </c>
      <c r="X19" s="1">
        <f>ROUND(Scores_2014_O!AL23,$A$1)</f>
        <v>17.41</v>
      </c>
      <c r="Y19" s="1">
        <f>ROUND(Scores_2014_O!AM23,$A$1)</f>
        <v>12.64</v>
      </c>
      <c r="Z19" s="1">
        <f>ROUND(Scores_2014_O!AN23,$A$1)</f>
        <v>5.92</v>
      </c>
      <c r="AA19" s="1">
        <f>ROUND(Scores_2014_O!AO23,$A$1)</f>
        <v>4.66</v>
      </c>
      <c r="AB19" s="1">
        <f>ROUND(Scores_2014_O!AP23,$A$1)</f>
        <v>20.69</v>
      </c>
      <c r="AC19" s="1">
        <f>ROUND(Scores_2014_O!AQ23,$A$1)</f>
        <v>1.38</v>
      </c>
      <c r="AD19" s="1">
        <f>ROUND(Scores_2014_O!AR23,$A$1)</f>
        <v>18.28</v>
      </c>
      <c r="AE19" s="1">
        <f>ROUND(Scores_2014_O!AS23,$A$1)</f>
        <v>27.01</v>
      </c>
      <c r="AF19" s="1">
        <f>ROUND(Scores_2014_O!AT23,$A$1)</f>
        <v>18.39</v>
      </c>
      <c r="AG19" s="1">
        <f>ROUND(Scores_2014_O!AU23,$A$1)</f>
        <v>18.97</v>
      </c>
      <c r="AH19" s="1">
        <f>ROUND(Scores_2014_O!AV23,$A$1)</f>
        <v>10.92</v>
      </c>
      <c r="AI19" s="1">
        <f>ROUND(Scores_2014_O!AW23,$A$1)</f>
        <v>21.84</v>
      </c>
      <c r="AJ19" s="1">
        <f>ROUND(Scores_2014_O!AX23,$A$1)</f>
        <v>12.01</v>
      </c>
      <c r="AK19" s="1">
        <f>ROUND(Scores_2014_O!AY23,$A$1)</f>
        <v>4.08</v>
      </c>
      <c r="AL19" s="1">
        <f>ROUND(Scores_2014_O!AZ23,$A$1)</f>
        <v>21.26</v>
      </c>
      <c r="AM19" s="1">
        <f>ROUND(Scores_2014_O!BA23,$A$1)</f>
        <v>18.33</v>
      </c>
      <c r="AN19" s="1">
        <f>ROUND(Scores_2014_O!BB23,$A$1)</f>
        <v>11.72</v>
      </c>
      <c r="AO19" s="1">
        <f>ROUND(Scores_2014_O!BC23,$A$1)</f>
        <v>11.32</v>
      </c>
      <c r="AP19" s="1">
        <f>ROUND(Scores_2014_O!BD23,$A$1)</f>
        <v>7.47</v>
      </c>
      <c r="AQ19" s="1">
        <f>ROUND(Scores_2014_O!BE23,$A$1)</f>
        <v>24.37</v>
      </c>
      <c r="AR19" s="1">
        <f>ROUND(Scores_2014_O!BF23,$A$1)</f>
        <v>16.03</v>
      </c>
      <c r="AS19" s="1">
        <f>ROUND(Scores_2014_O!BG23,$A$1)</f>
        <v>100</v>
      </c>
      <c r="AT19" s="1">
        <f>ROUND(Scores_2014_O!BH23,$A$1)</f>
        <v>3.39</v>
      </c>
      <c r="AU19" s="1">
        <f>ROUND(Scores_2014_O!BI23,$A$1)</f>
        <v>10.75</v>
      </c>
      <c r="AV19" s="1">
        <f>ROUND(Scores_2014_O!BJ23,$A$1)</f>
        <v>15.75</v>
      </c>
      <c r="AW19" s="1">
        <f>ROUND(Scores_2014_O!BK23,$A$1)</f>
        <v>3.45</v>
      </c>
      <c r="AX19" s="1">
        <f>ROUND(Scores_2014_O!BL23,$A$1)</f>
        <v>42.18</v>
      </c>
      <c r="AY19" s="1">
        <f>ROUND(Scores_2014_O!BM23,$A$1)</f>
        <v>25</v>
      </c>
      <c r="BA19" s="1">
        <f t="shared" si="0"/>
        <v>16.5458</v>
      </c>
    </row>
    <row r="20" spans="1:53">
      <c r="A20" s="1" t="str">
        <f>Scores_2014_O!N24</f>
        <v>2.1.5) Access to safe and quality food</v>
      </c>
      <c r="B20" s="1">
        <f>ROUND(Scores_2014_O!P24,$A$1)</f>
        <v>100</v>
      </c>
      <c r="C20" s="1">
        <f>ROUND(Scores_2014_O!Q24,$A$1)</f>
        <v>100</v>
      </c>
      <c r="D20" s="1">
        <f>ROUND(Scores_2014_O!R24,$A$1)</f>
        <v>97.17</v>
      </c>
      <c r="E20" s="1">
        <f>ROUND(Scores_2014_O!S24,$A$1)</f>
        <v>100</v>
      </c>
      <c r="F20" s="1">
        <f>ROUND(Scores_2014_O!T24,$A$1)</f>
        <v>90.81</v>
      </c>
      <c r="G20" s="1">
        <f>ROUND(Scores_2014_O!U24,$A$1)</f>
        <v>100</v>
      </c>
      <c r="H20" s="1">
        <f>ROUND(Scores_2014_O!V24,$A$1)</f>
        <v>97.17</v>
      </c>
      <c r="I20" s="1">
        <f>ROUND(Scores_2014_O!W24,$A$1)</f>
        <v>96.36</v>
      </c>
      <c r="J20" s="1">
        <f>ROUND(Scores_2014_O!X24,$A$1)</f>
        <v>81.01</v>
      </c>
      <c r="K20" s="1">
        <f>ROUND(Scores_2014_O!Y24,$A$1)</f>
        <v>97.98</v>
      </c>
      <c r="L20" s="1">
        <f>ROUND(Scores_2014_O!Z24,$A$1)</f>
        <v>100</v>
      </c>
      <c r="M20" s="1">
        <f>ROUND(Scores_2014_O!AA24,$A$1)</f>
        <v>90.81</v>
      </c>
      <c r="N20" s="1">
        <f>ROUND(Scores_2014_O!AB24,$A$1)</f>
        <v>83.64</v>
      </c>
      <c r="O20" s="1">
        <f>ROUND(Scores_2014_O!AC24,$A$1)</f>
        <v>90.81</v>
      </c>
      <c r="P20" s="1">
        <f>ROUND(Scores_2014_O!AD24,$A$1)</f>
        <v>99.49</v>
      </c>
      <c r="Q20" s="1">
        <f>ROUND(Scores_2014_O!AE24,$A$1)</f>
        <v>72.42</v>
      </c>
      <c r="R20" s="1">
        <f>ROUND(Scores_2014_O!AF24,$A$1)</f>
        <v>87.37</v>
      </c>
      <c r="S20" s="1">
        <f>ROUND(Scores_2014_O!AG24,$A$1)</f>
        <v>99.39</v>
      </c>
      <c r="T20" s="1">
        <f>ROUND(Scores_2014_O!AH24,$A$1)</f>
        <v>66.77</v>
      </c>
      <c r="U20" s="1">
        <f>ROUND(Scores_2014_O!AI24,$A$1)</f>
        <v>100</v>
      </c>
      <c r="V20" s="1">
        <f>ROUND(Scores_2014_O!AJ24,$A$1)</f>
        <v>96.36</v>
      </c>
      <c r="W20" s="1">
        <f>ROUND(Scores_2014_O!AK24,$A$1)</f>
        <v>100</v>
      </c>
      <c r="X20" s="1">
        <f>ROUND(Scores_2014_O!AL24,$A$1)</f>
        <v>100</v>
      </c>
      <c r="Y20" s="1">
        <f>ROUND(Scores_2014_O!AM24,$A$1)</f>
        <v>93.54</v>
      </c>
      <c r="Z20" s="1">
        <f>ROUND(Scores_2014_O!AN24,$A$1)</f>
        <v>100</v>
      </c>
      <c r="AA20" s="1">
        <f>ROUND(Scores_2014_O!AO24,$A$1)</f>
        <v>99.39</v>
      </c>
      <c r="AB20" s="1">
        <f>ROUND(Scores_2014_O!AP24,$A$1)</f>
        <v>95.25</v>
      </c>
      <c r="AC20" s="1">
        <f>ROUND(Scores_2014_O!AQ24,$A$1)</f>
        <v>81.01</v>
      </c>
      <c r="AD20" s="1">
        <f>ROUND(Scores_2014_O!AR24,$A$1)</f>
        <v>96.36</v>
      </c>
      <c r="AE20" s="1">
        <f>ROUND(Scores_2014_O!AS24,$A$1)</f>
        <v>100</v>
      </c>
      <c r="AF20" s="1">
        <f>ROUND(Scores_2014_O!AT24,$A$1)</f>
        <v>100</v>
      </c>
      <c r="AG20" s="1">
        <f>ROUND(Scores_2014_O!AU24,$A$1)</f>
        <v>90.61</v>
      </c>
      <c r="AH20" s="1">
        <f>ROUND(Scores_2014_O!AV24,$A$1)</f>
        <v>98.18</v>
      </c>
      <c r="AI20" s="1">
        <f>ROUND(Scores_2014_O!AW24,$A$1)</f>
        <v>100</v>
      </c>
      <c r="AJ20" s="1">
        <f>ROUND(Scores_2014_O!AX24,$A$1)</f>
        <v>96.36</v>
      </c>
      <c r="AK20" s="1">
        <f>ROUND(Scores_2014_O!AY24,$A$1)</f>
        <v>93.94</v>
      </c>
      <c r="AL20" s="1">
        <f>ROUND(Scores_2014_O!AZ24,$A$1)</f>
        <v>90.61</v>
      </c>
      <c r="AM20" s="1">
        <f>ROUND(Scores_2014_O!BA24,$A$1)</f>
        <v>92.63</v>
      </c>
      <c r="AN20" s="1">
        <f>ROUND(Scores_2014_O!BB24,$A$1)</f>
        <v>90.81</v>
      </c>
      <c r="AO20" s="1">
        <f>ROUND(Scores_2014_O!BC24,$A$1)</f>
        <v>90.81</v>
      </c>
      <c r="AP20" s="1">
        <f>ROUND(Scores_2014_O!BD24,$A$1)</f>
        <v>100</v>
      </c>
      <c r="AQ20" s="1">
        <f>ROUND(Scores_2014_O!BE24,$A$1)</f>
        <v>100</v>
      </c>
      <c r="AR20" s="1">
        <f>ROUND(Scores_2014_O!BF24,$A$1)</f>
        <v>100</v>
      </c>
      <c r="AS20" s="1">
        <f>ROUND(Scores_2014_O!BG24,$A$1)</f>
        <v>90.81</v>
      </c>
      <c r="AT20" s="1">
        <f>ROUND(Scores_2014_O!BH24,$A$1)</f>
        <v>74.75</v>
      </c>
      <c r="AU20" s="1">
        <f>ROUND(Scores_2014_O!BI24,$A$1)</f>
        <v>90.81</v>
      </c>
      <c r="AV20" s="1">
        <f>ROUND(Scores_2014_O!BJ24,$A$1)</f>
        <v>100</v>
      </c>
      <c r="AW20" s="1">
        <f>ROUND(Scores_2014_O!BK24,$A$1)</f>
        <v>99.39</v>
      </c>
      <c r="AX20" s="1">
        <f>ROUND(Scores_2014_O!BL24,$A$1)</f>
        <v>96.36</v>
      </c>
      <c r="AY20" s="1">
        <f>ROUND(Scores_2014_O!BM24,$A$1)</f>
        <v>100</v>
      </c>
      <c r="BA20" s="1">
        <f t="shared" si="0"/>
        <v>94.1836</v>
      </c>
    </row>
    <row r="21" spans="1:53">
      <c r="A21" s="1" t="str">
        <f>Scores_2014_O!N25</f>
        <v>2.1.6) Quality of health services</v>
      </c>
      <c r="B21" s="1">
        <f>ROUND(Scores_2014_O!P25,$A$1)</f>
        <v>75</v>
      </c>
      <c r="C21" s="1">
        <f>ROUND(Scores_2014_O!Q25,$A$1)</f>
        <v>100</v>
      </c>
      <c r="D21" s="1">
        <f>ROUND(Scores_2014_O!R25,$A$1)</f>
        <v>62.5</v>
      </c>
      <c r="E21" s="1">
        <f>ROUND(Scores_2014_O!S25,$A$1)</f>
        <v>100</v>
      </c>
      <c r="F21" s="1">
        <f>ROUND(Scores_2014_O!T25,$A$1)</f>
        <v>62.5</v>
      </c>
      <c r="G21" s="1">
        <f>ROUND(Scores_2014_O!U25,$A$1)</f>
        <v>100</v>
      </c>
      <c r="H21" s="1">
        <f>ROUND(Scores_2014_O!V25,$A$1)</f>
        <v>75</v>
      </c>
      <c r="I21" s="1">
        <f>ROUND(Scores_2014_O!W25,$A$1)</f>
        <v>87.5</v>
      </c>
      <c r="J21" s="1">
        <f>ROUND(Scores_2014_O!X25,$A$1)</f>
        <v>62.5</v>
      </c>
      <c r="K21" s="1">
        <f>ROUND(Scores_2014_O!Y25,$A$1)</f>
        <v>75</v>
      </c>
      <c r="L21" s="1">
        <f>ROUND(Scores_2014_O!Z25,$A$1)</f>
        <v>100</v>
      </c>
      <c r="M21" s="1">
        <f>ROUND(Scores_2014_O!AA25,$A$1)</f>
        <v>62.5</v>
      </c>
      <c r="N21" s="1">
        <f>ROUND(Scores_2014_O!AB25,$A$1)</f>
        <v>37.5</v>
      </c>
      <c r="O21" s="1">
        <f>ROUND(Scores_2014_O!AC25,$A$1)</f>
        <v>87.5</v>
      </c>
      <c r="P21" s="1">
        <f>ROUND(Scores_2014_O!AD25,$A$1)</f>
        <v>50</v>
      </c>
      <c r="Q21" s="1">
        <f>ROUND(Scores_2014_O!AE25,$A$1)</f>
        <v>37.5</v>
      </c>
      <c r="R21" s="1">
        <f>ROUND(Scores_2014_O!AF25,$A$1)</f>
        <v>50</v>
      </c>
      <c r="S21" s="1">
        <f>ROUND(Scores_2014_O!AG25,$A$1)</f>
        <v>87.5</v>
      </c>
      <c r="T21" s="1">
        <f>ROUND(Scores_2014_O!AH25,$A$1)</f>
        <v>62.5</v>
      </c>
      <c r="U21" s="1">
        <f>ROUND(Scores_2014_O!AI25,$A$1)</f>
        <v>87.5</v>
      </c>
      <c r="V21" s="1">
        <f>ROUND(Scores_2014_O!AJ25,$A$1)</f>
        <v>87.5</v>
      </c>
      <c r="W21" s="1">
        <f>ROUND(Scores_2014_O!AK25,$A$1)</f>
        <v>87.5</v>
      </c>
      <c r="X21" s="1">
        <f>ROUND(Scores_2014_O!AL25,$A$1)</f>
        <v>100</v>
      </c>
      <c r="Y21" s="1">
        <f>ROUND(Scores_2014_O!AM25,$A$1)</f>
        <v>50</v>
      </c>
      <c r="Z21" s="1">
        <f>ROUND(Scores_2014_O!AN25,$A$1)</f>
        <v>75</v>
      </c>
      <c r="AA21" s="1">
        <f>ROUND(Scores_2014_O!AO25,$A$1)</f>
        <v>100</v>
      </c>
      <c r="AB21" s="1">
        <f>ROUND(Scores_2014_O!AP25,$A$1)</f>
        <v>75</v>
      </c>
      <c r="AC21" s="1">
        <f>ROUND(Scores_2014_O!AQ25,$A$1)</f>
        <v>37.5</v>
      </c>
      <c r="AD21" s="1">
        <f>ROUND(Scores_2014_O!AR25,$A$1)</f>
        <v>87.5</v>
      </c>
      <c r="AE21" s="1">
        <f>ROUND(Scores_2014_O!AS25,$A$1)</f>
        <v>100</v>
      </c>
      <c r="AF21" s="1">
        <f>ROUND(Scores_2014_O!AT25,$A$1)</f>
        <v>100</v>
      </c>
      <c r="AG21" s="1">
        <f>ROUND(Scores_2014_O!AU25,$A$1)</f>
        <v>62.5</v>
      </c>
      <c r="AH21" s="1">
        <f>ROUND(Scores_2014_O!AV25,$A$1)</f>
        <v>62.5</v>
      </c>
      <c r="AI21" s="1">
        <f>ROUND(Scores_2014_O!AW25,$A$1)</f>
        <v>75</v>
      </c>
      <c r="AJ21" s="1">
        <f>ROUND(Scores_2014_O!AX25,$A$1)</f>
        <v>87.5</v>
      </c>
      <c r="AK21" s="1">
        <f>ROUND(Scores_2014_O!AY25,$A$1)</f>
        <v>62.5</v>
      </c>
      <c r="AL21" s="1">
        <f>ROUND(Scores_2014_O!AZ25,$A$1)</f>
        <v>62.5</v>
      </c>
      <c r="AM21" s="1">
        <f>ROUND(Scores_2014_O!BA25,$A$1)</f>
        <v>87.5</v>
      </c>
      <c r="AN21" s="1">
        <f>ROUND(Scores_2014_O!BB25,$A$1)</f>
        <v>62.5</v>
      </c>
      <c r="AO21" s="1">
        <f>ROUND(Scores_2014_O!BC25,$A$1)</f>
        <v>62.5</v>
      </c>
      <c r="AP21" s="1">
        <f>ROUND(Scores_2014_O!BD25,$A$1)</f>
        <v>100</v>
      </c>
      <c r="AQ21" s="1">
        <f>ROUND(Scores_2014_O!BE25,$A$1)</f>
        <v>100</v>
      </c>
      <c r="AR21" s="1">
        <f>ROUND(Scores_2014_O!BF25,$A$1)</f>
        <v>100</v>
      </c>
      <c r="AS21" s="1">
        <f>ROUND(Scores_2014_O!BG25,$A$1)</f>
        <v>87.5</v>
      </c>
      <c r="AT21" s="1">
        <f>ROUND(Scores_2014_O!BH25,$A$1)</f>
        <v>62.5</v>
      </c>
      <c r="AU21" s="1">
        <f>ROUND(Scores_2014_O!BI25,$A$1)</f>
        <v>62.5</v>
      </c>
      <c r="AV21" s="1">
        <f>ROUND(Scores_2014_O!BJ25,$A$1)</f>
        <v>100</v>
      </c>
      <c r="AW21" s="1">
        <f>ROUND(Scores_2014_O!BK25,$A$1)</f>
        <v>100</v>
      </c>
      <c r="AX21" s="1">
        <f>ROUND(Scores_2014_O!BL25,$A$1)</f>
        <v>87.5</v>
      </c>
      <c r="AY21" s="1">
        <f>ROUND(Scores_2014_O!BM25,$A$1)</f>
        <v>100</v>
      </c>
      <c r="BA21" s="1">
        <f t="shared" si="0"/>
        <v>77.75</v>
      </c>
    </row>
    <row r="22" spans="1:53">
      <c r="A22" s="1" t="str">
        <f>Scores_2014_O!N26</f>
        <v>2.2) Health Security (Outputs)</v>
      </c>
      <c r="B22" s="1">
        <f>ROUND(Scores_2014_O!P26,$A$1)</f>
        <v>49.75</v>
      </c>
      <c r="C22" s="1">
        <f>ROUND(Scores_2014_O!Q26,$A$1)</f>
        <v>78.04</v>
      </c>
      <c r="D22" s="1">
        <f>ROUND(Scores_2014_O!R26,$A$1)</f>
        <v>66.24</v>
      </c>
      <c r="E22" s="1">
        <f>ROUND(Scores_2014_O!S26,$A$1)</f>
        <v>85.21</v>
      </c>
      <c r="F22" s="1">
        <f>ROUND(Scores_2014_O!T26,$A$1)</f>
        <v>72.82</v>
      </c>
      <c r="G22" s="1">
        <f>ROUND(Scores_2014_O!U26,$A$1)</f>
        <v>78.12</v>
      </c>
      <c r="H22" s="1">
        <f>ROUND(Scores_2014_O!V26,$A$1)</f>
        <v>68.88</v>
      </c>
      <c r="I22" s="1">
        <f>ROUND(Scores_2014_O!W26,$A$1)</f>
        <v>75.5</v>
      </c>
      <c r="J22" s="1">
        <f>ROUND(Scores_2014_O!X26,$A$1)</f>
        <v>55.58</v>
      </c>
      <c r="K22" s="1">
        <f>ROUND(Scores_2014_O!Y26,$A$1)</f>
        <v>56.19</v>
      </c>
      <c r="L22" s="1">
        <f>ROUND(Scores_2014_O!Z26,$A$1)</f>
        <v>84.31</v>
      </c>
      <c r="M22" s="1">
        <f>ROUND(Scores_2014_O!AA26,$A$1)</f>
        <v>64.56</v>
      </c>
      <c r="N22" s="1">
        <f>ROUND(Scores_2014_O!AB26,$A$1)</f>
        <v>60.15</v>
      </c>
      <c r="O22" s="1">
        <f>ROUND(Scores_2014_O!AC26,$A$1)</f>
        <v>81.71</v>
      </c>
      <c r="P22" s="1">
        <f>ROUND(Scores_2014_O!AD26,$A$1)</f>
        <v>65.81</v>
      </c>
      <c r="Q22" s="1">
        <f>ROUND(Scores_2014_O!AE26,$A$1)</f>
        <v>64.82</v>
      </c>
      <c r="R22" s="1">
        <f>ROUND(Scores_2014_O!AF26,$A$1)</f>
        <v>56.36</v>
      </c>
      <c r="S22" s="1">
        <f>ROUND(Scores_2014_O!AG26,$A$1)</f>
        <v>67.38</v>
      </c>
      <c r="T22" s="1">
        <f>ROUND(Scores_2014_O!AH26,$A$1)</f>
        <v>65.98</v>
      </c>
      <c r="U22" s="1">
        <f>ROUND(Scores_2014_O!AI26,$A$1)</f>
        <v>80.45</v>
      </c>
      <c r="V22" s="1">
        <f>ROUND(Scores_2014_O!AJ26,$A$1)</f>
        <v>68.74</v>
      </c>
      <c r="W22" s="1">
        <f>ROUND(Scores_2014_O!AK26,$A$1)</f>
        <v>86.19</v>
      </c>
      <c r="X22" s="1">
        <f>ROUND(Scores_2014_O!AL26,$A$1)</f>
        <v>82.07</v>
      </c>
      <c r="Y22" s="1">
        <f>ROUND(Scores_2014_O!AM26,$A$1)</f>
        <v>69.11</v>
      </c>
      <c r="Z22" s="1">
        <f>ROUND(Scores_2014_O!AN26,$A$1)</f>
        <v>77.19</v>
      </c>
      <c r="AA22" s="1">
        <f>ROUND(Scores_2014_O!AO26,$A$1)</f>
        <v>73.89</v>
      </c>
      <c r="AB22" s="1">
        <f>ROUND(Scores_2014_O!AP26,$A$1)</f>
        <v>71.83</v>
      </c>
      <c r="AC22" s="1">
        <f>ROUND(Scores_2014_O!AQ26,$A$1)</f>
        <v>51.8</v>
      </c>
      <c r="AD22" s="1">
        <f>ROUND(Scores_2014_O!AR26,$A$1)</f>
        <v>89.27</v>
      </c>
      <c r="AE22" s="1">
        <f>ROUND(Scores_2014_O!AS26,$A$1)</f>
        <v>75.54</v>
      </c>
      <c r="AF22" s="1">
        <f>ROUND(Scores_2014_O!AT26,$A$1)</f>
        <v>80.44</v>
      </c>
      <c r="AG22" s="1">
        <f>ROUND(Scores_2014_O!AU26,$A$1)</f>
        <v>58.72</v>
      </c>
      <c r="AH22" s="1">
        <f>ROUND(Scores_2014_O!AV26,$A$1)</f>
        <v>65.41</v>
      </c>
      <c r="AI22" s="1">
        <f>ROUND(Scores_2014_O!AW26,$A$1)</f>
        <v>77.46</v>
      </c>
      <c r="AJ22" s="1">
        <f>ROUND(Scores_2014_O!AX26,$A$1)</f>
        <v>81.84</v>
      </c>
      <c r="AK22" s="1">
        <f>ROUND(Scores_2014_O!AY26,$A$1)</f>
        <v>79.95</v>
      </c>
      <c r="AL22" s="1">
        <f>ROUND(Scores_2014_O!AZ26,$A$1)</f>
        <v>68.58</v>
      </c>
      <c r="AM22" s="1">
        <f>ROUND(Scores_2014_O!BA26,$A$1)</f>
        <v>80.27</v>
      </c>
      <c r="AN22" s="1">
        <f>ROUND(Scores_2014_O!BB26,$A$1)</f>
        <v>72.1</v>
      </c>
      <c r="AO22" s="1">
        <f>ROUND(Scores_2014_O!BC26,$A$1)</f>
        <v>67.89</v>
      </c>
      <c r="AP22" s="1">
        <f>ROUND(Scores_2014_O!BD26,$A$1)</f>
        <v>83.98</v>
      </c>
      <c r="AQ22" s="1">
        <f>ROUND(Scores_2014_O!BE26,$A$1)</f>
        <v>80.92</v>
      </c>
      <c r="AR22" s="1">
        <f>ROUND(Scores_2014_O!BF26,$A$1)</f>
        <v>82.35</v>
      </c>
      <c r="AS22" s="1">
        <f>ROUND(Scores_2014_O!BG26,$A$1)</f>
        <v>70.94</v>
      </c>
      <c r="AT22" s="1">
        <f>ROUND(Scores_2014_O!BH26,$A$1)</f>
        <v>52.11</v>
      </c>
      <c r="AU22" s="1">
        <f>ROUND(Scores_2014_O!BI26,$A$1)</f>
        <v>68.58</v>
      </c>
      <c r="AV22" s="1">
        <f>ROUND(Scores_2014_O!BJ26,$A$1)</f>
        <v>78.16</v>
      </c>
      <c r="AW22" s="1">
        <f>ROUND(Scores_2014_O!BK26,$A$1)</f>
        <v>81.29</v>
      </c>
      <c r="AX22" s="1">
        <f>ROUND(Scores_2014_O!BL26,$A$1)</f>
        <v>71.36</v>
      </c>
      <c r="AY22" s="1">
        <f>ROUND(Scores_2014_O!BM26,$A$1)</f>
        <v>86.82</v>
      </c>
      <c r="BA22" s="1">
        <f t="shared" si="0"/>
        <v>72.2532</v>
      </c>
    </row>
    <row r="23" spans="1:53">
      <c r="A23" s="1" t="str">
        <f>Scores_2014_O!N27</f>
        <v>2.2.1) Air quality</v>
      </c>
      <c r="B23" s="1">
        <f>ROUND(Scores_2014_O!P27,$A$1)</f>
        <v>36.36</v>
      </c>
      <c r="C23" s="1">
        <f>ROUND(Scores_2014_O!Q27,$A$1)</f>
        <v>82.83</v>
      </c>
      <c r="D23" s="1">
        <f>ROUND(Scores_2014_O!R27,$A$1)</f>
        <v>80.81</v>
      </c>
      <c r="E23" s="1">
        <f>ROUND(Scores_2014_O!S27,$A$1)</f>
        <v>84.85</v>
      </c>
      <c r="F23" s="1">
        <f>ROUND(Scores_2014_O!T27,$A$1)</f>
        <v>44.44</v>
      </c>
      <c r="G23" s="1">
        <f>ROUND(Scores_2014_O!U27,$A$1)</f>
        <v>82.83</v>
      </c>
      <c r="H23" s="1">
        <f>ROUND(Scores_2014_O!V27,$A$1)</f>
        <v>84.85</v>
      </c>
      <c r="I23" s="1">
        <f>ROUND(Scores_2014_O!W27,$A$1)</f>
        <v>87.88</v>
      </c>
      <c r="J23" s="1">
        <f>ROUND(Scores_2014_O!X27,$A$1)</f>
        <v>53.54</v>
      </c>
      <c r="K23" s="1">
        <f>ROUND(Scores_2014_O!Y27,$A$1)</f>
        <v>7.07</v>
      </c>
      <c r="L23" s="1">
        <f>ROUND(Scores_2014_O!Z27,$A$1)</f>
        <v>82.83</v>
      </c>
      <c r="M23" s="1">
        <f>ROUND(Scores_2014_O!AA27,$A$1)</f>
        <v>68.69</v>
      </c>
      <c r="N23" s="1">
        <f>ROUND(Scores_2014_O!AB27,$A$1)</f>
        <v>73.74</v>
      </c>
      <c r="O23" s="1">
        <f>ROUND(Scores_2014_O!AC27,$A$1)</f>
        <v>79.8</v>
      </c>
      <c r="P23" s="1">
        <f>ROUND(Scores_2014_O!AD27,$A$1)</f>
        <v>68.69</v>
      </c>
      <c r="Q23" s="1">
        <f>ROUND(Scores_2014_O!AE27,$A$1)</f>
        <v>79.8</v>
      </c>
      <c r="R23" s="1">
        <f>ROUND(Scores_2014_O!AF27,$A$1)</f>
        <v>49.49</v>
      </c>
      <c r="S23" s="1">
        <f>ROUND(Scores_2014_O!AG27,$A$1)</f>
        <v>40.4</v>
      </c>
      <c r="T23" s="1">
        <f>ROUND(Scores_2014_O!AH27,$A$1)</f>
        <v>62.63</v>
      </c>
      <c r="U23" s="1">
        <f>ROUND(Scores_2014_O!AI27,$A$1)</f>
        <v>84.85</v>
      </c>
      <c r="V23" s="1">
        <f>ROUND(Scores_2014_O!AJ27,$A$1)</f>
        <v>80.81</v>
      </c>
      <c r="W23" s="1">
        <f>ROUND(Scores_2014_O!AK27,$A$1)</f>
        <v>89.9</v>
      </c>
      <c r="X23" s="1">
        <f>ROUND(Scores_2014_O!AL27,$A$1)</f>
        <v>95.96</v>
      </c>
      <c r="Y23" s="1">
        <f>ROUND(Scores_2014_O!AM27,$A$1)</f>
        <v>75.76</v>
      </c>
      <c r="Z23" s="1">
        <f>ROUND(Scores_2014_O!AN27,$A$1)</f>
        <v>67.68</v>
      </c>
      <c r="AA23" s="1">
        <f>ROUND(Scores_2014_O!AO27,$A$1)</f>
        <v>91.92</v>
      </c>
      <c r="AB23" s="1">
        <f>ROUND(Scores_2014_O!AP27,$A$1)</f>
        <v>78.79</v>
      </c>
      <c r="AC23" s="1">
        <f>ROUND(Scores_2014_O!AQ27,$A$1)</f>
        <v>55.56</v>
      </c>
      <c r="AD23" s="1">
        <f>ROUND(Scores_2014_O!AR27,$A$1)</f>
        <v>86.87</v>
      </c>
      <c r="AE23" s="1">
        <f>ROUND(Scores_2014_O!AS27,$A$1)</f>
        <v>91.92</v>
      </c>
      <c r="AF23" s="1">
        <f>ROUND(Scores_2014_O!AT27,$A$1)</f>
        <v>83.84</v>
      </c>
      <c r="AG23" s="1">
        <f>ROUND(Scores_2014_O!AU27,$A$1)</f>
        <v>64.65</v>
      </c>
      <c r="AH23" s="1">
        <f>ROUND(Scores_2014_O!AV27,$A$1)</f>
        <v>72.73</v>
      </c>
      <c r="AI23" s="1">
        <f>ROUND(Scores_2014_O!AW27,$A$1)</f>
        <v>79.8</v>
      </c>
      <c r="AJ23" s="1">
        <f>ROUND(Scores_2014_O!AX27,$A$1)</f>
        <v>90.91</v>
      </c>
      <c r="AK23" s="1">
        <f>ROUND(Scores_2014_O!AY27,$A$1)</f>
        <v>74.75</v>
      </c>
      <c r="AL23" s="1">
        <f>ROUND(Scores_2014_O!AZ27,$A$1)</f>
        <v>81.82</v>
      </c>
      <c r="AM23" s="1">
        <f>ROUND(Scores_2014_O!BA27,$A$1)</f>
        <v>78.79</v>
      </c>
      <c r="AN23" s="1">
        <f>ROUND(Scores_2014_O!BB27,$A$1)</f>
        <v>64.65</v>
      </c>
      <c r="AO23" s="1">
        <f>ROUND(Scores_2014_O!BC27,$A$1)</f>
        <v>74.75</v>
      </c>
      <c r="AP23" s="1">
        <f>ROUND(Scores_2014_O!BD27,$A$1)</f>
        <v>83.84</v>
      </c>
      <c r="AQ23" s="1">
        <f>ROUND(Scores_2014_O!BE27,$A$1)</f>
        <v>93.94</v>
      </c>
      <c r="AR23" s="1">
        <f>ROUND(Scores_2014_O!BF27,$A$1)</f>
        <v>95.96</v>
      </c>
      <c r="AS23" s="1">
        <f>ROUND(Scores_2014_O!BG27,$A$1)</f>
        <v>59.6</v>
      </c>
      <c r="AT23" s="1">
        <f>ROUND(Scores_2014_O!BH27,$A$1)</f>
        <v>70.71</v>
      </c>
      <c r="AU23" s="1">
        <f>ROUND(Scores_2014_O!BI27,$A$1)</f>
        <v>56.57</v>
      </c>
      <c r="AV23" s="1">
        <f>ROUND(Scores_2014_O!BJ27,$A$1)</f>
        <v>90.91</v>
      </c>
      <c r="AW23" s="1">
        <f>ROUND(Scores_2014_O!BK27,$A$1)</f>
        <v>92.93</v>
      </c>
      <c r="AX23" s="1">
        <f>ROUND(Scores_2014_O!BL27,$A$1)</f>
        <v>88.89</v>
      </c>
      <c r="AY23" s="1">
        <f>ROUND(Scores_2014_O!BM27,$A$1)</f>
        <v>86.87</v>
      </c>
      <c r="BA23" s="1">
        <f t="shared" si="0"/>
        <v>74.7692</v>
      </c>
    </row>
    <row r="24" spans="1:53">
      <c r="A24" s="1" t="str">
        <f>Scores_2014_O!N28</f>
        <v>2.2.2) Water quality</v>
      </c>
      <c r="B24" s="1">
        <f>ROUND(Scores_2014_O!P28,$A$1)</f>
        <v>60.61</v>
      </c>
      <c r="C24" s="1">
        <f>ROUND(Scores_2014_O!Q28,$A$1)</f>
        <v>92.02</v>
      </c>
      <c r="D24" s="1">
        <f>ROUND(Scores_2014_O!R28,$A$1)</f>
        <v>47.98</v>
      </c>
      <c r="E24" s="1">
        <f>ROUND(Scores_2014_O!S28,$A$1)</f>
        <v>85.76</v>
      </c>
      <c r="F24" s="1">
        <f>ROUND(Scores_2014_O!T28,$A$1)</f>
        <v>72.12</v>
      </c>
      <c r="G24" s="1">
        <f>ROUND(Scores_2014_O!U28,$A$1)</f>
        <v>90.4</v>
      </c>
      <c r="H24" s="1">
        <f>ROUND(Scores_2014_O!V28,$A$1)</f>
        <v>42.83</v>
      </c>
      <c r="I24" s="1">
        <f>ROUND(Scores_2014_O!W28,$A$1)</f>
        <v>82.02</v>
      </c>
      <c r="J24" s="1">
        <f>ROUND(Scores_2014_O!X28,$A$1)</f>
        <v>55.86</v>
      </c>
      <c r="K24" s="1">
        <f>ROUND(Scores_2014_O!Y28,$A$1)</f>
        <v>34.34</v>
      </c>
      <c r="L24" s="1">
        <f>ROUND(Scores_2014_O!Z28,$A$1)</f>
        <v>88.48</v>
      </c>
      <c r="M24" s="1">
        <f>ROUND(Scores_2014_O!AA28,$A$1)</f>
        <v>54.44</v>
      </c>
      <c r="N24" s="1">
        <f>ROUND(Scores_2014_O!AB28,$A$1)</f>
        <v>54.75</v>
      </c>
      <c r="O24" s="1">
        <f>ROUND(Scores_2014_O!AC28,$A$1)</f>
        <v>64.14</v>
      </c>
      <c r="P24" s="1">
        <f>ROUND(Scores_2014_O!AD28,$A$1)</f>
        <v>55.45</v>
      </c>
      <c r="Q24" s="1">
        <f>ROUND(Scores_2014_O!AE28,$A$1)</f>
        <v>48.69</v>
      </c>
      <c r="R24" s="1">
        <f>ROUND(Scores_2014_O!AF28,$A$1)</f>
        <v>59.49</v>
      </c>
      <c r="S24" s="1">
        <f>ROUND(Scores_2014_O!AG28,$A$1)</f>
        <v>58.59</v>
      </c>
      <c r="T24" s="1">
        <f>ROUND(Scores_2014_O!AH28,$A$1)</f>
        <v>58.59</v>
      </c>
      <c r="U24" s="1">
        <f>ROUND(Scores_2014_O!AI28,$A$1)</f>
        <v>85.66</v>
      </c>
      <c r="V24" s="1">
        <f>ROUND(Scores_2014_O!AJ28,$A$1)</f>
        <v>81.52</v>
      </c>
      <c r="W24" s="1">
        <f>ROUND(Scores_2014_O!AK28,$A$1)</f>
        <v>85.76</v>
      </c>
      <c r="X24" s="1">
        <f>ROUND(Scores_2014_O!AL28,$A$1)</f>
        <v>67.27</v>
      </c>
      <c r="Y24" s="1">
        <f>ROUND(Scores_2014_O!AM28,$A$1)</f>
        <v>65.66</v>
      </c>
      <c r="Z24" s="1">
        <f>ROUND(Scores_2014_O!AN28,$A$1)</f>
        <v>68.48</v>
      </c>
      <c r="AA24" s="1">
        <f>ROUND(Scores_2014_O!AO28,$A$1)</f>
        <v>46.67</v>
      </c>
      <c r="AB24" s="1">
        <f>ROUND(Scores_2014_O!AP28,$A$1)</f>
        <v>67.09</v>
      </c>
      <c r="AC24" s="1">
        <f>ROUND(Scores_2014_O!AQ28,$A$1)</f>
        <v>64.14</v>
      </c>
      <c r="AD24" s="1">
        <f>ROUND(Scores_2014_O!AR28,$A$1)</f>
        <v>88.69</v>
      </c>
      <c r="AE24" s="1">
        <f>ROUND(Scores_2014_O!AS28,$A$1)</f>
        <v>71.01</v>
      </c>
      <c r="AF24" s="1">
        <f>ROUND(Scores_2014_O!AT28,$A$1)</f>
        <v>85.35</v>
      </c>
      <c r="AG24" s="1">
        <f>ROUND(Scores_2014_O!AU28,$A$1)</f>
        <v>54.14</v>
      </c>
      <c r="AH24" s="1">
        <f>ROUND(Scores_2014_O!AV28,$A$1)</f>
        <v>47.47</v>
      </c>
      <c r="AI24" s="1">
        <f>ROUND(Scores_2014_O!AW28,$A$1)</f>
        <v>68.48</v>
      </c>
      <c r="AJ24" s="1">
        <f>ROUND(Scores_2014_O!AX28,$A$1)</f>
        <v>87.27</v>
      </c>
      <c r="AK24" s="1">
        <f>ROUND(Scores_2014_O!AY28,$A$1)</f>
        <v>69.9</v>
      </c>
      <c r="AL24" s="1">
        <f>ROUND(Scores_2014_O!AZ28,$A$1)</f>
        <v>73.33</v>
      </c>
      <c r="AM24" s="1">
        <f>ROUND(Scores_2014_O!BA28,$A$1)</f>
        <v>72.93</v>
      </c>
      <c r="AN24" s="1">
        <f>ROUND(Scores_2014_O!BB28,$A$1)</f>
        <v>62.63</v>
      </c>
      <c r="AO24" s="1">
        <f>ROUND(Scores_2014_O!BC28,$A$1)</f>
        <v>64.14</v>
      </c>
      <c r="AP24" s="1">
        <f>ROUND(Scores_2014_O!BD28,$A$1)</f>
        <v>78.59</v>
      </c>
      <c r="AQ24" s="1">
        <f>ROUND(Scores_2014_O!BE28,$A$1)</f>
        <v>71.11</v>
      </c>
      <c r="AR24" s="1">
        <f>ROUND(Scores_2014_O!BF28,$A$1)</f>
        <v>81.82</v>
      </c>
      <c r="AS24" s="1">
        <f>ROUND(Scores_2014_O!BG28,$A$1)</f>
        <v>62.53</v>
      </c>
      <c r="AT24" s="1">
        <f>ROUND(Scores_2014_O!BH28,$A$1)</f>
        <v>45.45</v>
      </c>
      <c r="AU24" s="1">
        <f>ROUND(Scores_2014_O!BI28,$A$1)</f>
        <v>72.12</v>
      </c>
      <c r="AV24" s="1">
        <f>ROUND(Scores_2014_O!BJ28,$A$1)</f>
        <v>79.29</v>
      </c>
      <c r="AW24" s="1">
        <f>ROUND(Scores_2014_O!BK28,$A$1)</f>
        <v>83.33</v>
      </c>
      <c r="AX24" s="1">
        <f>ROUND(Scores_2014_O!BL28,$A$1)</f>
        <v>66.97</v>
      </c>
      <c r="AY24" s="1">
        <f>ROUND(Scores_2014_O!BM28,$A$1)</f>
        <v>88.69</v>
      </c>
      <c r="BA24" s="1">
        <f t="shared" si="0"/>
        <v>68.281</v>
      </c>
    </row>
    <row r="25" spans="1:53">
      <c r="A25" s="1" t="str">
        <f>Scores_2014_O!N29</f>
        <v>2.2.3) Life expectancy</v>
      </c>
      <c r="B25" s="1">
        <f>ROUND(Scores_2014_O!P29,$A$1)</f>
        <v>66.16</v>
      </c>
      <c r="C25" s="1">
        <f>ROUND(Scores_2014_O!Q29,$A$1)</f>
        <v>73.16</v>
      </c>
      <c r="D25" s="1">
        <f>ROUND(Scores_2014_O!R29,$A$1)</f>
        <v>54.37</v>
      </c>
      <c r="E25" s="1">
        <f>ROUND(Scores_2014_O!S29,$A$1)</f>
        <v>85.93</v>
      </c>
      <c r="F25" s="1">
        <f>ROUND(Scores_2014_O!T29,$A$1)</f>
        <v>82.7</v>
      </c>
      <c r="G25" s="1">
        <f>ROUND(Scores_2014_O!U29,$A$1)</f>
        <v>79.47</v>
      </c>
      <c r="H25" s="1">
        <f>ROUND(Scores_2014_O!V29,$A$1)</f>
        <v>63.88</v>
      </c>
      <c r="I25" s="1">
        <f>ROUND(Scores_2014_O!W29,$A$1)</f>
        <v>69.2</v>
      </c>
      <c r="J25" s="1">
        <f>ROUND(Scores_2014_O!X29,$A$1)</f>
        <v>38.02</v>
      </c>
      <c r="K25" s="1">
        <f>ROUND(Scores_2014_O!Y29,$A$1)</f>
        <v>71.03</v>
      </c>
      <c r="L25" s="1">
        <f>ROUND(Scores_2014_O!Z29,$A$1)</f>
        <v>74.75</v>
      </c>
      <c r="M25" s="1">
        <f>ROUND(Scores_2014_O!AA29,$A$1)</f>
        <v>64.22</v>
      </c>
      <c r="N25" s="1">
        <f>ROUND(Scores_2014_O!AB29,$A$1)</f>
        <v>49.62</v>
      </c>
      <c r="O25" s="1">
        <f>ROUND(Scores_2014_O!AC29,$A$1)</f>
        <v>92.62</v>
      </c>
      <c r="P25" s="1">
        <f>ROUND(Scores_2014_O!AD29,$A$1)</f>
        <v>48.67</v>
      </c>
      <c r="Q25" s="1">
        <f>ROUND(Scores_2014_O!AE29,$A$1)</f>
        <v>51.83</v>
      </c>
      <c r="R25" s="1">
        <f>ROUND(Scores_2014_O!AF29,$A$1)</f>
        <v>0</v>
      </c>
      <c r="S25" s="1">
        <f>ROUND(Scores_2014_O!AG29,$A$1)</f>
        <v>68.59</v>
      </c>
      <c r="T25" s="1">
        <f>ROUND(Scores_2014_O!AH29,$A$1)</f>
        <v>55.13</v>
      </c>
      <c r="U25" s="1">
        <f>ROUND(Scores_2014_O!AI29,$A$1)</f>
        <v>83.69</v>
      </c>
      <c r="V25" s="1">
        <f>ROUND(Scores_2014_O!AJ29,$A$1)</f>
        <v>78.71</v>
      </c>
      <c r="W25" s="1">
        <f>ROUND(Scores_2014_O!AK29,$A$1)</f>
        <v>85.93</v>
      </c>
      <c r="X25" s="1">
        <f>ROUND(Scores_2014_O!AL29,$A$1)</f>
        <v>100</v>
      </c>
      <c r="Y25" s="1">
        <f>ROUND(Scores_2014_O!AM29,$A$1)</f>
        <v>65.78</v>
      </c>
      <c r="Z25" s="1">
        <f>ROUND(Scores_2014_O!AN29,$A$1)</f>
        <v>88.21</v>
      </c>
      <c r="AA25" s="1">
        <f>ROUND(Scores_2014_O!AO29,$A$1)</f>
        <v>82.13</v>
      </c>
      <c r="AB25" s="1">
        <f>ROUND(Scores_2014_O!AP29,$A$1)</f>
        <v>60.46</v>
      </c>
      <c r="AC25" s="1">
        <f>ROUND(Scores_2014_O!AQ29,$A$1)</f>
        <v>43.35</v>
      </c>
      <c r="AD25" s="1">
        <f>ROUND(Scores_2014_O!AR29,$A$1)</f>
        <v>80.99</v>
      </c>
      <c r="AE25" s="1">
        <f>ROUND(Scores_2014_O!AS29,$A$1)</f>
        <v>89.73</v>
      </c>
      <c r="AF25" s="1">
        <f>ROUND(Scores_2014_O!AT29,$A$1)</f>
        <v>83.12</v>
      </c>
      <c r="AG25" s="1">
        <f>ROUND(Scores_2014_O!AU29,$A$1)</f>
        <v>50</v>
      </c>
      <c r="AH25" s="1">
        <f>ROUND(Scores_2014_O!AV29,$A$1)</f>
        <v>58.56</v>
      </c>
      <c r="AI25" s="1">
        <f>ROUND(Scores_2014_O!AW29,$A$1)</f>
        <v>86.69</v>
      </c>
      <c r="AJ25" s="1">
        <f>ROUND(Scores_2014_O!AX29,$A$1)</f>
        <v>77.19</v>
      </c>
      <c r="AK25" s="1">
        <f>ROUND(Scores_2014_O!AY29,$A$1)</f>
        <v>71.63</v>
      </c>
      <c r="AL25" s="1">
        <f>ROUND(Scores_2014_O!AZ29,$A$1)</f>
        <v>43.35</v>
      </c>
      <c r="AM25" s="1">
        <f>ROUND(Scores_2014_O!BA29,$A$1)</f>
        <v>89.2</v>
      </c>
      <c r="AN25" s="1">
        <f>ROUND(Scores_2014_O!BB29,$A$1)</f>
        <v>78.56</v>
      </c>
      <c r="AO25" s="1">
        <f>ROUND(Scores_2014_O!BC29,$A$1)</f>
        <v>59.7</v>
      </c>
      <c r="AP25" s="1">
        <f>ROUND(Scores_2014_O!BD29,$A$1)</f>
        <v>84.41</v>
      </c>
      <c r="AQ25" s="1">
        <f>ROUND(Scores_2014_O!BE29,$A$1)</f>
        <v>86.69</v>
      </c>
      <c r="AR25" s="1">
        <f>ROUND(Scores_2014_O!BF29,$A$1)</f>
        <v>82.89</v>
      </c>
      <c r="AS25" s="1">
        <f>ROUND(Scores_2014_O!BG29,$A$1)</f>
        <v>87.68</v>
      </c>
      <c r="AT25" s="1">
        <f>ROUND(Scores_2014_O!BH29,$A$1)</f>
        <v>64.26</v>
      </c>
      <c r="AU25" s="1">
        <f>ROUND(Scores_2014_O!BI29,$A$1)</f>
        <v>73.35</v>
      </c>
      <c r="AV25" s="1">
        <f>ROUND(Scores_2014_O!BJ29,$A$1)</f>
        <v>86.92</v>
      </c>
      <c r="AW25" s="1">
        <f>ROUND(Scores_2014_O!BK29,$A$1)</f>
        <v>79.85</v>
      </c>
      <c r="AX25" s="1">
        <f>ROUND(Scores_2014_O!BL29,$A$1)</f>
        <v>60.87</v>
      </c>
      <c r="AY25" s="1">
        <f>ROUND(Scores_2014_O!BM29,$A$1)</f>
        <v>90.95</v>
      </c>
      <c r="BA25" s="1">
        <f t="shared" si="0"/>
        <v>70.884</v>
      </c>
    </row>
    <row r="26" spans="1:53">
      <c r="A26" s="1" t="str">
        <f>Scores_2014_O!N30</f>
        <v>2.2.4) Infant mortality (deaths per 1,000 live births)</v>
      </c>
      <c r="B26" s="1">
        <f>ROUND(Scores_2014_O!P30,$A$1)</f>
        <v>85.6</v>
      </c>
      <c r="C26" s="1">
        <f>ROUND(Scores_2014_O!Q30,$A$1)</f>
        <v>91.1</v>
      </c>
      <c r="D26" s="1">
        <f>ROUND(Scores_2014_O!R30,$A$1)</f>
        <v>83.51</v>
      </c>
      <c r="E26" s="1">
        <f>ROUND(Scores_2014_O!S30,$A$1)</f>
        <v>93.38</v>
      </c>
      <c r="F26" s="1">
        <f>ROUND(Scores_2014_O!T30,$A$1)</f>
        <v>94.66</v>
      </c>
      <c r="G26" s="1">
        <f>ROUND(Scores_2014_O!U30,$A$1)</f>
        <v>94.76</v>
      </c>
      <c r="H26" s="1">
        <f>ROUND(Scores_2014_O!V30,$A$1)</f>
        <v>80.89</v>
      </c>
      <c r="I26" s="1">
        <f>ROUND(Scores_2014_O!W30,$A$1)</f>
        <v>84.29</v>
      </c>
      <c r="J26" s="1">
        <f>ROUND(Scores_2014_O!X30,$A$1)</f>
        <v>39.45</v>
      </c>
      <c r="K26" s="1">
        <f>ROUND(Scores_2014_O!Y30,$A$1)</f>
        <v>85.29</v>
      </c>
      <c r="L26" s="1">
        <f>ROUND(Scores_2014_O!Z30,$A$1)</f>
        <v>100</v>
      </c>
      <c r="M26" s="1">
        <f>ROUND(Scores_2014_O!AA30,$A$1)</f>
        <v>70.68</v>
      </c>
      <c r="N26" s="1">
        <f>ROUND(Scores_2014_O!AB30,$A$1)</f>
        <v>49.11</v>
      </c>
      <c r="O26" s="1">
        <f>ROUND(Scores_2014_O!AC30,$A$1)</f>
        <v>98.69</v>
      </c>
      <c r="P26" s="1">
        <f>ROUND(Scores_2014_O!AD30,$A$1)</f>
        <v>87.7</v>
      </c>
      <c r="Q26" s="1">
        <f>ROUND(Scores_2014_O!AE30,$A$1)</f>
        <v>65.45</v>
      </c>
      <c r="R26" s="1">
        <f>ROUND(Scores_2014_O!AF30,$A$1)</f>
        <v>89.01</v>
      </c>
      <c r="S26" s="1">
        <f>ROUND(Scores_2014_O!AG30,$A$1)</f>
        <v>82.43</v>
      </c>
      <c r="T26" s="1">
        <f>ROUND(Scores_2014_O!AH30,$A$1)</f>
        <v>75.92</v>
      </c>
      <c r="U26" s="1">
        <f>ROUND(Scores_2014_O!AI30,$A$1)</f>
        <v>90.05</v>
      </c>
      <c r="V26" s="1">
        <f>ROUND(Scores_2014_O!AJ30,$A$1)</f>
        <v>89.79</v>
      </c>
      <c r="W26" s="1">
        <f>ROUND(Scores_2014_O!AK30,$A$1)</f>
        <v>93.19</v>
      </c>
      <c r="X26" s="1">
        <f>ROUND(Scores_2014_O!AL30,$A$1)</f>
        <v>93.46</v>
      </c>
      <c r="Y26" s="1">
        <f>ROUND(Scores_2014_O!AM30,$A$1)</f>
        <v>54.97</v>
      </c>
      <c r="Z26" s="1">
        <f>ROUND(Scores_2014_O!AN30,$A$1)</f>
        <v>95</v>
      </c>
      <c r="AA26" s="1">
        <f>ROUND(Scores_2014_O!AO30,$A$1)</f>
        <v>89.27</v>
      </c>
      <c r="AB26" s="1">
        <f>ROUND(Scores_2014_O!AP30,$A$1)</f>
        <v>82.72</v>
      </c>
      <c r="AC26" s="1">
        <f>ROUND(Scores_2014_O!AQ30,$A$1)</f>
        <v>11.52</v>
      </c>
      <c r="AD26" s="1">
        <f>ROUND(Scores_2014_O!AR30,$A$1)</f>
        <v>89.79</v>
      </c>
      <c r="AE26" s="1">
        <f>ROUND(Scores_2014_O!AS30,$A$1)</f>
        <v>96.6</v>
      </c>
      <c r="AF26" s="1">
        <f>ROUND(Scores_2014_O!AT30,$A$1)</f>
        <v>93.27</v>
      </c>
      <c r="AG26" s="1">
        <f>ROUND(Scores_2014_O!AU30,$A$1)</f>
        <v>50.05</v>
      </c>
      <c r="AH26" s="1">
        <f>ROUND(Scores_2014_O!AV30,$A$1)</f>
        <v>61.23</v>
      </c>
      <c r="AI26" s="1">
        <f>ROUND(Scores_2014_O!AW30,$A$1)</f>
        <v>85.08</v>
      </c>
      <c r="AJ26" s="1">
        <f>ROUND(Scores_2014_O!AX30,$A$1)</f>
        <v>94.5</v>
      </c>
      <c r="AK26" s="1">
        <f>ROUND(Scores_2014_O!AY30,$A$1)</f>
        <v>83.51</v>
      </c>
      <c r="AL26" s="1">
        <f>ROUND(Scores_2014_O!AZ30,$A$1)</f>
        <v>69.63</v>
      </c>
      <c r="AM26" s="1">
        <f>ROUND(Scores_2014_O!BA30,$A$1)</f>
        <v>89.61</v>
      </c>
      <c r="AN26" s="1">
        <f>ROUND(Scores_2014_O!BB30,$A$1)</f>
        <v>87.17</v>
      </c>
      <c r="AO26" s="1">
        <f>ROUND(Scores_2014_O!BC30,$A$1)</f>
        <v>70.68</v>
      </c>
      <c r="AP26" s="1">
        <f>ROUND(Scores_2014_O!BD30,$A$1)</f>
        <v>95.03</v>
      </c>
      <c r="AQ26" s="1">
        <f>ROUND(Scores_2014_O!BE30,$A$1)</f>
        <v>96.86</v>
      </c>
      <c r="AR26" s="1">
        <f>ROUND(Scores_2014_O!BF30,$A$1)</f>
        <v>93.72</v>
      </c>
      <c r="AS26" s="1">
        <f>ROUND(Scores_2014_O!BG30,$A$1)</f>
        <v>92.23</v>
      </c>
      <c r="AT26" s="1">
        <f>ROUND(Scores_2014_O!BH30,$A$1)</f>
        <v>0</v>
      </c>
      <c r="AU26" s="1">
        <f>ROUND(Scores_2014_O!BI30,$A$1)</f>
        <v>70.68</v>
      </c>
      <c r="AV26" s="1">
        <f>ROUND(Scores_2014_O!BJ30,$A$1)</f>
        <v>96.34</v>
      </c>
      <c r="AW26" s="1">
        <f>ROUND(Scores_2014_O!BK30,$A$1)</f>
        <v>85.34</v>
      </c>
      <c r="AX26" s="1">
        <f>ROUND(Scores_2014_O!BL30,$A$1)</f>
        <v>88.74</v>
      </c>
      <c r="AY26" s="1">
        <f>ROUND(Scores_2014_O!BM30,$A$1)</f>
        <v>90.05</v>
      </c>
      <c r="BA26" s="1">
        <f t="shared" si="0"/>
        <v>80.64</v>
      </c>
    </row>
    <row r="27" spans="1:53">
      <c r="A27" s="1" t="str">
        <f>Scores_2014_O!N31</f>
        <v>2.2.5) Cancer mortality rate ( Cancer deaths per 100,000)</v>
      </c>
      <c r="B27" s="1">
        <f>ROUND(Scores_2014_O!P31,$A$1)</f>
        <v>0</v>
      </c>
      <c r="C27" s="1">
        <f>ROUND(Scores_2014_O!Q31,$A$1)</f>
        <v>51.1</v>
      </c>
      <c r="D27" s="1">
        <f>ROUND(Scores_2014_O!R31,$A$1)</f>
        <v>64.52</v>
      </c>
      <c r="E27" s="1">
        <f>ROUND(Scores_2014_O!S31,$A$1)</f>
        <v>76.15</v>
      </c>
      <c r="F27" s="1">
        <f>ROUND(Scores_2014_O!T31,$A$1)</f>
        <v>70.19</v>
      </c>
      <c r="G27" s="1">
        <f>ROUND(Scores_2014_O!U31,$A$1)</f>
        <v>43.15</v>
      </c>
      <c r="H27" s="1">
        <f>ROUND(Scores_2014_O!V31,$A$1)</f>
        <v>71.93</v>
      </c>
      <c r="I27" s="1">
        <f>ROUND(Scores_2014_O!W31,$A$1)</f>
        <v>54.08</v>
      </c>
      <c r="J27" s="1">
        <f>ROUND(Scores_2014_O!X31,$A$1)</f>
        <v>91.05</v>
      </c>
      <c r="K27" s="1">
        <f>ROUND(Scores_2014_O!Y31,$A$1)</f>
        <v>83.24</v>
      </c>
      <c r="L27" s="1">
        <f>ROUND(Scores_2014_O!Z31,$A$1)</f>
        <v>75.47</v>
      </c>
      <c r="M27" s="1">
        <f>ROUND(Scores_2014_O!AA31,$A$1)</f>
        <v>64.79</v>
      </c>
      <c r="N27" s="1">
        <f>ROUND(Scores_2014_O!AB31,$A$1)</f>
        <v>73.53</v>
      </c>
      <c r="O27" s="1">
        <f>ROUND(Scores_2014_O!AC31,$A$1)</f>
        <v>73.27</v>
      </c>
      <c r="P27" s="1">
        <f>ROUND(Scores_2014_O!AD31,$A$1)</f>
        <v>68.54</v>
      </c>
      <c r="Q27" s="1">
        <f>ROUND(Scores_2014_O!AE31,$A$1)</f>
        <v>78.32</v>
      </c>
      <c r="R27" s="1">
        <f>ROUND(Scores_2014_O!AF31,$A$1)</f>
        <v>83.78</v>
      </c>
      <c r="S27" s="1">
        <f>ROUND(Scores_2014_O!AG31,$A$1)</f>
        <v>86.86</v>
      </c>
      <c r="T27" s="1">
        <f>ROUND(Scores_2014_O!AH31,$A$1)</f>
        <v>77.63</v>
      </c>
      <c r="U27" s="1">
        <f>ROUND(Scores_2014_O!AI31,$A$1)</f>
        <v>58.01</v>
      </c>
      <c r="V27" s="1">
        <f>ROUND(Scores_2014_O!AJ31,$A$1)</f>
        <v>12.86</v>
      </c>
      <c r="W27" s="1">
        <f>ROUND(Scores_2014_O!AK31,$A$1)</f>
        <v>76.15</v>
      </c>
      <c r="X27" s="1">
        <f>ROUND(Scores_2014_O!AL31,$A$1)</f>
        <v>53.66</v>
      </c>
      <c r="Y27" s="1">
        <f>ROUND(Scores_2014_O!AM31,$A$1)</f>
        <v>83.36</v>
      </c>
      <c r="Z27" s="1">
        <f>ROUND(Scores_2014_O!AN31,$A$1)</f>
        <v>66.56</v>
      </c>
      <c r="AA27" s="1">
        <f>ROUND(Scores_2014_O!AO31,$A$1)</f>
        <v>59.48</v>
      </c>
      <c r="AB27" s="1">
        <f>ROUND(Scores_2014_O!AP31,$A$1)</f>
        <v>70.1</v>
      </c>
      <c r="AC27" s="1">
        <f>ROUND(Scores_2014_O!AQ31,$A$1)</f>
        <v>84.45</v>
      </c>
      <c r="AD27" s="1">
        <f>ROUND(Scores_2014_O!AR31,$A$1)</f>
        <v>100</v>
      </c>
      <c r="AE27" s="1">
        <f>ROUND(Scores_2014_O!AS31,$A$1)</f>
        <v>28.44</v>
      </c>
      <c r="AF27" s="1">
        <f>ROUND(Scores_2014_O!AT31,$A$1)</f>
        <v>56.63</v>
      </c>
      <c r="AG27" s="1">
        <f>ROUND(Scores_2014_O!AU31,$A$1)</f>
        <v>74.75</v>
      </c>
      <c r="AH27" s="1">
        <f>ROUND(Scores_2014_O!AV31,$A$1)</f>
        <v>87.09</v>
      </c>
      <c r="AI27" s="1">
        <f>ROUND(Scores_2014_O!AW31,$A$1)</f>
        <v>67.26</v>
      </c>
      <c r="AJ27" s="1">
        <f>ROUND(Scores_2014_O!AX31,$A$1)</f>
        <v>59.34</v>
      </c>
      <c r="AK27" s="1">
        <f>ROUND(Scores_2014_O!AY31,$A$1)</f>
        <v>99.97</v>
      </c>
      <c r="AL27" s="1">
        <f>ROUND(Scores_2014_O!AZ31,$A$1)</f>
        <v>74.75</v>
      </c>
      <c r="AM27" s="1">
        <f>ROUND(Scores_2014_O!BA31,$A$1)</f>
        <v>70.83</v>
      </c>
      <c r="AN27" s="1">
        <f>ROUND(Scores_2014_O!BB31,$A$1)</f>
        <v>67.51</v>
      </c>
      <c r="AO27" s="1">
        <f>ROUND(Scores_2014_O!BC31,$A$1)</f>
        <v>70.19</v>
      </c>
      <c r="AP27" s="1">
        <f>ROUND(Scores_2014_O!BD31,$A$1)</f>
        <v>78.02</v>
      </c>
      <c r="AQ27" s="1">
        <f>ROUND(Scores_2014_O!BE31,$A$1)</f>
        <v>56.01</v>
      </c>
      <c r="AR27" s="1">
        <f>ROUND(Scores_2014_O!BF31,$A$1)</f>
        <v>57.37</v>
      </c>
      <c r="AS27" s="1">
        <f>ROUND(Scores_2014_O!BG31,$A$1)</f>
        <v>52.67</v>
      </c>
      <c r="AT27" s="1">
        <f>ROUND(Scores_2014_O!BH31,$A$1)</f>
        <v>80.15</v>
      </c>
      <c r="AU27" s="1">
        <f>ROUND(Scores_2014_O!BI31,$A$1)</f>
        <v>70.19</v>
      </c>
      <c r="AV27" s="1">
        <f>ROUND(Scores_2014_O!BJ31,$A$1)</f>
        <v>37.37</v>
      </c>
      <c r="AW27" s="1">
        <f>ROUND(Scores_2014_O!BK31,$A$1)</f>
        <v>64.99</v>
      </c>
      <c r="AX27" s="1">
        <f>ROUND(Scores_2014_O!BL31,$A$1)</f>
        <v>51.34</v>
      </c>
      <c r="AY27" s="1">
        <f>ROUND(Scores_2014_O!BM31,$A$1)</f>
        <v>77.53</v>
      </c>
      <c r="BA27" s="1">
        <f t="shared" si="0"/>
        <v>66.6926</v>
      </c>
    </row>
    <row r="28" spans="1:53">
      <c r="A28" s="1" t="str">
        <f>Scores_2014_O!N32</f>
        <v>3) INFRASTRUCTURE SAFETY</v>
      </c>
      <c r="B28" s="1">
        <f>ROUND(Scores_2014_O!P32,$A$1)</f>
        <v>86.16</v>
      </c>
      <c r="C28" s="1">
        <f>ROUND(Scores_2014_O!Q32,$A$1)</f>
        <v>91.27</v>
      </c>
      <c r="D28" s="1">
        <f>ROUND(Scores_2014_O!R32,$A$1)</f>
        <v>66.44</v>
      </c>
      <c r="E28" s="1">
        <f>ROUND(Scores_2014_O!S32,$A$1)</f>
        <v>85.65</v>
      </c>
      <c r="F28" s="1">
        <f>ROUND(Scores_2014_O!T32,$A$1)</f>
        <v>76.54</v>
      </c>
      <c r="G28" s="1">
        <f>ROUND(Scores_2014_O!U32,$A$1)</f>
        <v>84.34</v>
      </c>
      <c r="H28" s="1">
        <f>ROUND(Scores_2014_O!V32,$A$1)</f>
        <v>77.03</v>
      </c>
      <c r="I28" s="1">
        <f>ROUND(Scores_2014_O!W32,$A$1)</f>
        <v>85.69</v>
      </c>
      <c r="J28" s="1">
        <f>ROUND(Scores_2014_O!X32,$A$1)</f>
        <v>57.71</v>
      </c>
      <c r="K28" s="1">
        <f>ROUND(Scores_2014_O!Y32,$A$1)</f>
        <v>76.34</v>
      </c>
      <c r="L28" s="1">
        <f>ROUND(Scores_2014_O!Z32,$A$1)</f>
        <v>82.79</v>
      </c>
      <c r="M28" s="1">
        <f>ROUND(Scores_2014_O!AA32,$A$1)</f>
        <v>76.57</v>
      </c>
      <c r="N28" s="1">
        <f>ROUND(Scores_2014_O!AB32,$A$1)</f>
        <v>52.41</v>
      </c>
      <c r="O28" s="1">
        <f>ROUND(Scores_2014_O!AC32,$A$1)</f>
        <v>71.46</v>
      </c>
      <c r="P28" s="1">
        <f>ROUND(Scores_2014_O!AD32,$A$1)</f>
        <v>77.71</v>
      </c>
      <c r="Q28" s="1">
        <f>ROUND(Scores_2014_O!AE32,$A$1)</f>
        <v>54.02</v>
      </c>
      <c r="R28" s="1">
        <f>ROUND(Scores_2014_O!AF32,$A$1)</f>
        <v>60.67</v>
      </c>
      <c r="S28" s="1">
        <f>ROUND(Scores_2014_O!AG32,$A$1)</f>
        <v>73.4</v>
      </c>
      <c r="T28" s="1">
        <f>ROUND(Scores_2014_O!AH32,$A$1)</f>
        <v>75.69</v>
      </c>
      <c r="U28" s="1">
        <f>ROUND(Scores_2014_O!AI32,$A$1)</f>
        <v>78.78</v>
      </c>
      <c r="V28" s="1">
        <f>ROUND(Scores_2014_O!AJ32,$A$1)</f>
        <v>83.72</v>
      </c>
      <c r="W28" s="1">
        <f>ROUND(Scores_2014_O!AK32,$A$1)</f>
        <v>87.28</v>
      </c>
      <c r="X28" s="1">
        <f>ROUND(Scores_2014_O!AL32,$A$1)</f>
        <v>92.28</v>
      </c>
      <c r="Y28" s="1">
        <f>ROUND(Scores_2014_O!AM32,$A$1)</f>
        <v>52.93</v>
      </c>
      <c r="Z28" s="1">
        <f>ROUND(Scores_2014_O!AN32,$A$1)</f>
        <v>78.91</v>
      </c>
      <c r="AA28" s="1">
        <f>ROUND(Scores_2014_O!AO32,$A$1)</f>
        <v>89.47</v>
      </c>
      <c r="AB28" s="1">
        <f>ROUND(Scores_2014_O!AP32,$A$1)</f>
        <v>70.65</v>
      </c>
      <c r="AC28" s="1">
        <f>ROUND(Scores_2014_O!AQ32,$A$1)</f>
        <v>55.89</v>
      </c>
      <c r="AD28" s="1">
        <f>ROUND(Scores_2014_O!AR32,$A$1)</f>
        <v>84.93</v>
      </c>
      <c r="AE28" s="1">
        <f>ROUND(Scores_2014_O!AS32,$A$1)</f>
        <v>85.71</v>
      </c>
      <c r="AF28" s="1">
        <f>ROUND(Scores_2014_O!AT32,$A$1)</f>
        <v>78.22</v>
      </c>
      <c r="AG28" s="1">
        <f>ROUND(Scores_2014_O!AU32,$A$1)</f>
        <v>74.4</v>
      </c>
      <c r="AH28" s="1">
        <f>ROUND(Scores_2014_O!AV32,$A$1)</f>
        <v>61.53</v>
      </c>
      <c r="AI28" s="1">
        <f>ROUND(Scores_2014_O!AW32,$A$1)</f>
        <v>83.77</v>
      </c>
      <c r="AJ28" s="1">
        <f>ROUND(Scores_2014_O!AX32,$A$1)</f>
        <v>86.16</v>
      </c>
      <c r="AK28" s="1">
        <f>ROUND(Scores_2014_O!AY32,$A$1)</f>
        <v>78.83</v>
      </c>
      <c r="AL28" s="1">
        <f>ROUND(Scores_2014_O!AZ32,$A$1)</f>
        <v>76.41</v>
      </c>
      <c r="AM28" s="1">
        <f>ROUND(Scores_2014_O!BA32,$A$1)</f>
        <v>85.64</v>
      </c>
      <c r="AN28" s="1">
        <f>ROUND(Scores_2014_O!BB32,$A$1)</f>
        <v>76.63</v>
      </c>
      <c r="AO28" s="1">
        <f>ROUND(Scores_2014_O!BC32,$A$1)</f>
        <v>76.5</v>
      </c>
      <c r="AP28" s="1">
        <f>ROUND(Scores_2014_O!BD32,$A$1)</f>
        <v>88.86</v>
      </c>
      <c r="AQ28" s="1">
        <f>ROUND(Scores_2014_O!BE32,$A$1)</f>
        <v>81.92</v>
      </c>
      <c r="AR28" s="1">
        <f>ROUND(Scores_2014_O!BF32,$A$1)</f>
        <v>91.4</v>
      </c>
      <c r="AS28" s="1">
        <f>ROUND(Scores_2014_O!BG32,$A$1)</f>
        <v>79.25</v>
      </c>
      <c r="AT28" s="1">
        <f>ROUND(Scores_2014_O!BH32,$A$1)</f>
        <v>63.98</v>
      </c>
      <c r="AU28" s="1">
        <f>ROUND(Scores_2014_O!BI32,$A$1)</f>
        <v>76.53</v>
      </c>
      <c r="AV28" s="1">
        <f>ROUND(Scores_2014_O!BJ32,$A$1)</f>
        <v>89.79</v>
      </c>
      <c r="AW28" s="1">
        <f>ROUND(Scores_2014_O!BK32,$A$1)</f>
        <v>87.57</v>
      </c>
      <c r="AX28" s="1">
        <f>ROUND(Scores_2014_O!BL32,$A$1)</f>
        <v>77</v>
      </c>
      <c r="AY28" s="1">
        <f>ROUND(Scores_2014_O!BM32,$A$1)</f>
        <v>92.63</v>
      </c>
      <c r="BA28" s="1">
        <f t="shared" si="0"/>
        <v>77.5892</v>
      </c>
    </row>
    <row r="29" spans="1:53">
      <c r="A29" s="1" t="str">
        <f>Scores_2014_O!N33</f>
        <v>3.1) Infrastructure Safety (Inputs)</v>
      </c>
      <c r="B29" s="1">
        <f>ROUND(Scores_2014_O!P33,$A$1)</f>
        <v>86.5</v>
      </c>
      <c r="C29" s="1">
        <f>ROUND(Scores_2014_O!Q33,$A$1)</f>
        <v>94</v>
      </c>
      <c r="D29" s="1">
        <f>ROUND(Scores_2014_O!R33,$A$1)</f>
        <v>55</v>
      </c>
      <c r="E29" s="1">
        <f>ROUND(Scores_2014_O!S33,$A$1)</f>
        <v>94.5</v>
      </c>
      <c r="F29" s="1">
        <f>ROUND(Scores_2014_O!T33,$A$1)</f>
        <v>73.5</v>
      </c>
      <c r="G29" s="1">
        <f>ROUND(Scores_2014_O!U33,$A$1)</f>
        <v>87</v>
      </c>
      <c r="H29" s="1">
        <f>ROUND(Scores_2014_O!V33,$A$1)</f>
        <v>87</v>
      </c>
      <c r="I29" s="1">
        <f>ROUND(Scores_2014_O!W33,$A$1)</f>
        <v>90</v>
      </c>
      <c r="J29" s="1">
        <f>ROUND(Scores_2014_O!X33,$A$1)</f>
        <v>37.5</v>
      </c>
      <c r="K29" s="1">
        <f>ROUND(Scores_2014_O!Y33,$A$1)</f>
        <v>69</v>
      </c>
      <c r="L29" s="1">
        <f>ROUND(Scores_2014_O!Z33,$A$1)</f>
        <v>95.5</v>
      </c>
      <c r="M29" s="1">
        <f>ROUND(Scores_2014_O!AA33,$A$1)</f>
        <v>73.5</v>
      </c>
      <c r="N29" s="1">
        <f>ROUND(Scores_2014_O!AB33,$A$1)</f>
        <v>30</v>
      </c>
      <c r="O29" s="1">
        <f>ROUND(Scores_2014_O!AC33,$A$1)</f>
        <v>80</v>
      </c>
      <c r="P29" s="1">
        <f>ROUND(Scores_2014_O!AD33,$A$1)</f>
        <v>76</v>
      </c>
      <c r="Q29" s="1">
        <f>ROUND(Scores_2014_O!AE33,$A$1)</f>
        <v>50</v>
      </c>
      <c r="R29" s="1">
        <f>ROUND(Scores_2014_O!AF33,$A$1)</f>
        <v>56</v>
      </c>
      <c r="S29" s="1">
        <f>ROUND(Scores_2014_O!AG33,$A$1)</f>
        <v>61</v>
      </c>
      <c r="T29" s="1">
        <f>ROUND(Scores_2014_O!AH33,$A$1)</f>
        <v>83.5</v>
      </c>
      <c r="U29" s="1">
        <f>ROUND(Scores_2014_O!AI33,$A$1)</f>
        <v>75.75</v>
      </c>
      <c r="V29" s="1">
        <f>ROUND(Scores_2014_O!AJ33,$A$1)</f>
        <v>85</v>
      </c>
      <c r="W29" s="1">
        <f>ROUND(Scores_2014_O!AK33,$A$1)</f>
        <v>94.5</v>
      </c>
      <c r="X29" s="1">
        <f>ROUND(Scores_2014_O!AL33,$A$1)</f>
        <v>95.5</v>
      </c>
      <c r="Y29" s="1">
        <f>ROUND(Scores_2014_O!AM33,$A$1)</f>
        <v>65</v>
      </c>
      <c r="Z29" s="1">
        <f>ROUND(Scores_2014_O!AN33,$A$1)</f>
        <v>88.5</v>
      </c>
      <c r="AA29" s="1">
        <f>ROUND(Scores_2014_O!AO33,$A$1)</f>
        <v>90</v>
      </c>
      <c r="AB29" s="1">
        <f>ROUND(Scores_2014_O!AP33,$A$1)</f>
        <v>77</v>
      </c>
      <c r="AC29" s="1">
        <f>ROUND(Scores_2014_O!AQ33,$A$1)</f>
        <v>32.5</v>
      </c>
      <c r="AD29" s="1">
        <f>ROUND(Scores_2014_O!AR33,$A$1)</f>
        <v>90</v>
      </c>
      <c r="AE29" s="1">
        <f>ROUND(Scores_2014_O!AS33,$A$1)</f>
        <v>95.5</v>
      </c>
      <c r="AF29" s="1">
        <f>ROUND(Scores_2014_O!AT33,$A$1)</f>
        <v>77.5</v>
      </c>
      <c r="AG29" s="1">
        <f>ROUND(Scores_2014_O!AU33,$A$1)</f>
        <v>72.5</v>
      </c>
      <c r="AH29" s="1">
        <f>ROUND(Scores_2014_O!AV33,$A$1)</f>
        <v>53.5</v>
      </c>
      <c r="AI29" s="1">
        <f>ROUND(Scores_2014_O!AW33,$A$1)</f>
        <v>93.5</v>
      </c>
      <c r="AJ29" s="1">
        <f>ROUND(Scores_2014_O!AX33,$A$1)</f>
        <v>90</v>
      </c>
      <c r="AK29" s="1">
        <f>ROUND(Scores_2014_O!AY33,$A$1)</f>
        <v>71</v>
      </c>
      <c r="AL29" s="1">
        <f>ROUND(Scores_2014_O!AZ33,$A$1)</f>
        <v>77.5</v>
      </c>
      <c r="AM29" s="1">
        <f>ROUND(Scores_2014_O!BA33,$A$1)</f>
        <v>84.5</v>
      </c>
      <c r="AN29" s="1">
        <f>ROUND(Scores_2014_O!BB33,$A$1)</f>
        <v>73.5</v>
      </c>
      <c r="AO29" s="1">
        <f>ROUND(Scores_2014_O!BC33,$A$1)</f>
        <v>73.5</v>
      </c>
      <c r="AP29" s="1">
        <f>ROUND(Scores_2014_O!BD33,$A$1)</f>
        <v>96.5</v>
      </c>
      <c r="AQ29" s="1">
        <f>ROUND(Scores_2014_O!BE33,$A$1)</f>
        <v>72.52</v>
      </c>
      <c r="AR29" s="1">
        <f>ROUND(Scores_2014_O!BF33,$A$1)</f>
        <v>95.5</v>
      </c>
      <c r="AS29" s="1">
        <f>ROUND(Scores_2014_O!BG33,$A$1)</f>
        <v>65</v>
      </c>
      <c r="AT29" s="1">
        <f>ROUND(Scores_2014_O!BH33,$A$1)</f>
        <v>43.5</v>
      </c>
      <c r="AU29" s="1">
        <f>ROUND(Scores_2014_O!BI33,$A$1)</f>
        <v>73.5</v>
      </c>
      <c r="AV29" s="1">
        <f>ROUND(Scores_2014_O!BJ33,$A$1)</f>
        <v>95.5</v>
      </c>
      <c r="AW29" s="1">
        <f>ROUND(Scores_2014_O!BK33,$A$1)</f>
        <v>90</v>
      </c>
      <c r="AX29" s="1">
        <f>ROUND(Scores_2014_O!BL33,$A$1)</f>
        <v>90</v>
      </c>
      <c r="AY29" s="1">
        <f>ROUND(Scores_2014_O!BM33,$A$1)</f>
        <v>94</v>
      </c>
      <c r="BA29" s="1">
        <f t="shared" si="0"/>
        <v>77.0354</v>
      </c>
    </row>
    <row r="30" spans="1:53">
      <c r="A30" s="1" t="str">
        <f>Scores_2014_O!N34</f>
        <v>3.1.1) Enforcement of transport safety</v>
      </c>
      <c r="B30" s="1">
        <f>ROUND(Scores_2014_O!P34,$A$1)</f>
        <v>82.5</v>
      </c>
      <c r="C30" s="1">
        <f>ROUND(Scores_2014_O!Q34,$A$1)</f>
        <v>70</v>
      </c>
      <c r="D30" s="1">
        <f>ROUND(Scores_2014_O!R34,$A$1)</f>
        <v>50</v>
      </c>
      <c r="E30" s="1">
        <f>ROUND(Scores_2014_O!S34,$A$1)</f>
        <v>72.5</v>
      </c>
      <c r="F30" s="1">
        <f>ROUND(Scores_2014_O!T34,$A$1)</f>
        <v>42.5</v>
      </c>
      <c r="G30" s="1">
        <f>ROUND(Scores_2014_O!U34,$A$1)</f>
        <v>60</v>
      </c>
      <c r="H30" s="1">
        <f>ROUND(Scores_2014_O!V34,$A$1)</f>
        <v>60</v>
      </c>
      <c r="I30" s="1">
        <f>ROUND(Scores_2014_O!W34,$A$1)</f>
        <v>75</v>
      </c>
      <c r="J30" s="1">
        <f>ROUND(Scores_2014_O!X34,$A$1)</f>
        <v>25</v>
      </c>
      <c r="K30" s="1">
        <f>ROUND(Scores_2014_O!Y34,$A$1)</f>
        <v>70</v>
      </c>
      <c r="L30" s="1">
        <f>ROUND(Scores_2014_O!Z34,$A$1)</f>
        <v>77.5</v>
      </c>
      <c r="M30" s="1">
        <f>ROUND(Scores_2014_O!AA34,$A$1)</f>
        <v>42.5</v>
      </c>
      <c r="N30" s="1">
        <f>ROUND(Scores_2014_O!AB34,$A$1)</f>
        <v>0</v>
      </c>
      <c r="O30" s="1">
        <f>ROUND(Scores_2014_O!AC34,$A$1)</f>
        <v>0</v>
      </c>
      <c r="P30" s="1">
        <f>ROUND(Scores_2014_O!AD34,$A$1)</f>
        <v>80</v>
      </c>
      <c r="Q30" s="1">
        <f>ROUND(Scores_2014_O!AE34,$A$1)</f>
        <v>62.5</v>
      </c>
      <c r="R30" s="1">
        <f>ROUND(Scores_2014_O!AF34,$A$1)</f>
        <v>30</v>
      </c>
      <c r="S30" s="1">
        <f>ROUND(Scores_2014_O!AG34,$A$1)</f>
        <v>30</v>
      </c>
      <c r="T30" s="1">
        <f>ROUND(Scores_2014_O!AH34,$A$1)</f>
        <v>42.5</v>
      </c>
      <c r="U30" s="1">
        <f>ROUND(Scores_2014_O!AI34,$A$1)</f>
        <v>78.75</v>
      </c>
      <c r="V30" s="1">
        <f>ROUND(Scores_2014_O!AJ34,$A$1)</f>
        <v>75</v>
      </c>
      <c r="W30" s="1">
        <f>ROUND(Scores_2014_O!AK34,$A$1)</f>
        <v>72.5</v>
      </c>
      <c r="X30" s="1">
        <f>ROUND(Scores_2014_O!AL34,$A$1)</f>
        <v>77.5</v>
      </c>
      <c r="Y30" s="1">
        <f>ROUND(Scores_2014_O!AM34,$A$1)</f>
        <v>50</v>
      </c>
      <c r="Z30" s="1">
        <f>ROUND(Scores_2014_O!AN34,$A$1)</f>
        <v>67.5</v>
      </c>
      <c r="AA30" s="1">
        <f>ROUND(Scores_2014_O!AO34,$A$1)</f>
        <v>75</v>
      </c>
      <c r="AB30" s="1">
        <f>ROUND(Scores_2014_O!AP34,$A$1)</f>
        <v>60</v>
      </c>
      <c r="AC30" s="1">
        <f>ROUND(Scores_2014_O!AQ34,$A$1)</f>
        <v>25</v>
      </c>
      <c r="AD30" s="1">
        <f>ROUND(Scores_2014_O!AR34,$A$1)</f>
        <v>75</v>
      </c>
      <c r="AE30" s="1">
        <f>ROUND(Scores_2014_O!AS34,$A$1)</f>
        <v>77.5</v>
      </c>
      <c r="AF30" s="1">
        <f>ROUND(Scores_2014_O!AT34,$A$1)</f>
        <v>87.5</v>
      </c>
      <c r="AG30" s="1">
        <f>ROUND(Scores_2014_O!AU34,$A$1)</f>
        <v>62.5</v>
      </c>
      <c r="AH30" s="1">
        <f>ROUND(Scores_2014_O!AV34,$A$1)</f>
        <v>67.5</v>
      </c>
      <c r="AI30" s="1">
        <f>ROUND(Scores_2014_O!AW34,$A$1)</f>
        <v>67.5</v>
      </c>
      <c r="AJ30" s="1">
        <f>ROUND(Scores_2014_O!AX34,$A$1)</f>
        <v>75</v>
      </c>
      <c r="AK30" s="1">
        <f>ROUND(Scores_2014_O!AY34,$A$1)</f>
        <v>55</v>
      </c>
      <c r="AL30" s="1">
        <f>ROUND(Scores_2014_O!AZ34,$A$1)</f>
        <v>62.5</v>
      </c>
      <c r="AM30" s="1">
        <f>ROUND(Scores_2014_O!BA34,$A$1)</f>
        <v>72.5</v>
      </c>
      <c r="AN30" s="1">
        <f>ROUND(Scores_2014_O!BB34,$A$1)</f>
        <v>42.5</v>
      </c>
      <c r="AO30" s="1">
        <f>ROUND(Scores_2014_O!BC34,$A$1)</f>
        <v>42.5</v>
      </c>
      <c r="AP30" s="1">
        <f>ROUND(Scores_2014_O!BD34,$A$1)</f>
        <v>82.5</v>
      </c>
      <c r="AQ30" s="1">
        <f>ROUND(Scores_2014_O!BE34,$A$1)</f>
        <v>62.6</v>
      </c>
      <c r="AR30" s="1">
        <f>ROUND(Scores_2014_O!BF34,$A$1)</f>
        <v>77.5</v>
      </c>
      <c r="AS30" s="1">
        <f>ROUND(Scores_2014_O!BG34,$A$1)</f>
        <v>0</v>
      </c>
      <c r="AT30" s="1">
        <f>ROUND(Scores_2014_O!BH34,$A$1)</f>
        <v>55</v>
      </c>
      <c r="AU30" s="1">
        <f>ROUND(Scores_2014_O!BI34,$A$1)</f>
        <v>42.5</v>
      </c>
      <c r="AV30" s="1">
        <f>ROUND(Scores_2014_O!BJ34,$A$1)</f>
        <v>77.5</v>
      </c>
      <c r="AW30" s="1">
        <f>ROUND(Scores_2014_O!BK34,$A$1)</f>
        <v>75</v>
      </c>
      <c r="AX30" s="1">
        <f>ROUND(Scores_2014_O!BL34,$A$1)</f>
        <v>75</v>
      </c>
      <c r="AY30" s="1">
        <f>ROUND(Scores_2014_O!BM34,$A$1)</f>
        <v>70</v>
      </c>
      <c r="BA30" s="1">
        <f t="shared" si="0"/>
        <v>59.177</v>
      </c>
    </row>
    <row r="31" spans="1:53">
      <c r="A31" s="1" t="str">
        <f>Scores_2014_O!N35</f>
        <v>3.1.2) Pedestrian friendliness</v>
      </c>
      <c r="B31" s="1">
        <f>ROUND(Scores_2014_O!P35,$A$1)</f>
        <v>100</v>
      </c>
      <c r="C31" s="1">
        <f>ROUND(Scores_2014_O!Q35,$A$1)</f>
        <v>100</v>
      </c>
      <c r="D31" s="1">
        <f>ROUND(Scores_2014_O!R35,$A$1)</f>
        <v>25</v>
      </c>
      <c r="E31" s="1">
        <f>ROUND(Scores_2014_O!S35,$A$1)</f>
        <v>100</v>
      </c>
      <c r="F31" s="1">
        <f>ROUND(Scores_2014_O!T35,$A$1)</f>
        <v>100</v>
      </c>
      <c r="G31" s="1">
        <f>ROUND(Scores_2014_O!U35,$A$1)</f>
        <v>100</v>
      </c>
      <c r="H31" s="1">
        <f>ROUND(Scores_2014_O!V35,$A$1)</f>
        <v>100</v>
      </c>
      <c r="I31" s="1">
        <f>ROUND(Scores_2014_O!W35,$A$1)</f>
        <v>100</v>
      </c>
      <c r="J31" s="1">
        <f>ROUND(Scores_2014_O!X35,$A$1)</f>
        <v>37.5</v>
      </c>
      <c r="K31" s="1">
        <f>ROUND(Scores_2014_O!Y35,$A$1)</f>
        <v>25</v>
      </c>
      <c r="L31" s="1">
        <f>ROUND(Scores_2014_O!Z35,$A$1)</f>
        <v>100</v>
      </c>
      <c r="M31" s="1">
        <f>ROUND(Scores_2014_O!AA35,$A$1)</f>
        <v>100</v>
      </c>
      <c r="N31" s="1">
        <f>ROUND(Scores_2014_O!AB35,$A$1)</f>
        <v>25</v>
      </c>
      <c r="O31" s="1">
        <f>ROUND(Scores_2014_O!AC35,$A$1)</f>
        <v>100</v>
      </c>
      <c r="P31" s="1">
        <f>ROUND(Scores_2014_O!AD35,$A$1)</f>
        <v>100</v>
      </c>
      <c r="Q31" s="1">
        <f>ROUND(Scores_2014_O!AE35,$A$1)</f>
        <v>37.5</v>
      </c>
      <c r="R31" s="1">
        <f>ROUND(Scores_2014_O!AF35,$A$1)</f>
        <v>100</v>
      </c>
      <c r="S31" s="1">
        <f>ROUND(Scores_2014_O!AG35,$A$1)</f>
        <v>25</v>
      </c>
      <c r="T31" s="1">
        <f>ROUND(Scores_2014_O!AH35,$A$1)</f>
        <v>100</v>
      </c>
      <c r="U31" s="1">
        <f>ROUND(Scores_2014_O!AI35,$A$1)</f>
        <v>25</v>
      </c>
      <c r="V31" s="1">
        <f>ROUND(Scores_2014_O!AJ35,$A$1)</f>
        <v>100</v>
      </c>
      <c r="W31" s="1">
        <f>ROUND(Scores_2014_O!AK35,$A$1)</f>
        <v>100</v>
      </c>
      <c r="X31" s="1">
        <f>ROUND(Scores_2014_O!AL35,$A$1)</f>
        <v>100</v>
      </c>
      <c r="Y31" s="1">
        <f>ROUND(Scores_2014_O!AM35,$A$1)</f>
        <v>100</v>
      </c>
      <c r="Z31" s="1">
        <f>ROUND(Scores_2014_O!AN35,$A$1)</f>
        <v>100</v>
      </c>
      <c r="AA31" s="1">
        <f>ROUND(Scores_2014_O!AO35,$A$1)</f>
        <v>100</v>
      </c>
      <c r="AB31" s="1">
        <f>ROUND(Scores_2014_O!AP35,$A$1)</f>
        <v>100</v>
      </c>
      <c r="AC31" s="1">
        <f>ROUND(Scores_2014_O!AQ35,$A$1)</f>
        <v>37.5</v>
      </c>
      <c r="AD31" s="1">
        <f>ROUND(Scores_2014_O!AR35,$A$1)</f>
        <v>100</v>
      </c>
      <c r="AE31" s="1">
        <f>ROUND(Scores_2014_O!AS35,$A$1)</f>
        <v>100</v>
      </c>
      <c r="AF31" s="1">
        <f>ROUND(Scores_2014_O!AT35,$A$1)</f>
        <v>25</v>
      </c>
      <c r="AG31" s="1">
        <f>ROUND(Scores_2014_O!AU35,$A$1)</f>
        <v>100</v>
      </c>
      <c r="AH31" s="1">
        <f>ROUND(Scores_2014_O!AV35,$A$1)</f>
        <v>25</v>
      </c>
      <c r="AI31" s="1">
        <f>ROUND(Scores_2014_O!AW35,$A$1)</f>
        <v>100</v>
      </c>
      <c r="AJ31" s="1">
        <f>ROUND(Scores_2014_O!AX35,$A$1)</f>
        <v>100</v>
      </c>
      <c r="AK31" s="1">
        <f>ROUND(Scores_2014_O!AY35,$A$1)</f>
        <v>25</v>
      </c>
      <c r="AL31" s="1">
        <f>ROUND(Scores_2014_O!AZ35,$A$1)</f>
        <v>100</v>
      </c>
      <c r="AM31" s="1">
        <f>ROUND(Scores_2014_O!BA35,$A$1)</f>
        <v>100</v>
      </c>
      <c r="AN31" s="1">
        <f>ROUND(Scores_2014_O!BB35,$A$1)</f>
        <v>100</v>
      </c>
      <c r="AO31" s="1">
        <f>ROUND(Scores_2014_O!BC35,$A$1)</f>
        <v>100</v>
      </c>
      <c r="AP31" s="1">
        <f>ROUND(Scores_2014_O!BD35,$A$1)</f>
        <v>100</v>
      </c>
      <c r="AQ31" s="1">
        <f>ROUND(Scores_2014_O!BE35,$A$1)</f>
        <v>100</v>
      </c>
      <c r="AR31" s="1">
        <f>ROUND(Scores_2014_O!BF35,$A$1)</f>
        <v>100</v>
      </c>
      <c r="AS31" s="1">
        <f>ROUND(Scores_2014_O!BG35,$A$1)</f>
        <v>100</v>
      </c>
      <c r="AT31" s="1">
        <f>ROUND(Scores_2014_O!BH35,$A$1)</f>
        <v>37.5</v>
      </c>
      <c r="AU31" s="1">
        <f>ROUND(Scores_2014_O!BI35,$A$1)</f>
        <v>100</v>
      </c>
      <c r="AV31" s="1">
        <f>ROUND(Scores_2014_O!BJ35,$A$1)</f>
        <v>100</v>
      </c>
      <c r="AW31" s="1">
        <f>ROUND(Scores_2014_O!BK35,$A$1)</f>
        <v>100</v>
      </c>
      <c r="AX31" s="1">
        <f>ROUND(Scores_2014_O!BL35,$A$1)</f>
        <v>100</v>
      </c>
      <c r="AY31" s="1">
        <f>ROUND(Scores_2014_O!BM35,$A$1)</f>
        <v>100</v>
      </c>
      <c r="BA31" s="1">
        <f t="shared" si="0"/>
        <v>83</v>
      </c>
    </row>
    <row r="32" spans="1:53">
      <c r="A32" s="1" t="str">
        <f>Scores_2014_O!N36</f>
        <v>3.1.3) Quality of road infrastructure</v>
      </c>
      <c r="B32" s="1">
        <f>ROUND(Scores_2014_O!P36,$A$1)</f>
        <v>100</v>
      </c>
      <c r="C32" s="1">
        <f>ROUND(Scores_2014_O!Q36,$A$1)</f>
        <v>100</v>
      </c>
      <c r="D32" s="1">
        <f>ROUND(Scores_2014_O!R36,$A$1)</f>
        <v>25</v>
      </c>
      <c r="E32" s="1">
        <f>ROUND(Scores_2014_O!S36,$A$1)</f>
        <v>100</v>
      </c>
      <c r="F32" s="1">
        <f>ROUND(Scores_2014_O!T36,$A$1)</f>
        <v>75</v>
      </c>
      <c r="G32" s="1">
        <f>ROUND(Scores_2014_O!U36,$A$1)</f>
        <v>75</v>
      </c>
      <c r="H32" s="1">
        <f>ROUND(Scores_2014_O!V36,$A$1)</f>
        <v>75</v>
      </c>
      <c r="I32" s="1">
        <f>ROUND(Scores_2014_O!W36,$A$1)</f>
        <v>75</v>
      </c>
      <c r="J32" s="1">
        <f>ROUND(Scores_2014_O!X36,$A$1)</f>
        <v>50</v>
      </c>
      <c r="K32" s="1">
        <f>ROUND(Scores_2014_O!Y36,$A$1)</f>
        <v>75</v>
      </c>
      <c r="L32" s="1">
        <f>ROUND(Scores_2014_O!Z36,$A$1)</f>
        <v>100</v>
      </c>
      <c r="M32" s="1">
        <f>ROUND(Scores_2014_O!AA36,$A$1)</f>
        <v>75</v>
      </c>
      <c r="N32" s="1">
        <f>ROUND(Scores_2014_O!AB36,$A$1)</f>
        <v>25</v>
      </c>
      <c r="O32" s="1">
        <f>ROUND(Scores_2014_O!AC36,$A$1)</f>
        <v>100</v>
      </c>
      <c r="P32" s="1">
        <f>ROUND(Scores_2014_O!AD36,$A$1)</f>
        <v>50</v>
      </c>
      <c r="Q32" s="1">
        <f>ROUND(Scores_2014_O!AE36,$A$1)</f>
        <v>50</v>
      </c>
      <c r="R32" s="1">
        <f>ROUND(Scores_2014_O!AF36,$A$1)</f>
        <v>50</v>
      </c>
      <c r="S32" s="1">
        <f>ROUND(Scores_2014_O!AG36,$A$1)</f>
        <v>75</v>
      </c>
      <c r="T32" s="1">
        <f>ROUND(Scores_2014_O!AH36,$A$1)</f>
        <v>75</v>
      </c>
      <c r="U32" s="1">
        <f>ROUND(Scores_2014_O!AI36,$A$1)</f>
        <v>75</v>
      </c>
      <c r="V32" s="1">
        <f>ROUND(Scores_2014_O!AJ36,$A$1)</f>
        <v>75</v>
      </c>
      <c r="W32" s="1">
        <f>ROUND(Scores_2014_O!AK36,$A$1)</f>
        <v>100</v>
      </c>
      <c r="X32" s="1">
        <f>ROUND(Scores_2014_O!AL36,$A$1)</f>
        <v>100</v>
      </c>
      <c r="Y32" s="1">
        <f>ROUND(Scores_2014_O!AM36,$A$1)</f>
        <v>50</v>
      </c>
      <c r="Z32" s="1">
        <f>ROUND(Scores_2014_O!AN36,$A$1)</f>
        <v>75</v>
      </c>
      <c r="AA32" s="1">
        <f>ROUND(Scores_2014_O!AO36,$A$1)</f>
        <v>75</v>
      </c>
      <c r="AB32" s="1">
        <f>ROUND(Scores_2014_O!AP36,$A$1)</f>
        <v>75</v>
      </c>
      <c r="AC32" s="1">
        <f>ROUND(Scores_2014_O!AQ36,$A$1)</f>
        <v>0</v>
      </c>
      <c r="AD32" s="1">
        <f>ROUND(Scores_2014_O!AR36,$A$1)</f>
        <v>75</v>
      </c>
      <c r="AE32" s="1">
        <f>ROUND(Scores_2014_O!AS36,$A$1)</f>
        <v>100</v>
      </c>
      <c r="AF32" s="1">
        <f>ROUND(Scores_2014_O!AT36,$A$1)</f>
        <v>75</v>
      </c>
      <c r="AG32" s="1">
        <f>ROUND(Scores_2014_O!AU36,$A$1)</f>
        <v>50</v>
      </c>
      <c r="AH32" s="1">
        <f>ROUND(Scores_2014_O!AV36,$A$1)</f>
        <v>50</v>
      </c>
      <c r="AI32" s="1">
        <f>ROUND(Scores_2014_O!AW36,$A$1)</f>
        <v>100</v>
      </c>
      <c r="AJ32" s="1">
        <f>ROUND(Scores_2014_O!AX36,$A$1)</f>
        <v>75</v>
      </c>
      <c r="AK32" s="1">
        <f>ROUND(Scores_2014_O!AY36,$A$1)</f>
        <v>75</v>
      </c>
      <c r="AL32" s="1">
        <f>ROUND(Scores_2014_O!AZ36,$A$1)</f>
        <v>75</v>
      </c>
      <c r="AM32" s="1">
        <f>ROUND(Scores_2014_O!BA36,$A$1)</f>
        <v>75</v>
      </c>
      <c r="AN32" s="1">
        <f>ROUND(Scores_2014_O!BB36,$A$1)</f>
        <v>75</v>
      </c>
      <c r="AO32" s="1">
        <f>ROUND(Scores_2014_O!BC36,$A$1)</f>
        <v>75</v>
      </c>
      <c r="AP32" s="1">
        <f>ROUND(Scores_2014_O!BD36,$A$1)</f>
        <v>100</v>
      </c>
      <c r="AQ32" s="1">
        <f>ROUND(Scores_2014_O!BE36,$A$1)</f>
        <v>25</v>
      </c>
      <c r="AR32" s="1">
        <f>ROUND(Scores_2014_O!BF36,$A$1)</f>
        <v>100</v>
      </c>
      <c r="AS32" s="1">
        <f>ROUND(Scores_2014_O!BG36,$A$1)</f>
        <v>75</v>
      </c>
      <c r="AT32" s="1">
        <f>ROUND(Scores_2014_O!BH36,$A$1)</f>
        <v>50</v>
      </c>
      <c r="AU32" s="1">
        <f>ROUND(Scores_2014_O!BI36,$A$1)</f>
        <v>75</v>
      </c>
      <c r="AV32" s="1">
        <f>ROUND(Scores_2014_O!BJ36,$A$1)</f>
        <v>100</v>
      </c>
      <c r="AW32" s="1">
        <f>ROUND(Scores_2014_O!BK36,$A$1)</f>
        <v>75</v>
      </c>
      <c r="AX32" s="1">
        <f>ROUND(Scores_2014_O!BL36,$A$1)</f>
        <v>75</v>
      </c>
      <c r="AY32" s="1">
        <f>ROUND(Scores_2014_O!BM36,$A$1)</f>
        <v>100</v>
      </c>
      <c r="BA32" s="1">
        <f t="shared" si="0"/>
        <v>73</v>
      </c>
    </row>
    <row r="33" spans="1:53">
      <c r="A33" s="1" t="str">
        <f>Scores_2014_O!N37</f>
        <v>3.1.4) Quality of electricity infrastructure</v>
      </c>
      <c r="B33" s="1">
        <f>ROUND(Scores_2014_O!P37,$A$1)</f>
        <v>75</v>
      </c>
      <c r="C33" s="1">
        <f>ROUND(Scores_2014_O!Q37,$A$1)</f>
        <v>100</v>
      </c>
      <c r="D33" s="1">
        <f>ROUND(Scores_2014_O!R37,$A$1)</f>
        <v>100</v>
      </c>
      <c r="E33" s="1">
        <f>ROUND(Scores_2014_O!S37,$A$1)</f>
        <v>100</v>
      </c>
      <c r="F33" s="1">
        <f>ROUND(Scores_2014_O!T37,$A$1)</f>
        <v>100</v>
      </c>
      <c r="G33" s="1">
        <f>ROUND(Scores_2014_O!U37,$A$1)</f>
        <v>100</v>
      </c>
      <c r="H33" s="1">
        <f>ROUND(Scores_2014_O!V37,$A$1)</f>
        <v>100</v>
      </c>
      <c r="I33" s="1">
        <f>ROUND(Scores_2014_O!W37,$A$1)</f>
        <v>100</v>
      </c>
      <c r="J33" s="1">
        <f>ROUND(Scores_2014_O!X37,$A$1)</f>
        <v>50</v>
      </c>
      <c r="K33" s="1">
        <f>ROUND(Scores_2014_O!Y37,$A$1)</f>
        <v>75</v>
      </c>
      <c r="L33" s="1">
        <f>ROUND(Scores_2014_O!Z37,$A$1)</f>
        <v>100</v>
      </c>
      <c r="M33" s="1">
        <f>ROUND(Scores_2014_O!AA37,$A$1)</f>
        <v>75</v>
      </c>
      <c r="N33" s="1">
        <f>ROUND(Scores_2014_O!AB37,$A$1)</f>
        <v>50</v>
      </c>
      <c r="O33" s="1">
        <f>ROUND(Scores_2014_O!AC37,$A$1)</f>
        <v>100</v>
      </c>
      <c r="P33" s="1">
        <f>ROUND(Scores_2014_O!AD37,$A$1)</f>
        <v>75</v>
      </c>
      <c r="Q33" s="1">
        <f>ROUND(Scores_2014_O!AE37,$A$1)</f>
        <v>50</v>
      </c>
      <c r="R33" s="1">
        <f>ROUND(Scores_2014_O!AF37,$A$1)</f>
        <v>50</v>
      </c>
      <c r="S33" s="1">
        <f>ROUND(Scores_2014_O!AG37,$A$1)</f>
        <v>100</v>
      </c>
      <c r="T33" s="1">
        <f>ROUND(Scores_2014_O!AH37,$A$1)</f>
        <v>100</v>
      </c>
      <c r="U33" s="1">
        <f>ROUND(Scores_2014_O!AI37,$A$1)</f>
        <v>100</v>
      </c>
      <c r="V33" s="1">
        <f>ROUND(Scores_2014_O!AJ37,$A$1)</f>
        <v>100</v>
      </c>
      <c r="W33" s="1">
        <f>ROUND(Scores_2014_O!AK37,$A$1)</f>
        <v>100</v>
      </c>
      <c r="X33" s="1">
        <f>ROUND(Scores_2014_O!AL37,$A$1)</f>
        <v>100</v>
      </c>
      <c r="Y33" s="1">
        <f>ROUND(Scores_2014_O!AM37,$A$1)</f>
        <v>50</v>
      </c>
      <c r="Z33" s="1">
        <f>ROUND(Scores_2014_O!AN37,$A$1)</f>
        <v>100</v>
      </c>
      <c r="AA33" s="1">
        <f>ROUND(Scores_2014_O!AO37,$A$1)</f>
        <v>100</v>
      </c>
      <c r="AB33" s="1">
        <f>ROUND(Scores_2014_O!AP37,$A$1)</f>
        <v>100</v>
      </c>
      <c r="AC33" s="1">
        <f>ROUND(Scores_2014_O!AQ37,$A$1)</f>
        <v>75</v>
      </c>
      <c r="AD33" s="1">
        <f>ROUND(Scores_2014_O!AR37,$A$1)</f>
        <v>100</v>
      </c>
      <c r="AE33" s="1">
        <f>ROUND(Scores_2014_O!AS37,$A$1)</f>
        <v>100</v>
      </c>
      <c r="AF33" s="1">
        <f>ROUND(Scores_2014_O!AT37,$A$1)</f>
        <v>100</v>
      </c>
      <c r="AG33" s="1">
        <f>ROUND(Scores_2014_O!AU37,$A$1)</f>
        <v>100</v>
      </c>
      <c r="AH33" s="1">
        <f>ROUND(Scores_2014_O!AV37,$A$1)</f>
        <v>75</v>
      </c>
      <c r="AI33" s="1">
        <f>ROUND(Scores_2014_O!AW37,$A$1)</f>
        <v>100</v>
      </c>
      <c r="AJ33" s="1">
        <f>ROUND(Scores_2014_O!AX37,$A$1)</f>
        <v>100</v>
      </c>
      <c r="AK33" s="1">
        <f>ROUND(Scores_2014_O!AY37,$A$1)</f>
        <v>100</v>
      </c>
      <c r="AL33" s="1">
        <f>ROUND(Scores_2014_O!AZ37,$A$1)</f>
        <v>75</v>
      </c>
      <c r="AM33" s="1">
        <f>ROUND(Scores_2014_O!BA37,$A$1)</f>
        <v>100</v>
      </c>
      <c r="AN33" s="1">
        <f>ROUND(Scores_2014_O!BB37,$A$1)</f>
        <v>100</v>
      </c>
      <c r="AO33" s="1">
        <f>ROUND(Scores_2014_O!BC37,$A$1)</f>
        <v>100</v>
      </c>
      <c r="AP33" s="1">
        <f>ROUND(Scores_2014_O!BD37,$A$1)</f>
        <v>100</v>
      </c>
      <c r="AQ33" s="1">
        <f>ROUND(Scores_2014_O!BE37,$A$1)</f>
        <v>75</v>
      </c>
      <c r="AR33" s="1">
        <f>ROUND(Scores_2014_O!BF37,$A$1)</f>
        <v>100</v>
      </c>
      <c r="AS33" s="1">
        <f>ROUND(Scores_2014_O!BG37,$A$1)</f>
        <v>75</v>
      </c>
      <c r="AT33" s="1">
        <f>ROUND(Scores_2014_O!BH37,$A$1)</f>
        <v>25</v>
      </c>
      <c r="AU33" s="1">
        <f>ROUND(Scores_2014_O!BI37,$A$1)</f>
        <v>100</v>
      </c>
      <c r="AV33" s="1">
        <f>ROUND(Scores_2014_O!BJ37,$A$1)</f>
        <v>100</v>
      </c>
      <c r="AW33" s="1">
        <f>ROUND(Scores_2014_O!BK37,$A$1)</f>
        <v>100</v>
      </c>
      <c r="AX33" s="1">
        <f>ROUND(Scores_2014_O!BL37,$A$1)</f>
        <v>100</v>
      </c>
      <c r="AY33" s="1">
        <f>ROUND(Scores_2014_O!BM37,$A$1)</f>
        <v>100</v>
      </c>
      <c r="BA33" s="1">
        <f t="shared" ref="BA33:BA57" si="1">AVERAGE(B33:AY33)</f>
        <v>89</v>
      </c>
    </row>
    <row r="34" spans="1:53">
      <c r="A34" s="1" t="str">
        <f>Scores_2014_O!N38</f>
        <v>3.1.5) Disaster Management/Business Continuity Plan</v>
      </c>
      <c r="B34" s="1">
        <f>ROUND(Scores_2014_O!P38,$A$1)</f>
        <v>75</v>
      </c>
      <c r="C34" s="1">
        <f>ROUND(Scores_2014_O!Q38,$A$1)</f>
        <v>100</v>
      </c>
      <c r="D34" s="1">
        <f>ROUND(Scores_2014_O!R38,$A$1)</f>
        <v>75</v>
      </c>
      <c r="E34" s="1">
        <f>ROUND(Scores_2014_O!S38,$A$1)</f>
        <v>100</v>
      </c>
      <c r="F34" s="1">
        <f>ROUND(Scores_2014_O!T38,$A$1)</f>
        <v>50</v>
      </c>
      <c r="G34" s="1">
        <f>ROUND(Scores_2014_O!U38,$A$1)</f>
        <v>100</v>
      </c>
      <c r="H34" s="1">
        <f>ROUND(Scores_2014_O!V38,$A$1)</f>
        <v>100</v>
      </c>
      <c r="I34" s="1">
        <f>ROUND(Scores_2014_O!W38,$A$1)</f>
        <v>100</v>
      </c>
      <c r="J34" s="1">
        <f>ROUND(Scores_2014_O!X38,$A$1)</f>
        <v>25</v>
      </c>
      <c r="K34" s="1">
        <f>ROUND(Scores_2014_O!Y38,$A$1)</f>
        <v>100</v>
      </c>
      <c r="L34" s="1">
        <f>ROUND(Scores_2014_O!Z38,$A$1)</f>
        <v>100</v>
      </c>
      <c r="M34" s="1">
        <f>ROUND(Scores_2014_O!AA38,$A$1)</f>
        <v>75</v>
      </c>
      <c r="N34" s="1">
        <f>ROUND(Scores_2014_O!AB38,$A$1)</f>
        <v>50</v>
      </c>
      <c r="O34" s="1">
        <f>ROUND(Scores_2014_O!AC38,$A$1)</f>
        <v>100</v>
      </c>
      <c r="P34" s="1">
        <f>ROUND(Scores_2014_O!AD38,$A$1)</f>
        <v>75</v>
      </c>
      <c r="Q34" s="1">
        <f>ROUND(Scores_2014_O!AE38,$A$1)</f>
        <v>50</v>
      </c>
      <c r="R34" s="1">
        <f>ROUND(Scores_2014_O!AF38,$A$1)</f>
        <v>50</v>
      </c>
      <c r="S34" s="1">
        <f>ROUND(Scores_2014_O!AG38,$A$1)</f>
        <v>75</v>
      </c>
      <c r="T34" s="1">
        <f>ROUND(Scores_2014_O!AH38,$A$1)</f>
        <v>100</v>
      </c>
      <c r="U34" s="1">
        <f>ROUND(Scores_2014_O!AI38,$A$1)</f>
        <v>100</v>
      </c>
      <c r="V34" s="1">
        <f>ROUND(Scores_2014_O!AJ38,$A$1)</f>
        <v>75</v>
      </c>
      <c r="W34" s="1">
        <f>ROUND(Scores_2014_O!AK38,$A$1)</f>
        <v>100</v>
      </c>
      <c r="X34" s="1">
        <f>ROUND(Scores_2014_O!AL38,$A$1)</f>
        <v>100</v>
      </c>
      <c r="Y34" s="1">
        <f>ROUND(Scores_2014_O!AM38,$A$1)</f>
        <v>75</v>
      </c>
      <c r="Z34" s="1">
        <f>ROUND(Scores_2014_O!AN38,$A$1)</f>
        <v>100</v>
      </c>
      <c r="AA34" s="1">
        <f>ROUND(Scores_2014_O!AO38,$A$1)</f>
        <v>100</v>
      </c>
      <c r="AB34" s="1">
        <f>ROUND(Scores_2014_O!AP38,$A$1)</f>
        <v>50</v>
      </c>
      <c r="AC34" s="1">
        <f>ROUND(Scores_2014_O!AQ38,$A$1)</f>
        <v>25</v>
      </c>
      <c r="AD34" s="1">
        <f>ROUND(Scores_2014_O!AR38,$A$1)</f>
        <v>100</v>
      </c>
      <c r="AE34" s="1">
        <f>ROUND(Scores_2014_O!AS38,$A$1)</f>
        <v>100</v>
      </c>
      <c r="AF34" s="1">
        <f>ROUND(Scores_2014_O!AT38,$A$1)</f>
        <v>100</v>
      </c>
      <c r="AG34" s="1">
        <f>ROUND(Scores_2014_O!AU38,$A$1)</f>
        <v>50</v>
      </c>
      <c r="AH34" s="1">
        <f>ROUND(Scores_2014_O!AV38,$A$1)</f>
        <v>50</v>
      </c>
      <c r="AI34" s="1">
        <f>ROUND(Scores_2014_O!AW38,$A$1)</f>
        <v>100</v>
      </c>
      <c r="AJ34" s="1">
        <f>ROUND(Scores_2014_O!AX38,$A$1)</f>
        <v>100</v>
      </c>
      <c r="AK34" s="1">
        <f>ROUND(Scores_2014_O!AY38,$A$1)</f>
        <v>100</v>
      </c>
      <c r="AL34" s="1">
        <f>ROUND(Scores_2014_O!AZ38,$A$1)</f>
        <v>75</v>
      </c>
      <c r="AM34" s="1">
        <f>ROUND(Scores_2014_O!BA38,$A$1)</f>
        <v>75</v>
      </c>
      <c r="AN34" s="1">
        <f>ROUND(Scores_2014_O!BB38,$A$1)</f>
        <v>50</v>
      </c>
      <c r="AO34" s="1">
        <f>ROUND(Scores_2014_O!BC38,$A$1)</f>
        <v>50</v>
      </c>
      <c r="AP34" s="1">
        <f>ROUND(Scores_2014_O!BD38,$A$1)</f>
        <v>100</v>
      </c>
      <c r="AQ34" s="1">
        <f>ROUND(Scores_2014_O!BE38,$A$1)</f>
        <v>100</v>
      </c>
      <c r="AR34" s="1">
        <f>ROUND(Scores_2014_O!BF38,$A$1)</f>
        <v>100</v>
      </c>
      <c r="AS34" s="1">
        <f>ROUND(Scores_2014_O!BG38,$A$1)</f>
        <v>75</v>
      </c>
      <c r="AT34" s="1">
        <f>ROUND(Scores_2014_O!BH38,$A$1)</f>
        <v>50</v>
      </c>
      <c r="AU34" s="1">
        <f>ROUND(Scores_2014_O!BI38,$A$1)</f>
        <v>50</v>
      </c>
      <c r="AV34" s="1">
        <f>ROUND(Scores_2014_O!BJ38,$A$1)</f>
        <v>100</v>
      </c>
      <c r="AW34" s="1">
        <f>ROUND(Scores_2014_O!BK38,$A$1)</f>
        <v>100</v>
      </c>
      <c r="AX34" s="1">
        <f>ROUND(Scores_2014_O!BL38,$A$1)</f>
        <v>100</v>
      </c>
      <c r="AY34" s="1">
        <f>ROUND(Scores_2014_O!BM38,$A$1)</f>
        <v>100</v>
      </c>
      <c r="BA34" s="1">
        <f t="shared" si="1"/>
        <v>81</v>
      </c>
    </row>
    <row r="35" spans="1:53">
      <c r="A35" s="1" t="str">
        <f>Scores_2014_O!N39</f>
        <v>3.2) Infrastructure Safety (Outputs)</v>
      </c>
      <c r="B35" s="1">
        <f>ROUND(Scores_2014_O!P39,$A$1)</f>
        <v>85.81</v>
      </c>
      <c r="C35" s="1">
        <f>ROUND(Scores_2014_O!Q39,$A$1)</f>
        <v>88.54</v>
      </c>
      <c r="D35" s="1">
        <f>ROUND(Scores_2014_O!R39,$A$1)</f>
        <v>77.89</v>
      </c>
      <c r="E35" s="1">
        <f>ROUND(Scores_2014_O!S39,$A$1)</f>
        <v>76.79</v>
      </c>
      <c r="F35" s="1">
        <f>ROUND(Scores_2014_O!T39,$A$1)</f>
        <v>79.57</v>
      </c>
      <c r="G35" s="1">
        <f>ROUND(Scores_2014_O!U39,$A$1)</f>
        <v>81.69</v>
      </c>
      <c r="H35" s="1">
        <f>ROUND(Scores_2014_O!V39,$A$1)</f>
        <v>67.06</v>
      </c>
      <c r="I35" s="1">
        <f>ROUND(Scores_2014_O!W39,$A$1)</f>
        <v>81.38</v>
      </c>
      <c r="J35" s="1">
        <f>ROUND(Scores_2014_O!X39,$A$1)</f>
        <v>77.92</v>
      </c>
      <c r="K35" s="1">
        <f>ROUND(Scores_2014_O!Y39,$A$1)</f>
        <v>83.67</v>
      </c>
      <c r="L35" s="1">
        <f>ROUND(Scores_2014_O!Z39,$A$1)</f>
        <v>70.09</v>
      </c>
      <c r="M35" s="1">
        <f>ROUND(Scores_2014_O!AA39,$A$1)</f>
        <v>79.63</v>
      </c>
      <c r="N35" s="1">
        <f>ROUND(Scores_2014_O!AB39,$A$1)</f>
        <v>74.81</v>
      </c>
      <c r="O35" s="1">
        <f>ROUND(Scores_2014_O!AC39,$A$1)</f>
        <v>62.92</v>
      </c>
      <c r="P35" s="1">
        <f>ROUND(Scores_2014_O!AD39,$A$1)</f>
        <v>79.42</v>
      </c>
      <c r="Q35" s="1">
        <f>ROUND(Scores_2014_O!AE39,$A$1)</f>
        <v>58.04</v>
      </c>
      <c r="R35" s="1">
        <f>ROUND(Scores_2014_O!AF39,$A$1)</f>
        <v>65.34</v>
      </c>
      <c r="S35" s="1">
        <f>ROUND(Scores_2014_O!AG39,$A$1)</f>
        <v>85.8</v>
      </c>
      <c r="T35" s="1">
        <f>ROUND(Scores_2014_O!AH39,$A$1)</f>
        <v>67.87</v>
      </c>
      <c r="U35" s="1">
        <f>ROUND(Scores_2014_O!AI39,$A$1)</f>
        <v>81.81</v>
      </c>
      <c r="V35" s="1">
        <f>ROUND(Scores_2014_O!AJ39,$A$1)</f>
        <v>82.44</v>
      </c>
      <c r="W35" s="1">
        <f>ROUND(Scores_2014_O!AK39,$A$1)</f>
        <v>80.07</v>
      </c>
      <c r="X35" s="1">
        <f>ROUND(Scores_2014_O!AL39,$A$1)</f>
        <v>89.06</v>
      </c>
      <c r="Y35" s="1">
        <f>ROUND(Scores_2014_O!AM39,$A$1)</f>
        <v>40.86</v>
      </c>
      <c r="Z35" s="1">
        <f>ROUND(Scores_2014_O!AN39,$A$1)</f>
        <v>69.31</v>
      </c>
      <c r="AA35" s="1">
        <f>ROUND(Scores_2014_O!AO39,$A$1)</f>
        <v>88.94</v>
      </c>
      <c r="AB35" s="1">
        <f>ROUND(Scores_2014_O!AP39,$A$1)</f>
        <v>64.31</v>
      </c>
      <c r="AC35" s="1">
        <f>ROUND(Scores_2014_O!AQ39,$A$1)</f>
        <v>79.28</v>
      </c>
      <c r="AD35" s="1">
        <f>ROUND(Scores_2014_O!AR39,$A$1)</f>
        <v>79.86</v>
      </c>
      <c r="AE35" s="1">
        <f>ROUND(Scores_2014_O!AS39,$A$1)</f>
        <v>75.92</v>
      </c>
      <c r="AF35" s="1">
        <f>ROUND(Scores_2014_O!AT39,$A$1)</f>
        <v>78.94</v>
      </c>
      <c r="AG35" s="1">
        <f>ROUND(Scores_2014_O!AU39,$A$1)</f>
        <v>76.3</v>
      </c>
      <c r="AH35" s="1">
        <f>ROUND(Scores_2014_O!AV39,$A$1)</f>
        <v>69.55</v>
      </c>
      <c r="AI35" s="1">
        <f>ROUND(Scores_2014_O!AW39,$A$1)</f>
        <v>74.05</v>
      </c>
      <c r="AJ35" s="1">
        <f>ROUND(Scores_2014_O!AX39,$A$1)</f>
        <v>82.32</v>
      </c>
      <c r="AK35" s="1">
        <f>ROUND(Scores_2014_O!AY39,$A$1)</f>
        <v>86.66</v>
      </c>
      <c r="AL35" s="1">
        <f>ROUND(Scores_2014_O!AZ39,$A$1)</f>
        <v>75.32</v>
      </c>
      <c r="AM35" s="1">
        <f>ROUND(Scores_2014_O!BA39,$A$1)</f>
        <v>86.79</v>
      </c>
      <c r="AN35" s="1">
        <f>ROUND(Scores_2014_O!BB39,$A$1)</f>
        <v>79.76</v>
      </c>
      <c r="AO35" s="1">
        <f>ROUND(Scores_2014_O!BC39,$A$1)</f>
        <v>79.49</v>
      </c>
      <c r="AP35" s="1">
        <f>ROUND(Scores_2014_O!BD39,$A$1)</f>
        <v>81.21</v>
      </c>
      <c r="AQ35" s="1">
        <f>ROUND(Scores_2014_O!BE39,$A$1)</f>
        <v>91.32</v>
      </c>
      <c r="AR35" s="1">
        <f>ROUND(Scores_2014_O!BF39,$A$1)</f>
        <v>87.3</v>
      </c>
      <c r="AS35" s="1">
        <f>ROUND(Scores_2014_O!BG39,$A$1)</f>
        <v>93.49</v>
      </c>
      <c r="AT35" s="1">
        <f>ROUND(Scores_2014_O!BH39,$A$1)</f>
        <v>84.46</v>
      </c>
      <c r="AU35" s="1">
        <f>ROUND(Scores_2014_O!BI39,$A$1)</f>
        <v>79.56</v>
      </c>
      <c r="AV35" s="1">
        <f>ROUND(Scores_2014_O!BJ39,$A$1)</f>
        <v>84.08</v>
      </c>
      <c r="AW35" s="1">
        <f>ROUND(Scores_2014_O!BK39,$A$1)</f>
        <v>85.13</v>
      </c>
      <c r="AX35" s="1">
        <f>ROUND(Scores_2014_O!BL39,$A$1)</f>
        <v>64.01</v>
      </c>
      <c r="AY35" s="1">
        <f>ROUND(Scores_2014_O!BM39,$A$1)</f>
        <v>91.26</v>
      </c>
      <c r="BA35" s="1">
        <f t="shared" si="1"/>
        <v>78.142</v>
      </c>
    </row>
    <row r="36" spans="1:53">
      <c r="A36" s="1" t="str">
        <f>Scores_2014_O!N40</f>
        <v>3.2.1) Death from natural disasters</v>
      </c>
      <c r="B36" s="1">
        <f>ROUND(Scores_2014_O!P40,$A$1)</f>
        <v>100</v>
      </c>
      <c r="C36" s="1">
        <f>ROUND(Scores_2014_O!Q40,$A$1)</f>
        <v>94.03</v>
      </c>
      <c r="D36" s="1">
        <f>ROUND(Scores_2014_O!R40,$A$1)</f>
        <v>96.58</v>
      </c>
      <c r="E36" s="1">
        <f>ROUND(Scores_2014_O!S40,$A$1)</f>
        <v>99.59</v>
      </c>
      <c r="F36" s="1">
        <f>ROUND(Scores_2014_O!T40,$A$1)</f>
        <v>99.83</v>
      </c>
      <c r="G36" s="1">
        <f>ROUND(Scores_2014_O!U40,$A$1)</f>
        <v>95.88</v>
      </c>
      <c r="H36" s="1">
        <f>ROUND(Scores_2014_O!V40,$A$1)</f>
        <v>99.71</v>
      </c>
      <c r="I36" s="1">
        <f>ROUND(Scores_2014_O!W40,$A$1)</f>
        <v>99.32</v>
      </c>
      <c r="J36" s="1">
        <f>ROUND(Scores_2014_O!X40,$A$1)</f>
        <v>97.34</v>
      </c>
      <c r="K36" s="1">
        <f>ROUND(Scores_2014_O!Y40,$A$1)</f>
        <v>100</v>
      </c>
      <c r="L36" s="1">
        <f>ROUND(Scores_2014_O!Z40,$A$1)</f>
        <v>99.21</v>
      </c>
      <c r="M36" s="1">
        <f>ROUND(Scores_2014_O!AA40,$A$1)</f>
        <v>99.75</v>
      </c>
      <c r="N36" s="1">
        <f>ROUND(Scores_2014_O!AB40,$A$1)</f>
        <v>98.48</v>
      </c>
      <c r="O36" s="1">
        <f>ROUND(Scores_2014_O!AC40,$A$1)</f>
        <v>100</v>
      </c>
      <c r="P36" s="1">
        <f>ROUND(Scores_2014_O!AD40,$A$1)</f>
        <v>99.63</v>
      </c>
      <c r="Q36" s="1">
        <f>ROUND(Scores_2014_O!AE40,$A$1)</f>
        <v>0</v>
      </c>
      <c r="R36" s="1">
        <f>ROUND(Scores_2014_O!AF40,$A$1)</f>
        <v>99.66</v>
      </c>
      <c r="S36" s="1">
        <f>ROUND(Scores_2014_O!AG40,$A$1)</f>
        <v>100</v>
      </c>
      <c r="T36" s="1">
        <f>ROUND(Scores_2014_O!AH40,$A$1)</f>
        <v>98.69</v>
      </c>
      <c r="U36" s="1">
        <f>ROUND(Scores_2014_O!AI40,$A$1)</f>
        <v>99.53</v>
      </c>
      <c r="V36" s="1">
        <f>ROUND(Scores_2014_O!AJ40,$A$1)</f>
        <v>99.83</v>
      </c>
      <c r="W36" s="1">
        <f>ROUND(Scores_2014_O!AK40,$A$1)</f>
        <v>99.79</v>
      </c>
      <c r="X36" s="1">
        <f>ROUND(Scores_2014_O!AL40,$A$1)</f>
        <v>98.25</v>
      </c>
      <c r="Y36" s="1">
        <f>ROUND(Scores_2014_O!AM40,$A$1)</f>
        <v>99.79</v>
      </c>
      <c r="Z36" s="1">
        <f>ROUND(Scores_2014_O!AN40,$A$1)</f>
        <v>98.18</v>
      </c>
      <c r="AA36" s="1">
        <f>ROUND(Scores_2014_O!AO40,$A$1)</f>
        <v>99.89</v>
      </c>
      <c r="AB36" s="1">
        <f>ROUND(Scores_2014_O!AP40,$A$1)</f>
        <v>77.74</v>
      </c>
      <c r="AC36" s="1">
        <f>ROUND(Scores_2014_O!AQ40,$A$1)</f>
        <v>100</v>
      </c>
      <c r="AD36" s="1">
        <f>ROUND(Scores_2014_O!AR40,$A$1)</f>
        <v>99.88</v>
      </c>
      <c r="AE36" s="1">
        <f>ROUND(Scores_2014_O!AS40,$A$1)</f>
        <v>62.3</v>
      </c>
      <c r="AF36" s="1">
        <f>ROUND(Scores_2014_O!AT40,$A$1)</f>
        <v>99.27</v>
      </c>
      <c r="AG36" s="1">
        <f>ROUND(Scores_2014_O!AU40,$A$1)</f>
        <v>98.36</v>
      </c>
      <c r="AH36" s="1">
        <f>ROUND(Scores_2014_O!AV40,$A$1)</f>
        <v>99.97</v>
      </c>
      <c r="AI36" s="1">
        <f>ROUND(Scores_2014_O!AW40,$A$1)</f>
        <v>99.09</v>
      </c>
      <c r="AJ36" s="1">
        <f>ROUND(Scores_2014_O!AX40,$A$1)</f>
        <v>99.17</v>
      </c>
      <c r="AK36" s="1">
        <f>ROUND(Scores_2014_O!AY40,$A$1)</f>
        <v>99.54</v>
      </c>
      <c r="AL36" s="1">
        <f>ROUND(Scores_2014_O!AZ40,$A$1)</f>
        <v>91.33</v>
      </c>
      <c r="AM36" s="1">
        <f>ROUND(Scores_2014_O!BA40,$A$1)</f>
        <v>99.87</v>
      </c>
      <c r="AN36" s="1">
        <f>ROUND(Scores_2014_O!BB40,$A$1)</f>
        <v>99.99</v>
      </c>
      <c r="AO36" s="1">
        <f>ROUND(Scores_2014_O!BC40,$A$1)</f>
        <v>99.77</v>
      </c>
      <c r="AP36" s="1">
        <f>ROUND(Scores_2014_O!BD40,$A$1)</f>
        <v>99.68</v>
      </c>
      <c r="AQ36" s="1">
        <f>ROUND(Scores_2014_O!BE40,$A$1)</f>
        <v>99.93</v>
      </c>
      <c r="AR36" s="1">
        <f>ROUND(Scores_2014_O!BF40,$A$1)</f>
        <v>98.25</v>
      </c>
      <c r="AS36" s="1">
        <f>ROUND(Scores_2014_O!BG40,$A$1)</f>
        <v>98.38</v>
      </c>
      <c r="AT36" s="1">
        <f>ROUND(Scores_2014_O!BH40,$A$1)</f>
        <v>99.47</v>
      </c>
      <c r="AU36" s="1">
        <f>ROUND(Scores_2014_O!BI40,$A$1)</f>
        <v>99.64</v>
      </c>
      <c r="AV36" s="1">
        <f>ROUND(Scores_2014_O!BJ40,$A$1)</f>
        <v>89.95</v>
      </c>
      <c r="AW36" s="1">
        <f>ROUND(Scores_2014_O!BK40,$A$1)</f>
        <v>99.93</v>
      </c>
      <c r="AX36" s="1">
        <f>ROUND(Scores_2014_O!BL40,$A$1)</f>
        <v>99.97</v>
      </c>
      <c r="AY36" s="1">
        <f>ROUND(Scores_2014_O!BM40,$A$1)</f>
        <v>99.76</v>
      </c>
      <c r="BA36" s="1">
        <f t="shared" si="1"/>
        <v>95.684</v>
      </c>
    </row>
    <row r="37" spans="1:53">
      <c r="A37" s="1" t="str">
        <f>Scores_2014_O!N41</f>
        <v>3.2.2) Frequency of vehicular accidents</v>
      </c>
      <c r="B37" s="1">
        <f>ROUND(Scores_2014_O!P41,$A$1)</f>
        <v>97.75</v>
      </c>
      <c r="C37" s="1">
        <f>ROUND(Scores_2014_O!Q41,$A$1)</f>
        <v>98.64</v>
      </c>
      <c r="D37" s="1">
        <f>ROUND(Scores_2014_O!R41,$A$1)</f>
        <v>90.63</v>
      </c>
      <c r="E37" s="1">
        <f>ROUND(Scores_2014_O!S41,$A$1)</f>
        <v>82.71</v>
      </c>
      <c r="F37" s="1">
        <f>ROUND(Scores_2014_O!T41,$A$1)</f>
        <v>99.79</v>
      </c>
      <c r="G37" s="1">
        <f>ROUND(Scores_2014_O!U41,$A$1)</f>
        <v>89.83</v>
      </c>
      <c r="H37" s="1">
        <f>ROUND(Scores_2014_O!V41,$A$1)</f>
        <v>93.06</v>
      </c>
      <c r="I37" s="1">
        <f>ROUND(Scores_2014_O!W41,$A$1)</f>
        <v>81.98</v>
      </c>
      <c r="J37" s="1">
        <f>ROUND(Scores_2014_O!X41,$A$1)</f>
        <v>99.19</v>
      </c>
      <c r="K37" s="1">
        <f>ROUND(Scores_2014_O!Y41,$A$1)</f>
        <v>93.48</v>
      </c>
      <c r="L37" s="1">
        <f>ROUND(Scores_2014_O!Z41,$A$1)</f>
        <v>33.5</v>
      </c>
      <c r="M37" s="1">
        <f>ROUND(Scores_2014_O!AA41,$A$1)</f>
        <v>99.74</v>
      </c>
      <c r="N37" s="1">
        <f>ROUND(Scores_2014_O!AB41,$A$1)</f>
        <v>99.29</v>
      </c>
      <c r="O37" s="1">
        <f>ROUND(Scores_2014_O!AC41,$A$1)</f>
        <v>93.39</v>
      </c>
      <c r="P37" s="1">
        <f>ROUND(Scores_2014_O!AD41,$A$1)</f>
        <v>52</v>
      </c>
      <c r="Q37" s="1">
        <f>ROUND(Scores_2014_O!AE41,$A$1)</f>
        <v>98.39</v>
      </c>
      <c r="R37" s="1">
        <f>ROUND(Scores_2014_O!AF41,$A$1)</f>
        <v>40.44</v>
      </c>
      <c r="S37" s="1">
        <f>ROUND(Scores_2014_O!AG41,$A$1)</f>
        <v>68.6</v>
      </c>
      <c r="T37" s="1">
        <f>ROUND(Scores_2014_O!AH41,$A$1)</f>
        <v>81.58</v>
      </c>
      <c r="U37" s="1">
        <f>ROUND(Scores_2014_O!AI41,$A$1)</f>
        <v>93.63</v>
      </c>
      <c r="V37" s="1">
        <f>ROUND(Scores_2014_O!AJ41,$A$1)</f>
        <v>87.19</v>
      </c>
      <c r="W37" s="1">
        <f>ROUND(Scores_2014_O!AK41,$A$1)</f>
        <v>94.86</v>
      </c>
      <c r="X37" s="1">
        <f>ROUND(Scores_2014_O!AL41,$A$1)</f>
        <v>89.83</v>
      </c>
      <c r="Y37" s="1">
        <f>ROUND(Scores_2014_O!AM41,$A$1)</f>
        <v>0</v>
      </c>
      <c r="Z37" s="1">
        <f>ROUND(Scores_2014_O!AN41,$A$1)</f>
        <v>60.96</v>
      </c>
      <c r="AA37" s="1">
        <f>ROUND(Scores_2014_O!AO41,$A$1)</f>
        <v>88.42</v>
      </c>
      <c r="AB37" s="1">
        <f>ROUND(Scores_2014_O!AP41,$A$1)</f>
        <v>97.1</v>
      </c>
      <c r="AC37" s="1">
        <f>ROUND(Scores_2014_O!AQ41,$A$1)</f>
        <v>99.71</v>
      </c>
      <c r="AD37" s="1">
        <f>ROUND(Scores_2014_O!AR41,$A$1)</f>
        <v>74.98</v>
      </c>
      <c r="AE37" s="1">
        <f>ROUND(Scores_2014_O!AS41,$A$1)</f>
        <v>83.6</v>
      </c>
      <c r="AF37" s="1">
        <f>ROUND(Scores_2014_O!AT41,$A$1)</f>
        <v>67.74</v>
      </c>
      <c r="AG37" s="1">
        <f>ROUND(Scores_2014_O!AU41,$A$1)</f>
        <v>89.74</v>
      </c>
      <c r="AH37" s="1">
        <f>ROUND(Scores_2014_O!AV41,$A$1)</f>
        <v>30</v>
      </c>
      <c r="AI37" s="1">
        <f>ROUND(Scores_2014_O!AW41,$A$1)</f>
        <v>78.63</v>
      </c>
      <c r="AJ37" s="1">
        <f>ROUND(Scores_2014_O!AX41,$A$1)</f>
        <v>86.27</v>
      </c>
      <c r="AK37" s="1">
        <f>ROUND(Scores_2014_O!AY41,$A$1)</f>
        <v>89.09</v>
      </c>
      <c r="AL37" s="1">
        <f>ROUND(Scores_2014_O!AZ41,$A$1)</f>
        <v>93.05</v>
      </c>
      <c r="AM37" s="1">
        <f>ROUND(Scores_2014_O!BA41,$A$1)</f>
        <v>88.01</v>
      </c>
      <c r="AN37" s="1">
        <f>ROUND(Scores_2014_O!BB41,$A$1)</f>
        <v>100</v>
      </c>
      <c r="AO37" s="1">
        <f>ROUND(Scores_2014_O!BC41,$A$1)</f>
        <v>99.55</v>
      </c>
      <c r="AP37" s="1">
        <f>ROUND(Scores_2014_O!BD41,$A$1)</f>
        <v>96.67</v>
      </c>
      <c r="AQ37" s="1">
        <f>ROUND(Scores_2014_O!BE41,$A$1)</f>
        <v>95.54</v>
      </c>
      <c r="AR37" s="1">
        <f>ROUND(Scores_2014_O!BF41,$A$1)</f>
        <v>82.96</v>
      </c>
      <c r="AS37" s="1">
        <f>ROUND(Scores_2014_O!BG41,$A$1)</f>
        <v>76.9</v>
      </c>
      <c r="AT37" s="1">
        <f>ROUND(Scores_2014_O!BH41,$A$1)</f>
        <v>95.51</v>
      </c>
      <c r="AU37" s="1">
        <f>ROUND(Scores_2014_O!BI41,$A$1)</f>
        <v>99.56</v>
      </c>
      <c r="AV37" s="1">
        <f>ROUND(Scores_2014_O!BJ41,$A$1)</f>
        <v>89.34</v>
      </c>
      <c r="AW37" s="1">
        <f>ROUND(Scores_2014_O!BK41,$A$1)</f>
        <v>73.82</v>
      </c>
      <c r="AX37" s="1">
        <f>ROUND(Scores_2014_O!BL41,$A$1)</f>
        <v>10.89</v>
      </c>
      <c r="AY37" s="1">
        <f>ROUND(Scores_2014_O!BM41,$A$1)</f>
        <v>73.05</v>
      </c>
      <c r="BA37" s="1">
        <f t="shared" si="1"/>
        <v>81.6118</v>
      </c>
    </row>
    <row r="38" spans="1:53">
      <c r="A38" s="1" t="str">
        <f>Scores_2014_O!N42</f>
        <v>3.2.3) Frequency of pedestrian deaths</v>
      </c>
      <c r="B38" s="1">
        <f>ROUND(Scores_2014_O!P42,$A$1)</f>
        <v>96.83</v>
      </c>
      <c r="C38" s="1">
        <f>ROUND(Scores_2014_O!Q42,$A$1)</f>
        <v>99.63</v>
      </c>
      <c r="D38" s="1">
        <f>ROUND(Scores_2014_O!R42,$A$1)</f>
        <v>97.67</v>
      </c>
      <c r="E38" s="1">
        <f>ROUND(Scores_2014_O!S42,$A$1)</f>
        <v>99.07</v>
      </c>
      <c r="F38" s="1">
        <f>ROUND(Scores_2014_O!T42,$A$1)</f>
        <v>98.13</v>
      </c>
      <c r="G38" s="1">
        <f>ROUND(Scores_2014_O!U42,$A$1)</f>
        <v>98.51</v>
      </c>
      <c r="H38" s="1">
        <f>ROUND(Scores_2014_O!V42,$A$1)</f>
        <v>30.6</v>
      </c>
      <c r="I38" s="1">
        <f>ROUND(Scores_2014_O!W42,$A$1)</f>
        <v>97.01</v>
      </c>
      <c r="J38" s="1">
        <f>ROUND(Scores_2014_O!X42,$A$1)</f>
        <v>95.52</v>
      </c>
      <c r="K38" s="1">
        <f>ROUND(Scores_2014_O!Y42,$A$1)</f>
        <v>92.54</v>
      </c>
      <c r="L38" s="1">
        <f>ROUND(Scores_2014_O!Z42,$A$1)</f>
        <v>99.25</v>
      </c>
      <c r="M38" s="1">
        <f>ROUND(Scores_2014_O!AA42,$A$1)</f>
        <v>98.51</v>
      </c>
      <c r="N38" s="1">
        <f>ROUND(Scores_2014_O!AB42,$A$1)</f>
        <v>98.84</v>
      </c>
      <c r="O38" s="1">
        <f>ROUND(Scores_2014_O!AC42,$A$1)</f>
        <v>5.22</v>
      </c>
      <c r="P38" s="1">
        <f>ROUND(Scores_2014_O!AD42,$A$1)</f>
        <v>98.32</v>
      </c>
      <c r="Q38" s="1">
        <f>ROUND(Scores_2014_O!AE42,$A$1)</f>
        <v>95.34</v>
      </c>
      <c r="R38" s="1">
        <f>ROUND(Scores_2014_O!AF42,$A$1)</f>
        <v>82.84</v>
      </c>
      <c r="S38" s="1">
        <f>ROUND(Scores_2014_O!AG42,$A$1)</f>
        <v>83.4</v>
      </c>
      <c r="T38" s="1">
        <f>ROUND(Scores_2014_O!AH42,$A$1)</f>
        <v>91.23</v>
      </c>
      <c r="U38" s="1">
        <f>ROUND(Scores_2014_O!AI42,$A$1)</f>
        <v>98.88</v>
      </c>
      <c r="V38" s="1">
        <f>ROUND(Scores_2014_O!AJ42,$A$1)</f>
        <v>95.52</v>
      </c>
      <c r="W38" s="1">
        <f>ROUND(Scores_2014_O!AK42,$A$1)</f>
        <v>99.81</v>
      </c>
      <c r="X38" s="1">
        <f>ROUND(Scores_2014_O!AL42,$A$1)</f>
        <v>99.25</v>
      </c>
      <c r="Y38" s="1">
        <f>ROUND(Scores_2014_O!AM42,$A$1)</f>
        <v>0</v>
      </c>
      <c r="Z38" s="1">
        <f>ROUND(Scores_2014_O!AN42,$A$1)</f>
        <v>95.52</v>
      </c>
      <c r="AA38" s="1">
        <f>ROUND(Scores_2014_O!AO42,$A$1)</f>
        <v>100</v>
      </c>
      <c r="AB38" s="1">
        <f>ROUND(Scores_2014_O!AP42,$A$1)</f>
        <v>82.09</v>
      </c>
      <c r="AC38" s="1">
        <f>ROUND(Scores_2014_O!AQ42,$A$1)</f>
        <v>97.76</v>
      </c>
      <c r="AD38" s="1">
        <f>ROUND(Scores_2014_O!AR42,$A$1)</f>
        <v>97.39</v>
      </c>
      <c r="AE38" s="1">
        <f>ROUND(Scores_2014_O!AS42,$A$1)</f>
        <v>97.95</v>
      </c>
      <c r="AF38" s="1">
        <f>ROUND(Scores_2014_O!AT42,$A$1)</f>
        <v>98.88</v>
      </c>
      <c r="AG38" s="1">
        <f>ROUND(Scores_2014_O!AU42,$A$1)</f>
        <v>90.11</v>
      </c>
      <c r="AH38" s="1">
        <f>ROUND(Scores_2014_O!AV42,$A$1)</f>
        <v>95.15</v>
      </c>
      <c r="AI38" s="1">
        <f>ROUND(Scores_2014_O!AW42,$A$1)</f>
        <v>95.9</v>
      </c>
      <c r="AJ38" s="1">
        <f>ROUND(Scores_2014_O!AX42,$A$1)</f>
        <v>96.64</v>
      </c>
      <c r="AK38" s="1">
        <f>ROUND(Scores_2014_O!AY42,$A$1)</f>
        <v>78.54</v>
      </c>
      <c r="AL38" s="1">
        <f>ROUND(Scores_2014_O!AZ42,$A$1)</f>
        <v>89.93</v>
      </c>
      <c r="AM38" s="1">
        <f>ROUND(Scores_2014_O!BA42,$A$1)</f>
        <v>97.39</v>
      </c>
      <c r="AN38" s="1">
        <f>ROUND(Scores_2014_O!BB42,$A$1)</f>
        <v>98.51</v>
      </c>
      <c r="AO38" s="1">
        <f>ROUND(Scores_2014_O!BC42,$A$1)</f>
        <v>98.13</v>
      </c>
      <c r="AP38" s="1">
        <f>ROUND(Scores_2014_O!BD42,$A$1)</f>
        <v>98.88</v>
      </c>
      <c r="AQ38" s="1">
        <f>ROUND(Scores_2014_O!BE42,$A$1)</f>
        <v>99.44</v>
      </c>
      <c r="AR38" s="1">
        <f>ROUND(Scores_2014_O!BF42,$A$1)</f>
        <v>99.07</v>
      </c>
      <c r="AS38" s="1">
        <f>ROUND(Scores_2014_O!BG42,$A$1)</f>
        <v>98.69</v>
      </c>
      <c r="AT38" s="1">
        <f>ROUND(Scores_2014_O!BH42,$A$1)</f>
        <v>80.97</v>
      </c>
      <c r="AU38" s="1">
        <f>ROUND(Scores_2014_O!BI42,$A$1)</f>
        <v>98.51</v>
      </c>
      <c r="AV38" s="1">
        <f>ROUND(Scores_2014_O!BJ42,$A$1)</f>
        <v>97.2</v>
      </c>
      <c r="AW38" s="1">
        <f>ROUND(Scores_2014_O!BK42,$A$1)</f>
        <v>99.63</v>
      </c>
      <c r="AX38" s="1">
        <f>ROUND(Scores_2014_O!BL42,$A$1)</f>
        <v>97.95</v>
      </c>
      <c r="AY38" s="1">
        <f>ROUND(Scores_2014_O!BM42,$A$1)</f>
        <v>98.69</v>
      </c>
      <c r="BA38" s="1">
        <f t="shared" si="1"/>
        <v>90.6168</v>
      </c>
    </row>
    <row r="39" spans="1:53">
      <c r="A39" s="1" t="str">
        <f>Scores_2014_O!N43</f>
        <v>3.2.4) Percent living in urban slums</v>
      </c>
      <c r="B39" s="1">
        <f>ROUND(Scores_2014_O!P43,$A$1)</f>
        <v>48.68</v>
      </c>
      <c r="C39" s="1">
        <f>ROUND(Scores_2014_O!Q43,$A$1)</f>
        <v>61.88</v>
      </c>
      <c r="D39" s="1">
        <f>ROUND(Scores_2014_O!R43,$A$1)</f>
        <v>26.69</v>
      </c>
      <c r="E39" s="1">
        <f>ROUND(Scores_2014_O!S43,$A$1)</f>
        <v>25.81</v>
      </c>
      <c r="F39" s="1">
        <f>ROUND(Scores_2014_O!T43,$A$1)</f>
        <v>20.53</v>
      </c>
      <c r="G39" s="1">
        <f>ROUND(Scores_2014_O!U43,$A$1)</f>
        <v>42.52</v>
      </c>
      <c r="H39" s="1">
        <f>ROUND(Scores_2014_O!V43,$A$1)</f>
        <v>44.87</v>
      </c>
      <c r="I39" s="1">
        <f>ROUND(Scores_2014_O!W43,$A$1)</f>
        <v>47.21</v>
      </c>
      <c r="J39" s="1">
        <f>ROUND(Scores_2014_O!X43,$A$1)</f>
        <v>19.65</v>
      </c>
      <c r="K39" s="1">
        <f>ROUND(Scores_2014_O!Y43,$A$1)</f>
        <v>48.68</v>
      </c>
      <c r="L39" s="1">
        <f>ROUND(Scores_2014_O!Z43,$A$1)</f>
        <v>48.39</v>
      </c>
      <c r="M39" s="1">
        <f>ROUND(Scores_2014_O!AA43,$A$1)</f>
        <v>20.53</v>
      </c>
      <c r="N39" s="1">
        <f>ROUND(Scores_2014_O!AB43,$A$1)</f>
        <v>2.64</v>
      </c>
      <c r="O39" s="1">
        <f>ROUND(Scores_2014_O!AC43,$A$1)</f>
        <v>53.08</v>
      </c>
      <c r="P39" s="1">
        <f>ROUND(Scores_2014_O!AD43,$A$1)</f>
        <v>67.74</v>
      </c>
      <c r="Q39" s="1">
        <f>ROUND(Scores_2014_O!AE43,$A$1)</f>
        <v>38.42</v>
      </c>
      <c r="R39" s="1">
        <f>ROUND(Scores_2014_O!AF43,$A$1)</f>
        <v>38.42</v>
      </c>
      <c r="S39" s="1">
        <f>ROUND(Scores_2014_O!AG43,$A$1)</f>
        <v>91.2</v>
      </c>
      <c r="T39" s="1">
        <f>ROUND(Scores_2014_O!AH43,$A$1)</f>
        <v>0</v>
      </c>
      <c r="U39" s="1">
        <f>ROUND(Scores_2014_O!AI43,$A$1)</f>
        <v>35.19</v>
      </c>
      <c r="V39" s="1">
        <f>ROUND(Scores_2014_O!AJ43,$A$1)</f>
        <v>47.21</v>
      </c>
      <c r="W39" s="1">
        <f>ROUND(Scores_2014_O!AK43,$A$1)</f>
        <v>25.81</v>
      </c>
      <c r="X39" s="1">
        <f>ROUND(Scores_2014_O!AL43,$A$1)</f>
        <v>68.91</v>
      </c>
      <c r="Y39" s="1">
        <f>ROUND(Scores_2014_O!AM43,$A$1)</f>
        <v>63.64</v>
      </c>
      <c r="Z39" s="1">
        <f>ROUND(Scores_2014_O!AN43,$A$1)</f>
        <v>22.58</v>
      </c>
      <c r="AA39" s="1">
        <f>ROUND(Scores_2014_O!AO43,$A$1)</f>
        <v>67.45</v>
      </c>
      <c r="AB39" s="1">
        <f>ROUND(Scores_2014_O!AP43,$A$1)</f>
        <v>0.29</v>
      </c>
      <c r="AC39" s="1">
        <f>ROUND(Scores_2014_O!AQ43,$A$1)</f>
        <v>19.65</v>
      </c>
      <c r="AD39" s="1">
        <f>ROUND(Scores_2014_O!AR43,$A$1)</f>
        <v>47.21</v>
      </c>
      <c r="AE39" s="1">
        <f>ROUND(Scores_2014_O!AS43,$A$1)</f>
        <v>59.82</v>
      </c>
      <c r="AF39" s="1">
        <f>ROUND(Scores_2014_O!AT43,$A$1)</f>
        <v>49.85</v>
      </c>
      <c r="AG39" s="1">
        <f>ROUND(Scores_2014_O!AU43,$A$1)</f>
        <v>26.98</v>
      </c>
      <c r="AH39" s="1">
        <f>ROUND(Scores_2014_O!AV43,$A$1)</f>
        <v>53.08</v>
      </c>
      <c r="AI39" s="1">
        <f>ROUND(Scores_2014_O!AW43,$A$1)</f>
        <v>22.58</v>
      </c>
      <c r="AJ39" s="1">
        <f>ROUND(Scores_2014_O!AX43,$A$1)</f>
        <v>47.21</v>
      </c>
      <c r="AK39" s="1">
        <f>ROUND(Scores_2014_O!AY43,$A$1)</f>
        <v>79.47</v>
      </c>
      <c r="AL39" s="1">
        <f>ROUND(Scores_2014_O!AZ43,$A$1)</f>
        <v>26.98</v>
      </c>
      <c r="AM39" s="1">
        <f>ROUND(Scores_2014_O!BA43,$A$1)</f>
        <v>61.88</v>
      </c>
      <c r="AN39" s="1">
        <f>ROUND(Scores_2014_O!BB43,$A$1)</f>
        <v>20.53</v>
      </c>
      <c r="AO39" s="1">
        <f>ROUND(Scores_2014_O!BC43,$A$1)</f>
        <v>20.53</v>
      </c>
      <c r="AP39" s="1">
        <f>ROUND(Scores_2014_O!BD43,$A$1)</f>
        <v>29.62</v>
      </c>
      <c r="AQ39" s="1">
        <f>ROUND(Scores_2014_O!BE43,$A$1)</f>
        <v>70.38</v>
      </c>
      <c r="AR39" s="1">
        <f>ROUND(Scores_2014_O!BF43,$A$1)</f>
        <v>68.91</v>
      </c>
      <c r="AS39" s="1">
        <f>ROUND(Scores_2014_O!BG43,$A$1)</f>
        <v>100</v>
      </c>
      <c r="AT39" s="1">
        <f>ROUND(Scores_2014_O!BH43,$A$1)</f>
        <v>61.88</v>
      </c>
      <c r="AU39" s="1">
        <f>ROUND(Scores_2014_O!BI43,$A$1)</f>
        <v>20.53</v>
      </c>
      <c r="AV39" s="1">
        <f>ROUND(Scores_2014_O!BJ43,$A$1)</f>
        <v>59.82</v>
      </c>
      <c r="AW39" s="1">
        <f>ROUND(Scores_2014_O!BK43,$A$1)</f>
        <v>67.16</v>
      </c>
      <c r="AX39" s="1">
        <f>ROUND(Scores_2014_O!BL43,$A$1)</f>
        <v>47.21</v>
      </c>
      <c r="AY39" s="1">
        <f>ROUND(Scores_2014_O!BM43,$A$1)</f>
        <v>93.55</v>
      </c>
      <c r="BA39" s="1">
        <f t="shared" si="1"/>
        <v>44.657</v>
      </c>
    </row>
    <row r="40" spans="1:53">
      <c r="A40" s="1" t="str">
        <f>Scores_2014_O!N44</f>
        <v>4) PERSONAL SAFETY</v>
      </c>
      <c r="B40" s="1">
        <f>ROUND(Scores_2014_O!P44,$A$1)</f>
        <v>67.39</v>
      </c>
      <c r="C40" s="1">
        <f>ROUND(Scores_2014_O!Q44,$A$1)</f>
        <v>82.39</v>
      </c>
      <c r="D40" s="1">
        <f>ROUND(Scores_2014_O!R44,$A$1)</f>
        <v>70.97</v>
      </c>
      <c r="E40" s="1">
        <f>ROUND(Scores_2014_O!S44,$A$1)</f>
        <v>78.36</v>
      </c>
      <c r="F40" s="1">
        <f>ROUND(Scores_2014_O!T44,$A$1)</f>
        <v>55.51</v>
      </c>
      <c r="G40" s="1">
        <f>ROUND(Scores_2014_O!U44,$A$1)</f>
        <v>60.31</v>
      </c>
      <c r="H40" s="1">
        <f>ROUND(Scores_2014_O!V44,$A$1)</f>
        <v>62.25</v>
      </c>
      <c r="I40" s="1">
        <f>ROUND(Scores_2014_O!W44,$A$1)</f>
        <v>71.27</v>
      </c>
      <c r="J40" s="1">
        <f>ROUND(Scores_2014_O!X44,$A$1)</f>
        <v>72.7</v>
      </c>
      <c r="K40" s="1">
        <f>ROUND(Scores_2014_O!Y44,$A$1)</f>
        <v>76.41</v>
      </c>
      <c r="L40" s="1">
        <f>ROUND(Scores_2014_O!Z44,$A$1)</f>
        <v>74.57</v>
      </c>
      <c r="M40" s="1">
        <f>ROUND(Scores_2014_O!AA44,$A$1)</f>
        <v>59.37</v>
      </c>
      <c r="N40" s="1">
        <f>ROUND(Scores_2014_O!AB44,$A$1)</f>
        <v>65.62</v>
      </c>
      <c r="O40" s="1">
        <f>ROUND(Scores_2014_O!AC44,$A$1)</f>
        <v>85.09</v>
      </c>
      <c r="P40" s="1">
        <f>ROUND(Scores_2014_O!AD44,$A$1)</f>
        <v>73.7</v>
      </c>
      <c r="Q40" s="1">
        <f>ROUND(Scores_2014_O!AE44,$A$1)</f>
        <v>59.23</v>
      </c>
      <c r="R40" s="1">
        <f>ROUND(Scores_2014_O!AF44,$A$1)</f>
        <v>61.29</v>
      </c>
      <c r="S40" s="1">
        <f>ROUND(Scores_2014_O!AG44,$A$1)</f>
        <v>59.47</v>
      </c>
      <c r="T40" s="1">
        <f>ROUND(Scores_2014_O!AH44,$A$1)</f>
        <v>74.81</v>
      </c>
      <c r="U40" s="1">
        <f>ROUND(Scores_2014_O!AI44,$A$1)</f>
        <v>77.35</v>
      </c>
      <c r="V40" s="1">
        <f>ROUND(Scores_2014_O!AJ44,$A$1)</f>
        <v>71.66</v>
      </c>
      <c r="W40" s="1">
        <f>ROUND(Scores_2014_O!AK44,$A$1)</f>
        <v>65.81</v>
      </c>
      <c r="X40" s="1">
        <f>ROUND(Scores_2014_O!AL44,$A$1)</f>
        <v>82.72</v>
      </c>
      <c r="Y40" s="1">
        <f>ROUND(Scores_2014_O!AM44,$A$1)</f>
        <v>62.07</v>
      </c>
      <c r="Z40" s="1">
        <f>ROUND(Scores_2014_O!AN44,$A$1)</f>
        <v>70.87</v>
      </c>
      <c r="AA40" s="1">
        <f>ROUND(Scores_2014_O!AO44,$A$1)</f>
        <v>68.48</v>
      </c>
      <c r="AB40" s="1">
        <f>ROUND(Scores_2014_O!AP44,$A$1)</f>
        <v>55.27</v>
      </c>
      <c r="AC40" s="1">
        <f>ROUND(Scores_2014_O!AQ44,$A$1)</f>
        <v>73.61</v>
      </c>
      <c r="AD40" s="1">
        <f>ROUND(Scores_2014_O!AR44,$A$1)</f>
        <v>69.45</v>
      </c>
      <c r="AE40" s="1">
        <f>ROUND(Scores_2014_O!AS44,$A$1)</f>
        <v>90.2</v>
      </c>
      <c r="AF40" s="1">
        <f>ROUND(Scores_2014_O!AT44,$A$1)</f>
        <v>71.29</v>
      </c>
      <c r="AG40" s="1">
        <f>ROUND(Scores_2014_O!AU44,$A$1)</f>
        <v>67.45</v>
      </c>
      <c r="AH40" s="1">
        <f>ROUND(Scores_2014_O!AV44,$A$1)</f>
        <v>60.26</v>
      </c>
      <c r="AI40" s="1">
        <f>ROUND(Scores_2014_O!AW44,$A$1)</f>
        <v>60.94</v>
      </c>
      <c r="AJ40" s="1">
        <f>ROUND(Scores_2014_O!AX44,$A$1)</f>
        <v>72.96</v>
      </c>
      <c r="AK40" s="1">
        <f>ROUND(Scores_2014_O!AY44,$A$1)</f>
        <v>53.58</v>
      </c>
      <c r="AL40" s="1">
        <f>ROUND(Scores_2014_O!AZ44,$A$1)</f>
        <v>57.59</v>
      </c>
      <c r="AM40" s="1">
        <f>ROUND(Scores_2014_O!BA44,$A$1)</f>
        <v>73.62</v>
      </c>
      <c r="AN40" s="1">
        <f>ROUND(Scores_2014_O!BB44,$A$1)</f>
        <v>67.66</v>
      </c>
      <c r="AO40" s="1">
        <f>ROUND(Scores_2014_O!BC44,$A$1)</f>
        <v>61.96</v>
      </c>
      <c r="AP40" s="1">
        <f>ROUND(Scores_2014_O!BD44,$A$1)</f>
        <v>90.42</v>
      </c>
      <c r="AQ40" s="1">
        <f>ROUND(Scores_2014_O!BE44,$A$1)</f>
        <v>87.51</v>
      </c>
      <c r="AR40" s="1">
        <f>ROUND(Scores_2014_O!BF44,$A$1)</f>
        <v>80.4</v>
      </c>
      <c r="AS40" s="1">
        <f>ROUND(Scores_2014_O!BG44,$A$1)</f>
        <v>85.67</v>
      </c>
      <c r="AT40" s="1">
        <f>ROUND(Scores_2014_O!BH44,$A$1)</f>
        <v>56.35</v>
      </c>
      <c r="AU40" s="1">
        <f>ROUND(Scores_2014_O!BI44,$A$1)</f>
        <v>62.46</v>
      </c>
      <c r="AV40" s="1">
        <f>ROUND(Scores_2014_O!BJ44,$A$1)</f>
        <v>89.31</v>
      </c>
      <c r="AW40" s="1">
        <f>ROUND(Scores_2014_O!BK44,$A$1)</f>
        <v>84.82</v>
      </c>
      <c r="AX40" s="1">
        <f>ROUND(Scores_2014_O!BL44,$A$1)</f>
        <v>73.95</v>
      </c>
      <c r="AY40" s="1">
        <f>ROUND(Scores_2014_O!BM44,$A$1)</f>
        <v>76.62</v>
      </c>
      <c r="BA40" s="1">
        <f t="shared" si="1"/>
        <v>70.6604</v>
      </c>
    </row>
    <row r="41" spans="1:53">
      <c r="A41" s="1" t="str">
        <f>Scores_2014_O!N45</f>
        <v>4.1) Personal Safety (Inputs)</v>
      </c>
      <c r="B41" s="1">
        <f>ROUND(Scores_2014_O!P45,$A$1)</f>
        <v>50</v>
      </c>
      <c r="C41" s="1">
        <f>ROUND(Scores_2014_O!Q45,$A$1)</f>
        <v>92.38</v>
      </c>
      <c r="D41" s="1">
        <f>ROUND(Scores_2014_O!R45,$A$1)</f>
        <v>74.76</v>
      </c>
      <c r="E41" s="1">
        <f>ROUND(Scores_2014_O!S45,$A$1)</f>
        <v>91.43</v>
      </c>
      <c r="F41" s="1">
        <f>ROUND(Scores_2014_O!T45,$A$1)</f>
        <v>49.29</v>
      </c>
      <c r="G41" s="1">
        <f>ROUND(Scores_2014_O!U45,$A$1)</f>
        <v>47.38</v>
      </c>
      <c r="H41" s="1">
        <f>ROUND(Scores_2014_O!V45,$A$1)</f>
        <v>65.95</v>
      </c>
      <c r="I41" s="1">
        <f>ROUND(Scores_2014_O!W45,$A$1)</f>
        <v>89.76</v>
      </c>
      <c r="J41" s="1">
        <f>ROUND(Scores_2014_O!X45,$A$1)</f>
        <v>75.24</v>
      </c>
      <c r="K41" s="1">
        <f>ROUND(Scores_2014_O!Y45,$A$1)</f>
        <v>81.19</v>
      </c>
      <c r="L41" s="1">
        <f>ROUND(Scores_2014_O!Z45,$A$1)</f>
        <v>77.14</v>
      </c>
      <c r="M41" s="1">
        <f>ROUND(Scores_2014_O!AA45,$A$1)</f>
        <v>56.43</v>
      </c>
      <c r="N41" s="1">
        <f>ROUND(Scores_2014_O!AB45,$A$1)</f>
        <v>57.14</v>
      </c>
      <c r="O41" s="1">
        <f>ROUND(Scores_2014_O!AC45,$A$1)</f>
        <v>92.62</v>
      </c>
      <c r="P41" s="1">
        <f>ROUND(Scores_2014_O!AD45,$A$1)</f>
        <v>79.76</v>
      </c>
      <c r="Q41" s="1">
        <f>ROUND(Scores_2014_O!AE45,$A$1)</f>
        <v>56.19</v>
      </c>
      <c r="R41" s="1">
        <f>ROUND(Scores_2014_O!AF45,$A$1)</f>
        <v>67.62</v>
      </c>
      <c r="S41" s="1">
        <f>ROUND(Scores_2014_O!AG45,$A$1)</f>
        <v>33.57</v>
      </c>
      <c r="T41" s="1">
        <f>ROUND(Scores_2014_O!AH45,$A$1)</f>
        <v>80.48</v>
      </c>
      <c r="U41" s="1">
        <f>ROUND(Scores_2014_O!AI45,$A$1)</f>
        <v>93.33</v>
      </c>
      <c r="V41" s="1">
        <f>ROUND(Scores_2014_O!AJ45,$A$1)</f>
        <v>90.48</v>
      </c>
      <c r="W41" s="1">
        <f>ROUND(Scores_2014_O!AK45,$A$1)</f>
        <v>70</v>
      </c>
      <c r="X41" s="1">
        <f>ROUND(Scores_2014_O!AL45,$A$1)</f>
        <v>95</v>
      </c>
      <c r="Y41" s="1">
        <f>ROUND(Scores_2014_O!AM45,$A$1)</f>
        <v>71.9</v>
      </c>
      <c r="Z41" s="1">
        <f>ROUND(Scores_2014_O!AN45,$A$1)</f>
        <v>73.33</v>
      </c>
      <c r="AA41" s="1">
        <f>ROUND(Scores_2014_O!AO45,$A$1)</f>
        <v>64.76</v>
      </c>
      <c r="AB41" s="1">
        <f>ROUND(Scores_2014_O!AP45,$A$1)</f>
        <v>34.52</v>
      </c>
      <c r="AC41" s="1">
        <f>ROUND(Scores_2014_O!AQ45,$A$1)</f>
        <v>75.24</v>
      </c>
      <c r="AD41" s="1">
        <f>ROUND(Scores_2014_O!AR45,$A$1)</f>
        <v>88.81</v>
      </c>
      <c r="AE41" s="1">
        <f>ROUND(Scores_2014_O!AS45,$A$1)</f>
        <v>96.19</v>
      </c>
      <c r="AF41" s="1">
        <f>ROUND(Scores_2014_O!AT45,$A$1)</f>
        <v>73.1</v>
      </c>
      <c r="AG41" s="1">
        <f>ROUND(Scores_2014_O!AU45,$A$1)</f>
        <v>73.57</v>
      </c>
      <c r="AH41" s="1">
        <f>ROUND(Scores_2014_O!AV45,$A$1)</f>
        <v>35</v>
      </c>
      <c r="AI41" s="1">
        <f>ROUND(Scores_2014_O!AW45,$A$1)</f>
        <v>59.05</v>
      </c>
      <c r="AJ41" s="1">
        <f>ROUND(Scores_2014_O!AX45,$A$1)</f>
        <v>90.48</v>
      </c>
      <c r="AK41" s="1">
        <f>ROUND(Scores_2014_O!AY45,$A$1)</f>
        <v>51.43</v>
      </c>
      <c r="AL41" s="1">
        <f>ROUND(Scores_2014_O!AZ45,$A$1)</f>
        <v>52.14</v>
      </c>
      <c r="AM41" s="1">
        <f>ROUND(Scores_2014_O!BA45,$A$1)</f>
        <v>69.29</v>
      </c>
      <c r="AN41" s="1">
        <f>ROUND(Scores_2014_O!BB45,$A$1)</f>
        <v>70.71</v>
      </c>
      <c r="AO41" s="1">
        <f>ROUND(Scores_2014_O!BC45,$A$1)</f>
        <v>56.43</v>
      </c>
      <c r="AP41" s="1">
        <f>ROUND(Scores_2014_O!BD45,$A$1)</f>
        <v>94.76</v>
      </c>
      <c r="AQ41" s="1">
        <f>ROUND(Scores_2014_O!BE45,$A$1)</f>
        <v>84.29</v>
      </c>
      <c r="AR41" s="1">
        <f>ROUND(Scores_2014_O!BF45,$A$1)</f>
        <v>95</v>
      </c>
      <c r="AS41" s="1">
        <f>ROUND(Scores_2014_O!BG45,$A$1)</f>
        <v>94.52</v>
      </c>
      <c r="AT41" s="1">
        <f>ROUND(Scores_2014_O!BH45,$A$1)</f>
        <v>46.19</v>
      </c>
      <c r="AU41" s="1">
        <f>ROUND(Scores_2014_O!BI45,$A$1)</f>
        <v>56.43</v>
      </c>
      <c r="AV41" s="1">
        <f>ROUND(Scores_2014_O!BJ45,$A$1)</f>
        <v>96.19</v>
      </c>
      <c r="AW41" s="1">
        <f>ROUND(Scores_2014_O!BK45,$A$1)</f>
        <v>93.33</v>
      </c>
      <c r="AX41" s="1">
        <f>ROUND(Scores_2014_O!BL45,$A$1)</f>
        <v>95</v>
      </c>
      <c r="AY41" s="1">
        <f>ROUND(Scores_2014_O!BM45,$A$1)</f>
        <v>71.19</v>
      </c>
      <c r="BA41" s="1">
        <f t="shared" si="1"/>
        <v>72.5998</v>
      </c>
    </row>
    <row r="42" spans="1:53">
      <c r="A42" s="1" t="str">
        <f>Scores_2014_O!N46</f>
        <v>4.1.1) Level of police engagement</v>
      </c>
      <c r="B42" s="1">
        <f>ROUND(Scores_2014_O!P46,$A$1)</f>
        <v>50</v>
      </c>
      <c r="C42" s="1">
        <f>ROUND(Scores_2014_O!Q46,$A$1)</f>
        <v>100</v>
      </c>
      <c r="D42" s="1">
        <f>ROUND(Scores_2014_O!R46,$A$1)</f>
        <v>50</v>
      </c>
      <c r="E42" s="1">
        <f>ROUND(Scores_2014_O!S46,$A$1)</f>
        <v>100</v>
      </c>
      <c r="F42" s="1">
        <f>ROUND(Scores_2014_O!T46,$A$1)</f>
        <v>100</v>
      </c>
      <c r="G42" s="1">
        <f>ROUND(Scores_2014_O!U46,$A$1)</f>
        <v>100</v>
      </c>
      <c r="H42" s="1">
        <f>ROUND(Scores_2014_O!V46,$A$1)</f>
        <v>50</v>
      </c>
      <c r="I42" s="1">
        <f>ROUND(Scores_2014_O!W46,$A$1)</f>
        <v>100</v>
      </c>
      <c r="J42" s="1">
        <f>ROUND(Scores_2014_O!X46,$A$1)</f>
        <v>100</v>
      </c>
      <c r="K42" s="1">
        <f>ROUND(Scores_2014_O!Y46,$A$1)</f>
        <v>50</v>
      </c>
      <c r="L42" s="1">
        <f>ROUND(Scores_2014_O!Z46,$A$1)</f>
        <v>100</v>
      </c>
      <c r="M42" s="1">
        <f>ROUND(Scores_2014_O!AA46,$A$1)</f>
        <v>50</v>
      </c>
      <c r="N42" s="1">
        <f>ROUND(Scores_2014_O!AB46,$A$1)</f>
        <v>50</v>
      </c>
      <c r="O42" s="1">
        <f>ROUND(Scores_2014_O!AC46,$A$1)</f>
        <v>100</v>
      </c>
      <c r="P42" s="1">
        <f>ROUND(Scores_2014_O!AD46,$A$1)</f>
        <v>100</v>
      </c>
      <c r="Q42" s="1">
        <f>ROUND(Scores_2014_O!AE46,$A$1)</f>
        <v>50</v>
      </c>
      <c r="R42" s="1">
        <f>ROUND(Scores_2014_O!AF46,$A$1)</f>
        <v>100</v>
      </c>
      <c r="S42" s="1">
        <f>ROUND(Scores_2014_O!AG46,$A$1)</f>
        <v>100</v>
      </c>
      <c r="T42" s="1">
        <f>ROUND(Scores_2014_O!AH46,$A$1)</f>
        <v>100</v>
      </c>
      <c r="U42" s="1">
        <f>ROUND(Scores_2014_O!AI46,$A$1)</f>
        <v>100</v>
      </c>
      <c r="V42" s="1">
        <f>ROUND(Scores_2014_O!AJ46,$A$1)</f>
        <v>100</v>
      </c>
      <c r="W42" s="1">
        <f>ROUND(Scores_2014_O!AK46,$A$1)</f>
        <v>50</v>
      </c>
      <c r="X42" s="1">
        <f>ROUND(Scores_2014_O!AL46,$A$1)</f>
        <v>100</v>
      </c>
      <c r="Y42" s="1">
        <f>ROUND(Scores_2014_O!AM46,$A$1)</f>
        <v>100</v>
      </c>
      <c r="Z42" s="1">
        <f>ROUND(Scores_2014_O!AN46,$A$1)</f>
        <v>100</v>
      </c>
      <c r="AA42" s="1">
        <f>ROUND(Scores_2014_O!AO46,$A$1)</f>
        <v>100</v>
      </c>
      <c r="AB42" s="1">
        <f>ROUND(Scores_2014_O!AP46,$A$1)</f>
        <v>50</v>
      </c>
      <c r="AC42" s="1">
        <f>ROUND(Scores_2014_O!AQ46,$A$1)</f>
        <v>100</v>
      </c>
      <c r="AD42" s="1">
        <f>ROUND(Scores_2014_O!AR46,$A$1)</f>
        <v>100</v>
      </c>
      <c r="AE42" s="1">
        <f>ROUND(Scores_2014_O!AS46,$A$1)</f>
        <v>100</v>
      </c>
      <c r="AF42" s="1">
        <f>ROUND(Scores_2014_O!AT46,$A$1)</f>
        <v>100</v>
      </c>
      <c r="AG42" s="1">
        <f>ROUND(Scores_2014_O!AU46,$A$1)</f>
        <v>100</v>
      </c>
      <c r="AH42" s="1">
        <f>ROUND(Scores_2014_O!AV46,$A$1)</f>
        <v>100</v>
      </c>
      <c r="AI42" s="1">
        <f>ROUND(Scores_2014_O!AW46,$A$1)</f>
        <v>100</v>
      </c>
      <c r="AJ42" s="1">
        <f>ROUND(Scores_2014_O!AX46,$A$1)</f>
        <v>100</v>
      </c>
      <c r="AK42" s="1">
        <f>ROUND(Scores_2014_O!AY46,$A$1)</f>
        <v>50</v>
      </c>
      <c r="AL42" s="1">
        <f>ROUND(Scores_2014_O!AZ46,$A$1)</f>
        <v>50</v>
      </c>
      <c r="AM42" s="1">
        <f>ROUND(Scores_2014_O!BA46,$A$1)</f>
        <v>50</v>
      </c>
      <c r="AN42" s="1">
        <f>ROUND(Scores_2014_O!BB46,$A$1)</f>
        <v>50</v>
      </c>
      <c r="AO42" s="1">
        <f>ROUND(Scores_2014_O!BC46,$A$1)</f>
        <v>50</v>
      </c>
      <c r="AP42" s="1">
        <f>ROUND(Scores_2014_O!BD46,$A$1)</f>
        <v>100</v>
      </c>
      <c r="AQ42" s="1">
        <f>ROUND(Scores_2014_O!BE46,$A$1)</f>
        <v>100</v>
      </c>
      <c r="AR42" s="1">
        <f>ROUND(Scores_2014_O!BF46,$A$1)</f>
        <v>100</v>
      </c>
      <c r="AS42" s="1">
        <f>ROUND(Scores_2014_O!BG46,$A$1)</f>
        <v>100</v>
      </c>
      <c r="AT42" s="1">
        <f>ROUND(Scores_2014_O!BH46,$A$1)</f>
        <v>50</v>
      </c>
      <c r="AU42" s="1">
        <f>ROUND(Scores_2014_O!BI46,$A$1)</f>
        <v>50</v>
      </c>
      <c r="AV42" s="1">
        <f>ROUND(Scores_2014_O!BJ46,$A$1)</f>
        <v>100</v>
      </c>
      <c r="AW42" s="1">
        <f>ROUND(Scores_2014_O!BK46,$A$1)</f>
        <v>100</v>
      </c>
      <c r="AX42" s="1">
        <f>ROUND(Scores_2014_O!BL46,$A$1)</f>
        <v>100</v>
      </c>
      <c r="AY42" s="1">
        <f>ROUND(Scores_2014_O!BM46,$A$1)</f>
        <v>100</v>
      </c>
      <c r="BA42" s="1">
        <f t="shared" si="1"/>
        <v>84</v>
      </c>
    </row>
    <row r="43" spans="1:53">
      <c r="A43" s="1" t="str">
        <f>Scores_2014_O!N47</f>
        <v>4.1.2) Community-based patrolling</v>
      </c>
      <c r="B43" s="1">
        <f>ROUND(Scores_2014_O!P47,$A$1)</f>
        <v>100</v>
      </c>
      <c r="C43" s="1">
        <f>ROUND(Scores_2014_O!Q47,$A$1)</f>
        <v>100</v>
      </c>
      <c r="D43" s="1">
        <f>ROUND(Scores_2014_O!R47,$A$1)</f>
        <v>100</v>
      </c>
      <c r="E43" s="1">
        <f>ROUND(Scores_2014_O!S47,$A$1)</f>
        <v>100</v>
      </c>
      <c r="F43" s="1">
        <f>ROUND(Scores_2014_O!T47,$A$1)</f>
        <v>100</v>
      </c>
      <c r="G43" s="1">
        <f>ROUND(Scores_2014_O!U47,$A$1)</f>
        <v>100</v>
      </c>
      <c r="H43" s="1">
        <f>ROUND(Scores_2014_O!V47,$A$1)</f>
        <v>100</v>
      </c>
      <c r="I43" s="1">
        <f>ROUND(Scores_2014_O!W47,$A$1)</f>
        <v>100</v>
      </c>
      <c r="J43" s="1">
        <f>ROUND(Scores_2014_O!X47,$A$1)</f>
        <v>100</v>
      </c>
      <c r="K43" s="1">
        <f>ROUND(Scores_2014_O!Y47,$A$1)</f>
        <v>100</v>
      </c>
      <c r="L43" s="1">
        <f>ROUND(Scores_2014_O!Z47,$A$1)</f>
        <v>100</v>
      </c>
      <c r="M43" s="1">
        <f>ROUND(Scores_2014_O!AA47,$A$1)</f>
        <v>100</v>
      </c>
      <c r="N43" s="1">
        <f>ROUND(Scores_2014_O!AB47,$A$1)</f>
        <v>100</v>
      </c>
      <c r="O43" s="1">
        <f>ROUND(Scores_2014_O!AC47,$A$1)</f>
        <v>100</v>
      </c>
      <c r="P43" s="1">
        <f>ROUND(Scores_2014_O!AD47,$A$1)</f>
        <v>100</v>
      </c>
      <c r="Q43" s="1">
        <f>ROUND(Scores_2014_O!AE47,$A$1)</f>
        <v>100</v>
      </c>
      <c r="R43" s="1">
        <f>ROUND(Scores_2014_O!AF47,$A$1)</f>
        <v>100</v>
      </c>
      <c r="S43" s="1">
        <f>ROUND(Scores_2014_O!AG47,$A$1)</f>
        <v>0</v>
      </c>
      <c r="T43" s="1">
        <f>ROUND(Scores_2014_O!AH47,$A$1)</f>
        <v>100</v>
      </c>
      <c r="U43" s="1">
        <f>ROUND(Scores_2014_O!AI47,$A$1)</f>
        <v>100</v>
      </c>
      <c r="V43" s="1">
        <f>ROUND(Scores_2014_O!AJ47,$A$1)</f>
        <v>100</v>
      </c>
      <c r="W43" s="1">
        <f>ROUND(Scores_2014_O!AK47,$A$1)</f>
        <v>100</v>
      </c>
      <c r="X43" s="1">
        <f>ROUND(Scores_2014_O!AL47,$A$1)</f>
        <v>100</v>
      </c>
      <c r="Y43" s="1">
        <f>ROUND(Scores_2014_O!AM47,$A$1)</f>
        <v>100</v>
      </c>
      <c r="Z43" s="1">
        <f>ROUND(Scores_2014_O!AN47,$A$1)</f>
        <v>100</v>
      </c>
      <c r="AA43" s="1">
        <f>ROUND(Scores_2014_O!AO47,$A$1)</f>
        <v>100</v>
      </c>
      <c r="AB43" s="1">
        <f>ROUND(Scores_2014_O!AP47,$A$1)</f>
        <v>100</v>
      </c>
      <c r="AC43" s="1">
        <f>ROUND(Scores_2014_O!AQ47,$A$1)</f>
        <v>100</v>
      </c>
      <c r="AD43" s="1">
        <f>ROUND(Scores_2014_O!AR47,$A$1)</f>
        <v>100</v>
      </c>
      <c r="AE43" s="1">
        <f>ROUND(Scores_2014_O!AS47,$A$1)</f>
        <v>100</v>
      </c>
      <c r="AF43" s="1">
        <f>ROUND(Scores_2014_O!AT47,$A$1)</f>
        <v>100</v>
      </c>
      <c r="AG43" s="1">
        <f>ROUND(Scores_2014_O!AU47,$A$1)</f>
        <v>100</v>
      </c>
      <c r="AH43" s="1">
        <f>ROUND(Scores_2014_O!AV47,$A$1)</f>
        <v>0</v>
      </c>
      <c r="AI43" s="1">
        <f>ROUND(Scores_2014_O!AW47,$A$1)</f>
        <v>100</v>
      </c>
      <c r="AJ43" s="1">
        <f>ROUND(Scores_2014_O!AX47,$A$1)</f>
        <v>100</v>
      </c>
      <c r="AK43" s="1">
        <f>ROUND(Scores_2014_O!AY47,$A$1)</f>
        <v>100</v>
      </c>
      <c r="AL43" s="1">
        <f>ROUND(Scores_2014_O!AZ47,$A$1)</f>
        <v>100</v>
      </c>
      <c r="AM43" s="1">
        <f>ROUND(Scores_2014_O!BA47,$A$1)</f>
        <v>100</v>
      </c>
      <c r="AN43" s="1">
        <f>ROUND(Scores_2014_O!BB47,$A$1)</f>
        <v>100</v>
      </c>
      <c r="AO43" s="1">
        <f>ROUND(Scores_2014_O!BC47,$A$1)</f>
        <v>100</v>
      </c>
      <c r="AP43" s="1">
        <f>ROUND(Scores_2014_O!BD47,$A$1)</f>
        <v>100</v>
      </c>
      <c r="AQ43" s="1">
        <f>ROUND(Scores_2014_O!BE47,$A$1)</f>
        <v>100</v>
      </c>
      <c r="AR43" s="1">
        <f>ROUND(Scores_2014_O!BF47,$A$1)</f>
        <v>100</v>
      </c>
      <c r="AS43" s="1">
        <f>ROUND(Scores_2014_O!BG47,$A$1)</f>
        <v>100</v>
      </c>
      <c r="AT43" s="1">
        <f>ROUND(Scores_2014_O!BH47,$A$1)</f>
        <v>0</v>
      </c>
      <c r="AU43" s="1">
        <f>ROUND(Scores_2014_O!BI47,$A$1)</f>
        <v>100</v>
      </c>
      <c r="AV43" s="1">
        <f>ROUND(Scores_2014_O!BJ47,$A$1)</f>
        <v>100</v>
      </c>
      <c r="AW43" s="1">
        <f>ROUND(Scores_2014_O!BK47,$A$1)</f>
        <v>100</v>
      </c>
      <c r="AX43" s="1">
        <f>ROUND(Scores_2014_O!BL47,$A$1)</f>
        <v>100</v>
      </c>
      <c r="AY43" s="1">
        <f>ROUND(Scores_2014_O!BM47,$A$1)</f>
        <v>100</v>
      </c>
      <c r="BA43" s="1">
        <f t="shared" si="1"/>
        <v>94</v>
      </c>
    </row>
    <row r="44" spans="1:53">
      <c r="A44" s="1" t="str">
        <f>Scores_2014_O!N48</f>
        <v>4.1.3) Availability of street-level crime data</v>
      </c>
      <c r="B44" s="1">
        <f>ROUND(Scores_2014_O!P48,$A$1)</f>
        <v>100</v>
      </c>
      <c r="C44" s="1">
        <f>ROUND(Scores_2014_O!Q48,$A$1)</f>
        <v>100</v>
      </c>
      <c r="D44" s="1">
        <f>ROUND(Scores_2014_O!R48,$A$1)</f>
        <v>100</v>
      </c>
      <c r="E44" s="1">
        <f>ROUND(Scores_2014_O!S48,$A$1)</f>
        <v>100</v>
      </c>
      <c r="F44" s="1">
        <f>ROUND(Scores_2014_O!T48,$A$1)</f>
        <v>0</v>
      </c>
      <c r="G44" s="1">
        <f>ROUND(Scores_2014_O!U48,$A$1)</f>
        <v>0</v>
      </c>
      <c r="H44" s="1">
        <f>ROUND(Scores_2014_O!V48,$A$1)</f>
        <v>0</v>
      </c>
      <c r="I44" s="1">
        <f>ROUND(Scores_2014_O!W48,$A$1)</f>
        <v>100</v>
      </c>
      <c r="J44" s="1">
        <f>ROUND(Scores_2014_O!X48,$A$1)</f>
        <v>0</v>
      </c>
      <c r="K44" s="1">
        <f>ROUND(Scores_2014_O!Y48,$A$1)</f>
        <v>100</v>
      </c>
      <c r="L44" s="1">
        <f>ROUND(Scores_2014_O!Z48,$A$1)</f>
        <v>100</v>
      </c>
      <c r="M44" s="1">
        <f>ROUND(Scores_2014_O!AA48,$A$1)</f>
        <v>0</v>
      </c>
      <c r="N44" s="1">
        <f>ROUND(Scores_2014_O!AB48,$A$1)</f>
        <v>0</v>
      </c>
      <c r="O44" s="1">
        <f>ROUND(Scores_2014_O!AC48,$A$1)</f>
        <v>100</v>
      </c>
      <c r="P44" s="1">
        <f>ROUND(Scores_2014_O!AD48,$A$1)</f>
        <v>100</v>
      </c>
      <c r="Q44" s="1">
        <f>ROUND(Scores_2014_O!AE48,$A$1)</f>
        <v>100</v>
      </c>
      <c r="R44" s="1">
        <f>ROUND(Scores_2014_O!AF48,$A$1)</f>
        <v>100</v>
      </c>
      <c r="S44" s="1">
        <f>ROUND(Scores_2014_O!AG48,$A$1)</f>
        <v>0</v>
      </c>
      <c r="T44" s="1">
        <f>ROUND(Scores_2014_O!AH48,$A$1)</f>
        <v>100</v>
      </c>
      <c r="U44" s="1">
        <f>ROUND(Scores_2014_O!AI48,$A$1)</f>
        <v>100</v>
      </c>
      <c r="V44" s="1">
        <f>ROUND(Scores_2014_O!AJ48,$A$1)</f>
        <v>100</v>
      </c>
      <c r="W44" s="1">
        <f>ROUND(Scores_2014_O!AK48,$A$1)</f>
        <v>100</v>
      </c>
      <c r="X44" s="1">
        <f>ROUND(Scores_2014_O!AL48,$A$1)</f>
        <v>100</v>
      </c>
      <c r="Y44" s="1">
        <f>ROUND(Scores_2014_O!AM48,$A$1)</f>
        <v>0</v>
      </c>
      <c r="Z44" s="1">
        <f>ROUND(Scores_2014_O!AN48,$A$1)</f>
        <v>100</v>
      </c>
      <c r="AA44" s="1">
        <f>ROUND(Scores_2014_O!AO48,$A$1)</f>
        <v>100</v>
      </c>
      <c r="AB44" s="1">
        <f>ROUND(Scores_2014_O!AP48,$A$1)</f>
        <v>0</v>
      </c>
      <c r="AC44" s="1">
        <f>ROUND(Scores_2014_O!AQ48,$A$1)</f>
        <v>100</v>
      </c>
      <c r="AD44" s="1">
        <f>ROUND(Scores_2014_O!AR48,$A$1)</f>
        <v>100</v>
      </c>
      <c r="AE44" s="1">
        <f>ROUND(Scores_2014_O!AS48,$A$1)</f>
        <v>100</v>
      </c>
      <c r="AF44" s="1">
        <f>ROUND(Scores_2014_O!AT48,$A$1)</f>
        <v>100</v>
      </c>
      <c r="AG44" s="1">
        <f>ROUND(Scores_2014_O!AU48,$A$1)</f>
        <v>100</v>
      </c>
      <c r="AH44" s="1">
        <f>ROUND(Scores_2014_O!AV48,$A$1)</f>
        <v>0</v>
      </c>
      <c r="AI44" s="1">
        <f>ROUND(Scores_2014_O!AW48,$A$1)</f>
        <v>100</v>
      </c>
      <c r="AJ44" s="1">
        <f>ROUND(Scores_2014_O!AX48,$A$1)</f>
        <v>100</v>
      </c>
      <c r="AK44" s="1">
        <f>ROUND(Scores_2014_O!AY48,$A$1)</f>
        <v>0</v>
      </c>
      <c r="AL44" s="1">
        <f>ROUND(Scores_2014_O!AZ48,$A$1)</f>
        <v>0</v>
      </c>
      <c r="AM44" s="1">
        <f>ROUND(Scores_2014_O!BA48,$A$1)</f>
        <v>0</v>
      </c>
      <c r="AN44" s="1">
        <f>ROUND(Scores_2014_O!BB48,$A$1)</f>
        <v>0</v>
      </c>
      <c r="AO44" s="1">
        <f>ROUND(Scores_2014_O!BC48,$A$1)</f>
        <v>0</v>
      </c>
      <c r="AP44" s="1">
        <f>ROUND(Scores_2014_O!BD48,$A$1)</f>
        <v>100</v>
      </c>
      <c r="AQ44" s="1">
        <f>ROUND(Scores_2014_O!BE48,$A$1)</f>
        <v>100</v>
      </c>
      <c r="AR44" s="1">
        <f>ROUND(Scores_2014_O!BF48,$A$1)</f>
        <v>100</v>
      </c>
      <c r="AS44" s="1">
        <f>ROUND(Scores_2014_O!BG48,$A$1)</f>
        <v>100</v>
      </c>
      <c r="AT44" s="1">
        <f>ROUND(Scores_2014_O!BH48,$A$1)</f>
        <v>0</v>
      </c>
      <c r="AU44" s="1">
        <f>ROUND(Scores_2014_O!BI48,$A$1)</f>
        <v>0</v>
      </c>
      <c r="AV44" s="1">
        <f>ROUND(Scores_2014_O!BJ48,$A$1)</f>
        <v>100</v>
      </c>
      <c r="AW44" s="1">
        <f>ROUND(Scores_2014_O!BK48,$A$1)</f>
        <v>100</v>
      </c>
      <c r="AX44" s="1">
        <f>ROUND(Scores_2014_O!BL48,$A$1)</f>
        <v>100</v>
      </c>
      <c r="AY44" s="1">
        <f>ROUND(Scores_2014_O!BM48,$A$1)</f>
        <v>100</v>
      </c>
      <c r="BA44" s="1">
        <f t="shared" si="1"/>
        <v>66</v>
      </c>
    </row>
    <row r="45" spans="1:53">
      <c r="A45" s="1" t="str">
        <f>Scores_2014_O!N49</f>
        <v>4.1.4) Use of data-driven techniques for crime</v>
      </c>
      <c r="B45" s="1">
        <f>ROUND(Scores_2014_O!P49,$A$1)</f>
        <v>0</v>
      </c>
      <c r="C45" s="1">
        <f>ROUND(Scores_2014_O!Q49,$A$1)</f>
        <v>100</v>
      </c>
      <c r="D45" s="1">
        <f>ROUND(Scores_2014_O!R49,$A$1)</f>
        <v>100</v>
      </c>
      <c r="E45" s="1">
        <f>ROUND(Scores_2014_O!S49,$A$1)</f>
        <v>100</v>
      </c>
      <c r="F45" s="1">
        <f>ROUND(Scores_2014_O!T49,$A$1)</f>
        <v>0</v>
      </c>
      <c r="G45" s="1">
        <f>ROUND(Scores_2014_O!U49,$A$1)</f>
        <v>0</v>
      </c>
      <c r="H45" s="1">
        <f>ROUND(Scores_2014_O!V49,$A$1)</f>
        <v>100</v>
      </c>
      <c r="I45" s="1">
        <f>ROUND(Scores_2014_O!W49,$A$1)</f>
        <v>100</v>
      </c>
      <c r="J45" s="1">
        <f>ROUND(Scores_2014_O!X49,$A$1)</f>
        <v>100</v>
      </c>
      <c r="K45" s="1">
        <f>ROUND(Scores_2014_O!Y49,$A$1)</f>
        <v>100</v>
      </c>
      <c r="L45" s="1">
        <f>ROUND(Scores_2014_O!Z49,$A$1)</f>
        <v>100</v>
      </c>
      <c r="M45" s="1">
        <f>ROUND(Scores_2014_O!AA49,$A$1)</f>
        <v>0</v>
      </c>
      <c r="N45" s="1">
        <f>ROUND(Scores_2014_O!AB49,$A$1)</f>
        <v>0</v>
      </c>
      <c r="O45" s="1">
        <f>ROUND(Scores_2014_O!AC49,$A$1)</f>
        <v>100</v>
      </c>
      <c r="P45" s="1">
        <f>ROUND(Scores_2014_O!AD49,$A$1)</f>
        <v>100</v>
      </c>
      <c r="Q45" s="1">
        <f>ROUND(Scores_2014_O!AE49,$A$1)</f>
        <v>0</v>
      </c>
      <c r="R45" s="1">
        <f>ROUND(Scores_2014_O!AF49,$A$1)</f>
        <v>0</v>
      </c>
      <c r="S45" s="1">
        <f>ROUND(Scores_2014_O!AG49,$A$1)</f>
        <v>0</v>
      </c>
      <c r="T45" s="1">
        <f>ROUND(Scores_2014_O!AH49,$A$1)</f>
        <v>100</v>
      </c>
      <c r="U45" s="1">
        <f>ROUND(Scores_2014_O!AI49,$A$1)</f>
        <v>100</v>
      </c>
      <c r="V45" s="1">
        <f>ROUND(Scores_2014_O!AJ49,$A$1)</f>
        <v>100</v>
      </c>
      <c r="W45" s="1">
        <f>ROUND(Scores_2014_O!AK49,$A$1)</f>
        <v>0</v>
      </c>
      <c r="X45" s="1">
        <f>ROUND(Scores_2014_O!AL49,$A$1)</f>
        <v>100</v>
      </c>
      <c r="Y45" s="1">
        <f>ROUND(Scores_2014_O!AM49,$A$1)</f>
        <v>100</v>
      </c>
      <c r="Z45" s="1">
        <f>ROUND(Scores_2014_O!AN49,$A$1)</f>
        <v>100</v>
      </c>
      <c r="AA45" s="1">
        <f>ROUND(Scores_2014_O!AO49,$A$1)</f>
        <v>0</v>
      </c>
      <c r="AB45" s="1">
        <f>ROUND(Scores_2014_O!AP49,$A$1)</f>
        <v>0</v>
      </c>
      <c r="AC45" s="1">
        <f>ROUND(Scores_2014_O!AQ49,$A$1)</f>
        <v>100</v>
      </c>
      <c r="AD45" s="1">
        <f>ROUND(Scores_2014_O!AR49,$A$1)</f>
        <v>100</v>
      </c>
      <c r="AE45" s="1">
        <f>ROUND(Scores_2014_O!AS49,$A$1)</f>
        <v>100</v>
      </c>
      <c r="AF45" s="1">
        <f>ROUND(Scores_2014_O!AT49,$A$1)</f>
        <v>100</v>
      </c>
      <c r="AG45" s="1">
        <f>ROUND(Scores_2014_O!AU49,$A$1)</f>
        <v>0</v>
      </c>
      <c r="AH45" s="1">
        <f>ROUND(Scores_2014_O!AV49,$A$1)</f>
        <v>100</v>
      </c>
      <c r="AI45" s="1">
        <f>ROUND(Scores_2014_O!AW49,$A$1)</f>
        <v>0</v>
      </c>
      <c r="AJ45" s="1">
        <f>ROUND(Scores_2014_O!AX49,$A$1)</f>
        <v>100</v>
      </c>
      <c r="AK45" s="1">
        <f>ROUND(Scores_2014_O!AY49,$A$1)</f>
        <v>100</v>
      </c>
      <c r="AL45" s="1">
        <f>ROUND(Scores_2014_O!AZ49,$A$1)</f>
        <v>0</v>
      </c>
      <c r="AM45" s="1">
        <f>ROUND(Scores_2014_O!BA49,$A$1)</f>
        <v>100</v>
      </c>
      <c r="AN45" s="1">
        <f>ROUND(Scores_2014_O!BB49,$A$1)</f>
        <v>100</v>
      </c>
      <c r="AO45" s="1">
        <f>ROUND(Scores_2014_O!BC49,$A$1)</f>
        <v>0</v>
      </c>
      <c r="AP45" s="1">
        <f>ROUND(Scores_2014_O!BD49,$A$1)</f>
        <v>100</v>
      </c>
      <c r="AQ45" s="1">
        <f>ROUND(Scores_2014_O!BE49,$A$1)</f>
        <v>100</v>
      </c>
      <c r="AR45" s="1">
        <f>ROUND(Scores_2014_O!BF49,$A$1)</f>
        <v>100</v>
      </c>
      <c r="AS45" s="1">
        <f>ROUND(Scores_2014_O!BG49,$A$1)</f>
        <v>100</v>
      </c>
      <c r="AT45" s="1">
        <f>ROUND(Scores_2014_O!BH49,$A$1)</f>
        <v>100</v>
      </c>
      <c r="AU45" s="1">
        <f>ROUND(Scores_2014_O!BI49,$A$1)</f>
        <v>0</v>
      </c>
      <c r="AV45" s="1">
        <f>ROUND(Scores_2014_O!BJ49,$A$1)</f>
        <v>100</v>
      </c>
      <c r="AW45" s="1">
        <f>ROUND(Scores_2014_O!BK49,$A$1)</f>
        <v>100</v>
      </c>
      <c r="AX45" s="1">
        <f>ROUND(Scores_2014_O!BL49,$A$1)</f>
        <v>100</v>
      </c>
      <c r="AY45" s="1">
        <f>ROUND(Scores_2014_O!BM49,$A$1)</f>
        <v>0</v>
      </c>
      <c r="BA45" s="1">
        <f t="shared" si="1"/>
        <v>66</v>
      </c>
    </row>
    <row r="46" spans="1:53">
      <c r="A46" s="1" t="str">
        <f>Scores_2014_O!N50</f>
        <v>4.1.5) Private security measures</v>
      </c>
      <c r="B46" s="1">
        <f>ROUND(Scores_2014_O!P50,$A$1)</f>
        <v>0</v>
      </c>
      <c r="C46" s="1">
        <f>ROUND(Scores_2014_O!Q50,$A$1)</f>
        <v>100</v>
      </c>
      <c r="D46" s="1">
        <f>ROUND(Scores_2014_O!R50,$A$1)</f>
        <v>100</v>
      </c>
      <c r="E46" s="1">
        <f>ROUND(Scores_2014_O!S50,$A$1)</f>
        <v>100</v>
      </c>
      <c r="F46" s="1">
        <f>ROUND(Scores_2014_O!T50,$A$1)</f>
        <v>0</v>
      </c>
      <c r="G46" s="1">
        <f>ROUND(Scores_2014_O!U50,$A$1)</f>
        <v>0</v>
      </c>
      <c r="H46" s="1">
        <f>ROUND(Scores_2014_O!V50,$A$1)</f>
        <v>100</v>
      </c>
      <c r="I46" s="1">
        <f>ROUND(Scores_2014_O!W50,$A$1)</f>
        <v>100</v>
      </c>
      <c r="J46" s="1">
        <f>ROUND(Scores_2014_O!X50,$A$1)</f>
        <v>100</v>
      </c>
      <c r="K46" s="1">
        <f>ROUND(Scores_2014_O!Y50,$A$1)</f>
        <v>100</v>
      </c>
      <c r="L46" s="1">
        <f>ROUND(Scores_2014_O!Z50,$A$1)</f>
        <v>0</v>
      </c>
      <c r="M46" s="1">
        <f>ROUND(Scores_2014_O!AA50,$A$1)</f>
        <v>100</v>
      </c>
      <c r="N46" s="1">
        <f>ROUND(Scores_2014_O!AB50,$A$1)</f>
        <v>100</v>
      </c>
      <c r="O46" s="1">
        <f>ROUND(Scores_2014_O!AC50,$A$1)</f>
        <v>100</v>
      </c>
      <c r="P46" s="1">
        <f>ROUND(Scores_2014_O!AD50,$A$1)</f>
        <v>100</v>
      </c>
      <c r="Q46" s="1">
        <f>ROUND(Scores_2014_O!AE50,$A$1)</f>
        <v>0</v>
      </c>
      <c r="R46" s="1">
        <f>ROUND(Scores_2014_O!AF50,$A$1)</f>
        <v>100</v>
      </c>
      <c r="S46" s="1">
        <f>ROUND(Scores_2014_O!AG50,$A$1)</f>
        <v>0</v>
      </c>
      <c r="T46" s="1">
        <f>ROUND(Scores_2014_O!AH50,$A$1)</f>
        <v>100</v>
      </c>
      <c r="U46" s="1">
        <f>ROUND(Scores_2014_O!AI50,$A$1)</f>
        <v>100</v>
      </c>
      <c r="V46" s="1">
        <f>ROUND(Scores_2014_O!AJ50,$A$1)</f>
        <v>100</v>
      </c>
      <c r="W46" s="1">
        <f>ROUND(Scores_2014_O!AK50,$A$1)</f>
        <v>100</v>
      </c>
      <c r="X46" s="1">
        <f>ROUND(Scores_2014_O!AL50,$A$1)</f>
        <v>100</v>
      </c>
      <c r="Y46" s="1">
        <f>ROUND(Scores_2014_O!AM50,$A$1)</f>
        <v>100</v>
      </c>
      <c r="Z46" s="1">
        <f>ROUND(Scores_2014_O!AN50,$A$1)</f>
        <v>0</v>
      </c>
      <c r="AA46" s="1">
        <f>ROUND(Scores_2014_O!AO50,$A$1)</f>
        <v>0</v>
      </c>
      <c r="AB46" s="1">
        <f>ROUND(Scores_2014_O!AP50,$A$1)</f>
        <v>0</v>
      </c>
      <c r="AC46" s="1">
        <f>ROUND(Scores_2014_O!AQ50,$A$1)</f>
        <v>0</v>
      </c>
      <c r="AD46" s="1">
        <f>ROUND(Scores_2014_O!AR50,$A$1)</f>
        <v>100</v>
      </c>
      <c r="AE46" s="1">
        <f>ROUND(Scores_2014_O!AS50,$A$1)</f>
        <v>100</v>
      </c>
      <c r="AF46" s="1">
        <f>ROUND(Scores_2014_O!AT50,$A$1)</f>
        <v>0</v>
      </c>
      <c r="AG46" s="1">
        <f>ROUND(Scores_2014_O!AU50,$A$1)</f>
        <v>100</v>
      </c>
      <c r="AH46" s="1">
        <f>ROUND(Scores_2014_O!AV50,$A$1)</f>
        <v>0</v>
      </c>
      <c r="AI46" s="1">
        <f>ROUND(Scores_2014_O!AW50,$A$1)</f>
        <v>0</v>
      </c>
      <c r="AJ46" s="1">
        <f>ROUND(Scores_2014_O!AX50,$A$1)</f>
        <v>100</v>
      </c>
      <c r="AK46" s="1">
        <f>ROUND(Scores_2014_O!AY50,$A$1)</f>
        <v>0</v>
      </c>
      <c r="AL46" s="1">
        <f>ROUND(Scores_2014_O!AZ50,$A$1)</f>
        <v>100</v>
      </c>
      <c r="AM46" s="1">
        <f>ROUND(Scores_2014_O!BA50,$A$1)</f>
        <v>100</v>
      </c>
      <c r="AN46" s="1">
        <f>ROUND(Scores_2014_O!BB50,$A$1)</f>
        <v>100</v>
      </c>
      <c r="AO46" s="1">
        <f>ROUND(Scores_2014_O!BC50,$A$1)</f>
        <v>100</v>
      </c>
      <c r="AP46" s="1">
        <f>ROUND(Scores_2014_O!BD50,$A$1)</f>
        <v>100</v>
      </c>
      <c r="AQ46" s="1">
        <f>ROUND(Scores_2014_O!BE50,$A$1)</f>
        <v>100</v>
      </c>
      <c r="AR46" s="1">
        <f>ROUND(Scores_2014_O!BF50,$A$1)</f>
        <v>100</v>
      </c>
      <c r="AS46" s="1">
        <f>ROUND(Scores_2014_O!BG50,$A$1)</f>
        <v>100</v>
      </c>
      <c r="AT46" s="1">
        <f>ROUND(Scores_2014_O!BH50,$A$1)</f>
        <v>100</v>
      </c>
      <c r="AU46" s="1">
        <f>ROUND(Scores_2014_O!BI50,$A$1)</f>
        <v>100</v>
      </c>
      <c r="AV46" s="1">
        <f>ROUND(Scores_2014_O!BJ50,$A$1)</f>
        <v>100</v>
      </c>
      <c r="AW46" s="1">
        <f>ROUND(Scores_2014_O!BK50,$A$1)</f>
        <v>100</v>
      </c>
      <c r="AX46" s="1">
        <f>ROUND(Scores_2014_O!BL50,$A$1)</f>
        <v>100</v>
      </c>
      <c r="AY46" s="1">
        <f>ROUND(Scores_2014_O!BM50,$A$1)</f>
        <v>100</v>
      </c>
      <c r="BA46" s="1">
        <f t="shared" si="1"/>
        <v>72</v>
      </c>
    </row>
    <row r="47" spans="1:53">
      <c r="A47" s="1" t="str">
        <f>Scores_2014_O!N51</f>
        <v>4.1.6) Gun regulation and enforcement</v>
      </c>
      <c r="B47" s="1">
        <f>ROUND(Scores_2014_O!P51,$A$1)</f>
        <v>45</v>
      </c>
      <c r="C47" s="1">
        <f>ROUND(Scores_2014_O!Q51,$A$1)</f>
        <v>66.67</v>
      </c>
      <c r="D47" s="1">
        <f>ROUND(Scores_2014_O!R51,$A$1)</f>
        <v>38.33</v>
      </c>
      <c r="E47" s="1">
        <f>ROUND(Scores_2014_O!S51,$A$1)</f>
        <v>65</v>
      </c>
      <c r="F47" s="1">
        <f>ROUND(Scores_2014_O!T51,$A$1)</f>
        <v>100</v>
      </c>
      <c r="G47" s="1">
        <f>ROUND(Scores_2014_O!U51,$A$1)</f>
        <v>56.67</v>
      </c>
      <c r="H47" s="1">
        <f>ROUND(Scores_2014_O!V51,$A$1)</f>
        <v>66.67</v>
      </c>
      <c r="I47" s="1">
        <f>ROUND(Scores_2014_O!W51,$A$1)</f>
        <v>38.33</v>
      </c>
      <c r="J47" s="1">
        <f>ROUND(Scores_2014_O!X51,$A$1)</f>
        <v>46.67</v>
      </c>
      <c r="K47" s="1">
        <f>ROUND(Scores_2014_O!Y51,$A$1)</f>
        <v>58.33</v>
      </c>
      <c r="L47" s="1">
        <f>ROUND(Scores_2014_O!Z51,$A$1)</f>
        <v>55</v>
      </c>
      <c r="M47" s="1">
        <f>ROUND(Scores_2014_O!AA51,$A$1)</f>
        <v>100</v>
      </c>
      <c r="N47" s="1">
        <f>ROUND(Scores_2014_O!AB51,$A$1)</f>
        <v>100</v>
      </c>
      <c r="O47" s="1">
        <f>ROUND(Scores_2014_O!AC51,$A$1)</f>
        <v>83.33</v>
      </c>
      <c r="P47" s="1">
        <f>ROUND(Scores_2014_O!AD51,$A$1)</f>
        <v>13.33</v>
      </c>
      <c r="Q47" s="1">
        <f>ROUND(Scores_2014_O!AE51,$A$1)</f>
        <v>73.33</v>
      </c>
      <c r="R47" s="1">
        <f>ROUND(Scores_2014_O!AF51,$A$1)</f>
        <v>8.33</v>
      </c>
      <c r="S47" s="1">
        <f>ROUND(Scores_2014_O!AG51,$A$1)</f>
        <v>95</v>
      </c>
      <c r="T47" s="1">
        <f>ROUND(Scores_2014_O!AH51,$A$1)</f>
        <v>8.33</v>
      </c>
      <c r="U47" s="1">
        <f>ROUND(Scores_2014_O!AI51,$A$1)</f>
        <v>83.33</v>
      </c>
      <c r="V47" s="1">
        <f>ROUND(Scores_2014_O!AJ51,$A$1)</f>
        <v>43.33</v>
      </c>
      <c r="W47" s="1">
        <f>ROUND(Scores_2014_O!AK51,$A$1)</f>
        <v>65</v>
      </c>
      <c r="X47" s="1">
        <f>ROUND(Scores_2014_O!AL51,$A$1)</f>
        <v>75</v>
      </c>
      <c r="Y47" s="1">
        <f>ROUND(Scores_2014_O!AM51,$A$1)</f>
        <v>43.33</v>
      </c>
      <c r="Z47" s="1">
        <f>ROUND(Scores_2014_O!AN51,$A$1)</f>
        <v>48.33</v>
      </c>
      <c r="AA47" s="1">
        <f>ROUND(Scores_2014_O!AO51,$A$1)</f>
        <v>58.33</v>
      </c>
      <c r="AB47" s="1">
        <f>ROUND(Scores_2014_O!AP51,$A$1)</f>
        <v>56.67</v>
      </c>
      <c r="AC47" s="1">
        <f>ROUND(Scores_2014_O!AQ51,$A$1)</f>
        <v>46.67</v>
      </c>
      <c r="AD47" s="1">
        <f>ROUND(Scores_2014_O!AR51,$A$1)</f>
        <v>31.67</v>
      </c>
      <c r="AE47" s="1">
        <f>ROUND(Scores_2014_O!AS51,$A$1)</f>
        <v>83.33</v>
      </c>
      <c r="AF47" s="1">
        <f>ROUND(Scores_2014_O!AT51,$A$1)</f>
        <v>41.67</v>
      </c>
      <c r="AG47" s="1">
        <f>ROUND(Scores_2014_O!AU51,$A$1)</f>
        <v>50</v>
      </c>
      <c r="AH47" s="1">
        <f>ROUND(Scores_2014_O!AV51,$A$1)</f>
        <v>0</v>
      </c>
      <c r="AI47" s="1">
        <f>ROUND(Scores_2014_O!AW51,$A$1)</f>
        <v>48.33</v>
      </c>
      <c r="AJ47" s="1">
        <f>ROUND(Scores_2014_O!AX51,$A$1)</f>
        <v>43.33</v>
      </c>
      <c r="AK47" s="1">
        <f>ROUND(Scores_2014_O!AY51,$A$1)</f>
        <v>30</v>
      </c>
      <c r="AL47" s="1">
        <f>ROUND(Scores_2014_O!AZ51,$A$1)</f>
        <v>50</v>
      </c>
      <c r="AM47" s="1">
        <f>ROUND(Scores_2014_O!BA51,$A$1)</f>
        <v>75</v>
      </c>
      <c r="AN47" s="1">
        <f>ROUND(Scores_2014_O!BB51,$A$1)</f>
        <v>100</v>
      </c>
      <c r="AO47" s="1">
        <f>ROUND(Scores_2014_O!BC51,$A$1)</f>
        <v>100</v>
      </c>
      <c r="AP47" s="1">
        <f>ROUND(Scores_2014_O!BD51,$A$1)</f>
        <v>83.33</v>
      </c>
      <c r="AQ47" s="1">
        <f>ROUND(Scores_2014_O!BE51,$A$1)</f>
        <v>55</v>
      </c>
      <c r="AR47" s="1">
        <f>ROUND(Scores_2014_O!BF51,$A$1)</f>
        <v>75</v>
      </c>
      <c r="AS47" s="1">
        <f>ROUND(Scores_2014_O!BG51,$A$1)</f>
        <v>91.67</v>
      </c>
      <c r="AT47" s="1">
        <f>ROUND(Scores_2014_O!BH51,$A$1)</f>
        <v>48.33</v>
      </c>
      <c r="AU47" s="1">
        <f>ROUND(Scores_2014_O!BI51,$A$1)</f>
        <v>100</v>
      </c>
      <c r="AV47" s="1">
        <f>ROUND(Scores_2014_O!BJ51,$A$1)</f>
        <v>83.33</v>
      </c>
      <c r="AW47" s="1">
        <f>ROUND(Scores_2014_O!BK51,$A$1)</f>
        <v>58.33</v>
      </c>
      <c r="AX47" s="1">
        <f>ROUND(Scores_2014_O!BL51,$A$1)</f>
        <v>75</v>
      </c>
      <c r="AY47" s="1">
        <f>ROUND(Scores_2014_O!BM51,$A$1)</f>
        <v>8.33</v>
      </c>
      <c r="BA47" s="1">
        <f t="shared" si="1"/>
        <v>59.3992</v>
      </c>
    </row>
    <row r="48" spans="1:53">
      <c r="A48" s="1" t="str">
        <f>Scores_2014_O!N52</f>
        <v>4.1.7) Political Stability Risk</v>
      </c>
      <c r="B48" s="1">
        <f>ROUND(Scores_2014_O!P52,$A$1)</f>
        <v>55</v>
      </c>
      <c r="C48" s="1">
        <f>ROUND(Scores_2014_O!Q52,$A$1)</f>
        <v>80</v>
      </c>
      <c r="D48" s="1">
        <f>ROUND(Scores_2014_O!R52,$A$1)</f>
        <v>35</v>
      </c>
      <c r="E48" s="1">
        <f>ROUND(Scores_2014_O!S52,$A$1)</f>
        <v>75</v>
      </c>
      <c r="F48" s="1">
        <f>ROUND(Scores_2014_O!T52,$A$1)</f>
        <v>45</v>
      </c>
      <c r="G48" s="1">
        <f>ROUND(Scores_2014_O!U52,$A$1)</f>
        <v>75</v>
      </c>
      <c r="H48" s="1">
        <f>ROUND(Scores_2014_O!V52,$A$1)</f>
        <v>45</v>
      </c>
      <c r="I48" s="1">
        <f>ROUND(Scores_2014_O!W52,$A$1)</f>
        <v>90</v>
      </c>
      <c r="J48" s="1">
        <f>ROUND(Scores_2014_O!X52,$A$1)</f>
        <v>80</v>
      </c>
      <c r="K48" s="1">
        <f>ROUND(Scores_2014_O!Y52,$A$1)</f>
        <v>60</v>
      </c>
      <c r="L48" s="1">
        <f>ROUND(Scores_2014_O!Z52,$A$1)</f>
        <v>85</v>
      </c>
      <c r="M48" s="1">
        <f>ROUND(Scores_2014_O!AA52,$A$1)</f>
        <v>45</v>
      </c>
      <c r="N48" s="1">
        <f>ROUND(Scores_2014_O!AB52,$A$1)</f>
        <v>50</v>
      </c>
      <c r="O48" s="1">
        <f>ROUND(Scores_2014_O!AC52,$A$1)</f>
        <v>65</v>
      </c>
      <c r="P48" s="1">
        <f>ROUND(Scores_2014_O!AD52,$A$1)</f>
        <v>45</v>
      </c>
      <c r="Q48" s="1">
        <f>ROUND(Scores_2014_O!AE52,$A$1)</f>
        <v>70</v>
      </c>
      <c r="R48" s="1">
        <f>ROUND(Scores_2014_O!AF52,$A$1)</f>
        <v>65</v>
      </c>
      <c r="S48" s="1">
        <f>ROUND(Scores_2014_O!AG52,$A$1)</f>
        <v>40</v>
      </c>
      <c r="T48" s="1">
        <f>ROUND(Scores_2014_O!AH52,$A$1)</f>
        <v>55</v>
      </c>
      <c r="U48" s="1">
        <f>ROUND(Scores_2014_O!AI52,$A$1)</f>
        <v>70</v>
      </c>
      <c r="V48" s="1">
        <f>ROUND(Scores_2014_O!AJ52,$A$1)</f>
        <v>90</v>
      </c>
      <c r="W48" s="1">
        <f>ROUND(Scores_2014_O!AK52,$A$1)</f>
        <v>75</v>
      </c>
      <c r="X48" s="1">
        <f>ROUND(Scores_2014_O!AL52,$A$1)</f>
        <v>90</v>
      </c>
      <c r="Y48" s="1">
        <f>ROUND(Scores_2014_O!AM52,$A$1)</f>
        <v>60</v>
      </c>
      <c r="Z48" s="1">
        <f>ROUND(Scores_2014_O!AN52,$A$1)</f>
        <v>65</v>
      </c>
      <c r="AA48" s="1">
        <f>ROUND(Scores_2014_O!AO52,$A$1)</f>
        <v>95</v>
      </c>
      <c r="AB48" s="1">
        <f>ROUND(Scores_2014_O!AP52,$A$1)</f>
        <v>35</v>
      </c>
      <c r="AC48" s="1">
        <f>ROUND(Scores_2014_O!AQ52,$A$1)</f>
        <v>80</v>
      </c>
      <c r="AD48" s="1">
        <f>ROUND(Scores_2014_O!AR52,$A$1)</f>
        <v>90</v>
      </c>
      <c r="AE48" s="1">
        <f>ROUND(Scores_2014_O!AS52,$A$1)</f>
        <v>90</v>
      </c>
      <c r="AF48" s="1">
        <f>ROUND(Scores_2014_O!AT52,$A$1)</f>
        <v>70</v>
      </c>
      <c r="AG48" s="1">
        <f>ROUND(Scores_2014_O!AU52,$A$1)</f>
        <v>65</v>
      </c>
      <c r="AH48" s="1">
        <f>ROUND(Scores_2014_O!AV52,$A$1)</f>
        <v>45</v>
      </c>
      <c r="AI48" s="1">
        <f>ROUND(Scores_2014_O!AW52,$A$1)</f>
        <v>65</v>
      </c>
      <c r="AJ48" s="1">
        <f>ROUND(Scores_2014_O!AX52,$A$1)</f>
        <v>90</v>
      </c>
      <c r="AK48" s="1">
        <f>ROUND(Scores_2014_O!AY52,$A$1)</f>
        <v>80</v>
      </c>
      <c r="AL48" s="1">
        <f>ROUND(Scores_2014_O!AZ52,$A$1)</f>
        <v>65</v>
      </c>
      <c r="AM48" s="1">
        <f>ROUND(Scores_2014_O!BA52,$A$1)</f>
        <v>60</v>
      </c>
      <c r="AN48" s="1">
        <f>ROUND(Scores_2014_O!BB52,$A$1)</f>
        <v>45</v>
      </c>
      <c r="AO48" s="1">
        <f>ROUND(Scores_2014_O!BC52,$A$1)</f>
        <v>45</v>
      </c>
      <c r="AP48" s="1">
        <f>ROUND(Scores_2014_O!BD52,$A$1)</f>
        <v>80</v>
      </c>
      <c r="AQ48" s="1">
        <f>ROUND(Scores_2014_O!BE52,$A$1)</f>
        <v>35</v>
      </c>
      <c r="AR48" s="1">
        <f>ROUND(Scores_2014_O!BF52,$A$1)</f>
        <v>90</v>
      </c>
      <c r="AS48" s="1">
        <f>ROUND(Scores_2014_O!BG52,$A$1)</f>
        <v>70</v>
      </c>
      <c r="AT48" s="1">
        <f>ROUND(Scores_2014_O!BH52,$A$1)</f>
        <v>25</v>
      </c>
      <c r="AU48" s="1">
        <f>ROUND(Scores_2014_O!BI52,$A$1)</f>
        <v>45</v>
      </c>
      <c r="AV48" s="1">
        <f>ROUND(Scores_2014_O!BJ52,$A$1)</f>
        <v>90</v>
      </c>
      <c r="AW48" s="1">
        <f>ROUND(Scores_2014_O!BK52,$A$1)</f>
        <v>95</v>
      </c>
      <c r="AX48" s="1">
        <f>ROUND(Scores_2014_O!BL52,$A$1)</f>
        <v>90</v>
      </c>
      <c r="AY48" s="1">
        <f>ROUND(Scores_2014_O!BM52,$A$1)</f>
        <v>90</v>
      </c>
      <c r="BA48" s="1">
        <f t="shared" si="1"/>
        <v>66.8</v>
      </c>
    </row>
    <row r="49" spans="1:53">
      <c r="A49" s="1" t="str">
        <f>Scores_2014_O!N53</f>
        <v>4.2) Personal Safety (Outputs)</v>
      </c>
      <c r="B49" s="1">
        <f>ROUND(Scores_2014_O!P53,$A$1)</f>
        <v>84.77</v>
      </c>
      <c r="C49" s="1">
        <f>ROUND(Scores_2014_O!Q53,$A$1)</f>
        <v>72.39</v>
      </c>
      <c r="D49" s="1">
        <f>ROUND(Scores_2014_O!R53,$A$1)</f>
        <v>67.18</v>
      </c>
      <c r="E49" s="1">
        <f>ROUND(Scores_2014_O!S53,$A$1)</f>
        <v>65.3</v>
      </c>
      <c r="F49" s="1">
        <f>ROUND(Scores_2014_O!T53,$A$1)</f>
        <v>61.73</v>
      </c>
      <c r="G49" s="1">
        <f>ROUND(Scores_2014_O!U53,$A$1)</f>
        <v>73.23</v>
      </c>
      <c r="H49" s="1">
        <f>ROUND(Scores_2014_O!V53,$A$1)</f>
        <v>58.54</v>
      </c>
      <c r="I49" s="1">
        <f>ROUND(Scores_2014_O!W53,$A$1)</f>
        <v>52.77</v>
      </c>
      <c r="J49" s="1">
        <f>ROUND(Scores_2014_O!X53,$A$1)</f>
        <v>70.16</v>
      </c>
      <c r="K49" s="1">
        <f>ROUND(Scores_2014_O!Y53,$A$1)</f>
        <v>71.62</v>
      </c>
      <c r="L49" s="1">
        <f>ROUND(Scores_2014_O!Z53,$A$1)</f>
        <v>71.99</v>
      </c>
      <c r="M49" s="1">
        <f>ROUND(Scores_2014_O!AA53,$A$1)</f>
        <v>62.3</v>
      </c>
      <c r="N49" s="1">
        <f>ROUND(Scores_2014_O!AB53,$A$1)</f>
        <v>74.09</v>
      </c>
      <c r="O49" s="1">
        <f>ROUND(Scores_2014_O!AC53,$A$1)</f>
        <v>77.57</v>
      </c>
      <c r="P49" s="1">
        <f>ROUND(Scores_2014_O!AD53,$A$1)</f>
        <v>67.64</v>
      </c>
      <c r="Q49" s="1">
        <f>ROUND(Scores_2014_O!AE53,$A$1)</f>
        <v>62.28</v>
      </c>
      <c r="R49" s="1">
        <f>ROUND(Scores_2014_O!AF53,$A$1)</f>
        <v>54.96</v>
      </c>
      <c r="S49" s="1">
        <f>ROUND(Scores_2014_O!AG53,$A$1)</f>
        <v>85.38</v>
      </c>
      <c r="T49" s="1">
        <f>ROUND(Scores_2014_O!AH53,$A$1)</f>
        <v>69.14</v>
      </c>
      <c r="U49" s="1">
        <f>ROUND(Scores_2014_O!AI53,$A$1)</f>
        <v>61.36</v>
      </c>
      <c r="V49" s="1">
        <f>ROUND(Scores_2014_O!AJ53,$A$1)</f>
        <v>52.84</v>
      </c>
      <c r="W49" s="1">
        <f>ROUND(Scores_2014_O!AK53,$A$1)</f>
        <v>61.62</v>
      </c>
      <c r="X49" s="1">
        <f>ROUND(Scores_2014_O!AL53,$A$1)</f>
        <v>70.44</v>
      </c>
      <c r="Y49" s="1">
        <f>ROUND(Scores_2014_O!AM53,$A$1)</f>
        <v>52.23</v>
      </c>
      <c r="Z49" s="1">
        <f>ROUND(Scores_2014_O!AN53,$A$1)</f>
        <v>68.4</v>
      </c>
      <c r="AA49" s="1">
        <f>ROUND(Scores_2014_O!AO53,$A$1)</f>
        <v>72.2</v>
      </c>
      <c r="AB49" s="1">
        <f>ROUND(Scores_2014_O!AP53,$A$1)</f>
        <v>76.02</v>
      </c>
      <c r="AC49" s="1">
        <f>ROUND(Scores_2014_O!AQ53,$A$1)</f>
        <v>71.99</v>
      </c>
      <c r="AD49" s="1">
        <f>ROUND(Scores_2014_O!AR53,$A$1)</f>
        <v>50.08</v>
      </c>
      <c r="AE49" s="1">
        <f>ROUND(Scores_2014_O!AS53,$A$1)</f>
        <v>84.2</v>
      </c>
      <c r="AF49" s="1">
        <f>ROUND(Scores_2014_O!AT53,$A$1)</f>
        <v>69.48</v>
      </c>
      <c r="AG49" s="1">
        <f>ROUND(Scores_2014_O!AU53,$A$1)</f>
        <v>61.32</v>
      </c>
      <c r="AH49" s="1">
        <f>ROUND(Scores_2014_O!AV53,$A$1)</f>
        <v>85.53</v>
      </c>
      <c r="AI49" s="1">
        <f>ROUND(Scores_2014_O!AW53,$A$1)</f>
        <v>62.83</v>
      </c>
      <c r="AJ49" s="1">
        <f>ROUND(Scores_2014_O!AX53,$A$1)</f>
        <v>55.44</v>
      </c>
      <c r="AK49" s="1">
        <f>ROUND(Scores_2014_O!AY53,$A$1)</f>
        <v>55.73</v>
      </c>
      <c r="AL49" s="1">
        <f>ROUND(Scores_2014_O!AZ53,$A$1)</f>
        <v>63.05</v>
      </c>
      <c r="AM49" s="1">
        <f>ROUND(Scores_2014_O!BA53,$A$1)</f>
        <v>77.95</v>
      </c>
      <c r="AN49" s="1">
        <f>ROUND(Scores_2014_O!BB53,$A$1)</f>
        <v>64.6</v>
      </c>
      <c r="AO49" s="1">
        <f>ROUND(Scores_2014_O!BC53,$A$1)</f>
        <v>67.5</v>
      </c>
      <c r="AP49" s="1">
        <f>ROUND(Scores_2014_O!BD53,$A$1)</f>
        <v>86.08</v>
      </c>
      <c r="AQ49" s="1">
        <f>ROUND(Scores_2014_O!BE53,$A$1)</f>
        <v>90.73</v>
      </c>
      <c r="AR49" s="1">
        <f>ROUND(Scores_2014_O!BF53,$A$1)</f>
        <v>65.81</v>
      </c>
      <c r="AS49" s="1">
        <f>ROUND(Scores_2014_O!BG53,$A$1)</f>
        <v>76.82</v>
      </c>
      <c r="AT49" s="1">
        <f>ROUND(Scores_2014_O!BH53,$A$1)</f>
        <v>66.51</v>
      </c>
      <c r="AU49" s="1">
        <f>ROUND(Scores_2014_O!BI53,$A$1)</f>
        <v>68.49</v>
      </c>
      <c r="AV49" s="1">
        <f>ROUND(Scores_2014_O!BJ53,$A$1)</f>
        <v>82.42</v>
      </c>
      <c r="AW49" s="1">
        <f>ROUND(Scores_2014_O!BK53,$A$1)</f>
        <v>76.31</v>
      </c>
      <c r="AX49" s="1">
        <f>ROUND(Scores_2014_O!BL53,$A$1)</f>
        <v>52.89</v>
      </c>
      <c r="AY49" s="1">
        <f>ROUND(Scores_2014_O!BM53,$A$1)</f>
        <v>82.06</v>
      </c>
      <c r="BA49" s="1">
        <f t="shared" si="1"/>
        <v>68.7194</v>
      </c>
    </row>
    <row r="50" spans="1:53">
      <c r="A50" s="1" t="str">
        <f>Scores_2014_O!N54</f>
        <v>4.2.1) Prevalence of petty crime</v>
      </c>
      <c r="B50" s="1">
        <f>ROUND(Scores_2014_O!P54,$A$1)</f>
        <v>75</v>
      </c>
      <c r="C50" s="1">
        <f>ROUND(Scores_2014_O!Q54,$A$1)</f>
        <v>50</v>
      </c>
      <c r="D50" s="1">
        <f>ROUND(Scores_2014_O!R54,$A$1)</f>
        <v>50</v>
      </c>
      <c r="E50" s="1">
        <f>ROUND(Scores_2014_O!S54,$A$1)</f>
        <v>75</v>
      </c>
      <c r="F50" s="1">
        <f>ROUND(Scores_2014_O!T54,$A$1)</f>
        <v>50</v>
      </c>
      <c r="G50" s="1">
        <f>ROUND(Scores_2014_O!U54,$A$1)</f>
        <v>75</v>
      </c>
      <c r="H50" s="1">
        <f>ROUND(Scores_2014_O!V54,$A$1)</f>
        <v>50</v>
      </c>
      <c r="I50" s="1">
        <f>ROUND(Scores_2014_O!W54,$A$1)</f>
        <v>75</v>
      </c>
      <c r="J50" s="1">
        <f>ROUND(Scores_2014_O!X54,$A$1)</f>
        <v>50</v>
      </c>
      <c r="K50" s="1">
        <f>ROUND(Scores_2014_O!Y54,$A$1)</f>
        <v>75</v>
      </c>
      <c r="L50" s="1">
        <f>ROUND(Scores_2014_O!Z54,$A$1)</f>
        <v>75</v>
      </c>
      <c r="M50" s="1">
        <f>ROUND(Scores_2014_O!AA54,$A$1)</f>
        <v>50</v>
      </c>
      <c r="N50" s="1">
        <f>ROUND(Scores_2014_O!AB54,$A$1)</f>
        <v>25</v>
      </c>
      <c r="O50" s="1">
        <f>ROUND(Scores_2014_O!AC54,$A$1)</f>
        <v>75</v>
      </c>
      <c r="P50" s="1">
        <f>ROUND(Scores_2014_O!AD54,$A$1)</f>
        <v>50</v>
      </c>
      <c r="Q50" s="1">
        <f>ROUND(Scores_2014_O!AE54,$A$1)</f>
        <v>25</v>
      </c>
      <c r="R50" s="1">
        <f>ROUND(Scores_2014_O!AF54,$A$1)</f>
        <v>0</v>
      </c>
      <c r="S50" s="1">
        <f>ROUND(Scores_2014_O!AG54,$A$1)</f>
        <v>75</v>
      </c>
      <c r="T50" s="1">
        <f>ROUND(Scores_2014_O!AH54,$A$1)</f>
        <v>50</v>
      </c>
      <c r="U50" s="1">
        <f>ROUND(Scores_2014_O!AI54,$A$1)</f>
        <v>50</v>
      </c>
      <c r="V50" s="1">
        <f>ROUND(Scores_2014_O!AJ54,$A$1)</f>
        <v>75</v>
      </c>
      <c r="W50" s="1">
        <f>ROUND(Scores_2014_O!AK54,$A$1)</f>
        <v>75</v>
      </c>
      <c r="X50" s="1">
        <f>ROUND(Scores_2014_O!AL54,$A$1)</f>
        <v>75</v>
      </c>
      <c r="Y50" s="1">
        <f>ROUND(Scores_2014_O!AM54,$A$1)</f>
        <v>0</v>
      </c>
      <c r="Z50" s="1">
        <f>ROUND(Scores_2014_O!AN54,$A$1)</f>
        <v>75</v>
      </c>
      <c r="AA50" s="1">
        <f>ROUND(Scores_2014_O!AO54,$A$1)</f>
        <v>75</v>
      </c>
      <c r="AB50" s="1">
        <f>ROUND(Scores_2014_O!AP54,$A$1)</f>
        <v>50</v>
      </c>
      <c r="AC50" s="1">
        <f>ROUND(Scores_2014_O!AQ54,$A$1)</f>
        <v>25</v>
      </c>
      <c r="AD50" s="1">
        <f>ROUND(Scores_2014_O!AR54,$A$1)</f>
        <v>50</v>
      </c>
      <c r="AE50" s="1">
        <f>ROUND(Scores_2014_O!AS54,$A$1)</f>
        <v>75</v>
      </c>
      <c r="AF50" s="1">
        <f>ROUND(Scores_2014_O!AT54,$A$1)</f>
        <v>75</v>
      </c>
      <c r="AG50" s="1">
        <f>ROUND(Scores_2014_O!AU54,$A$1)</f>
        <v>25</v>
      </c>
      <c r="AH50" s="1">
        <f>ROUND(Scores_2014_O!AV54,$A$1)</f>
        <v>75</v>
      </c>
      <c r="AI50" s="1">
        <f>ROUND(Scores_2014_O!AW54,$A$1)</f>
        <v>50</v>
      </c>
      <c r="AJ50" s="1">
        <f>ROUND(Scores_2014_O!AX54,$A$1)</f>
        <v>75</v>
      </c>
      <c r="AK50" s="1">
        <f>ROUND(Scores_2014_O!AY54,$A$1)</f>
        <v>50</v>
      </c>
      <c r="AL50" s="1">
        <f>ROUND(Scores_2014_O!AZ54,$A$1)</f>
        <v>25</v>
      </c>
      <c r="AM50" s="1">
        <f>ROUND(Scores_2014_O!BA54,$A$1)</f>
        <v>75</v>
      </c>
      <c r="AN50" s="1">
        <f>ROUND(Scores_2014_O!BB54,$A$1)</f>
        <v>50</v>
      </c>
      <c r="AO50" s="1">
        <f>ROUND(Scores_2014_O!BC54,$A$1)</f>
        <v>75</v>
      </c>
      <c r="AP50" s="1">
        <f>ROUND(Scores_2014_O!BD54,$A$1)</f>
        <v>100</v>
      </c>
      <c r="AQ50" s="1">
        <f>ROUND(Scores_2014_O!BE54,$A$1)</f>
        <v>100</v>
      </c>
      <c r="AR50" s="1">
        <f>ROUND(Scores_2014_O!BF54,$A$1)</f>
        <v>75</v>
      </c>
      <c r="AS50" s="1">
        <f>ROUND(Scores_2014_O!BG54,$A$1)</f>
        <v>75</v>
      </c>
      <c r="AT50" s="1">
        <f>ROUND(Scores_2014_O!BH54,$A$1)</f>
        <v>50</v>
      </c>
      <c r="AU50" s="1">
        <f>ROUND(Scores_2014_O!BI54,$A$1)</f>
        <v>75</v>
      </c>
      <c r="AV50" s="1">
        <f>ROUND(Scores_2014_O!BJ54,$A$1)</f>
        <v>75</v>
      </c>
      <c r="AW50" s="1">
        <f>ROUND(Scores_2014_O!BK54,$A$1)</f>
        <v>100</v>
      </c>
      <c r="AX50" s="1">
        <f>ROUND(Scores_2014_O!BL54,$A$1)</f>
        <v>75</v>
      </c>
      <c r="AY50" s="1">
        <f>ROUND(Scores_2014_O!BM54,$A$1)</f>
        <v>75</v>
      </c>
      <c r="BA50" s="1">
        <f t="shared" si="1"/>
        <v>61</v>
      </c>
    </row>
    <row r="51" spans="1:53">
      <c r="A51" s="1" t="str">
        <f>Scores_2014_O!N55</f>
        <v>4.2.2) Prevalence of violence crime</v>
      </c>
      <c r="B51" s="1">
        <f>ROUND(Scores_2014_O!P55,$A$1)</f>
        <v>100</v>
      </c>
      <c r="C51" s="1">
        <f>ROUND(Scores_2014_O!Q55,$A$1)</f>
        <v>75</v>
      </c>
      <c r="D51" s="1">
        <f>ROUND(Scores_2014_O!R55,$A$1)</f>
        <v>75</v>
      </c>
      <c r="E51" s="1">
        <f>ROUND(Scores_2014_O!S55,$A$1)</f>
        <v>75</v>
      </c>
      <c r="F51" s="1">
        <f>ROUND(Scores_2014_O!T55,$A$1)</f>
        <v>75</v>
      </c>
      <c r="G51" s="1">
        <f>ROUND(Scores_2014_O!U55,$A$1)</f>
        <v>75</v>
      </c>
      <c r="H51" s="1">
        <f>ROUND(Scores_2014_O!V55,$A$1)</f>
        <v>50</v>
      </c>
      <c r="I51" s="1">
        <f>ROUND(Scores_2014_O!W55,$A$1)</f>
        <v>75</v>
      </c>
      <c r="J51" s="1">
        <f>ROUND(Scores_2014_O!X55,$A$1)</f>
        <v>50</v>
      </c>
      <c r="K51" s="1">
        <f>ROUND(Scores_2014_O!Y55,$A$1)</f>
        <v>100</v>
      </c>
      <c r="L51" s="1">
        <f>ROUND(Scores_2014_O!Z55,$A$1)</f>
        <v>75</v>
      </c>
      <c r="M51" s="1">
        <f>ROUND(Scores_2014_O!AA55,$A$1)</f>
        <v>75</v>
      </c>
      <c r="N51" s="1">
        <f>ROUND(Scores_2014_O!AB55,$A$1)</f>
        <v>50</v>
      </c>
      <c r="O51" s="1">
        <f>ROUND(Scores_2014_O!AC55,$A$1)</f>
        <v>100</v>
      </c>
      <c r="P51" s="1">
        <f>ROUND(Scores_2014_O!AD55,$A$1)</f>
        <v>50</v>
      </c>
      <c r="Q51" s="1">
        <f>ROUND(Scores_2014_O!AE55,$A$1)</f>
        <v>75</v>
      </c>
      <c r="R51" s="1">
        <f>ROUND(Scores_2014_O!AF55,$A$1)</f>
        <v>0</v>
      </c>
      <c r="S51" s="1">
        <f>ROUND(Scores_2014_O!AG55,$A$1)</f>
        <v>100</v>
      </c>
      <c r="T51" s="1">
        <f>ROUND(Scores_2014_O!AH55,$A$1)</f>
        <v>50</v>
      </c>
      <c r="U51" s="1">
        <f>ROUND(Scores_2014_O!AI55,$A$1)</f>
        <v>75</v>
      </c>
      <c r="V51" s="1">
        <f>ROUND(Scores_2014_O!AJ55,$A$1)</f>
        <v>75</v>
      </c>
      <c r="W51" s="1">
        <f>ROUND(Scores_2014_O!AK55,$A$1)</f>
        <v>75</v>
      </c>
      <c r="X51" s="1">
        <f>ROUND(Scores_2014_O!AL55,$A$1)</f>
        <v>100</v>
      </c>
      <c r="Y51" s="1">
        <f>ROUND(Scores_2014_O!AM55,$A$1)</f>
        <v>0</v>
      </c>
      <c r="Z51" s="1">
        <f>ROUND(Scores_2014_O!AN55,$A$1)</f>
        <v>75</v>
      </c>
      <c r="AA51" s="1">
        <f>ROUND(Scores_2014_O!AO55,$A$1)</f>
        <v>100</v>
      </c>
      <c r="AB51" s="1">
        <f>ROUND(Scores_2014_O!AP55,$A$1)</f>
        <v>75</v>
      </c>
      <c r="AC51" s="1">
        <f>ROUND(Scores_2014_O!AQ55,$A$1)</f>
        <v>75</v>
      </c>
      <c r="AD51" s="1">
        <f>ROUND(Scores_2014_O!AR55,$A$1)</f>
        <v>75</v>
      </c>
      <c r="AE51" s="1">
        <f>ROUND(Scores_2014_O!AS55,$A$1)</f>
        <v>100</v>
      </c>
      <c r="AF51" s="1">
        <f>ROUND(Scores_2014_O!AT55,$A$1)</f>
        <v>75</v>
      </c>
      <c r="AG51" s="1">
        <f>ROUND(Scores_2014_O!AU55,$A$1)</f>
        <v>25</v>
      </c>
      <c r="AH51" s="1">
        <f>ROUND(Scores_2014_O!AV55,$A$1)</f>
        <v>100</v>
      </c>
      <c r="AI51" s="1">
        <f>ROUND(Scores_2014_O!AW55,$A$1)</f>
        <v>75</v>
      </c>
      <c r="AJ51" s="1">
        <f>ROUND(Scores_2014_O!AX55,$A$1)</f>
        <v>75</v>
      </c>
      <c r="AK51" s="1">
        <f>ROUND(Scores_2014_O!AY55,$A$1)</f>
        <v>50</v>
      </c>
      <c r="AL51" s="1">
        <f>ROUND(Scores_2014_O!AZ55,$A$1)</f>
        <v>25</v>
      </c>
      <c r="AM51" s="1">
        <f>ROUND(Scores_2014_O!BA55,$A$1)</f>
        <v>100</v>
      </c>
      <c r="AN51" s="1">
        <f>ROUND(Scores_2014_O!BB55,$A$1)</f>
        <v>75</v>
      </c>
      <c r="AO51" s="1">
        <f>ROUND(Scores_2014_O!BC55,$A$1)</f>
        <v>75</v>
      </c>
      <c r="AP51" s="1">
        <f>ROUND(Scores_2014_O!BD55,$A$1)</f>
        <v>100</v>
      </c>
      <c r="AQ51" s="1">
        <f>ROUND(Scores_2014_O!BE55,$A$1)</f>
        <v>100</v>
      </c>
      <c r="AR51" s="1">
        <f>ROUND(Scores_2014_O!BF55,$A$1)</f>
        <v>75</v>
      </c>
      <c r="AS51" s="1">
        <f>ROUND(Scores_2014_O!BG55,$A$1)</f>
        <v>75</v>
      </c>
      <c r="AT51" s="1">
        <f>ROUND(Scores_2014_O!BH55,$A$1)</f>
        <v>75</v>
      </c>
      <c r="AU51" s="1">
        <f>ROUND(Scores_2014_O!BI55,$A$1)</f>
        <v>100</v>
      </c>
      <c r="AV51" s="1">
        <f>ROUND(Scores_2014_O!BJ55,$A$1)</f>
        <v>100</v>
      </c>
      <c r="AW51" s="1">
        <f>ROUND(Scores_2014_O!BK55,$A$1)</f>
        <v>100</v>
      </c>
      <c r="AX51" s="1">
        <f>ROUND(Scores_2014_O!BL55,$A$1)</f>
        <v>75</v>
      </c>
      <c r="AY51" s="1">
        <f>ROUND(Scores_2014_O!BM55,$A$1)</f>
        <v>100</v>
      </c>
      <c r="BA51" s="1">
        <f t="shared" si="1"/>
        <v>74.5</v>
      </c>
    </row>
    <row r="52" spans="1:53">
      <c r="A52" s="1" t="str">
        <f>Scores_2014_O!N56</f>
        <v>4.2.3) Criminal gang activity</v>
      </c>
      <c r="B52" s="1">
        <f>ROUND(Scores_2014_O!P56,$A$1)</f>
        <v>99.86</v>
      </c>
      <c r="C52" s="1">
        <f>ROUND(Scores_2014_O!Q56,$A$1)</f>
        <v>99.93</v>
      </c>
      <c r="D52" s="1">
        <f>ROUND(Scores_2014_O!R56,$A$1)</f>
        <v>97.81</v>
      </c>
      <c r="E52" s="1">
        <f>ROUND(Scores_2014_O!S56,$A$1)</f>
        <v>80.2</v>
      </c>
      <c r="F52" s="1">
        <f>ROUND(Scores_2014_O!T56,$A$1)</f>
        <v>58.31</v>
      </c>
      <c r="G52" s="1">
        <f>ROUND(Scores_2014_O!U56,$A$1)</f>
        <v>100</v>
      </c>
      <c r="H52" s="1">
        <f>ROUND(Scores_2014_O!V56,$A$1)</f>
        <v>99.86</v>
      </c>
      <c r="I52" s="1">
        <f>ROUND(Scores_2014_O!W56,$A$1)</f>
        <v>0</v>
      </c>
      <c r="J52" s="1">
        <f>ROUND(Scores_2014_O!X56,$A$1)</f>
        <v>89.07</v>
      </c>
      <c r="K52" s="1">
        <f>ROUND(Scores_2014_O!Y56,$A$1)</f>
        <v>0</v>
      </c>
      <c r="L52" s="1">
        <f>ROUND(Scores_2014_O!Z56,$A$1)</f>
        <v>93.7</v>
      </c>
      <c r="M52" s="1">
        <f>ROUND(Scores_2014_O!AA56,$A$1)</f>
        <v>58.31</v>
      </c>
      <c r="N52" s="1">
        <f>ROUND(Scores_2014_O!AB56,$A$1)</f>
        <v>99.91</v>
      </c>
      <c r="O52" s="1">
        <f>ROUND(Scores_2014_O!AC56,$A$1)</f>
        <v>58.31</v>
      </c>
      <c r="P52" s="1">
        <f>ROUND(Scores_2014_O!AD56,$A$1)</f>
        <v>97.3</v>
      </c>
      <c r="Q52" s="1">
        <f>ROUND(Scores_2014_O!AE56,$A$1)</f>
        <v>96.35</v>
      </c>
      <c r="R52" s="1">
        <f>ROUND(Scores_2014_O!AF56,$A$1)</f>
        <v>99.41</v>
      </c>
      <c r="S52" s="1">
        <f>ROUND(Scores_2014_O!AG56,$A$1)</f>
        <v>99.81</v>
      </c>
      <c r="T52" s="1">
        <f>ROUND(Scores_2014_O!AH56,$A$1)</f>
        <v>98.97</v>
      </c>
      <c r="U52" s="1">
        <f>ROUND(Scores_2014_O!AI56,$A$1)</f>
        <v>90.13</v>
      </c>
      <c r="V52" s="1">
        <f>ROUND(Scores_2014_O!AJ56,$A$1)</f>
        <v>0</v>
      </c>
      <c r="W52" s="1">
        <f>ROUND(Scores_2014_O!AK56,$A$1)</f>
        <v>80.2</v>
      </c>
      <c r="X52" s="1">
        <f>ROUND(Scores_2014_O!AL56,$A$1)</f>
        <v>97.7</v>
      </c>
      <c r="Y52" s="1">
        <f>ROUND(Scores_2014_O!AM56,$A$1)</f>
        <v>79.88</v>
      </c>
      <c r="Z52" s="1">
        <f>ROUND(Scores_2014_O!AN56,$A$1)</f>
        <v>82.28</v>
      </c>
      <c r="AA52" s="1">
        <f>ROUND(Scores_2014_O!AO56,$A$1)</f>
        <v>87.59</v>
      </c>
      <c r="AB52" s="1">
        <f>ROUND(Scores_2014_O!AP56,$A$1)</f>
        <v>92.2</v>
      </c>
      <c r="AC52" s="1">
        <f>ROUND(Scores_2014_O!AQ56,$A$1)</f>
        <v>89.07</v>
      </c>
      <c r="AD52" s="1">
        <f>ROUND(Scores_2014_O!AR56,$A$1)</f>
        <v>0</v>
      </c>
      <c r="AE52" s="1">
        <f>ROUND(Scores_2014_O!AS56,$A$1)</f>
        <v>82.72</v>
      </c>
      <c r="AF52" s="1">
        <f>ROUND(Scores_2014_O!AT56,$A$1)</f>
        <v>98.46</v>
      </c>
      <c r="AG52" s="1">
        <f>ROUND(Scores_2014_O!AU56,$A$1)</f>
        <v>97.32</v>
      </c>
      <c r="AH52" s="1">
        <f>ROUND(Scores_2014_O!AV56,$A$1)</f>
        <v>98.42</v>
      </c>
      <c r="AI52" s="1">
        <f>ROUND(Scores_2014_O!AW56,$A$1)</f>
        <v>82.28</v>
      </c>
      <c r="AJ52" s="1">
        <f>ROUND(Scores_2014_O!AX56,$A$1)</f>
        <v>0</v>
      </c>
      <c r="AK52" s="1">
        <f>ROUND(Scores_2014_O!AY56,$A$1)</f>
        <v>99.98</v>
      </c>
      <c r="AL52" s="1">
        <f>ROUND(Scores_2014_O!AZ56,$A$1)</f>
        <v>97.32</v>
      </c>
      <c r="AM52" s="1">
        <f>ROUND(Scores_2014_O!BA56,$A$1)</f>
        <v>95.85</v>
      </c>
      <c r="AN52" s="1">
        <f>ROUND(Scores_2014_O!BB56,$A$1)</f>
        <v>58.31</v>
      </c>
      <c r="AO52" s="1">
        <f>ROUND(Scores_2014_O!BC56,$A$1)</f>
        <v>58.31</v>
      </c>
      <c r="AP52" s="1">
        <f>ROUND(Scores_2014_O!BD56,$A$1)</f>
        <v>100</v>
      </c>
      <c r="AQ52" s="1">
        <f>ROUND(Scores_2014_O!BE56,$A$1)</f>
        <v>99.94</v>
      </c>
      <c r="AR52" s="1">
        <f>ROUND(Scores_2014_O!BF56,$A$1)</f>
        <v>97.7</v>
      </c>
      <c r="AS52" s="1">
        <f>ROUND(Scores_2014_O!BG56,$A$1)</f>
        <v>99.62</v>
      </c>
      <c r="AT52" s="1">
        <f>ROUND(Scores_2014_O!BH56,$A$1)</f>
        <v>98.34</v>
      </c>
      <c r="AU52" s="1">
        <f>ROUND(Scores_2014_O!BI56,$A$1)</f>
        <v>58.31</v>
      </c>
      <c r="AV52" s="1">
        <f>ROUND(Scores_2014_O!BJ56,$A$1)</f>
        <v>82.72</v>
      </c>
      <c r="AW52" s="1">
        <f>ROUND(Scores_2014_O!BK56,$A$1)</f>
        <v>87.59</v>
      </c>
      <c r="AX52" s="1">
        <f>ROUND(Scores_2014_O!BL56,$A$1)</f>
        <v>0</v>
      </c>
      <c r="AY52" s="1">
        <f>ROUND(Scores_2014_O!BM56,$A$1)</f>
        <v>99.32</v>
      </c>
      <c r="BA52" s="1">
        <f t="shared" si="1"/>
        <v>78.3734</v>
      </c>
    </row>
    <row r="53" spans="1:53">
      <c r="A53" s="1" t="str">
        <f>Scores_2014_O!N57</f>
        <v>4.2.4) Level of corruption in police force</v>
      </c>
      <c r="B53" s="1">
        <f>ROUND(Scores_2014_O!P57,$A$1)</f>
        <v>37</v>
      </c>
      <c r="C53" s="1">
        <f>ROUND(Scores_2014_O!Q57,$A$1)</f>
        <v>12</v>
      </c>
      <c r="D53" s="1">
        <f>ROUND(Scores_2014_O!R57,$A$1)</f>
        <v>65</v>
      </c>
      <c r="E53" s="1">
        <f>ROUND(Scores_2014_O!S57,$A$1)</f>
        <v>39</v>
      </c>
      <c r="F53" s="1">
        <f>ROUND(Scores_2014_O!T57,$A$1)</f>
        <v>65</v>
      </c>
      <c r="G53" s="1">
        <f>ROUND(Scores_2014_O!U57,$A$1)</f>
        <v>29</v>
      </c>
      <c r="H53" s="1">
        <f>ROUND(Scores_2014_O!V57,$A$1)</f>
        <v>71</v>
      </c>
      <c r="I53" s="1">
        <f>ROUND(Scores_2014_O!W57,$A$1)</f>
        <v>29</v>
      </c>
      <c r="J53" s="1">
        <f>ROUND(Scores_2014_O!X57,$A$1)</f>
        <v>67</v>
      </c>
      <c r="K53" s="1">
        <f>ROUND(Scores_2014_O!Y57,$A$1)</f>
        <v>23</v>
      </c>
      <c r="L53" s="1">
        <f>ROUND(Scores_2014_O!Z57,$A$1)</f>
        <v>21</v>
      </c>
      <c r="M53" s="1">
        <f>ROUND(Scores_2014_O!AA57,$A$1)</f>
        <v>65</v>
      </c>
      <c r="N53" s="1">
        <f>ROUND(Scores_2014_O!AB57,$A$1)</f>
        <v>73</v>
      </c>
      <c r="O53" s="1">
        <f>ROUND(Scores_2014_O!AC57,$A$1)</f>
        <v>16</v>
      </c>
      <c r="P53" s="1">
        <f>ROUND(Scores_2014_O!AD57,$A$1)</f>
        <v>56</v>
      </c>
      <c r="Q53" s="1">
        <f>ROUND(Scores_2014_O!AE57,$A$1)</f>
        <v>72</v>
      </c>
      <c r="R53" s="1">
        <f>ROUND(Scores_2014_O!AF57,$A$1)</f>
        <v>55</v>
      </c>
      <c r="S53" s="1">
        <f>ROUND(Scores_2014_O!AG57,$A$1)</f>
        <v>55</v>
      </c>
      <c r="T53" s="1">
        <f>ROUND(Scores_2014_O!AH57,$A$1)</f>
        <v>65</v>
      </c>
      <c r="U53" s="1">
        <f>ROUND(Scores_2014_O!AI57,$A$1)</f>
        <v>24</v>
      </c>
      <c r="V53" s="1">
        <f>ROUND(Scores_2014_O!AJ57,$A$1)</f>
        <v>29</v>
      </c>
      <c r="W53" s="1">
        <f>ROUND(Scores_2014_O!AK57,$A$1)</f>
        <v>39</v>
      </c>
      <c r="X53" s="1">
        <f>ROUND(Scores_2014_O!AL57,$A$1)</f>
        <v>13</v>
      </c>
      <c r="Y53" s="1">
        <f>ROUND(Scores_2014_O!AM57,$A$1)</f>
        <v>69</v>
      </c>
      <c r="Z53" s="1">
        <f>ROUND(Scores_2014_O!AN57,$A$1)</f>
        <v>61</v>
      </c>
      <c r="AA53" s="1">
        <f>ROUND(Scores_2014_O!AO57,$A$1)</f>
        <v>11</v>
      </c>
      <c r="AB53" s="1">
        <f>ROUND(Scores_2014_O!AP57,$A$1)</f>
        <v>79</v>
      </c>
      <c r="AC53" s="1">
        <f>ROUND(Scores_2014_O!AQ57,$A$1)</f>
        <v>67</v>
      </c>
      <c r="AD53" s="1">
        <f>ROUND(Scores_2014_O!AR57,$A$1)</f>
        <v>29</v>
      </c>
      <c r="AE53" s="1">
        <f>ROUND(Scores_2014_O!AS57,$A$1)</f>
        <v>22</v>
      </c>
      <c r="AF53" s="1">
        <f>ROUND(Scores_2014_O!AT57,$A$1)</f>
        <v>32</v>
      </c>
      <c r="AG53" s="1">
        <f>ROUND(Scores_2014_O!AU57,$A$1)</f>
        <v>63</v>
      </c>
      <c r="AH53" s="1">
        <f>ROUND(Scores_2014_O!AV57,$A$1)</f>
        <v>53</v>
      </c>
      <c r="AI53" s="1">
        <f>ROUND(Scores_2014_O!AW57,$A$1)</f>
        <v>61</v>
      </c>
      <c r="AJ53" s="1">
        <f>ROUND(Scores_2014_O!AX57,$A$1)</f>
        <v>29</v>
      </c>
      <c r="AK53" s="1">
        <f>ROUND(Scores_2014_O!AY57,$A$1)</f>
        <v>28</v>
      </c>
      <c r="AL53" s="1">
        <f>ROUND(Scores_2014_O!AZ57,$A$1)</f>
        <v>63</v>
      </c>
      <c r="AM53" s="1">
        <f>ROUND(Scores_2014_O!BA57,$A$1)</f>
        <v>46</v>
      </c>
      <c r="AN53" s="1">
        <f>ROUND(Scores_2014_O!BB57,$A$1)</f>
        <v>65</v>
      </c>
      <c r="AO53" s="1">
        <f>ROUND(Scores_2014_O!BC57,$A$1)</f>
        <v>65</v>
      </c>
      <c r="AP53" s="1">
        <f>ROUND(Scores_2014_O!BD57,$A$1)</f>
        <v>7</v>
      </c>
      <c r="AQ53" s="1">
        <f>ROUND(Scores_2014_O!BE57,$A$1)</f>
        <v>90</v>
      </c>
      <c r="AR53" s="1">
        <f>ROUND(Scores_2014_O!BF57,$A$1)</f>
        <v>13</v>
      </c>
      <c r="AS53" s="1">
        <f>ROUND(Scores_2014_O!BG57,$A$1)</f>
        <v>42</v>
      </c>
      <c r="AT53" s="1">
        <f>ROUND(Scores_2014_O!BH57,$A$1)</f>
        <v>78</v>
      </c>
      <c r="AU53" s="1">
        <f>ROUND(Scores_2014_O!BI57,$A$1)</f>
        <v>65</v>
      </c>
      <c r="AV53" s="1">
        <f>ROUND(Scores_2014_O!BJ57,$A$1)</f>
        <v>22</v>
      </c>
      <c r="AW53" s="1">
        <f>ROUND(Scores_2014_O!BK57,$A$1)</f>
        <v>11</v>
      </c>
      <c r="AX53" s="1">
        <f>ROUND(Scores_2014_O!BL57,$A$1)</f>
        <v>29</v>
      </c>
      <c r="AY53" s="1">
        <f>ROUND(Scores_2014_O!BM57,$A$1)</f>
        <v>13</v>
      </c>
      <c r="BA53" s="1">
        <f t="shared" si="1"/>
        <v>44.66</v>
      </c>
    </row>
    <row r="54" spans="1:53">
      <c r="A54" s="1" t="str">
        <f>Scores_2014_O!N58</f>
        <v>4.2.5) Rate of drug use</v>
      </c>
      <c r="B54" s="1">
        <f>ROUND(Scores_2014_O!P58,$A$1)</f>
        <v>99.61</v>
      </c>
      <c r="C54" s="1">
        <f>ROUND(Scores_2014_O!Q58,$A$1)</f>
        <v>77.22</v>
      </c>
      <c r="D54" s="1">
        <f>ROUND(Scores_2014_O!R58,$A$1)</f>
        <v>96.53</v>
      </c>
      <c r="E54" s="1">
        <f>ROUND(Scores_2014_O!S58,$A$1)</f>
        <v>0</v>
      </c>
      <c r="F54" s="1">
        <f>ROUND(Scores_2014_O!T58,$A$1)</f>
        <v>90.73</v>
      </c>
      <c r="G54" s="1">
        <f>ROUND(Scores_2014_O!U58,$A$1)</f>
        <v>65.64</v>
      </c>
      <c r="H54" s="1">
        <f>ROUND(Scores_2014_O!V58,$A$1)</f>
        <v>0</v>
      </c>
      <c r="I54" s="1">
        <f>ROUND(Scores_2014_O!W58,$A$1)</f>
        <v>7.72</v>
      </c>
      <c r="J54" s="1">
        <f>ROUND(Scores_2014_O!X58,$A$1)</f>
        <v>84.94</v>
      </c>
      <c r="K54" s="1">
        <f>ROUND(Scores_2014_O!Y58,$A$1)</f>
        <v>98.07</v>
      </c>
      <c r="L54" s="1">
        <f>ROUND(Scores_2014_O!Z58,$A$1)</f>
        <v>65.64</v>
      </c>
      <c r="M54" s="1">
        <f>ROUND(Scores_2014_O!AA58,$A$1)</f>
        <v>90.73</v>
      </c>
      <c r="N54" s="1">
        <f>ROUND(Scores_2014_O!AB58,$A$1)</f>
        <v>96.53</v>
      </c>
      <c r="O54" s="1">
        <f>ROUND(Scores_2014_O!AC58,$A$1)</f>
        <v>88.8</v>
      </c>
      <c r="P54" s="1">
        <f>ROUND(Scores_2014_O!AD58,$A$1)</f>
        <v>96.53</v>
      </c>
      <c r="Q54" s="1">
        <f>ROUND(Scores_2014_O!AE58,$A$1)</f>
        <v>0</v>
      </c>
      <c r="R54" s="1">
        <f>ROUND(Scores_2014_O!AF58,$A$1)</f>
        <v>69.5</v>
      </c>
      <c r="S54" s="1">
        <f>ROUND(Scores_2014_O!AG58,$A$1)</f>
        <v>96.53</v>
      </c>
      <c r="T54" s="1">
        <f>ROUND(Scores_2014_O!AH58,$A$1)</f>
        <v>81.08</v>
      </c>
      <c r="U54" s="1">
        <f>ROUND(Scores_2014_O!AI58,$A$1)</f>
        <v>27.03</v>
      </c>
      <c r="V54" s="1">
        <f>ROUND(Scores_2014_O!AJ58,$A$1)</f>
        <v>7.72</v>
      </c>
      <c r="W54" s="1">
        <f>ROUND(Scores_2014_O!AK58,$A$1)</f>
        <v>0</v>
      </c>
      <c r="X54" s="1">
        <f>ROUND(Scores_2014_O!AL58,$A$1)</f>
        <v>27.03</v>
      </c>
      <c r="Y54" s="1">
        <f>ROUND(Scores_2014_O!AM58,$A$1)</f>
        <v>84.94</v>
      </c>
      <c r="Z54" s="1">
        <f>ROUND(Scores_2014_O!AN58,$A$1)</f>
        <v>15.44</v>
      </c>
      <c r="AA54" s="1">
        <f>ROUND(Scores_2014_O!AO58,$A$1)</f>
        <v>46.33</v>
      </c>
      <c r="AB54" s="1">
        <f>ROUND(Scores_2014_O!AP58,$A$1)</f>
        <v>92.66</v>
      </c>
      <c r="AC54" s="1">
        <f>ROUND(Scores_2014_O!AQ58,$A$1)</f>
        <v>84.94</v>
      </c>
      <c r="AD54" s="1">
        <f>ROUND(Scores_2014_O!AR58,$A$1)</f>
        <v>7.72</v>
      </c>
      <c r="AE54" s="1">
        <f>ROUND(Scores_2014_O!AS58,$A$1)</f>
        <v>99.23</v>
      </c>
      <c r="AF54" s="1">
        <f>ROUND(Scores_2014_O!AT58,$A$1)</f>
        <v>77.22</v>
      </c>
      <c r="AG54" s="1">
        <f>ROUND(Scores_2014_O!AU58,$A$1)</f>
        <v>73.36</v>
      </c>
      <c r="AH54" s="1">
        <f>ROUND(Scores_2014_O!AV58,$A$1)</f>
        <v>98.07</v>
      </c>
      <c r="AI54" s="1">
        <f>ROUND(Scores_2014_O!AW58,$A$1)</f>
        <v>15.44</v>
      </c>
      <c r="AJ54" s="1">
        <f>ROUND(Scores_2014_O!AX58,$A$1)</f>
        <v>7.72</v>
      </c>
      <c r="AK54" s="1">
        <f>ROUND(Scores_2014_O!AY58,$A$1)</f>
        <v>7.72</v>
      </c>
      <c r="AL54" s="1">
        <f>ROUND(Scores_2014_O!AZ58,$A$1)</f>
        <v>73.36</v>
      </c>
      <c r="AM54" s="1">
        <f>ROUND(Scores_2014_O!BA58,$A$1)</f>
        <v>96.53</v>
      </c>
      <c r="AN54" s="1">
        <f>ROUND(Scores_2014_O!BB58,$A$1)</f>
        <v>90.73</v>
      </c>
      <c r="AO54" s="1">
        <f>ROUND(Scores_2014_O!BC58,$A$1)</f>
        <v>90.73</v>
      </c>
      <c r="AP54" s="1">
        <f>ROUND(Scores_2014_O!BD58,$A$1)</f>
        <v>100</v>
      </c>
      <c r="AQ54" s="1">
        <f>ROUND(Scores_2014_O!BE58,$A$1)</f>
        <v>81.08</v>
      </c>
      <c r="AR54" s="1">
        <f>ROUND(Scores_2014_O!BF58,$A$1)</f>
        <v>27.03</v>
      </c>
      <c r="AS54" s="1">
        <f>ROUND(Scores_2014_O!BG58,$A$1)</f>
        <v>96.53</v>
      </c>
      <c r="AT54" s="1">
        <f>ROUND(Scores_2014_O!BH58,$A$1)</f>
        <v>0</v>
      </c>
      <c r="AU54" s="1">
        <f>ROUND(Scores_2014_O!BI58,$A$1)</f>
        <v>90.73</v>
      </c>
      <c r="AV54" s="1">
        <f>ROUND(Scores_2014_O!BJ58,$A$1)</f>
        <v>99.23</v>
      </c>
      <c r="AW54" s="1">
        <f>ROUND(Scores_2014_O!BK58,$A$1)</f>
        <v>46.33</v>
      </c>
      <c r="AX54" s="1">
        <f>ROUND(Scores_2014_O!BL58,$A$1)</f>
        <v>7.72</v>
      </c>
      <c r="AY54" s="1">
        <f>ROUND(Scores_2014_O!BM58,$A$1)</f>
        <v>92.66</v>
      </c>
      <c r="BA54" s="1">
        <f t="shared" si="1"/>
        <v>61.4206</v>
      </c>
    </row>
    <row r="55" spans="1:53">
      <c r="A55" s="1" t="str">
        <f>Scores_2014_O!N59</f>
        <v>4.2.6) Frequency of terrorist attacks</v>
      </c>
      <c r="B55" s="1">
        <f>ROUND(Scores_2014_O!P59,$A$1)</f>
        <v>100</v>
      </c>
      <c r="C55" s="1">
        <f>ROUND(Scores_2014_O!Q59,$A$1)</f>
        <v>98.84</v>
      </c>
      <c r="D55" s="1">
        <f>ROUND(Scores_2014_O!R59,$A$1)</f>
        <v>0</v>
      </c>
      <c r="E55" s="1">
        <f>ROUND(Scores_2014_O!S59,$A$1)</f>
        <v>98.84</v>
      </c>
      <c r="F55" s="1">
        <f>ROUND(Scores_2014_O!T59,$A$1)</f>
        <v>96.51</v>
      </c>
      <c r="G55" s="1">
        <f>ROUND(Scores_2014_O!U59,$A$1)</f>
        <v>97.67</v>
      </c>
      <c r="H55" s="1">
        <f>ROUND(Scores_2014_O!V59,$A$1)</f>
        <v>87.21</v>
      </c>
      <c r="I55" s="1">
        <f>ROUND(Scores_2014_O!W59,$A$1)</f>
        <v>100</v>
      </c>
      <c r="J55" s="1">
        <f>ROUND(Scores_2014_O!X59,$A$1)</f>
        <v>83.72</v>
      </c>
      <c r="K55" s="1">
        <f>ROUND(Scores_2014_O!Y59,$A$1)</f>
        <v>98.84</v>
      </c>
      <c r="L55" s="1">
        <f>ROUND(Scores_2014_O!Z59,$A$1)</f>
        <v>97.67</v>
      </c>
      <c r="M55" s="1">
        <f>ROUND(Scores_2014_O!AA59,$A$1)</f>
        <v>100</v>
      </c>
      <c r="N55" s="1">
        <f>ROUND(Scores_2014_O!AB59,$A$1)</f>
        <v>100</v>
      </c>
      <c r="O55" s="1">
        <f>ROUND(Scores_2014_O!AC59,$A$1)</f>
        <v>98.84</v>
      </c>
      <c r="P55" s="1">
        <f>ROUND(Scores_2014_O!AD59,$A$1)</f>
        <v>36.05</v>
      </c>
      <c r="Q55" s="1">
        <f>ROUND(Scores_2014_O!AE59,$A$1)</f>
        <v>77.91</v>
      </c>
      <c r="R55" s="1">
        <f>ROUND(Scores_2014_O!AF59,$A$1)</f>
        <v>98.84</v>
      </c>
      <c r="S55" s="1">
        <f>ROUND(Scores_2014_O!AG59,$A$1)</f>
        <v>100</v>
      </c>
      <c r="T55" s="1">
        <f>ROUND(Scores_2014_O!AH59,$A$1)</f>
        <v>98.84</v>
      </c>
      <c r="U55" s="1">
        <f>ROUND(Scores_2014_O!AI59,$A$1)</f>
        <v>72.09</v>
      </c>
      <c r="V55" s="1">
        <f>ROUND(Scores_2014_O!AJ59,$A$1)</f>
        <v>90.7</v>
      </c>
      <c r="W55" s="1">
        <f>ROUND(Scores_2014_O!AK59,$A$1)</f>
        <v>77.91</v>
      </c>
      <c r="X55" s="1">
        <f>ROUND(Scores_2014_O!AL59,$A$1)</f>
        <v>100</v>
      </c>
      <c r="Y55" s="1">
        <f>ROUND(Scores_2014_O!AM59,$A$1)</f>
        <v>93.02</v>
      </c>
      <c r="Z55" s="1">
        <f>ROUND(Scores_2014_O!AN59,$A$1)</f>
        <v>91.86</v>
      </c>
      <c r="AA55" s="1">
        <f>ROUND(Scores_2014_O!AO59,$A$1)</f>
        <v>97.67</v>
      </c>
      <c r="AB55" s="1">
        <f>ROUND(Scores_2014_O!AP59,$A$1)</f>
        <v>74.42</v>
      </c>
      <c r="AC55" s="1">
        <f>ROUND(Scores_2014_O!AQ59,$A$1)</f>
        <v>84.88</v>
      </c>
      <c r="AD55" s="1">
        <f>ROUND(Scores_2014_O!AR59,$A$1)</f>
        <v>90.7</v>
      </c>
      <c r="AE55" s="1">
        <f>ROUND(Scores_2014_O!AS59,$A$1)</f>
        <v>100</v>
      </c>
      <c r="AF55" s="1">
        <f>ROUND(Scores_2014_O!AT59,$A$1)</f>
        <v>88.37</v>
      </c>
      <c r="AG55" s="1">
        <f>ROUND(Scores_2014_O!AU59,$A$1)</f>
        <v>100</v>
      </c>
      <c r="AH55" s="1">
        <f>ROUND(Scores_2014_O!AV59,$A$1)</f>
        <v>86.05</v>
      </c>
      <c r="AI55" s="1">
        <f>ROUND(Scores_2014_O!AW59,$A$1)</f>
        <v>89.53</v>
      </c>
      <c r="AJ55" s="1">
        <f>ROUND(Scores_2014_O!AX59,$A$1)</f>
        <v>98.84</v>
      </c>
      <c r="AK55" s="1">
        <f>ROUND(Scores_2014_O!AY59,$A$1)</f>
        <v>62.79</v>
      </c>
      <c r="AL55" s="1">
        <f>ROUND(Scores_2014_O!AZ59,$A$1)</f>
        <v>97.67</v>
      </c>
      <c r="AM55" s="1">
        <f>ROUND(Scores_2014_O!BA59,$A$1)</f>
        <v>98.84</v>
      </c>
      <c r="AN55" s="1">
        <f>ROUND(Scores_2014_O!BB59,$A$1)</f>
        <v>100</v>
      </c>
      <c r="AO55" s="1">
        <f>ROUND(Scores_2014_O!BC59,$A$1)</f>
        <v>98.84</v>
      </c>
      <c r="AP55" s="1">
        <f>ROUND(Scores_2014_O!BD59,$A$1)</f>
        <v>100</v>
      </c>
      <c r="AQ55" s="1">
        <f>ROUND(Scores_2014_O!BE59,$A$1)</f>
        <v>95.35</v>
      </c>
      <c r="AR55" s="1">
        <f>ROUND(Scores_2014_O!BF59,$A$1)</f>
        <v>100</v>
      </c>
      <c r="AS55" s="1">
        <f>ROUND(Scores_2014_O!BG59,$A$1)</f>
        <v>97.67</v>
      </c>
      <c r="AT55" s="1">
        <f>ROUND(Scores_2014_O!BH59,$A$1)</f>
        <v>87.21</v>
      </c>
      <c r="AU55" s="1">
        <f>ROUND(Scores_2014_O!BI59,$A$1)</f>
        <v>100</v>
      </c>
      <c r="AV55" s="1">
        <f>ROUND(Scores_2014_O!BJ59,$A$1)</f>
        <v>100</v>
      </c>
      <c r="AW55" s="1">
        <f>ROUND(Scores_2014_O!BK59,$A$1)</f>
        <v>98.84</v>
      </c>
      <c r="AX55" s="1">
        <f>ROUND(Scores_2014_O!BL59,$A$1)</f>
        <v>96.51</v>
      </c>
      <c r="AY55" s="1">
        <f>ROUND(Scores_2014_O!BM59,$A$1)</f>
        <v>98.84</v>
      </c>
      <c r="BA55" s="1">
        <f t="shared" si="1"/>
        <v>90.7676</v>
      </c>
    </row>
    <row r="56" spans="1:53">
      <c r="A56" s="1" t="str">
        <f>Scores_2014_O!N60</f>
        <v>4.2.7) Gender safety</v>
      </c>
      <c r="B56" s="1">
        <f>ROUND(Scores_2014_O!P60,$A$1)</f>
        <v>80.68</v>
      </c>
      <c r="C56" s="1">
        <f>ROUND(Scores_2014_O!Q60,$A$1)</f>
        <v>97.73</v>
      </c>
      <c r="D56" s="1">
        <f>ROUND(Scores_2014_O!R60,$A$1)</f>
        <v>89.27</v>
      </c>
      <c r="E56" s="1">
        <f>ROUND(Scores_2014_O!S60,$A$1)</f>
        <v>96.02</v>
      </c>
      <c r="F56" s="1">
        <f>ROUND(Scores_2014_O!T60,$A$1)</f>
        <v>0</v>
      </c>
      <c r="G56" s="1">
        <f>ROUND(Scores_2014_O!U60,$A$1)</f>
        <v>97.37</v>
      </c>
      <c r="H56" s="1">
        <f>ROUND(Scores_2014_O!V60,$A$1)</f>
        <v>71.79</v>
      </c>
      <c r="I56" s="1">
        <f>ROUND(Scores_2014_O!W60,$A$1)</f>
        <v>95.45</v>
      </c>
      <c r="J56" s="1">
        <f>ROUND(Scores_2014_O!X60,$A$1)</f>
        <v>95.14</v>
      </c>
      <c r="K56" s="1">
        <f>ROUND(Scores_2014_O!Y60,$A$1)</f>
        <v>99.99</v>
      </c>
      <c r="L56" s="1">
        <f>ROUND(Scores_2014_O!Z60,$A$1)</f>
        <v>74.83</v>
      </c>
      <c r="M56" s="1">
        <f>ROUND(Scores_2014_O!AA60,$A$1)</f>
        <v>0</v>
      </c>
      <c r="N56" s="1">
        <f>ROUND(Scores_2014_O!AB60,$A$1)</f>
        <v>96.04</v>
      </c>
      <c r="O56" s="1">
        <f>ROUND(Scores_2014_O!AC60,$A$1)</f>
        <v>99.7</v>
      </c>
      <c r="P56" s="1">
        <f>ROUND(Scores_2014_O!AD60,$A$1)</f>
        <v>95.37</v>
      </c>
      <c r="Q56" s="1">
        <f>ROUND(Scores_2014_O!AE60,$A$1)</f>
        <v>99.76</v>
      </c>
      <c r="R56" s="1">
        <f>ROUND(Scores_2014_O!AF60,$A$1)</f>
        <v>99.49</v>
      </c>
      <c r="S56" s="1">
        <f>ROUND(Scores_2014_O!AG60,$A$1)</f>
        <v>99.66</v>
      </c>
      <c r="T56" s="1">
        <f>ROUND(Scores_2014_O!AH60,$A$1)</f>
        <v>78.85</v>
      </c>
      <c r="U56" s="1">
        <f>ROUND(Scores_2014_O!AI60,$A$1)</f>
        <v>100</v>
      </c>
      <c r="V56" s="1">
        <f>ROUND(Scores_2014_O!AJ60,$A$1)</f>
        <v>97.09</v>
      </c>
      <c r="W56" s="1">
        <f>ROUND(Scores_2014_O!AK60,$A$1)</f>
        <v>82.93</v>
      </c>
      <c r="X56" s="1">
        <f>ROUND(Scores_2014_O!AL60,$A$1)</f>
        <v>93.3</v>
      </c>
      <c r="Y56" s="1">
        <f>ROUND(Scores_2014_O!AM60,$A$1)</f>
        <v>52.99</v>
      </c>
      <c r="Z56" s="1">
        <f>ROUND(Scores_2014_O!AN60,$A$1)</f>
        <v>99.67</v>
      </c>
      <c r="AA56" s="1">
        <f>ROUND(Scores_2014_O!AO60,$A$1)</f>
        <v>98.22</v>
      </c>
      <c r="AB56" s="1">
        <f>ROUND(Scores_2014_O!AP60,$A$1)</f>
        <v>98.83</v>
      </c>
      <c r="AC56" s="1">
        <f>ROUND(Scores_2014_O!AQ60,$A$1)</f>
        <v>98.97</v>
      </c>
      <c r="AD56" s="1">
        <f>ROUND(Scores_2014_O!AR60,$A$1)</f>
        <v>95.71</v>
      </c>
      <c r="AE56" s="1">
        <f>ROUND(Scores_2014_O!AS60,$A$1)</f>
        <v>99.66</v>
      </c>
      <c r="AF56" s="1">
        <f>ROUND(Scores_2014_O!AT60,$A$1)</f>
        <v>65.88</v>
      </c>
      <c r="AG56" s="1">
        <f>ROUND(Scores_2014_O!AU60,$A$1)</f>
        <v>81.57</v>
      </c>
      <c r="AH56" s="1">
        <f>ROUND(Scores_2014_O!AV60,$A$1)</f>
        <v>99.85</v>
      </c>
      <c r="AI56" s="1">
        <f>ROUND(Scores_2014_O!AW60,$A$1)</f>
        <v>99.71</v>
      </c>
      <c r="AJ56" s="1">
        <f>ROUND(Scores_2014_O!AX60,$A$1)</f>
        <v>99.69</v>
      </c>
      <c r="AK56" s="1">
        <f>ROUND(Scores_2014_O!AY60,$A$1)</f>
        <v>94.79</v>
      </c>
      <c r="AL56" s="1">
        <f>ROUND(Scores_2014_O!AZ60,$A$1)</f>
        <v>98.15</v>
      </c>
      <c r="AM56" s="1">
        <f>ROUND(Scores_2014_O!BA60,$A$1)</f>
        <v>30.9</v>
      </c>
      <c r="AN56" s="1">
        <f>ROUND(Scores_2014_O!BB60,$A$1)</f>
        <v>0</v>
      </c>
      <c r="AO56" s="1">
        <f>ROUND(Scores_2014_O!BC60,$A$1)</f>
        <v>0</v>
      </c>
      <c r="AP56" s="1">
        <f>ROUND(Scores_2014_O!BD60,$A$1)</f>
        <v>99.65</v>
      </c>
      <c r="AQ56" s="1">
        <f>ROUND(Scores_2014_O!BE60,$A$1)</f>
        <v>81.56</v>
      </c>
      <c r="AR56" s="1">
        <f>ROUND(Scores_2014_O!BF60,$A$1)</f>
        <v>80.02</v>
      </c>
      <c r="AS56" s="1">
        <f>ROUND(Scores_2014_O!BG60,$A$1)</f>
        <v>49.65</v>
      </c>
      <c r="AT56" s="1">
        <f>ROUND(Scores_2014_O!BH60,$A$1)</f>
        <v>99.84</v>
      </c>
      <c r="AU56" s="1">
        <f>ROUND(Scores_2014_O!BI60,$A$1)</f>
        <v>0</v>
      </c>
      <c r="AV56" s="1">
        <f>ROUND(Scores_2014_O!BJ60,$A$1)</f>
        <v>99.53</v>
      </c>
      <c r="AW56" s="1">
        <f>ROUND(Scores_2014_O!BK60,$A$1)</f>
        <v>98.22</v>
      </c>
      <c r="AX56" s="1">
        <f>ROUND(Scores_2014_O!BL60,$A$1)</f>
        <v>98.8</v>
      </c>
      <c r="AY56" s="1">
        <f>ROUND(Scores_2014_O!BM60,$A$1)</f>
        <v>98.25</v>
      </c>
      <c r="BA56" s="1">
        <f t="shared" si="1"/>
        <v>81.2114</v>
      </c>
    </row>
    <row r="57" spans="1:53">
      <c r="A57" s="1" t="str">
        <f>Scores_2014_O!N61</f>
        <v>4.2.8) Perceptions of safety</v>
      </c>
      <c r="B57" s="1">
        <f>ROUND(Scores_2014_O!P61,$A$1)</f>
        <v>86.02</v>
      </c>
      <c r="C57" s="1">
        <f>ROUND(Scores_2014_O!Q61,$A$1)</f>
        <v>68.41</v>
      </c>
      <c r="D57" s="1">
        <f>ROUND(Scores_2014_O!R61,$A$1)</f>
        <v>63.85</v>
      </c>
      <c r="E57" s="1">
        <f>ROUND(Scores_2014_O!S61,$A$1)</f>
        <v>58.33</v>
      </c>
      <c r="F57" s="1">
        <f>ROUND(Scores_2014_O!T61,$A$1)</f>
        <v>58.3</v>
      </c>
      <c r="G57" s="1">
        <f>ROUND(Scores_2014_O!U61,$A$1)</f>
        <v>46.19</v>
      </c>
      <c r="H57" s="1">
        <f>ROUND(Scores_2014_O!V61,$A$1)</f>
        <v>38.49</v>
      </c>
      <c r="I57" s="1">
        <f>ROUND(Scores_2014_O!W61,$A$1)</f>
        <v>39.99</v>
      </c>
      <c r="J57" s="1">
        <f>ROUND(Scores_2014_O!X61,$A$1)</f>
        <v>41.41</v>
      </c>
      <c r="K57" s="1">
        <f>ROUND(Scores_2014_O!Y61,$A$1)</f>
        <v>78.09</v>
      </c>
      <c r="L57" s="1">
        <f>ROUND(Scores_2014_O!Z61,$A$1)</f>
        <v>73.06</v>
      </c>
      <c r="M57" s="1">
        <f>ROUND(Scores_2014_O!AA61,$A$1)</f>
        <v>59.38</v>
      </c>
      <c r="N57" s="1">
        <f>ROUND(Scores_2014_O!AB61,$A$1)</f>
        <v>52.23</v>
      </c>
      <c r="O57" s="1">
        <f>ROUND(Scores_2014_O!AC61,$A$1)</f>
        <v>83.88</v>
      </c>
      <c r="P57" s="1">
        <f>ROUND(Scores_2014_O!AD61,$A$1)</f>
        <v>59.86</v>
      </c>
      <c r="Q57" s="1">
        <f>ROUND(Scores_2014_O!AE61,$A$1)</f>
        <v>52.19</v>
      </c>
      <c r="R57" s="1">
        <f>ROUND(Scores_2014_O!AF61,$A$1)</f>
        <v>17.44</v>
      </c>
      <c r="S57" s="1">
        <f>ROUND(Scores_2014_O!AG61,$A$1)</f>
        <v>57.02</v>
      </c>
      <c r="T57" s="1">
        <f>ROUND(Scores_2014_O!AH61,$A$1)</f>
        <v>30.42</v>
      </c>
      <c r="U57" s="1">
        <f>ROUND(Scores_2014_O!AI61,$A$1)</f>
        <v>52.62</v>
      </c>
      <c r="V57" s="1">
        <f>ROUND(Scores_2014_O!AJ61,$A$1)</f>
        <v>48.22</v>
      </c>
      <c r="W57" s="1">
        <f>ROUND(Scores_2014_O!AK61,$A$1)</f>
        <v>62.89</v>
      </c>
      <c r="X57" s="1">
        <f>ROUND(Scores_2014_O!AL61,$A$1)</f>
        <v>57.47</v>
      </c>
      <c r="Y57" s="1">
        <f>ROUND(Scores_2014_O!AM61,$A$1)</f>
        <v>37.99</v>
      </c>
      <c r="Z57" s="1">
        <f>ROUND(Scores_2014_O!AN61,$A$1)</f>
        <v>46.95</v>
      </c>
      <c r="AA57" s="1">
        <f>ROUND(Scores_2014_O!AO61,$A$1)</f>
        <v>61.79</v>
      </c>
      <c r="AB57" s="1">
        <f>ROUND(Scores_2014_O!AP61,$A$1)</f>
        <v>46.01</v>
      </c>
      <c r="AC57" s="1">
        <f>ROUND(Scores_2014_O!AQ61,$A$1)</f>
        <v>51.04</v>
      </c>
      <c r="AD57" s="1">
        <f>ROUND(Scores_2014_O!AR61,$A$1)</f>
        <v>52.53</v>
      </c>
      <c r="AE57" s="1">
        <f>ROUND(Scores_2014_O!AS61,$A$1)</f>
        <v>95.03</v>
      </c>
      <c r="AF57" s="1">
        <f>ROUND(Scores_2014_O!AT61,$A$1)</f>
        <v>43.88</v>
      </c>
      <c r="AG57" s="1">
        <f>ROUND(Scores_2014_O!AU61,$A$1)</f>
        <v>25.32</v>
      </c>
      <c r="AH57" s="1">
        <f>ROUND(Scores_2014_O!AV61,$A$1)</f>
        <v>73.83</v>
      </c>
      <c r="AI57" s="1">
        <f>ROUND(Scores_2014_O!AW61,$A$1)</f>
        <v>29.69</v>
      </c>
      <c r="AJ57" s="1">
        <f>ROUND(Scores_2014_O!AX61,$A$1)</f>
        <v>58.25</v>
      </c>
      <c r="AK57" s="1">
        <f>ROUND(Scores_2014_O!AY61,$A$1)</f>
        <v>52.54</v>
      </c>
      <c r="AL57" s="1">
        <f>ROUND(Scores_2014_O!AZ61,$A$1)</f>
        <v>24.86</v>
      </c>
      <c r="AM57" s="1">
        <f>ROUND(Scores_2014_O!BA61,$A$1)</f>
        <v>80.5</v>
      </c>
      <c r="AN57" s="1">
        <f>ROUND(Scores_2014_O!BB61,$A$1)</f>
        <v>77.75</v>
      </c>
      <c r="AO57" s="1">
        <f>ROUND(Scores_2014_O!BC61,$A$1)</f>
        <v>77.12</v>
      </c>
      <c r="AP57" s="1">
        <f>ROUND(Scores_2014_O!BD61,$A$1)</f>
        <v>81.98</v>
      </c>
      <c r="AQ57" s="1">
        <f>ROUND(Scores_2014_O!BE61,$A$1)</f>
        <v>77.9</v>
      </c>
      <c r="AR57" s="1">
        <f>ROUND(Scores_2014_O!BF61,$A$1)</f>
        <v>58.72</v>
      </c>
      <c r="AS57" s="1">
        <f>ROUND(Scores_2014_O!BG61,$A$1)</f>
        <v>79.1</v>
      </c>
      <c r="AT57" s="1">
        <f>ROUND(Scores_2014_O!BH61,$A$1)</f>
        <v>43.73</v>
      </c>
      <c r="AU57" s="1">
        <f>ROUND(Scores_2014_O!BI61,$A$1)</f>
        <v>58.85</v>
      </c>
      <c r="AV57" s="1">
        <f>ROUND(Scores_2014_O!BJ61,$A$1)</f>
        <v>80.92</v>
      </c>
      <c r="AW57" s="1">
        <f>ROUND(Scores_2014_O!BK61,$A$1)</f>
        <v>68.46</v>
      </c>
      <c r="AX57" s="1">
        <f>ROUND(Scores_2014_O!BL61,$A$1)</f>
        <v>41.1</v>
      </c>
      <c r="AY57" s="1">
        <f>ROUND(Scores_2014_O!BM61,$A$1)</f>
        <v>79.39</v>
      </c>
      <c r="BA57" s="1">
        <f t="shared" si="1"/>
        <v>57.8198</v>
      </c>
    </row>
    <row r="59" spans="1:1">
      <c r="A59" s="1" t="s">
        <v>1017</v>
      </c>
    </row>
    <row r="61" spans="1:51">
      <c r="A61" s="1" t="str">
        <f t="shared" ref="A61:A92" si="2">A2</f>
        <v>OVERALL SCORE</v>
      </c>
      <c r="B61" s="1">
        <f t="shared" ref="B61:AG61" si="3">RANK(B2,$B2:$AY2,0)</f>
        <v>25</v>
      </c>
      <c r="C61" s="1">
        <f t="shared" si="3"/>
        <v>5</v>
      </c>
      <c r="D61" s="1">
        <f t="shared" si="3"/>
        <v>39</v>
      </c>
      <c r="E61" s="1">
        <f t="shared" si="3"/>
        <v>15</v>
      </c>
      <c r="F61" s="1">
        <f t="shared" si="3"/>
        <v>37</v>
      </c>
      <c r="G61" s="1">
        <f t="shared" si="3"/>
        <v>22</v>
      </c>
      <c r="H61" s="1">
        <f t="shared" si="3"/>
        <v>31</v>
      </c>
      <c r="I61" s="1">
        <f t="shared" si="3"/>
        <v>16</v>
      </c>
      <c r="J61" s="1">
        <f t="shared" si="3"/>
        <v>42</v>
      </c>
      <c r="K61" s="1">
        <f t="shared" si="3"/>
        <v>29</v>
      </c>
      <c r="L61" s="1">
        <f t="shared" si="3"/>
        <v>20</v>
      </c>
      <c r="M61" s="1">
        <f t="shared" si="3"/>
        <v>38</v>
      </c>
      <c r="N61" s="1">
        <f t="shared" si="3"/>
        <v>48</v>
      </c>
      <c r="O61" s="1">
        <f t="shared" si="3"/>
        <v>11</v>
      </c>
      <c r="P61" s="1">
        <f t="shared" si="3"/>
        <v>41</v>
      </c>
      <c r="Q61" s="1">
        <f t="shared" si="3"/>
        <v>50</v>
      </c>
      <c r="R61" s="1">
        <f t="shared" si="3"/>
        <v>47</v>
      </c>
      <c r="S61" s="1">
        <f t="shared" si="3"/>
        <v>36</v>
      </c>
      <c r="T61" s="1">
        <f t="shared" si="3"/>
        <v>33</v>
      </c>
      <c r="U61" s="1">
        <f t="shared" si="3"/>
        <v>18</v>
      </c>
      <c r="V61" s="1">
        <f t="shared" si="3"/>
        <v>17</v>
      </c>
      <c r="W61" s="1">
        <f t="shared" si="3"/>
        <v>21</v>
      </c>
      <c r="X61" s="1">
        <f t="shared" si="3"/>
        <v>9</v>
      </c>
      <c r="Y61" s="1">
        <f t="shared" si="3"/>
        <v>45</v>
      </c>
      <c r="Z61" s="1">
        <f t="shared" si="3"/>
        <v>26</v>
      </c>
      <c r="AA61" s="1">
        <f t="shared" si="3"/>
        <v>14</v>
      </c>
      <c r="AB61" s="1">
        <f t="shared" si="3"/>
        <v>43</v>
      </c>
      <c r="AC61" s="1">
        <f t="shared" si="3"/>
        <v>44</v>
      </c>
      <c r="AD61" s="1">
        <f t="shared" si="3"/>
        <v>10</v>
      </c>
      <c r="AE61" s="1">
        <f t="shared" si="3"/>
        <v>3</v>
      </c>
      <c r="AF61" s="1">
        <f t="shared" si="3"/>
        <v>23</v>
      </c>
      <c r="AG61" s="1">
        <f t="shared" si="3"/>
        <v>35</v>
      </c>
      <c r="AH61" s="1">
        <f t="shared" ref="AH61:AY61" si="4">RANK(AH2,$B2:$AY2,0)</f>
        <v>46</v>
      </c>
      <c r="AI61" s="1">
        <f t="shared" si="4"/>
        <v>27</v>
      </c>
      <c r="AJ61" s="1">
        <f t="shared" si="4"/>
        <v>12</v>
      </c>
      <c r="AK61" s="1">
        <f t="shared" si="4"/>
        <v>28</v>
      </c>
      <c r="AL61" s="1">
        <f t="shared" si="4"/>
        <v>40</v>
      </c>
      <c r="AM61" s="1">
        <f t="shared" si="4"/>
        <v>24</v>
      </c>
      <c r="AN61" s="1">
        <f t="shared" si="4"/>
        <v>30</v>
      </c>
      <c r="AO61" s="1">
        <f t="shared" si="4"/>
        <v>32</v>
      </c>
      <c r="AP61" s="1">
        <f t="shared" si="4"/>
        <v>2</v>
      </c>
      <c r="AQ61" s="1">
        <f t="shared" si="4"/>
        <v>4</v>
      </c>
      <c r="AR61" s="1">
        <f t="shared" si="4"/>
        <v>6</v>
      </c>
      <c r="AS61" s="1">
        <f t="shared" si="4"/>
        <v>13</v>
      </c>
      <c r="AT61" s="1">
        <f t="shared" si="4"/>
        <v>49</v>
      </c>
      <c r="AU61" s="1">
        <f t="shared" si="4"/>
        <v>34</v>
      </c>
      <c r="AV61" s="1">
        <f t="shared" si="4"/>
        <v>1</v>
      </c>
      <c r="AW61" s="1">
        <f t="shared" si="4"/>
        <v>8</v>
      </c>
      <c r="AX61" s="1">
        <f t="shared" si="4"/>
        <v>19</v>
      </c>
      <c r="AY61" s="1">
        <f t="shared" si="4"/>
        <v>7</v>
      </c>
    </row>
    <row r="62" spans="1:51">
      <c r="A62" s="1" t="str">
        <f t="shared" si="2"/>
        <v>1) DIGITAL SECURITY</v>
      </c>
      <c r="B62" s="1">
        <f t="shared" ref="B62:AG62" si="5">RANK(B3,$B3:$AY3,0)</f>
        <v>9</v>
      </c>
      <c r="C62" s="1">
        <f t="shared" si="5"/>
        <v>17</v>
      </c>
      <c r="D62" s="1">
        <f t="shared" si="5"/>
        <v>45</v>
      </c>
      <c r="E62" s="1">
        <f t="shared" si="5"/>
        <v>29</v>
      </c>
      <c r="F62" s="1">
        <f t="shared" si="5"/>
        <v>34</v>
      </c>
      <c r="G62" s="1">
        <f t="shared" si="5"/>
        <v>22</v>
      </c>
      <c r="H62" s="1">
        <f t="shared" si="5"/>
        <v>30</v>
      </c>
      <c r="I62" s="1">
        <f t="shared" si="5"/>
        <v>10</v>
      </c>
      <c r="J62" s="1">
        <f t="shared" si="5"/>
        <v>24</v>
      </c>
      <c r="K62" s="1">
        <f t="shared" si="5"/>
        <v>31</v>
      </c>
      <c r="L62" s="1">
        <f t="shared" si="5"/>
        <v>33</v>
      </c>
      <c r="M62" s="1">
        <f t="shared" si="5"/>
        <v>37</v>
      </c>
      <c r="N62" s="1">
        <f t="shared" si="5"/>
        <v>42</v>
      </c>
      <c r="O62" s="1">
        <f t="shared" si="5"/>
        <v>4</v>
      </c>
      <c r="P62" s="1">
        <f t="shared" si="5"/>
        <v>49</v>
      </c>
      <c r="Q62" s="1">
        <f t="shared" si="5"/>
        <v>48</v>
      </c>
      <c r="R62" s="1">
        <f t="shared" si="5"/>
        <v>44</v>
      </c>
      <c r="S62" s="1">
        <f t="shared" si="5"/>
        <v>23</v>
      </c>
      <c r="T62" s="1">
        <f t="shared" si="5"/>
        <v>38</v>
      </c>
      <c r="U62" s="1">
        <f t="shared" si="5"/>
        <v>16</v>
      </c>
      <c r="V62" s="1">
        <f t="shared" si="5"/>
        <v>6</v>
      </c>
      <c r="W62" s="1">
        <f t="shared" si="5"/>
        <v>28</v>
      </c>
      <c r="X62" s="1">
        <f t="shared" si="5"/>
        <v>20</v>
      </c>
      <c r="Y62" s="1">
        <f t="shared" si="5"/>
        <v>27</v>
      </c>
      <c r="Z62" s="1">
        <f t="shared" si="5"/>
        <v>26</v>
      </c>
      <c r="AA62" s="1">
        <f t="shared" si="5"/>
        <v>11</v>
      </c>
      <c r="AB62" s="1">
        <f t="shared" si="5"/>
        <v>46</v>
      </c>
      <c r="AC62" s="1">
        <f t="shared" si="5"/>
        <v>18</v>
      </c>
      <c r="AD62" s="1">
        <f t="shared" si="5"/>
        <v>3</v>
      </c>
      <c r="AE62" s="1">
        <f t="shared" si="5"/>
        <v>5</v>
      </c>
      <c r="AF62" s="1">
        <f t="shared" si="5"/>
        <v>32</v>
      </c>
      <c r="AG62" s="1">
        <f t="shared" si="5"/>
        <v>40</v>
      </c>
      <c r="AH62" s="1">
        <f t="shared" ref="AH62:AY62" si="6">RANK(AH3,$B3:$AY3,0)</f>
        <v>43</v>
      </c>
      <c r="AI62" s="1">
        <f t="shared" si="6"/>
        <v>35</v>
      </c>
      <c r="AJ62" s="1">
        <f t="shared" si="6"/>
        <v>8</v>
      </c>
      <c r="AK62" s="1">
        <f t="shared" si="6"/>
        <v>13</v>
      </c>
      <c r="AL62" s="1">
        <f t="shared" si="6"/>
        <v>39</v>
      </c>
      <c r="AM62" s="1">
        <f t="shared" si="6"/>
        <v>47</v>
      </c>
      <c r="AN62" s="1">
        <f t="shared" si="6"/>
        <v>36</v>
      </c>
      <c r="AO62" s="1">
        <f t="shared" si="6"/>
        <v>25</v>
      </c>
      <c r="AP62" s="1">
        <f t="shared" si="6"/>
        <v>2</v>
      </c>
      <c r="AQ62" s="1">
        <f t="shared" si="6"/>
        <v>7</v>
      </c>
      <c r="AR62" s="1">
        <f t="shared" si="6"/>
        <v>14</v>
      </c>
      <c r="AS62" s="1">
        <f t="shared" si="6"/>
        <v>21</v>
      </c>
      <c r="AT62" s="1">
        <f t="shared" si="6"/>
        <v>50</v>
      </c>
      <c r="AU62" s="1">
        <f t="shared" si="6"/>
        <v>41</v>
      </c>
      <c r="AV62" s="1">
        <f t="shared" si="6"/>
        <v>1</v>
      </c>
      <c r="AW62" s="1">
        <f t="shared" si="6"/>
        <v>11</v>
      </c>
      <c r="AX62" s="1">
        <f t="shared" si="6"/>
        <v>15</v>
      </c>
      <c r="AY62" s="1">
        <f t="shared" si="6"/>
        <v>19</v>
      </c>
    </row>
    <row r="63" spans="1:51">
      <c r="A63" s="1" t="str">
        <f t="shared" si="2"/>
        <v>1.1) Digital Security (Inputs)</v>
      </c>
      <c r="B63" s="1">
        <f t="shared" ref="B63:AG63" si="7">RANK(B4,$B4:$AY4,0)</f>
        <v>15</v>
      </c>
      <c r="C63" s="1">
        <f t="shared" si="7"/>
        <v>44</v>
      </c>
      <c r="D63" s="1">
        <f t="shared" si="7"/>
        <v>24</v>
      </c>
      <c r="E63" s="1">
        <f t="shared" si="7"/>
        <v>17</v>
      </c>
      <c r="F63" s="1">
        <f t="shared" si="7"/>
        <v>24</v>
      </c>
      <c r="G63" s="1">
        <f t="shared" si="7"/>
        <v>39</v>
      </c>
      <c r="H63" s="1">
        <f t="shared" si="7"/>
        <v>49</v>
      </c>
      <c r="I63" s="1">
        <f t="shared" si="7"/>
        <v>7</v>
      </c>
      <c r="J63" s="1">
        <f t="shared" si="7"/>
        <v>6</v>
      </c>
      <c r="K63" s="1">
        <f t="shared" si="7"/>
        <v>48</v>
      </c>
      <c r="L63" s="1">
        <f t="shared" si="7"/>
        <v>40</v>
      </c>
      <c r="M63" s="1">
        <f t="shared" si="7"/>
        <v>24</v>
      </c>
      <c r="N63" s="1">
        <f t="shared" si="7"/>
        <v>24</v>
      </c>
      <c r="O63" s="1">
        <f t="shared" si="7"/>
        <v>4</v>
      </c>
      <c r="P63" s="1">
        <f t="shared" si="7"/>
        <v>47</v>
      </c>
      <c r="Q63" s="1">
        <f t="shared" si="7"/>
        <v>41</v>
      </c>
      <c r="R63" s="1">
        <f t="shared" si="7"/>
        <v>45</v>
      </c>
      <c r="S63" s="1">
        <f t="shared" si="7"/>
        <v>34</v>
      </c>
      <c r="T63" s="1">
        <f t="shared" si="7"/>
        <v>21</v>
      </c>
      <c r="U63" s="1">
        <f t="shared" si="7"/>
        <v>17</v>
      </c>
      <c r="V63" s="1">
        <f t="shared" si="7"/>
        <v>7</v>
      </c>
      <c r="W63" s="1">
        <f t="shared" si="7"/>
        <v>17</v>
      </c>
      <c r="X63" s="1">
        <f t="shared" si="7"/>
        <v>17</v>
      </c>
      <c r="Y63" s="1">
        <f t="shared" si="7"/>
        <v>31</v>
      </c>
      <c r="Z63" s="1">
        <f t="shared" si="7"/>
        <v>33</v>
      </c>
      <c r="AA63" s="1">
        <f t="shared" si="7"/>
        <v>10</v>
      </c>
      <c r="AB63" s="1">
        <f t="shared" si="7"/>
        <v>34</v>
      </c>
      <c r="AC63" s="1">
        <f t="shared" si="7"/>
        <v>1</v>
      </c>
      <c r="AD63" s="1">
        <f t="shared" si="7"/>
        <v>2</v>
      </c>
      <c r="AE63" s="1">
        <f t="shared" si="7"/>
        <v>23</v>
      </c>
      <c r="AF63" s="1">
        <f t="shared" si="7"/>
        <v>43</v>
      </c>
      <c r="AG63" s="1">
        <f t="shared" si="7"/>
        <v>34</v>
      </c>
      <c r="AH63" s="1">
        <f t="shared" ref="AH63:AY63" si="8">RANK(AH4,$B4:$AY4,0)</f>
        <v>34</v>
      </c>
      <c r="AI63" s="1">
        <f t="shared" si="8"/>
        <v>46</v>
      </c>
      <c r="AJ63" s="1">
        <f t="shared" si="8"/>
        <v>7</v>
      </c>
      <c r="AK63" s="1">
        <f t="shared" si="8"/>
        <v>21</v>
      </c>
      <c r="AL63" s="1">
        <f t="shared" si="8"/>
        <v>34</v>
      </c>
      <c r="AM63" s="1">
        <f t="shared" si="8"/>
        <v>30</v>
      </c>
      <c r="AN63" s="1">
        <f t="shared" si="8"/>
        <v>24</v>
      </c>
      <c r="AO63" s="1">
        <f t="shared" si="8"/>
        <v>14</v>
      </c>
      <c r="AP63" s="1">
        <f t="shared" si="8"/>
        <v>2</v>
      </c>
      <c r="AQ63" s="1">
        <f t="shared" si="8"/>
        <v>13</v>
      </c>
      <c r="AR63" s="1">
        <f t="shared" si="8"/>
        <v>10</v>
      </c>
      <c r="AS63" s="1">
        <f t="shared" si="8"/>
        <v>42</v>
      </c>
      <c r="AT63" s="1">
        <f t="shared" si="8"/>
        <v>50</v>
      </c>
      <c r="AU63" s="1">
        <f t="shared" si="8"/>
        <v>24</v>
      </c>
      <c r="AV63" s="1">
        <f t="shared" si="8"/>
        <v>5</v>
      </c>
      <c r="AW63" s="1">
        <f t="shared" si="8"/>
        <v>10</v>
      </c>
      <c r="AX63" s="1">
        <f t="shared" si="8"/>
        <v>16</v>
      </c>
      <c r="AY63" s="1">
        <f t="shared" si="8"/>
        <v>32</v>
      </c>
    </row>
    <row r="64" spans="1:51">
      <c r="A64" s="1" t="str">
        <f t="shared" si="2"/>
        <v>1.1.1) Privacy policy</v>
      </c>
      <c r="B64" s="1">
        <f t="shared" ref="B64:AG64" si="9">RANK(B5,$B5:$AY5,0)</f>
        <v>42</v>
      </c>
      <c r="C64" s="1">
        <f t="shared" si="9"/>
        <v>48</v>
      </c>
      <c r="D64" s="1">
        <f t="shared" si="9"/>
        <v>1</v>
      </c>
      <c r="E64" s="1">
        <f t="shared" si="9"/>
        <v>30</v>
      </c>
      <c r="F64" s="1">
        <f t="shared" si="9"/>
        <v>1</v>
      </c>
      <c r="G64" s="1">
        <f t="shared" si="9"/>
        <v>48</v>
      </c>
      <c r="H64" s="1">
        <f t="shared" si="9"/>
        <v>48</v>
      </c>
      <c r="I64" s="1">
        <f t="shared" si="9"/>
        <v>10</v>
      </c>
      <c r="J64" s="1">
        <f t="shared" si="9"/>
        <v>10</v>
      </c>
      <c r="K64" s="1">
        <f t="shared" si="9"/>
        <v>30</v>
      </c>
      <c r="L64" s="1">
        <f t="shared" si="9"/>
        <v>42</v>
      </c>
      <c r="M64" s="1">
        <f t="shared" si="9"/>
        <v>1</v>
      </c>
      <c r="N64" s="1">
        <f t="shared" si="9"/>
        <v>1</v>
      </c>
      <c r="O64" s="1">
        <f t="shared" si="9"/>
        <v>30</v>
      </c>
      <c r="P64" s="1">
        <f t="shared" si="9"/>
        <v>10</v>
      </c>
      <c r="Q64" s="1">
        <f t="shared" si="9"/>
        <v>10</v>
      </c>
      <c r="R64" s="1">
        <f t="shared" si="9"/>
        <v>42</v>
      </c>
      <c r="S64" s="1">
        <f t="shared" si="9"/>
        <v>10</v>
      </c>
      <c r="T64" s="1">
        <f t="shared" si="9"/>
        <v>10</v>
      </c>
      <c r="U64" s="1">
        <f t="shared" si="9"/>
        <v>30</v>
      </c>
      <c r="V64" s="1">
        <f t="shared" si="9"/>
        <v>10</v>
      </c>
      <c r="W64" s="1">
        <f t="shared" si="9"/>
        <v>30</v>
      </c>
      <c r="X64" s="1">
        <f t="shared" si="9"/>
        <v>30</v>
      </c>
      <c r="Y64" s="1">
        <f t="shared" si="9"/>
        <v>30</v>
      </c>
      <c r="Z64" s="1">
        <f t="shared" si="9"/>
        <v>42</v>
      </c>
      <c r="AA64" s="1">
        <f t="shared" si="9"/>
        <v>30</v>
      </c>
      <c r="AB64" s="1">
        <f t="shared" si="9"/>
        <v>10</v>
      </c>
      <c r="AC64" s="1">
        <f t="shared" si="9"/>
        <v>10</v>
      </c>
      <c r="AD64" s="1">
        <f t="shared" si="9"/>
        <v>10</v>
      </c>
      <c r="AE64" s="1">
        <f t="shared" si="9"/>
        <v>10</v>
      </c>
      <c r="AF64" s="1">
        <f t="shared" si="9"/>
        <v>30</v>
      </c>
      <c r="AG64" s="1">
        <f t="shared" si="9"/>
        <v>10</v>
      </c>
      <c r="AH64" s="1">
        <f t="shared" ref="AH64:AY64" si="10">RANK(AH5,$B5:$AY5,0)</f>
        <v>10</v>
      </c>
      <c r="AI64" s="1">
        <f t="shared" si="10"/>
        <v>42</v>
      </c>
      <c r="AJ64" s="1">
        <f t="shared" si="10"/>
        <v>10</v>
      </c>
      <c r="AK64" s="1">
        <f t="shared" si="10"/>
        <v>10</v>
      </c>
      <c r="AL64" s="1">
        <f t="shared" si="10"/>
        <v>10</v>
      </c>
      <c r="AM64" s="1">
        <f t="shared" si="10"/>
        <v>42</v>
      </c>
      <c r="AN64" s="1">
        <f t="shared" si="10"/>
        <v>1</v>
      </c>
      <c r="AO64" s="1">
        <f t="shared" si="10"/>
        <v>1</v>
      </c>
      <c r="AP64" s="1">
        <f t="shared" si="10"/>
        <v>10</v>
      </c>
      <c r="AQ64" s="1">
        <f t="shared" si="10"/>
        <v>1</v>
      </c>
      <c r="AR64" s="1">
        <f t="shared" si="10"/>
        <v>30</v>
      </c>
      <c r="AS64" s="1">
        <f t="shared" si="10"/>
        <v>10</v>
      </c>
      <c r="AT64" s="1">
        <f t="shared" si="10"/>
        <v>1</v>
      </c>
      <c r="AU64" s="1">
        <f t="shared" si="10"/>
        <v>1</v>
      </c>
      <c r="AV64" s="1">
        <f t="shared" si="10"/>
        <v>10</v>
      </c>
      <c r="AW64" s="1">
        <f t="shared" si="10"/>
        <v>30</v>
      </c>
      <c r="AX64" s="1">
        <f t="shared" si="10"/>
        <v>10</v>
      </c>
      <c r="AY64" s="1">
        <f t="shared" si="10"/>
        <v>30</v>
      </c>
    </row>
    <row r="65" spans="1:51">
      <c r="A65" s="1" t="str">
        <f t="shared" si="2"/>
        <v>1.1.2) Citizen awareness of digital threats</v>
      </c>
      <c r="B65" s="1">
        <f t="shared" ref="B65:AG65" si="11">RANK(B6,$B6:$AY6,0)</f>
        <v>3</v>
      </c>
      <c r="C65" s="1">
        <f t="shared" si="11"/>
        <v>26</v>
      </c>
      <c r="D65" s="1">
        <f t="shared" si="11"/>
        <v>26</v>
      </c>
      <c r="E65" s="1">
        <f t="shared" si="11"/>
        <v>3</v>
      </c>
      <c r="F65" s="1">
        <f t="shared" si="11"/>
        <v>26</v>
      </c>
      <c r="G65" s="1">
        <f t="shared" si="11"/>
        <v>3</v>
      </c>
      <c r="H65" s="1">
        <f t="shared" si="11"/>
        <v>3</v>
      </c>
      <c r="I65" s="1">
        <f t="shared" si="11"/>
        <v>3</v>
      </c>
      <c r="J65" s="1">
        <f t="shared" si="11"/>
        <v>1</v>
      </c>
      <c r="K65" s="1">
        <f t="shared" si="11"/>
        <v>26</v>
      </c>
      <c r="L65" s="1">
        <f t="shared" si="11"/>
        <v>26</v>
      </c>
      <c r="M65" s="1">
        <f t="shared" si="11"/>
        <v>26</v>
      </c>
      <c r="N65" s="1">
        <f t="shared" si="11"/>
        <v>26</v>
      </c>
      <c r="O65" s="1">
        <f t="shared" si="11"/>
        <v>3</v>
      </c>
      <c r="P65" s="1">
        <f t="shared" si="11"/>
        <v>26</v>
      </c>
      <c r="Q65" s="1">
        <f t="shared" si="11"/>
        <v>3</v>
      </c>
      <c r="R65" s="1">
        <f t="shared" si="11"/>
        <v>26</v>
      </c>
      <c r="S65" s="1">
        <f t="shared" si="11"/>
        <v>26</v>
      </c>
      <c r="T65" s="1">
        <f t="shared" si="11"/>
        <v>3</v>
      </c>
      <c r="U65" s="1">
        <f t="shared" si="11"/>
        <v>3</v>
      </c>
      <c r="V65" s="1">
        <f t="shared" si="11"/>
        <v>3</v>
      </c>
      <c r="W65" s="1">
        <f t="shared" si="11"/>
        <v>3</v>
      </c>
      <c r="X65" s="1">
        <f t="shared" si="11"/>
        <v>3</v>
      </c>
      <c r="Y65" s="1">
        <f t="shared" si="11"/>
        <v>3</v>
      </c>
      <c r="Z65" s="1">
        <f t="shared" si="11"/>
        <v>47</v>
      </c>
      <c r="AA65" s="1">
        <f t="shared" si="11"/>
        <v>3</v>
      </c>
      <c r="AB65" s="1">
        <f t="shared" si="11"/>
        <v>26</v>
      </c>
      <c r="AC65" s="1">
        <f t="shared" si="11"/>
        <v>1</v>
      </c>
      <c r="AD65" s="1">
        <f t="shared" si="11"/>
        <v>3</v>
      </c>
      <c r="AE65" s="1">
        <f t="shared" si="11"/>
        <v>26</v>
      </c>
      <c r="AF65" s="1">
        <f t="shared" si="11"/>
        <v>47</v>
      </c>
      <c r="AG65" s="1">
        <f t="shared" si="11"/>
        <v>26</v>
      </c>
      <c r="AH65" s="1">
        <f t="shared" ref="AH65:AY65" si="12">RANK(AH6,$B6:$AY6,0)</f>
        <v>26</v>
      </c>
      <c r="AI65" s="1">
        <f t="shared" si="12"/>
        <v>47</v>
      </c>
      <c r="AJ65" s="1">
        <f t="shared" si="12"/>
        <v>3</v>
      </c>
      <c r="AK65" s="1">
        <f t="shared" si="12"/>
        <v>3</v>
      </c>
      <c r="AL65" s="1">
        <f t="shared" si="12"/>
        <v>26</v>
      </c>
      <c r="AM65" s="1">
        <f t="shared" si="12"/>
        <v>3</v>
      </c>
      <c r="AN65" s="1">
        <f t="shared" si="12"/>
        <v>26</v>
      </c>
      <c r="AO65" s="1">
        <f t="shared" si="12"/>
        <v>26</v>
      </c>
      <c r="AP65" s="1">
        <f t="shared" si="12"/>
        <v>3</v>
      </c>
      <c r="AQ65" s="1">
        <f t="shared" si="12"/>
        <v>3</v>
      </c>
      <c r="AR65" s="1">
        <f t="shared" si="12"/>
        <v>3</v>
      </c>
      <c r="AS65" s="1">
        <f t="shared" si="12"/>
        <v>26</v>
      </c>
      <c r="AT65" s="1">
        <f t="shared" si="12"/>
        <v>47</v>
      </c>
      <c r="AU65" s="1">
        <f t="shared" si="12"/>
        <v>26</v>
      </c>
      <c r="AV65" s="1">
        <f t="shared" si="12"/>
        <v>26</v>
      </c>
      <c r="AW65" s="1">
        <f t="shared" si="12"/>
        <v>3</v>
      </c>
      <c r="AX65" s="1">
        <f t="shared" si="12"/>
        <v>3</v>
      </c>
      <c r="AY65" s="1">
        <f t="shared" si="12"/>
        <v>26</v>
      </c>
    </row>
    <row r="66" spans="1:51">
      <c r="A66" s="1" t="str">
        <f t="shared" si="2"/>
        <v>1.1.3) Public-private partnerships</v>
      </c>
      <c r="B66" s="1">
        <f t="shared" ref="B66:AG66" si="13">RANK(B7,$B7:$AY7,0)</f>
        <v>8</v>
      </c>
      <c r="C66" s="1">
        <f t="shared" si="13"/>
        <v>8</v>
      </c>
      <c r="D66" s="1">
        <f t="shared" si="13"/>
        <v>8</v>
      </c>
      <c r="E66" s="1">
        <f t="shared" si="13"/>
        <v>44</v>
      </c>
      <c r="F66" s="1">
        <f t="shared" si="13"/>
        <v>8</v>
      </c>
      <c r="G66" s="1">
        <f t="shared" si="13"/>
        <v>8</v>
      </c>
      <c r="H66" s="1">
        <f t="shared" si="13"/>
        <v>44</v>
      </c>
      <c r="I66" s="1">
        <f t="shared" si="13"/>
        <v>8</v>
      </c>
      <c r="J66" s="1">
        <f t="shared" si="13"/>
        <v>1</v>
      </c>
      <c r="K66" s="1">
        <f t="shared" si="13"/>
        <v>44</v>
      </c>
      <c r="L66" s="1">
        <f t="shared" si="13"/>
        <v>8</v>
      </c>
      <c r="M66" s="1">
        <f t="shared" si="13"/>
        <v>8</v>
      </c>
      <c r="N66" s="1">
        <f t="shared" si="13"/>
        <v>8</v>
      </c>
      <c r="O66" s="1">
        <f t="shared" si="13"/>
        <v>1</v>
      </c>
      <c r="P66" s="1">
        <f t="shared" si="13"/>
        <v>44</v>
      </c>
      <c r="Q66" s="1">
        <f t="shared" si="13"/>
        <v>44</v>
      </c>
      <c r="R66" s="1">
        <f t="shared" si="13"/>
        <v>8</v>
      </c>
      <c r="S66" s="1">
        <f t="shared" si="13"/>
        <v>8</v>
      </c>
      <c r="T66" s="1">
        <f t="shared" si="13"/>
        <v>8</v>
      </c>
      <c r="U66" s="1">
        <f t="shared" si="13"/>
        <v>8</v>
      </c>
      <c r="V66" s="1">
        <f t="shared" si="13"/>
        <v>8</v>
      </c>
      <c r="W66" s="1">
        <f t="shared" si="13"/>
        <v>8</v>
      </c>
      <c r="X66" s="1">
        <f t="shared" si="13"/>
        <v>8</v>
      </c>
      <c r="Y66" s="1">
        <f t="shared" si="13"/>
        <v>8</v>
      </c>
      <c r="Z66" s="1">
        <f t="shared" si="13"/>
        <v>8</v>
      </c>
      <c r="AA66" s="1">
        <f t="shared" si="13"/>
        <v>1</v>
      </c>
      <c r="AB66" s="1">
        <f t="shared" si="13"/>
        <v>8</v>
      </c>
      <c r="AC66" s="1">
        <f t="shared" si="13"/>
        <v>1</v>
      </c>
      <c r="AD66" s="1">
        <f t="shared" si="13"/>
        <v>1</v>
      </c>
      <c r="AE66" s="1">
        <f t="shared" si="13"/>
        <v>8</v>
      </c>
      <c r="AF66" s="1">
        <f t="shared" si="13"/>
        <v>8</v>
      </c>
      <c r="AG66" s="1">
        <f t="shared" si="13"/>
        <v>8</v>
      </c>
      <c r="AH66" s="1">
        <f t="shared" ref="AH66:AY66" si="14">RANK(AH7,$B7:$AY7,0)</f>
        <v>8</v>
      </c>
      <c r="AI66" s="1">
        <f t="shared" si="14"/>
        <v>8</v>
      </c>
      <c r="AJ66" s="1">
        <f t="shared" si="14"/>
        <v>8</v>
      </c>
      <c r="AK66" s="1">
        <f t="shared" si="14"/>
        <v>8</v>
      </c>
      <c r="AL66" s="1">
        <f t="shared" si="14"/>
        <v>8</v>
      </c>
      <c r="AM66" s="1">
        <f t="shared" si="14"/>
        <v>8</v>
      </c>
      <c r="AN66" s="1">
        <f t="shared" si="14"/>
        <v>8</v>
      </c>
      <c r="AO66" s="1">
        <f t="shared" si="14"/>
        <v>8</v>
      </c>
      <c r="AP66" s="1">
        <f t="shared" si="14"/>
        <v>1</v>
      </c>
      <c r="AQ66" s="1">
        <f t="shared" si="14"/>
        <v>8</v>
      </c>
      <c r="AR66" s="1">
        <f t="shared" si="14"/>
        <v>8</v>
      </c>
      <c r="AS66" s="1">
        <f t="shared" si="14"/>
        <v>44</v>
      </c>
      <c r="AT66" s="1">
        <f t="shared" si="14"/>
        <v>44</v>
      </c>
      <c r="AU66" s="1">
        <f t="shared" si="14"/>
        <v>8</v>
      </c>
      <c r="AV66" s="1">
        <f t="shared" si="14"/>
        <v>1</v>
      </c>
      <c r="AW66" s="1">
        <f t="shared" si="14"/>
        <v>8</v>
      </c>
      <c r="AX66" s="1">
        <f t="shared" si="14"/>
        <v>8</v>
      </c>
      <c r="AY66" s="1">
        <f t="shared" si="14"/>
        <v>8</v>
      </c>
    </row>
    <row r="67" spans="1:51">
      <c r="A67" s="1" t="str">
        <f t="shared" si="2"/>
        <v>1.1.4) Level of technology employed</v>
      </c>
      <c r="B67" s="1">
        <f t="shared" ref="B67:AG67" si="15">RANK(B8,$B8:$AY8,0)</f>
        <v>1</v>
      </c>
      <c r="C67" s="1">
        <f t="shared" si="15"/>
        <v>1</v>
      </c>
      <c r="D67" s="1">
        <f t="shared" si="15"/>
        <v>28</v>
      </c>
      <c r="E67" s="1">
        <f t="shared" si="15"/>
        <v>1</v>
      </c>
      <c r="F67" s="1">
        <f t="shared" si="15"/>
        <v>28</v>
      </c>
      <c r="G67" s="1">
        <f t="shared" si="15"/>
        <v>1</v>
      </c>
      <c r="H67" s="1">
        <f t="shared" si="15"/>
        <v>28</v>
      </c>
      <c r="I67" s="1">
        <f t="shared" si="15"/>
        <v>1</v>
      </c>
      <c r="J67" s="1">
        <f t="shared" si="15"/>
        <v>28</v>
      </c>
      <c r="K67" s="1">
        <f t="shared" si="15"/>
        <v>28</v>
      </c>
      <c r="L67" s="1">
        <f t="shared" si="15"/>
        <v>1</v>
      </c>
      <c r="M67" s="1">
        <f t="shared" si="15"/>
        <v>28</v>
      </c>
      <c r="N67" s="1">
        <f t="shared" si="15"/>
        <v>28</v>
      </c>
      <c r="O67" s="1">
        <f t="shared" si="15"/>
        <v>1</v>
      </c>
      <c r="P67" s="1">
        <f t="shared" si="15"/>
        <v>28</v>
      </c>
      <c r="Q67" s="1">
        <f t="shared" si="15"/>
        <v>28</v>
      </c>
      <c r="R67" s="1">
        <f t="shared" si="15"/>
        <v>28</v>
      </c>
      <c r="S67" s="1">
        <f t="shared" si="15"/>
        <v>28</v>
      </c>
      <c r="T67" s="1">
        <f t="shared" si="15"/>
        <v>28</v>
      </c>
      <c r="U67" s="1">
        <f t="shared" si="15"/>
        <v>1</v>
      </c>
      <c r="V67" s="1">
        <f t="shared" si="15"/>
        <v>1</v>
      </c>
      <c r="W67" s="1">
        <f t="shared" si="15"/>
        <v>1</v>
      </c>
      <c r="X67" s="1">
        <f t="shared" si="15"/>
        <v>1</v>
      </c>
      <c r="Y67" s="1">
        <f t="shared" si="15"/>
        <v>28</v>
      </c>
      <c r="Z67" s="1">
        <f t="shared" si="15"/>
        <v>1</v>
      </c>
      <c r="AA67" s="1">
        <f t="shared" si="15"/>
        <v>1</v>
      </c>
      <c r="AB67" s="1">
        <f t="shared" si="15"/>
        <v>28</v>
      </c>
      <c r="AC67" s="1">
        <f t="shared" si="15"/>
        <v>28</v>
      </c>
      <c r="AD67" s="1">
        <f t="shared" si="15"/>
        <v>1</v>
      </c>
      <c r="AE67" s="1">
        <f t="shared" si="15"/>
        <v>1</v>
      </c>
      <c r="AF67" s="1">
        <f t="shared" si="15"/>
        <v>1</v>
      </c>
      <c r="AG67" s="1">
        <f t="shared" si="15"/>
        <v>28</v>
      </c>
      <c r="AH67" s="1">
        <f t="shared" ref="AH67:AY67" si="16">RANK(AH8,$B8:$AY8,0)</f>
        <v>28</v>
      </c>
      <c r="AI67" s="1">
        <f t="shared" si="16"/>
        <v>1</v>
      </c>
      <c r="AJ67" s="1">
        <f t="shared" si="16"/>
        <v>1</v>
      </c>
      <c r="AK67" s="1">
        <f t="shared" si="16"/>
        <v>28</v>
      </c>
      <c r="AL67" s="1">
        <f t="shared" si="16"/>
        <v>28</v>
      </c>
      <c r="AM67" s="1">
        <f t="shared" si="16"/>
        <v>1</v>
      </c>
      <c r="AN67" s="1">
        <f t="shared" si="16"/>
        <v>28</v>
      </c>
      <c r="AO67" s="1">
        <f t="shared" si="16"/>
        <v>28</v>
      </c>
      <c r="AP67" s="1">
        <f t="shared" si="16"/>
        <v>1</v>
      </c>
      <c r="AQ67" s="1">
        <f t="shared" si="16"/>
        <v>1</v>
      </c>
      <c r="AR67" s="1">
        <f t="shared" si="16"/>
        <v>1</v>
      </c>
      <c r="AS67" s="1">
        <f t="shared" si="16"/>
        <v>1</v>
      </c>
      <c r="AT67" s="1">
        <f t="shared" si="16"/>
        <v>50</v>
      </c>
      <c r="AU67" s="1">
        <f t="shared" si="16"/>
        <v>28</v>
      </c>
      <c r="AV67" s="1">
        <f t="shared" si="16"/>
        <v>1</v>
      </c>
      <c r="AW67" s="1">
        <f t="shared" si="16"/>
        <v>1</v>
      </c>
      <c r="AX67" s="1">
        <f t="shared" si="16"/>
        <v>1</v>
      </c>
      <c r="AY67" s="1">
        <f t="shared" si="16"/>
        <v>1</v>
      </c>
    </row>
    <row r="68" spans="1:51">
      <c r="A68" s="1" t="str">
        <f t="shared" si="2"/>
        <v>1.1.5) Dedicated cyber security teams</v>
      </c>
      <c r="B68" s="1">
        <f t="shared" ref="B68:AG68" si="17">RANK(B9,$B9:$AY9,0)</f>
        <v>1</v>
      </c>
      <c r="C68" s="1">
        <f t="shared" si="17"/>
        <v>15</v>
      </c>
      <c r="D68" s="1">
        <f t="shared" si="17"/>
        <v>15</v>
      </c>
      <c r="E68" s="1">
        <f t="shared" si="17"/>
        <v>1</v>
      </c>
      <c r="F68" s="1">
        <f t="shared" si="17"/>
        <v>15</v>
      </c>
      <c r="G68" s="1">
        <f t="shared" si="17"/>
        <v>15</v>
      </c>
      <c r="H68" s="1">
        <f t="shared" si="17"/>
        <v>15</v>
      </c>
      <c r="I68" s="1">
        <f t="shared" si="17"/>
        <v>1</v>
      </c>
      <c r="J68" s="1">
        <f t="shared" si="17"/>
        <v>15</v>
      </c>
      <c r="K68" s="1">
        <f t="shared" si="17"/>
        <v>15</v>
      </c>
      <c r="L68" s="1">
        <f t="shared" si="17"/>
        <v>15</v>
      </c>
      <c r="M68" s="1">
        <f t="shared" si="17"/>
        <v>15</v>
      </c>
      <c r="N68" s="1">
        <f t="shared" si="17"/>
        <v>15</v>
      </c>
      <c r="O68" s="1">
        <f t="shared" si="17"/>
        <v>1</v>
      </c>
      <c r="P68" s="1">
        <f t="shared" si="17"/>
        <v>15</v>
      </c>
      <c r="Q68" s="1">
        <f t="shared" si="17"/>
        <v>15</v>
      </c>
      <c r="R68" s="1">
        <f t="shared" si="17"/>
        <v>15</v>
      </c>
      <c r="S68" s="1">
        <f t="shared" si="17"/>
        <v>15</v>
      </c>
      <c r="T68" s="1">
        <f t="shared" si="17"/>
        <v>15</v>
      </c>
      <c r="U68" s="1">
        <f t="shared" si="17"/>
        <v>15</v>
      </c>
      <c r="V68" s="1">
        <f t="shared" si="17"/>
        <v>1</v>
      </c>
      <c r="W68" s="1">
        <f t="shared" si="17"/>
        <v>15</v>
      </c>
      <c r="X68" s="1">
        <f t="shared" si="17"/>
        <v>15</v>
      </c>
      <c r="Y68" s="1">
        <f t="shared" si="17"/>
        <v>15</v>
      </c>
      <c r="Z68" s="1">
        <f t="shared" si="17"/>
        <v>1</v>
      </c>
      <c r="AA68" s="1">
        <f t="shared" si="17"/>
        <v>15</v>
      </c>
      <c r="AB68" s="1">
        <f t="shared" si="17"/>
        <v>15</v>
      </c>
      <c r="AC68" s="1">
        <f t="shared" si="17"/>
        <v>1</v>
      </c>
      <c r="AD68" s="1">
        <f t="shared" si="17"/>
        <v>1</v>
      </c>
      <c r="AE68" s="1">
        <f t="shared" si="17"/>
        <v>15</v>
      </c>
      <c r="AF68" s="1">
        <f t="shared" si="17"/>
        <v>15</v>
      </c>
      <c r="AG68" s="1">
        <f t="shared" si="17"/>
        <v>15</v>
      </c>
      <c r="AH68" s="1">
        <f t="shared" ref="AH68:AY68" si="18">RANK(AH9,$B9:$AY9,0)</f>
        <v>15</v>
      </c>
      <c r="AI68" s="1">
        <f t="shared" si="18"/>
        <v>15</v>
      </c>
      <c r="AJ68" s="1">
        <f t="shared" si="18"/>
        <v>1</v>
      </c>
      <c r="AK68" s="1">
        <f t="shared" si="18"/>
        <v>15</v>
      </c>
      <c r="AL68" s="1">
        <f t="shared" si="18"/>
        <v>15</v>
      </c>
      <c r="AM68" s="1">
        <f t="shared" si="18"/>
        <v>15</v>
      </c>
      <c r="AN68" s="1">
        <f t="shared" si="18"/>
        <v>15</v>
      </c>
      <c r="AO68" s="1">
        <f t="shared" si="18"/>
        <v>1</v>
      </c>
      <c r="AP68" s="1">
        <f t="shared" si="18"/>
        <v>1</v>
      </c>
      <c r="AQ68" s="1">
        <f t="shared" si="18"/>
        <v>15</v>
      </c>
      <c r="AR68" s="1">
        <f t="shared" si="18"/>
        <v>1</v>
      </c>
      <c r="AS68" s="1">
        <f t="shared" si="18"/>
        <v>15</v>
      </c>
      <c r="AT68" s="1">
        <f t="shared" si="18"/>
        <v>15</v>
      </c>
      <c r="AU68" s="1">
        <f t="shared" si="18"/>
        <v>15</v>
      </c>
      <c r="AV68" s="1">
        <f t="shared" si="18"/>
        <v>1</v>
      </c>
      <c r="AW68" s="1">
        <f t="shared" si="18"/>
        <v>1</v>
      </c>
      <c r="AX68" s="1">
        <f t="shared" si="18"/>
        <v>15</v>
      </c>
      <c r="AY68" s="1">
        <f t="shared" si="18"/>
        <v>15</v>
      </c>
    </row>
    <row r="69" spans="1:51">
      <c r="A69" s="1" t="str">
        <f t="shared" si="2"/>
        <v>1.2) Digital Security (Outputs)</v>
      </c>
      <c r="B69" s="1">
        <f t="shared" ref="B69:AG69" si="19">RANK(B10,$B10:$AY10,0)</f>
        <v>9</v>
      </c>
      <c r="C69" s="1">
        <f t="shared" si="19"/>
        <v>3</v>
      </c>
      <c r="D69" s="1">
        <f t="shared" si="19"/>
        <v>48</v>
      </c>
      <c r="E69" s="1">
        <f t="shared" si="19"/>
        <v>32</v>
      </c>
      <c r="F69" s="1">
        <f t="shared" si="19"/>
        <v>36</v>
      </c>
      <c r="G69" s="1">
        <f t="shared" si="19"/>
        <v>14</v>
      </c>
      <c r="H69" s="1">
        <f t="shared" si="19"/>
        <v>6</v>
      </c>
      <c r="I69" s="1">
        <f t="shared" si="19"/>
        <v>23</v>
      </c>
      <c r="J69" s="1">
        <f t="shared" si="19"/>
        <v>44</v>
      </c>
      <c r="K69" s="1">
        <f t="shared" si="19"/>
        <v>11</v>
      </c>
      <c r="L69" s="1">
        <f t="shared" si="19"/>
        <v>29</v>
      </c>
      <c r="M69" s="1">
        <f t="shared" si="19"/>
        <v>40</v>
      </c>
      <c r="N69" s="1">
        <f t="shared" si="19"/>
        <v>47</v>
      </c>
      <c r="O69" s="1">
        <f t="shared" si="19"/>
        <v>13</v>
      </c>
      <c r="P69" s="1">
        <f t="shared" si="19"/>
        <v>42</v>
      </c>
      <c r="Q69" s="1">
        <f t="shared" si="19"/>
        <v>49</v>
      </c>
      <c r="R69" s="1">
        <f t="shared" si="19"/>
        <v>31</v>
      </c>
      <c r="S69" s="1">
        <f t="shared" si="19"/>
        <v>15</v>
      </c>
      <c r="T69" s="1">
        <f t="shared" si="19"/>
        <v>43</v>
      </c>
      <c r="U69" s="1">
        <f t="shared" si="19"/>
        <v>12</v>
      </c>
      <c r="V69" s="1">
        <f t="shared" si="19"/>
        <v>16</v>
      </c>
      <c r="W69" s="1">
        <f t="shared" si="19"/>
        <v>30</v>
      </c>
      <c r="X69" s="1">
        <f t="shared" si="19"/>
        <v>25</v>
      </c>
      <c r="Y69" s="1">
        <f t="shared" si="19"/>
        <v>28</v>
      </c>
      <c r="Z69" s="1">
        <f t="shared" si="19"/>
        <v>22</v>
      </c>
      <c r="AA69" s="1">
        <f t="shared" si="19"/>
        <v>19</v>
      </c>
      <c r="AB69" s="1">
        <f t="shared" si="19"/>
        <v>45</v>
      </c>
      <c r="AC69" s="1">
        <f t="shared" si="19"/>
        <v>46</v>
      </c>
      <c r="AD69" s="1">
        <f t="shared" si="19"/>
        <v>18</v>
      </c>
      <c r="AE69" s="1">
        <f t="shared" si="19"/>
        <v>2</v>
      </c>
      <c r="AF69" s="1">
        <f t="shared" si="19"/>
        <v>27</v>
      </c>
      <c r="AG69" s="1">
        <f t="shared" si="19"/>
        <v>37</v>
      </c>
      <c r="AH69" s="1">
        <f t="shared" ref="AH69:AY69" si="20">RANK(AH10,$B10:$AY10,0)</f>
        <v>39</v>
      </c>
      <c r="AI69" s="1">
        <f t="shared" si="20"/>
        <v>26</v>
      </c>
      <c r="AJ69" s="1">
        <f t="shared" si="20"/>
        <v>21</v>
      </c>
      <c r="AK69" s="1">
        <f t="shared" si="20"/>
        <v>7</v>
      </c>
      <c r="AL69" s="1">
        <f t="shared" si="20"/>
        <v>35</v>
      </c>
      <c r="AM69" s="1">
        <f t="shared" si="20"/>
        <v>50</v>
      </c>
      <c r="AN69" s="1">
        <f t="shared" si="20"/>
        <v>38</v>
      </c>
      <c r="AO69" s="1">
        <f t="shared" si="20"/>
        <v>33</v>
      </c>
      <c r="AP69" s="1">
        <f t="shared" si="20"/>
        <v>4</v>
      </c>
      <c r="AQ69" s="1">
        <f t="shared" si="20"/>
        <v>8</v>
      </c>
      <c r="AR69" s="1">
        <f t="shared" si="20"/>
        <v>24</v>
      </c>
      <c r="AS69" s="1">
        <f t="shared" si="20"/>
        <v>5</v>
      </c>
      <c r="AT69" s="1">
        <f t="shared" si="20"/>
        <v>34</v>
      </c>
      <c r="AU69" s="1">
        <f t="shared" si="20"/>
        <v>41</v>
      </c>
      <c r="AV69" s="1">
        <f t="shared" si="20"/>
        <v>1</v>
      </c>
      <c r="AW69" s="1">
        <f t="shared" si="20"/>
        <v>19</v>
      </c>
      <c r="AX69" s="1">
        <f t="shared" si="20"/>
        <v>16</v>
      </c>
      <c r="AY69" s="1">
        <f t="shared" si="20"/>
        <v>10</v>
      </c>
    </row>
    <row r="70" spans="1:51">
      <c r="A70" s="1" t="str">
        <f t="shared" si="2"/>
        <v>1.2.1) Frequency of identity theft</v>
      </c>
      <c r="B70" s="1">
        <f t="shared" ref="B70:AG70" si="21">RANK(B11,$B11:$AY11,0)</f>
        <v>6</v>
      </c>
      <c r="C70" s="1">
        <f t="shared" si="21"/>
        <v>5</v>
      </c>
      <c r="D70" s="1">
        <f t="shared" si="21"/>
        <v>6</v>
      </c>
      <c r="E70" s="1">
        <f t="shared" si="21"/>
        <v>34</v>
      </c>
      <c r="F70" s="1">
        <f t="shared" si="21"/>
        <v>45</v>
      </c>
      <c r="G70" s="1">
        <f t="shared" si="21"/>
        <v>19</v>
      </c>
      <c r="H70" s="1">
        <f t="shared" si="21"/>
        <v>6</v>
      </c>
      <c r="I70" s="1">
        <f t="shared" si="21"/>
        <v>22</v>
      </c>
      <c r="J70" s="1">
        <f t="shared" si="21"/>
        <v>42</v>
      </c>
      <c r="K70" s="1">
        <f t="shared" si="21"/>
        <v>6</v>
      </c>
      <c r="L70" s="1">
        <f t="shared" si="21"/>
        <v>29</v>
      </c>
      <c r="M70" s="1">
        <f t="shared" si="21"/>
        <v>45</v>
      </c>
      <c r="N70" s="1">
        <f t="shared" si="21"/>
        <v>6</v>
      </c>
      <c r="O70" s="1">
        <f t="shared" si="21"/>
        <v>6</v>
      </c>
      <c r="P70" s="1">
        <f t="shared" si="21"/>
        <v>29</v>
      </c>
      <c r="Q70" s="1">
        <f t="shared" si="21"/>
        <v>41</v>
      </c>
      <c r="R70" s="1">
        <f t="shared" si="21"/>
        <v>42</v>
      </c>
      <c r="S70" s="1">
        <f t="shared" si="21"/>
        <v>6</v>
      </c>
      <c r="T70" s="1">
        <f t="shared" si="21"/>
        <v>4</v>
      </c>
      <c r="U70" s="1">
        <f t="shared" si="21"/>
        <v>21</v>
      </c>
      <c r="V70" s="1">
        <f t="shared" si="21"/>
        <v>22</v>
      </c>
      <c r="W70" s="1">
        <f t="shared" si="21"/>
        <v>34</v>
      </c>
      <c r="X70" s="1">
        <f t="shared" si="21"/>
        <v>29</v>
      </c>
      <c r="Y70" s="1">
        <f t="shared" si="21"/>
        <v>34</v>
      </c>
      <c r="Z70" s="1">
        <f t="shared" si="21"/>
        <v>1</v>
      </c>
      <c r="AA70" s="1">
        <f t="shared" si="21"/>
        <v>22</v>
      </c>
      <c r="AB70" s="1">
        <f t="shared" si="21"/>
        <v>37</v>
      </c>
      <c r="AC70" s="1">
        <f t="shared" si="21"/>
        <v>42</v>
      </c>
      <c r="AD70" s="1">
        <f t="shared" si="21"/>
        <v>22</v>
      </c>
      <c r="AE70" s="1">
        <f t="shared" si="21"/>
        <v>15</v>
      </c>
      <c r="AF70" s="1">
        <f t="shared" si="21"/>
        <v>15</v>
      </c>
      <c r="AG70" s="1">
        <f t="shared" si="21"/>
        <v>37</v>
      </c>
      <c r="AH70" s="1">
        <f t="shared" ref="AH70:AY70" si="22">RANK(AH11,$B11:$AY11,0)</f>
        <v>29</v>
      </c>
      <c r="AI70" s="1">
        <f t="shared" si="22"/>
        <v>1</v>
      </c>
      <c r="AJ70" s="1">
        <f t="shared" si="22"/>
        <v>22</v>
      </c>
      <c r="AK70" s="1">
        <f t="shared" si="22"/>
        <v>6</v>
      </c>
      <c r="AL70" s="1">
        <f t="shared" si="22"/>
        <v>37</v>
      </c>
      <c r="AM70" s="1">
        <f t="shared" si="22"/>
        <v>50</v>
      </c>
      <c r="AN70" s="1">
        <f t="shared" si="22"/>
        <v>45</v>
      </c>
      <c r="AO70" s="1">
        <f t="shared" si="22"/>
        <v>45</v>
      </c>
      <c r="AP70" s="1">
        <f t="shared" si="22"/>
        <v>37</v>
      </c>
      <c r="AQ70" s="1">
        <f t="shared" si="22"/>
        <v>20</v>
      </c>
      <c r="AR70" s="1">
        <f t="shared" si="22"/>
        <v>29</v>
      </c>
      <c r="AS70" s="1">
        <f t="shared" si="22"/>
        <v>6</v>
      </c>
      <c r="AT70" s="1">
        <f t="shared" si="22"/>
        <v>1</v>
      </c>
      <c r="AU70" s="1">
        <f t="shared" si="22"/>
        <v>45</v>
      </c>
      <c r="AV70" s="1">
        <f t="shared" si="22"/>
        <v>15</v>
      </c>
      <c r="AW70" s="1">
        <f t="shared" si="22"/>
        <v>22</v>
      </c>
      <c r="AX70" s="1">
        <f t="shared" si="22"/>
        <v>22</v>
      </c>
      <c r="AY70" s="1">
        <f t="shared" si="22"/>
        <v>15</v>
      </c>
    </row>
    <row r="71" spans="1:51">
      <c r="A71" s="1" t="str">
        <f t="shared" si="2"/>
        <v>1.2.2) Percentage of computers infected</v>
      </c>
      <c r="B71" s="1">
        <f t="shared" ref="B71:AG71" si="23">RANK(B12,$B12:$AY12,0)</f>
        <v>10</v>
      </c>
      <c r="C71" s="1">
        <f t="shared" si="23"/>
        <v>4</v>
      </c>
      <c r="D71" s="1">
        <f t="shared" si="23"/>
        <v>42</v>
      </c>
      <c r="E71" s="1">
        <f t="shared" si="23"/>
        <v>42</v>
      </c>
      <c r="F71" s="1">
        <f t="shared" si="23"/>
        <v>10</v>
      </c>
      <c r="G71" s="1">
        <f t="shared" si="23"/>
        <v>10</v>
      </c>
      <c r="H71" s="1">
        <f t="shared" si="23"/>
        <v>4</v>
      </c>
      <c r="I71" s="1">
        <f t="shared" si="23"/>
        <v>10</v>
      </c>
      <c r="J71" s="1">
        <f t="shared" si="23"/>
        <v>10</v>
      </c>
      <c r="K71" s="1">
        <f t="shared" si="23"/>
        <v>10</v>
      </c>
      <c r="L71" s="1">
        <f t="shared" si="23"/>
        <v>42</v>
      </c>
      <c r="M71" s="1">
        <f t="shared" si="23"/>
        <v>10</v>
      </c>
      <c r="N71" s="1">
        <f t="shared" si="23"/>
        <v>49</v>
      </c>
      <c r="O71" s="1">
        <f t="shared" si="23"/>
        <v>10</v>
      </c>
      <c r="P71" s="1">
        <f t="shared" si="23"/>
        <v>42</v>
      </c>
      <c r="Q71" s="1">
        <f t="shared" si="23"/>
        <v>10</v>
      </c>
      <c r="R71" s="1">
        <f t="shared" si="23"/>
        <v>4</v>
      </c>
      <c r="S71" s="1">
        <f t="shared" si="23"/>
        <v>10</v>
      </c>
      <c r="T71" s="1">
        <f t="shared" si="23"/>
        <v>10</v>
      </c>
      <c r="U71" s="1">
        <f t="shared" si="23"/>
        <v>10</v>
      </c>
      <c r="V71" s="1">
        <f t="shared" si="23"/>
        <v>10</v>
      </c>
      <c r="W71" s="1">
        <f t="shared" si="23"/>
        <v>42</v>
      </c>
      <c r="X71" s="1">
        <f t="shared" si="23"/>
        <v>10</v>
      </c>
      <c r="Y71" s="1">
        <f t="shared" si="23"/>
        <v>4</v>
      </c>
      <c r="Z71" s="1">
        <f t="shared" si="23"/>
        <v>10</v>
      </c>
      <c r="AA71" s="1">
        <f t="shared" si="23"/>
        <v>10</v>
      </c>
      <c r="AB71" s="1">
        <f t="shared" si="23"/>
        <v>49</v>
      </c>
      <c r="AC71" s="1">
        <f t="shared" si="23"/>
        <v>10</v>
      </c>
      <c r="AD71" s="1">
        <f t="shared" si="23"/>
        <v>10</v>
      </c>
      <c r="AE71" s="1">
        <f t="shared" si="23"/>
        <v>1</v>
      </c>
      <c r="AF71" s="1">
        <f t="shared" si="23"/>
        <v>42</v>
      </c>
      <c r="AG71" s="1">
        <f t="shared" si="23"/>
        <v>10</v>
      </c>
      <c r="AH71" s="1">
        <f t="shared" ref="AH71:AY71" si="24">RANK(AH12,$B12:$AY12,0)</f>
        <v>42</v>
      </c>
      <c r="AI71" s="1">
        <f t="shared" si="24"/>
        <v>10</v>
      </c>
      <c r="AJ71" s="1">
        <f t="shared" si="24"/>
        <v>10</v>
      </c>
      <c r="AK71" s="1">
        <f t="shared" si="24"/>
        <v>4</v>
      </c>
      <c r="AL71" s="1">
        <f t="shared" si="24"/>
        <v>10</v>
      </c>
      <c r="AM71" s="1">
        <f t="shared" si="24"/>
        <v>10</v>
      </c>
      <c r="AN71" s="1">
        <f t="shared" si="24"/>
        <v>10</v>
      </c>
      <c r="AO71" s="1">
        <f t="shared" si="24"/>
        <v>10</v>
      </c>
      <c r="AP71" s="1">
        <f t="shared" si="24"/>
        <v>1</v>
      </c>
      <c r="AQ71" s="1">
        <f t="shared" si="24"/>
        <v>10</v>
      </c>
      <c r="AR71" s="1">
        <f t="shared" si="24"/>
        <v>10</v>
      </c>
      <c r="AS71" s="1">
        <f t="shared" si="24"/>
        <v>4</v>
      </c>
      <c r="AT71" s="1">
        <f t="shared" si="24"/>
        <v>10</v>
      </c>
      <c r="AU71" s="1">
        <f t="shared" si="24"/>
        <v>10</v>
      </c>
      <c r="AV71" s="1">
        <f t="shared" si="24"/>
        <v>1</v>
      </c>
      <c r="AW71" s="1">
        <f t="shared" si="24"/>
        <v>10</v>
      </c>
      <c r="AX71" s="1">
        <f t="shared" si="24"/>
        <v>10</v>
      </c>
      <c r="AY71" s="1">
        <f t="shared" si="24"/>
        <v>10</v>
      </c>
    </row>
    <row r="72" spans="1:51">
      <c r="A72" s="1" t="str">
        <f t="shared" si="2"/>
        <v>1.2.3) Percent with internet access</v>
      </c>
      <c r="B72" s="1">
        <f t="shared" ref="B72:AG72" si="25">RANK(B13,$B13:$AY13,0)</f>
        <v>4</v>
      </c>
      <c r="C72" s="1">
        <f t="shared" si="25"/>
        <v>2</v>
      </c>
      <c r="D72" s="1">
        <f t="shared" si="25"/>
        <v>49</v>
      </c>
      <c r="E72" s="1">
        <f t="shared" si="25"/>
        <v>25</v>
      </c>
      <c r="F72" s="1">
        <f t="shared" si="25"/>
        <v>29</v>
      </c>
      <c r="G72" s="1">
        <f t="shared" si="25"/>
        <v>13</v>
      </c>
      <c r="H72" s="1">
        <f t="shared" si="25"/>
        <v>32</v>
      </c>
      <c r="I72" s="1">
        <f t="shared" si="25"/>
        <v>24</v>
      </c>
      <c r="J72" s="1">
        <f t="shared" si="25"/>
        <v>42</v>
      </c>
      <c r="K72" s="1">
        <f t="shared" si="25"/>
        <v>14</v>
      </c>
      <c r="L72" s="1">
        <f t="shared" si="25"/>
        <v>10</v>
      </c>
      <c r="M72" s="1">
        <f t="shared" si="25"/>
        <v>34</v>
      </c>
      <c r="N72" s="1">
        <f t="shared" si="25"/>
        <v>41</v>
      </c>
      <c r="O72" s="1">
        <f t="shared" si="25"/>
        <v>19</v>
      </c>
      <c r="P72" s="1">
        <f t="shared" si="25"/>
        <v>46</v>
      </c>
      <c r="Q72" s="1">
        <f t="shared" si="25"/>
        <v>47</v>
      </c>
      <c r="R72" s="1">
        <f t="shared" si="25"/>
        <v>39</v>
      </c>
      <c r="S72" s="1">
        <f t="shared" si="25"/>
        <v>26</v>
      </c>
      <c r="T72" s="1">
        <f t="shared" si="25"/>
        <v>50</v>
      </c>
      <c r="U72" s="1">
        <f t="shared" si="25"/>
        <v>3</v>
      </c>
      <c r="V72" s="1">
        <f t="shared" si="25"/>
        <v>8</v>
      </c>
      <c r="W72" s="1">
        <f t="shared" si="25"/>
        <v>20</v>
      </c>
      <c r="X72" s="1">
        <f t="shared" si="25"/>
        <v>23</v>
      </c>
      <c r="Y72" s="1">
        <f t="shared" si="25"/>
        <v>40</v>
      </c>
      <c r="Z72" s="1">
        <f t="shared" si="25"/>
        <v>35</v>
      </c>
      <c r="AA72" s="1">
        <f t="shared" si="25"/>
        <v>16</v>
      </c>
      <c r="AB72" s="1">
        <f t="shared" si="25"/>
        <v>26</v>
      </c>
      <c r="AC72" s="1">
        <f t="shared" si="25"/>
        <v>44</v>
      </c>
      <c r="AD72" s="1">
        <f t="shared" si="25"/>
        <v>12</v>
      </c>
      <c r="AE72" s="1">
        <f t="shared" si="25"/>
        <v>7</v>
      </c>
      <c r="AF72" s="1">
        <f t="shared" si="25"/>
        <v>14</v>
      </c>
      <c r="AG72" s="1">
        <f t="shared" si="25"/>
        <v>44</v>
      </c>
      <c r="AH72" s="1">
        <f t="shared" ref="AH72:AY72" si="26">RANK(AH13,$B13:$AY13,0)</f>
        <v>38</v>
      </c>
      <c r="AI72" s="1">
        <f t="shared" si="26"/>
        <v>37</v>
      </c>
      <c r="AJ72" s="1">
        <f t="shared" si="26"/>
        <v>18</v>
      </c>
      <c r="AK72" s="1">
        <f t="shared" si="26"/>
        <v>33</v>
      </c>
      <c r="AL72" s="1">
        <f t="shared" si="26"/>
        <v>43</v>
      </c>
      <c r="AM72" s="1">
        <f t="shared" si="26"/>
        <v>11</v>
      </c>
      <c r="AN72" s="1">
        <f t="shared" si="26"/>
        <v>31</v>
      </c>
      <c r="AO72" s="1">
        <f t="shared" si="26"/>
        <v>21</v>
      </c>
      <c r="AP72" s="1">
        <f t="shared" si="26"/>
        <v>28</v>
      </c>
      <c r="AQ72" s="1">
        <f t="shared" si="26"/>
        <v>1</v>
      </c>
      <c r="AR72" s="1">
        <f t="shared" si="26"/>
        <v>22</v>
      </c>
      <c r="AS72" s="1">
        <f t="shared" si="26"/>
        <v>30</v>
      </c>
      <c r="AT72" s="1">
        <f t="shared" si="26"/>
        <v>48</v>
      </c>
      <c r="AU72" s="1">
        <f t="shared" si="26"/>
        <v>36</v>
      </c>
      <c r="AV72" s="1">
        <f t="shared" si="26"/>
        <v>6</v>
      </c>
      <c r="AW72" s="1">
        <f t="shared" si="26"/>
        <v>16</v>
      </c>
      <c r="AX72" s="1">
        <f t="shared" si="26"/>
        <v>8</v>
      </c>
      <c r="AY72" s="1">
        <f t="shared" si="26"/>
        <v>4</v>
      </c>
    </row>
    <row r="73" spans="1:51">
      <c r="A73" s="1" t="str">
        <f t="shared" si="2"/>
        <v>2) HEALTH SECURITY</v>
      </c>
      <c r="B73" s="1">
        <f t="shared" ref="B73:AG73" si="27">RANK(B14,$B14:$AY14,0)</f>
        <v>45</v>
      </c>
      <c r="C73" s="1">
        <f t="shared" si="27"/>
        <v>13</v>
      </c>
      <c r="D73" s="1">
        <f t="shared" si="27"/>
        <v>35</v>
      </c>
      <c r="E73" s="1">
        <f t="shared" si="27"/>
        <v>7</v>
      </c>
      <c r="F73" s="1">
        <f t="shared" si="27"/>
        <v>30</v>
      </c>
      <c r="G73" s="1">
        <f t="shared" si="27"/>
        <v>3</v>
      </c>
      <c r="H73" s="1">
        <f t="shared" si="27"/>
        <v>29</v>
      </c>
      <c r="I73" s="1">
        <f t="shared" si="27"/>
        <v>23</v>
      </c>
      <c r="J73" s="1">
        <f t="shared" si="27"/>
        <v>42</v>
      </c>
      <c r="K73" s="1">
        <f t="shared" si="27"/>
        <v>41</v>
      </c>
      <c r="L73" s="1">
        <f t="shared" si="27"/>
        <v>4</v>
      </c>
      <c r="M73" s="1">
        <f t="shared" si="27"/>
        <v>37</v>
      </c>
      <c r="N73" s="1">
        <f t="shared" si="27"/>
        <v>48</v>
      </c>
      <c r="O73" s="1">
        <f t="shared" si="27"/>
        <v>15</v>
      </c>
      <c r="P73" s="1">
        <f t="shared" si="27"/>
        <v>46</v>
      </c>
      <c r="Q73" s="1">
        <f t="shared" si="27"/>
        <v>44</v>
      </c>
      <c r="R73" s="1">
        <f t="shared" si="27"/>
        <v>47</v>
      </c>
      <c r="S73" s="1">
        <f t="shared" si="27"/>
        <v>39</v>
      </c>
      <c r="T73" s="1">
        <f t="shared" si="27"/>
        <v>40</v>
      </c>
      <c r="U73" s="1">
        <f t="shared" si="27"/>
        <v>22</v>
      </c>
      <c r="V73" s="1">
        <f t="shared" si="27"/>
        <v>26</v>
      </c>
      <c r="W73" s="1">
        <f t="shared" si="27"/>
        <v>11</v>
      </c>
      <c r="X73" s="1">
        <f t="shared" si="27"/>
        <v>14</v>
      </c>
      <c r="Y73" s="1">
        <f t="shared" si="27"/>
        <v>33</v>
      </c>
      <c r="Z73" s="1">
        <f t="shared" si="27"/>
        <v>27</v>
      </c>
      <c r="AA73" s="1">
        <f t="shared" si="27"/>
        <v>20</v>
      </c>
      <c r="AB73" s="1">
        <f t="shared" si="27"/>
        <v>24</v>
      </c>
      <c r="AC73" s="1">
        <f t="shared" si="27"/>
        <v>50</v>
      </c>
      <c r="AD73" s="1">
        <f t="shared" si="27"/>
        <v>2</v>
      </c>
      <c r="AE73" s="1">
        <f t="shared" si="27"/>
        <v>6</v>
      </c>
      <c r="AF73" s="1">
        <f t="shared" si="27"/>
        <v>5</v>
      </c>
      <c r="AG73" s="1">
        <f t="shared" si="27"/>
        <v>38</v>
      </c>
      <c r="AH73" s="1">
        <f t="shared" ref="AH73:AY73" si="28">RANK(AH14,$B14:$AY14,0)</f>
        <v>43</v>
      </c>
      <c r="AI73" s="1">
        <f t="shared" si="28"/>
        <v>25</v>
      </c>
      <c r="AJ73" s="1">
        <f t="shared" si="28"/>
        <v>16</v>
      </c>
      <c r="AK73" s="1">
        <f t="shared" si="28"/>
        <v>28</v>
      </c>
      <c r="AL73" s="1">
        <f t="shared" si="28"/>
        <v>36</v>
      </c>
      <c r="AM73" s="1">
        <f t="shared" si="28"/>
        <v>18</v>
      </c>
      <c r="AN73" s="1">
        <f t="shared" si="28"/>
        <v>31</v>
      </c>
      <c r="AO73" s="1">
        <f t="shared" si="28"/>
        <v>32</v>
      </c>
      <c r="AP73" s="1">
        <f t="shared" si="28"/>
        <v>12</v>
      </c>
      <c r="AQ73" s="1">
        <f t="shared" si="28"/>
        <v>10</v>
      </c>
      <c r="AR73" s="1">
        <f t="shared" si="28"/>
        <v>17</v>
      </c>
      <c r="AS73" s="1">
        <f t="shared" si="28"/>
        <v>9</v>
      </c>
      <c r="AT73" s="1">
        <f t="shared" si="28"/>
        <v>49</v>
      </c>
      <c r="AU73" s="1">
        <f t="shared" si="28"/>
        <v>34</v>
      </c>
      <c r="AV73" s="1">
        <f t="shared" si="28"/>
        <v>8</v>
      </c>
      <c r="AW73" s="1">
        <f t="shared" si="28"/>
        <v>21</v>
      </c>
      <c r="AX73" s="1">
        <f t="shared" si="28"/>
        <v>19</v>
      </c>
      <c r="AY73" s="1">
        <f t="shared" si="28"/>
        <v>1</v>
      </c>
    </row>
    <row r="74" spans="1:51">
      <c r="A74" s="1" t="str">
        <f t="shared" si="2"/>
        <v>2.1) Health Security (Inputs)</v>
      </c>
      <c r="B74" s="1">
        <f t="shared" ref="B74:AG74" si="29">RANK(B15,$B15:$AY15,0)</f>
        <v>35</v>
      </c>
      <c r="C74" s="1">
        <f t="shared" si="29"/>
        <v>10</v>
      </c>
      <c r="D74" s="1">
        <f t="shared" si="29"/>
        <v>33</v>
      </c>
      <c r="E74" s="1">
        <f t="shared" si="29"/>
        <v>13</v>
      </c>
      <c r="F74" s="1">
        <f t="shared" si="29"/>
        <v>31</v>
      </c>
      <c r="G74" s="1">
        <f t="shared" si="29"/>
        <v>3</v>
      </c>
      <c r="H74" s="1">
        <f t="shared" si="29"/>
        <v>24</v>
      </c>
      <c r="I74" s="1">
        <f t="shared" si="29"/>
        <v>23</v>
      </c>
      <c r="J74" s="1">
        <f t="shared" si="29"/>
        <v>40</v>
      </c>
      <c r="K74" s="1">
        <f t="shared" si="29"/>
        <v>39</v>
      </c>
      <c r="L74" s="1">
        <f t="shared" si="29"/>
        <v>11</v>
      </c>
      <c r="M74" s="1">
        <f t="shared" si="29"/>
        <v>30</v>
      </c>
      <c r="N74" s="1">
        <f t="shared" si="29"/>
        <v>49</v>
      </c>
      <c r="O74" s="1">
        <f t="shared" si="29"/>
        <v>17</v>
      </c>
      <c r="P74" s="1">
        <f t="shared" si="29"/>
        <v>50</v>
      </c>
      <c r="Q74" s="1">
        <f t="shared" si="29"/>
        <v>46</v>
      </c>
      <c r="R74" s="1">
        <f t="shared" si="29"/>
        <v>44</v>
      </c>
      <c r="S74" s="1">
        <f t="shared" si="29"/>
        <v>42</v>
      </c>
      <c r="T74" s="1">
        <f t="shared" si="29"/>
        <v>45</v>
      </c>
      <c r="U74" s="1">
        <f t="shared" si="29"/>
        <v>26</v>
      </c>
      <c r="V74" s="1">
        <f t="shared" si="29"/>
        <v>21</v>
      </c>
      <c r="W74" s="1">
        <f t="shared" si="29"/>
        <v>20</v>
      </c>
      <c r="X74" s="1">
        <f t="shared" si="29"/>
        <v>15</v>
      </c>
      <c r="Y74" s="1">
        <f t="shared" si="29"/>
        <v>37</v>
      </c>
      <c r="Z74" s="1">
        <f t="shared" si="29"/>
        <v>32</v>
      </c>
      <c r="AA74" s="1">
        <f t="shared" si="29"/>
        <v>8</v>
      </c>
      <c r="AB74" s="1">
        <f t="shared" si="29"/>
        <v>16</v>
      </c>
      <c r="AC74" s="1">
        <f t="shared" si="29"/>
        <v>48</v>
      </c>
      <c r="AD74" s="1">
        <f t="shared" si="29"/>
        <v>12</v>
      </c>
      <c r="AE74" s="1">
        <f t="shared" si="29"/>
        <v>2</v>
      </c>
      <c r="AF74" s="1">
        <f t="shared" si="29"/>
        <v>6</v>
      </c>
      <c r="AG74" s="1">
        <f t="shared" si="29"/>
        <v>28</v>
      </c>
      <c r="AH74" s="1">
        <f t="shared" ref="AH74:AY74" si="30">RANK(AH15,$B15:$AY15,0)</f>
        <v>47</v>
      </c>
      <c r="AI74" s="1">
        <f t="shared" si="30"/>
        <v>27</v>
      </c>
      <c r="AJ74" s="1">
        <f t="shared" si="30"/>
        <v>19</v>
      </c>
      <c r="AK74" s="1">
        <f t="shared" si="30"/>
        <v>41</v>
      </c>
      <c r="AL74" s="1">
        <f t="shared" si="30"/>
        <v>38</v>
      </c>
      <c r="AM74" s="1">
        <f t="shared" si="30"/>
        <v>18</v>
      </c>
      <c r="AN74" s="1">
        <f t="shared" si="30"/>
        <v>34</v>
      </c>
      <c r="AO74" s="1">
        <f t="shared" si="30"/>
        <v>29</v>
      </c>
      <c r="AP74" s="1">
        <f t="shared" si="30"/>
        <v>14</v>
      </c>
      <c r="AQ74" s="1">
        <f t="shared" si="30"/>
        <v>9</v>
      </c>
      <c r="AR74" s="1">
        <f t="shared" si="30"/>
        <v>22</v>
      </c>
      <c r="AS74" s="1">
        <f t="shared" si="30"/>
        <v>1</v>
      </c>
      <c r="AT74" s="1">
        <f t="shared" si="30"/>
        <v>43</v>
      </c>
      <c r="AU74" s="1">
        <f t="shared" si="30"/>
        <v>36</v>
      </c>
      <c r="AV74" s="1">
        <f t="shared" si="30"/>
        <v>4</v>
      </c>
      <c r="AW74" s="1">
        <f t="shared" si="30"/>
        <v>25</v>
      </c>
      <c r="AX74" s="1">
        <f t="shared" si="30"/>
        <v>5</v>
      </c>
      <c r="AY74" s="1">
        <f t="shared" si="30"/>
        <v>7</v>
      </c>
    </row>
    <row r="75" spans="1:51">
      <c r="A75" s="1" t="str">
        <f t="shared" si="2"/>
        <v>2.1.1) Environmental policies</v>
      </c>
      <c r="B75" s="1">
        <f t="shared" ref="B75:AG75" si="31">RANK(B16,$B16:$AY16,0)</f>
        <v>40</v>
      </c>
      <c r="C75" s="1">
        <f t="shared" si="31"/>
        <v>18</v>
      </c>
      <c r="D75" s="1">
        <f t="shared" si="31"/>
        <v>14</v>
      </c>
      <c r="E75" s="1">
        <f t="shared" si="31"/>
        <v>26</v>
      </c>
      <c r="F75" s="1">
        <f t="shared" si="31"/>
        <v>28</v>
      </c>
      <c r="G75" s="1">
        <f t="shared" si="31"/>
        <v>1</v>
      </c>
      <c r="H75" s="1">
        <f t="shared" si="31"/>
        <v>33</v>
      </c>
      <c r="I75" s="1">
        <f t="shared" si="31"/>
        <v>22</v>
      </c>
      <c r="J75" s="1">
        <f t="shared" si="31"/>
        <v>21</v>
      </c>
      <c r="K75" s="1">
        <f t="shared" si="31"/>
        <v>47</v>
      </c>
      <c r="L75" s="1">
        <f t="shared" si="31"/>
        <v>32</v>
      </c>
      <c r="M75" s="1">
        <f t="shared" si="31"/>
        <v>24</v>
      </c>
      <c r="N75" s="1">
        <f t="shared" si="31"/>
        <v>46</v>
      </c>
      <c r="O75" s="1">
        <f t="shared" si="31"/>
        <v>5</v>
      </c>
      <c r="P75" s="1">
        <f t="shared" si="31"/>
        <v>48</v>
      </c>
      <c r="Q75" s="1">
        <f t="shared" si="31"/>
        <v>19</v>
      </c>
      <c r="R75" s="1">
        <f t="shared" si="31"/>
        <v>36</v>
      </c>
      <c r="S75" s="1">
        <f t="shared" si="31"/>
        <v>49</v>
      </c>
      <c r="T75" s="1">
        <f t="shared" si="31"/>
        <v>42</v>
      </c>
      <c r="U75" s="1">
        <f t="shared" si="31"/>
        <v>31</v>
      </c>
      <c r="V75" s="1">
        <f t="shared" si="31"/>
        <v>10</v>
      </c>
      <c r="W75" s="1">
        <f t="shared" si="31"/>
        <v>26</v>
      </c>
      <c r="X75" s="1">
        <f t="shared" si="31"/>
        <v>30</v>
      </c>
      <c r="Y75" s="1">
        <f t="shared" si="31"/>
        <v>12</v>
      </c>
      <c r="Z75" s="1">
        <f t="shared" si="31"/>
        <v>44</v>
      </c>
      <c r="AA75" s="1">
        <f t="shared" si="31"/>
        <v>34</v>
      </c>
      <c r="AB75" s="1">
        <f t="shared" si="31"/>
        <v>20</v>
      </c>
      <c r="AC75" s="1">
        <f t="shared" si="31"/>
        <v>41</v>
      </c>
      <c r="AD75" s="1">
        <f t="shared" si="31"/>
        <v>1</v>
      </c>
      <c r="AE75" s="1">
        <f t="shared" si="31"/>
        <v>8</v>
      </c>
      <c r="AF75" s="1">
        <f t="shared" si="31"/>
        <v>10</v>
      </c>
      <c r="AG75" s="1">
        <f t="shared" si="31"/>
        <v>14</v>
      </c>
      <c r="AH75" s="1">
        <f t="shared" ref="AH75:AY75" si="32">RANK(AH16,$B16:$AY16,0)</f>
        <v>49</v>
      </c>
      <c r="AI75" s="1">
        <f t="shared" si="32"/>
        <v>44</v>
      </c>
      <c r="AJ75" s="1">
        <f t="shared" si="32"/>
        <v>13</v>
      </c>
      <c r="AK75" s="1">
        <f t="shared" si="32"/>
        <v>36</v>
      </c>
      <c r="AL75" s="1">
        <f t="shared" si="32"/>
        <v>39</v>
      </c>
      <c r="AM75" s="1">
        <f t="shared" si="32"/>
        <v>14</v>
      </c>
      <c r="AN75" s="1">
        <f t="shared" si="32"/>
        <v>25</v>
      </c>
      <c r="AO75" s="1">
        <f t="shared" si="32"/>
        <v>5</v>
      </c>
      <c r="AP75" s="1">
        <f t="shared" si="32"/>
        <v>7</v>
      </c>
      <c r="AQ75" s="1">
        <f t="shared" si="32"/>
        <v>1</v>
      </c>
      <c r="AR75" s="1">
        <f t="shared" si="32"/>
        <v>38</v>
      </c>
      <c r="AS75" s="1">
        <f t="shared" si="32"/>
        <v>14</v>
      </c>
      <c r="AT75" s="1">
        <f t="shared" si="32"/>
        <v>35</v>
      </c>
      <c r="AU75" s="1">
        <f t="shared" si="32"/>
        <v>28</v>
      </c>
      <c r="AV75" s="1">
        <f t="shared" si="32"/>
        <v>8</v>
      </c>
      <c r="AW75" s="1">
        <f t="shared" si="32"/>
        <v>43</v>
      </c>
      <c r="AX75" s="1">
        <f t="shared" si="32"/>
        <v>1</v>
      </c>
      <c r="AY75" s="1">
        <f t="shared" si="32"/>
        <v>22</v>
      </c>
    </row>
    <row r="76" spans="1:51">
      <c r="A76" s="1" t="str">
        <f t="shared" si="2"/>
        <v>2.1.2) Access to healthcare</v>
      </c>
      <c r="B76" s="1">
        <f t="shared" ref="B76:AG76" si="33">RANK(B17,$B17:$AY17,0)</f>
        <v>27</v>
      </c>
      <c r="C76" s="1">
        <f t="shared" si="33"/>
        <v>1</v>
      </c>
      <c r="D76" s="1">
        <f t="shared" si="33"/>
        <v>39</v>
      </c>
      <c r="E76" s="1">
        <f t="shared" si="33"/>
        <v>12</v>
      </c>
      <c r="F76" s="1">
        <f t="shared" si="33"/>
        <v>34</v>
      </c>
      <c r="G76" s="1">
        <f t="shared" si="33"/>
        <v>1</v>
      </c>
      <c r="H76" s="1">
        <f t="shared" si="33"/>
        <v>19</v>
      </c>
      <c r="I76" s="1">
        <f t="shared" si="33"/>
        <v>13</v>
      </c>
      <c r="J76" s="1">
        <f t="shared" si="33"/>
        <v>44</v>
      </c>
      <c r="K76" s="1">
        <f t="shared" si="33"/>
        <v>28</v>
      </c>
      <c r="L76" s="1">
        <f t="shared" si="33"/>
        <v>1</v>
      </c>
      <c r="M76" s="1">
        <f t="shared" si="33"/>
        <v>39</v>
      </c>
      <c r="N76" s="1">
        <f t="shared" si="33"/>
        <v>47</v>
      </c>
      <c r="O76" s="1">
        <f t="shared" si="33"/>
        <v>19</v>
      </c>
      <c r="P76" s="1">
        <f t="shared" si="33"/>
        <v>47</v>
      </c>
      <c r="Q76" s="1">
        <f t="shared" si="33"/>
        <v>49</v>
      </c>
      <c r="R76" s="1">
        <f t="shared" si="33"/>
        <v>44</v>
      </c>
      <c r="S76" s="1">
        <f t="shared" si="33"/>
        <v>28</v>
      </c>
      <c r="T76" s="1">
        <f t="shared" si="33"/>
        <v>34</v>
      </c>
      <c r="U76" s="1">
        <f t="shared" si="33"/>
        <v>32</v>
      </c>
      <c r="V76" s="1">
        <f t="shared" si="33"/>
        <v>13</v>
      </c>
      <c r="W76" s="1">
        <f t="shared" si="33"/>
        <v>19</v>
      </c>
      <c r="X76" s="1">
        <f t="shared" si="33"/>
        <v>1</v>
      </c>
      <c r="Y76" s="1">
        <f t="shared" si="33"/>
        <v>34</v>
      </c>
      <c r="Z76" s="1">
        <f t="shared" si="33"/>
        <v>18</v>
      </c>
      <c r="AA76" s="1">
        <f t="shared" si="33"/>
        <v>1</v>
      </c>
      <c r="AB76" s="1">
        <f t="shared" si="33"/>
        <v>26</v>
      </c>
      <c r="AC76" s="1">
        <f t="shared" si="33"/>
        <v>46</v>
      </c>
      <c r="AD76" s="1">
        <f t="shared" si="33"/>
        <v>13</v>
      </c>
      <c r="AE76" s="1">
        <f t="shared" si="33"/>
        <v>1</v>
      </c>
      <c r="AF76" s="1">
        <f t="shared" si="33"/>
        <v>1</v>
      </c>
      <c r="AG76" s="1">
        <f t="shared" si="33"/>
        <v>34</v>
      </c>
      <c r="AH76" s="1">
        <f t="shared" ref="AH76:AY76" si="34">RANK(AH17,$B17:$AY17,0)</f>
        <v>33</v>
      </c>
      <c r="AI76" s="1">
        <f t="shared" si="34"/>
        <v>19</v>
      </c>
      <c r="AJ76" s="1">
        <f t="shared" si="34"/>
        <v>13</v>
      </c>
      <c r="AK76" s="1">
        <f t="shared" si="34"/>
        <v>30</v>
      </c>
      <c r="AL76" s="1">
        <f t="shared" si="34"/>
        <v>30</v>
      </c>
      <c r="AM76" s="1">
        <f t="shared" si="34"/>
        <v>24</v>
      </c>
      <c r="AN76" s="1">
        <f t="shared" si="34"/>
        <v>39</v>
      </c>
      <c r="AO76" s="1">
        <f t="shared" si="34"/>
        <v>39</v>
      </c>
      <c r="AP76" s="1">
        <f t="shared" si="34"/>
        <v>19</v>
      </c>
      <c r="AQ76" s="1">
        <f t="shared" si="34"/>
        <v>50</v>
      </c>
      <c r="AR76" s="1">
        <f t="shared" si="34"/>
        <v>1</v>
      </c>
      <c r="AS76" s="1">
        <f t="shared" si="34"/>
        <v>25</v>
      </c>
      <c r="AT76" s="1">
        <f t="shared" si="34"/>
        <v>39</v>
      </c>
      <c r="AU76" s="1">
        <f t="shared" si="34"/>
        <v>34</v>
      </c>
      <c r="AV76" s="1">
        <f t="shared" si="34"/>
        <v>1</v>
      </c>
      <c r="AW76" s="1">
        <f t="shared" si="34"/>
        <v>1</v>
      </c>
      <c r="AX76" s="1">
        <f t="shared" si="34"/>
        <v>13</v>
      </c>
      <c r="AY76" s="1">
        <f t="shared" si="34"/>
        <v>1</v>
      </c>
    </row>
    <row r="77" spans="1:51">
      <c r="A77" s="1" t="str">
        <f t="shared" si="2"/>
        <v>2.1.3) No. of beds per 1000</v>
      </c>
      <c r="B77" s="1">
        <f t="shared" ref="B77:AG77" si="35">RANK(B18,$B18:$AY18,0)</f>
        <v>29</v>
      </c>
      <c r="C77" s="1">
        <f t="shared" si="35"/>
        <v>16</v>
      </c>
      <c r="D77" s="1">
        <f t="shared" si="35"/>
        <v>23</v>
      </c>
      <c r="E77" s="1">
        <f t="shared" si="35"/>
        <v>24</v>
      </c>
      <c r="F77" s="1">
        <f t="shared" si="35"/>
        <v>13</v>
      </c>
      <c r="G77" s="1">
        <f t="shared" si="35"/>
        <v>8</v>
      </c>
      <c r="H77" s="1">
        <f t="shared" si="35"/>
        <v>18</v>
      </c>
      <c r="I77" s="1">
        <f t="shared" si="35"/>
        <v>31</v>
      </c>
      <c r="J77" s="1">
        <f t="shared" si="35"/>
        <v>35</v>
      </c>
      <c r="K77" s="1">
        <f t="shared" si="35"/>
        <v>47</v>
      </c>
      <c r="L77" s="1">
        <f t="shared" si="35"/>
        <v>6</v>
      </c>
      <c r="M77" s="1">
        <f t="shared" si="35"/>
        <v>13</v>
      </c>
      <c r="N77" s="1">
        <f t="shared" si="35"/>
        <v>21</v>
      </c>
      <c r="O77" s="1">
        <f t="shared" si="35"/>
        <v>12</v>
      </c>
      <c r="P77" s="1">
        <f t="shared" si="35"/>
        <v>50</v>
      </c>
      <c r="Q77" s="1">
        <f t="shared" si="35"/>
        <v>43</v>
      </c>
      <c r="R77" s="1">
        <f t="shared" si="35"/>
        <v>45</v>
      </c>
      <c r="S77" s="1">
        <f t="shared" si="35"/>
        <v>37</v>
      </c>
      <c r="T77" s="1">
        <f t="shared" si="35"/>
        <v>43</v>
      </c>
      <c r="U77" s="1">
        <f t="shared" si="35"/>
        <v>37</v>
      </c>
      <c r="V77" s="1">
        <f t="shared" si="35"/>
        <v>46</v>
      </c>
      <c r="W77" s="1">
        <f t="shared" si="35"/>
        <v>26</v>
      </c>
      <c r="X77" s="1">
        <f t="shared" si="35"/>
        <v>34</v>
      </c>
      <c r="Y77" s="1">
        <f t="shared" si="35"/>
        <v>48</v>
      </c>
      <c r="Z77" s="1">
        <f t="shared" si="35"/>
        <v>11</v>
      </c>
      <c r="AA77" s="1">
        <f t="shared" si="35"/>
        <v>2</v>
      </c>
      <c r="AB77" s="1">
        <f t="shared" si="35"/>
        <v>4</v>
      </c>
      <c r="AC77" s="1">
        <f t="shared" si="35"/>
        <v>41</v>
      </c>
      <c r="AD77" s="1">
        <f t="shared" si="35"/>
        <v>25</v>
      </c>
      <c r="AE77" s="1">
        <f t="shared" si="35"/>
        <v>3</v>
      </c>
      <c r="AF77" s="1">
        <f t="shared" si="35"/>
        <v>9</v>
      </c>
      <c r="AG77" s="1">
        <f t="shared" si="35"/>
        <v>42</v>
      </c>
      <c r="AH77" s="1">
        <f t="shared" ref="AH77:AY77" si="36">RANK(AH18,$B18:$AY18,0)</f>
        <v>36</v>
      </c>
      <c r="AI77" s="1">
        <f t="shared" si="36"/>
        <v>20</v>
      </c>
      <c r="AJ77" s="1">
        <f t="shared" si="36"/>
        <v>27</v>
      </c>
      <c r="AK77" s="1">
        <f t="shared" si="36"/>
        <v>39</v>
      </c>
      <c r="AL77" s="1">
        <f t="shared" si="36"/>
        <v>30</v>
      </c>
      <c r="AM77" s="1">
        <f t="shared" si="36"/>
        <v>15</v>
      </c>
      <c r="AN77" s="1">
        <f t="shared" si="36"/>
        <v>17</v>
      </c>
      <c r="AO77" s="1">
        <f t="shared" si="36"/>
        <v>33</v>
      </c>
      <c r="AP77" s="1">
        <f t="shared" si="36"/>
        <v>40</v>
      </c>
      <c r="AQ77" s="1">
        <f t="shared" si="36"/>
        <v>1</v>
      </c>
      <c r="AR77" s="1">
        <f t="shared" si="36"/>
        <v>28</v>
      </c>
      <c r="AS77" s="1">
        <f t="shared" si="36"/>
        <v>7</v>
      </c>
      <c r="AT77" s="1">
        <f t="shared" si="36"/>
        <v>49</v>
      </c>
      <c r="AU77" s="1">
        <f t="shared" si="36"/>
        <v>22</v>
      </c>
      <c r="AV77" s="1">
        <f t="shared" si="36"/>
        <v>5</v>
      </c>
      <c r="AW77" s="1">
        <f t="shared" si="36"/>
        <v>31</v>
      </c>
      <c r="AX77" s="1">
        <f t="shared" si="36"/>
        <v>10</v>
      </c>
      <c r="AY77" s="1">
        <f t="shared" si="36"/>
        <v>19</v>
      </c>
    </row>
    <row r="78" spans="1:51">
      <c r="A78" s="1" t="str">
        <f t="shared" si="2"/>
        <v>2.1.4) Number of doctors per 1000</v>
      </c>
      <c r="B78" s="1">
        <f t="shared" ref="B78:AG78" si="37">RANK(B19,$B19:$AY19,0)</f>
        <v>32</v>
      </c>
      <c r="C78" s="1">
        <f t="shared" si="37"/>
        <v>25</v>
      </c>
      <c r="D78" s="1">
        <f t="shared" si="37"/>
        <v>49</v>
      </c>
      <c r="E78" s="1">
        <f t="shared" si="37"/>
        <v>7</v>
      </c>
      <c r="F78" s="1">
        <f t="shared" si="37"/>
        <v>15</v>
      </c>
      <c r="G78" s="1">
        <f t="shared" si="37"/>
        <v>4</v>
      </c>
      <c r="H78" s="1">
        <f t="shared" si="37"/>
        <v>21</v>
      </c>
      <c r="I78" s="1">
        <f t="shared" si="37"/>
        <v>27</v>
      </c>
      <c r="J78" s="1">
        <f t="shared" si="37"/>
        <v>22</v>
      </c>
      <c r="K78" s="1">
        <f t="shared" si="37"/>
        <v>2</v>
      </c>
      <c r="L78" s="1">
        <f t="shared" si="37"/>
        <v>13</v>
      </c>
      <c r="M78" s="1">
        <f t="shared" si="37"/>
        <v>26</v>
      </c>
      <c r="N78" s="1">
        <f t="shared" si="37"/>
        <v>40</v>
      </c>
      <c r="O78" s="1">
        <f t="shared" si="37"/>
        <v>37</v>
      </c>
      <c r="P78" s="1">
        <f t="shared" si="37"/>
        <v>44</v>
      </c>
      <c r="Q78" s="1">
        <f t="shared" si="37"/>
        <v>49</v>
      </c>
      <c r="R78" s="1">
        <f t="shared" si="37"/>
        <v>47</v>
      </c>
      <c r="S78" s="1">
        <f t="shared" si="37"/>
        <v>35</v>
      </c>
      <c r="T78" s="1">
        <f t="shared" si="37"/>
        <v>42</v>
      </c>
      <c r="U78" s="1">
        <f t="shared" si="37"/>
        <v>18</v>
      </c>
      <c r="V78" s="1">
        <f t="shared" si="37"/>
        <v>28</v>
      </c>
      <c r="W78" s="1">
        <f t="shared" si="37"/>
        <v>5</v>
      </c>
      <c r="X78" s="1">
        <f t="shared" si="37"/>
        <v>20</v>
      </c>
      <c r="Y78" s="1">
        <f t="shared" si="37"/>
        <v>29</v>
      </c>
      <c r="Z78" s="1">
        <f t="shared" si="37"/>
        <v>39</v>
      </c>
      <c r="AA78" s="1">
        <f t="shared" si="37"/>
        <v>41</v>
      </c>
      <c r="AB78" s="1">
        <f t="shared" si="37"/>
        <v>12</v>
      </c>
      <c r="AC78" s="1">
        <f t="shared" si="37"/>
        <v>48</v>
      </c>
      <c r="AD78" s="1">
        <f t="shared" si="37"/>
        <v>18</v>
      </c>
      <c r="AE78" s="1">
        <f t="shared" si="37"/>
        <v>6</v>
      </c>
      <c r="AF78" s="1">
        <f t="shared" si="37"/>
        <v>16</v>
      </c>
      <c r="AG78" s="1">
        <f t="shared" si="37"/>
        <v>14</v>
      </c>
      <c r="AH78" s="1">
        <f t="shared" ref="AH78:AY78" si="38">RANK(AH19,$B19:$AY19,0)</f>
        <v>34</v>
      </c>
      <c r="AI78" s="1">
        <f t="shared" si="38"/>
        <v>10</v>
      </c>
      <c r="AJ78" s="1">
        <f t="shared" si="38"/>
        <v>30</v>
      </c>
      <c r="AK78" s="1">
        <f t="shared" si="38"/>
        <v>43</v>
      </c>
      <c r="AL78" s="1">
        <f t="shared" si="38"/>
        <v>11</v>
      </c>
      <c r="AM78" s="1">
        <f t="shared" si="38"/>
        <v>17</v>
      </c>
      <c r="AN78" s="1">
        <f t="shared" si="38"/>
        <v>31</v>
      </c>
      <c r="AO78" s="1">
        <f t="shared" si="38"/>
        <v>33</v>
      </c>
      <c r="AP78" s="1">
        <f t="shared" si="38"/>
        <v>38</v>
      </c>
      <c r="AQ78" s="1">
        <f t="shared" si="38"/>
        <v>9</v>
      </c>
      <c r="AR78" s="1">
        <f t="shared" si="38"/>
        <v>23</v>
      </c>
      <c r="AS78" s="1">
        <f t="shared" si="38"/>
        <v>1</v>
      </c>
      <c r="AT78" s="1">
        <f t="shared" si="38"/>
        <v>46</v>
      </c>
      <c r="AU78" s="1">
        <f t="shared" si="38"/>
        <v>35</v>
      </c>
      <c r="AV78" s="1">
        <f t="shared" si="38"/>
        <v>24</v>
      </c>
      <c r="AW78" s="1">
        <f t="shared" si="38"/>
        <v>45</v>
      </c>
      <c r="AX78" s="1">
        <f t="shared" si="38"/>
        <v>3</v>
      </c>
      <c r="AY78" s="1">
        <f t="shared" si="38"/>
        <v>8</v>
      </c>
    </row>
    <row r="79" spans="1:51">
      <c r="A79" s="1" t="str">
        <f t="shared" si="2"/>
        <v>2.1.5) Access to safe and quality food</v>
      </c>
      <c r="B79" s="1">
        <f t="shared" ref="B79:AG79" si="39">RANK(B20,$B20:$AY20,0)</f>
        <v>1</v>
      </c>
      <c r="C79" s="1">
        <f t="shared" si="39"/>
        <v>1</v>
      </c>
      <c r="D79" s="1">
        <f t="shared" si="39"/>
        <v>24</v>
      </c>
      <c r="E79" s="1">
        <f t="shared" si="39"/>
        <v>1</v>
      </c>
      <c r="F79" s="1">
        <f t="shared" si="39"/>
        <v>35</v>
      </c>
      <c r="G79" s="1">
        <f t="shared" si="39"/>
        <v>1</v>
      </c>
      <c r="H79" s="1">
        <f t="shared" si="39"/>
        <v>24</v>
      </c>
      <c r="I79" s="1">
        <f t="shared" si="39"/>
        <v>26</v>
      </c>
      <c r="J79" s="1">
        <f t="shared" si="39"/>
        <v>46</v>
      </c>
      <c r="K79" s="1">
        <f t="shared" si="39"/>
        <v>23</v>
      </c>
      <c r="L79" s="1">
        <f t="shared" si="39"/>
        <v>1</v>
      </c>
      <c r="M79" s="1">
        <f t="shared" si="39"/>
        <v>35</v>
      </c>
      <c r="N79" s="1">
        <f t="shared" si="39"/>
        <v>45</v>
      </c>
      <c r="O79" s="1">
        <f t="shared" si="39"/>
        <v>35</v>
      </c>
      <c r="P79" s="1">
        <f t="shared" si="39"/>
        <v>18</v>
      </c>
      <c r="Q79" s="1">
        <f t="shared" si="39"/>
        <v>49</v>
      </c>
      <c r="R79" s="1">
        <f t="shared" si="39"/>
        <v>44</v>
      </c>
      <c r="S79" s="1">
        <f t="shared" si="39"/>
        <v>19</v>
      </c>
      <c r="T79" s="1">
        <f t="shared" si="39"/>
        <v>50</v>
      </c>
      <c r="U79" s="1">
        <f t="shared" si="39"/>
        <v>1</v>
      </c>
      <c r="V79" s="1">
        <f t="shared" si="39"/>
        <v>26</v>
      </c>
      <c r="W79" s="1">
        <f t="shared" si="39"/>
        <v>1</v>
      </c>
      <c r="X79" s="1">
        <f t="shared" si="39"/>
        <v>1</v>
      </c>
      <c r="Y79" s="1">
        <f t="shared" si="39"/>
        <v>33</v>
      </c>
      <c r="Z79" s="1">
        <f t="shared" si="39"/>
        <v>1</v>
      </c>
      <c r="AA79" s="1">
        <f t="shared" si="39"/>
        <v>19</v>
      </c>
      <c r="AB79" s="1">
        <f t="shared" si="39"/>
        <v>31</v>
      </c>
      <c r="AC79" s="1">
        <f t="shared" si="39"/>
        <v>46</v>
      </c>
      <c r="AD79" s="1">
        <f t="shared" si="39"/>
        <v>26</v>
      </c>
      <c r="AE79" s="1">
        <f t="shared" si="39"/>
        <v>1</v>
      </c>
      <c r="AF79" s="1">
        <f t="shared" si="39"/>
        <v>1</v>
      </c>
      <c r="AG79" s="1">
        <f t="shared" si="39"/>
        <v>42</v>
      </c>
      <c r="AH79" s="1">
        <f t="shared" ref="AH79:AY79" si="40">RANK(AH20,$B20:$AY20,0)</f>
        <v>22</v>
      </c>
      <c r="AI79" s="1">
        <f t="shared" si="40"/>
        <v>1</v>
      </c>
      <c r="AJ79" s="1">
        <f t="shared" si="40"/>
        <v>26</v>
      </c>
      <c r="AK79" s="1">
        <f t="shared" si="40"/>
        <v>32</v>
      </c>
      <c r="AL79" s="1">
        <f t="shared" si="40"/>
        <v>42</v>
      </c>
      <c r="AM79" s="1">
        <f t="shared" si="40"/>
        <v>34</v>
      </c>
      <c r="AN79" s="1">
        <f t="shared" si="40"/>
        <v>35</v>
      </c>
      <c r="AO79" s="1">
        <f t="shared" si="40"/>
        <v>35</v>
      </c>
      <c r="AP79" s="1">
        <f t="shared" si="40"/>
        <v>1</v>
      </c>
      <c r="AQ79" s="1">
        <f t="shared" si="40"/>
        <v>1</v>
      </c>
      <c r="AR79" s="1">
        <f t="shared" si="40"/>
        <v>1</v>
      </c>
      <c r="AS79" s="1">
        <f t="shared" si="40"/>
        <v>35</v>
      </c>
      <c r="AT79" s="1">
        <f t="shared" si="40"/>
        <v>48</v>
      </c>
      <c r="AU79" s="1">
        <f t="shared" si="40"/>
        <v>35</v>
      </c>
      <c r="AV79" s="1">
        <f t="shared" si="40"/>
        <v>1</v>
      </c>
      <c r="AW79" s="1">
        <f t="shared" si="40"/>
        <v>19</v>
      </c>
      <c r="AX79" s="1">
        <f t="shared" si="40"/>
        <v>26</v>
      </c>
      <c r="AY79" s="1">
        <f t="shared" si="40"/>
        <v>1</v>
      </c>
    </row>
    <row r="80" spans="1:51">
      <c r="A80" s="1" t="str">
        <f t="shared" si="2"/>
        <v>2.1.6) Quality of health services</v>
      </c>
      <c r="B80" s="1">
        <f t="shared" ref="B80:AG80" si="41">RANK(B21,$B21:$AY21,0)</f>
        <v>26</v>
      </c>
      <c r="C80" s="1">
        <f t="shared" si="41"/>
        <v>1</v>
      </c>
      <c r="D80" s="1">
        <f t="shared" si="41"/>
        <v>32</v>
      </c>
      <c r="E80" s="1">
        <f t="shared" si="41"/>
        <v>1</v>
      </c>
      <c r="F80" s="1">
        <f t="shared" si="41"/>
        <v>32</v>
      </c>
      <c r="G80" s="1">
        <f t="shared" si="41"/>
        <v>1</v>
      </c>
      <c r="H80" s="1">
        <f t="shared" si="41"/>
        <v>26</v>
      </c>
      <c r="I80" s="1">
        <f t="shared" si="41"/>
        <v>15</v>
      </c>
      <c r="J80" s="1">
        <f t="shared" si="41"/>
        <v>32</v>
      </c>
      <c r="K80" s="1">
        <f t="shared" si="41"/>
        <v>26</v>
      </c>
      <c r="L80" s="1">
        <f t="shared" si="41"/>
        <v>1</v>
      </c>
      <c r="M80" s="1">
        <f t="shared" si="41"/>
        <v>32</v>
      </c>
      <c r="N80" s="1">
        <f t="shared" si="41"/>
        <v>48</v>
      </c>
      <c r="O80" s="1">
        <f t="shared" si="41"/>
        <v>15</v>
      </c>
      <c r="P80" s="1">
        <f t="shared" si="41"/>
        <v>45</v>
      </c>
      <c r="Q80" s="1">
        <f t="shared" si="41"/>
        <v>48</v>
      </c>
      <c r="R80" s="1">
        <f t="shared" si="41"/>
        <v>45</v>
      </c>
      <c r="S80" s="1">
        <f t="shared" si="41"/>
        <v>15</v>
      </c>
      <c r="T80" s="1">
        <f t="shared" si="41"/>
        <v>32</v>
      </c>
      <c r="U80" s="1">
        <f t="shared" si="41"/>
        <v>15</v>
      </c>
      <c r="V80" s="1">
        <f t="shared" si="41"/>
        <v>15</v>
      </c>
      <c r="W80" s="1">
        <f t="shared" si="41"/>
        <v>15</v>
      </c>
      <c r="X80" s="1">
        <f t="shared" si="41"/>
        <v>1</v>
      </c>
      <c r="Y80" s="1">
        <f t="shared" si="41"/>
        <v>45</v>
      </c>
      <c r="Z80" s="1">
        <f t="shared" si="41"/>
        <v>26</v>
      </c>
      <c r="AA80" s="1">
        <f t="shared" si="41"/>
        <v>1</v>
      </c>
      <c r="AB80" s="1">
        <f t="shared" si="41"/>
        <v>26</v>
      </c>
      <c r="AC80" s="1">
        <f t="shared" si="41"/>
        <v>48</v>
      </c>
      <c r="AD80" s="1">
        <f t="shared" si="41"/>
        <v>15</v>
      </c>
      <c r="AE80" s="1">
        <f t="shared" si="41"/>
        <v>1</v>
      </c>
      <c r="AF80" s="1">
        <f t="shared" si="41"/>
        <v>1</v>
      </c>
      <c r="AG80" s="1">
        <f t="shared" si="41"/>
        <v>32</v>
      </c>
      <c r="AH80" s="1">
        <f t="shared" ref="AH80:AY80" si="42">RANK(AH21,$B21:$AY21,0)</f>
        <v>32</v>
      </c>
      <c r="AI80" s="1">
        <f t="shared" si="42"/>
        <v>26</v>
      </c>
      <c r="AJ80" s="1">
        <f t="shared" si="42"/>
        <v>15</v>
      </c>
      <c r="AK80" s="1">
        <f t="shared" si="42"/>
        <v>32</v>
      </c>
      <c r="AL80" s="1">
        <f t="shared" si="42"/>
        <v>32</v>
      </c>
      <c r="AM80" s="1">
        <f t="shared" si="42"/>
        <v>15</v>
      </c>
      <c r="AN80" s="1">
        <f t="shared" si="42"/>
        <v>32</v>
      </c>
      <c r="AO80" s="1">
        <f t="shared" si="42"/>
        <v>32</v>
      </c>
      <c r="AP80" s="1">
        <f t="shared" si="42"/>
        <v>1</v>
      </c>
      <c r="AQ80" s="1">
        <f t="shared" si="42"/>
        <v>1</v>
      </c>
      <c r="AR80" s="1">
        <f t="shared" si="42"/>
        <v>1</v>
      </c>
      <c r="AS80" s="1">
        <f t="shared" si="42"/>
        <v>15</v>
      </c>
      <c r="AT80" s="1">
        <f t="shared" si="42"/>
        <v>32</v>
      </c>
      <c r="AU80" s="1">
        <f t="shared" si="42"/>
        <v>32</v>
      </c>
      <c r="AV80" s="1">
        <f t="shared" si="42"/>
        <v>1</v>
      </c>
      <c r="AW80" s="1">
        <f t="shared" si="42"/>
        <v>1</v>
      </c>
      <c r="AX80" s="1">
        <f t="shared" si="42"/>
        <v>15</v>
      </c>
      <c r="AY80" s="1">
        <f t="shared" si="42"/>
        <v>1</v>
      </c>
    </row>
    <row r="81" spans="1:51">
      <c r="A81" s="1" t="str">
        <f t="shared" si="2"/>
        <v>2.2) Health Security (Outputs)</v>
      </c>
      <c r="B81" s="1">
        <f t="shared" ref="B81:AG81" si="43">RANK(B22,$B22:$AY22,0)</f>
        <v>50</v>
      </c>
      <c r="C81" s="1">
        <f t="shared" si="43"/>
        <v>19</v>
      </c>
      <c r="D81" s="1">
        <f t="shared" si="43"/>
        <v>37</v>
      </c>
      <c r="E81" s="1">
        <f t="shared" si="43"/>
        <v>4</v>
      </c>
      <c r="F81" s="1">
        <f t="shared" si="43"/>
        <v>25</v>
      </c>
      <c r="G81" s="1">
        <f t="shared" si="43"/>
        <v>18</v>
      </c>
      <c r="H81" s="1">
        <f t="shared" si="43"/>
        <v>31</v>
      </c>
      <c r="I81" s="1">
        <f t="shared" si="43"/>
        <v>23</v>
      </c>
      <c r="J81" s="1">
        <f t="shared" si="43"/>
        <v>47</v>
      </c>
      <c r="K81" s="1">
        <f t="shared" si="43"/>
        <v>46</v>
      </c>
      <c r="L81" s="1">
        <f t="shared" si="43"/>
        <v>5</v>
      </c>
      <c r="M81" s="1">
        <f t="shared" si="43"/>
        <v>42</v>
      </c>
      <c r="N81" s="1">
        <f t="shared" si="43"/>
        <v>43</v>
      </c>
      <c r="O81" s="1">
        <f t="shared" si="43"/>
        <v>10</v>
      </c>
      <c r="P81" s="1">
        <f t="shared" si="43"/>
        <v>39</v>
      </c>
      <c r="Q81" s="1">
        <f t="shared" si="43"/>
        <v>41</v>
      </c>
      <c r="R81" s="1">
        <f t="shared" si="43"/>
        <v>45</v>
      </c>
      <c r="S81" s="1">
        <f t="shared" si="43"/>
        <v>36</v>
      </c>
      <c r="T81" s="1">
        <f t="shared" si="43"/>
        <v>38</v>
      </c>
      <c r="U81" s="1">
        <f t="shared" si="43"/>
        <v>13</v>
      </c>
      <c r="V81" s="1">
        <f t="shared" si="43"/>
        <v>32</v>
      </c>
      <c r="W81" s="1">
        <f t="shared" si="43"/>
        <v>3</v>
      </c>
      <c r="X81" s="1">
        <f t="shared" si="43"/>
        <v>8</v>
      </c>
      <c r="Y81" s="1">
        <f t="shared" si="43"/>
        <v>30</v>
      </c>
      <c r="Z81" s="1">
        <f t="shared" si="43"/>
        <v>21</v>
      </c>
      <c r="AA81" s="1">
        <f t="shared" si="43"/>
        <v>24</v>
      </c>
      <c r="AB81" s="1">
        <f t="shared" si="43"/>
        <v>27</v>
      </c>
      <c r="AC81" s="1">
        <f t="shared" si="43"/>
        <v>49</v>
      </c>
      <c r="AD81" s="1">
        <f t="shared" si="43"/>
        <v>1</v>
      </c>
      <c r="AE81" s="1">
        <f t="shared" si="43"/>
        <v>22</v>
      </c>
      <c r="AF81" s="1">
        <f t="shared" si="43"/>
        <v>14</v>
      </c>
      <c r="AG81" s="1">
        <f t="shared" si="43"/>
        <v>44</v>
      </c>
      <c r="AH81" s="1">
        <f t="shared" ref="AH81:AY81" si="44">RANK(AH22,$B22:$AY22,0)</f>
        <v>40</v>
      </c>
      <c r="AI81" s="1">
        <f t="shared" si="44"/>
        <v>20</v>
      </c>
      <c r="AJ81" s="1">
        <f t="shared" si="44"/>
        <v>9</v>
      </c>
      <c r="AK81" s="1">
        <f t="shared" si="44"/>
        <v>16</v>
      </c>
      <c r="AL81" s="1">
        <f t="shared" si="44"/>
        <v>33</v>
      </c>
      <c r="AM81" s="1">
        <f t="shared" si="44"/>
        <v>15</v>
      </c>
      <c r="AN81" s="1">
        <f t="shared" si="44"/>
        <v>26</v>
      </c>
      <c r="AO81" s="1">
        <f t="shared" si="44"/>
        <v>35</v>
      </c>
      <c r="AP81" s="1">
        <f t="shared" si="44"/>
        <v>6</v>
      </c>
      <c r="AQ81" s="1">
        <f t="shared" si="44"/>
        <v>12</v>
      </c>
      <c r="AR81" s="1">
        <f t="shared" si="44"/>
        <v>7</v>
      </c>
      <c r="AS81" s="1">
        <f t="shared" si="44"/>
        <v>29</v>
      </c>
      <c r="AT81" s="1">
        <f t="shared" si="44"/>
        <v>48</v>
      </c>
      <c r="AU81" s="1">
        <f t="shared" si="44"/>
        <v>33</v>
      </c>
      <c r="AV81" s="1">
        <f t="shared" si="44"/>
        <v>17</v>
      </c>
      <c r="AW81" s="1">
        <f t="shared" si="44"/>
        <v>11</v>
      </c>
      <c r="AX81" s="1">
        <f t="shared" si="44"/>
        <v>28</v>
      </c>
      <c r="AY81" s="1">
        <f t="shared" si="44"/>
        <v>2</v>
      </c>
    </row>
    <row r="82" spans="1:51">
      <c r="A82" s="1" t="str">
        <f t="shared" si="2"/>
        <v>2.2.1) Air quality</v>
      </c>
      <c r="B82" s="1">
        <f t="shared" ref="B82:AG82" si="45">RANK(B23,$B23:$AY23,0)</f>
        <v>49</v>
      </c>
      <c r="C82" s="1">
        <f t="shared" si="45"/>
        <v>19</v>
      </c>
      <c r="D82" s="1">
        <f t="shared" si="45"/>
        <v>23</v>
      </c>
      <c r="E82" s="1">
        <f t="shared" si="45"/>
        <v>14</v>
      </c>
      <c r="F82" s="1">
        <f t="shared" si="45"/>
        <v>47</v>
      </c>
      <c r="G82" s="1">
        <f t="shared" si="45"/>
        <v>19</v>
      </c>
      <c r="H82" s="1">
        <f t="shared" si="45"/>
        <v>14</v>
      </c>
      <c r="I82" s="1">
        <f t="shared" si="45"/>
        <v>11</v>
      </c>
      <c r="J82" s="1">
        <f t="shared" si="45"/>
        <v>45</v>
      </c>
      <c r="K82" s="1">
        <f t="shared" si="45"/>
        <v>50</v>
      </c>
      <c r="L82" s="1">
        <f t="shared" si="45"/>
        <v>19</v>
      </c>
      <c r="M82" s="1">
        <f t="shared" si="45"/>
        <v>36</v>
      </c>
      <c r="N82" s="1">
        <f t="shared" si="45"/>
        <v>33</v>
      </c>
      <c r="O82" s="1">
        <f t="shared" si="45"/>
        <v>25</v>
      </c>
      <c r="P82" s="1">
        <f t="shared" si="45"/>
        <v>36</v>
      </c>
      <c r="Q82" s="1">
        <f t="shared" si="45"/>
        <v>25</v>
      </c>
      <c r="R82" s="1">
        <f t="shared" si="45"/>
        <v>46</v>
      </c>
      <c r="S82" s="1">
        <f t="shared" si="45"/>
        <v>48</v>
      </c>
      <c r="T82" s="1">
        <f t="shared" si="45"/>
        <v>41</v>
      </c>
      <c r="U82" s="1">
        <f t="shared" si="45"/>
        <v>14</v>
      </c>
      <c r="V82" s="1">
        <f t="shared" si="45"/>
        <v>23</v>
      </c>
      <c r="W82" s="1">
        <f t="shared" si="45"/>
        <v>9</v>
      </c>
      <c r="X82" s="1">
        <f t="shared" si="45"/>
        <v>1</v>
      </c>
      <c r="Y82" s="1">
        <f t="shared" si="45"/>
        <v>30</v>
      </c>
      <c r="Z82" s="1">
        <f t="shared" si="45"/>
        <v>38</v>
      </c>
      <c r="AA82" s="1">
        <f t="shared" si="45"/>
        <v>5</v>
      </c>
      <c r="AB82" s="1">
        <f t="shared" si="45"/>
        <v>28</v>
      </c>
      <c r="AC82" s="1">
        <f t="shared" si="45"/>
        <v>44</v>
      </c>
      <c r="AD82" s="1">
        <f t="shared" si="45"/>
        <v>12</v>
      </c>
      <c r="AE82" s="1">
        <f t="shared" si="45"/>
        <v>5</v>
      </c>
      <c r="AF82" s="1">
        <f t="shared" si="45"/>
        <v>17</v>
      </c>
      <c r="AG82" s="1">
        <f t="shared" si="45"/>
        <v>39</v>
      </c>
      <c r="AH82" s="1">
        <f t="shared" ref="AH82:AY82" si="46">RANK(AH23,$B23:$AY23,0)</f>
        <v>34</v>
      </c>
      <c r="AI82" s="1">
        <f t="shared" si="46"/>
        <v>25</v>
      </c>
      <c r="AJ82" s="1">
        <f t="shared" si="46"/>
        <v>7</v>
      </c>
      <c r="AK82" s="1">
        <f t="shared" si="46"/>
        <v>31</v>
      </c>
      <c r="AL82" s="1">
        <f t="shared" si="46"/>
        <v>22</v>
      </c>
      <c r="AM82" s="1">
        <f t="shared" si="46"/>
        <v>28</v>
      </c>
      <c r="AN82" s="1">
        <f t="shared" si="46"/>
        <v>39</v>
      </c>
      <c r="AO82" s="1">
        <f t="shared" si="46"/>
        <v>31</v>
      </c>
      <c r="AP82" s="1">
        <f t="shared" si="46"/>
        <v>17</v>
      </c>
      <c r="AQ82" s="1">
        <f t="shared" si="46"/>
        <v>3</v>
      </c>
      <c r="AR82" s="1">
        <f t="shared" si="46"/>
        <v>1</v>
      </c>
      <c r="AS82" s="1">
        <f t="shared" si="46"/>
        <v>42</v>
      </c>
      <c r="AT82" s="1">
        <f t="shared" si="46"/>
        <v>35</v>
      </c>
      <c r="AU82" s="1">
        <f t="shared" si="46"/>
        <v>43</v>
      </c>
      <c r="AV82" s="1">
        <f t="shared" si="46"/>
        <v>7</v>
      </c>
      <c r="AW82" s="1">
        <f t="shared" si="46"/>
        <v>4</v>
      </c>
      <c r="AX82" s="1">
        <f t="shared" si="46"/>
        <v>10</v>
      </c>
      <c r="AY82" s="1">
        <f t="shared" si="46"/>
        <v>12</v>
      </c>
    </row>
    <row r="83" spans="1:51">
      <c r="A83" s="1" t="str">
        <f t="shared" si="2"/>
        <v>2.2.2) Water quality</v>
      </c>
      <c r="B83" s="1">
        <f t="shared" ref="B83:AG83" si="47">RANK(B24,$B24:$AY24,0)</f>
        <v>35</v>
      </c>
      <c r="C83" s="1">
        <f t="shared" si="47"/>
        <v>1</v>
      </c>
      <c r="D83" s="1">
        <f t="shared" si="47"/>
        <v>45</v>
      </c>
      <c r="E83" s="1">
        <f t="shared" si="47"/>
        <v>7</v>
      </c>
      <c r="F83" s="1">
        <f t="shared" si="47"/>
        <v>19</v>
      </c>
      <c r="G83" s="1">
        <f t="shared" si="47"/>
        <v>2</v>
      </c>
      <c r="H83" s="1">
        <f t="shared" si="47"/>
        <v>49</v>
      </c>
      <c r="I83" s="1">
        <f t="shared" si="47"/>
        <v>12</v>
      </c>
      <c r="J83" s="1">
        <f t="shared" si="47"/>
        <v>39</v>
      </c>
      <c r="K83" s="1">
        <f t="shared" si="47"/>
        <v>50</v>
      </c>
      <c r="L83" s="1">
        <f t="shared" si="47"/>
        <v>5</v>
      </c>
      <c r="M83" s="1">
        <f t="shared" si="47"/>
        <v>42</v>
      </c>
      <c r="N83" s="1">
        <f t="shared" si="47"/>
        <v>41</v>
      </c>
      <c r="O83" s="1">
        <f t="shared" si="47"/>
        <v>30</v>
      </c>
      <c r="P83" s="1">
        <f t="shared" si="47"/>
        <v>40</v>
      </c>
      <c r="Q83" s="1">
        <f t="shared" si="47"/>
        <v>44</v>
      </c>
      <c r="R83" s="1">
        <f t="shared" si="47"/>
        <v>36</v>
      </c>
      <c r="S83" s="1">
        <f t="shared" si="47"/>
        <v>37</v>
      </c>
      <c r="T83" s="1">
        <f t="shared" si="47"/>
        <v>37</v>
      </c>
      <c r="U83" s="1">
        <f t="shared" si="47"/>
        <v>9</v>
      </c>
      <c r="V83" s="1">
        <f t="shared" si="47"/>
        <v>14</v>
      </c>
      <c r="W83" s="1">
        <f t="shared" si="47"/>
        <v>7</v>
      </c>
      <c r="X83" s="1">
        <f t="shared" si="47"/>
        <v>26</v>
      </c>
      <c r="Y83" s="1">
        <f t="shared" si="47"/>
        <v>29</v>
      </c>
      <c r="Z83" s="1">
        <f t="shared" si="47"/>
        <v>24</v>
      </c>
      <c r="AA83" s="1">
        <f t="shared" si="47"/>
        <v>47</v>
      </c>
      <c r="AB83" s="1">
        <f t="shared" si="47"/>
        <v>27</v>
      </c>
      <c r="AC83" s="1">
        <f t="shared" si="47"/>
        <v>30</v>
      </c>
      <c r="AD83" s="1">
        <f t="shared" si="47"/>
        <v>3</v>
      </c>
      <c r="AE83" s="1">
        <f t="shared" si="47"/>
        <v>22</v>
      </c>
      <c r="AF83" s="1">
        <f t="shared" si="47"/>
        <v>10</v>
      </c>
      <c r="AG83" s="1">
        <f t="shared" si="47"/>
        <v>43</v>
      </c>
      <c r="AH83" s="1">
        <f t="shared" ref="AH83:AY83" si="48">RANK(AH24,$B24:$AY24,0)</f>
        <v>46</v>
      </c>
      <c r="AI83" s="1">
        <f t="shared" si="48"/>
        <v>24</v>
      </c>
      <c r="AJ83" s="1">
        <f t="shared" si="48"/>
        <v>6</v>
      </c>
      <c r="AK83" s="1">
        <f t="shared" si="48"/>
        <v>23</v>
      </c>
      <c r="AL83" s="1">
        <f t="shared" si="48"/>
        <v>17</v>
      </c>
      <c r="AM83" s="1">
        <f t="shared" si="48"/>
        <v>18</v>
      </c>
      <c r="AN83" s="1">
        <f t="shared" si="48"/>
        <v>33</v>
      </c>
      <c r="AO83" s="1">
        <f t="shared" si="48"/>
        <v>30</v>
      </c>
      <c r="AP83" s="1">
        <f t="shared" si="48"/>
        <v>16</v>
      </c>
      <c r="AQ83" s="1">
        <f t="shared" si="48"/>
        <v>21</v>
      </c>
      <c r="AR83" s="1">
        <f t="shared" si="48"/>
        <v>13</v>
      </c>
      <c r="AS83" s="1">
        <f t="shared" si="48"/>
        <v>34</v>
      </c>
      <c r="AT83" s="1">
        <f t="shared" si="48"/>
        <v>48</v>
      </c>
      <c r="AU83" s="1">
        <f t="shared" si="48"/>
        <v>19</v>
      </c>
      <c r="AV83" s="1">
        <f t="shared" si="48"/>
        <v>15</v>
      </c>
      <c r="AW83" s="1">
        <f t="shared" si="48"/>
        <v>11</v>
      </c>
      <c r="AX83" s="1">
        <f t="shared" si="48"/>
        <v>28</v>
      </c>
      <c r="AY83" s="1">
        <f t="shared" si="48"/>
        <v>3</v>
      </c>
    </row>
    <row r="84" spans="1:51">
      <c r="A84" s="1" t="str">
        <f t="shared" si="2"/>
        <v>2.2.3) Life expectancy</v>
      </c>
      <c r="B84" s="1">
        <f t="shared" ref="B84:AG84" si="49">RANK(B25,$B25:$AY25,0)</f>
        <v>32</v>
      </c>
      <c r="C84" s="1">
        <f t="shared" si="49"/>
        <v>27</v>
      </c>
      <c r="D84" s="1">
        <f t="shared" si="49"/>
        <v>42</v>
      </c>
      <c r="E84" s="1">
        <f t="shared" si="49"/>
        <v>11</v>
      </c>
      <c r="F84" s="1">
        <f t="shared" si="49"/>
        <v>17</v>
      </c>
      <c r="G84" s="1">
        <f t="shared" si="49"/>
        <v>21</v>
      </c>
      <c r="H84" s="1">
        <f t="shared" si="49"/>
        <v>36</v>
      </c>
      <c r="I84" s="1">
        <f t="shared" si="49"/>
        <v>30</v>
      </c>
      <c r="J84" s="1">
        <f t="shared" si="49"/>
        <v>49</v>
      </c>
      <c r="K84" s="1">
        <f t="shared" si="49"/>
        <v>29</v>
      </c>
      <c r="L84" s="1">
        <f t="shared" si="49"/>
        <v>25</v>
      </c>
      <c r="M84" s="1">
        <f t="shared" si="49"/>
        <v>35</v>
      </c>
      <c r="N84" s="1">
        <f t="shared" si="49"/>
        <v>45</v>
      </c>
      <c r="O84" s="1">
        <f t="shared" si="49"/>
        <v>2</v>
      </c>
      <c r="P84" s="1">
        <f t="shared" si="49"/>
        <v>46</v>
      </c>
      <c r="Q84" s="1">
        <f t="shared" si="49"/>
        <v>43</v>
      </c>
      <c r="R84" s="1">
        <f t="shared" si="49"/>
        <v>50</v>
      </c>
      <c r="S84" s="1">
        <f t="shared" si="49"/>
        <v>31</v>
      </c>
      <c r="T84" s="1">
        <f t="shared" si="49"/>
        <v>41</v>
      </c>
      <c r="U84" s="1">
        <f t="shared" si="49"/>
        <v>14</v>
      </c>
      <c r="V84" s="1">
        <f t="shared" si="49"/>
        <v>22</v>
      </c>
      <c r="W84" s="1">
        <f t="shared" si="49"/>
        <v>11</v>
      </c>
      <c r="X84" s="1">
        <f t="shared" si="49"/>
        <v>1</v>
      </c>
      <c r="Y84" s="1">
        <f t="shared" si="49"/>
        <v>33</v>
      </c>
      <c r="Z84" s="1">
        <f t="shared" si="49"/>
        <v>6</v>
      </c>
      <c r="AA84" s="1">
        <f t="shared" si="49"/>
        <v>18</v>
      </c>
      <c r="AB84" s="1">
        <f t="shared" si="49"/>
        <v>38</v>
      </c>
      <c r="AC84" s="1">
        <f t="shared" si="49"/>
        <v>47</v>
      </c>
      <c r="AD84" s="1">
        <f t="shared" si="49"/>
        <v>19</v>
      </c>
      <c r="AE84" s="1">
        <f t="shared" si="49"/>
        <v>4</v>
      </c>
      <c r="AF84" s="1">
        <f t="shared" si="49"/>
        <v>15</v>
      </c>
      <c r="AG84" s="1">
        <f t="shared" si="49"/>
        <v>44</v>
      </c>
      <c r="AH84" s="1">
        <f t="shared" ref="AH84:AY84" si="50">RANK(AH25,$B25:$AY25,0)</f>
        <v>40</v>
      </c>
      <c r="AI84" s="1">
        <f t="shared" si="50"/>
        <v>9</v>
      </c>
      <c r="AJ84" s="1">
        <f t="shared" si="50"/>
        <v>24</v>
      </c>
      <c r="AK84" s="1">
        <f t="shared" si="50"/>
        <v>28</v>
      </c>
      <c r="AL84" s="1">
        <f t="shared" si="50"/>
        <v>47</v>
      </c>
      <c r="AM84" s="1">
        <f t="shared" si="50"/>
        <v>5</v>
      </c>
      <c r="AN84" s="1">
        <f t="shared" si="50"/>
        <v>23</v>
      </c>
      <c r="AO84" s="1">
        <f t="shared" si="50"/>
        <v>39</v>
      </c>
      <c r="AP84" s="1">
        <f t="shared" si="50"/>
        <v>13</v>
      </c>
      <c r="AQ84" s="1">
        <f t="shared" si="50"/>
        <v>9</v>
      </c>
      <c r="AR84" s="1">
        <f t="shared" si="50"/>
        <v>16</v>
      </c>
      <c r="AS84" s="1">
        <f t="shared" si="50"/>
        <v>7</v>
      </c>
      <c r="AT84" s="1">
        <f t="shared" si="50"/>
        <v>34</v>
      </c>
      <c r="AU84" s="1">
        <f t="shared" si="50"/>
        <v>26</v>
      </c>
      <c r="AV84" s="1">
        <f t="shared" si="50"/>
        <v>8</v>
      </c>
      <c r="AW84" s="1">
        <f t="shared" si="50"/>
        <v>20</v>
      </c>
      <c r="AX84" s="1">
        <f t="shared" si="50"/>
        <v>37</v>
      </c>
      <c r="AY84" s="1">
        <f t="shared" si="50"/>
        <v>3</v>
      </c>
    </row>
    <row r="85" spans="1:51">
      <c r="A85" s="1" t="str">
        <f t="shared" si="2"/>
        <v>2.2.4) Infant mortality (deaths per 1,000 live births)</v>
      </c>
      <c r="B85" s="1">
        <f t="shared" ref="B85:AG85" si="51">RANK(B26,$B26:$AY26,0)</f>
        <v>28</v>
      </c>
      <c r="C85" s="1">
        <f t="shared" si="51"/>
        <v>17</v>
      </c>
      <c r="D85" s="1">
        <f t="shared" si="51"/>
        <v>33</v>
      </c>
      <c r="E85" s="1">
        <f t="shared" si="51"/>
        <v>13</v>
      </c>
      <c r="F85" s="1">
        <f t="shared" si="51"/>
        <v>9</v>
      </c>
      <c r="G85" s="1">
        <f t="shared" si="51"/>
        <v>8</v>
      </c>
      <c r="H85" s="1">
        <f t="shared" si="51"/>
        <v>37</v>
      </c>
      <c r="I85" s="1">
        <f t="shared" si="51"/>
        <v>32</v>
      </c>
      <c r="J85" s="1">
        <f t="shared" si="51"/>
        <v>48</v>
      </c>
      <c r="K85" s="1">
        <f t="shared" si="51"/>
        <v>30</v>
      </c>
      <c r="L85" s="1">
        <f t="shared" si="51"/>
        <v>1</v>
      </c>
      <c r="M85" s="1">
        <f t="shared" si="51"/>
        <v>39</v>
      </c>
      <c r="N85" s="1">
        <f t="shared" si="51"/>
        <v>47</v>
      </c>
      <c r="O85" s="1">
        <f t="shared" si="51"/>
        <v>2</v>
      </c>
      <c r="P85" s="1">
        <f t="shared" si="51"/>
        <v>26</v>
      </c>
      <c r="Q85" s="1">
        <f t="shared" si="51"/>
        <v>43</v>
      </c>
      <c r="R85" s="1">
        <f t="shared" si="51"/>
        <v>24</v>
      </c>
      <c r="S85" s="1">
        <f t="shared" si="51"/>
        <v>36</v>
      </c>
      <c r="T85" s="1">
        <f t="shared" si="51"/>
        <v>38</v>
      </c>
      <c r="U85" s="1">
        <f t="shared" si="51"/>
        <v>18</v>
      </c>
      <c r="V85" s="1">
        <f t="shared" si="51"/>
        <v>20</v>
      </c>
      <c r="W85" s="1">
        <f t="shared" si="51"/>
        <v>15</v>
      </c>
      <c r="X85" s="1">
        <f t="shared" si="51"/>
        <v>12</v>
      </c>
      <c r="Y85" s="1">
        <f t="shared" si="51"/>
        <v>45</v>
      </c>
      <c r="Z85" s="1">
        <f t="shared" si="51"/>
        <v>7</v>
      </c>
      <c r="AA85" s="1">
        <f t="shared" si="51"/>
        <v>23</v>
      </c>
      <c r="AB85" s="1">
        <f t="shared" si="51"/>
        <v>35</v>
      </c>
      <c r="AC85" s="1">
        <f t="shared" si="51"/>
        <v>49</v>
      </c>
      <c r="AD85" s="1">
        <f t="shared" si="51"/>
        <v>20</v>
      </c>
      <c r="AE85" s="1">
        <f t="shared" si="51"/>
        <v>4</v>
      </c>
      <c r="AF85" s="1">
        <f t="shared" si="51"/>
        <v>14</v>
      </c>
      <c r="AG85" s="1">
        <f t="shared" si="51"/>
        <v>46</v>
      </c>
      <c r="AH85" s="1">
        <f t="shared" ref="AH85:AY85" si="52">RANK(AH26,$B26:$AY26,0)</f>
        <v>44</v>
      </c>
      <c r="AI85" s="1">
        <f t="shared" si="52"/>
        <v>31</v>
      </c>
      <c r="AJ85" s="1">
        <f t="shared" si="52"/>
        <v>10</v>
      </c>
      <c r="AK85" s="1">
        <f t="shared" si="52"/>
        <v>33</v>
      </c>
      <c r="AL85" s="1">
        <f t="shared" si="52"/>
        <v>42</v>
      </c>
      <c r="AM85" s="1">
        <f t="shared" si="52"/>
        <v>22</v>
      </c>
      <c r="AN85" s="1">
        <f t="shared" si="52"/>
        <v>27</v>
      </c>
      <c r="AO85" s="1">
        <f t="shared" si="52"/>
        <v>39</v>
      </c>
      <c r="AP85" s="1">
        <f t="shared" si="52"/>
        <v>6</v>
      </c>
      <c r="AQ85" s="1">
        <f t="shared" si="52"/>
        <v>3</v>
      </c>
      <c r="AR85" s="1">
        <f t="shared" si="52"/>
        <v>11</v>
      </c>
      <c r="AS85" s="1">
        <f t="shared" si="52"/>
        <v>16</v>
      </c>
      <c r="AT85" s="1">
        <f t="shared" si="52"/>
        <v>50</v>
      </c>
      <c r="AU85" s="1">
        <f t="shared" si="52"/>
        <v>39</v>
      </c>
      <c r="AV85" s="1">
        <f t="shared" si="52"/>
        <v>5</v>
      </c>
      <c r="AW85" s="1">
        <f t="shared" si="52"/>
        <v>29</v>
      </c>
      <c r="AX85" s="1">
        <f t="shared" si="52"/>
        <v>25</v>
      </c>
      <c r="AY85" s="1">
        <f t="shared" si="52"/>
        <v>18</v>
      </c>
    </row>
    <row r="86" spans="1:51">
      <c r="A86" s="1" t="str">
        <f t="shared" si="2"/>
        <v>2.2.5) Cancer mortality rate ( Cancer deaths per 100,000)</v>
      </c>
      <c r="B86" s="1">
        <f t="shared" ref="B86:AG86" si="53">RANK(B27,$B27:$AY27,0)</f>
        <v>50</v>
      </c>
      <c r="C86" s="1">
        <f t="shared" si="53"/>
        <v>45</v>
      </c>
      <c r="D86" s="1">
        <f t="shared" si="53"/>
        <v>34</v>
      </c>
      <c r="E86" s="1">
        <f t="shared" si="53"/>
        <v>15</v>
      </c>
      <c r="F86" s="1">
        <f t="shared" si="53"/>
        <v>24</v>
      </c>
      <c r="G86" s="1">
        <f t="shared" si="53"/>
        <v>46</v>
      </c>
      <c r="H86" s="1">
        <f t="shared" si="53"/>
        <v>22</v>
      </c>
      <c r="I86" s="1">
        <f t="shared" si="53"/>
        <v>41</v>
      </c>
      <c r="J86" s="1">
        <f t="shared" si="53"/>
        <v>3</v>
      </c>
      <c r="K86" s="1">
        <f t="shared" si="53"/>
        <v>9</v>
      </c>
      <c r="L86" s="1">
        <f t="shared" si="53"/>
        <v>17</v>
      </c>
      <c r="M86" s="1">
        <f t="shared" si="53"/>
        <v>33</v>
      </c>
      <c r="N86" s="1">
        <f t="shared" si="53"/>
        <v>20</v>
      </c>
      <c r="O86" s="1">
        <f t="shared" si="53"/>
        <v>21</v>
      </c>
      <c r="P86" s="1">
        <f t="shared" si="53"/>
        <v>28</v>
      </c>
      <c r="Q86" s="1">
        <f t="shared" si="53"/>
        <v>11</v>
      </c>
      <c r="R86" s="1">
        <f t="shared" si="53"/>
        <v>7</v>
      </c>
      <c r="S86" s="1">
        <f t="shared" si="53"/>
        <v>5</v>
      </c>
      <c r="T86" s="1">
        <f t="shared" si="53"/>
        <v>13</v>
      </c>
      <c r="U86" s="1">
        <f t="shared" si="53"/>
        <v>37</v>
      </c>
      <c r="V86" s="1">
        <f t="shared" si="53"/>
        <v>49</v>
      </c>
      <c r="W86" s="1">
        <f t="shared" si="53"/>
        <v>15</v>
      </c>
      <c r="X86" s="1">
        <f t="shared" si="53"/>
        <v>42</v>
      </c>
      <c r="Y86" s="1">
        <f t="shared" si="53"/>
        <v>8</v>
      </c>
      <c r="Z86" s="1">
        <f t="shared" si="53"/>
        <v>31</v>
      </c>
      <c r="AA86" s="1">
        <f t="shared" si="53"/>
        <v>35</v>
      </c>
      <c r="AB86" s="1">
        <f t="shared" si="53"/>
        <v>27</v>
      </c>
      <c r="AC86" s="1">
        <f t="shared" si="53"/>
        <v>6</v>
      </c>
      <c r="AD86" s="1">
        <f t="shared" si="53"/>
        <v>1</v>
      </c>
      <c r="AE86" s="1">
        <f t="shared" si="53"/>
        <v>48</v>
      </c>
      <c r="AF86" s="1">
        <f t="shared" si="53"/>
        <v>39</v>
      </c>
      <c r="AG86" s="1">
        <f t="shared" si="53"/>
        <v>18</v>
      </c>
      <c r="AH86" s="1">
        <f t="shared" ref="AH86:AY86" si="54">RANK(AH27,$B27:$AY27,0)</f>
        <v>4</v>
      </c>
      <c r="AI86" s="1">
        <f t="shared" si="54"/>
        <v>30</v>
      </c>
      <c r="AJ86" s="1">
        <f t="shared" si="54"/>
        <v>36</v>
      </c>
      <c r="AK86" s="1">
        <f t="shared" si="54"/>
        <v>2</v>
      </c>
      <c r="AL86" s="1">
        <f t="shared" si="54"/>
        <v>18</v>
      </c>
      <c r="AM86" s="1">
        <f t="shared" si="54"/>
        <v>23</v>
      </c>
      <c r="AN86" s="1">
        <f t="shared" si="54"/>
        <v>29</v>
      </c>
      <c r="AO86" s="1">
        <f t="shared" si="54"/>
        <v>24</v>
      </c>
      <c r="AP86" s="1">
        <f t="shared" si="54"/>
        <v>12</v>
      </c>
      <c r="AQ86" s="1">
        <f t="shared" si="54"/>
        <v>40</v>
      </c>
      <c r="AR86" s="1">
        <f t="shared" si="54"/>
        <v>38</v>
      </c>
      <c r="AS86" s="1">
        <f t="shared" si="54"/>
        <v>43</v>
      </c>
      <c r="AT86" s="1">
        <f t="shared" si="54"/>
        <v>10</v>
      </c>
      <c r="AU86" s="1">
        <f t="shared" si="54"/>
        <v>24</v>
      </c>
      <c r="AV86" s="1">
        <f t="shared" si="54"/>
        <v>47</v>
      </c>
      <c r="AW86" s="1">
        <f t="shared" si="54"/>
        <v>32</v>
      </c>
      <c r="AX86" s="1">
        <f t="shared" si="54"/>
        <v>44</v>
      </c>
      <c r="AY86" s="1">
        <f t="shared" si="54"/>
        <v>14</v>
      </c>
    </row>
    <row r="87" spans="1:51">
      <c r="A87" s="1" t="str">
        <f t="shared" si="2"/>
        <v>3) INFRASTRUCTURE SAFETY</v>
      </c>
      <c r="B87" s="1">
        <f t="shared" ref="B87:AG87" si="55">RANK(B28,$B28:$AY28,0)</f>
        <v>10</v>
      </c>
      <c r="C87" s="1">
        <f t="shared" si="55"/>
        <v>4</v>
      </c>
      <c r="D87" s="1">
        <f t="shared" si="55"/>
        <v>42</v>
      </c>
      <c r="E87" s="1">
        <f t="shared" si="55"/>
        <v>14</v>
      </c>
      <c r="F87" s="1">
        <f t="shared" si="55"/>
        <v>32</v>
      </c>
      <c r="G87" s="1">
        <f t="shared" si="55"/>
        <v>17</v>
      </c>
      <c r="H87" s="1">
        <f t="shared" si="55"/>
        <v>28</v>
      </c>
      <c r="I87" s="1">
        <f t="shared" si="55"/>
        <v>13</v>
      </c>
      <c r="J87" s="1">
        <f t="shared" si="55"/>
        <v>46</v>
      </c>
      <c r="K87" s="1">
        <f t="shared" si="55"/>
        <v>36</v>
      </c>
      <c r="L87" s="1">
        <f t="shared" si="55"/>
        <v>20</v>
      </c>
      <c r="M87" s="1">
        <f t="shared" si="55"/>
        <v>31</v>
      </c>
      <c r="N87" s="1">
        <f t="shared" si="55"/>
        <v>50</v>
      </c>
      <c r="O87" s="1">
        <f t="shared" si="55"/>
        <v>40</v>
      </c>
      <c r="P87" s="1">
        <f t="shared" si="55"/>
        <v>27</v>
      </c>
      <c r="Q87" s="1">
        <f t="shared" si="55"/>
        <v>48</v>
      </c>
      <c r="R87" s="1">
        <f t="shared" si="55"/>
        <v>45</v>
      </c>
      <c r="S87" s="1">
        <f t="shared" si="55"/>
        <v>39</v>
      </c>
      <c r="T87" s="1">
        <f t="shared" si="55"/>
        <v>37</v>
      </c>
      <c r="U87" s="1">
        <f t="shared" si="55"/>
        <v>25</v>
      </c>
      <c r="V87" s="1">
        <f t="shared" si="55"/>
        <v>19</v>
      </c>
      <c r="W87" s="1">
        <f t="shared" si="55"/>
        <v>9</v>
      </c>
      <c r="X87" s="1">
        <f t="shared" si="55"/>
        <v>2</v>
      </c>
      <c r="Y87" s="1">
        <f t="shared" si="55"/>
        <v>49</v>
      </c>
      <c r="Z87" s="1">
        <f t="shared" si="55"/>
        <v>23</v>
      </c>
      <c r="AA87" s="1">
        <f t="shared" si="55"/>
        <v>6</v>
      </c>
      <c r="AB87" s="1">
        <f t="shared" si="55"/>
        <v>41</v>
      </c>
      <c r="AC87" s="1">
        <f t="shared" si="55"/>
        <v>47</v>
      </c>
      <c r="AD87" s="1">
        <f t="shared" si="55"/>
        <v>16</v>
      </c>
      <c r="AE87" s="1">
        <f t="shared" si="55"/>
        <v>12</v>
      </c>
      <c r="AF87" s="1">
        <f t="shared" si="55"/>
        <v>26</v>
      </c>
      <c r="AG87" s="1">
        <f t="shared" si="55"/>
        <v>38</v>
      </c>
      <c r="AH87" s="1">
        <f t="shared" ref="AH87:AY87" si="56">RANK(AH28,$B28:$AY28,0)</f>
        <v>44</v>
      </c>
      <c r="AI87" s="1">
        <f t="shared" si="56"/>
        <v>18</v>
      </c>
      <c r="AJ87" s="1">
        <f t="shared" si="56"/>
        <v>10</v>
      </c>
      <c r="AK87" s="1">
        <f t="shared" si="56"/>
        <v>24</v>
      </c>
      <c r="AL87" s="1">
        <f t="shared" si="56"/>
        <v>35</v>
      </c>
      <c r="AM87" s="1">
        <f t="shared" si="56"/>
        <v>15</v>
      </c>
      <c r="AN87" s="1">
        <f t="shared" si="56"/>
        <v>30</v>
      </c>
      <c r="AO87" s="1">
        <f t="shared" si="56"/>
        <v>34</v>
      </c>
      <c r="AP87" s="1">
        <f t="shared" si="56"/>
        <v>7</v>
      </c>
      <c r="AQ87" s="1">
        <f t="shared" si="56"/>
        <v>21</v>
      </c>
      <c r="AR87" s="1">
        <f t="shared" si="56"/>
        <v>3</v>
      </c>
      <c r="AS87" s="1">
        <f t="shared" si="56"/>
        <v>22</v>
      </c>
      <c r="AT87" s="1">
        <f t="shared" si="56"/>
        <v>43</v>
      </c>
      <c r="AU87" s="1">
        <f t="shared" si="56"/>
        <v>33</v>
      </c>
      <c r="AV87" s="1">
        <f t="shared" si="56"/>
        <v>5</v>
      </c>
      <c r="AW87" s="1">
        <f t="shared" si="56"/>
        <v>8</v>
      </c>
      <c r="AX87" s="1">
        <f t="shared" si="56"/>
        <v>29</v>
      </c>
      <c r="AY87" s="1">
        <f t="shared" si="56"/>
        <v>1</v>
      </c>
    </row>
    <row r="88" spans="1:51">
      <c r="A88" s="1" t="str">
        <f t="shared" si="2"/>
        <v>3.1) Infrastructure Safety (Inputs)</v>
      </c>
      <c r="B88" s="1">
        <f t="shared" ref="B88:AG88" si="57">RANK(B29,$B29:$AY29,0)</f>
        <v>21</v>
      </c>
      <c r="C88" s="1">
        <f t="shared" si="57"/>
        <v>9</v>
      </c>
      <c r="D88" s="1">
        <f t="shared" si="57"/>
        <v>44</v>
      </c>
      <c r="E88" s="1">
        <f t="shared" si="57"/>
        <v>7</v>
      </c>
      <c r="F88" s="1">
        <f t="shared" si="57"/>
        <v>31</v>
      </c>
      <c r="G88" s="1">
        <f t="shared" si="57"/>
        <v>19</v>
      </c>
      <c r="H88" s="1">
        <f t="shared" si="57"/>
        <v>19</v>
      </c>
      <c r="I88" s="1">
        <f t="shared" si="57"/>
        <v>12</v>
      </c>
      <c r="J88" s="1">
        <f t="shared" si="57"/>
        <v>48</v>
      </c>
      <c r="K88" s="1">
        <f t="shared" si="57"/>
        <v>39</v>
      </c>
      <c r="L88" s="1">
        <f t="shared" si="57"/>
        <v>2</v>
      </c>
      <c r="M88" s="1">
        <f t="shared" si="57"/>
        <v>31</v>
      </c>
      <c r="N88" s="1">
        <f t="shared" si="57"/>
        <v>50</v>
      </c>
      <c r="O88" s="1">
        <f t="shared" si="57"/>
        <v>25</v>
      </c>
      <c r="P88" s="1">
        <f t="shared" si="57"/>
        <v>29</v>
      </c>
      <c r="Q88" s="1">
        <f t="shared" si="57"/>
        <v>46</v>
      </c>
      <c r="R88" s="1">
        <f t="shared" si="57"/>
        <v>43</v>
      </c>
      <c r="S88" s="1">
        <f t="shared" si="57"/>
        <v>42</v>
      </c>
      <c r="T88" s="1">
        <f t="shared" si="57"/>
        <v>24</v>
      </c>
      <c r="U88" s="1">
        <f t="shared" si="57"/>
        <v>30</v>
      </c>
      <c r="V88" s="1">
        <f t="shared" si="57"/>
        <v>22</v>
      </c>
      <c r="W88" s="1">
        <f t="shared" si="57"/>
        <v>7</v>
      </c>
      <c r="X88" s="1">
        <f t="shared" si="57"/>
        <v>2</v>
      </c>
      <c r="Y88" s="1">
        <f t="shared" si="57"/>
        <v>40</v>
      </c>
      <c r="Z88" s="1">
        <f t="shared" si="57"/>
        <v>18</v>
      </c>
      <c r="AA88" s="1">
        <f t="shared" si="57"/>
        <v>12</v>
      </c>
      <c r="AB88" s="1">
        <f t="shared" si="57"/>
        <v>28</v>
      </c>
      <c r="AC88" s="1">
        <f t="shared" si="57"/>
        <v>49</v>
      </c>
      <c r="AD88" s="1">
        <f t="shared" si="57"/>
        <v>12</v>
      </c>
      <c r="AE88" s="1">
        <f t="shared" si="57"/>
        <v>2</v>
      </c>
      <c r="AF88" s="1">
        <f t="shared" si="57"/>
        <v>26</v>
      </c>
      <c r="AG88" s="1">
        <f t="shared" si="57"/>
        <v>37</v>
      </c>
      <c r="AH88" s="1">
        <f t="shared" ref="AH88:AY88" si="58">RANK(AH29,$B29:$AY29,0)</f>
        <v>45</v>
      </c>
      <c r="AI88" s="1">
        <f t="shared" si="58"/>
        <v>11</v>
      </c>
      <c r="AJ88" s="1">
        <f t="shared" si="58"/>
        <v>12</v>
      </c>
      <c r="AK88" s="1">
        <f t="shared" si="58"/>
        <v>38</v>
      </c>
      <c r="AL88" s="1">
        <f t="shared" si="58"/>
        <v>26</v>
      </c>
      <c r="AM88" s="1">
        <f t="shared" si="58"/>
        <v>23</v>
      </c>
      <c r="AN88" s="1">
        <f t="shared" si="58"/>
        <v>31</v>
      </c>
      <c r="AO88" s="1">
        <f t="shared" si="58"/>
        <v>31</v>
      </c>
      <c r="AP88" s="1">
        <f t="shared" si="58"/>
        <v>1</v>
      </c>
      <c r="AQ88" s="1">
        <f t="shared" si="58"/>
        <v>36</v>
      </c>
      <c r="AR88" s="1">
        <f t="shared" si="58"/>
        <v>2</v>
      </c>
      <c r="AS88" s="1">
        <f t="shared" si="58"/>
        <v>40</v>
      </c>
      <c r="AT88" s="1">
        <f t="shared" si="58"/>
        <v>47</v>
      </c>
      <c r="AU88" s="1">
        <f t="shared" si="58"/>
        <v>31</v>
      </c>
      <c r="AV88" s="1">
        <f t="shared" si="58"/>
        <v>2</v>
      </c>
      <c r="AW88" s="1">
        <f t="shared" si="58"/>
        <v>12</v>
      </c>
      <c r="AX88" s="1">
        <f t="shared" si="58"/>
        <v>12</v>
      </c>
      <c r="AY88" s="1">
        <f t="shared" si="58"/>
        <v>9</v>
      </c>
    </row>
    <row r="89" spans="1:51">
      <c r="A89" s="1" t="str">
        <f t="shared" si="2"/>
        <v>3.1.1) Enforcement of transport safety</v>
      </c>
      <c r="B89" s="1">
        <f t="shared" ref="B89:AG89" si="59">RANK(B30,$B30:$AY30,0)</f>
        <v>2</v>
      </c>
      <c r="C89" s="1">
        <f t="shared" si="59"/>
        <v>21</v>
      </c>
      <c r="D89" s="1">
        <f t="shared" si="59"/>
        <v>36</v>
      </c>
      <c r="E89" s="1">
        <f t="shared" si="59"/>
        <v>18</v>
      </c>
      <c r="F89" s="1">
        <f t="shared" si="59"/>
        <v>38</v>
      </c>
      <c r="G89" s="1">
        <f t="shared" si="59"/>
        <v>31</v>
      </c>
      <c r="H89" s="1">
        <f t="shared" si="59"/>
        <v>31</v>
      </c>
      <c r="I89" s="1">
        <f t="shared" si="59"/>
        <v>11</v>
      </c>
      <c r="J89" s="1">
        <f t="shared" si="59"/>
        <v>46</v>
      </c>
      <c r="K89" s="1">
        <f t="shared" si="59"/>
        <v>21</v>
      </c>
      <c r="L89" s="1">
        <f t="shared" si="59"/>
        <v>6</v>
      </c>
      <c r="M89" s="1">
        <f t="shared" si="59"/>
        <v>38</v>
      </c>
      <c r="N89" s="1">
        <f t="shared" si="59"/>
        <v>48</v>
      </c>
      <c r="O89" s="1">
        <f t="shared" si="59"/>
        <v>48</v>
      </c>
      <c r="P89" s="1">
        <f t="shared" si="59"/>
        <v>4</v>
      </c>
      <c r="Q89" s="1">
        <f t="shared" si="59"/>
        <v>28</v>
      </c>
      <c r="R89" s="1">
        <f t="shared" si="59"/>
        <v>44</v>
      </c>
      <c r="S89" s="1">
        <f t="shared" si="59"/>
        <v>44</v>
      </c>
      <c r="T89" s="1">
        <f t="shared" si="59"/>
        <v>38</v>
      </c>
      <c r="U89" s="1">
        <f t="shared" si="59"/>
        <v>5</v>
      </c>
      <c r="V89" s="1">
        <f t="shared" si="59"/>
        <v>11</v>
      </c>
      <c r="W89" s="1">
        <f t="shared" si="59"/>
        <v>18</v>
      </c>
      <c r="X89" s="1">
        <f t="shared" si="59"/>
        <v>6</v>
      </c>
      <c r="Y89" s="1">
        <f t="shared" si="59"/>
        <v>36</v>
      </c>
      <c r="Z89" s="1">
        <f t="shared" si="59"/>
        <v>24</v>
      </c>
      <c r="AA89" s="1">
        <f t="shared" si="59"/>
        <v>11</v>
      </c>
      <c r="AB89" s="1">
        <f t="shared" si="59"/>
        <v>31</v>
      </c>
      <c r="AC89" s="1">
        <f t="shared" si="59"/>
        <v>46</v>
      </c>
      <c r="AD89" s="1">
        <f t="shared" si="59"/>
        <v>11</v>
      </c>
      <c r="AE89" s="1">
        <f t="shared" si="59"/>
        <v>6</v>
      </c>
      <c r="AF89" s="1">
        <f t="shared" si="59"/>
        <v>1</v>
      </c>
      <c r="AG89" s="1">
        <f t="shared" si="59"/>
        <v>28</v>
      </c>
      <c r="AH89" s="1">
        <f t="shared" ref="AH89:AY89" si="60">RANK(AH30,$B30:$AY30,0)</f>
        <v>24</v>
      </c>
      <c r="AI89" s="1">
        <f t="shared" si="60"/>
        <v>24</v>
      </c>
      <c r="AJ89" s="1">
        <f t="shared" si="60"/>
        <v>11</v>
      </c>
      <c r="AK89" s="1">
        <f t="shared" si="60"/>
        <v>34</v>
      </c>
      <c r="AL89" s="1">
        <f t="shared" si="60"/>
        <v>28</v>
      </c>
      <c r="AM89" s="1">
        <f t="shared" si="60"/>
        <v>18</v>
      </c>
      <c r="AN89" s="1">
        <f t="shared" si="60"/>
        <v>38</v>
      </c>
      <c r="AO89" s="1">
        <f t="shared" si="60"/>
        <v>38</v>
      </c>
      <c r="AP89" s="1">
        <f t="shared" si="60"/>
        <v>2</v>
      </c>
      <c r="AQ89" s="1">
        <f t="shared" si="60"/>
        <v>27</v>
      </c>
      <c r="AR89" s="1">
        <f t="shared" si="60"/>
        <v>6</v>
      </c>
      <c r="AS89" s="1">
        <f t="shared" si="60"/>
        <v>48</v>
      </c>
      <c r="AT89" s="1">
        <f t="shared" si="60"/>
        <v>34</v>
      </c>
      <c r="AU89" s="1">
        <f t="shared" si="60"/>
        <v>38</v>
      </c>
      <c r="AV89" s="1">
        <f t="shared" si="60"/>
        <v>6</v>
      </c>
      <c r="AW89" s="1">
        <f t="shared" si="60"/>
        <v>11</v>
      </c>
      <c r="AX89" s="1">
        <f t="shared" si="60"/>
        <v>11</v>
      </c>
      <c r="AY89" s="1">
        <f t="shared" si="60"/>
        <v>21</v>
      </c>
    </row>
    <row r="90" spans="1:51">
      <c r="A90" s="1" t="str">
        <f t="shared" si="2"/>
        <v>3.1.2) Pedestrian friendliness</v>
      </c>
      <c r="B90" s="1">
        <f t="shared" ref="B90:AG90" si="61">RANK(B31,$B31:$AY31,0)</f>
        <v>1</v>
      </c>
      <c r="C90" s="1">
        <f t="shared" si="61"/>
        <v>1</v>
      </c>
      <c r="D90" s="1">
        <f t="shared" si="61"/>
        <v>43</v>
      </c>
      <c r="E90" s="1">
        <f t="shared" si="61"/>
        <v>1</v>
      </c>
      <c r="F90" s="1">
        <f t="shared" si="61"/>
        <v>1</v>
      </c>
      <c r="G90" s="1">
        <f t="shared" si="61"/>
        <v>1</v>
      </c>
      <c r="H90" s="1">
        <f t="shared" si="61"/>
        <v>1</v>
      </c>
      <c r="I90" s="1">
        <f t="shared" si="61"/>
        <v>1</v>
      </c>
      <c r="J90" s="1">
        <f t="shared" si="61"/>
        <v>39</v>
      </c>
      <c r="K90" s="1">
        <f t="shared" si="61"/>
        <v>43</v>
      </c>
      <c r="L90" s="1">
        <f t="shared" si="61"/>
        <v>1</v>
      </c>
      <c r="M90" s="1">
        <f t="shared" si="61"/>
        <v>1</v>
      </c>
      <c r="N90" s="1">
        <f t="shared" si="61"/>
        <v>43</v>
      </c>
      <c r="O90" s="1">
        <f t="shared" si="61"/>
        <v>1</v>
      </c>
      <c r="P90" s="1">
        <f t="shared" si="61"/>
        <v>1</v>
      </c>
      <c r="Q90" s="1">
        <f t="shared" si="61"/>
        <v>39</v>
      </c>
      <c r="R90" s="1">
        <f t="shared" si="61"/>
        <v>1</v>
      </c>
      <c r="S90" s="1">
        <f t="shared" si="61"/>
        <v>43</v>
      </c>
      <c r="T90" s="1">
        <f t="shared" si="61"/>
        <v>1</v>
      </c>
      <c r="U90" s="1">
        <f t="shared" si="61"/>
        <v>43</v>
      </c>
      <c r="V90" s="1">
        <f t="shared" si="61"/>
        <v>1</v>
      </c>
      <c r="W90" s="1">
        <f t="shared" si="61"/>
        <v>1</v>
      </c>
      <c r="X90" s="1">
        <f t="shared" si="61"/>
        <v>1</v>
      </c>
      <c r="Y90" s="1">
        <f t="shared" si="61"/>
        <v>1</v>
      </c>
      <c r="Z90" s="1">
        <f t="shared" si="61"/>
        <v>1</v>
      </c>
      <c r="AA90" s="1">
        <f t="shared" si="61"/>
        <v>1</v>
      </c>
      <c r="AB90" s="1">
        <f t="shared" si="61"/>
        <v>1</v>
      </c>
      <c r="AC90" s="1">
        <f t="shared" si="61"/>
        <v>39</v>
      </c>
      <c r="AD90" s="1">
        <f t="shared" si="61"/>
        <v>1</v>
      </c>
      <c r="AE90" s="1">
        <f t="shared" si="61"/>
        <v>1</v>
      </c>
      <c r="AF90" s="1">
        <f t="shared" si="61"/>
        <v>43</v>
      </c>
      <c r="AG90" s="1">
        <f t="shared" si="61"/>
        <v>1</v>
      </c>
      <c r="AH90" s="1">
        <f t="shared" ref="AH90:AY90" si="62">RANK(AH31,$B31:$AY31,0)</f>
        <v>43</v>
      </c>
      <c r="AI90" s="1">
        <f t="shared" si="62"/>
        <v>1</v>
      </c>
      <c r="AJ90" s="1">
        <f t="shared" si="62"/>
        <v>1</v>
      </c>
      <c r="AK90" s="1">
        <f t="shared" si="62"/>
        <v>43</v>
      </c>
      <c r="AL90" s="1">
        <f t="shared" si="62"/>
        <v>1</v>
      </c>
      <c r="AM90" s="1">
        <f t="shared" si="62"/>
        <v>1</v>
      </c>
      <c r="AN90" s="1">
        <f t="shared" si="62"/>
        <v>1</v>
      </c>
      <c r="AO90" s="1">
        <f t="shared" si="62"/>
        <v>1</v>
      </c>
      <c r="AP90" s="1">
        <f t="shared" si="62"/>
        <v>1</v>
      </c>
      <c r="AQ90" s="1">
        <f t="shared" si="62"/>
        <v>1</v>
      </c>
      <c r="AR90" s="1">
        <f t="shared" si="62"/>
        <v>1</v>
      </c>
      <c r="AS90" s="1">
        <f t="shared" si="62"/>
        <v>1</v>
      </c>
      <c r="AT90" s="1">
        <f t="shared" si="62"/>
        <v>39</v>
      </c>
      <c r="AU90" s="1">
        <f t="shared" si="62"/>
        <v>1</v>
      </c>
      <c r="AV90" s="1">
        <f t="shared" si="62"/>
        <v>1</v>
      </c>
      <c r="AW90" s="1">
        <f t="shared" si="62"/>
        <v>1</v>
      </c>
      <c r="AX90" s="1">
        <f t="shared" si="62"/>
        <v>1</v>
      </c>
      <c r="AY90" s="1">
        <f t="shared" si="62"/>
        <v>1</v>
      </c>
    </row>
    <row r="91" spans="1:51">
      <c r="A91" s="1" t="str">
        <f t="shared" si="2"/>
        <v>3.1.3) Quality of road infrastructure</v>
      </c>
      <c r="B91" s="1">
        <f t="shared" ref="B91:AG91" si="63">RANK(B32,$B32:$AY32,0)</f>
        <v>1</v>
      </c>
      <c r="C91" s="1">
        <f t="shared" si="63"/>
        <v>1</v>
      </c>
      <c r="D91" s="1">
        <f t="shared" si="63"/>
        <v>47</v>
      </c>
      <c r="E91" s="1">
        <f t="shared" si="63"/>
        <v>1</v>
      </c>
      <c r="F91" s="1">
        <f t="shared" si="63"/>
        <v>14</v>
      </c>
      <c r="G91" s="1">
        <f t="shared" si="63"/>
        <v>14</v>
      </c>
      <c r="H91" s="1">
        <f t="shared" si="63"/>
        <v>14</v>
      </c>
      <c r="I91" s="1">
        <f t="shared" si="63"/>
        <v>14</v>
      </c>
      <c r="J91" s="1">
        <f t="shared" si="63"/>
        <v>39</v>
      </c>
      <c r="K91" s="1">
        <f t="shared" si="63"/>
        <v>14</v>
      </c>
      <c r="L91" s="1">
        <f t="shared" si="63"/>
        <v>1</v>
      </c>
      <c r="M91" s="1">
        <f t="shared" si="63"/>
        <v>14</v>
      </c>
      <c r="N91" s="1">
        <f t="shared" si="63"/>
        <v>47</v>
      </c>
      <c r="O91" s="1">
        <f t="shared" si="63"/>
        <v>1</v>
      </c>
      <c r="P91" s="1">
        <f t="shared" si="63"/>
        <v>39</v>
      </c>
      <c r="Q91" s="1">
        <f t="shared" si="63"/>
        <v>39</v>
      </c>
      <c r="R91" s="1">
        <f t="shared" si="63"/>
        <v>39</v>
      </c>
      <c r="S91" s="1">
        <f t="shared" si="63"/>
        <v>14</v>
      </c>
      <c r="T91" s="1">
        <f t="shared" si="63"/>
        <v>14</v>
      </c>
      <c r="U91" s="1">
        <f t="shared" si="63"/>
        <v>14</v>
      </c>
      <c r="V91" s="1">
        <f t="shared" si="63"/>
        <v>14</v>
      </c>
      <c r="W91" s="1">
        <f t="shared" si="63"/>
        <v>1</v>
      </c>
      <c r="X91" s="1">
        <f t="shared" si="63"/>
        <v>1</v>
      </c>
      <c r="Y91" s="1">
        <f t="shared" si="63"/>
        <v>39</v>
      </c>
      <c r="Z91" s="1">
        <f t="shared" si="63"/>
        <v>14</v>
      </c>
      <c r="AA91" s="1">
        <f t="shared" si="63"/>
        <v>14</v>
      </c>
      <c r="AB91" s="1">
        <f t="shared" si="63"/>
        <v>14</v>
      </c>
      <c r="AC91" s="1">
        <f t="shared" si="63"/>
        <v>50</v>
      </c>
      <c r="AD91" s="1">
        <f t="shared" si="63"/>
        <v>14</v>
      </c>
      <c r="AE91" s="1">
        <f t="shared" si="63"/>
        <v>1</v>
      </c>
      <c r="AF91" s="1">
        <f t="shared" si="63"/>
        <v>14</v>
      </c>
      <c r="AG91" s="1">
        <f t="shared" si="63"/>
        <v>39</v>
      </c>
      <c r="AH91" s="1">
        <f t="shared" ref="AH91:AY91" si="64">RANK(AH32,$B32:$AY32,0)</f>
        <v>39</v>
      </c>
      <c r="AI91" s="1">
        <f t="shared" si="64"/>
        <v>1</v>
      </c>
      <c r="AJ91" s="1">
        <f t="shared" si="64"/>
        <v>14</v>
      </c>
      <c r="AK91" s="1">
        <f t="shared" si="64"/>
        <v>14</v>
      </c>
      <c r="AL91" s="1">
        <f t="shared" si="64"/>
        <v>14</v>
      </c>
      <c r="AM91" s="1">
        <f t="shared" si="64"/>
        <v>14</v>
      </c>
      <c r="AN91" s="1">
        <f t="shared" si="64"/>
        <v>14</v>
      </c>
      <c r="AO91" s="1">
        <f t="shared" si="64"/>
        <v>14</v>
      </c>
      <c r="AP91" s="1">
        <f t="shared" si="64"/>
        <v>1</v>
      </c>
      <c r="AQ91" s="1">
        <f t="shared" si="64"/>
        <v>47</v>
      </c>
      <c r="AR91" s="1">
        <f t="shared" si="64"/>
        <v>1</v>
      </c>
      <c r="AS91" s="1">
        <f t="shared" si="64"/>
        <v>14</v>
      </c>
      <c r="AT91" s="1">
        <f t="shared" si="64"/>
        <v>39</v>
      </c>
      <c r="AU91" s="1">
        <f t="shared" si="64"/>
        <v>14</v>
      </c>
      <c r="AV91" s="1">
        <f t="shared" si="64"/>
        <v>1</v>
      </c>
      <c r="AW91" s="1">
        <f t="shared" si="64"/>
        <v>14</v>
      </c>
      <c r="AX91" s="1">
        <f t="shared" si="64"/>
        <v>14</v>
      </c>
      <c r="AY91" s="1">
        <f t="shared" si="64"/>
        <v>1</v>
      </c>
    </row>
    <row r="92" spans="1:51">
      <c r="A92" s="1" t="str">
        <f t="shared" si="2"/>
        <v>3.1.4) Quality of electricity infrastructure</v>
      </c>
      <c r="B92" s="1">
        <f t="shared" ref="B92:AG92" si="65">RANK(B33,$B33:$AY33,0)</f>
        <v>36</v>
      </c>
      <c r="C92" s="1">
        <f t="shared" si="65"/>
        <v>1</v>
      </c>
      <c r="D92" s="1">
        <f t="shared" si="65"/>
        <v>1</v>
      </c>
      <c r="E92" s="1">
        <f t="shared" si="65"/>
        <v>1</v>
      </c>
      <c r="F92" s="1">
        <f t="shared" si="65"/>
        <v>1</v>
      </c>
      <c r="G92" s="1">
        <f t="shared" si="65"/>
        <v>1</v>
      </c>
      <c r="H92" s="1">
        <f t="shared" si="65"/>
        <v>1</v>
      </c>
      <c r="I92" s="1">
        <f t="shared" si="65"/>
        <v>1</v>
      </c>
      <c r="J92" s="1">
        <f t="shared" si="65"/>
        <v>45</v>
      </c>
      <c r="K92" s="1">
        <f t="shared" si="65"/>
        <v>36</v>
      </c>
      <c r="L92" s="1">
        <f t="shared" si="65"/>
        <v>1</v>
      </c>
      <c r="M92" s="1">
        <f t="shared" si="65"/>
        <v>36</v>
      </c>
      <c r="N92" s="1">
        <f t="shared" si="65"/>
        <v>45</v>
      </c>
      <c r="O92" s="1">
        <f t="shared" si="65"/>
        <v>1</v>
      </c>
      <c r="P92" s="1">
        <f t="shared" si="65"/>
        <v>36</v>
      </c>
      <c r="Q92" s="1">
        <f t="shared" si="65"/>
        <v>45</v>
      </c>
      <c r="R92" s="1">
        <f t="shared" si="65"/>
        <v>45</v>
      </c>
      <c r="S92" s="1">
        <f t="shared" si="65"/>
        <v>1</v>
      </c>
      <c r="T92" s="1">
        <f t="shared" si="65"/>
        <v>1</v>
      </c>
      <c r="U92" s="1">
        <f t="shared" si="65"/>
        <v>1</v>
      </c>
      <c r="V92" s="1">
        <f t="shared" si="65"/>
        <v>1</v>
      </c>
      <c r="W92" s="1">
        <f t="shared" si="65"/>
        <v>1</v>
      </c>
      <c r="X92" s="1">
        <f t="shared" si="65"/>
        <v>1</v>
      </c>
      <c r="Y92" s="1">
        <f t="shared" si="65"/>
        <v>45</v>
      </c>
      <c r="Z92" s="1">
        <f t="shared" si="65"/>
        <v>1</v>
      </c>
      <c r="AA92" s="1">
        <f t="shared" si="65"/>
        <v>1</v>
      </c>
      <c r="AB92" s="1">
        <f t="shared" si="65"/>
        <v>1</v>
      </c>
      <c r="AC92" s="1">
        <f t="shared" si="65"/>
        <v>36</v>
      </c>
      <c r="AD92" s="1">
        <f t="shared" si="65"/>
        <v>1</v>
      </c>
      <c r="AE92" s="1">
        <f t="shared" si="65"/>
        <v>1</v>
      </c>
      <c r="AF92" s="1">
        <f t="shared" si="65"/>
        <v>1</v>
      </c>
      <c r="AG92" s="1">
        <f t="shared" si="65"/>
        <v>1</v>
      </c>
      <c r="AH92" s="1">
        <f t="shared" ref="AH92:AY92" si="66">RANK(AH33,$B33:$AY33,0)</f>
        <v>36</v>
      </c>
      <c r="AI92" s="1">
        <f t="shared" si="66"/>
        <v>1</v>
      </c>
      <c r="AJ92" s="1">
        <f t="shared" si="66"/>
        <v>1</v>
      </c>
      <c r="AK92" s="1">
        <f t="shared" si="66"/>
        <v>1</v>
      </c>
      <c r="AL92" s="1">
        <f t="shared" si="66"/>
        <v>36</v>
      </c>
      <c r="AM92" s="1">
        <f t="shared" si="66"/>
        <v>1</v>
      </c>
      <c r="AN92" s="1">
        <f t="shared" si="66"/>
        <v>1</v>
      </c>
      <c r="AO92" s="1">
        <f t="shared" si="66"/>
        <v>1</v>
      </c>
      <c r="AP92" s="1">
        <f t="shared" si="66"/>
        <v>1</v>
      </c>
      <c r="AQ92" s="1">
        <f t="shared" si="66"/>
        <v>36</v>
      </c>
      <c r="AR92" s="1">
        <f t="shared" si="66"/>
        <v>1</v>
      </c>
      <c r="AS92" s="1">
        <f t="shared" si="66"/>
        <v>36</v>
      </c>
      <c r="AT92" s="1">
        <f t="shared" si="66"/>
        <v>50</v>
      </c>
      <c r="AU92" s="1">
        <f t="shared" si="66"/>
        <v>1</v>
      </c>
      <c r="AV92" s="1">
        <f t="shared" si="66"/>
        <v>1</v>
      </c>
      <c r="AW92" s="1">
        <f t="shared" si="66"/>
        <v>1</v>
      </c>
      <c r="AX92" s="1">
        <f t="shared" si="66"/>
        <v>1</v>
      </c>
      <c r="AY92" s="1">
        <f t="shared" si="66"/>
        <v>1</v>
      </c>
    </row>
    <row r="93" spans="1:51">
      <c r="A93" s="1" t="str">
        <f t="shared" ref="A93:A116" si="67">A34</f>
        <v>3.1.5) Disaster Management/Business Continuity Plan</v>
      </c>
      <c r="B93" s="1">
        <f t="shared" ref="B93:AG93" si="68">RANK(B34,$B34:$AY34,0)</f>
        <v>28</v>
      </c>
      <c r="C93" s="1">
        <f t="shared" si="68"/>
        <v>1</v>
      </c>
      <c r="D93" s="1">
        <f t="shared" si="68"/>
        <v>28</v>
      </c>
      <c r="E93" s="1">
        <f t="shared" si="68"/>
        <v>1</v>
      </c>
      <c r="F93" s="1">
        <f t="shared" si="68"/>
        <v>38</v>
      </c>
      <c r="G93" s="1">
        <f t="shared" si="68"/>
        <v>1</v>
      </c>
      <c r="H93" s="1">
        <f t="shared" si="68"/>
        <v>1</v>
      </c>
      <c r="I93" s="1">
        <f t="shared" si="68"/>
        <v>1</v>
      </c>
      <c r="J93" s="1">
        <f t="shared" si="68"/>
        <v>49</v>
      </c>
      <c r="K93" s="1">
        <f t="shared" si="68"/>
        <v>1</v>
      </c>
      <c r="L93" s="1">
        <f t="shared" si="68"/>
        <v>1</v>
      </c>
      <c r="M93" s="1">
        <f t="shared" si="68"/>
        <v>28</v>
      </c>
      <c r="N93" s="1">
        <f t="shared" si="68"/>
        <v>38</v>
      </c>
      <c r="O93" s="1">
        <f t="shared" si="68"/>
        <v>1</v>
      </c>
      <c r="P93" s="1">
        <f t="shared" si="68"/>
        <v>28</v>
      </c>
      <c r="Q93" s="1">
        <f t="shared" si="68"/>
        <v>38</v>
      </c>
      <c r="R93" s="1">
        <f t="shared" si="68"/>
        <v>38</v>
      </c>
      <c r="S93" s="1">
        <f t="shared" si="68"/>
        <v>28</v>
      </c>
      <c r="T93" s="1">
        <f t="shared" si="68"/>
        <v>1</v>
      </c>
      <c r="U93" s="1">
        <f t="shared" si="68"/>
        <v>1</v>
      </c>
      <c r="V93" s="1">
        <f t="shared" si="68"/>
        <v>28</v>
      </c>
      <c r="W93" s="1">
        <f t="shared" si="68"/>
        <v>1</v>
      </c>
      <c r="X93" s="1">
        <f t="shared" si="68"/>
        <v>1</v>
      </c>
      <c r="Y93" s="1">
        <f t="shared" si="68"/>
        <v>28</v>
      </c>
      <c r="Z93" s="1">
        <f t="shared" si="68"/>
        <v>1</v>
      </c>
      <c r="AA93" s="1">
        <f t="shared" si="68"/>
        <v>1</v>
      </c>
      <c r="AB93" s="1">
        <f t="shared" si="68"/>
        <v>38</v>
      </c>
      <c r="AC93" s="1">
        <f t="shared" si="68"/>
        <v>49</v>
      </c>
      <c r="AD93" s="1">
        <f t="shared" si="68"/>
        <v>1</v>
      </c>
      <c r="AE93" s="1">
        <f t="shared" si="68"/>
        <v>1</v>
      </c>
      <c r="AF93" s="1">
        <f t="shared" si="68"/>
        <v>1</v>
      </c>
      <c r="AG93" s="1">
        <f t="shared" si="68"/>
        <v>38</v>
      </c>
      <c r="AH93" s="1">
        <f t="shared" ref="AH93:AY93" si="69">RANK(AH34,$B34:$AY34,0)</f>
        <v>38</v>
      </c>
      <c r="AI93" s="1">
        <f t="shared" si="69"/>
        <v>1</v>
      </c>
      <c r="AJ93" s="1">
        <f t="shared" si="69"/>
        <v>1</v>
      </c>
      <c r="AK93" s="1">
        <f t="shared" si="69"/>
        <v>1</v>
      </c>
      <c r="AL93" s="1">
        <f t="shared" si="69"/>
        <v>28</v>
      </c>
      <c r="AM93" s="1">
        <f t="shared" si="69"/>
        <v>28</v>
      </c>
      <c r="AN93" s="1">
        <f t="shared" si="69"/>
        <v>38</v>
      </c>
      <c r="AO93" s="1">
        <f t="shared" si="69"/>
        <v>38</v>
      </c>
      <c r="AP93" s="1">
        <f t="shared" si="69"/>
        <v>1</v>
      </c>
      <c r="AQ93" s="1">
        <f t="shared" si="69"/>
        <v>1</v>
      </c>
      <c r="AR93" s="1">
        <f t="shared" si="69"/>
        <v>1</v>
      </c>
      <c r="AS93" s="1">
        <f t="shared" si="69"/>
        <v>28</v>
      </c>
      <c r="AT93" s="1">
        <f t="shared" si="69"/>
        <v>38</v>
      </c>
      <c r="AU93" s="1">
        <f t="shared" si="69"/>
        <v>38</v>
      </c>
      <c r="AV93" s="1">
        <f t="shared" si="69"/>
        <v>1</v>
      </c>
      <c r="AW93" s="1">
        <f t="shared" si="69"/>
        <v>1</v>
      </c>
      <c r="AX93" s="1">
        <f t="shared" si="69"/>
        <v>1</v>
      </c>
      <c r="AY93" s="1">
        <f t="shared" si="69"/>
        <v>1</v>
      </c>
    </row>
    <row r="94" spans="1:51">
      <c r="A94" s="1" t="str">
        <f t="shared" si="67"/>
        <v>3.2) Infrastructure Safety (Outputs)</v>
      </c>
      <c r="B94" s="1">
        <f t="shared" ref="B94:AG94" si="70">RANK(B35,$B35:$AY35,0)</f>
        <v>10</v>
      </c>
      <c r="C94" s="1">
        <f t="shared" si="70"/>
        <v>6</v>
      </c>
      <c r="D94" s="1">
        <f t="shared" si="70"/>
        <v>33</v>
      </c>
      <c r="E94" s="1">
        <f t="shared" si="70"/>
        <v>34</v>
      </c>
      <c r="F94" s="1">
        <f t="shared" si="70"/>
        <v>26</v>
      </c>
      <c r="G94" s="1">
        <f t="shared" si="70"/>
        <v>19</v>
      </c>
      <c r="H94" s="1">
        <f t="shared" si="70"/>
        <v>44</v>
      </c>
      <c r="I94" s="1">
        <f t="shared" si="70"/>
        <v>20</v>
      </c>
      <c r="J94" s="1">
        <f t="shared" si="70"/>
        <v>32</v>
      </c>
      <c r="K94" s="1">
        <f t="shared" si="70"/>
        <v>15</v>
      </c>
      <c r="L94" s="1">
        <f t="shared" si="70"/>
        <v>40</v>
      </c>
      <c r="M94" s="1">
        <f t="shared" si="70"/>
        <v>25</v>
      </c>
      <c r="N94" s="1">
        <f t="shared" si="70"/>
        <v>38</v>
      </c>
      <c r="O94" s="1">
        <f t="shared" si="70"/>
        <v>48</v>
      </c>
      <c r="P94" s="1">
        <f t="shared" si="70"/>
        <v>29</v>
      </c>
      <c r="Q94" s="1">
        <f t="shared" si="70"/>
        <v>49</v>
      </c>
      <c r="R94" s="1">
        <f t="shared" si="70"/>
        <v>45</v>
      </c>
      <c r="S94" s="1">
        <f t="shared" si="70"/>
        <v>11</v>
      </c>
      <c r="T94" s="1">
        <f t="shared" si="70"/>
        <v>43</v>
      </c>
      <c r="U94" s="1">
        <f t="shared" si="70"/>
        <v>18</v>
      </c>
      <c r="V94" s="1">
        <f t="shared" si="70"/>
        <v>16</v>
      </c>
      <c r="W94" s="1">
        <f t="shared" si="70"/>
        <v>22</v>
      </c>
      <c r="X94" s="1">
        <f t="shared" si="70"/>
        <v>4</v>
      </c>
      <c r="Y94" s="1">
        <f t="shared" si="70"/>
        <v>50</v>
      </c>
      <c r="Z94" s="1">
        <f t="shared" si="70"/>
        <v>42</v>
      </c>
      <c r="AA94" s="1">
        <f t="shared" si="70"/>
        <v>5</v>
      </c>
      <c r="AB94" s="1">
        <f t="shared" si="70"/>
        <v>46</v>
      </c>
      <c r="AC94" s="1">
        <f t="shared" si="70"/>
        <v>30</v>
      </c>
      <c r="AD94" s="1">
        <f t="shared" si="70"/>
        <v>23</v>
      </c>
      <c r="AE94" s="1">
        <f t="shared" si="70"/>
        <v>36</v>
      </c>
      <c r="AF94" s="1">
        <f t="shared" si="70"/>
        <v>31</v>
      </c>
      <c r="AG94" s="1">
        <f t="shared" si="70"/>
        <v>35</v>
      </c>
      <c r="AH94" s="1">
        <f t="shared" ref="AH94:AY94" si="71">RANK(AH35,$B35:$AY35,0)</f>
        <v>41</v>
      </c>
      <c r="AI94" s="1">
        <f t="shared" si="71"/>
        <v>39</v>
      </c>
      <c r="AJ94" s="1">
        <f t="shared" si="71"/>
        <v>17</v>
      </c>
      <c r="AK94" s="1">
        <f t="shared" si="71"/>
        <v>9</v>
      </c>
      <c r="AL94" s="1">
        <f t="shared" si="71"/>
        <v>37</v>
      </c>
      <c r="AM94" s="1">
        <f t="shared" si="71"/>
        <v>8</v>
      </c>
      <c r="AN94" s="1">
        <f t="shared" si="71"/>
        <v>24</v>
      </c>
      <c r="AO94" s="1">
        <f t="shared" si="71"/>
        <v>28</v>
      </c>
      <c r="AP94" s="1">
        <f t="shared" si="71"/>
        <v>21</v>
      </c>
      <c r="AQ94" s="1">
        <f t="shared" si="71"/>
        <v>2</v>
      </c>
      <c r="AR94" s="1">
        <f t="shared" si="71"/>
        <v>7</v>
      </c>
      <c r="AS94" s="1">
        <f t="shared" si="71"/>
        <v>1</v>
      </c>
      <c r="AT94" s="1">
        <f t="shared" si="71"/>
        <v>13</v>
      </c>
      <c r="AU94" s="1">
        <f t="shared" si="71"/>
        <v>27</v>
      </c>
      <c r="AV94" s="1">
        <f t="shared" si="71"/>
        <v>14</v>
      </c>
      <c r="AW94" s="1">
        <f t="shared" si="71"/>
        <v>12</v>
      </c>
      <c r="AX94" s="1">
        <f t="shared" si="71"/>
        <v>47</v>
      </c>
      <c r="AY94" s="1">
        <f t="shared" si="71"/>
        <v>3</v>
      </c>
    </row>
    <row r="95" spans="1:51">
      <c r="A95" s="1" t="str">
        <f t="shared" si="67"/>
        <v>3.2.1) Death from natural disasters</v>
      </c>
      <c r="B95" s="1">
        <f t="shared" ref="B95:AG95" si="72">RANK(B36,$B36:$AY36,0)</f>
        <v>1</v>
      </c>
      <c r="C95" s="1">
        <f t="shared" si="72"/>
        <v>45</v>
      </c>
      <c r="D95" s="1">
        <f t="shared" si="72"/>
        <v>43</v>
      </c>
      <c r="E95" s="1">
        <f t="shared" si="72"/>
        <v>26</v>
      </c>
      <c r="F95" s="1">
        <f t="shared" si="72"/>
        <v>14</v>
      </c>
      <c r="G95" s="1">
        <f t="shared" si="72"/>
        <v>44</v>
      </c>
      <c r="H95" s="1">
        <f t="shared" si="72"/>
        <v>21</v>
      </c>
      <c r="I95" s="1">
        <f t="shared" si="72"/>
        <v>30</v>
      </c>
      <c r="J95" s="1">
        <f t="shared" si="72"/>
        <v>42</v>
      </c>
      <c r="K95" s="1">
        <f t="shared" si="72"/>
        <v>1</v>
      </c>
      <c r="L95" s="1">
        <f t="shared" si="72"/>
        <v>32</v>
      </c>
      <c r="M95" s="1">
        <f t="shared" si="72"/>
        <v>20</v>
      </c>
      <c r="N95" s="1">
        <f t="shared" si="72"/>
        <v>36</v>
      </c>
      <c r="O95" s="1">
        <f t="shared" si="72"/>
        <v>1</v>
      </c>
      <c r="P95" s="1">
        <f t="shared" si="72"/>
        <v>25</v>
      </c>
      <c r="Q95" s="1">
        <f t="shared" si="72"/>
        <v>50</v>
      </c>
      <c r="R95" s="1">
        <f t="shared" si="72"/>
        <v>23</v>
      </c>
      <c r="S95" s="1">
        <f t="shared" si="72"/>
        <v>1</v>
      </c>
      <c r="T95" s="1">
        <f t="shared" si="72"/>
        <v>35</v>
      </c>
      <c r="U95" s="1">
        <f t="shared" si="72"/>
        <v>28</v>
      </c>
      <c r="V95" s="1">
        <f t="shared" si="72"/>
        <v>14</v>
      </c>
      <c r="W95" s="1">
        <f t="shared" si="72"/>
        <v>16</v>
      </c>
      <c r="X95" s="1">
        <f t="shared" si="72"/>
        <v>39</v>
      </c>
      <c r="Y95" s="1">
        <f t="shared" si="72"/>
        <v>16</v>
      </c>
      <c r="Z95" s="1">
        <f t="shared" si="72"/>
        <v>41</v>
      </c>
      <c r="AA95" s="1">
        <f t="shared" si="72"/>
        <v>11</v>
      </c>
      <c r="AB95" s="1">
        <f t="shared" si="72"/>
        <v>48</v>
      </c>
      <c r="AC95" s="1">
        <f t="shared" si="72"/>
        <v>1</v>
      </c>
      <c r="AD95" s="1">
        <f t="shared" si="72"/>
        <v>12</v>
      </c>
      <c r="AE95" s="1">
        <f t="shared" si="72"/>
        <v>49</v>
      </c>
      <c r="AF95" s="1">
        <f t="shared" si="72"/>
        <v>31</v>
      </c>
      <c r="AG95" s="1">
        <f t="shared" si="72"/>
        <v>38</v>
      </c>
      <c r="AH95" s="1">
        <f t="shared" ref="AH95:AY95" si="73">RANK(AH36,$B36:$AY36,0)</f>
        <v>7</v>
      </c>
      <c r="AI95" s="1">
        <f t="shared" si="73"/>
        <v>34</v>
      </c>
      <c r="AJ95" s="1">
        <f t="shared" si="73"/>
        <v>33</v>
      </c>
      <c r="AK95" s="1">
        <f t="shared" si="73"/>
        <v>27</v>
      </c>
      <c r="AL95" s="1">
        <f t="shared" si="73"/>
        <v>46</v>
      </c>
      <c r="AM95" s="1">
        <f t="shared" si="73"/>
        <v>13</v>
      </c>
      <c r="AN95" s="1">
        <f t="shared" si="73"/>
        <v>6</v>
      </c>
      <c r="AO95" s="1">
        <f t="shared" si="73"/>
        <v>18</v>
      </c>
      <c r="AP95" s="1">
        <f t="shared" si="73"/>
        <v>22</v>
      </c>
      <c r="AQ95" s="1">
        <f t="shared" si="73"/>
        <v>9</v>
      </c>
      <c r="AR95" s="1">
        <f t="shared" si="73"/>
        <v>39</v>
      </c>
      <c r="AS95" s="1">
        <f t="shared" si="73"/>
        <v>37</v>
      </c>
      <c r="AT95" s="1">
        <f t="shared" si="73"/>
        <v>29</v>
      </c>
      <c r="AU95" s="1">
        <f t="shared" si="73"/>
        <v>24</v>
      </c>
      <c r="AV95" s="1">
        <f t="shared" si="73"/>
        <v>47</v>
      </c>
      <c r="AW95" s="1">
        <f t="shared" si="73"/>
        <v>9</v>
      </c>
      <c r="AX95" s="1">
        <f t="shared" si="73"/>
        <v>7</v>
      </c>
      <c r="AY95" s="1">
        <f t="shared" si="73"/>
        <v>19</v>
      </c>
    </row>
    <row r="96" spans="1:51">
      <c r="A96" s="1" t="str">
        <f t="shared" si="67"/>
        <v>3.2.2) Frequency of vehicular accidents</v>
      </c>
      <c r="B96" s="1">
        <f t="shared" ref="B96:AG96" si="74">RANK(B37,$B37:$AY37,0)</f>
        <v>11</v>
      </c>
      <c r="C96" s="1">
        <f t="shared" si="74"/>
        <v>9</v>
      </c>
      <c r="D96" s="1">
        <f t="shared" si="74"/>
        <v>22</v>
      </c>
      <c r="E96" s="1">
        <f t="shared" si="74"/>
        <v>34</v>
      </c>
      <c r="F96" s="1">
        <f t="shared" si="74"/>
        <v>2</v>
      </c>
      <c r="G96" s="1">
        <f t="shared" si="74"/>
        <v>23</v>
      </c>
      <c r="H96" s="1">
        <f t="shared" si="74"/>
        <v>20</v>
      </c>
      <c r="I96" s="1">
        <f t="shared" si="74"/>
        <v>35</v>
      </c>
      <c r="J96" s="1">
        <f t="shared" si="74"/>
        <v>8</v>
      </c>
      <c r="K96" s="1">
        <f t="shared" si="74"/>
        <v>18</v>
      </c>
      <c r="L96" s="1">
        <f t="shared" si="74"/>
        <v>47</v>
      </c>
      <c r="M96" s="1">
        <f t="shared" si="74"/>
        <v>3</v>
      </c>
      <c r="N96" s="1">
        <f t="shared" si="74"/>
        <v>7</v>
      </c>
      <c r="O96" s="1">
        <f t="shared" si="74"/>
        <v>19</v>
      </c>
      <c r="P96" s="1">
        <f t="shared" si="74"/>
        <v>45</v>
      </c>
      <c r="Q96" s="1">
        <f t="shared" si="74"/>
        <v>10</v>
      </c>
      <c r="R96" s="1">
        <f t="shared" si="74"/>
        <v>46</v>
      </c>
      <c r="S96" s="1">
        <f t="shared" si="74"/>
        <v>42</v>
      </c>
      <c r="T96" s="1">
        <f t="shared" si="74"/>
        <v>36</v>
      </c>
      <c r="U96" s="1">
        <f t="shared" si="74"/>
        <v>17</v>
      </c>
      <c r="V96" s="1">
        <f t="shared" si="74"/>
        <v>30</v>
      </c>
      <c r="W96" s="1">
        <f t="shared" si="74"/>
        <v>16</v>
      </c>
      <c r="X96" s="1">
        <f t="shared" si="74"/>
        <v>23</v>
      </c>
      <c r="Y96" s="1">
        <f t="shared" si="74"/>
        <v>50</v>
      </c>
      <c r="Z96" s="1">
        <f t="shared" si="74"/>
        <v>44</v>
      </c>
      <c r="AA96" s="1">
        <f t="shared" si="74"/>
        <v>28</v>
      </c>
      <c r="AB96" s="1">
        <f t="shared" si="74"/>
        <v>12</v>
      </c>
      <c r="AC96" s="1">
        <f t="shared" si="74"/>
        <v>4</v>
      </c>
      <c r="AD96" s="1">
        <f t="shared" si="74"/>
        <v>39</v>
      </c>
      <c r="AE96" s="1">
        <f t="shared" si="74"/>
        <v>32</v>
      </c>
      <c r="AF96" s="1">
        <f t="shared" si="74"/>
        <v>43</v>
      </c>
      <c r="AG96" s="1">
        <f t="shared" si="74"/>
        <v>25</v>
      </c>
      <c r="AH96" s="1">
        <f t="shared" ref="AH96:AY96" si="75">RANK(AH37,$B37:$AY37,0)</f>
        <v>48</v>
      </c>
      <c r="AI96" s="1">
        <f t="shared" si="75"/>
        <v>37</v>
      </c>
      <c r="AJ96" s="1">
        <f t="shared" si="75"/>
        <v>31</v>
      </c>
      <c r="AK96" s="1">
        <f t="shared" si="75"/>
        <v>27</v>
      </c>
      <c r="AL96" s="1">
        <f t="shared" si="75"/>
        <v>21</v>
      </c>
      <c r="AM96" s="1">
        <f t="shared" si="75"/>
        <v>29</v>
      </c>
      <c r="AN96" s="1">
        <f t="shared" si="75"/>
        <v>1</v>
      </c>
      <c r="AO96" s="1">
        <f t="shared" si="75"/>
        <v>6</v>
      </c>
      <c r="AP96" s="1">
        <f t="shared" si="75"/>
        <v>13</v>
      </c>
      <c r="AQ96" s="1">
        <f t="shared" si="75"/>
        <v>14</v>
      </c>
      <c r="AR96" s="1">
        <f t="shared" si="75"/>
        <v>33</v>
      </c>
      <c r="AS96" s="1">
        <f t="shared" si="75"/>
        <v>38</v>
      </c>
      <c r="AT96" s="1">
        <f t="shared" si="75"/>
        <v>15</v>
      </c>
      <c r="AU96" s="1">
        <f t="shared" si="75"/>
        <v>5</v>
      </c>
      <c r="AV96" s="1">
        <f t="shared" si="75"/>
        <v>26</v>
      </c>
      <c r="AW96" s="1">
        <f t="shared" si="75"/>
        <v>40</v>
      </c>
      <c r="AX96" s="1">
        <f t="shared" si="75"/>
        <v>49</v>
      </c>
      <c r="AY96" s="1">
        <f t="shared" si="75"/>
        <v>41</v>
      </c>
    </row>
    <row r="97" spans="1:51">
      <c r="A97" s="1" t="str">
        <f t="shared" si="67"/>
        <v>3.2.3) Frequency of pedestrian deaths</v>
      </c>
      <c r="B97" s="1">
        <f t="shared" ref="B97:AG97" si="76">RANK(B38,$B38:$AY38,0)</f>
        <v>31</v>
      </c>
      <c r="C97" s="1">
        <f t="shared" si="76"/>
        <v>3</v>
      </c>
      <c r="D97" s="1">
        <f t="shared" si="76"/>
        <v>26</v>
      </c>
      <c r="E97" s="1">
        <f t="shared" si="76"/>
        <v>8</v>
      </c>
      <c r="F97" s="1">
        <f t="shared" si="76"/>
        <v>21</v>
      </c>
      <c r="G97" s="1">
        <f t="shared" si="76"/>
        <v>16</v>
      </c>
      <c r="H97" s="1">
        <f t="shared" si="76"/>
        <v>48</v>
      </c>
      <c r="I97" s="1">
        <f t="shared" si="76"/>
        <v>30</v>
      </c>
      <c r="J97" s="1">
        <f t="shared" si="76"/>
        <v>34</v>
      </c>
      <c r="K97" s="1">
        <f t="shared" si="76"/>
        <v>39</v>
      </c>
      <c r="L97" s="1">
        <f t="shared" si="76"/>
        <v>6</v>
      </c>
      <c r="M97" s="1">
        <f t="shared" si="76"/>
        <v>16</v>
      </c>
      <c r="N97" s="1">
        <f t="shared" si="76"/>
        <v>13</v>
      </c>
      <c r="O97" s="1">
        <f t="shared" si="76"/>
        <v>49</v>
      </c>
      <c r="P97" s="1">
        <f t="shared" si="76"/>
        <v>20</v>
      </c>
      <c r="Q97" s="1">
        <f t="shared" si="76"/>
        <v>37</v>
      </c>
      <c r="R97" s="1">
        <f t="shared" si="76"/>
        <v>44</v>
      </c>
      <c r="S97" s="1">
        <f t="shared" si="76"/>
        <v>43</v>
      </c>
      <c r="T97" s="1">
        <f t="shared" si="76"/>
        <v>40</v>
      </c>
      <c r="U97" s="1">
        <f t="shared" si="76"/>
        <v>10</v>
      </c>
      <c r="V97" s="1">
        <f t="shared" si="76"/>
        <v>34</v>
      </c>
      <c r="W97" s="1">
        <f t="shared" si="76"/>
        <v>2</v>
      </c>
      <c r="X97" s="1">
        <f t="shared" si="76"/>
        <v>6</v>
      </c>
      <c r="Y97" s="1">
        <f t="shared" si="76"/>
        <v>50</v>
      </c>
      <c r="Z97" s="1">
        <f t="shared" si="76"/>
        <v>34</v>
      </c>
      <c r="AA97" s="1">
        <f t="shared" si="76"/>
        <v>1</v>
      </c>
      <c r="AB97" s="1">
        <f t="shared" si="76"/>
        <v>45</v>
      </c>
      <c r="AC97" s="1">
        <f t="shared" si="76"/>
        <v>25</v>
      </c>
      <c r="AD97" s="1">
        <f t="shared" si="76"/>
        <v>27</v>
      </c>
      <c r="AE97" s="1">
        <f t="shared" si="76"/>
        <v>23</v>
      </c>
      <c r="AF97" s="1">
        <f t="shared" si="76"/>
        <v>10</v>
      </c>
      <c r="AG97" s="1">
        <f t="shared" si="76"/>
        <v>41</v>
      </c>
      <c r="AH97" s="1">
        <f t="shared" ref="AH97:AY97" si="77">RANK(AH38,$B38:$AY38,0)</f>
        <v>38</v>
      </c>
      <c r="AI97" s="1">
        <f t="shared" si="77"/>
        <v>33</v>
      </c>
      <c r="AJ97" s="1">
        <f t="shared" si="77"/>
        <v>32</v>
      </c>
      <c r="AK97" s="1">
        <f t="shared" si="77"/>
        <v>47</v>
      </c>
      <c r="AL97" s="1">
        <f t="shared" si="77"/>
        <v>42</v>
      </c>
      <c r="AM97" s="1">
        <f t="shared" si="77"/>
        <v>27</v>
      </c>
      <c r="AN97" s="1">
        <f t="shared" si="77"/>
        <v>16</v>
      </c>
      <c r="AO97" s="1">
        <f t="shared" si="77"/>
        <v>21</v>
      </c>
      <c r="AP97" s="1">
        <f t="shared" si="77"/>
        <v>10</v>
      </c>
      <c r="AQ97" s="1">
        <f t="shared" si="77"/>
        <v>5</v>
      </c>
      <c r="AR97" s="1">
        <f t="shared" si="77"/>
        <v>8</v>
      </c>
      <c r="AS97" s="1">
        <f t="shared" si="77"/>
        <v>14</v>
      </c>
      <c r="AT97" s="1">
        <f t="shared" si="77"/>
        <v>46</v>
      </c>
      <c r="AU97" s="1">
        <f t="shared" si="77"/>
        <v>16</v>
      </c>
      <c r="AV97" s="1">
        <f t="shared" si="77"/>
        <v>29</v>
      </c>
      <c r="AW97" s="1">
        <f t="shared" si="77"/>
        <v>3</v>
      </c>
      <c r="AX97" s="1">
        <f t="shared" si="77"/>
        <v>23</v>
      </c>
      <c r="AY97" s="1">
        <f t="shared" si="77"/>
        <v>14</v>
      </c>
    </row>
    <row r="98" spans="1:51">
      <c r="A98" s="1" t="str">
        <f t="shared" si="67"/>
        <v>3.2.4) Percent living in urban slums</v>
      </c>
      <c r="B98" s="1">
        <f t="shared" ref="B98:AG98" si="78">RANK(B39,$B39:$AY39,0)</f>
        <v>20</v>
      </c>
      <c r="C98" s="1">
        <f t="shared" si="78"/>
        <v>12</v>
      </c>
      <c r="D98" s="1">
        <f t="shared" si="78"/>
        <v>36</v>
      </c>
      <c r="E98" s="1">
        <f t="shared" si="78"/>
        <v>37</v>
      </c>
      <c r="F98" s="1">
        <f t="shared" si="78"/>
        <v>41</v>
      </c>
      <c r="G98" s="1">
        <f t="shared" si="78"/>
        <v>29</v>
      </c>
      <c r="H98" s="1">
        <f t="shared" si="78"/>
        <v>28</v>
      </c>
      <c r="I98" s="1">
        <f t="shared" si="78"/>
        <v>23</v>
      </c>
      <c r="J98" s="1">
        <f t="shared" si="78"/>
        <v>46</v>
      </c>
      <c r="K98" s="1">
        <f t="shared" si="78"/>
        <v>20</v>
      </c>
      <c r="L98" s="1">
        <f t="shared" si="78"/>
        <v>22</v>
      </c>
      <c r="M98" s="1">
        <f t="shared" si="78"/>
        <v>41</v>
      </c>
      <c r="N98" s="1">
        <f t="shared" si="78"/>
        <v>48</v>
      </c>
      <c r="O98" s="1">
        <f t="shared" si="78"/>
        <v>17</v>
      </c>
      <c r="P98" s="1">
        <f t="shared" si="78"/>
        <v>8</v>
      </c>
      <c r="Q98" s="1">
        <f t="shared" si="78"/>
        <v>30</v>
      </c>
      <c r="R98" s="1">
        <f t="shared" si="78"/>
        <v>30</v>
      </c>
      <c r="S98" s="1">
        <f t="shared" si="78"/>
        <v>3</v>
      </c>
      <c r="T98" s="1">
        <f t="shared" si="78"/>
        <v>50</v>
      </c>
      <c r="U98" s="1">
        <f t="shared" si="78"/>
        <v>32</v>
      </c>
      <c r="V98" s="1">
        <f t="shared" si="78"/>
        <v>23</v>
      </c>
      <c r="W98" s="1">
        <f t="shared" si="78"/>
        <v>37</v>
      </c>
      <c r="X98" s="1">
        <f t="shared" si="78"/>
        <v>6</v>
      </c>
      <c r="Y98" s="1">
        <f t="shared" si="78"/>
        <v>11</v>
      </c>
      <c r="Z98" s="1">
        <f t="shared" si="78"/>
        <v>39</v>
      </c>
      <c r="AA98" s="1">
        <f t="shared" si="78"/>
        <v>9</v>
      </c>
      <c r="AB98" s="1">
        <f t="shared" si="78"/>
        <v>49</v>
      </c>
      <c r="AC98" s="1">
        <f t="shared" si="78"/>
        <v>46</v>
      </c>
      <c r="AD98" s="1">
        <f t="shared" si="78"/>
        <v>23</v>
      </c>
      <c r="AE98" s="1">
        <f t="shared" si="78"/>
        <v>15</v>
      </c>
      <c r="AF98" s="1">
        <f t="shared" si="78"/>
        <v>19</v>
      </c>
      <c r="AG98" s="1">
        <f t="shared" si="78"/>
        <v>34</v>
      </c>
      <c r="AH98" s="1">
        <f t="shared" ref="AH98:AY98" si="79">RANK(AH39,$B39:$AY39,0)</f>
        <v>17</v>
      </c>
      <c r="AI98" s="1">
        <f t="shared" si="79"/>
        <v>39</v>
      </c>
      <c r="AJ98" s="1">
        <f t="shared" si="79"/>
        <v>23</v>
      </c>
      <c r="AK98" s="1">
        <f t="shared" si="79"/>
        <v>4</v>
      </c>
      <c r="AL98" s="1">
        <f t="shared" si="79"/>
        <v>34</v>
      </c>
      <c r="AM98" s="1">
        <f t="shared" si="79"/>
        <v>12</v>
      </c>
      <c r="AN98" s="1">
        <f t="shared" si="79"/>
        <v>41</v>
      </c>
      <c r="AO98" s="1">
        <f t="shared" si="79"/>
        <v>41</v>
      </c>
      <c r="AP98" s="1">
        <f t="shared" si="79"/>
        <v>33</v>
      </c>
      <c r="AQ98" s="1">
        <f t="shared" si="79"/>
        <v>5</v>
      </c>
      <c r="AR98" s="1">
        <f t="shared" si="79"/>
        <v>6</v>
      </c>
      <c r="AS98" s="1">
        <f t="shared" si="79"/>
        <v>1</v>
      </c>
      <c r="AT98" s="1">
        <f t="shared" si="79"/>
        <v>12</v>
      </c>
      <c r="AU98" s="1">
        <f t="shared" si="79"/>
        <v>41</v>
      </c>
      <c r="AV98" s="1">
        <f t="shared" si="79"/>
        <v>15</v>
      </c>
      <c r="AW98" s="1">
        <f t="shared" si="79"/>
        <v>10</v>
      </c>
      <c r="AX98" s="1">
        <f t="shared" si="79"/>
        <v>23</v>
      </c>
      <c r="AY98" s="1">
        <f t="shared" si="79"/>
        <v>2</v>
      </c>
    </row>
    <row r="99" spans="1:51">
      <c r="A99" s="1" t="str">
        <f t="shared" si="67"/>
        <v>4) PERSONAL SAFETY</v>
      </c>
      <c r="B99" s="1">
        <f t="shared" ref="B99:AG99" si="80">RANK(B40,$B40:$AY40,0)</f>
        <v>32</v>
      </c>
      <c r="C99" s="1">
        <f t="shared" si="80"/>
        <v>9</v>
      </c>
      <c r="D99" s="1">
        <f t="shared" si="80"/>
        <v>26</v>
      </c>
      <c r="E99" s="1">
        <f t="shared" si="80"/>
        <v>11</v>
      </c>
      <c r="F99" s="1">
        <f t="shared" si="80"/>
        <v>48</v>
      </c>
      <c r="G99" s="1">
        <f t="shared" si="80"/>
        <v>41</v>
      </c>
      <c r="H99" s="1">
        <f t="shared" si="80"/>
        <v>36</v>
      </c>
      <c r="I99" s="1">
        <f t="shared" si="80"/>
        <v>25</v>
      </c>
      <c r="J99" s="1">
        <f t="shared" si="80"/>
        <v>22</v>
      </c>
      <c r="K99" s="1">
        <f t="shared" si="80"/>
        <v>14</v>
      </c>
      <c r="L99" s="1">
        <f t="shared" si="80"/>
        <v>16</v>
      </c>
      <c r="M99" s="1">
        <f t="shared" si="80"/>
        <v>44</v>
      </c>
      <c r="N99" s="1">
        <f t="shared" si="80"/>
        <v>34</v>
      </c>
      <c r="O99" s="1">
        <f t="shared" si="80"/>
        <v>6</v>
      </c>
      <c r="P99" s="1">
        <f t="shared" si="80"/>
        <v>18</v>
      </c>
      <c r="Q99" s="1">
        <f t="shared" si="80"/>
        <v>45</v>
      </c>
      <c r="R99" s="1">
        <f t="shared" si="80"/>
        <v>39</v>
      </c>
      <c r="S99" s="1">
        <f t="shared" si="80"/>
        <v>43</v>
      </c>
      <c r="T99" s="1">
        <f t="shared" si="80"/>
        <v>15</v>
      </c>
      <c r="U99" s="1">
        <f t="shared" si="80"/>
        <v>12</v>
      </c>
      <c r="V99" s="1">
        <f t="shared" si="80"/>
        <v>23</v>
      </c>
      <c r="W99" s="1">
        <f t="shared" si="80"/>
        <v>33</v>
      </c>
      <c r="X99" s="1">
        <f t="shared" si="80"/>
        <v>8</v>
      </c>
      <c r="Y99" s="1">
        <f t="shared" si="80"/>
        <v>37</v>
      </c>
      <c r="Z99" s="1">
        <f t="shared" si="80"/>
        <v>27</v>
      </c>
      <c r="AA99" s="1">
        <f t="shared" si="80"/>
        <v>29</v>
      </c>
      <c r="AB99" s="1">
        <f t="shared" si="80"/>
        <v>49</v>
      </c>
      <c r="AC99" s="1">
        <f t="shared" si="80"/>
        <v>20</v>
      </c>
      <c r="AD99" s="1">
        <f t="shared" si="80"/>
        <v>28</v>
      </c>
      <c r="AE99" s="1">
        <f t="shared" si="80"/>
        <v>2</v>
      </c>
      <c r="AF99" s="1">
        <f t="shared" si="80"/>
        <v>24</v>
      </c>
      <c r="AG99" s="1">
        <f t="shared" si="80"/>
        <v>31</v>
      </c>
      <c r="AH99" s="1">
        <f t="shared" ref="AH99:AY99" si="81">RANK(AH40,$B40:$AY40,0)</f>
        <v>42</v>
      </c>
      <c r="AI99" s="1">
        <f t="shared" si="81"/>
        <v>40</v>
      </c>
      <c r="AJ99" s="1">
        <f t="shared" si="81"/>
        <v>21</v>
      </c>
      <c r="AK99" s="1">
        <f t="shared" si="81"/>
        <v>50</v>
      </c>
      <c r="AL99" s="1">
        <f t="shared" si="81"/>
        <v>46</v>
      </c>
      <c r="AM99" s="1">
        <f t="shared" si="81"/>
        <v>19</v>
      </c>
      <c r="AN99" s="1">
        <f t="shared" si="81"/>
        <v>30</v>
      </c>
      <c r="AO99" s="1">
        <f t="shared" si="81"/>
        <v>38</v>
      </c>
      <c r="AP99" s="1">
        <f t="shared" si="81"/>
        <v>1</v>
      </c>
      <c r="AQ99" s="1">
        <f t="shared" si="81"/>
        <v>4</v>
      </c>
      <c r="AR99" s="1">
        <f t="shared" si="81"/>
        <v>10</v>
      </c>
      <c r="AS99" s="1">
        <f t="shared" si="81"/>
        <v>5</v>
      </c>
      <c r="AT99" s="1">
        <f t="shared" si="81"/>
        <v>47</v>
      </c>
      <c r="AU99" s="1">
        <f t="shared" si="81"/>
        <v>35</v>
      </c>
      <c r="AV99" s="1">
        <f t="shared" si="81"/>
        <v>3</v>
      </c>
      <c r="AW99" s="1">
        <f t="shared" si="81"/>
        <v>7</v>
      </c>
      <c r="AX99" s="1">
        <f t="shared" si="81"/>
        <v>17</v>
      </c>
      <c r="AY99" s="1">
        <f t="shared" si="81"/>
        <v>13</v>
      </c>
    </row>
    <row r="100" spans="1:51">
      <c r="A100" s="1" t="str">
        <f t="shared" si="67"/>
        <v>4.1) Personal Safety (Inputs)</v>
      </c>
      <c r="B100" s="1">
        <f t="shared" ref="B100:AG100" si="82">RANK(B41,$B41:$AY41,0)</f>
        <v>44</v>
      </c>
      <c r="C100" s="1">
        <f t="shared" si="82"/>
        <v>11</v>
      </c>
      <c r="D100" s="1">
        <f t="shared" si="82"/>
        <v>24</v>
      </c>
      <c r="E100" s="1">
        <f t="shared" si="82"/>
        <v>12</v>
      </c>
      <c r="F100" s="1">
        <f t="shared" si="82"/>
        <v>45</v>
      </c>
      <c r="G100" s="1">
        <f t="shared" si="82"/>
        <v>46</v>
      </c>
      <c r="H100" s="1">
        <f t="shared" si="82"/>
        <v>34</v>
      </c>
      <c r="I100" s="1">
        <f t="shared" si="82"/>
        <v>15</v>
      </c>
      <c r="J100" s="1">
        <f t="shared" si="82"/>
        <v>22</v>
      </c>
      <c r="K100" s="1">
        <f t="shared" si="82"/>
        <v>18</v>
      </c>
      <c r="L100" s="1">
        <f t="shared" si="82"/>
        <v>21</v>
      </c>
      <c r="M100" s="1">
        <f t="shared" si="82"/>
        <v>38</v>
      </c>
      <c r="N100" s="1">
        <f t="shared" si="82"/>
        <v>37</v>
      </c>
      <c r="O100" s="1">
        <f t="shared" si="82"/>
        <v>10</v>
      </c>
      <c r="P100" s="1">
        <f t="shared" si="82"/>
        <v>20</v>
      </c>
      <c r="Q100" s="1">
        <f t="shared" si="82"/>
        <v>41</v>
      </c>
      <c r="R100" s="1">
        <f t="shared" si="82"/>
        <v>33</v>
      </c>
      <c r="S100" s="1">
        <f t="shared" si="82"/>
        <v>50</v>
      </c>
      <c r="T100" s="1">
        <f t="shared" si="82"/>
        <v>19</v>
      </c>
      <c r="U100" s="1">
        <f t="shared" si="82"/>
        <v>8</v>
      </c>
      <c r="V100" s="1">
        <f t="shared" si="82"/>
        <v>13</v>
      </c>
      <c r="W100" s="1">
        <f t="shared" si="82"/>
        <v>31</v>
      </c>
      <c r="X100" s="1">
        <f t="shared" si="82"/>
        <v>3</v>
      </c>
      <c r="Y100" s="1">
        <f t="shared" si="82"/>
        <v>28</v>
      </c>
      <c r="Z100" s="1">
        <f t="shared" si="82"/>
        <v>26</v>
      </c>
      <c r="AA100" s="1">
        <f t="shared" si="82"/>
        <v>35</v>
      </c>
      <c r="AB100" s="1">
        <f t="shared" si="82"/>
        <v>49</v>
      </c>
      <c r="AC100" s="1">
        <f t="shared" si="82"/>
        <v>22</v>
      </c>
      <c r="AD100" s="1">
        <f t="shared" si="82"/>
        <v>16</v>
      </c>
      <c r="AE100" s="1">
        <f t="shared" si="82"/>
        <v>1</v>
      </c>
      <c r="AF100" s="1">
        <f t="shared" si="82"/>
        <v>27</v>
      </c>
      <c r="AG100" s="1">
        <f t="shared" si="82"/>
        <v>25</v>
      </c>
      <c r="AH100" s="1">
        <f t="shared" ref="AH100:AY100" si="83">RANK(AH41,$B41:$AY41,0)</f>
        <v>48</v>
      </c>
      <c r="AI100" s="1">
        <f t="shared" si="83"/>
        <v>36</v>
      </c>
      <c r="AJ100" s="1">
        <f t="shared" si="83"/>
        <v>13</v>
      </c>
      <c r="AK100" s="1">
        <f t="shared" si="83"/>
        <v>43</v>
      </c>
      <c r="AL100" s="1">
        <f t="shared" si="83"/>
        <v>42</v>
      </c>
      <c r="AM100" s="1">
        <f t="shared" si="83"/>
        <v>32</v>
      </c>
      <c r="AN100" s="1">
        <f t="shared" si="83"/>
        <v>30</v>
      </c>
      <c r="AO100" s="1">
        <f t="shared" si="83"/>
        <v>38</v>
      </c>
      <c r="AP100" s="1">
        <f t="shared" si="83"/>
        <v>6</v>
      </c>
      <c r="AQ100" s="1">
        <f t="shared" si="83"/>
        <v>17</v>
      </c>
      <c r="AR100" s="1">
        <f t="shared" si="83"/>
        <v>3</v>
      </c>
      <c r="AS100" s="1">
        <f t="shared" si="83"/>
        <v>7</v>
      </c>
      <c r="AT100" s="1">
        <f t="shared" si="83"/>
        <v>47</v>
      </c>
      <c r="AU100" s="1">
        <f t="shared" si="83"/>
        <v>38</v>
      </c>
      <c r="AV100" s="1">
        <f t="shared" si="83"/>
        <v>1</v>
      </c>
      <c r="AW100" s="1">
        <f t="shared" si="83"/>
        <v>8</v>
      </c>
      <c r="AX100" s="1">
        <f t="shared" si="83"/>
        <v>3</v>
      </c>
      <c r="AY100" s="1">
        <f t="shared" si="83"/>
        <v>29</v>
      </c>
    </row>
    <row r="101" spans="1:51">
      <c r="A101" s="1" t="str">
        <f t="shared" si="67"/>
        <v>4.1.1) Level of police engagement</v>
      </c>
      <c r="B101" s="1">
        <f t="shared" ref="B101:AG101" si="84">RANK(B42,$B42:$AY42,0)</f>
        <v>35</v>
      </c>
      <c r="C101" s="1">
        <f t="shared" si="84"/>
        <v>1</v>
      </c>
      <c r="D101" s="1">
        <f t="shared" si="84"/>
        <v>35</v>
      </c>
      <c r="E101" s="1">
        <f t="shared" si="84"/>
        <v>1</v>
      </c>
      <c r="F101" s="1">
        <f t="shared" si="84"/>
        <v>1</v>
      </c>
      <c r="G101" s="1">
        <f t="shared" si="84"/>
        <v>1</v>
      </c>
      <c r="H101" s="1">
        <f t="shared" si="84"/>
        <v>35</v>
      </c>
      <c r="I101" s="1">
        <f t="shared" si="84"/>
        <v>1</v>
      </c>
      <c r="J101" s="1">
        <f t="shared" si="84"/>
        <v>1</v>
      </c>
      <c r="K101" s="1">
        <f t="shared" si="84"/>
        <v>35</v>
      </c>
      <c r="L101" s="1">
        <f t="shared" si="84"/>
        <v>1</v>
      </c>
      <c r="M101" s="1">
        <f t="shared" si="84"/>
        <v>35</v>
      </c>
      <c r="N101" s="1">
        <f t="shared" si="84"/>
        <v>35</v>
      </c>
      <c r="O101" s="1">
        <f t="shared" si="84"/>
        <v>1</v>
      </c>
      <c r="P101" s="1">
        <f t="shared" si="84"/>
        <v>1</v>
      </c>
      <c r="Q101" s="1">
        <f t="shared" si="84"/>
        <v>35</v>
      </c>
      <c r="R101" s="1">
        <f t="shared" si="84"/>
        <v>1</v>
      </c>
      <c r="S101" s="1">
        <f t="shared" si="84"/>
        <v>1</v>
      </c>
      <c r="T101" s="1">
        <f t="shared" si="84"/>
        <v>1</v>
      </c>
      <c r="U101" s="1">
        <f t="shared" si="84"/>
        <v>1</v>
      </c>
      <c r="V101" s="1">
        <f t="shared" si="84"/>
        <v>1</v>
      </c>
      <c r="W101" s="1">
        <f t="shared" si="84"/>
        <v>35</v>
      </c>
      <c r="X101" s="1">
        <f t="shared" si="84"/>
        <v>1</v>
      </c>
      <c r="Y101" s="1">
        <f t="shared" si="84"/>
        <v>1</v>
      </c>
      <c r="Z101" s="1">
        <f t="shared" si="84"/>
        <v>1</v>
      </c>
      <c r="AA101" s="1">
        <f t="shared" si="84"/>
        <v>1</v>
      </c>
      <c r="AB101" s="1">
        <f t="shared" si="84"/>
        <v>35</v>
      </c>
      <c r="AC101" s="1">
        <f t="shared" si="84"/>
        <v>1</v>
      </c>
      <c r="AD101" s="1">
        <f t="shared" si="84"/>
        <v>1</v>
      </c>
      <c r="AE101" s="1">
        <f t="shared" si="84"/>
        <v>1</v>
      </c>
      <c r="AF101" s="1">
        <f t="shared" si="84"/>
        <v>1</v>
      </c>
      <c r="AG101" s="1">
        <f t="shared" si="84"/>
        <v>1</v>
      </c>
      <c r="AH101" s="1">
        <f t="shared" ref="AH101:AY101" si="85">RANK(AH42,$B42:$AY42,0)</f>
        <v>1</v>
      </c>
      <c r="AI101" s="1">
        <f t="shared" si="85"/>
        <v>1</v>
      </c>
      <c r="AJ101" s="1">
        <f t="shared" si="85"/>
        <v>1</v>
      </c>
      <c r="AK101" s="1">
        <f t="shared" si="85"/>
        <v>35</v>
      </c>
      <c r="AL101" s="1">
        <f t="shared" si="85"/>
        <v>35</v>
      </c>
      <c r="AM101" s="1">
        <f t="shared" si="85"/>
        <v>35</v>
      </c>
      <c r="AN101" s="1">
        <f t="shared" si="85"/>
        <v>35</v>
      </c>
      <c r="AO101" s="1">
        <f t="shared" si="85"/>
        <v>35</v>
      </c>
      <c r="AP101" s="1">
        <f t="shared" si="85"/>
        <v>1</v>
      </c>
      <c r="AQ101" s="1">
        <f t="shared" si="85"/>
        <v>1</v>
      </c>
      <c r="AR101" s="1">
        <f t="shared" si="85"/>
        <v>1</v>
      </c>
      <c r="AS101" s="1">
        <f t="shared" si="85"/>
        <v>1</v>
      </c>
      <c r="AT101" s="1">
        <f t="shared" si="85"/>
        <v>35</v>
      </c>
      <c r="AU101" s="1">
        <f t="shared" si="85"/>
        <v>35</v>
      </c>
      <c r="AV101" s="1">
        <f t="shared" si="85"/>
        <v>1</v>
      </c>
      <c r="AW101" s="1">
        <f t="shared" si="85"/>
        <v>1</v>
      </c>
      <c r="AX101" s="1">
        <f t="shared" si="85"/>
        <v>1</v>
      </c>
      <c r="AY101" s="1">
        <f t="shared" si="85"/>
        <v>1</v>
      </c>
    </row>
    <row r="102" spans="1:51">
      <c r="A102" s="1" t="str">
        <f t="shared" si="67"/>
        <v>4.1.2) Community-based patrolling</v>
      </c>
      <c r="B102" s="1">
        <f t="shared" ref="B102:AG102" si="86">RANK(B43,$B43:$AY43,0)</f>
        <v>1</v>
      </c>
      <c r="C102" s="1">
        <f t="shared" si="86"/>
        <v>1</v>
      </c>
      <c r="D102" s="1">
        <f t="shared" si="86"/>
        <v>1</v>
      </c>
      <c r="E102" s="1">
        <f t="shared" si="86"/>
        <v>1</v>
      </c>
      <c r="F102" s="1">
        <f t="shared" si="86"/>
        <v>1</v>
      </c>
      <c r="G102" s="1">
        <f t="shared" si="86"/>
        <v>1</v>
      </c>
      <c r="H102" s="1">
        <f t="shared" si="86"/>
        <v>1</v>
      </c>
      <c r="I102" s="1">
        <f t="shared" si="86"/>
        <v>1</v>
      </c>
      <c r="J102" s="1">
        <f t="shared" si="86"/>
        <v>1</v>
      </c>
      <c r="K102" s="1">
        <f t="shared" si="86"/>
        <v>1</v>
      </c>
      <c r="L102" s="1">
        <f t="shared" si="86"/>
        <v>1</v>
      </c>
      <c r="M102" s="1">
        <f t="shared" si="86"/>
        <v>1</v>
      </c>
      <c r="N102" s="1">
        <f t="shared" si="86"/>
        <v>1</v>
      </c>
      <c r="O102" s="1">
        <f t="shared" si="86"/>
        <v>1</v>
      </c>
      <c r="P102" s="1">
        <f t="shared" si="86"/>
        <v>1</v>
      </c>
      <c r="Q102" s="1">
        <f t="shared" si="86"/>
        <v>1</v>
      </c>
      <c r="R102" s="1">
        <f t="shared" si="86"/>
        <v>1</v>
      </c>
      <c r="S102" s="1">
        <f t="shared" si="86"/>
        <v>48</v>
      </c>
      <c r="T102" s="1">
        <f t="shared" si="86"/>
        <v>1</v>
      </c>
      <c r="U102" s="1">
        <f t="shared" si="86"/>
        <v>1</v>
      </c>
      <c r="V102" s="1">
        <f t="shared" si="86"/>
        <v>1</v>
      </c>
      <c r="W102" s="1">
        <f t="shared" si="86"/>
        <v>1</v>
      </c>
      <c r="X102" s="1">
        <f t="shared" si="86"/>
        <v>1</v>
      </c>
      <c r="Y102" s="1">
        <f t="shared" si="86"/>
        <v>1</v>
      </c>
      <c r="Z102" s="1">
        <f t="shared" si="86"/>
        <v>1</v>
      </c>
      <c r="AA102" s="1">
        <f t="shared" si="86"/>
        <v>1</v>
      </c>
      <c r="AB102" s="1">
        <f t="shared" si="86"/>
        <v>1</v>
      </c>
      <c r="AC102" s="1">
        <f t="shared" si="86"/>
        <v>1</v>
      </c>
      <c r="AD102" s="1">
        <f t="shared" si="86"/>
        <v>1</v>
      </c>
      <c r="AE102" s="1">
        <f t="shared" si="86"/>
        <v>1</v>
      </c>
      <c r="AF102" s="1">
        <f t="shared" si="86"/>
        <v>1</v>
      </c>
      <c r="AG102" s="1">
        <f t="shared" si="86"/>
        <v>1</v>
      </c>
      <c r="AH102" s="1">
        <f t="shared" ref="AH102:AY102" si="87">RANK(AH43,$B43:$AY43,0)</f>
        <v>48</v>
      </c>
      <c r="AI102" s="1">
        <f t="shared" si="87"/>
        <v>1</v>
      </c>
      <c r="AJ102" s="1">
        <f t="shared" si="87"/>
        <v>1</v>
      </c>
      <c r="AK102" s="1">
        <f t="shared" si="87"/>
        <v>1</v>
      </c>
      <c r="AL102" s="1">
        <f t="shared" si="87"/>
        <v>1</v>
      </c>
      <c r="AM102" s="1">
        <f t="shared" si="87"/>
        <v>1</v>
      </c>
      <c r="AN102" s="1">
        <f t="shared" si="87"/>
        <v>1</v>
      </c>
      <c r="AO102" s="1">
        <f t="shared" si="87"/>
        <v>1</v>
      </c>
      <c r="AP102" s="1">
        <f t="shared" si="87"/>
        <v>1</v>
      </c>
      <c r="AQ102" s="1">
        <f t="shared" si="87"/>
        <v>1</v>
      </c>
      <c r="AR102" s="1">
        <f t="shared" si="87"/>
        <v>1</v>
      </c>
      <c r="AS102" s="1">
        <f t="shared" si="87"/>
        <v>1</v>
      </c>
      <c r="AT102" s="1">
        <f t="shared" si="87"/>
        <v>48</v>
      </c>
      <c r="AU102" s="1">
        <f t="shared" si="87"/>
        <v>1</v>
      </c>
      <c r="AV102" s="1">
        <f t="shared" si="87"/>
        <v>1</v>
      </c>
      <c r="AW102" s="1">
        <f t="shared" si="87"/>
        <v>1</v>
      </c>
      <c r="AX102" s="1">
        <f t="shared" si="87"/>
        <v>1</v>
      </c>
      <c r="AY102" s="1">
        <f t="shared" si="87"/>
        <v>1</v>
      </c>
    </row>
    <row r="103" spans="1:51">
      <c r="A103" s="1" t="str">
        <f t="shared" si="67"/>
        <v>4.1.3) Availability of street-level crime data</v>
      </c>
      <c r="B103" s="1">
        <f t="shared" ref="B103:AG103" si="88">RANK(B44,$B44:$AY44,0)</f>
        <v>1</v>
      </c>
      <c r="C103" s="1">
        <f t="shared" si="88"/>
        <v>1</v>
      </c>
      <c r="D103" s="1">
        <f t="shared" si="88"/>
        <v>1</v>
      </c>
      <c r="E103" s="1">
        <f t="shared" si="88"/>
        <v>1</v>
      </c>
      <c r="F103" s="1">
        <f t="shared" si="88"/>
        <v>34</v>
      </c>
      <c r="G103" s="1">
        <f t="shared" si="88"/>
        <v>34</v>
      </c>
      <c r="H103" s="1">
        <f t="shared" si="88"/>
        <v>34</v>
      </c>
      <c r="I103" s="1">
        <f t="shared" si="88"/>
        <v>1</v>
      </c>
      <c r="J103" s="1">
        <f t="shared" si="88"/>
        <v>34</v>
      </c>
      <c r="K103" s="1">
        <f t="shared" si="88"/>
        <v>1</v>
      </c>
      <c r="L103" s="1">
        <f t="shared" si="88"/>
        <v>1</v>
      </c>
      <c r="M103" s="1">
        <f t="shared" si="88"/>
        <v>34</v>
      </c>
      <c r="N103" s="1">
        <f t="shared" si="88"/>
        <v>34</v>
      </c>
      <c r="O103" s="1">
        <f t="shared" si="88"/>
        <v>1</v>
      </c>
      <c r="P103" s="1">
        <f t="shared" si="88"/>
        <v>1</v>
      </c>
      <c r="Q103" s="1">
        <f t="shared" si="88"/>
        <v>1</v>
      </c>
      <c r="R103" s="1">
        <f t="shared" si="88"/>
        <v>1</v>
      </c>
      <c r="S103" s="1">
        <f t="shared" si="88"/>
        <v>34</v>
      </c>
      <c r="T103" s="1">
        <f t="shared" si="88"/>
        <v>1</v>
      </c>
      <c r="U103" s="1">
        <f t="shared" si="88"/>
        <v>1</v>
      </c>
      <c r="V103" s="1">
        <f t="shared" si="88"/>
        <v>1</v>
      </c>
      <c r="W103" s="1">
        <f t="shared" si="88"/>
        <v>1</v>
      </c>
      <c r="X103" s="1">
        <f t="shared" si="88"/>
        <v>1</v>
      </c>
      <c r="Y103" s="1">
        <f t="shared" si="88"/>
        <v>34</v>
      </c>
      <c r="Z103" s="1">
        <f t="shared" si="88"/>
        <v>1</v>
      </c>
      <c r="AA103" s="1">
        <f t="shared" si="88"/>
        <v>1</v>
      </c>
      <c r="AB103" s="1">
        <f t="shared" si="88"/>
        <v>34</v>
      </c>
      <c r="AC103" s="1">
        <f t="shared" si="88"/>
        <v>1</v>
      </c>
      <c r="AD103" s="1">
        <f t="shared" si="88"/>
        <v>1</v>
      </c>
      <c r="AE103" s="1">
        <f t="shared" si="88"/>
        <v>1</v>
      </c>
      <c r="AF103" s="1">
        <f t="shared" si="88"/>
        <v>1</v>
      </c>
      <c r="AG103" s="1">
        <f t="shared" si="88"/>
        <v>1</v>
      </c>
      <c r="AH103" s="1">
        <f t="shared" ref="AH103:AY103" si="89">RANK(AH44,$B44:$AY44,0)</f>
        <v>34</v>
      </c>
      <c r="AI103" s="1">
        <f t="shared" si="89"/>
        <v>1</v>
      </c>
      <c r="AJ103" s="1">
        <f t="shared" si="89"/>
        <v>1</v>
      </c>
      <c r="AK103" s="1">
        <f t="shared" si="89"/>
        <v>34</v>
      </c>
      <c r="AL103" s="1">
        <f t="shared" si="89"/>
        <v>34</v>
      </c>
      <c r="AM103" s="1">
        <f t="shared" si="89"/>
        <v>34</v>
      </c>
      <c r="AN103" s="1">
        <f t="shared" si="89"/>
        <v>34</v>
      </c>
      <c r="AO103" s="1">
        <f t="shared" si="89"/>
        <v>34</v>
      </c>
      <c r="AP103" s="1">
        <f t="shared" si="89"/>
        <v>1</v>
      </c>
      <c r="AQ103" s="1">
        <f t="shared" si="89"/>
        <v>1</v>
      </c>
      <c r="AR103" s="1">
        <f t="shared" si="89"/>
        <v>1</v>
      </c>
      <c r="AS103" s="1">
        <f t="shared" si="89"/>
        <v>1</v>
      </c>
      <c r="AT103" s="1">
        <f t="shared" si="89"/>
        <v>34</v>
      </c>
      <c r="AU103" s="1">
        <f t="shared" si="89"/>
        <v>34</v>
      </c>
      <c r="AV103" s="1">
        <f t="shared" si="89"/>
        <v>1</v>
      </c>
      <c r="AW103" s="1">
        <f t="shared" si="89"/>
        <v>1</v>
      </c>
      <c r="AX103" s="1">
        <f t="shared" si="89"/>
        <v>1</v>
      </c>
      <c r="AY103" s="1">
        <f t="shared" si="89"/>
        <v>1</v>
      </c>
    </row>
    <row r="104" spans="1:51">
      <c r="A104" s="1" t="str">
        <f t="shared" si="67"/>
        <v>4.1.4) Use of data-driven techniques for crime</v>
      </c>
      <c r="B104" s="1">
        <f t="shared" ref="B104:AG104" si="90">RANK(B45,$B45:$AY45,0)</f>
        <v>34</v>
      </c>
      <c r="C104" s="1">
        <f t="shared" si="90"/>
        <v>1</v>
      </c>
      <c r="D104" s="1">
        <f t="shared" si="90"/>
        <v>1</v>
      </c>
      <c r="E104" s="1">
        <f t="shared" si="90"/>
        <v>1</v>
      </c>
      <c r="F104" s="1">
        <f t="shared" si="90"/>
        <v>34</v>
      </c>
      <c r="G104" s="1">
        <f t="shared" si="90"/>
        <v>34</v>
      </c>
      <c r="H104" s="1">
        <f t="shared" si="90"/>
        <v>1</v>
      </c>
      <c r="I104" s="1">
        <f t="shared" si="90"/>
        <v>1</v>
      </c>
      <c r="J104" s="1">
        <f t="shared" si="90"/>
        <v>1</v>
      </c>
      <c r="K104" s="1">
        <f t="shared" si="90"/>
        <v>1</v>
      </c>
      <c r="L104" s="1">
        <f t="shared" si="90"/>
        <v>1</v>
      </c>
      <c r="M104" s="1">
        <f t="shared" si="90"/>
        <v>34</v>
      </c>
      <c r="N104" s="1">
        <f t="shared" si="90"/>
        <v>34</v>
      </c>
      <c r="O104" s="1">
        <f t="shared" si="90"/>
        <v>1</v>
      </c>
      <c r="P104" s="1">
        <f t="shared" si="90"/>
        <v>1</v>
      </c>
      <c r="Q104" s="1">
        <f t="shared" si="90"/>
        <v>34</v>
      </c>
      <c r="R104" s="1">
        <f t="shared" si="90"/>
        <v>34</v>
      </c>
      <c r="S104" s="1">
        <f t="shared" si="90"/>
        <v>34</v>
      </c>
      <c r="T104" s="1">
        <f t="shared" si="90"/>
        <v>1</v>
      </c>
      <c r="U104" s="1">
        <f t="shared" si="90"/>
        <v>1</v>
      </c>
      <c r="V104" s="1">
        <f t="shared" si="90"/>
        <v>1</v>
      </c>
      <c r="W104" s="1">
        <f t="shared" si="90"/>
        <v>34</v>
      </c>
      <c r="X104" s="1">
        <f t="shared" si="90"/>
        <v>1</v>
      </c>
      <c r="Y104" s="1">
        <f t="shared" si="90"/>
        <v>1</v>
      </c>
      <c r="Z104" s="1">
        <f t="shared" si="90"/>
        <v>1</v>
      </c>
      <c r="AA104" s="1">
        <f t="shared" si="90"/>
        <v>34</v>
      </c>
      <c r="AB104" s="1">
        <f t="shared" si="90"/>
        <v>34</v>
      </c>
      <c r="AC104" s="1">
        <f t="shared" si="90"/>
        <v>1</v>
      </c>
      <c r="AD104" s="1">
        <f t="shared" si="90"/>
        <v>1</v>
      </c>
      <c r="AE104" s="1">
        <f t="shared" si="90"/>
        <v>1</v>
      </c>
      <c r="AF104" s="1">
        <f t="shared" si="90"/>
        <v>1</v>
      </c>
      <c r="AG104" s="1">
        <f t="shared" si="90"/>
        <v>34</v>
      </c>
      <c r="AH104" s="1">
        <f t="shared" ref="AH104:AY104" si="91">RANK(AH45,$B45:$AY45,0)</f>
        <v>1</v>
      </c>
      <c r="AI104" s="1">
        <f t="shared" si="91"/>
        <v>34</v>
      </c>
      <c r="AJ104" s="1">
        <f t="shared" si="91"/>
        <v>1</v>
      </c>
      <c r="AK104" s="1">
        <f t="shared" si="91"/>
        <v>1</v>
      </c>
      <c r="AL104" s="1">
        <f t="shared" si="91"/>
        <v>34</v>
      </c>
      <c r="AM104" s="1">
        <f t="shared" si="91"/>
        <v>1</v>
      </c>
      <c r="AN104" s="1">
        <f t="shared" si="91"/>
        <v>1</v>
      </c>
      <c r="AO104" s="1">
        <f t="shared" si="91"/>
        <v>34</v>
      </c>
      <c r="AP104" s="1">
        <f t="shared" si="91"/>
        <v>1</v>
      </c>
      <c r="AQ104" s="1">
        <f t="shared" si="91"/>
        <v>1</v>
      </c>
      <c r="AR104" s="1">
        <f t="shared" si="91"/>
        <v>1</v>
      </c>
      <c r="AS104" s="1">
        <f t="shared" si="91"/>
        <v>1</v>
      </c>
      <c r="AT104" s="1">
        <f t="shared" si="91"/>
        <v>1</v>
      </c>
      <c r="AU104" s="1">
        <f t="shared" si="91"/>
        <v>34</v>
      </c>
      <c r="AV104" s="1">
        <f t="shared" si="91"/>
        <v>1</v>
      </c>
      <c r="AW104" s="1">
        <f t="shared" si="91"/>
        <v>1</v>
      </c>
      <c r="AX104" s="1">
        <f t="shared" si="91"/>
        <v>1</v>
      </c>
      <c r="AY104" s="1">
        <f t="shared" si="91"/>
        <v>34</v>
      </c>
    </row>
    <row r="105" spans="1:51">
      <c r="A105" s="1" t="str">
        <f t="shared" si="67"/>
        <v>4.1.5) Private security measures</v>
      </c>
      <c r="B105" s="1">
        <f t="shared" ref="B105:AG105" si="92">RANK(B46,$B46:$AY46,0)</f>
        <v>37</v>
      </c>
      <c r="C105" s="1">
        <f t="shared" si="92"/>
        <v>1</v>
      </c>
      <c r="D105" s="1">
        <f t="shared" si="92"/>
        <v>1</v>
      </c>
      <c r="E105" s="1">
        <f t="shared" si="92"/>
        <v>1</v>
      </c>
      <c r="F105" s="1">
        <f t="shared" si="92"/>
        <v>37</v>
      </c>
      <c r="G105" s="1">
        <f t="shared" si="92"/>
        <v>37</v>
      </c>
      <c r="H105" s="1">
        <f t="shared" si="92"/>
        <v>1</v>
      </c>
      <c r="I105" s="1">
        <f t="shared" si="92"/>
        <v>1</v>
      </c>
      <c r="J105" s="1">
        <f t="shared" si="92"/>
        <v>1</v>
      </c>
      <c r="K105" s="1">
        <f t="shared" si="92"/>
        <v>1</v>
      </c>
      <c r="L105" s="1">
        <f t="shared" si="92"/>
        <v>37</v>
      </c>
      <c r="M105" s="1">
        <f t="shared" si="92"/>
        <v>1</v>
      </c>
      <c r="N105" s="1">
        <f t="shared" si="92"/>
        <v>1</v>
      </c>
      <c r="O105" s="1">
        <f t="shared" si="92"/>
        <v>1</v>
      </c>
      <c r="P105" s="1">
        <f t="shared" si="92"/>
        <v>1</v>
      </c>
      <c r="Q105" s="1">
        <f t="shared" si="92"/>
        <v>37</v>
      </c>
      <c r="R105" s="1">
        <f t="shared" si="92"/>
        <v>1</v>
      </c>
      <c r="S105" s="1">
        <f t="shared" si="92"/>
        <v>37</v>
      </c>
      <c r="T105" s="1">
        <f t="shared" si="92"/>
        <v>1</v>
      </c>
      <c r="U105" s="1">
        <f t="shared" si="92"/>
        <v>1</v>
      </c>
      <c r="V105" s="1">
        <f t="shared" si="92"/>
        <v>1</v>
      </c>
      <c r="W105" s="1">
        <f t="shared" si="92"/>
        <v>1</v>
      </c>
      <c r="X105" s="1">
        <f t="shared" si="92"/>
        <v>1</v>
      </c>
      <c r="Y105" s="1">
        <f t="shared" si="92"/>
        <v>1</v>
      </c>
      <c r="Z105" s="1">
        <f t="shared" si="92"/>
        <v>37</v>
      </c>
      <c r="AA105" s="1">
        <f t="shared" si="92"/>
        <v>37</v>
      </c>
      <c r="AB105" s="1">
        <f t="shared" si="92"/>
        <v>37</v>
      </c>
      <c r="AC105" s="1">
        <f t="shared" si="92"/>
        <v>37</v>
      </c>
      <c r="AD105" s="1">
        <f t="shared" si="92"/>
        <v>1</v>
      </c>
      <c r="AE105" s="1">
        <f t="shared" si="92"/>
        <v>1</v>
      </c>
      <c r="AF105" s="1">
        <f t="shared" si="92"/>
        <v>37</v>
      </c>
      <c r="AG105" s="1">
        <f t="shared" si="92"/>
        <v>1</v>
      </c>
      <c r="AH105" s="1">
        <f t="shared" ref="AH105:AY105" si="93">RANK(AH46,$B46:$AY46,0)</f>
        <v>37</v>
      </c>
      <c r="AI105" s="1">
        <f t="shared" si="93"/>
        <v>37</v>
      </c>
      <c r="AJ105" s="1">
        <f t="shared" si="93"/>
        <v>1</v>
      </c>
      <c r="AK105" s="1">
        <f t="shared" si="93"/>
        <v>37</v>
      </c>
      <c r="AL105" s="1">
        <f t="shared" si="93"/>
        <v>1</v>
      </c>
      <c r="AM105" s="1">
        <f t="shared" si="93"/>
        <v>1</v>
      </c>
      <c r="AN105" s="1">
        <f t="shared" si="93"/>
        <v>1</v>
      </c>
      <c r="AO105" s="1">
        <f t="shared" si="93"/>
        <v>1</v>
      </c>
      <c r="AP105" s="1">
        <f t="shared" si="93"/>
        <v>1</v>
      </c>
      <c r="AQ105" s="1">
        <f t="shared" si="93"/>
        <v>1</v>
      </c>
      <c r="AR105" s="1">
        <f t="shared" si="93"/>
        <v>1</v>
      </c>
      <c r="AS105" s="1">
        <f t="shared" si="93"/>
        <v>1</v>
      </c>
      <c r="AT105" s="1">
        <f t="shared" si="93"/>
        <v>1</v>
      </c>
      <c r="AU105" s="1">
        <f t="shared" si="93"/>
        <v>1</v>
      </c>
      <c r="AV105" s="1">
        <f t="shared" si="93"/>
        <v>1</v>
      </c>
      <c r="AW105" s="1">
        <f t="shared" si="93"/>
        <v>1</v>
      </c>
      <c r="AX105" s="1">
        <f t="shared" si="93"/>
        <v>1</v>
      </c>
      <c r="AY105" s="1">
        <f t="shared" si="93"/>
        <v>1</v>
      </c>
    </row>
    <row r="106" spans="1:51">
      <c r="A106" s="1" t="str">
        <f t="shared" si="67"/>
        <v>4.1.6) Gun regulation and enforcement</v>
      </c>
      <c r="B106" s="1">
        <f t="shared" ref="B106:AG106" si="94">RANK(B47,$B47:$AY47,0)</f>
        <v>37</v>
      </c>
      <c r="C106" s="1">
        <f t="shared" si="94"/>
        <v>19</v>
      </c>
      <c r="D106" s="1">
        <f t="shared" si="94"/>
        <v>42</v>
      </c>
      <c r="E106" s="1">
        <f t="shared" si="94"/>
        <v>21</v>
      </c>
      <c r="F106" s="1">
        <f t="shared" si="94"/>
        <v>1</v>
      </c>
      <c r="G106" s="1">
        <f t="shared" si="94"/>
        <v>26</v>
      </c>
      <c r="H106" s="1">
        <f t="shared" si="94"/>
        <v>19</v>
      </c>
      <c r="I106" s="1">
        <f t="shared" si="94"/>
        <v>42</v>
      </c>
      <c r="J106" s="1">
        <f t="shared" si="94"/>
        <v>35</v>
      </c>
      <c r="K106" s="1">
        <f t="shared" si="94"/>
        <v>23</v>
      </c>
      <c r="L106" s="1">
        <f t="shared" si="94"/>
        <v>28</v>
      </c>
      <c r="M106" s="1">
        <f t="shared" si="94"/>
        <v>1</v>
      </c>
      <c r="N106" s="1">
        <f t="shared" si="94"/>
        <v>1</v>
      </c>
      <c r="O106" s="1">
        <f t="shared" si="94"/>
        <v>9</v>
      </c>
      <c r="P106" s="1">
        <f t="shared" si="94"/>
        <v>46</v>
      </c>
      <c r="Q106" s="1">
        <f t="shared" si="94"/>
        <v>18</v>
      </c>
      <c r="R106" s="1">
        <f t="shared" si="94"/>
        <v>47</v>
      </c>
      <c r="S106" s="1">
        <f t="shared" si="94"/>
        <v>7</v>
      </c>
      <c r="T106" s="1">
        <f t="shared" si="94"/>
        <v>47</v>
      </c>
      <c r="U106" s="1">
        <f t="shared" si="94"/>
        <v>9</v>
      </c>
      <c r="V106" s="1">
        <f t="shared" si="94"/>
        <v>38</v>
      </c>
      <c r="W106" s="1">
        <f t="shared" si="94"/>
        <v>21</v>
      </c>
      <c r="X106" s="1">
        <f t="shared" si="94"/>
        <v>14</v>
      </c>
      <c r="Y106" s="1">
        <f t="shared" si="94"/>
        <v>38</v>
      </c>
      <c r="Z106" s="1">
        <f t="shared" si="94"/>
        <v>32</v>
      </c>
      <c r="AA106" s="1">
        <f t="shared" si="94"/>
        <v>23</v>
      </c>
      <c r="AB106" s="1">
        <f t="shared" si="94"/>
        <v>26</v>
      </c>
      <c r="AC106" s="1">
        <f t="shared" si="94"/>
        <v>35</v>
      </c>
      <c r="AD106" s="1">
        <f t="shared" si="94"/>
        <v>44</v>
      </c>
      <c r="AE106" s="1">
        <f t="shared" si="94"/>
        <v>9</v>
      </c>
      <c r="AF106" s="1">
        <f t="shared" si="94"/>
        <v>41</v>
      </c>
      <c r="AG106" s="1">
        <f t="shared" si="94"/>
        <v>30</v>
      </c>
      <c r="AH106" s="1">
        <f t="shared" ref="AH106:AY106" si="95">RANK(AH47,$B47:$AY47,0)</f>
        <v>50</v>
      </c>
      <c r="AI106" s="1">
        <f t="shared" si="95"/>
        <v>32</v>
      </c>
      <c r="AJ106" s="1">
        <f t="shared" si="95"/>
        <v>38</v>
      </c>
      <c r="AK106" s="1">
        <f t="shared" si="95"/>
        <v>45</v>
      </c>
      <c r="AL106" s="1">
        <f t="shared" si="95"/>
        <v>30</v>
      </c>
      <c r="AM106" s="1">
        <f t="shared" si="95"/>
        <v>14</v>
      </c>
      <c r="AN106" s="1">
        <f t="shared" si="95"/>
        <v>1</v>
      </c>
      <c r="AO106" s="1">
        <f t="shared" si="95"/>
        <v>1</v>
      </c>
      <c r="AP106" s="1">
        <f t="shared" si="95"/>
        <v>9</v>
      </c>
      <c r="AQ106" s="1">
        <f t="shared" si="95"/>
        <v>28</v>
      </c>
      <c r="AR106" s="1">
        <f t="shared" si="95"/>
        <v>14</v>
      </c>
      <c r="AS106" s="1">
        <f t="shared" si="95"/>
        <v>8</v>
      </c>
      <c r="AT106" s="1">
        <f t="shared" si="95"/>
        <v>32</v>
      </c>
      <c r="AU106" s="1">
        <f t="shared" si="95"/>
        <v>1</v>
      </c>
      <c r="AV106" s="1">
        <f t="shared" si="95"/>
        <v>9</v>
      </c>
      <c r="AW106" s="1">
        <f t="shared" si="95"/>
        <v>23</v>
      </c>
      <c r="AX106" s="1">
        <f t="shared" si="95"/>
        <v>14</v>
      </c>
      <c r="AY106" s="1">
        <f t="shared" si="95"/>
        <v>47</v>
      </c>
    </row>
    <row r="107" spans="1:51">
      <c r="A107" s="1" t="str">
        <f t="shared" si="67"/>
        <v>4.1.7) Political Stability Risk</v>
      </c>
      <c r="B107" s="1">
        <f t="shared" ref="B107:AG107" si="96">RANK(B48,$B48:$AY48,0)</f>
        <v>35</v>
      </c>
      <c r="C107" s="1">
        <f t="shared" si="96"/>
        <v>14</v>
      </c>
      <c r="D107" s="1">
        <f t="shared" si="96"/>
        <v>47</v>
      </c>
      <c r="E107" s="1">
        <f t="shared" si="96"/>
        <v>19</v>
      </c>
      <c r="F107" s="1">
        <f t="shared" si="96"/>
        <v>38</v>
      </c>
      <c r="G107" s="1">
        <f t="shared" si="96"/>
        <v>19</v>
      </c>
      <c r="H107" s="1">
        <f t="shared" si="96"/>
        <v>38</v>
      </c>
      <c r="I107" s="1">
        <f t="shared" si="96"/>
        <v>3</v>
      </c>
      <c r="J107" s="1">
        <f t="shared" si="96"/>
        <v>14</v>
      </c>
      <c r="K107" s="1">
        <f t="shared" si="96"/>
        <v>32</v>
      </c>
      <c r="L107" s="1">
        <f t="shared" si="96"/>
        <v>13</v>
      </c>
      <c r="M107" s="1">
        <f t="shared" si="96"/>
        <v>38</v>
      </c>
      <c r="N107" s="1">
        <f t="shared" si="96"/>
        <v>37</v>
      </c>
      <c r="O107" s="1">
        <f t="shared" si="96"/>
        <v>26</v>
      </c>
      <c r="P107" s="1">
        <f t="shared" si="96"/>
        <v>38</v>
      </c>
      <c r="Q107" s="1">
        <f t="shared" si="96"/>
        <v>22</v>
      </c>
      <c r="R107" s="1">
        <f t="shared" si="96"/>
        <v>26</v>
      </c>
      <c r="S107" s="1">
        <f t="shared" si="96"/>
        <v>46</v>
      </c>
      <c r="T107" s="1">
        <f t="shared" si="96"/>
        <v>35</v>
      </c>
      <c r="U107" s="1">
        <f t="shared" si="96"/>
        <v>22</v>
      </c>
      <c r="V107" s="1">
        <f t="shared" si="96"/>
        <v>3</v>
      </c>
      <c r="W107" s="1">
        <f t="shared" si="96"/>
        <v>19</v>
      </c>
      <c r="X107" s="1">
        <f t="shared" si="96"/>
        <v>3</v>
      </c>
      <c r="Y107" s="1">
        <f t="shared" si="96"/>
        <v>32</v>
      </c>
      <c r="Z107" s="1">
        <f t="shared" si="96"/>
        <v>26</v>
      </c>
      <c r="AA107" s="1">
        <f t="shared" si="96"/>
        <v>1</v>
      </c>
      <c r="AB107" s="1">
        <f t="shared" si="96"/>
        <v>47</v>
      </c>
      <c r="AC107" s="1">
        <f t="shared" si="96"/>
        <v>14</v>
      </c>
      <c r="AD107" s="1">
        <f t="shared" si="96"/>
        <v>3</v>
      </c>
      <c r="AE107" s="1">
        <f t="shared" si="96"/>
        <v>3</v>
      </c>
      <c r="AF107" s="1">
        <f t="shared" si="96"/>
        <v>22</v>
      </c>
      <c r="AG107" s="1">
        <f t="shared" si="96"/>
        <v>26</v>
      </c>
      <c r="AH107" s="1">
        <f t="shared" ref="AH107:AY107" si="97">RANK(AH48,$B48:$AY48,0)</f>
        <v>38</v>
      </c>
      <c r="AI107" s="1">
        <f t="shared" si="97"/>
        <v>26</v>
      </c>
      <c r="AJ107" s="1">
        <f t="shared" si="97"/>
        <v>3</v>
      </c>
      <c r="AK107" s="1">
        <f t="shared" si="97"/>
        <v>14</v>
      </c>
      <c r="AL107" s="1">
        <f t="shared" si="97"/>
        <v>26</v>
      </c>
      <c r="AM107" s="1">
        <f t="shared" si="97"/>
        <v>32</v>
      </c>
      <c r="AN107" s="1">
        <f t="shared" si="97"/>
        <v>38</v>
      </c>
      <c r="AO107" s="1">
        <f t="shared" si="97"/>
        <v>38</v>
      </c>
      <c r="AP107" s="1">
        <f t="shared" si="97"/>
        <v>14</v>
      </c>
      <c r="AQ107" s="1">
        <f t="shared" si="97"/>
        <v>47</v>
      </c>
      <c r="AR107" s="1">
        <f t="shared" si="97"/>
        <v>3</v>
      </c>
      <c r="AS107" s="1">
        <f t="shared" si="97"/>
        <v>22</v>
      </c>
      <c r="AT107" s="1">
        <f t="shared" si="97"/>
        <v>50</v>
      </c>
      <c r="AU107" s="1">
        <f t="shared" si="97"/>
        <v>38</v>
      </c>
      <c r="AV107" s="1">
        <f t="shared" si="97"/>
        <v>3</v>
      </c>
      <c r="AW107" s="1">
        <f t="shared" si="97"/>
        <v>1</v>
      </c>
      <c r="AX107" s="1">
        <f t="shared" si="97"/>
        <v>3</v>
      </c>
      <c r="AY107" s="1">
        <f t="shared" si="97"/>
        <v>3</v>
      </c>
    </row>
    <row r="108" spans="1:51">
      <c r="A108" s="1" t="str">
        <f t="shared" si="67"/>
        <v>4.2) Personal Safety (Outputs)</v>
      </c>
      <c r="B108" s="1">
        <f t="shared" ref="B108:AG108" si="98">RANK(B49,$B49:$AY49,0)</f>
        <v>5</v>
      </c>
      <c r="C108" s="1">
        <f t="shared" si="98"/>
        <v>16</v>
      </c>
      <c r="D108" s="1">
        <f t="shared" si="98"/>
        <v>29</v>
      </c>
      <c r="E108" s="1">
        <f t="shared" si="98"/>
        <v>32</v>
      </c>
      <c r="F108" s="1">
        <f t="shared" si="98"/>
        <v>38</v>
      </c>
      <c r="G108" s="1">
        <f t="shared" si="98"/>
        <v>15</v>
      </c>
      <c r="H108" s="1">
        <f t="shared" si="98"/>
        <v>42</v>
      </c>
      <c r="I108" s="1">
        <f t="shared" si="98"/>
        <v>48</v>
      </c>
      <c r="J108" s="1">
        <f t="shared" si="98"/>
        <v>22</v>
      </c>
      <c r="K108" s="1">
        <f t="shared" si="98"/>
        <v>20</v>
      </c>
      <c r="L108" s="1">
        <f t="shared" si="98"/>
        <v>18</v>
      </c>
      <c r="M108" s="1">
        <f t="shared" si="98"/>
        <v>36</v>
      </c>
      <c r="N108" s="1">
        <f t="shared" si="98"/>
        <v>14</v>
      </c>
      <c r="O108" s="1">
        <f t="shared" si="98"/>
        <v>10</v>
      </c>
      <c r="P108" s="1">
        <f t="shared" si="98"/>
        <v>27</v>
      </c>
      <c r="Q108" s="1">
        <f t="shared" si="98"/>
        <v>37</v>
      </c>
      <c r="R108" s="1">
        <f t="shared" si="98"/>
        <v>45</v>
      </c>
      <c r="S108" s="1">
        <f t="shared" si="98"/>
        <v>4</v>
      </c>
      <c r="T108" s="1">
        <f t="shared" si="98"/>
        <v>24</v>
      </c>
      <c r="U108" s="1">
        <f t="shared" si="98"/>
        <v>40</v>
      </c>
      <c r="V108" s="1">
        <f t="shared" si="98"/>
        <v>47</v>
      </c>
      <c r="W108" s="1">
        <f t="shared" si="98"/>
        <v>39</v>
      </c>
      <c r="X108" s="1">
        <f t="shared" si="98"/>
        <v>21</v>
      </c>
      <c r="Y108" s="1">
        <f t="shared" si="98"/>
        <v>49</v>
      </c>
      <c r="Z108" s="1">
        <f t="shared" si="98"/>
        <v>26</v>
      </c>
      <c r="AA108" s="1">
        <f t="shared" si="98"/>
        <v>17</v>
      </c>
      <c r="AB108" s="1">
        <f t="shared" si="98"/>
        <v>13</v>
      </c>
      <c r="AC108" s="1">
        <f t="shared" si="98"/>
        <v>18</v>
      </c>
      <c r="AD108" s="1">
        <f t="shared" si="98"/>
        <v>50</v>
      </c>
      <c r="AE108" s="1">
        <f t="shared" si="98"/>
        <v>6</v>
      </c>
      <c r="AF108" s="1">
        <f t="shared" si="98"/>
        <v>23</v>
      </c>
      <c r="AG108" s="1">
        <f t="shared" si="98"/>
        <v>41</v>
      </c>
      <c r="AH108" s="1">
        <f t="shared" ref="AH108:AY108" si="99">RANK(AH49,$B49:$AY49,0)</f>
        <v>3</v>
      </c>
      <c r="AI108" s="1">
        <f t="shared" si="99"/>
        <v>35</v>
      </c>
      <c r="AJ108" s="1">
        <f t="shared" si="99"/>
        <v>44</v>
      </c>
      <c r="AK108" s="1">
        <f t="shared" si="99"/>
        <v>43</v>
      </c>
      <c r="AL108" s="1">
        <f t="shared" si="99"/>
        <v>34</v>
      </c>
      <c r="AM108" s="1">
        <f t="shared" si="99"/>
        <v>9</v>
      </c>
      <c r="AN108" s="1">
        <f t="shared" si="99"/>
        <v>33</v>
      </c>
      <c r="AO108" s="1">
        <f t="shared" si="99"/>
        <v>28</v>
      </c>
      <c r="AP108" s="1">
        <f t="shared" si="99"/>
        <v>2</v>
      </c>
      <c r="AQ108" s="1">
        <f t="shared" si="99"/>
        <v>1</v>
      </c>
      <c r="AR108" s="1">
        <f t="shared" si="99"/>
        <v>31</v>
      </c>
      <c r="AS108" s="1">
        <f t="shared" si="99"/>
        <v>11</v>
      </c>
      <c r="AT108" s="1">
        <f t="shared" si="99"/>
        <v>30</v>
      </c>
      <c r="AU108" s="1">
        <f t="shared" si="99"/>
        <v>25</v>
      </c>
      <c r="AV108" s="1">
        <f t="shared" si="99"/>
        <v>7</v>
      </c>
      <c r="AW108" s="1">
        <f t="shared" si="99"/>
        <v>12</v>
      </c>
      <c r="AX108" s="1">
        <f t="shared" si="99"/>
        <v>46</v>
      </c>
      <c r="AY108" s="1">
        <f t="shared" si="99"/>
        <v>8</v>
      </c>
    </row>
    <row r="109" spans="1:51">
      <c r="A109" s="1" t="str">
        <f t="shared" si="67"/>
        <v>4.2.1) Prevalence of petty crime</v>
      </c>
      <c r="B109" s="1">
        <f t="shared" ref="B109:AG109" si="100">RANK(B50,$B50:$AY50,0)</f>
        <v>4</v>
      </c>
      <c r="C109" s="1">
        <f t="shared" si="100"/>
        <v>29</v>
      </c>
      <c r="D109" s="1">
        <f t="shared" si="100"/>
        <v>29</v>
      </c>
      <c r="E109" s="1">
        <f t="shared" si="100"/>
        <v>4</v>
      </c>
      <c r="F109" s="1">
        <f t="shared" si="100"/>
        <v>29</v>
      </c>
      <c r="G109" s="1">
        <f t="shared" si="100"/>
        <v>4</v>
      </c>
      <c r="H109" s="1">
        <f t="shared" si="100"/>
        <v>29</v>
      </c>
      <c r="I109" s="1">
        <f t="shared" si="100"/>
        <v>4</v>
      </c>
      <c r="J109" s="1">
        <f t="shared" si="100"/>
        <v>29</v>
      </c>
      <c r="K109" s="1">
        <f t="shared" si="100"/>
        <v>4</v>
      </c>
      <c r="L109" s="1">
        <f t="shared" si="100"/>
        <v>4</v>
      </c>
      <c r="M109" s="1">
        <f t="shared" si="100"/>
        <v>29</v>
      </c>
      <c r="N109" s="1">
        <f t="shared" si="100"/>
        <v>44</v>
      </c>
      <c r="O109" s="1">
        <f t="shared" si="100"/>
        <v>4</v>
      </c>
      <c r="P109" s="1">
        <f t="shared" si="100"/>
        <v>29</v>
      </c>
      <c r="Q109" s="1">
        <f t="shared" si="100"/>
        <v>44</v>
      </c>
      <c r="R109" s="1">
        <f t="shared" si="100"/>
        <v>49</v>
      </c>
      <c r="S109" s="1">
        <f t="shared" si="100"/>
        <v>4</v>
      </c>
      <c r="T109" s="1">
        <f t="shared" si="100"/>
        <v>29</v>
      </c>
      <c r="U109" s="1">
        <f t="shared" si="100"/>
        <v>29</v>
      </c>
      <c r="V109" s="1">
        <f t="shared" si="100"/>
        <v>4</v>
      </c>
      <c r="W109" s="1">
        <f t="shared" si="100"/>
        <v>4</v>
      </c>
      <c r="X109" s="1">
        <f t="shared" si="100"/>
        <v>4</v>
      </c>
      <c r="Y109" s="1">
        <f t="shared" si="100"/>
        <v>49</v>
      </c>
      <c r="Z109" s="1">
        <f t="shared" si="100"/>
        <v>4</v>
      </c>
      <c r="AA109" s="1">
        <f t="shared" si="100"/>
        <v>4</v>
      </c>
      <c r="AB109" s="1">
        <f t="shared" si="100"/>
        <v>29</v>
      </c>
      <c r="AC109" s="1">
        <f t="shared" si="100"/>
        <v>44</v>
      </c>
      <c r="AD109" s="1">
        <f t="shared" si="100"/>
        <v>29</v>
      </c>
      <c r="AE109" s="1">
        <f t="shared" si="100"/>
        <v>4</v>
      </c>
      <c r="AF109" s="1">
        <f t="shared" si="100"/>
        <v>4</v>
      </c>
      <c r="AG109" s="1">
        <f t="shared" si="100"/>
        <v>44</v>
      </c>
      <c r="AH109" s="1">
        <f t="shared" ref="AH109:AY109" si="101">RANK(AH50,$B50:$AY50,0)</f>
        <v>4</v>
      </c>
      <c r="AI109" s="1">
        <f t="shared" si="101"/>
        <v>29</v>
      </c>
      <c r="AJ109" s="1">
        <f t="shared" si="101"/>
        <v>4</v>
      </c>
      <c r="AK109" s="1">
        <f t="shared" si="101"/>
        <v>29</v>
      </c>
      <c r="AL109" s="1">
        <f t="shared" si="101"/>
        <v>44</v>
      </c>
      <c r="AM109" s="1">
        <f t="shared" si="101"/>
        <v>4</v>
      </c>
      <c r="AN109" s="1">
        <f t="shared" si="101"/>
        <v>29</v>
      </c>
      <c r="AO109" s="1">
        <f t="shared" si="101"/>
        <v>4</v>
      </c>
      <c r="AP109" s="1">
        <f t="shared" si="101"/>
        <v>1</v>
      </c>
      <c r="AQ109" s="1">
        <f t="shared" si="101"/>
        <v>1</v>
      </c>
      <c r="AR109" s="1">
        <f t="shared" si="101"/>
        <v>4</v>
      </c>
      <c r="AS109" s="1">
        <f t="shared" si="101"/>
        <v>4</v>
      </c>
      <c r="AT109" s="1">
        <f t="shared" si="101"/>
        <v>29</v>
      </c>
      <c r="AU109" s="1">
        <f t="shared" si="101"/>
        <v>4</v>
      </c>
      <c r="AV109" s="1">
        <f t="shared" si="101"/>
        <v>4</v>
      </c>
      <c r="AW109" s="1">
        <f t="shared" si="101"/>
        <v>1</v>
      </c>
      <c r="AX109" s="1">
        <f t="shared" si="101"/>
        <v>4</v>
      </c>
      <c r="AY109" s="1">
        <f t="shared" si="101"/>
        <v>4</v>
      </c>
    </row>
    <row r="110" spans="1:51">
      <c r="A110" s="1" t="str">
        <f t="shared" si="67"/>
        <v>4.2.2) Prevalence of violence crime</v>
      </c>
      <c r="B110" s="1">
        <f t="shared" ref="B110:AG110" si="102">RANK(B51,$B51:$AY51,0)</f>
        <v>1</v>
      </c>
      <c r="C110" s="1">
        <f t="shared" si="102"/>
        <v>16</v>
      </c>
      <c r="D110" s="1">
        <f t="shared" si="102"/>
        <v>16</v>
      </c>
      <c r="E110" s="1">
        <f t="shared" si="102"/>
        <v>16</v>
      </c>
      <c r="F110" s="1">
        <f t="shared" si="102"/>
        <v>16</v>
      </c>
      <c r="G110" s="1">
        <f t="shared" si="102"/>
        <v>16</v>
      </c>
      <c r="H110" s="1">
        <f t="shared" si="102"/>
        <v>41</v>
      </c>
      <c r="I110" s="1">
        <f t="shared" si="102"/>
        <v>16</v>
      </c>
      <c r="J110" s="1">
        <f t="shared" si="102"/>
        <v>41</v>
      </c>
      <c r="K110" s="1">
        <f t="shared" si="102"/>
        <v>1</v>
      </c>
      <c r="L110" s="1">
        <f t="shared" si="102"/>
        <v>16</v>
      </c>
      <c r="M110" s="1">
        <f t="shared" si="102"/>
        <v>16</v>
      </c>
      <c r="N110" s="1">
        <f t="shared" si="102"/>
        <v>41</v>
      </c>
      <c r="O110" s="1">
        <f t="shared" si="102"/>
        <v>1</v>
      </c>
      <c r="P110" s="1">
        <f t="shared" si="102"/>
        <v>41</v>
      </c>
      <c r="Q110" s="1">
        <f t="shared" si="102"/>
        <v>16</v>
      </c>
      <c r="R110" s="1">
        <f t="shared" si="102"/>
        <v>49</v>
      </c>
      <c r="S110" s="1">
        <f t="shared" si="102"/>
        <v>1</v>
      </c>
      <c r="T110" s="1">
        <f t="shared" si="102"/>
        <v>41</v>
      </c>
      <c r="U110" s="1">
        <f t="shared" si="102"/>
        <v>16</v>
      </c>
      <c r="V110" s="1">
        <f t="shared" si="102"/>
        <v>16</v>
      </c>
      <c r="W110" s="1">
        <f t="shared" si="102"/>
        <v>16</v>
      </c>
      <c r="X110" s="1">
        <f t="shared" si="102"/>
        <v>1</v>
      </c>
      <c r="Y110" s="1">
        <f t="shared" si="102"/>
        <v>49</v>
      </c>
      <c r="Z110" s="1">
        <f t="shared" si="102"/>
        <v>16</v>
      </c>
      <c r="AA110" s="1">
        <f t="shared" si="102"/>
        <v>1</v>
      </c>
      <c r="AB110" s="1">
        <f t="shared" si="102"/>
        <v>16</v>
      </c>
      <c r="AC110" s="1">
        <f t="shared" si="102"/>
        <v>16</v>
      </c>
      <c r="AD110" s="1">
        <f t="shared" si="102"/>
        <v>16</v>
      </c>
      <c r="AE110" s="1">
        <f t="shared" si="102"/>
        <v>1</v>
      </c>
      <c r="AF110" s="1">
        <f t="shared" si="102"/>
        <v>16</v>
      </c>
      <c r="AG110" s="1">
        <f t="shared" si="102"/>
        <v>47</v>
      </c>
      <c r="AH110" s="1">
        <f t="shared" ref="AH110:AY110" si="103">RANK(AH51,$B51:$AY51,0)</f>
        <v>1</v>
      </c>
      <c r="AI110" s="1">
        <f t="shared" si="103"/>
        <v>16</v>
      </c>
      <c r="AJ110" s="1">
        <f t="shared" si="103"/>
        <v>16</v>
      </c>
      <c r="AK110" s="1">
        <f t="shared" si="103"/>
        <v>41</v>
      </c>
      <c r="AL110" s="1">
        <f t="shared" si="103"/>
        <v>47</v>
      </c>
      <c r="AM110" s="1">
        <f t="shared" si="103"/>
        <v>1</v>
      </c>
      <c r="AN110" s="1">
        <f t="shared" si="103"/>
        <v>16</v>
      </c>
      <c r="AO110" s="1">
        <f t="shared" si="103"/>
        <v>16</v>
      </c>
      <c r="AP110" s="1">
        <f t="shared" si="103"/>
        <v>1</v>
      </c>
      <c r="AQ110" s="1">
        <f t="shared" si="103"/>
        <v>1</v>
      </c>
      <c r="AR110" s="1">
        <f t="shared" si="103"/>
        <v>16</v>
      </c>
      <c r="AS110" s="1">
        <f t="shared" si="103"/>
        <v>16</v>
      </c>
      <c r="AT110" s="1">
        <f t="shared" si="103"/>
        <v>16</v>
      </c>
      <c r="AU110" s="1">
        <f t="shared" si="103"/>
        <v>1</v>
      </c>
      <c r="AV110" s="1">
        <f t="shared" si="103"/>
        <v>1</v>
      </c>
      <c r="AW110" s="1">
        <f t="shared" si="103"/>
        <v>1</v>
      </c>
      <c r="AX110" s="1">
        <f t="shared" si="103"/>
        <v>16</v>
      </c>
      <c r="AY110" s="1">
        <f t="shared" si="103"/>
        <v>1</v>
      </c>
    </row>
    <row r="111" spans="1:51">
      <c r="A111" s="1" t="str">
        <f t="shared" si="67"/>
        <v>4.2.3) Criminal gang activity</v>
      </c>
      <c r="B111" s="1">
        <f t="shared" ref="B111:AG111" si="104">RANK(B52,$B52:$AY52,0)</f>
        <v>7</v>
      </c>
      <c r="C111" s="1">
        <f t="shared" si="104"/>
        <v>5</v>
      </c>
      <c r="D111" s="1">
        <f t="shared" si="104"/>
        <v>17</v>
      </c>
      <c r="E111" s="1">
        <f t="shared" si="104"/>
        <v>36</v>
      </c>
      <c r="F111" s="1">
        <f t="shared" si="104"/>
        <v>39</v>
      </c>
      <c r="G111" s="1">
        <f t="shared" si="104"/>
        <v>1</v>
      </c>
      <c r="H111" s="1">
        <f t="shared" si="104"/>
        <v>7</v>
      </c>
      <c r="I111" s="1">
        <f t="shared" si="104"/>
        <v>45</v>
      </c>
      <c r="J111" s="1">
        <f t="shared" si="104"/>
        <v>28</v>
      </c>
      <c r="K111" s="1">
        <f t="shared" si="104"/>
        <v>45</v>
      </c>
      <c r="L111" s="1">
        <f t="shared" si="104"/>
        <v>25</v>
      </c>
      <c r="M111" s="1">
        <f t="shared" si="104"/>
        <v>39</v>
      </c>
      <c r="N111" s="1">
        <f t="shared" si="104"/>
        <v>6</v>
      </c>
      <c r="O111" s="1">
        <f t="shared" si="104"/>
        <v>39</v>
      </c>
      <c r="P111" s="1">
        <f t="shared" si="104"/>
        <v>22</v>
      </c>
      <c r="Q111" s="1">
        <f t="shared" si="104"/>
        <v>23</v>
      </c>
      <c r="R111" s="1">
        <f t="shared" si="104"/>
        <v>11</v>
      </c>
      <c r="S111" s="1">
        <f t="shared" si="104"/>
        <v>9</v>
      </c>
      <c r="T111" s="1">
        <f t="shared" si="104"/>
        <v>13</v>
      </c>
      <c r="U111" s="1">
        <f t="shared" si="104"/>
        <v>27</v>
      </c>
      <c r="V111" s="1">
        <f t="shared" si="104"/>
        <v>45</v>
      </c>
      <c r="W111" s="1">
        <f t="shared" si="104"/>
        <v>36</v>
      </c>
      <c r="X111" s="1">
        <f t="shared" si="104"/>
        <v>18</v>
      </c>
      <c r="Y111" s="1">
        <f t="shared" si="104"/>
        <v>38</v>
      </c>
      <c r="Z111" s="1">
        <f t="shared" si="104"/>
        <v>34</v>
      </c>
      <c r="AA111" s="1">
        <f t="shared" si="104"/>
        <v>30</v>
      </c>
      <c r="AB111" s="1">
        <f t="shared" si="104"/>
        <v>26</v>
      </c>
      <c r="AC111" s="1">
        <f t="shared" si="104"/>
        <v>28</v>
      </c>
      <c r="AD111" s="1">
        <f t="shared" si="104"/>
        <v>45</v>
      </c>
      <c r="AE111" s="1">
        <f t="shared" si="104"/>
        <v>32</v>
      </c>
      <c r="AF111" s="1">
        <f t="shared" si="104"/>
        <v>14</v>
      </c>
      <c r="AG111" s="1">
        <f t="shared" si="104"/>
        <v>20</v>
      </c>
      <c r="AH111" s="1">
        <f t="shared" ref="AH111:AY111" si="105">RANK(AH52,$B52:$AY52,0)</f>
        <v>15</v>
      </c>
      <c r="AI111" s="1">
        <f t="shared" si="105"/>
        <v>34</v>
      </c>
      <c r="AJ111" s="1">
        <f t="shared" si="105"/>
        <v>45</v>
      </c>
      <c r="AK111" s="1">
        <f t="shared" si="105"/>
        <v>3</v>
      </c>
      <c r="AL111" s="1">
        <f t="shared" si="105"/>
        <v>20</v>
      </c>
      <c r="AM111" s="1">
        <f t="shared" si="105"/>
        <v>24</v>
      </c>
      <c r="AN111" s="1">
        <f t="shared" si="105"/>
        <v>39</v>
      </c>
      <c r="AO111" s="1">
        <f t="shared" si="105"/>
        <v>39</v>
      </c>
      <c r="AP111" s="1">
        <f t="shared" si="105"/>
        <v>1</v>
      </c>
      <c r="AQ111" s="1">
        <f t="shared" si="105"/>
        <v>4</v>
      </c>
      <c r="AR111" s="1">
        <f t="shared" si="105"/>
        <v>18</v>
      </c>
      <c r="AS111" s="1">
        <f t="shared" si="105"/>
        <v>10</v>
      </c>
      <c r="AT111" s="1">
        <f t="shared" si="105"/>
        <v>16</v>
      </c>
      <c r="AU111" s="1">
        <f t="shared" si="105"/>
        <v>39</v>
      </c>
      <c r="AV111" s="1">
        <f t="shared" si="105"/>
        <v>32</v>
      </c>
      <c r="AW111" s="1">
        <f t="shared" si="105"/>
        <v>30</v>
      </c>
      <c r="AX111" s="1">
        <f t="shared" si="105"/>
        <v>45</v>
      </c>
      <c r="AY111" s="1">
        <f t="shared" si="105"/>
        <v>12</v>
      </c>
    </row>
    <row r="112" spans="1:51">
      <c r="A112" s="1" t="str">
        <f t="shared" si="67"/>
        <v>4.2.4) Level of corruption in police force</v>
      </c>
      <c r="B112" s="1">
        <f t="shared" ref="B112:AG112" si="106">RANK(B53,$B53:$AY53,0)</f>
        <v>29</v>
      </c>
      <c r="C112" s="1">
        <f t="shared" si="106"/>
        <v>47</v>
      </c>
      <c r="D112" s="1">
        <f t="shared" si="106"/>
        <v>10</v>
      </c>
      <c r="E112" s="1">
        <f t="shared" si="106"/>
        <v>27</v>
      </c>
      <c r="F112" s="1">
        <f t="shared" si="106"/>
        <v>10</v>
      </c>
      <c r="G112" s="1">
        <f t="shared" si="106"/>
        <v>31</v>
      </c>
      <c r="H112" s="1">
        <f t="shared" si="106"/>
        <v>6</v>
      </c>
      <c r="I112" s="1">
        <f t="shared" si="106"/>
        <v>31</v>
      </c>
      <c r="J112" s="1">
        <f t="shared" si="106"/>
        <v>8</v>
      </c>
      <c r="K112" s="1">
        <f t="shared" si="106"/>
        <v>39</v>
      </c>
      <c r="L112" s="1">
        <f t="shared" si="106"/>
        <v>42</v>
      </c>
      <c r="M112" s="1">
        <f t="shared" si="106"/>
        <v>10</v>
      </c>
      <c r="N112" s="1">
        <f t="shared" si="106"/>
        <v>4</v>
      </c>
      <c r="O112" s="1">
        <f t="shared" si="106"/>
        <v>43</v>
      </c>
      <c r="P112" s="1">
        <f t="shared" si="106"/>
        <v>21</v>
      </c>
      <c r="Q112" s="1">
        <f t="shared" si="106"/>
        <v>5</v>
      </c>
      <c r="R112" s="1">
        <f t="shared" si="106"/>
        <v>22</v>
      </c>
      <c r="S112" s="1">
        <f t="shared" si="106"/>
        <v>22</v>
      </c>
      <c r="T112" s="1">
        <f t="shared" si="106"/>
        <v>10</v>
      </c>
      <c r="U112" s="1">
        <f t="shared" si="106"/>
        <v>38</v>
      </c>
      <c r="V112" s="1">
        <f t="shared" si="106"/>
        <v>31</v>
      </c>
      <c r="W112" s="1">
        <f t="shared" si="106"/>
        <v>27</v>
      </c>
      <c r="X112" s="1">
        <f t="shared" si="106"/>
        <v>44</v>
      </c>
      <c r="Y112" s="1">
        <f t="shared" si="106"/>
        <v>7</v>
      </c>
      <c r="Z112" s="1">
        <f t="shared" si="106"/>
        <v>19</v>
      </c>
      <c r="AA112" s="1">
        <f t="shared" si="106"/>
        <v>48</v>
      </c>
      <c r="AB112" s="1">
        <f t="shared" si="106"/>
        <v>2</v>
      </c>
      <c r="AC112" s="1">
        <f t="shared" si="106"/>
        <v>8</v>
      </c>
      <c r="AD112" s="1">
        <f t="shared" si="106"/>
        <v>31</v>
      </c>
      <c r="AE112" s="1">
        <f t="shared" si="106"/>
        <v>40</v>
      </c>
      <c r="AF112" s="1">
        <f t="shared" si="106"/>
        <v>30</v>
      </c>
      <c r="AG112" s="1">
        <f t="shared" si="106"/>
        <v>17</v>
      </c>
      <c r="AH112" s="1">
        <f t="shared" ref="AH112:AY112" si="107">RANK(AH53,$B53:$AY53,0)</f>
        <v>24</v>
      </c>
      <c r="AI112" s="1">
        <f t="shared" si="107"/>
        <v>19</v>
      </c>
      <c r="AJ112" s="1">
        <f t="shared" si="107"/>
        <v>31</v>
      </c>
      <c r="AK112" s="1">
        <f t="shared" si="107"/>
        <v>37</v>
      </c>
      <c r="AL112" s="1">
        <f t="shared" si="107"/>
        <v>17</v>
      </c>
      <c r="AM112" s="1">
        <f t="shared" si="107"/>
        <v>25</v>
      </c>
      <c r="AN112" s="1">
        <f t="shared" si="107"/>
        <v>10</v>
      </c>
      <c r="AO112" s="1">
        <f t="shared" si="107"/>
        <v>10</v>
      </c>
      <c r="AP112" s="1">
        <f t="shared" si="107"/>
        <v>50</v>
      </c>
      <c r="AQ112" s="1">
        <f t="shared" si="107"/>
        <v>1</v>
      </c>
      <c r="AR112" s="1">
        <f t="shared" si="107"/>
        <v>44</v>
      </c>
      <c r="AS112" s="1">
        <f t="shared" si="107"/>
        <v>26</v>
      </c>
      <c r="AT112" s="1">
        <f t="shared" si="107"/>
        <v>3</v>
      </c>
      <c r="AU112" s="1">
        <f t="shared" si="107"/>
        <v>10</v>
      </c>
      <c r="AV112" s="1">
        <f t="shared" si="107"/>
        <v>40</v>
      </c>
      <c r="AW112" s="1">
        <f t="shared" si="107"/>
        <v>48</v>
      </c>
      <c r="AX112" s="1">
        <f t="shared" si="107"/>
        <v>31</v>
      </c>
      <c r="AY112" s="1">
        <f t="shared" si="107"/>
        <v>44</v>
      </c>
    </row>
    <row r="113" spans="1:51">
      <c r="A113" s="1" t="str">
        <f t="shared" si="67"/>
        <v>4.2.5) Rate of drug use</v>
      </c>
      <c r="B113" s="1">
        <f t="shared" ref="B113:AG113" si="108">RANK(B54,$B54:$AY54,0)</f>
        <v>2</v>
      </c>
      <c r="C113" s="1">
        <f t="shared" si="108"/>
        <v>26</v>
      </c>
      <c r="D113" s="1">
        <f t="shared" si="108"/>
        <v>7</v>
      </c>
      <c r="E113" s="1">
        <f t="shared" si="108"/>
        <v>46</v>
      </c>
      <c r="F113" s="1">
        <f t="shared" si="108"/>
        <v>15</v>
      </c>
      <c r="G113" s="1">
        <f t="shared" si="108"/>
        <v>31</v>
      </c>
      <c r="H113" s="1">
        <f t="shared" si="108"/>
        <v>46</v>
      </c>
      <c r="I113" s="1">
        <f t="shared" si="108"/>
        <v>40</v>
      </c>
      <c r="J113" s="1">
        <f t="shared" si="108"/>
        <v>21</v>
      </c>
      <c r="K113" s="1">
        <f t="shared" si="108"/>
        <v>5</v>
      </c>
      <c r="L113" s="1">
        <f t="shared" si="108"/>
        <v>31</v>
      </c>
      <c r="M113" s="1">
        <f t="shared" si="108"/>
        <v>15</v>
      </c>
      <c r="N113" s="1">
        <f t="shared" si="108"/>
        <v>7</v>
      </c>
      <c r="O113" s="1">
        <f t="shared" si="108"/>
        <v>20</v>
      </c>
      <c r="P113" s="1">
        <f t="shared" si="108"/>
        <v>7</v>
      </c>
      <c r="Q113" s="1">
        <f t="shared" si="108"/>
        <v>46</v>
      </c>
      <c r="R113" s="1">
        <f t="shared" si="108"/>
        <v>30</v>
      </c>
      <c r="S113" s="1">
        <f t="shared" si="108"/>
        <v>7</v>
      </c>
      <c r="T113" s="1">
        <f t="shared" si="108"/>
        <v>24</v>
      </c>
      <c r="U113" s="1">
        <f t="shared" si="108"/>
        <v>35</v>
      </c>
      <c r="V113" s="1">
        <f t="shared" si="108"/>
        <v>40</v>
      </c>
      <c r="W113" s="1">
        <f t="shared" si="108"/>
        <v>46</v>
      </c>
      <c r="X113" s="1">
        <f t="shared" si="108"/>
        <v>35</v>
      </c>
      <c r="Y113" s="1">
        <f t="shared" si="108"/>
        <v>21</v>
      </c>
      <c r="Z113" s="1">
        <f t="shared" si="108"/>
        <v>38</v>
      </c>
      <c r="AA113" s="1">
        <f t="shared" si="108"/>
        <v>33</v>
      </c>
      <c r="AB113" s="1">
        <f t="shared" si="108"/>
        <v>13</v>
      </c>
      <c r="AC113" s="1">
        <f t="shared" si="108"/>
        <v>21</v>
      </c>
      <c r="AD113" s="1">
        <f t="shared" si="108"/>
        <v>40</v>
      </c>
      <c r="AE113" s="1">
        <f t="shared" si="108"/>
        <v>3</v>
      </c>
      <c r="AF113" s="1">
        <f t="shared" si="108"/>
        <v>26</v>
      </c>
      <c r="AG113" s="1">
        <f t="shared" si="108"/>
        <v>28</v>
      </c>
      <c r="AH113" s="1">
        <f t="shared" ref="AH113:AY113" si="109">RANK(AH54,$B54:$AY54,0)</f>
        <v>5</v>
      </c>
      <c r="AI113" s="1">
        <f t="shared" si="109"/>
        <v>38</v>
      </c>
      <c r="AJ113" s="1">
        <f t="shared" si="109"/>
        <v>40</v>
      </c>
      <c r="AK113" s="1">
        <f t="shared" si="109"/>
        <v>40</v>
      </c>
      <c r="AL113" s="1">
        <f t="shared" si="109"/>
        <v>28</v>
      </c>
      <c r="AM113" s="1">
        <f t="shared" si="109"/>
        <v>7</v>
      </c>
      <c r="AN113" s="1">
        <f t="shared" si="109"/>
        <v>15</v>
      </c>
      <c r="AO113" s="1">
        <f t="shared" si="109"/>
        <v>15</v>
      </c>
      <c r="AP113" s="1">
        <f t="shared" si="109"/>
        <v>1</v>
      </c>
      <c r="AQ113" s="1">
        <f t="shared" si="109"/>
        <v>24</v>
      </c>
      <c r="AR113" s="1">
        <f t="shared" si="109"/>
        <v>35</v>
      </c>
      <c r="AS113" s="1">
        <f t="shared" si="109"/>
        <v>7</v>
      </c>
      <c r="AT113" s="1">
        <f t="shared" si="109"/>
        <v>46</v>
      </c>
      <c r="AU113" s="1">
        <f t="shared" si="109"/>
        <v>15</v>
      </c>
      <c r="AV113" s="1">
        <f t="shared" si="109"/>
        <v>3</v>
      </c>
      <c r="AW113" s="1">
        <f t="shared" si="109"/>
        <v>33</v>
      </c>
      <c r="AX113" s="1">
        <f t="shared" si="109"/>
        <v>40</v>
      </c>
      <c r="AY113" s="1">
        <f t="shared" si="109"/>
        <v>13</v>
      </c>
    </row>
    <row r="114" spans="1:51">
      <c r="A114" s="1" t="str">
        <f t="shared" si="67"/>
        <v>4.2.6) Frequency of terrorist attacks</v>
      </c>
      <c r="B114" s="1">
        <f t="shared" ref="B114:AG114" si="110">RANK(B55,$B55:$AY55,0)</f>
        <v>1</v>
      </c>
      <c r="C114" s="1">
        <f t="shared" si="110"/>
        <v>14</v>
      </c>
      <c r="D114" s="1">
        <f t="shared" si="110"/>
        <v>50</v>
      </c>
      <c r="E114" s="1">
        <f t="shared" si="110"/>
        <v>14</v>
      </c>
      <c r="F114" s="1">
        <f t="shared" si="110"/>
        <v>30</v>
      </c>
      <c r="G114" s="1">
        <f t="shared" si="110"/>
        <v>25</v>
      </c>
      <c r="H114" s="1">
        <f t="shared" si="110"/>
        <v>39</v>
      </c>
      <c r="I114" s="1">
        <f t="shared" si="110"/>
        <v>1</v>
      </c>
      <c r="J114" s="1">
        <f t="shared" si="110"/>
        <v>43</v>
      </c>
      <c r="K114" s="1">
        <f t="shared" si="110"/>
        <v>14</v>
      </c>
      <c r="L114" s="1">
        <f t="shared" si="110"/>
        <v>25</v>
      </c>
      <c r="M114" s="1">
        <f t="shared" si="110"/>
        <v>1</v>
      </c>
      <c r="N114" s="1">
        <f t="shared" si="110"/>
        <v>1</v>
      </c>
      <c r="O114" s="1">
        <f t="shared" si="110"/>
        <v>14</v>
      </c>
      <c r="P114" s="1">
        <f t="shared" si="110"/>
        <v>49</v>
      </c>
      <c r="Q114" s="1">
        <f t="shared" si="110"/>
        <v>44</v>
      </c>
      <c r="R114" s="1">
        <f t="shared" si="110"/>
        <v>14</v>
      </c>
      <c r="S114" s="1">
        <f t="shared" si="110"/>
        <v>1</v>
      </c>
      <c r="T114" s="1">
        <f t="shared" si="110"/>
        <v>14</v>
      </c>
      <c r="U114" s="1">
        <f t="shared" si="110"/>
        <v>47</v>
      </c>
      <c r="V114" s="1">
        <f t="shared" si="110"/>
        <v>35</v>
      </c>
      <c r="W114" s="1">
        <f t="shared" si="110"/>
        <v>44</v>
      </c>
      <c r="X114" s="1">
        <f t="shared" si="110"/>
        <v>1</v>
      </c>
      <c r="Y114" s="1">
        <f t="shared" si="110"/>
        <v>33</v>
      </c>
      <c r="Z114" s="1">
        <f t="shared" si="110"/>
        <v>34</v>
      </c>
      <c r="AA114" s="1">
        <f t="shared" si="110"/>
        <v>25</v>
      </c>
      <c r="AB114" s="1">
        <f t="shared" si="110"/>
        <v>46</v>
      </c>
      <c r="AC114" s="1">
        <f t="shared" si="110"/>
        <v>42</v>
      </c>
      <c r="AD114" s="1">
        <f t="shared" si="110"/>
        <v>35</v>
      </c>
      <c r="AE114" s="1">
        <f t="shared" si="110"/>
        <v>1</v>
      </c>
      <c r="AF114" s="1">
        <f t="shared" si="110"/>
        <v>38</v>
      </c>
      <c r="AG114" s="1">
        <f t="shared" si="110"/>
        <v>1</v>
      </c>
      <c r="AH114" s="1">
        <f t="shared" ref="AH114:AY114" si="111">RANK(AH55,$B55:$AY55,0)</f>
        <v>41</v>
      </c>
      <c r="AI114" s="1">
        <f t="shared" si="111"/>
        <v>37</v>
      </c>
      <c r="AJ114" s="1">
        <f t="shared" si="111"/>
        <v>14</v>
      </c>
      <c r="AK114" s="1">
        <f t="shared" si="111"/>
        <v>48</v>
      </c>
      <c r="AL114" s="1">
        <f t="shared" si="111"/>
        <v>25</v>
      </c>
      <c r="AM114" s="1">
        <f t="shared" si="111"/>
        <v>14</v>
      </c>
      <c r="AN114" s="1">
        <f t="shared" si="111"/>
        <v>1</v>
      </c>
      <c r="AO114" s="1">
        <f t="shared" si="111"/>
        <v>14</v>
      </c>
      <c r="AP114" s="1">
        <f t="shared" si="111"/>
        <v>1</v>
      </c>
      <c r="AQ114" s="1">
        <f t="shared" si="111"/>
        <v>32</v>
      </c>
      <c r="AR114" s="1">
        <f t="shared" si="111"/>
        <v>1</v>
      </c>
      <c r="AS114" s="1">
        <f t="shared" si="111"/>
        <v>25</v>
      </c>
      <c r="AT114" s="1">
        <f t="shared" si="111"/>
        <v>39</v>
      </c>
      <c r="AU114" s="1">
        <f t="shared" si="111"/>
        <v>1</v>
      </c>
      <c r="AV114" s="1">
        <f t="shared" si="111"/>
        <v>1</v>
      </c>
      <c r="AW114" s="1">
        <f t="shared" si="111"/>
        <v>14</v>
      </c>
      <c r="AX114" s="1">
        <f t="shared" si="111"/>
        <v>30</v>
      </c>
      <c r="AY114" s="1">
        <f t="shared" si="111"/>
        <v>14</v>
      </c>
    </row>
    <row r="115" spans="1:51">
      <c r="A115" s="1" t="str">
        <f t="shared" si="67"/>
        <v>4.2.7) Gender safety</v>
      </c>
      <c r="B115" s="1">
        <f t="shared" ref="B115:AG115" si="112">RANK(B56,$B56:$AY56,0)</f>
        <v>37</v>
      </c>
      <c r="C115" s="1">
        <f t="shared" si="112"/>
        <v>22</v>
      </c>
      <c r="D115" s="1">
        <f t="shared" si="112"/>
        <v>33</v>
      </c>
      <c r="E115" s="1">
        <f t="shared" si="112"/>
        <v>26</v>
      </c>
      <c r="F115" s="1">
        <f t="shared" si="112"/>
        <v>46</v>
      </c>
      <c r="G115" s="1">
        <f t="shared" si="112"/>
        <v>23</v>
      </c>
      <c r="H115" s="1">
        <f t="shared" si="112"/>
        <v>41</v>
      </c>
      <c r="I115" s="1">
        <f t="shared" si="112"/>
        <v>28</v>
      </c>
      <c r="J115" s="1">
        <f t="shared" si="112"/>
        <v>30</v>
      </c>
      <c r="K115" s="1">
        <f t="shared" si="112"/>
        <v>2</v>
      </c>
      <c r="L115" s="1">
        <f t="shared" si="112"/>
        <v>40</v>
      </c>
      <c r="M115" s="1">
        <f t="shared" si="112"/>
        <v>46</v>
      </c>
      <c r="N115" s="1">
        <f t="shared" si="112"/>
        <v>25</v>
      </c>
      <c r="O115" s="1">
        <f t="shared" si="112"/>
        <v>7</v>
      </c>
      <c r="P115" s="1">
        <f t="shared" si="112"/>
        <v>29</v>
      </c>
      <c r="Q115" s="1">
        <f t="shared" si="112"/>
        <v>5</v>
      </c>
      <c r="R115" s="1">
        <f t="shared" si="112"/>
        <v>14</v>
      </c>
      <c r="S115" s="1">
        <f t="shared" si="112"/>
        <v>10</v>
      </c>
      <c r="T115" s="1">
        <f t="shared" si="112"/>
        <v>39</v>
      </c>
      <c r="U115" s="1">
        <f t="shared" si="112"/>
        <v>1</v>
      </c>
      <c r="V115" s="1">
        <f t="shared" si="112"/>
        <v>24</v>
      </c>
      <c r="W115" s="1">
        <f t="shared" si="112"/>
        <v>34</v>
      </c>
      <c r="X115" s="1">
        <f t="shared" si="112"/>
        <v>32</v>
      </c>
      <c r="Y115" s="1">
        <f t="shared" si="112"/>
        <v>43</v>
      </c>
      <c r="Z115" s="1">
        <f t="shared" si="112"/>
        <v>9</v>
      </c>
      <c r="AA115" s="1">
        <f t="shared" si="112"/>
        <v>19</v>
      </c>
      <c r="AB115" s="1">
        <f t="shared" si="112"/>
        <v>16</v>
      </c>
      <c r="AC115" s="1">
        <f t="shared" si="112"/>
        <v>15</v>
      </c>
      <c r="AD115" s="1">
        <f t="shared" si="112"/>
        <v>27</v>
      </c>
      <c r="AE115" s="1">
        <f t="shared" si="112"/>
        <v>10</v>
      </c>
      <c r="AF115" s="1">
        <f t="shared" si="112"/>
        <v>42</v>
      </c>
      <c r="AG115" s="1">
        <f t="shared" si="112"/>
        <v>35</v>
      </c>
      <c r="AH115" s="1">
        <f t="shared" ref="AH115:AY115" si="113">RANK(AH56,$B56:$AY56,0)</f>
        <v>3</v>
      </c>
      <c r="AI115" s="1">
        <f t="shared" si="113"/>
        <v>6</v>
      </c>
      <c r="AJ115" s="1">
        <f t="shared" si="113"/>
        <v>8</v>
      </c>
      <c r="AK115" s="1">
        <f t="shared" si="113"/>
        <v>31</v>
      </c>
      <c r="AL115" s="1">
        <f t="shared" si="113"/>
        <v>21</v>
      </c>
      <c r="AM115" s="1">
        <f t="shared" si="113"/>
        <v>45</v>
      </c>
      <c r="AN115" s="1">
        <f t="shared" si="113"/>
        <v>46</v>
      </c>
      <c r="AO115" s="1">
        <f t="shared" si="113"/>
        <v>46</v>
      </c>
      <c r="AP115" s="1">
        <f t="shared" si="113"/>
        <v>12</v>
      </c>
      <c r="AQ115" s="1">
        <f t="shared" si="113"/>
        <v>36</v>
      </c>
      <c r="AR115" s="1">
        <f t="shared" si="113"/>
        <v>38</v>
      </c>
      <c r="AS115" s="1">
        <f t="shared" si="113"/>
        <v>44</v>
      </c>
      <c r="AT115" s="1">
        <f t="shared" si="113"/>
        <v>4</v>
      </c>
      <c r="AU115" s="1">
        <f t="shared" si="113"/>
        <v>46</v>
      </c>
      <c r="AV115" s="1">
        <f t="shared" si="113"/>
        <v>13</v>
      </c>
      <c r="AW115" s="1">
        <f t="shared" si="113"/>
        <v>19</v>
      </c>
      <c r="AX115" s="1">
        <f t="shared" si="113"/>
        <v>17</v>
      </c>
      <c r="AY115" s="1">
        <f t="shared" si="113"/>
        <v>18</v>
      </c>
    </row>
    <row r="116" spans="1:51">
      <c r="A116" s="1" t="str">
        <f t="shared" si="67"/>
        <v>4.2.8) Perceptions of safety</v>
      </c>
      <c r="B116" s="1">
        <f t="shared" ref="B116:AG116" si="114">RANK(B57,$B57:$AY57,0)</f>
        <v>2</v>
      </c>
      <c r="C116" s="1">
        <f t="shared" si="114"/>
        <v>16</v>
      </c>
      <c r="D116" s="1">
        <f t="shared" si="114"/>
        <v>17</v>
      </c>
      <c r="E116" s="1">
        <f t="shared" si="114"/>
        <v>24</v>
      </c>
      <c r="F116" s="1">
        <f t="shared" si="114"/>
        <v>25</v>
      </c>
      <c r="G116" s="1">
        <f t="shared" si="114"/>
        <v>37</v>
      </c>
      <c r="H116" s="1">
        <f t="shared" si="114"/>
        <v>44</v>
      </c>
      <c r="I116" s="1">
        <f t="shared" si="114"/>
        <v>43</v>
      </c>
      <c r="J116" s="1">
        <f t="shared" si="114"/>
        <v>41</v>
      </c>
      <c r="K116" s="1">
        <f t="shared" si="114"/>
        <v>9</v>
      </c>
      <c r="L116" s="1">
        <f t="shared" si="114"/>
        <v>14</v>
      </c>
      <c r="M116" s="1">
        <f t="shared" si="114"/>
        <v>21</v>
      </c>
      <c r="N116" s="1">
        <f t="shared" si="114"/>
        <v>32</v>
      </c>
      <c r="O116" s="1">
        <f t="shared" si="114"/>
        <v>3</v>
      </c>
      <c r="P116" s="1">
        <f t="shared" si="114"/>
        <v>20</v>
      </c>
      <c r="Q116" s="1">
        <f t="shared" si="114"/>
        <v>33</v>
      </c>
      <c r="R116" s="1">
        <f t="shared" si="114"/>
        <v>50</v>
      </c>
      <c r="S116" s="1">
        <f t="shared" si="114"/>
        <v>28</v>
      </c>
      <c r="T116" s="1">
        <f t="shared" si="114"/>
        <v>46</v>
      </c>
      <c r="U116" s="1">
        <f t="shared" si="114"/>
        <v>29</v>
      </c>
      <c r="V116" s="1">
        <f t="shared" si="114"/>
        <v>35</v>
      </c>
      <c r="W116" s="1">
        <f t="shared" si="114"/>
        <v>18</v>
      </c>
      <c r="X116" s="1">
        <f t="shared" si="114"/>
        <v>27</v>
      </c>
      <c r="Y116" s="1">
        <f t="shared" si="114"/>
        <v>45</v>
      </c>
      <c r="Z116" s="1">
        <f t="shared" si="114"/>
        <v>36</v>
      </c>
      <c r="AA116" s="1">
        <f t="shared" si="114"/>
        <v>19</v>
      </c>
      <c r="AB116" s="1">
        <f t="shared" si="114"/>
        <v>38</v>
      </c>
      <c r="AC116" s="1">
        <f t="shared" si="114"/>
        <v>34</v>
      </c>
      <c r="AD116" s="1">
        <f t="shared" si="114"/>
        <v>31</v>
      </c>
      <c r="AE116" s="1">
        <f t="shared" si="114"/>
        <v>1</v>
      </c>
      <c r="AF116" s="1">
        <f t="shared" si="114"/>
        <v>39</v>
      </c>
      <c r="AG116" s="1">
        <f t="shared" si="114"/>
        <v>48</v>
      </c>
      <c r="AH116" s="1">
        <f t="shared" ref="AH116:AY116" si="115">RANK(AH57,$B57:$AY57,0)</f>
        <v>13</v>
      </c>
      <c r="AI116" s="1">
        <f t="shared" si="115"/>
        <v>47</v>
      </c>
      <c r="AJ116" s="1">
        <f t="shared" si="115"/>
        <v>26</v>
      </c>
      <c r="AK116" s="1">
        <f t="shared" si="115"/>
        <v>30</v>
      </c>
      <c r="AL116" s="1">
        <f t="shared" si="115"/>
        <v>49</v>
      </c>
      <c r="AM116" s="1">
        <f t="shared" si="115"/>
        <v>6</v>
      </c>
      <c r="AN116" s="1">
        <f t="shared" si="115"/>
        <v>11</v>
      </c>
      <c r="AO116" s="1">
        <f t="shared" si="115"/>
        <v>12</v>
      </c>
      <c r="AP116" s="1">
        <f t="shared" si="115"/>
        <v>4</v>
      </c>
      <c r="AQ116" s="1">
        <f t="shared" si="115"/>
        <v>10</v>
      </c>
      <c r="AR116" s="1">
        <f t="shared" si="115"/>
        <v>23</v>
      </c>
      <c r="AS116" s="1">
        <f t="shared" si="115"/>
        <v>8</v>
      </c>
      <c r="AT116" s="1">
        <f t="shared" si="115"/>
        <v>40</v>
      </c>
      <c r="AU116" s="1">
        <f t="shared" si="115"/>
        <v>22</v>
      </c>
      <c r="AV116" s="1">
        <f t="shared" si="115"/>
        <v>5</v>
      </c>
      <c r="AW116" s="1">
        <f t="shared" si="115"/>
        <v>15</v>
      </c>
      <c r="AX116" s="1">
        <f t="shared" si="115"/>
        <v>42</v>
      </c>
      <c r="AY116" s="1">
        <f t="shared" si="115"/>
        <v>7</v>
      </c>
    </row>
    <row r="120" spans="1:51">
      <c r="A120" s="1" t="str">
        <f t="shared" ref="A120:A151" si="116">A61</f>
        <v>OVERALL SCORE</v>
      </c>
      <c r="B120" s="1">
        <f t="shared" ref="B120:AG120" si="117">COUNTIF($B61:$AY61,B61)</f>
        <v>1</v>
      </c>
      <c r="C120" s="1">
        <f t="shared" si="117"/>
        <v>1</v>
      </c>
      <c r="D120" s="1">
        <f t="shared" si="117"/>
        <v>1</v>
      </c>
      <c r="E120" s="1">
        <f t="shared" si="117"/>
        <v>1</v>
      </c>
      <c r="F120" s="1">
        <f t="shared" si="117"/>
        <v>1</v>
      </c>
      <c r="G120" s="1">
        <f t="shared" si="117"/>
        <v>1</v>
      </c>
      <c r="H120" s="1">
        <f t="shared" si="117"/>
        <v>1</v>
      </c>
      <c r="I120" s="1">
        <f t="shared" si="117"/>
        <v>1</v>
      </c>
      <c r="J120" s="1">
        <f t="shared" si="117"/>
        <v>1</v>
      </c>
      <c r="K120" s="1">
        <f t="shared" si="117"/>
        <v>1</v>
      </c>
      <c r="L120" s="1">
        <f t="shared" si="117"/>
        <v>1</v>
      </c>
      <c r="M120" s="1">
        <f t="shared" si="117"/>
        <v>1</v>
      </c>
      <c r="N120" s="1">
        <f t="shared" si="117"/>
        <v>1</v>
      </c>
      <c r="O120" s="1">
        <f t="shared" si="117"/>
        <v>1</v>
      </c>
      <c r="P120" s="1">
        <f t="shared" si="117"/>
        <v>1</v>
      </c>
      <c r="Q120" s="1">
        <f t="shared" si="117"/>
        <v>1</v>
      </c>
      <c r="R120" s="1">
        <f t="shared" si="117"/>
        <v>1</v>
      </c>
      <c r="S120" s="1">
        <f t="shared" si="117"/>
        <v>1</v>
      </c>
      <c r="T120" s="1">
        <f t="shared" si="117"/>
        <v>1</v>
      </c>
      <c r="U120" s="1">
        <f t="shared" si="117"/>
        <v>1</v>
      </c>
      <c r="V120" s="1">
        <f t="shared" si="117"/>
        <v>1</v>
      </c>
      <c r="W120" s="1">
        <f t="shared" si="117"/>
        <v>1</v>
      </c>
      <c r="X120" s="1">
        <f t="shared" si="117"/>
        <v>1</v>
      </c>
      <c r="Y120" s="1">
        <f t="shared" si="117"/>
        <v>1</v>
      </c>
      <c r="Z120" s="1">
        <f t="shared" si="117"/>
        <v>1</v>
      </c>
      <c r="AA120" s="1">
        <f t="shared" si="117"/>
        <v>1</v>
      </c>
      <c r="AB120" s="1">
        <f t="shared" si="117"/>
        <v>1</v>
      </c>
      <c r="AC120" s="1">
        <f t="shared" si="117"/>
        <v>1</v>
      </c>
      <c r="AD120" s="1">
        <f t="shared" si="117"/>
        <v>1</v>
      </c>
      <c r="AE120" s="1">
        <f t="shared" si="117"/>
        <v>1</v>
      </c>
      <c r="AF120" s="1">
        <f t="shared" si="117"/>
        <v>1</v>
      </c>
      <c r="AG120" s="1">
        <f t="shared" si="117"/>
        <v>1</v>
      </c>
      <c r="AH120" s="1">
        <f t="shared" ref="AH120:AY120" si="118">COUNTIF($B61:$AY61,AH61)</f>
        <v>1</v>
      </c>
      <c r="AI120" s="1">
        <f t="shared" si="118"/>
        <v>1</v>
      </c>
      <c r="AJ120" s="1">
        <f t="shared" si="118"/>
        <v>1</v>
      </c>
      <c r="AK120" s="1">
        <f t="shared" si="118"/>
        <v>1</v>
      </c>
      <c r="AL120" s="1">
        <f t="shared" si="118"/>
        <v>1</v>
      </c>
      <c r="AM120" s="1">
        <f t="shared" si="118"/>
        <v>1</v>
      </c>
      <c r="AN120" s="1">
        <f t="shared" si="118"/>
        <v>1</v>
      </c>
      <c r="AO120" s="1">
        <f t="shared" si="118"/>
        <v>1</v>
      </c>
      <c r="AP120" s="1">
        <f t="shared" si="118"/>
        <v>1</v>
      </c>
      <c r="AQ120" s="1">
        <f t="shared" si="118"/>
        <v>1</v>
      </c>
      <c r="AR120" s="1">
        <f t="shared" si="118"/>
        <v>1</v>
      </c>
      <c r="AS120" s="1">
        <f t="shared" si="118"/>
        <v>1</v>
      </c>
      <c r="AT120" s="1">
        <f t="shared" si="118"/>
        <v>1</v>
      </c>
      <c r="AU120" s="1">
        <f t="shared" si="118"/>
        <v>1</v>
      </c>
      <c r="AV120" s="1">
        <f t="shared" si="118"/>
        <v>1</v>
      </c>
      <c r="AW120" s="1">
        <f t="shared" si="118"/>
        <v>1</v>
      </c>
      <c r="AX120" s="1">
        <f t="shared" si="118"/>
        <v>1</v>
      </c>
      <c r="AY120" s="1">
        <f t="shared" si="118"/>
        <v>1</v>
      </c>
    </row>
    <row r="121" spans="1:51">
      <c r="A121" s="1" t="str">
        <f t="shared" si="116"/>
        <v>1) DIGITAL SECURITY</v>
      </c>
      <c r="B121" s="1">
        <f t="shared" ref="B121:AG121" si="119">COUNTIF($B62:$AY62,B62)</f>
        <v>1</v>
      </c>
      <c r="C121" s="1">
        <f t="shared" si="119"/>
        <v>1</v>
      </c>
      <c r="D121" s="1">
        <f t="shared" si="119"/>
        <v>1</v>
      </c>
      <c r="E121" s="1">
        <f t="shared" si="119"/>
        <v>1</v>
      </c>
      <c r="F121" s="1">
        <f t="shared" si="119"/>
        <v>1</v>
      </c>
      <c r="G121" s="1">
        <f t="shared" si="119"/>
        <v>1</v>
      </c>
      <c r="H121" s="1">
        <f t="shared" si="119"/>
        <v>1</v>
      </c>
      <c r="I121" s="1">
        <f t="shared" si="119"/>
        <v>1</v>
      </c>
      <c r="J121" s="1">
        <f t="shared" si="119"/>
        <v>1</v>
      </c>
      <c r="K121" s="1">
        <f t="shared" si="119"/>
        <v>1</v>
      </c>
      <c r="L121" s="1">
        <f t="shared" si="119"/>
        <v>1</v>
      </c>
      <c r="M121" s="1">
        <f t="shared" si="119"/>
        <v>1</v>
      </c>
      <c r="N121" s="1">
        <f t="shared" si="119"/>
        <v>1</v>
      </c>
      <c r="O121" s="1">
        <f t="shared" si="119"/>
        <v>1</v>
      </c>
      <c r="P121" s="1">
        <f t="shared" si="119"/>
        <v>1</v>
      </c>
      <c r="Q121" s="1">
        <f t="shared" si="119"/>
        <v>1</v>
      </c>
      <c r="R121" s="1">
        <f t="shared" si="119"/>
        <v>1</v>
      </c>
      <c r="S121" s="1">
        <f t="shared" si="119"/>
        <v>1</v>
      </c>
      <c r="T121" s="1">
        <f t="shared" si="119"/>
        <v>1</v>
      </c>
      <c r="U121" s="1">
        <f t="shared" si="119"/>
        <v>1</v>
      </c>
      <c r="V121" s="1">
        <f t="shared" si="119"/>
        <v>1</v>
      </c>
      <c r="W121" s="1">
        <f t="shared" si="119"/>
        <v>1</v>
      </c>
      <c r="X121" s="1">
        <f t="shared" si="119"/>
        <v>1</v>
      </c>
      <c r="Y121" s="1">
        <f t="shared" si="119"/>
        <v>1</v>
      </c>
      <c r="Z121" s="1">
        <f t="shared" si="119"/>
        <v>1</v>
      </c>
      <c r="AA121" s="1">
        <f t="shared" si="119"/>
        <v>2</v>
      </c>
      <c r="AB121" s="1">
        <f t="shared" si="119"/>
        <v>1</v>
      </c>
      <c r="AC121" s="1">
        <f t="shared" si="119"/>
        <v>1</v>
      </c>
      <c r="AD121" s="1">
        <f t="shared" si="119"/>
        <v>1</v>
      </c>
      <c r="AE121" s="1">
        <f t="shared" si="119"/>
        <v>1</v>
      </c>
      <c r="AF121" s="1">
        <f t="shared" si="119"/>
        <v>1</v>
      </c>
      <c r="AG121" s="1">
        <f t="shared" si="119"/>
        <v>1</v>
      </c>
      <c r="AH121" s="1">
        <f t="shared" ref="AH121:AY121" si="120">COUNTIF($B62:$AY62,AH62)</f>
        <v>1</v>
      </c>
      <c r="AI121" s="1">
        <f t="shared" si="120"/>
        <v>1</v>
      </c>
      <c r="AJ121" s="1">
        <f t="shared" si="120"/>
        <v>1</v>
      </c>
      <c r="AK121" s="1">
        <f t="shared" si="120"/>
        <v>1</v>
      </c>
      <c r="AL121" s="1">
        <f t="shared" si="120"/>
        <v>1</v>
      </c>
      <c r="AM121" s="1">
        <f t="shared" si="120"/>
        <v>1</v>
      </c>
      <c r="AN121" s="1">
        <f t="shared" si="120"/>
        <v>1</v>
      </c>
      <c r="AO121" s="1">
        <f t="shared" si="120"/>
        <v>1</v>
      </c>
      <c r="AP121" s="1">
        <f t="shared" si="120"/>
        <v>1</v>
      </c>
      <c r="AQ121" s="1">
        <f t="shared" si="120"/>
        <v>1</v>
      </c>
      <c r="AR121" s="1">
        <f t="shared" si="120"/>
        <v>1</v>
      </c>
      <c r="AS121" s="1">
        <f t="shared" si="120"/>
        <v>1</v>
      </c>
      <c r="AT121" s="1">
        <f t="shared" si="120"/>
        <v>1</v>
      </c>
      <c r="AU121" s="1">
        <f t="shared" si="120"/>
        <v>1</v>
      </c>
      <c r="AV121" s="1">
        <f t="shared" si="120"/>
        <v>1</v>
      </c>
      <c r="AW121" s="1">
        <f t="shared" si="120"/>
        <v>2</v>
      </c>
      <c r="AX121" s="1">
        <f t="shared" si="120"/>
        <v>1</v>
      </c>
      <c r="AY121" s="1">
        <f t="shared" si="120"/>
        <v>1</v>
      </c>
    </row>
    <row r="122" spans="1:51">
      <c r="A122" s="1" t="str">
        <f t="shared" si="116"/>
        <v>1.1) Digital Security (Inputs)</v>
      </c>
      <c r="B122" s="1">
        <f t="shared" ref="B122:AG122" si="121">COUNTIF($B63:$AY63,B63)</f>
        <v>1</v>
      </c>
      <c r="C122" s="1">
        <f t="shared" si="121"/>
        <v>1</v>
      </c>
      <c r="D122" s="1">
        <f t="shared" si="121"/>
        <v>6</v>
      </c>
      <c r="E122" s="1">
        <f t="shared" si="121"/>
        <v>4</v>
      </c>
      <c r="F122" s="1">
        <f t="shared" si="121"/>
        <v>6</v>
      </c>
      <c r="G122" s="1">
        <f t="shared" si="121"/>
        <v>1</v>
      </c>
      <c r="H122" s="1">
        <f t="shared" si="121"/>
        <v>1</v>
      </c>
      <c r="I122" s="1">
        <f t="shared" si="121"/>
        <v>3</v>
      </c>
      <c r="J122" s="1">
        <f t="shared" si="121"/>
        <v>1</v>
      </c>
      <c r="K122" s="1">
        <f t="shared" si="121"/>
        <v>1</v>
      </c>
      <c r="L122" s="1">
        <f t="shared" si="121"/>
        <v>1</v>
      </c>
      <c r="M122" s="1">
        <f t="shared" si="121"/>
        <v>6</v>
      </c>
      <c r="N122" s="1">
        <f t="shared" si="121"/>
        <v>6</v>
      </c>
      <c r="O122" s="1">
        <f t="shared" si="121"/>
        <v>1</v>
      </c>
      <c r="P122" s="1">
        <f t="shared" si="121"/>
        <v>1</v>
      </c>
      <c r="Q122" s="1">
        <f t="shared" si="121"/>
        <v>1</v>
      </c>
      <c r="R122" s="1">
        <f t="shared" si="121"/>
        <v>1</v>
      </c>
      <c r="S122" s="1">
        <f t="shared" si="121"/>
        <v>5</v>
      </c>
      <c r="T122" s="1">
        <f t="shared" si="121"/>
        <v>2</v>
      </c>
      <c r="U122" s="1">
        <f t="shared" si="121"/>
        <v>4</v>
      </c>
      <c r="V122" s="1">
        <f t="shared" si="121"/>
        <v>3</v>
      </c>
      <c r="W122" s="1">
        <f t="shared" si="121"/>
        <v>4</v>
      </c>
      <c r="X122" s="1">
        <f t="shared" si="121"/>
        <v>4</v>
      </c>
      <c r="Y122" s="1">
        <f t="shared" si="121"/>
        <v>1</v>
      </c>
      <c r="Z122" s="1">
        <f t="shared" si="121"/>
        <v>1</v>
      </c>
      <c r="AA122" s="1">
        <f t="shared" si="121"/>
        <v>3</v>
      </c>
      <c r="AB122" s="1">
        <f t="shared" si="121"/>
        <v>5</v>
      </c>
      <c r="AC122" s="1">
        <f t="shared" si="121"/>
        <v>1</v>
      </c>
      <c r="AD122" s="1">
        <f t="shared" si="121"/>
        <v>2</v>
      </c>
      <c r="AE122" s="1">
        <f t="shared" si="121"/>
        <v>1</v>
      </c>
      <c r="AF122" s="1">
        <f t="shared" si="121"/>
        <v>1</v>
      </c>
      <c r="AG122" s="1">
        <f t="shared" si="121"/>
        <v>5</v>
      </c>
      <c r="AH122" s="1">
        <f t="shared" ref="AH122:AY122" si="122">COUNTIF($B63:$AY63,AH63)</f>
        <v>5</v>
      </c>
      <c r="AI122" s="1">
        <f t="shared" si="122"/>
        <v>1</v>
      </c>
      <c r="AJ122" s="1">
        <f t="shared" si="122"/>
        <v>3</v>
      </c>
      <c r="AK122" s="1">
        <f t="shared" si="122"/>
        <v>2</v>
      </c>
      <c r="AL122" s="1">
        <f t="shared" si="122"/>
        <v>5</v>
      </c>
      <c r="AM122" s="1">
        <f t="shared" si="122"/>
        <v>1</v>
      </c>
      <c r="AN122" s="1">
        <f t="shared" si="122"/>
        <v>6</v>
      </c>
      <c r="AO122" s="1">
        <f t="shared" si="122"/>
        <v>1</v>
      </c>
      <c r="AP122" s="1">
        <f t="shared" si="122"/>
        <v>2</v>
      </c>
      <c r="AQ122" s="1">
        <f t="shared" si="122"/>
        <v>1</v>
      </c>
      <c r="AR122" s="1">
        <f t="shared" si="122"/>
        <v>3</v>
      </c>
      <c r="AS122" s="1">
        <f t="shared" si="122"/>
        <v>1</v>
      </c>
      <c r="AT122" s="1">
        <f t="shared" si="122"/>
        <v>1</v>
      </c>
      <c r="AU122" s="1">
        <f t="shared" si="122"/>
        <v>6</v>
      </c>
      <c r="AV122" s="1">
        <f t="shared" si="122"/>
        <v>1</v>
      </c>
      <c r="AW122" s="1">
        <f t="shared" si="122"/>
        <v>3</v>
      </c>
      <c r="AX122" s="1">
        <f t="shared" si="122"/>
        <v>1</v>
      </c>
      <c r="AY122" s="1">
        <f t="shared" si="122"/>
        <v>1</v>
      </c>
    </row>
    <row r="123" spans="1:51">
      <c r="A123" s="1" t="str">
        <f t="shared" si="116"/>
        <v>1.1.1) Privacy policy</v>
      </c>
      <c r="B123" s="1">
        <f t="shared" ref="B123:AG123" si="123">COUNTIF($B64:$AY64,B64)</f>
        <v>6</v>
      </c>
      <c r="C123" s="1">
        <f t="shared" si="123"/>
        <v>3</v>
      </c>
      <c r="D123" s="1">
        <f t="shared" si="123"/>
        <v>9</v>
      </c>
      <c r="E123" s="1">
        <f t="shared" si="123"/>
        <v>12</v>
      </c>
      <c r="F123" s="1">
        <f t="shared" si="123"/>
        <v>9</v>
      </c>
      <c r="G123" s="1">
        <f t="shared" si="123"/>
        <v>3</v>
      </c>
      <c r="H123" s="1">
        <f t="shared" si="123"/>
        <v>3</v>
      </c>
      <c r="I123" s="1">
        <f t="shared" si="123"/>
        <v>20</v>
      </c>
      <c r="J123" s="1">
        <f t="shared" si="123"/>
        <v>20</v>
      </c>
      <c r="K123" s="1">
        <f t="shared" si="123"/>
        <v>12</v>
      </c>
      <c r="L123" s="1">
        <f t="shared" si="123"/>
        <v>6</v>
      </c>
      <c r="M123" s="1">
        <f t="shared" si="123"/>
        <v>9</v>
      </c>
      <c r="N123" s="1">
        <f t="shared" si="123"/>
        <v>9</v>
      </c>
      <c r="O123" s="1">
        <f t="shared" si="123"/>
        <v>12</v>
      </c>
      <c r="P123" s="1">
        <f t="shared" si="123"/>
        <v>20</v>
      </c>
      <c r="Q123" s="1">
        <f t="shared" si="123"/>
        <v>20</v>
      </c>
      <c r="R123" s="1">
        <f t="shared" si="123"/>
        <v>6</v>
      </c>
      <c r="S123" s="1">
        <f t="shared" si="123"/>
        <v>20</v>
      </c>
      <c r="T123" s="1">
        <f t="shared" si="123"/>
        <v>20</v>
      </c>
      <c r="U123" s="1">
        <f t="shared" si="123"/>
        <v>12</v>
      </c>
      <c r="V123" s="1">
        <f t="shared" si="123"/>
        <v>20</v>
      </c>
      <c r="W123" s="1">
        <f t="shared" si="123"/>
        <v>12</v>
      </c>
      <c r="X123" s="1">
        <f t="shared" si="123"/>
        <v>12</v>
      </c>
      <c r="Y123" s="1">
        <f t="shared" si="123"/>
        <v>12</v>
      </c>
      <c r="Z123" s="1">
        <f t="shared" si="123"/>
        <v>6</v>
      </c>
      <c r="AA123" s="1">
        <f t="shared" si="123"/>
        <v>12</v>
      </c>
      <c r="AB123" s="1">
        <f t="shared" si="123"/>
        <v>20</v>
      </c>
      <c r="AC123" s="1">
        <f t="shared" si="123"/>
        <v>20</v>
      </c>
      <c r="AD123" s="1">
        <f t="shared" si="123"/>
        <v>20</v>
      </c>
      <c r="AE123" s="1">
        <f t="shared" si="123"/>
        <v>20</v>
      </c>
      <c r="AF123" s="1">
        <f t="shared" si="123"/>
        <v>12</v>
      </c>
      <c r="AG123" s="1">
        <f t="shared" si="123"/>
        <v>20</v>
      </c>
      <c r="AH123" s="1">
        <f t="shared" ref="AH123:AY123" si="124">COUNTIF($B64:$AY64,AH64)</f>
        <v>20</v>
      </c>
      <c r="AI123" s="1">
        <f t="shared" si="124"/>
        <v>6</v>
      </c>
      <c r="AJ123" s="1">
        <f t="shared" si="124"/>
        <v>20</v>
      </c>
      <c r="AK123" s="1">
        <f t="shared" si="124"/>
        <v>20</v>
      </c>
      <c r="AL123" s="1">
        <f t="shared" si="124"/>
        <v>20</v>
      </c>
      <c r="AM123" s="1">
        <f t="shared" si="124"/>
        <v>6</v>
      </c>
      <c r="AN123" s="1">
        <f t="shared" si="124"/>
        <v>9</v>
      </c>
      <c r="AO123" s="1">
        <f t="shared" si="124"/>
        <v>9</v>
      </c>
      <c r="AP123" s="1">
        <f t="shared" si="124"/>
        <v>20</v>
      </c>
      <c r="AQ123" s="1">
        <f t="shared" si="124"/>
        <v>9</v>
      </c>
      <c r="AR123" s="1">
        <f t="shared" si="124"/>
        <v>12</v>
      </c>
      <c r="AS123" s="1">
        <f t="shared" si="124"/>
        <v>20</v>
      </c>
      <c r="AT123" s="1">
        <f t="shared" si="124"/>
        <v>9</v>
      </c>
      <c r="AU123" s="1">
        <f t="shared" si="124"/>
        <v>9</v>
      </c>
      <c r="AV123" s="1">
        <f t="shared" si="124"/>
        <v>20</v>
      </c>
      <c r="AW123" s="1">
        <f t="shared" si="124"/>
        <v>12</v>
      </c>
      <c r="AX123" s="1">
        <f t="shared" si="124"/>
        <v>20</v>
      </c>
      <c r="AY123" s="1">
        <f t="shared" si="124"/>
        <v>12</v>
      </c>
    </row>
    <row r="124" spans="1:51">
      <c r="A124" s="1" t="str">
        <f t="shared" si="116"/>
        <v>1.1.2) Citizen awareness of digital threats</v>
      </c>
      <c r="B124" s="1">
        <f t="shared" ref="B124:AG124" si="125">COUNTIF($B65:$AY65,B65)</f>
        <v>23</v>
      </c>
      <c r="C124" s="1">
        <f t="shared" si="125"/>
        <v>21</v>
      </c>
      <c r="D124" s="1">
        <f t="shared" si="125"/>
        <v>21</v>
      </c>
      <c r="E124" s="1">
        <f t="shared" si="125"/>
        <v>23</v>
      </c>
      <c r="F124" s="1">
        <f t="shared" si="125"/>
        <v>21</v>
      </c>
      <c r="G124" s="1">
        <f t="shared" si="125"/>
        <v>23</v>
      </c>
      <c r="H124" s="1">
        <f t="shared" si="125"/>
        <v>23</v>
      </c>
      <c r="I124" s="1">
        <f t="shared" si="125"/>
        <v>23</v>
      </c>
      <c r="J124" s="1">
        <f t="shared" si="125"/>
        <v>2</v>
      </c>
      <c r="K124" s="1">
        <f t="shared" si="125"/>
        <v>21</v>
      </c>
      <c r="L124" s="1">
        <f t="shared" si="125"/>
        <v>21</v>
      </c>
      <c r="M124" s="1">
        <f t="shared" si="125"/>
        <v>21</v>
      </c>
      <c r="N124" s="1">
        <f t="shared" si="125"/>
        <v>21</v>
      </c>
      <c r="O124" s="1">
        <f t="shared" si="125"/>
        <v>23</v>
      </c>
      <c r="P124" s="1">
        <f t="shared" si="125"/>
        <v>21</v>
      </c>
      <c r="Q124" s="1">
        <f t="shared" si="125"/>
        <v>23</v>
      </c>
      <c r="R124" s="1">
        <f t="shared" si="125"/>
        <v>21</v>
      </c>
      <c r="S124" s="1">
        <f t="shared" si="125"/>
        <v>21</v>
      </c>
      <c r="T124" s="1">
        <f t="shared" si="125"/>
        <v>23</v>
      </c>
      <c r="U124" s="1">
        <f t="shared" si="125"/>
        <v>23</v>
      </c>
      <c r="V124" s="1">
        <f t="shared" si="125"/>
        <v>23</v>
      </c>
      <c r="W124" s="1">
        <f t="shared" si="125"/>
        <v>23</v>
      </c>
      <c r="X124" s="1">
        <f t="shared" si="125"/>
        <v>23</v>
      </c>
      <c r="Y124" s="1">
        <f t="shared" si="125"/>
        <v>23</v>
      </c>
      <c r="Z124" s="1">
        <f t="shared" si="125"/>
        <v>4</v>
      </c>
      <c r="AA124" s="1">
        <f t="shared" si="125"/>
        <v>23</v>
      </c>
      <c r="AB124" s="1">
        <f t="shared" si="125"/>
        <v>21</v>
      </c>
      <c r="AC124" s="1">
        <f t="shared" si="125"/>
        <v>2</v>
      </c>
      <c r="AD124" s="1">
        <f t="shared" si="125"/>
        <v>23</v>
      </c>
      <c r="AE124" s="1">
        <f t="shared" si="125"/>
        <v>21</v>
      </c>
      <c r="AF124" s="1">
        <f t="shared" si="125"/>
        <v>4</v>
      </c>
      <c r="AG124" s="1">
        <f t="shared" si="125"/>
        <v>21</v>
      </c>
      <c r="AH124" s="1">
        <f t="shared" ref="AH124:AY124" si="126">COUNTIF($B65:$AY65,AH65)</f>
        <v>21</v>
      </c>
      <c r="AI124" s="1">
        <f t="shared" si="126"/>
        <v>4</v>
      </c>
      <c r="AJ124" s="1">
        <f t="shared" si="126"/>
        <v>23</v>
      </c>
      <c r="AK124" s="1">
        <f t="shared" si="126"/>
        <v>23</v>
      </c>
      <c r="AL124" s="1">
        <f t="shared" si="126"/>
        <v>21</v>
      </c>
      <c r="AM124" s="1">
        <f t="shared" si="126"/>
        <v>23</v>
      </c>
      <c r="AN124" s="1">
        <f t="shared" si="126"/>
        <v>21</v>
      </c>
      <c r="AO124" s="1">
        <f t="shared" si="126"/>
        <v>21</v>
      </c>
      <c r="AP124" s="1">
        <f t="shared" si="126"/>
        <v>23</v>
      </c>
      <c r="AQ124" s="1">
        <f t="shared" si="126"/>
        <v>23</v>
      </c>
      <c r="AR124" s="1">
        <f t="shared" si="126"/>
        <v>23</v>
      </c>
      <c r="AS124" s="1">
        <f t="shared" si="126"/>
        <v>21</v>
      </c>
      <c r="AT124" s="1">
        <f t="shared" si="126"/>
        <v>4</v>
      </c>
      <c r="AU124" s="1">
        <f t="shared" si="126"/>
        <v>21</v>
      </c>
      <c r="AV124" s="1">
        <f t="shared" si="126"/>
        <v>21</v>
      </c>
      <c r="AW124" s="1">
        <f t="shared" si="126"/>
        <v>23</v>
      </c>
      <c r="AX124" s="1">
        <f t="shared" si="126"/>
        <v>23</v>
      </c>
      <c r="AY124" s="1">
        <f t="shared" si="126"/>
        <v>21</v>
      </c>
    </row>
    <row r="125" spans="1:51">
      <c r="A125" s="1" t="str">
        <f t="shared" si="116"/>
        <v>1.1.3) Public-private partnerships</v>
      </c>
      <c r="B125" s="1">
        <f t="shared" ref="B125:AG125" si="127">COUNTIF($B66:$AY66,B66)</f>
        <v>36</v>
      </c>
      <c r="C125" s="1">
        <f t="shared" si="127"/>
        <v>36</v>
      </c>
      <c r="D125" s="1">
        <f t="shared" si="127"/>
        <v>36</v>
      </c>
      <c r="E125" s="1">
        <f t="shared" si="127"/>
        <v>7</v>
      </c>
      <c r="F125" s="1">
        <f t="shared" si="127"/>
        <v>36</v>
      </c>
      <c r="G125" s="1">
        <f t="shared" si="127"/>
        <v>36</v>
      </c>
      <c r="H125" s="1">
        <f t="shared" si="127"/>
        <v>7</v>
      </c>
      <c r="I125" s="1">
        <f t="shared" si="127"/>
        <v>36</v>
      </c>
      <c r="J125" s="1">
        <f t="shared" si="127"/>
        <v>7</v>
      </c>
      <c r="K125" s="1">
        <f t="shared" si="127"/>
        <v>7</v>
      </c>
      <c r="L125" s="1">
        <f t="shared" si="127"/>
        <v>36</v>
      </c>
      <c r="M125" s="1">
        <f t="shared" si="127"/>
        <v>36</v>
      </c>
      <c r="N125" s="1">
        <f t="shared" si="127"/>
        <v>36</v>
      </c>
      <c r="O125" s="1">
        <f t="shared" si="127"/>
        <v>7</v>
      </c>
      <c r="P125" s="1">
        <f t="shared" si="127"/>
        <v>7</v>
      </c>
      <c r="Q125" s="1">
        <f t="shared" si="127"/>
        <v>7</v>
      </c>
      <c r="R125" s="1">
        <f t="shared" si="127"/>
        <v>36</v>
      </c>
      <c r="S125" s="1">
        <f t="shared" si="127"/>
        <v>36</v>
      </c>
      <c r="T125" s="1">
        <f t="shared" si="127"/>
        <v>36</v>
      </c>
      <c r="U125" s="1">
        <f t="shared" si="127"/>
        <v>36</v>
      </c>
      <c r="V125" s="1">
        <f t="shared" si="127"/>
        <v>36</v>
      </c>
      <c r="W125" s="1">
        <f t="shared" si="127"/>
        <v>36</v>
      </c>
      <c r="X125" s="1">
        <f t="shared" si="127"/>
        <v>36</v>
      </c>
      <c r="Y125" s="1">
        <f t="shared" si="127"/>
        <v>36</v>
      </c>
      <c r="Z125" s="1">
        <f t="shared" si="127"/>
        <v>36</v>
      </c>
      <c r="AA125" s="1">
        <f t="shared" si="127"/>
        <v>7</v>
      </c>
      <c r="AB125" s="1">
        <f t="shared" si="127"/>
        <v>36</v>
      </c>
      <c r="AC125" s="1">
        <f t="shared" si="127"/>
        <v>7</v>
      </c>
      <c r="AD125" s="1">
        <f t="shared" si="127"/>
        <v>7</v>
      </c>
      <c r="AE125" s="1">
        <f t="shared" si="127"/>
        <v>36</v>
      </c>
      <c r="AF125" s="1">
        <f t="shared" si="127"/>
        <v>36</v>
      </c>
      <c r="AG125" s="1">
        <f t="shared" si="127"/>
        <v>36</v>
      </c>
      <c r="AH125" s="1">
        <f t="shared" ref="AH125:AY125" si="128">COUNTIF($B66:$AY66,AH66)</f>
        <v>36</v>
      </c>
      <c r="AI125" s="1">
        <f t="shared" si="128"/>
        <v>36</v>
      </c>
      <c r="AJ125" s="1">
        <f t="shared" si="128"/>
        <v>36</v>
      </c>
      <c r="AK125" s="1">
        <f t="shared" si="128"/>
        <v>36</v>
      </c>
      <c r="AL125" s="1">
        <f t="shared" si="128"/>
        <v>36</v>
      </c>
      <c r="AM125" s="1">
        <f t="shared" si="128"/>
        <v>36</v>
      </c>
      <c r="AN125" s="1">
        <f t="shared" si="128"/>
        <v>36</v>
      </c>
      <c r="AO125" s="1">
        <f t="shared" si="128"/>
        <v>36</v>
      </c>
      <c r="AP125" s="1">
        <f t="shared" si="128"/>
        <v>7</v>
      </c>
      <c r="AQ125" s="1">
        <f t="shared" si="128"/>
        <v>36</v>
      </c>
      <c r="AR125" s="1">
        <f t="shared" si="128"/>
        <v>36</v>
      </c>
      <c r="AS125" s="1">
        <f t="shared" si="128"/>
        <v>7</v>
      </c>
      <c r="AT125" s="1">
        <f t="shared" si="128"/>
        <v>7</v>
      </c>
      <c r="AU125" s="1">
        <f t="shared" si="128"/>
        <v>36</v>
      </c>
      <c r="AV125" s="1">
        <f t="shared" si="128"/>
        <v>7</v>
      </c>
      <c r="AW125" s="1">
        <f t="shared" si="128"/>
        <v>36</v>
      </c>
      <c r="AX125" s="1">
        <f t="shared" si="128"/>
        <v>36</v>
      </c>
      <c r="AY125" s="1">
        <f t="shared" si="128"/>
        <v>36</v>
      </c>
    </row>
    <row r="126" spans="1:51">
      <c r="A126" s="1" t="str">
        <f t="shared" si="116"/>
        <v>1.1.4) Level of technology employed</v>
      </c>
      <c r="B126" s="1">
        <f t="shared" ref="B126:AG126" si="129">COUNTIF($B67:$AY67,B67)</f>
        <v>27</v>
      </c>
      <c r="C126" s="1">
        <f t="shared" si="129"/>
        <v>27</v>
      </c>
      <c r="D126" s="1">
        <f t="shared" si="129"/>
        <v>22</v>
      </c>
      <c r="E126" s="1">
        <f t="shared" si="129"/>
        <v>27</v>
      </c>
      <c r="F126" s="1">
        <f t="shared" si="129"/>
        <v>22</v>
      </c>
      <c r="G126" s="1">
        <f t="shared" si="129"/>
        <v>27</v>
      </c>
      <c r="H126" s="1">
        <f t="shared" si="129"/>
        <v>22</v>
      </c>
      <c r="I126" s="1">
        <f t="shared" si="129"/>
        <v>27</v>
      </c>
      <c r="J126" s="1">
        <f t="shared" si="129"/>
        <v>22</v>
      </c>
      <c r="K126" s="1">
        <f t="shared" si="129"/>
        <v>22</v>
      </c>
      <c r="L126" s="1">
        <f t="shared" si="129"/>
        <v>27</v>
      </c>
      <c r="M126" s="1">
        <f t="shared" si="129"/>
        <v>22</v>
      </c>
      <c r="N126" s="1">
        <f t="shared" si="129"/>
        <v>22</v>
      </c>
      <c r="O126" s="1">
        <f t="shared" si="129"/>
        <v>27</v>
      </c>
      <c r="P126" s="1">
        <f t="shared" si="129"/>
        <v>22</v>
      </c>
      <c r="Q126" s="1">
        <f t="shared" si="129"/>
        <v>22</v>
      </c>
      <c r="R126" s="1">
        <f t="shared" si="129"/>
        <v>22</v>
      </c>
      <c r="S126" s="1">
        <f t="shared" si="129"/>
        <v>22</v>
      </c>
      <c r="T126" s="1">
        <f t="shared" si="129"/>
        <v>22</v>
      </c>
      <c r="U126" s="1">
        <f t="shared" si="129"/>
        <v>27</v>
      </c>
      <c r="V126" s="1">
        <f t="shared" si="129"/>
        <v>27</v>
      </c>
      <c r="W126" s="1">
        <f t="shared" si="129"/>
        <v>27</v>
      </c>
      <c r="X126" s="1">
        <f t="shared" si="129"/>
        <v>27</v>
      </c>
      <c r="Y126" s="1">
        <f t="shared" si="129"/>
        <v>22</v>
      </c>
      <c r="Z126" s="1">
        <f t="shared" si="129"/>
        <v>27</v>
      </c>
      <c r="AA126" s="1">
        <f t="shared" si="129"/>
        <v>27</v>
      </c>
      <c r="AB126" s="1">
        <f t="shared" si="129"/>
        <v>22</v>
      </c>
      <c r="AC126" s="1">
        <f t="shared" si="129"/>
        <v>22</v>
      </c>
      <c r="AD126" s="1">
        <f t="shared" si="129"/>
        <v>27</v>
      </c>
      <c r="AE126" s="1">
        <f t="shared" si="129"/>
        <v>27</v>
      </c>
      <c r="AF126" s="1">
        <f t="shared" si="129"/>
        <v>27</v>
      </c>
      <c r="AG126" s="1">
        <f t="shared" si="129"/>
        <v>22</v>
      </c>
      <c r="AH126" s="1">
        <f t="shared" ref="AH126:AY126" si="130">COUNTIF($B67:$AY67,AH67)</f>
        <v>22</v>
      </c>
      <c r="AI126" s="1">
        <f t="shared" si="130"/>
        <v>27</v>
      </c>
      <c r="AJ126" s="1">
        <f t="shared" si="130"/>
        <v>27</v>
      </c>
      <c r="AK126" s="1">
        <f t="shared" si="130"/>
        <v>22</v>
      </c>
      <c r="AL126" s="1">
        <f t="shared" si="130"/>
        <v>22</v>
      </c>
      <c r="AM126" s="1">
        <f t="shared" si="130"/>
        <v>27</v>
      </c>
      <c r="AN126" s="1">
        <f t="shared" si="130"/>
        <v>22</v>
      </c>
      <c r="AO126" s="1">
        <f t="shared" si="130"/>
        <v>22</v>
      </c>
      <c r="AP126" s="1">
        <f t="shared" si="130"/>
        <v>27</v>
      </c>
      <c r="AQ126" s="1">
        <f t="shared" si="130"/>
        <v>27</v>
      </c>
      <c r="AR126" s="1">
        <f t="shared" si="130"/>
        <v>27</v>
      </c>
      <c r="AS126" s="1">
        <f t="shared" si="130"/>
        <v>27</v>
      </c>
      <c r="AT126" s="1">
        <f t="shared" si="130"/>
        <v>1</v>
      </c>
      <c r="AU126" s="1">
        <f t="shared" si="130"/>
        <v>22</v>
      </c>
      <c r="AV126" s="1">
        <f t="shared" si="130"/>
        <v>27</v>
      </c>
      <c r="AW126" s="1">
        <f t="shared" si="130"/>
        <v>27</v>
      </c>
      <c r="AX126" s="1">
        <f t="shared" si="130"/>
        <v>27</v>
      </c>
      <c r="AY126" s="1">
        <f t="shared" si="130"/>
        <v>27</v>
      </c>
    </row>
    <row r="127" spans="1:51">
      <c r="A127" s="1" t="str">
        <f t="shared" si="116"/>
        <v>1.1.5) Dedicated cyber security teams</v>
      </c>
      <c r="B127" s="1">
        <f t="shared" ref="B127:AG127" si="131">COUNTIF($B68:$AY68,B68)</f>
        <v>14</v>
      </c>
      <c r="C127" s="1">
        <f t="shared" si="131"/>
        <v>36</v>
      </c>
      <c r="D127" s="1">
        <f t="shared" si="131"/>
        <v>36</v>
      </c>
      <c r="E127" s="1">
        <f t="shared" si="131"/>
        <v>14</v>
      </c>
      <c r="F127" s="1">
        <f t="shared" si="131"/>
        <v>36</v>
      </c>
      <c r="G127" s="1">
        <f t="shared" si="131"/>
        <v>36</v>
      </c>
      <c r="H127" s="1">
        <f t="shared" si="131"/>
        <v>36</v>
      </c>
      <c r="I127" s="1">
        <f t="shared" si="131"/>
        <v>14</v>
      </c>
      <c r="J127" s="1">
        <f t="shared" si="131"/>
        <v>36</v>
      </c>
      <c r="K127" s="1">
        <f t="shared" si="131"/>
        <v>36</v>
      </c>
      <c r="L127" s="1">
        <f t="shared" si="131"/>
        <v>36</v>
      </c>
      <c r="M127" s="1">
        <f t="shared" si="131"/>
        <v>36</v>
      </c>
      <c r="N127" s="1">
        <f t="shared" si="131"/>
        <v>36</v>
      </c>
      <c r="O127" s="1">
        <f t="shared" si="131"/>
        <v>14</v>
      </c>
      <c r="P127" s="1">
        <f t="shared" si="131"/>
        <v>36</v>
      </c>
      <c r="Q127" s="1">
        <f t="shared" si="131"/>
        <v>36</v>
      </c>
      <c r="R127" s="1">
        <f t="shared" si="131"/>
        <v>36</v>
      </c>
      <c r="S127" s="1">
        <f t="shared" si="131"/>
        <v>36</v>
      </c>
      <c r="T127" s="1">
        <f t="shared" si="131"/>
        <v>36</v>
      </c>
      <c r="U127" s="1">
        <f t="shared" si="131"/>
        <v>36</v>
      </c>
      <c r="V127" s="1">
        <f t="shared" si="131"/>
        <v>14</v>
      </c>
      <c r="W127" s="1">
        <f t="shared" si="131"/>
        <v>36</v>
      </c>
      <c r="X127" s="1">
        <f t="shared" si="131"/>
        <v>36</v>
      </c>
      <c r="Y127" s="1">
        <f t="shared" si="131"/>
        <v>36</v>
      </c>
      <c r="Z127" s="1">
        <f t="shared" si="131"/>
        <v>14</v>
      </c>
      <c r="AA127" s="1">
        <f t="shared" si="131"/>
        <v>36</v>
      </c>
      <c r="AB127" s="1">
        <f t="shared" si="131"/>
        <v>36</v>
      </c>
      <c r="AC127" s="1">
        <f t="shared" si="131"/>
        <v>14</v>
      </c>
      <c r="AD127" s="1">
        <f t="shared" si="131"/>
        <v>14</v>
      </c>
      <c r="AE127" s="1">
        <f t="shared" si="131"/>
        <v>36</v>
      </c>
      <c r="AF127" s="1">
        <f t="shared" si="131"/>
        <v>36</v>
      </c>
      <c r="AG127" s="1">
        <f t="shared" si="131"/>
        <v>36</v>
      </c>
      <c r="AH127" s="1">
        <f t="shared" ref="AH127:AY127" si="132">COUNTIF($B68:$AY68,AH68)</f>
        <v>36</v>
      </c>
      <c r="AI127" s="1">
        <f t="shared" si="132"/>
        <v>36</v>
      </c>
      <c r="AJ127" s="1">
        <f t="shared" si="132"/>
        <v>14</v>
      </c>
      <c r="AK127" s="1">
        <f t="shared" si="132"/>
        <v>36</v>
      </c>
      <c r="AL127" s="1">
        <f t="shared" si="132"/>
        <v>36</v>
      </c>
      <c r="AM127" s="1">
        <f t="shared" si="132"/>
        <v>36</v>
      </c>
      <c r="AN127" s="1">
        <f t="shared" si="132"/>
        <v>36</v>
      </c>
      <c r="AO127" s="1">
        <f t="shared" si="132"/>
        <v>14</v>
      </c>
      <c r="AP127" s="1">
        <f t="shared" si="132"/>
        <v>14</v>
      </c>
      <c r="AQ127" s="1">
        <f t="shared" si="132"/>
        <v>36</v>
      </c>
      <c r="AR127" s="1">
        <f t="shared" si="132"/>
        <v>14</v>
      </c>
      <c r="AS127" s="1">
        <f t="shared" si="132"/>
        <v>36</v>
      </c>
      <c r="AT127" s="1">
        <f t="shared" si="132"/>
        <v>36</v>
      </c>
      <c r="AU127" s="1">
        <f t="shared" si="132"/>
        <v>36</v>
      </c>
      <c r="AV127" s="1">
        <f t="shared" si="132"/>
        <v>14</v>
      </c>
      <c r="AW127" s="1">
        <f t="shared" si="132"/>
        <v>14</v>
      </c>
      <c r="AX127" s="1">
        <f t="shared" si="132"/>
        <v>36</v>
      </c>
      <c r="AY127" s="1">
        <f t="shared" si="132"/>
        <v>36</v>
      </c>
    </row>
    <row r="128" spans="1:51">
      <c r="A128" s="1" t="str">
        <f t="shared" si="116"/>
        <v>1.2) Digital Security (Outputs)</v>
      </c>
      <c r="B128" s="1">
        <f t="shared" ref="B128:AG128" si="133">COUNTIF($B69:$AY69,B69)</f>
        <v>1</v>
      </c>
      <c r="C128" s="1">
        <f t="shared" si="133"/>
        <v>1</v>
      </c>
      <c r="D128" s="1">
        <f t="shared" si="133"/>
        <v>1</v>
      </c>
      <c r="E128" s="1">
        <f t="shared" si="133"/>
        <v>1</v>
      </c>
      <c r="F128" s="1">
        <f t="shared" si="133"/>
        <v>1</v>
      </c>
      <c r="G128" s="1">
        <f t="shared" si="133"/>
        <v>1</v>
      </c>
      <c r="H128" s="1">
        <f t="shared" si="133"/>
        <v>1</v>
      </c>
      <c r="I128" s="1">
        <f t="shared" si="133"/>
        <v>1</v>
      </c>
      <c r="J128" s="1">
        <f t="shared" si="133"/>
        <v>1</v>
      </c>
      <c r="K128" s="1">
        <f t="shared" si="133"/>
        <v>1</v>
      </c>
      <c r="L128" s="1">
        <f t="shared" si="133"/>
        <v>1</v>
      </c>
      <c r="M128" s="1">
        <f t="shared" si="133"/>
        <v>1</v>
      </c>
      <c r="N128" s="1">
        <f t="shared" si="133"/>
        <v>1</v>
      </c>
      <c r="O128" s="1">
        <f t="shared" si="133"/>
        <v>1</v>
      </c>
      <c r="P128" s="1">
        <f t="shared" si="133"/>
        <v>1</v>
      </c>
      <c r="Q128" s="1">
        <f t="shared" si="133"/>
        <v>1</v>
      </c>
      <c r="R128" s="1">
        <f t="shared" si="133"/>
        <v>1</v>
      </c>
      <c r="S128" s="1">
        <f t="shared" si="133"/>
        <v>1</v>
      </c>
      <c r="T128" s="1">
        <f t="shared" si="133"/>
        <v>1</v>
      </c>
      <c r="U128" s="1">
        <f t="shared" si="133"/>
        <v>1</v>
      </c>
      <c r="V128" s="1">
        <f t="shared" si="133"/>
        <v>2</v>
      </c>
      <c r="W128" s="1">
        <f t="shared" si="133"/>
        <v>1</v>
      </c>
      <c r="X128" s="1">
        <f t="shared" si="133"/>
        <v>1</v>
      </c>
      <c r="Y128" s="1">
        <f t="shared" si="133"/>
        <v>1</v>
      </c>
      <c r="Z128" s="1">
        <f t="shared" si="133"/>
        <v>1</v>
      </c>
      <c r="AA128" s="1">
        <f t="shared" si="133"/>
        <v>2</v>
      </c>
      <c r="AB128" s="1">
        <f t="shared" si="133"/>
        <v>1</v>
      </c>
      <c r="AC128" s="1">
        <f t="shared" si="133"/>
        <v>1</v>
      </c>
      <c r="AD128" s="1">
        <f t="shared" si="133"/>
        <v>1</v>
      </c>
      <c r="AE128" s="1">
        <f t="shared" si="133"/>
        <v>1</v>
      </c>
      <c r="AF128" s="1">
        <f t="shared" si="133"/>
        <v>1</v>
      </c>
      <c r="AG128" s="1">
        <f t="shared" si="133"/>
        <v>1</v>
      </c>
      <c r="AH128" s="1">
        <f t="shared" ref="AH128:AY128" si="134">COUNTIF($B69:$AY69,AH69)</f>
        <v>1</v>
      </c>
      <c r="AI128" s="1">
        <f t="shared" si="134"/>
        <v>1</v>
      </c>
      <c r="AJ128" s="1">
        <f t="shared" si="134"/>
        <v>1</v>
      </c>
      <c r="AK128" s="1">
        <f t="shared" si="134"/>
        <v>1</v>
      </c>
      <c r="AL128" s="1">
        <f t="shared" si="134"/>
        <v>1</v>
      </c>
      <c r="AM128" s="1">
        <f t="shared" si="134"/>
        <v>1</v>
      </c>
      <c r="AN128" s="1">
        <f t="shared" si="134"/>
        <v>1</v>
      </c>
      <c r="AO128" s="1">
        <f t="shared" si="134"/>
        <v>1</v>
      </c>
      <c r="AP128" s="1">
        <f t="shared" si="134"/>
        <v>1</v>
      </c>
      <c r="AQ128" s="1">
        <f t="shared" si="134"/>
        <v>1</v>
      </c>
      <c r="AR128" s="1">
        <f t="shared" si="134"/>
        <v>1</v>
      </c>
      <c r="AS128" s="1">
        <f t="shared" si="134"/>
        <v>1</v>
      </c>
      <c r="AT128" s="1">
        <f t="shared" si="134"/>
        <v>1</v>
      </c>
      <c r="AU128" s="1">
        <f t="shared" si="134"/>
        <v>1</v>
      </c>
      <c r="AV128" s="1">
        <f t="shared" si="134"/>
        <v>1</v>
      </c>
      <c r="AW128" s="1">
        <f t="shared" si="134"/>
        <v>2</v>
      </c>
      <c r="AX128" s="1">
        <f t="shared" si="134"/>
        <v>2</v>
      </c>
      <c r="AY128" s="1">
        <f t="shared" si="134"/>
        <v>1</v>
      </c>
    </row>
    <row r="129" spans="1:51">
      <c r="A129" s="1" t="str">
        <f t="shared" si="116"/>
        <v>1.2.1) Frequency of identity theft</v>
      </c>
      <c r="B129" s="1">
        <f t="shared" ref="B129:AG129" si="135">COUNTIF($B70:$AY70,B70)</f>
        <v>9</v>
      </c>
      <c r="C129" s="1">
        <f t="shared" si="135"/>
        <v>1</v>
      </c>
      <c r="D129" s="1">
        <f t="shared" si="135"/>
        <v>9</v>
      </c>
      <c r="E129" s="1">
        <f t="shared" si="135"/>
        <v>3</v>
      </c>
      <c r="F129" s="1">
        <f t="shared" si="135"/>
        <v>5</v>
      </c>
      <c r="G129" s="1">
        <f t="shared" si="135"/>
        <v>1</v>
      </c>
      <c r="H129" s="1">
        <f t="shared" si="135"/>
        <v>9</v>
      </c>
      <c r="I129" s="1">
        <f t="shared" si="135"/>
        <v>7</v>
      </c>
      <c r="J129" s="1">
        <f t="shared" si="135"/>
        <v>3</v>
      </c>
      <c r="K129" s="1">
        <f t="shared" si="135"/>
        <v>9</v>
      </c>
      <c r="L129" s="1">
        <f t="shared" si="135"/>
        <v>5</v>
      </c>
      <c r="M129" s="1">
        <f t="shared" si="135"/>
        <v>5</v>
      </c>
      <c r="N129" s="1">
        <f t="shared" si="135"/>
        <v>9</v>
      </c>
      <c r="O129" s="1">
        <f t="shared" si="135"/>
        <v>9</v>
      </c>
      <c r="P129" s="1">
        <f t="shared" si="135"/>
        <v>5</v>
      </c>
      <c r="Q129" s="1">
        <f t="shared" si="135"/>
        <v>1</v>
      </c>
      <c r="R129" s="1">
        <f t="shared" si="135"/>
        <v>3</v>
      </c>
      <c r="S129" s="1">
        <f t="shared" si="135"/>
        <v>9</v>
      </c>
      <c r="T129" s="1">
        <f t="shared" si="135"/>
        <v>1</v>
      </c>
      <c r="U129" s="1">
        <f t="shared" si="135"/>
        <v>1</v>
      </c>
      <c r="V129" s="1">
        <f t="shared" si="135"/>
        <v>7</v>
      </c>
      <c r="W129" s="1">
        <f t="shared" si="135"/>
        <v>3</v>
      </c>
      <c r="X129" s="1">
        <f t="shared" si="135"/>
        <v>5</v>
      </c>
      <c r="Y129" s="1">
        <f t="shared" si="135"/>
        <v>3</v>
      </c>
      <c r="Z129" s="1">
        <f t="shared" si="135"/>
        <v>3</v>
      </c>
      <c r="AA129" s="1">
        <f t="shared" si="135"/>
        <v>7</v>
      </c>
      <c r="AB129" s="1">
        <f t="shared" si="135"/>
        <v>4</v>
      </c>
      <c r="AC129" s="1">
        <f t="shared" si="135"/>
        <v>3</v>
      </c>
      <c r="AD129" s="1">
        <f t="shared" si="135"/>
        <v>7</v>
      </c>
      <c r="AE129" s="1">
        <f t="shared" si="135"/>
        <v>4</v>
      </c>
      <c r="AF129" s="1">
        <f t="shared" si="135"/>
        <v>4</v>
      </c>
      <c r="AG129" s="1">
        <f t="shared" si="135"/>
        <v>4</v>
      </c>
      <c r="AH129" s="1">
        <f t="shared" ref="AH129:AY129" si="136">COUNTIF($B70:$AY70,AH70)</f>
        <v>5</v>
      </c>
      <c r="AI129" s="1">
        <f t="shared" si="136"/>
        <v>3</v>
      </c>
      <c r="AJ129" s="1">
        <f t="shared" si="136"/>
        <v>7</v>
      </c>
      <c r="AK129" s="1">
        <f t="shared" si="136"/>
        <v>9</v>
      </c>
      <c r="AL129" s="1">
        <f t="shared" si="136"/>
        <v>4</v>
      </c>
      <c r="AM129" s="1">
        <f t="shared" si="136"/>
        <v>1</v>
      </c>
      <c r="AN129" s="1">
        <f t="shared" si="136"/>
        <v>5</v>
      </c>
      <c r="AO129" s="1">
        <f t="shared" si="136"/>
        <v>5</v>
      </c>
      <c r="AP129" s="1">
        <f t="shared" si="136"/>
        <v>4</v>
      </c>
      <c r="AQ129" s="1">
        <f t="shared" si="136"/>
        <v>1</v>
      </c>
      <c r="AR129" s="1">
        <f t="shared" si="136"/>
        <v>5</v>
      </c>
      <c r="AS129" s="1">
        <f t="shared" si="136"/>
        <v>9</v>
      </c>
      <c r="AT129" s="1">
        <f t="shared" si="136"/>
        <v>3</v>
      </c>
      <c r="AU129" s="1">
        <f t="shared" si="136"/>
        <v>5</v>
      </c>
      <c r="AV129" s="1">
        <f t="shared" si="136"/>
        <v>4</v>
      </c>
      <c r="AW129" s="1">
        <f t="shared" si="136"/>
        <v>7</v>
      </c>
      <c r="AX129" s="1">
        <f t="shared" si="136"/>
        <v>7</v>
      </c>
      <c r="AY129" s="1">
        <f t="shared" si="136"/>
        <v>4</v>
      </c>
    </row>
    <row r="130" spans="1:51">
      <c r="A130" s="1" t="str">
        <f t="shared" si="116"/>
        <v>1.2.2) Percentage of computers infected</v>
      </c>
      <c r="B130" s="1">
        <f t="shared" ref="B130:AG130" si="137">COUNTIF($B71:$AY71,B71)</f>
        <v>32</v>
      </c>
      <c r="C130" s="1">
        <f t="shared" si="137"/>
        <v>6</v>
      </c>
      <c r="D130" s="1">
        <f t="shared" si="137"/>
        <v>7</v>
      </c>
      <c r="E130" s="1">
        <f t="shared" si="137"/>
        <v>7</v>
      </c>
      <c r="F130" s="1">
        <f t="shared" si="137"/>
        <v>32</v>
      </c>
      <c r="G130" s="1">
        <f t="shared" si="137"/>
        <v>32</v>
      </c>
      <c r="H130" s="1">
        <f t="shared" si="137"/>
        <v>6</v>
      </c>
      <c r="I130" s="1">
        <f t="shared" si="137"/>
        <v>32</v>
      </c>
      <c r="J130" s="1">
        <f t="shared" si="137"/>
        <v>32</v>
      </c>
      <c r="K130" s="1">
        <f t="shared" si="137"/>
        <v>32</v>
      </c>
      <c r="L130" s="1">
        <f t="shared" si="137"/>
        <v>7</v>
      </c>
      <c r="M130" s="1">
        <f t="shared" si="137"/>
        <v>32</v>
      </c>
      <c r="N130" s="1">
        <f t="shared" si="137"/>
        <v>2</v>
      </c>
      <c r="O130" s="1">
        <f t="shared" si="137"/>
        <v>32</v>
      </c>
      <c r="P130" s="1">
        <f t="shared" si="137"/>
        <v>7</v>
      </c>
      <c r="Q130" s="1">
        <f t="shared" si="137"/>
        <v>32</v>
      </c>
      <c r="R130" s="1">
        <f t="shared" si="137"/>
        <v>6</v>
      </c>
      <c r="S130" s="1">
        <f t="shared" si="137"/>
        <v>32</v>
      </c>
      <c r="T130" s="1">
        <f t="shared" si="137"/>
        <v>32</v>
      </c>
      <c r="U130" s="1">
        <f t="shared" si="137"/>
        <v>32</v>
      </c>
      <c r="V130" s="1">
        <f t="shared" si="137"/>
        <v>32</v>
      </c>
      <c r="W130" s="1">
        <f t="shared" si="137"/>
        <v>7</v>
      </c>
      <c r="X130" s="1">
        <f t="shared" si="137"/>
        <v>32</v>
      </c>
      <c r="Y130" s="1">
        <f t="shared" si="137"/>
        <v>6</v>
      </c>
      <c r="Z130" s="1">
        <f t="shared" si="137"/>
        <v>32</v>
      </c>
      <c r="AA130" s="1">
        <f t="shared" si="137"/>
        <v>32</v>
      </c>
      <c r="AB130" s="1">
        <f t="shared" si="137"/>
        <v>2</v>
      </c>
      <c r="AC130" s="1">
        <f t="shared" si="137"/>
        <v>32</v>
      </c>
      <c r="AD130" s="1">
        <f t="shared" si="137"/>
        <v>32</v>
      </c>
      <c r="AE130" s="1">
        <f t="shared" si="137"/>
        <v>3</v>
      </c>
      <c r="AF130" s="1">
        <f t="shared" si="137"/>
        <v>7</v>
      </c>
      <c r="AG130" s="1">
        <f t="shared" si="137"/>
        <v>32</v>
      </c>
      <c r="AH130" s="1">
        <f t="shared" ref="AH130:AY130" si="138">COUNTIF($B71:$AY71,AH71)</f>
        <v>7</v>
      </c>
      <c r="AI130" s="1">
        <f t="shared" si="138"/>
        <v>32</v>
      </c>
      <c r="AJ130" s="1">
        <f t="shared" si="138"/>
        <v>32</v>
      </c>
      <c r="AK130" s="1">
        <f t="shared" si="138"/>
        <v>6</v>
      </c>
      <c r="AL130" s="1">
        <f t="shared" si="138"/>
        <v>32</v>
      </c>
      <c r="AM130" s="1">
        <f t="shared" si="138"/>
        <v>32</v>
      </c>
      <c r="AN130" s="1">
        <f t="shared" si="138"/>
        <v>32</v>
      </c>
      <c r="AO130" s="1">
        <f t="shared" si="138"/>
        <v>32</v>
      </c>
      <c r="AP130" s="1">
        <f t="shared" si="138"/>
        <v>3</v>
      </c>
      <c r="AQ130" s="1">
        <f t="shared" si="138"/>
        <v>32</v>
      </c>
      <c r="AR130" s="1">
        <f t="shared" si="138"/>
        <v>32</v>
      </c>
      <c r="AS130" s="1">
        <f t="shared" si="138"/>
        <v>6</v>
      </c>
      <c r="AT130" s="1">
        <f t="shared" si="138"/>
        <v>32</v>
      </c>
      <c r="AU130" s="1">
        <f t="shared" si="138"/>
        <v>32</v>
      </c>
      <c r="AV130" s="1">
        <f t="shared" si="138"/>
        <v>3</v>
      </c>
      <c r="AW130" s="1">
        <f t="shared" si="138"/>
        <v>32</v>
      </c>
      <c r="AX130" s="1">
        <f t="shared" si="138"/>
        <v>32</v>
      </c>
      <c r="AY130" s="1">
        <f t="shared" si="138"/>
        <v>32</v>
      </c>
    </row>
    <row r="131" spans="1:51">
      <c r="A131" s="1" t="str">
        <f t="shared" si="116"/>
        <v>1.2.3) Percent with internet access</v>
      </c>
      <c r="B131" s="1">
        <f t="shared" ref="B131:AG131" si="139">COUNTIF($B72:$AY72,B72)</f>
        <v>2</v>
      </c>
      <c r="C131" s="1">
        <f t="shared" si="139"/>
        <v>1</v>
      </c>
      <c r="D131" s="1">
        <f t="shared" si="139"/>
        <v>1</v>
      </c>
      <c r="E131" s="1">
        <f t="shared" si="139"/>
        <v>1</v>
      </c>
      <c r="F131" s="1">
        <f t="shared" si="139"/>
        <v>1</v>
      </c>
      <c r="G131" s="1">
        <f t="shared" si="139"/>
        <v>1</v>
      </c>
      <c r="H131" s="1">
        <f t="shared" si="139"/>
        <v>1</v>
      </c>
      <c r="I131" s="1">
        <f t="shared" si="139"/>
        <v>1</v>
      </c>
      <c r="J131" s="1">
        <f t="shared" si="139"/>
        <v>1</v>
      </c>
      <c r="K131" s="1">
        <f t="shared" si="139"/>
        <v>2</v>
      </c>
      <c r="L131" s="1">
        <f t="shared" si="139"/>
        <v>1</v>
      </c>
      <c r="M131" s="1">
        <f t="shared" si="139"/>
        <v>1</v>
      </c>
      <c r="N131" s="1">
        <f t="shared" si="139"/>
        <v>1</v>
      </c>
      <c r="O131" s="1">
        <f t="shared" si="139"/>
        <v>1</v>
      </c>
      <c r="P131" s="1">
        <f t="shared" si="139"/>
        <v>1</v>
      </c>
      <c r="Q131" s="1">
        <f t="shared" si="139"/>
        <v>1</v>
      </c>
      <c r="R131" s="1">
        <f t="shared" si="139"/>
        <v>1</v>
      </c>
      <c r="S131" s="1">
        <f t="shared" si="139"/>
        <v>2</v>
      </c>
      <c r="T131" s="1">
        <f t="shared" si="139"/>
        <v>1</v>
      </c>
      <c r="U131" s="1">
        <f t="shared" si="139"/>
        <v>1</v>
      </c>
      <c r="V131" s="1">
        <f t="shared" si="139"/>
        <v>2</v>
      </c>
      <c r="W131" s="1">
        <f t="shared" si="139"/>
        <v>1</v>
      </c>
      <c r="X131" s="1">
        <f t="shared" si="139"/>
        <v>1</v>
      </c>
      <c r="Y131" s="1">
        <f t="shared" si="139"/>
        <v>1</v>
      </c>
      <c r="Z131" s="1">
        <f t="shared" si="139"/>
        <v>1</v>
      </c>
      <c r="AA131" s="1">
        <f t="shared" si="139"/>
        <v>2</v>
      </c>
      <c r="AB131" s="1">
        <f t="shared" si="139"/>
        <v>2</v>
      </c>
      <c r="AC131" s="1">
        <f t="shared" si="139"/>
        <v>2</v>
      </c>
      <c r="AD131" s="1">
        <f t="shared" si="139"/>
        <v>1</v>
      </c>
      <c r="AE131" s="1">
        <f t="shared" si="139"/>
        <v>1</v>
      </c>
      <c r="AF131" s="1">
        <f t="shared" si="139"/>
        <v>2</v>
      </c>
      <c r="AG131" s="1">
        <f t="shared" si="139"/>
        <v>2</v>
      </c>
      <c r="AH131" s="1">
        <f t="shared" ref="AH131:AY131" si="140">COUNTIF($B72:$AY72,AH72)</f>
        <v>1</v>
      </c>
      <c r="AI131" s="1">
        <f t="shared" si="140"/>
        <v>1</v>
      </c>
      <c r="AJ131" s="1">
        <f t="shared" si="140"/>
        <v>1</v>
      </c>
      <c r="AK131" s="1">
        <f t="shared" si="140"/>
        <v>1</v>
      </c>
      <c r="AL131" s="1">
        <f t="shared" si="140"/>
        <v>1</v>
      </c>
      <c r="AM131" s="1">
        <f t="shared" si="140"/>
        <v>1</v>
      </c>
      <c r="AN131" s="1">
        <f t="shared" si="140"/>
        <v>1</v>
      </c>
      <c r="AO131" s="1">
        <f t="shared" si="140"/>
        <v>1</v>
      </c>
      <c r="AP131" s="1">
        <f t="shared" si="140"/>
        <v>1</v>
      </c>
      <c r="AQ131" s="1">
        <f t="shared" si="140"/>
        <v>1</v>
      </c>
      <c r="AR131" s="1">
        <f t="shared" si="140"/>
        <v>1</v>
      </c>
      <c r="AS131" s="1">
        <f t="shared" si="140"/>
        <v>1</v>
      </c>
      <c r="AT131" s="1">
        <f t="shared" si="140"/>
        <v>1</v>
      </c>
      <c r="AU131" s="1">
        <f t="shared" si="140"/>
        <v>1</v>
      </c>
      <c r="AV131" s="1">
        <f t="shared" si="140"/>
        <v>1</v>
      </c>
      <c r="AW131" s="1">
        <f t="shared" si="140"/>
        <v>2</v>
      </c>
      <c r="AX131" s="1">
        <f t="shared" si="140"/>
        <v>2</v>
      </c>
      <c r="AY131" s="1">
        <f t="shared" si="140"/>
        <v>2</v>
      </c>
    </row>
    <row r="132" spans="1:51">
      <c r="A132" s="1" t="str">
        <f t="shared" si="116"/>
        <v>2) HEALTH SECURITY</v>
      </c>
      <c r="B132" s="1">
        <f t="shared" ref="B132:AG132" si="141">COUNTIF($B73:$AY73,B73)</f>
        <v>1</v>
      </c>
      <c r="C132" s="1">
        <f t="shared" si="141"/>
        <v>1</v>
      </c>
      <c r="D132" s="1">
        <f t="shared" si="141"/>
        <v>1</v>
      </c>
      <c r="E132" s="1">
        <f t="shared" si="141"/>
        <v>1</v>
      </c>
      <c r="F132" s="1">
        <f t="shared" si="141"/>
        <v>1</v>
      </c>
      <c r="G132" s="1">
        <f t="shared" si="141"/>
        <v>1</v>
      </c>
      <c r="H132" s="1">
        <f t="shared" si="141"/>
        <v>1</v>
      </c>
      <c r="I132" s="1">
        <f t="shared" si="141"/>
        <v>1</v>
      </c>
      <c r="J132" s="1">
        <f t="shared" si="141"/>
        <v>1</v>
      </c>
      <c r="K132" s="1">
        <f t="shared" si="141"/>
        <v>1</v>
      </c>
      <c r="L132" s="1">
        <f t="shared" si="141"/>
        <v>1</v>
      </c>
      <c r="M132" s="1">
        <f t="shared" si="141"/>
        <v>1</v>
      </c>
      <c r="N132" s="1">
        <f t="shared" si="141"/>
        <v>1</v>
      </c>
      <c r="O132" s="1">
        <f t="shared" si="141"/>
        <v>1</v>
      </c>
      <c r="P132" s="1">
        <f t="shared" si="141"/>
        <v>1</v>
      </c>
      <c r="Q132" s="1">
        <f t="shared" si="141"/>
        <v>1</v>
      </c>
      <c r="R132" s="1">
        <f t="shared" si="141"/>
        <v>1</v>
      </c>
      <c r="S132" s="1">
        <f t="shared" si="141"/>
        <v>1</v>
      </c>
      <c r="T132" s="1">
        <f t="shared" si="141"/>
        <v>1</v>
      </c>
      <c r="U132" s="1">
        <f t="shared" si="141"/>
        <v>1</v>
      </c>
      <c r="V132" s="1">
        <f t="shared" si="141"/>
        <v>1</v>
      </c>
      <c r="W132" s="1">
        <f t="shared" si="141"/>
        <v>1</v>
      </c>
      <c r="X132" s="1">
        <f t="shared" si="141"/>
        <v>1</v>
      </c>
      <c r="Y132" s="1">
        <f t="shared" si="141"/>
        <v>1</v>
      </c>
      <c r="Z132" s="1">
        <f t="shared" si="141"/>
        <v>1</v>
      </c>
      <c r="AA132" s="1">
        <f t="shared" si="141"/>
        <v>1</v>
      </c>
      <c r="AB132" s="1">
        <f t="shared" si="141"/>
        <v>1</v>
      </c>
      <c r="AC132" s="1">
        <f t="shared" si="141"/>
        <v>1</v>
      </c>
      <c r="AD132" s="1">
        <f t="shared" si="141"/>
        <v>1</v>
      </c>
      <c r="AE132" s="1">
        <f t="shared" si="141"/>
        <v>1</v>
      </c>
      <c r="AF132" s="1">
        <f t="shared" si="141"/>
        <v>1</v>
      </c>
      <c r="AG132" s="1">
        <f t="shared" si="141"/>
        <v>1</v>
      </c>
      <c r="AH132" s="1">
        <f t="shared" ref="AH132:AY132" si="142">COUNTIF($B73:$AY73,AH73)</f>
        <v>1</v>
      </c>
      <c r="AI132" s="1">
        <f t="shared" si="142"/>
        <v>1</v>
      </c>
      <c r="AJ132" s="1">
        <f t="shared" si="142"/>
        <v>1</v>
      </c>
      <c r="AK132" s="1">
        <f t="shared" si="142"/>
        <v>1</v>
      </c>
      <c r="AL132" s="1">
        <f t="shared" si="142"/>
        <v>1</v>
      </c>
      <c r="AM132" s="1">
        <f t="shared" si="142"/>
        <v>1</v>
      </c>
      <c r="AN132" s="1">
        <f t="shared" si="142"/>
        <v>1</v>
      </c>
      <c r="AO132" s="1">
        <f t="shared" si="142"/>
        <v>1</v>
      </c>
      <c r="AP132" s="1">
        <f t="shared" si="142"/>
        <v>1</v>
      </c>
      <c r="AQ132" s="1">
        <f t="shared" si="142"/>
        <v>1</v>
      </c>
      <c r="AR132" s="1">
        <f t="shared" si="142"/>
        <v>1</v>
      </c>
      <c r="AS132" s="1">
        <f t="shared" si="142"/>
        <v>1</v>
      </c>
      <c r="AT132" s="1">
        <f t="shared" si="142"/>
        <v>1</v>
      </c>
      <c r="AU132" s="1">
        <f t="shared" si="142"/>
        <v>1</v>
      </c>
      <c r="AV132" s="1">
        <f t="shared" si="142"/>
        <v>1</v>
      </c>
      <c r="AW132" s="1">
        <f t="shared" si="142"/>
        <v>1</v>
      </c>
      <c r="AX132" s="1">
        <f t="shared" si="142"/>
        <v>1</v>
      </c>
      <c r="AY132" s="1">
        <f t="shared" si="142"/>
        <v>1</v>
      </c>
    </row>
    <row r="133" spans="1:51">
      <c r="A133" s="1" t="str">
        <f t="shared" si="116"/>
        <v>2.1) Health Security (Inputs)</v>
      </c>
      <c r="B133" s="1">
        <f t="shared" ref="B133:AG133" si="143">COUNTIF($B74:$AY74,B74)</f>
        <v>1</v>
      </c>
      <c r="C133" s="1">
        <f t="shared" si="143"/>
        <v>1</v>
      </c>
      <c r="D133" s="1">
        <f t="shared" si="143"/>
        <v>1</v>
      </c>
      <c r="E133" s="1">
        <f t="shared" si="143"/>
        <v>1</v>
      </c>
      <c r="F133" s="1">
        <f t="shared" si="143"/>
        <v>1</v>
      </c>
      <c r="G133" s="1">
        <f t="shared" si="143"/>
        <v>1</v>
      </c>
      <c r="H133" s="1">
        <f t="shared" si="143"/>
        <v>1</v>
      </c>
      <c r="I133" s="1">
        <f t="shared" si="143"/>
        <v>1</v>
      </c>
      <c r="J133" s="1">
        <f t="shared" si="143"/>
        <v>1</v>
      </c>
      <c r="K133" s="1">
        <f t="shared" si="143"/>
        <v>1</v>
      </c>
      <c r="L133" s="1">
        <f t="shared" si="143"/>
        <v>1</v>
      </c>
      <c r="M133" s="1">
        <f t="shared" si="143"/>
        <v>1</v>
      </c>
      <c r="N133" s="1">
        <f t="shared" si="143"/>
        <v>1</v>
      </c>
      <c r="O133" s="1">
        <f t="shared" si="143"/>
        <v>1</v>
      </c>
      <c r="P133" s="1">
        <f t="shared" si="143"/>
        <v>1</v>
      </c>
      <c r="Q133" s="1">
        <f t="shared" si="143"/>
        <v>1</v>
      </c>
      <c r="R133" s="1">
        <f t="shared" si="143"/>
        <v>1</v>
      </c>
      <c r="S133" s="1">
        <f t="shared" si="143"/>
        <v>1</v>
      </c>
      <c r="T133" s="1">
        <f t="shared" si="143"/>
        <v>1</v>
      </c>
      <c r="U133" s="1">
        <f t="shared" si="143"/>
        <v>1</v>
      </c>
      <c r="V133" s="1">
        <f t="shared" si="143"/>
        <v>1</v>
      </c>
      <c r="W133" s="1">
        <f t="shared" si="143"/>
        <v>1</v>
      </c>
      <c r="X133" s="1">
        <f t="shared" si="143"/>
        <v>1</v>
      </c>
      <c r="Y133" s="1">
        <f t="shared" si="143"/>
        <v>1</v>
      </c>
      <c r="Z133" s="1">
        <f t="shared" si="143"/>
        <v>1</v>
      </c>
      <c r="AA133" s="1">
        <f t="shared" si="143"/>
        <v>1</v>
      </c>
      <c r="AB133" s="1">
        <f t="shared" si="143"/>
        <v>1</v>
      </c>
      <c r="AC133" s="1">
        <f t="shared" si="143"/>
        <v>1</v>
      </c>
      <c r="AD133" s="1">
        <f t="shared" si="143"/>
        <v>1</v>
      </c>
      <c r="AE133" s="1">
        <f t="shared" si="143"/>
        <v>1</v>
      </c>
      <c r="AF133" s="1">
        <f t="shared" si="143"/>
        <v>1</v>
      </c>
      <c r="AG133" s="1">
        <f t="shared" si="143"/>
        <v>1</v>
      </c>
      <c r="AH133" s="1">
        <f t="shared" ref="AH133:AY133" si="144">COUNTIF($B74:$AY74,AH74)</f>
        <v>1</v>
      </c>
      <c r="AI133" s="1">
        <f t="shared" si="144"/>
        <v>1</v>
      </c>
      <c r="AJ133" s="1">
        <f t="shared" si="144"/>
        <v>1</v>
      </c>
      <c r="AK133" s="1">
        <f t="shared" si="144"/>
        <v>1</v>
      </c>
      <c r="AL133" s="1">
        <f t="shared" si="144"/>
        <v>1</v>
      </c>
      <c r="AM133" s="1">
        <f t="shared" si="144"/>
        <v>1</v>
      </c>
      <c r="AN133" s="1">
        <f t="shared" si="144"/>
        <v>1</v>
      </c>
      <c r="AO133" s="1">
        <f t="shared" si="144"/>
        <v>1</v>
      </c>
      <c r="AP133" s="1">
        <f t="shared" si="144"/>
        <v>1</v>
      </c>
      <c r="AQ133" s="1">
        <f t="shared" si="144"/>
        <v>1</v>
      </c>
      <c r="AR133" s="1">
        <f t="shared" si="144"/>
        <v>1</v>
      </c>
      <c r="AS133" s="1">
        <f t="shared" si="144"/>
        <v>1</v>
      </c>
      <c r="AT133" s="1">
        <f t="shared" si="144"/>
        <v>1</v>
      </c>
      <c r="AU133" s="1">
        <f t="shared" si="144"/>
        <v>1</v>
      </c>
      <c r="AV133" s="1">
        <f t="shared" si="144"/>
        <v>1</v>
      </c>
      <c r="AW133" s="1">
        <f t="shared" si="144"/>
        <v>1</v>
      </c>
      <c r="AX133" s="1">
        <f t="shared" si="144"/>
        <v>1</v>
      </c>
      <c r="AY133" s="1">
        <f t="shared" si="144"/>
        <v>1</v>
      </c>
    </row>
    <row r="134" spans="1:51">
      <c r="A134" s="1" t="str">
        <f t="shared" si="116"/>
        <v>2.1.1) Environmental policies</v>
      </c>
      <c r="B134" s="1">
        <f t="shared" ref="B134:AG134" si="145">COUNTIF($B75:$AY75,B75)</f>
        <v>1</v>
      </c>
      <c r="C134" s="1">
        <f t="shared" si="145"/>
        <v>1</v>
      </c>
      <c r="D134" s="1">
        <f t="shared" si="145"/>
        <v>4</v>
      </c>
      <c r="E134" s="1">
        <f t="shared" si="145"/>
        <v>2</v>
      </c>
      <c r="F134" s="1">
        <f t="shared" si="145"/>
        <v>2</v>
      </c>
      <c r="G134" s="1">
        <f t="shared" si="145"/>
        <v>4</v>
      </c>
      <c r="H134" s="1">
        <f t="shared" si="145"/>
        <v>1</v>
      </c>
      <c r="I134" s="1">
        <f t="shared" si="145"/>
        <v>2</v>
      </c>
      <c r="J134" s="1">
        <f t="shared" si="145"/>
        <v>1</v>
      </c>
      <c r="K134" s="1">
        <f t="shared" si="145"/>
        <v>1</v>
      </c>
      <c r="L134" s="1">
        <f t="shared" si="145"/>
        <v>1</v>
      </c>
      <c r="M134" s="1">
        <f t="shared" si="145"/>
        <v>1</v>
      </c>
      <c r="N134" s="1">
        <f t="shared" si="145"/>
        <v>1</v>
      </c>
      <c r="O134" s="1">
        <f t="shared" si="145"/>
        <v>2</v>
      </c>
      <c r="P134" s="1">
        <f t="shared" si="145"/>
        <v>1</v>
      </c>
      <c r="Q134" s="1">
        <f t="shared" si="145"/>
        <v>1</v>
      </c>
      <c r="R134" s="1">
        <f t="shared" si="145"/>
        <v>2</v>
      </c>
      <c r="S134" s="1">
        <f t="shared" si="145"/>
        <v>2</v>
      </c>
      <c r="T134" s="1">
        <f t="shared" si="145"/>
        <v>1</v>
      </c>
      <c r="U134" s="1">
        <f t="shared" si="145"/>
        <v>1</v>
      </c>
      <c r="V134" s="1">
        <f t="shared" si="145"/>
        <v>2</v>
      </c>
      <c r="W134" s="1">
        <f t="shared" si="145"/>
        <v>2</v>
      </c>
      <c r="X134" s="1">
        <f t="shared" si="145"/>
        <v>1</v>
      </c>
      <c r="Y134" s="1">
        <f t="shared" si="145"/>
        <v>1</v>
      </c>
      <c r="Z134" s="1">
        <f t="shared" si="145"/>
        <v>2</v>
      </c>
      <c r="AA134" s="1">
        <f t="shared" si="145"/>
        <v>1</v>
      </c>
      <c r="AB134" s="1">
        <f t="shared" si="145"/>
        <v>1</v>
      </c>
      <c r="AC134" s="1">
        <f t="shared" si="145"/>
        <v>1</v>
      </c>
      <c r="AD134" s="1">
        <f t="shared" si="145"/>
        <v>4</v>
      </c>
      <c r="AE134" s="1">
        <f t="shared" si="145"/>
        <v>2</v>
      </c>
      <c r="AF134" s="1">
        <f t="shared" si="145"/>
        <v>2</v>
      </c>
      <c r="AG134" s="1">
        <f t="shared" si="145"/>
        <v>4</v>
      </c>
      <c r="AH134" s="1">
        <f t="shared" ref="AH134:AY134" si="146">COUNTIF($B75:$AY75,AH75)</f>
        <v>2</v>
      </c>
      <c r="AI134" s="1">
        <f t="shared" si="146"/>
        <v>2</v>
      </c>
      <c r="AJ134" s="1">
        <f t="shared" si="146"/>
        <v>1</v>
      </c>
      <c r="AK134" s="1">
        <f t="shared" si="146"/>
        <v>2</v>
      </c>
      <c r="AL134" s="1">
        <f t="shared" si="146"/>
        <v>1</v>
      </c>
      <c r="AM134" s="1">
        <f t="shared" si="146"/>
        <v>4</v>
      </c>
      <c r="AN134" s="1">
        <f t="shared" si="146"/>
        <v>1</v>
      </c>
      <c r="AO134" s="1">
        <f t="shared" si="146"/>
        <v>2</v>
      </c>
      <c r="AP134" s="1">
        <f t="shared" si="146"/>
        <v>1</v>
      </c>
      <c r="AQ134" s="1">
        <f t="shared" si="146"/>
        <v>4</v>
      </c>
      <c r="AR134" s="1">
        <f t="shared" si="146"/>
        <v>1</v>
      </c>
      <c r="AS134" s="1">
        <f t="shared" si="146"/>
        <v>4</v>
      </c>
      <c r="AT134" s="1">
        <f t="shared" si="146"/>
        <v>1</v>
      </c>
      <c r="AU134" s="1">
        <f t="shared" si="146"/>
        <v>2</v>
      </c>
      <c r="AV134" s="1">
        <f t="shared" si="146"/>
        <v>2</v>
      </c>
      <c r="AW134" s="1">
        <f t="shared" si="146"/>
        <v>1</v>
      </c>
      <c r="AX134" s="1">
        <f t="shared" si="146"/>
        <v>4</v>
      </c>
      <c r="AY134" s="1">
        <f t="shared" si="146"/>
        <v>2</v>
      </c>
    </row>
    <row r="135" spans="1:51">
      <c r="A135" s="1" t="str">
        <f t="shared" si="116"/>
        <v>2.1.2) Access to healthcare</v>
      </c>
      <c r="B135" s="1">
        <f t="shared" ref="B135:AG135" si="147">COUNTIF($B76:$AY76,B76)</f>
        <v>1</v>
      </c>
      <c r="C135" s="1">
        <f t="shared" si="147"/>
        <v>11</v>
      </c>
      <c r="D135" s="1">
        <f t="shared" si="147"/>
        <v>5</v>
      </c>
      <c r="E135" s="1">
        <f t="shared" si="147"/>
        <v>1</v>
      </c>
      <c r="F135" s="1">
        <f t="shared" si="147"/>
        <v>5</v>
      </c>
      <c r="G135" s="1">
        <f t="shared" si="147"/>
        <v>11</v>
      </c>
      <c r="H135" s="1">
        <f t="shared" si="147"/>
        <v>5</v>
      </c>
      <c r="I135" s="1">
        <f t="shared" si="147"/>
        <v>5</v>
      </c>
      <c r="J135" s="1">
        <f t="shared" si="147"/>
        <v>2</v>
      </c>
      <c r="K135" s="1">
        <f t="shared" si="147"/>
        <v>2</v>
      </c>
      <c r="L135" s="1">
        <f t="shared" si="147"/>
        <v>11</v>
      </c>
      <c r="M135" s="1">
        <f t="shared" si="147"/>
        <v>5</v>
      </c>
      <c r="N135" s="1">
        <f t="shared" si="147"/>
        <v>2</v>
      </c>
      <c r="O135" s="1">
        <f t="shared" si="147"/>
        <v>5</v>
      </c>
      <c r="P135" s="1">
        <f t="shared" si="147"/>
        <v>2</v>
      </c>
      <c r="Q135" s="1">
        <f t="shared" si="147"/>
        <v>1</v>
      </c>
      <c r="R135" s="1">
        <f t="shared" si="147"/>
        <v>2</v>
      </c>
      <c r="S135" s="1">
        <f t="shared" si="147"/>
        <v>2</v>
      </c>
      <c r="T135" s="1">
        <f t="shared" si="147"/>
        <v>5</v>
      </c>
      <c r="U135" s="1">
        <f t="shared" si="147"/>
        <v>1</v>
      </c>
      <c r="V135" s="1">
        <f t="shared" si="147"/>
        <v>5</v>
      </c>
      <c r="W135" s="1">
        <f t="shared" si="147"/>
        <v>5</v>
      </c>
      <c r="X135" s="1">
        <f t="shared" si="147"/>
        <v>11</v>
      </c>
      <c r="Y135" s="1">
        <f t="shared" si="147"/>
        <v>5</v>
      </c>
      <c r="Z135" s="1">
        <f t="shared" si="147"/>
        <v>1</v>
      </c>
      <c r="AA135" s="1">
        <f t="shared" si="147"/>
        <v>11</v>
      </c>
      <c r="AB135" s="1">
        <f t="shared" si="147"/>
        <v>1</v>
      </c>
      <c r="AC135" s="1">
        <f t="shared" si="147"/>
        <v>1</v>
      </c>
      <c r="AD135" s="1">
        <f t="shared" si="147"/>
        <v>5</v>
      </c>
      <c r="AE135" s="1">
        <f t="shared" si="147"/>
        <v>11</v>
      </c>
      <c r="AF135" s="1">
        <f t="shared" si="147"/>
        <v>11</v>
      </c>
      <c r="AG135" s="1">
        <f t="shared" si="147"/>
        <v>5</v>
      </c>
      <c r="AH135" s="1">
        <f t="shared" ref="AH135:AY135" si="148">COUNTIF($B76:$AY76,AH76)</f>
        <v>1</v>
      </c>
      <c r="AI135" s="1">
        <f t="shared" si="148"/>
        <v>5</v>
      </c>
      <c r="AJ135" s="1">
        <f t="shared" si="148"/>
        <v>5</v>
      </c>
      <c r="AK135" s="1">
        <f t="shared" si="148"/>
        <v>2</v>
      </c>
      <c r="AL135" s="1">
        <f t="shared" si="148"/>
        <v>2</v>
      </c>
      <c r="AM135" s="1">
        <f t="shared" si="148"/>
        <v>1</v>
      </c>
      <c r="AN135" s="1">
        <f t="shared" si="148"/>
        <v>5</v>
      </c>
      <c r="AO135" s="1">
        <f t="shared" si="148"/>
        <v>5</v>
      </c>
      <c r="AP135" s="1">
        <f t="shared" si="148"/>
        <v>5</v>
      </c>
      <c r="AQ135" s="1">
        <f t="shared" si="148"/>
        <v>1</v>
      </c>
      <c r="AR135" s="1">
        <f t="shared" si="148"/>
        <v>11</v>
      </c>
      <c r="AS135" s="1">
        <f t="shared" si="148"/>
        <v>1</v>
      </c>
      <c r="AT135" s="1">
        <f t="shared" si="148"/>
        <v>5</v>
      </c>
      <c r="AU135" s="1">
        <f t="shared" si="148"/>
        <v>5</v>
      </c>
      <c r="AV135" s="1">
        <f t="shared" si="148"/>
        <v>11</v>
      </c>
      <c r="AW135" s="1">
        <f t="shared" si="148"/>
        <v>11</v>
      </c>
      <c r="AX135" s="1">
        <f t="shared" si="148"/>
        <v>5</v>
      </c>
      <c r="AY135" s="1">
        <f t="shared" si="148"/>
        <v>11</v>
      </c>
    </row>
    <row r="136" spans="1:51">
      <c r="A136" s="1" t="str">
        <f t="shared" si="116"/>
        <v>2.1.3) No. of beds per 1000</v>
      </c>
      <c r="B136" s="1">
        <f t="shared" ref="B136:AG136" si="149">COUNTIF($B77:$AY77,B77)</f>
        <v>1</v>
      </c>
      <c r="C136" s="1">
        <f t="shared" si="149"/>
        <v>1</v>
      </c>
      <c r="D136" s="1">
        <f t="shared" si="149"/>
        <v>1</v>
      </c>
      <c r="E136" s="1">
        <f t="shared" si="149"/>
        <v>1</v>
      </c>
      <c r="F136" s="1">
        <f t="shared" si="149"/>
        <v>2</v>
      </c>
      <c r="G136" s="1">
        <f t="shared" si="149"/>
        <v>1</v>
      </c>
      <c r="H136" s="1">
        <f t="shared" si="149"/>
        <v>1</v>
      </c>
      <c r="I136" s="1">
        <f t="shared" si="149"/>
        <v>2</v>
      </c>
      <c r="J136" s="1">
        <f t="shared" si="149"/>
        <v>1</v>
      </c>
      <c r="K136" s="1">
        <f t="shared" si="149"/>
        <v>1</v>
      </c>
      <c r="L136" s="1">
        <f t="shared" si="149"/>
        <v>1</v>
      </c>
      <c r="M136" s="1">
        <f t="shared" si="149"/>
        <v>2</v>
      </c>
      <c r="N136" s="1">
        <f t="shared" si="149"/>
        <v>1</v>
      </c>
      <c r="O136" s="1">
        <f t="shared" si="149"/>
        <v>1</v>
      </c>
      <c r="P136" s="1">
        <f t="shared" si="149"/>
        <v>1</v>
      </c>
      <c r="Q136" s="1">
        <f t="shared" si="149"/>
        <v>2</v>
      </c>
      <c r="R136" s="1">
        <f t="shared" si="149"/>
        <v>1</v>
      </c>
      <c r="S136" s="1">
        <f t="shared" si="149"/>
        <v>2</v>
      </c>
      <c r="T136" s="1">
        <f t="shared" si="149"/>
        <v>2</v>
      </c>
      <c r="U136" s="1">
        <f t="shared" si="149"/>
        <v>2</v>
      </c>
      <c r="V136" s="1">
        <f t="shared" si="149"/>
        <v>1</v>
      </c>
      <c r="W136" s="1">
        <f t="shared" si="149"/>
        <v>1</v>
      </c>
      <c r="X136" s="1">
        <f t="shared" si="149"/>
        <v>1</v>
      </c>
      <c r="Y136" s="1">
        <f t="shared" si="149"/>
        <v>1</v>
      </c>
      <c r="Z136" s="1">
        <f t="shared" si="149"/>
        <v>1</v>
      </c>
      <c r="AA136" s="1">
        <f t="shared" si="149"/>
        <v>1</v>
      </c>
      <c r="AB136" s="1">
        <f t="shared" si="149"/>
        <v>1</v>
      </c>
      <c r="AC136" s="1">
        <f t="shared" si="149"/>
        <v>1</v>
      </c>
      <c r="AD136" s="1">
        <f t="shared" si="149"/>
        <v>1</v>
      </c>
      <c r="AE136" s="1">
        <f t="shared" si="149"/>
        <v>1</v>
      </c>
      <c r="AF136" s="1">
        <f t="shared" si="149"/>
        <v>1</v>
      </c>
      <c r="AG136" s="1">
        <f t="shared" si="149"/>
        <v>1</v>
      </c>
      <c r="AH136" s="1">
        <f t="shared" ref="AH136:AY136" si="150">COUNTIF($B77:$AY77,AH77)</f>
        <v>1</v>
      </c>
      <c r="AI136" s="1">
        <f t="shared" si="150"/>
        <v>1</v>
      </c>
      <c r="AJ136" s="1">
        <f t="shared" si="150"/>
        <v>1</v>
      </c>
      <c r="AK136" s="1">
        <f t="shared" si="150"/>
        <v>1</v>
      </c>
      <c r="AL136" s="1">
        <f t="shared" si="150"/>
        <v>1</v>
      </c>
      <c r="AM136" s="1">
        <f t="shared" si="150"/>
        <v>1</v>
      </c>
      <c r="AN136" s="1">
        <f t="shared" si="150"/>
        <v>1</v>
      </c>
      <c r="AO136" s="1">
        <f t="shared" si="150"/>
        <v>1</v>
      </c>
      <c r="AP136" s="1">
        <f t="shared" si="150"/>
        <v>1</v>
      </c>
      <c r="AQ136" s="1">
        <f t="shared" si="150"/>
        <v>1</v>
      </c>
      <c r="AR136" s="1">
        <f t="shared" si="150"/>
        <v>1</v>
      </c>
      <c r="AS136" s="1">
        <f t="shared" si="150"/>
        <v>1</v>
      </c>
      <c r="AT136" s="1">
        <f t="shared" si="150"/>
        <v>1</v>
      </c>
      <c r="AU136" s="1">
        <f t="shared" si="150"/>
        <v>1</v>
      </c>
      <c r="AV136" s="1">
        <f t="shared" si="150"/>
        <v>1</v>
      </c>
      <c r="AW136" s="1">
        <f t="shared" si="150"/>
        <v>2</v>
      </c>
      <c r="AX136" s="1">
        <f t="shared" si="150"/>
        <v>1</v>
      </c>
      <c r="AY136" s="1">
        <f t="shared" si="150"/>
        <v>1</v>
      </c>
    </row>
    <row r="137" spans="1:51">
      <c r="A137" s="1" t="str">
        <f t="shared" si="116"/>
        <v>2.1.4) Number of doctors per 1000</v>
      </c>
      <c r="B137" s="1">
        <f t="shared" ref="B137:AG137" si="151">COUNTIF($B78:$AY78,B78)</f>
        <v>1</v>
      </c>
      <c r="C137" s="1">
        <f t="shared" si="151"/>
        <v>1</v>
      </c>
      <c r="D137" s="1">
        <f t="shared" si="151"/>
        <v>2</v>
      </c>
      <c r="E137" s="1">
        <f t="shared" si="151"/>
        <v>1</v>
      </c>
      <c r="F137" s="1">
        <f t="shared" si="151"/>
        <v>1</v>
      </c>
      <c r="G137" s="1">
        <f t="shared" si="151"/>
        <v>1</v>
      </c>
      <c r="H137" s="1">
        <f t="shared" si="151"/>
        <v>1</v>
      </c>
      <c r="I137" s="1">
        <f t="shared" si="151"/>
        <v>1</v>
      </c>
      <c r="J137" s="1">
        <f t="shared" si="151"/>
        <v>1</v>
      </c>
      <c r="K137" s="1">
        <f t="shared" si="151"/>
        <v>1</v>
      </c>
      <c r="L137" s="1">
        <f t="shared" si="151"/>
        <v>1</v>
      </c>
      <c r="M137" s="1">
        <f t="shared" si="151"/>
        <v>1</v>
      </c>
      <c r="N137" s="1">
        <f t="shared" si="151"/>
        <v>1</v>
      </c>
      <c r="O137" s="1">
        <f t="shared" si="151"/>
        <v>1</v>
      </c>
      <c r="P137" s="1">
        <f t="shared" si="151"/>
        <v>1</v>
      </c>
      <c r="Q137" s="1">
        <f t="shared" si="151"/>
        <v>2</v>
      </c>
      <c r="R137" s="1">
        <f t="shared" si="151"/>
        <v>1</v>
      </c>
      <c r="S137" s="1">
        <f t="shared" si="151"/>
        <v>2</v>
      </c>
      <c r="T137" s="1">
        <f t="shared" si="151"/>
        <v>1</v>
      </c>
      <c r="U137" s="1">
        <f t="shared" si="151"/>
        <v>2</v>
      </c>
      <c r="V137" s="1">
        <f t="shared" si="151"/>
        <v>1</v>
      </c>
      <c r="W137" s="1">
        <f t="shared" si="151"/>
        <v>1</v>
      </c>
      <c r="X137" s="1">
        <f t="shared" si="151"/>
        <v>1</v>
      </c>
      <c r="Y137" s="1">
        <f t="shared" si="151"/>
        <v>1</v>
      </c>
      <c r="Z137" s="1">
        <f t="shared" si="151"/>
        <v>1</v>
      </c>
      <c r="AA137" s="1">
        <f t="shared" si="151"/>
        <v>1</v>
      </c>
      <c r="AB137" s="1">
        <f t="shared" si="151"/>
        <v>1</v>
      </c>
      <c r="AC137" s="1">
        <f t="shared" si="151"/>
        <v>1</v>
      </c>
      <c r="AD137" s="1">
        <f t="shared" si="151"/>
        <v>2</v>
      </c>
      <c r="AE137" s="1">
        <f t="shared" si="151"/>
        <v>1</v>
      </c>
      <c r="AF137" s="1">
        <f t="shared" si="151"/>
        <v>1</v>
      </c>
      <c r="AG137" s="1">
        <f t="shared" si="151"/>
        <v>1</v>
      </c>
      <c r="AH137" s="1">
        <f t="shared" ref="AH137:AY137" si="152">COUNTIF($B78:$AY78,AH78)</f>
        <v>1</v>
      </c>
      <c r="AI137" s="1">
        <f t="shared" si="152"/>
        <v>1</v>
      </c>
      <c r="AJ137" s="1">
        <f t="shared" si="152"/>
        <v>1</v>
      </c>
      <c r="AK137" s="1">
        <f t="shared" si="152"/>
        <v>1</v>
      </c>
      <c r="AL137" s="1">
        <f t="shared" si="152"/>
        <v>1</v>
      </c>
      <c r="AM137" s="1">
        <f t="shared" si="152"/>
        <v>1</v>
      </c>
      <c r="AN137" s="1">
        <f t="shared" si="152"/>
        <v>1</v>
      </c>
      <c r="AO137" s="1">
        <f t="shared" si="152"/>
        <v>1</v>
      </c>
      <c r="AP137" s="1">
        <f t="shared" si="152"/>
        <v>1</v>
      </c>
      <c r="AQ137" s="1">
        <f t="shared" si="152"/>
        <v>1</v>
      </c>
      <c r="AR137" s="1">
        <f t="shared" si="152"/>
        <v>1</v>
      </c>
      <c r="AS137" s="1">
        <f t="shared" si="152"/>
        <v>1</v>
      </c>
      <c r="AT137" s="1">
        <f t="shared" si="152"/>
        <v>1</v>
      </c>
      <c r="AU137" s="1">
        <f t="shared" si="152"/>
        <v>2</v>
      </c>
      <c r="AV137" s="1">
        <f t="shared" si="152"/>
        <v>1</v>
      </c>
      <c r="AW137" s="1">
        <f t="shared" si="152"/>
        <v>1</v>
      </c>
      <c r="AX137" s="1">
        <f t="shared" si="152"/>
        <v>1</v>
      </c>
      <c r="AY137" s="1">
        <f t="shared" si="152"/>
        <v>1</v>
      </c>
    </row>
    <row r="138" spans="1:51">
      <c r="A138" s="1" t="str">
        <f t="shared" si="116"/>
        <v>2.1.5) Access to safe and quality food</v>
      </c>
      <c r="B138" s="1">
        <f t="shared" ref="B138:AG138" si="153">COUNTIF($B79:$AY79,B79)</f>
        <v>17</v>
      </c>
      <c r="C138" s="1">
        <f t="shared" si="153"/>
        <v>17</v>
      </c>
      <c r="D138" s="1">
        <f t="shared" si="153"/>
        <v>2</v>
      </c>
      <c r="E138" s="1">
        <f t="shared" si="153"/>
        <v>17</v>
      </c>
      <c r="F138" s="1">
        <f t="shared" si="153"/>
        <v>7</v>
      </c>
      <c r="G138" s="1">
        <f t="shared" si="153"/>
        <v>17</v>
      </c>
      <c r="H138" s="1">
        <f t="shared" si="153"/>
        <v>2</v>
      </c>
      <c r="I138" s="1">
        <f t="shared" si="153"/>
        <v>5</v>
      </c>
      <c r="J138" s="1">
        <f t="shared" si="153"/>
        <v>2</v>
      </c>
      <c r="K138" s="1">
        <f t="shared" si="153"/>
        <v>1</v>
      </c>
      <c r="L138" s="1">
        <f t="shared" si="153"/>
        <v>17</v>
      </c>
      <c r="M138" s="1">
        <f t="shared" si="153"/>
        <v>7</v>
      </c>
      <c r="N138" s="1">
        <f t="shared" si="153"/>
        <v>1</v>
      </c>
      <c r="O138" s="1">
        <f t="shared" si="153"/>
        <v>7</v>
      </c>
      <c r="P138" s="1">
        <f t="shared" si="153"/>
        <v>1</v>
      </c>
      <c r="Q138" s="1">
        <f t="shared" si="153"/>
        <v>1</v>
      </c>
      <c r="R138" s="1">
        <f t="shared" si="153"/>
        <v>1</v>
      </c>
      <c r="S138" s="1">
        <f t="shared" si="153"/>
        <v>3</v>
      </c>
      <c r="T138" s="1">
        <f t="shared" si="153"/>
        <v>1</v>
      </c>
      <c r="U138" s="1">
        <f t="shared" si="153"/>
        <v>17</v>
      </c>
      <c r="V138" s="1">
        <f t="shared" si="153"/>
        <v>5</v>
      </c>
      <c r="W138" s="1">
        <f t="shared" si="153"/>
        <v>17</v>
      </c>
      <c r="X138" s="1">
        <f t="shared" si="153"/>
        <v>17</v>
      </c>
      <c r="Y138" s="1">
        <f t="shared" si="153"/>
        <v>1</v>
      </c>
      <c r="Z138" s="1">
        <f t="shared" si="153"/>
        <v>17</v>
      </c>
      <c r="AA138" s="1">
        <f t="shared" si="153"/>
        <v>3</v>
      </c>
      <c r="AB138" s="1">
        <f t="shared" si="153"/>
        <v>1</v>
      </c>
      <c r="AC138" s="1">
        <f t="shared" si="153"/>
        <v>2</v>
      </c>
      <c r="AD138" s="1">
        <f t="shared" si="153"/>
        <v>5</v>
      </c>
      <c r="AE138" s="1">
        <f t="shared" si="153"/>
        <v>17</v>
      </c>
      <c r="AF138" s="1">
        <f t="shared" si="153"/>
        <v>17</v>
      </c>
      <c r="AG138" s="1">
        <f t="shared" si="153"/>
        <v>2</v>
      </c>
      <c r="AH138" s="1">
        <f t="shared" ref="AH138:AY138" si="154">COUNTIF($B79:$AY79,AH79)</f>
        <v>1</v>
      </c>
      <c r="AI138" s="1">
        <f t="shared" si="154"/>
        <v>17</v>
      </c>
      <c r="AJ138" s="1">
        <f t="shared" si="154"/>
        <v>5</v>
      </c>
      <c r="AK138" s="1">
        <f t="shared" si="154"/>
        <v>1</v>
      </c>
      <c r="AL138" s="1">
        <f t="shared" si="154"/>
        <v>2</v>
      </c>
      <c r="AM138" s="1">
        <f t="shared" si="154"/>
        <v>1</v>
      </c>
      <c r="AN138" s="1">
        <f t="shared" si="154"/>
        <v>7</v>
      </c>
      <c r="AO138" s="1">
        <f t="shared" si="154"/>
        <v>7</v>
      </c>
      <c r="AP138" s="1">
        <f t="shared" si="154"/>
        <v>17</v>
      </c>
      <c r="AQ138" s="1">
        <f t="shared" si="154"/>
        <v>17</v>
      </c>
      <c r="AR138" s="1">
        <f t="shared" si="154"/>
        <v>17</v>
      </c>
      <c r="AS138" s="1">
        <f t="shared" si="154"/>
        <v>7</v>
      </c>
      <c r="AT138" s="1">
        <f t="shared" si="154"/>
        <v>1</v>
      </c>
      <c r="AU138" s="1">
        <f t="shared" si="154"/>
        <v>7</v>
      </c>
      <c r="AV138" s="1">
        <f t="shared" si="154"/>
        <v>17</v>
      </c>
      <c r="AW138" s="1">
        <f t="shared" si="154"/>
        <v>3</v>
      </c>
      <c r="AX138" s="1">
        <f t="shared" si="154"/>
        <v>5</v>
      </c>
      <c r="AY138" s="1">
        <f t="shared" si="154"/>
        <v>17</v>
      </c>
    </row>
    <row r="139" spans="1:51">
      <c r="A139" s="1" t="str">
        <f t="shared" si="116"/>
        <v>2.1.6) Quality of health services</v>
      </c>
      <c r="B139" s="1">
        <f t="shared" ref="B139:AG139" si="155">COUNTIF($B80:$AY80,B80)</f>
        <v>6</v>
      </c>
      <c r="C139" s="1">
        <f t="shared" si="155"/>
        <v>14</v>
      </c>
      <c r="D139" s="1">
        <f t="shared" si="155"/>
        <v>13</v>
      </c>
      <c r="E139" s="1">
        <f t="shared" si="155"/>
        <v>14</v>
      </c>
      <c r="F139" s="1">
        <f t="shared" si="155"/>
        <v>13</v>
      </c>
      <c r="G139" s="1">
        <f t="shared" si="155"/>
        <v>14</v>
      </c>
      <c r="H139" s="1">
        <f t="shared" si="155"/>
        <v>6</v>
      </c>
      <c r="I139" s="1">
        <f t="shared" si="155"/>
        <v>11</v>
      </c>
      <c r="J139" s="1">
        <f t="shared" si="155"/>
        <v>13</v>
      </c>
      <c r="K139" s="1">
        <f t="shared" si="155"/>
        <v>6</v>
      </c>
      <c r="L139" s="1">
        <f t="shared" si="155"/>
        <v>14</v>
      </c>
      <c r="M139" s="1">
        <f t="shared" si="155"/>
        <v>13</v>
      </c>
      <c r="N139" s="1">
        <f t="shared" si="155"/>
        <v>3</v>
      </c>
      <c r="O139" s="1">
        <f t="shared" si="155"/>
        <v>11</v>
      </c>
      <c r="P139" s="1">
        <f t="shared" si="155"/>
        <v>3</v>
      </c>
      <c r="Q139" s="1">
        <f t="shared" si="155"/>
        <v>3</v>
      </c>
      <c r="R139" s="1">
        <f t="shared" si="155"/>
        <v>3</v>
      </c>
      <c r="S139" s="1">
        <f t="shared" si="155"/>
        <v>11</v>
      </c>
      <c r="T139" s="1">
        <f t="shared" si="155"/>
        <v>13</v>
      </c>
      <c r="U139" s="1">
        <f t="shared" si="155"/>
        <v>11</v>
      </c>
      <c r="V139" s="1">
        <f t="shared" si="155"/>
        <v>11</v>
      </c>
      <c r="W139" s="1">
        <f t="shared" si="155"/>
        <v>11</v>
      </c>
      <c r="X139" s="1">
        <f t="shared" si="155"/>
        <v>14</v>
      </c>
      <c r="Y139" s="1">
        <f t="shared" si="155"/>
        <v>3</v>
      </c>
      <c r="Z139" s="1">
        <f t="shared" si="155"/>
        <v>6</v>
      </c>
      <c r="AA139" s="1">
        <f t="shared" si="155"/>
        <v>14</v>
      </c>
      <c r="AB139" s="1">
        <f t="shared" si="155"/>
        <v>6</v>
      </c>
      <c r="AC139" s="1">
        <f t="shared" si="155"/>
        <v>3</v>
      </c>
      <c r="AD139" s="1">
        <f t="shared" si="155"/>
        <v>11</v>
      </c>
      <c r="AE139" s="1">
        <f t="shared" si="155"/>
        <v>14</v>
      </c>
      <c r="AF139" s="1">
        <f t="shared" si="155"/>
        <v>14</v>
      </c>
      <c r="AG139" s="1">
        <f t="shared" si="155"/>
        <v>13</v>
      </c>
      <c r="AH139" s="1">
        <f t="shared" ref="AH139:AY139" si="156">COUNTIF($B80:$AY80,AH80)</f>
        <v>13</v>
      </c>
      <c r="AI139" s="1">
        <f t="shared" si="156"/>
        <v>6</v>
      </c>
      <c r="AJ139" s="1">
        <f t="shared" si="156"/>
        <v>11</v>
      </c>
      <c r="AK139" s="1">
        <f t="shared" si="156"/>
        <v>13</v>
      </c>
      <c r="AL139" s="1">
        <f t="shared" si="156"/>
        <v>13</v>
      </c>
      <c r="AM139" s="1">
        <f t="shared" si="156"/>
        <v>11</v>
      </c>
      <c r="AN139" s="1">
        <f t="shared" si="156"/>
        <v>13</v>
      </c>
      <c r="AO139" s="1">
        <f t="shared" si="156"/>
        <v>13</v>
      </c>
      <c r="AP139" s="1">
        <f t="shared" si="156"/>
        <v>14</v>
      </c>
      <c r="AQ139" s="1">
        <f t="shared" si="156"/>
        <v>14</v>
      </c>
      <c r="AR139" s="1">
        <f t="shared" si="156"/>
        <v>14</v>
      </c>
      <c r="AS139" s="1">
        <f t="shared" si="156"/>
        <v>11</v>
      </c>
      <c r="AT139" s="1">
        <f t="shared" si="156"/>
        <v>13</v>
      </c>
      <c r="AU139" s="1">
        <f t="shared" si="156"/>
        <v>13</v>
      </c>
      <c r="AV139" s="1">
        <f t="shared" si="156"/>
        <v>14</v>
      </c>
      <c r="AW139" s="1">
        <f t="shared" si="156"/>
        <v>14</v>
      </c>
      <c r="AX139" s="1">
        <f t="shared" si="156"/>
        <v>11</v>
      </c>
      <c r="AY139" s="1">
        <f t="shared" si="156"/>
        <v>14</v>
      </c>
    </row>
    <row r="140" spans="1:51">
      <c r="A140" s="1" t="str">
        <f t="shared" si="116"/>
        <v>2.2) Health Security (Outputs)</v>
      </c>
      <c r="B140" s="1">
        <f t="shared" ref="B140:AG140" si="157">COUNTIF($B81:$AY81,B81)</f>
        <v>1</v>
      </c>
      <c r="C140" s="1">
        <f t="shared" si="157"/>
        <v>1</v>
      </c>
      <c r="D140" s="1">
        <f t="shared" si="157"/>
        <v>1</v>
      </c>
      <c r="E140" s="1">
        <f t="shared" si="157"/>
        <v>1</v>
      </c>
      <c r="F140" s="1">
        <f t="shared" si="157"/>
        <v>1</v>
      </c>
      <c r="G140" s="1">
        <f t="shared" si="157"/>
        <v>1</v>
      </c>
      <c r="H140" s="1">
        <f t="shared" si="157"/>
        <v>1</v>
      </c>
      <c r="I140" s="1">
        <f t="shared" si="157"/>
        <v>1</v>
      </c>
      <c r="J140" s="1">
        <f t="shared" si="157"/>
        <v>1</v>
      </c>
      <c r="K140" s="1">
        <f t="shared" si="157"/>
        <v>1</v>
      </c>
      <c r="L140" s="1">
        <f t="shared" si="157"/>
        <v>1</v>
      </c>
      <c r="M140" s="1">
        <f t="shared" si="157"/>
        <v>1</v>
      </c>
      <c r="N140" s="1">
        <f t="shared" si="157"/>
        <v>1</v>
      </c>
      <c r="O140" s="1">
        <f t="shared" si="157"/>
        <v>1</v>
      </c>
      <c r="P140" s="1">
        <f t="shared" si="157"/>
        <v>1</v>
      </c>
      <c r="Q140" s="1">
        <f t="shared" si="157"/>
        <v>1</v>
      </c>
      <c r="R140" s="1">
        <f t="shared" si="157"/>
        <v>1</v>
      </c>
      <c r="S140" s="1">
        <f t="shared" si="157"/>
        <v>1</v>
      </c>
      <c r="T140" s="1">
        <f t="shared" si="157"/>
        <v>1</v>
      </c>
      <c r="U140" s="1">
        <f t="shared" si="157"/>
        <v>1</v>
      </c>
      <c r="V140" s="1">
        <f t="shared" si="157"/>
        <v>1</v>
      </c>
      <c r="W140" s="1">
        <f t="shared" si="157"/>
        <v>1</v>
      </c>
      <c r="X140" s="1">
        <f t="shared" si="157"/>
        <v>1</v>
      </c>
      <c r="Y140" s="1">
        <f t="shared" si="157"/>
        <v>1</v>
      </c>
      <c r="Z140" s="1">
        <f t="shared" si="157"/>
        <v>1</v>
      </c>
      <c r="AA140" s="1">
        <f t="shared" si="157"/>
        <v>1</v>
      </c>
      <c r="AB140" s="1">
        <f t="shared" si="157"/>
        <v>1</v>
      </c>
      <c r="AC140" s="1">
        <f t="shared" si="157"/>
        <v>1</v>
      </c>
      <c r="AD140" s="1">
        <f t="shared" si="157"/>
        <v>1</v>
      </c>
      <c r="AE140" s="1">
        <f t="shared" si="157"/>
        <v>1</v>
      </c>
      <c r="AF140" s="1">
        <f t="shared" si="157"/>
        <v>1</v>
      </c>
      <c r="AG140" s="1">
        <f t="shared" si="157"/>
        <v>1</v>
      </c>
      <c r="AH140" s="1">
        <f t="shared" ref="AH140:AY140" si="158">COUNTIF($B81:$AY81,AH81)</f>
        <v>1</v>
      </c>
      <c r="AI140" s="1">
        <f t="shared" si="158"/>
        <v>1</v>
      </c>
      <c r="AJ140" s="1">
        <f t="shared" si="158"/>
        <v>1</v>
      </c>
      <c r="AK140" s="1">
        <f t="shared" si="158"/>
        <v>1</v>
      </c>
      <c r="AL140" s="1">
        <f t="shared" si="158"/>
        <v>2</v>
      </c>
      <c r="AM140" s="1">
        <f t="shared" si="158"/>
        <v>1</v>
      </c>
      <c r="AN140" s="1">
        <f t="shared" si="158"/>
        <v>1</v>
      </c>
      <c r="AO140" s="1">
        <f t="shared" si="158"/>
        <v>1</v>
      </c>
      <c r="AP140" s="1">
        <f t="shared" si="158"/>
        <v>1</v>
      </c>
      <c r="AQ140" s="1">
        <f t="shared" si="158"/>
        <v>1</v>
      </c>
      <c r="AR140" s="1">
        <f t="shared" si="158"/>
        <v>1</v>
      </c>
      <c r="AS140" s="1">
        <f t="shared" si="158"/>
        <v>1</v>
      </c>
      <c r="AT140" s="1">
        <f t="shared" si="158"/>
        <v>1</v>
      </c>
      <c r="AU140" s="1">
        <f t="shared" si="158"/>
        <v>2</v>
      </c>
      <c r="AV140" s="1">
        <f t="shared" si="158"/>
        <v>1</v>
      </c>
      <c r="AW140" s="1">
        <f t="shared" si="158"/>
        <v>1</v>
      </c>
      <c r="AX140" s="1">
        <f t="shared" si="158"/>
        <v>1</v>
      </c>
      <c r="AY140" s="1">
        <f t="shared" si="158"/>
        <v>1</v>
      </c>
    </row>
    <row r="141" spans="1:51">
      <c r="A141" s="1" t="str">
        <f t="shared" si="116"/>
        <v>2.2.1) Air quality</v>
      </c>
      <c r="B141" s="1">
        <f t="shared" ref="B141:AG141" si="159">COUNTIF($B82:$AY82,B82)</f>
        <v>1</v>
      </c>
      <c r="C141" s="1">
        <f t="shared" si="159"/>
        <v>3</v>
      </c>
      <c r="D141" s="1">
        <f t="shared" si="159"/>
        <v>2</v>
      </c>
      <c r="E141" s="1">
        <f t="shared" si="159"/>
        <v>3</v>
      </c>
      <c r="F141" s="1">
        <f t="shared" si="159"/>
        <v>1</v>
      </c>
      <c r="G141" s="1">
        <f t="shared" si="159"/>
        <v>3</v>
      </c>
      <c r="H141" s="1">
        <f t="shared" si="159"/>
        <v>3</v>
      </c>
      <c r="I141" s="1">
        <f t="shared" si="159"/>
        <v>1</v>
      </c>
      <c r="J141" s="1">
        <f t="shared" si="159"/>
        <v>1</v>
      </c>
      <c r="K141" s="1">
        <f t="shared" si="159"/>
        <v>1</v>
      </c>
      <c r="L141" s="1">
        <f t="shared" si="159"/>
        <v>3</v>
      </c>
      <c r="M141" s="1">
        <f t="shared" si="159"/>
        <v>2</v>
      </c>
      <c r="N141" s="1">
        <f t="shared" si="159"/>
        <v>1</v>
      </c>
      <c r="O141" s="1">
        <f t="shared" si="159"/>
        <v>3</v>
      </c>
      <c r="P141" s="1">
        <f t="shared" si="159"/>
        <v>2</v>
      </c>
      <c r="Q141" s="1">
        <f t="shared" si="159"/>
        <v>3</v>
      </c>
      <c r="R141" s="1">
        <f t="shared" si="159"/>
        <v>1</v>
      </c>
      <c r="S141" s="1">
        <f t="shared" si="159"/>
        <v>1</v>
      </c>
      <c r="T141" s="1">
        <f t="shared" si="159"/>
        <v>1</v>
      </c>
      <c r="U141" s="1">
        <f t="shared" si="159"/>
        <v>3</v>
      </c>
      <c r="V141" s="1">
        <f t="shared" si="159"/>
        <v>2</v>
      </c>
      <c r="W141" s="1">
        <f t="shared" si="159"/>
        <v>1</v>
      </c>
      <c r="X141" s="1">
        <f t="shared" si="159"/>
        <v>2</v>
      </c>
      <c r="Y141" s="1">
        <f t="shared" si="159"/>
        <v>1</v>
      </c>
      <c r="Z141" s="1">
        <f t="shared" si="159"/>
        <v>1</v>
      </c>
      <c r="AA141" s="1">
        <f t="shared" si="159"/>
        <v>2</v>
      </c>
      <c r="AB141" s="1">
        <f t="shared" si="159"/>
        <v>2</v>
      </c>
      <c r="AC141" s="1">
        <f t="shared" si="159"/>
        <v>1</v>
      </c>
      <c r="AD141" s="1">
        <f t="shared" si="159"/>
        <v>2</v>
      </c>
      <c r="AE141" s="1">
        <f t="shared" si="159"/>
        <v>2</v>
      </c>
      <c r="AF141" s="1">
        <f t="shared" si="159"/>
        <v>2</v>
      </c>
      <c r="AG141" s="1">
        <f t="shared" si="159"/>
        <v>2</v>
      </c>
      <c r="AH141" s="1">
        <f t="shared" ref="AH141:AY141" si="160">COUNTIF($B82:$AY82,AH82)</f>
        <v>1</v>
      </c>
      <c r="AI141" s="1">
        <f t="shared" si="160"/>
        <v>3</v>
      </c>
      <c r="AJ141" s="1">
        <f t="shared" si="160"/>
        <v>2</v>
      </c>
      <c r="AK141" s="1">
        <f t="shared" si="160"/>
        <v>2</v>
      </c>
      <c r="AL141" s="1">
        <f t="shared" si="160"/>
        <v>1</v>
      </c>
      <c r="AM141" s="1">
        <f t="shared" si="160"/>
        <v>2</v>
      </c>
      <c r="AN141" s="1">
        <f t="shared" si="160"/>
        <v>2</v>
      </c>
      <c r="AO141" s="1">
        <f t="shared" si="160"/>
        <v>2</v>
      </c>
      <c r="AP141" s="1">
        <f t="shared" si="160"/>
        <v>2</v>
      </c>
      <c r="AQ141" s="1">
        <f t="shared" si="160"/>
        <v>1</v>
      </c>
      <c r="AR141" s="1">
        <f t="shared" si="160"/>
        <v>2</v>
      </c>
      <c r="AS141" s="1">
        <f t="shared" si="160"/>
        <v>1</v>
      </c>
      <c r="AT141" s="1">
        <f t="shared" si="160"/>
        <v>1</v>
      </c>
      <c r="AU141" s="1">
        <f t="shared" si="160"/>
        <v>1</v>
      </c>
      <c r="AV141" s="1">
        <f t="shared" si="160"/>
        <v>2</v>
      </c>
      <c r="AW141" s="1">
        <f t="shared" si="160"/>
        <v>1</v>
      </c>
      <c r="AX141" s="1">
        <f t="shared" si="160"/>
        <v>1</v>
      </c>
      <c r="AY141" s="1">
        <f t="shared" si="160"/>
        <v>2</v>
      </c>
    </row>
    <row r="142" spans="1:51">
      <c r="A142" s="1" t="str">
        <f t="shared" si="116"/>
        <v>2.2.2) Water quality</v>
      </c>
      <c r="B142" s="1">
        <f t="shared" ref="B142:AG142" si="161">COUNTIF($B83:$AY83,B83)</f>
        <v>1</v>
      </c>
      <c r="C142" s="1">
        <f t="shared" si="161"/>
        <v>1</v>
      </c>
      <c r="D142" s="1">
        <f t="shared" si="161"/>
        <v>1</v>
      </c>
      <c r="E142" s="1">
        <f t="shared" si="161"/>
        <v>2</v>
      </c>
      <c r="F142" s="1">
        <f t="shared" si="161"/>
        <v>2</v>
      </c>
      <c r="G142" s="1">
        <f t="shared" si="161"/>
        <v>1</v>
      </c>
      <c r="H142" s="1">
        <f t="shared" si="161"/>
        <v>1</v>
      </c>
      <c r="I142" s="1">
        <f t="shared" si="161"/>
        <v>1</v>
      </c>
      <c r="J142" s="1">
        <f t="shared" si="161"/>
        <v>1</v>
      </c>
      <c r="K142" s="1">
        <f t="shared" si="161"/>
        <v>1</v>
      </c>
      <c r="L142" s="1">
        <f t="shared" si="161"/>
        <v>1</v>
      </c>
      <c r="M142" s="1">
        <f t="shared" si="161"/>
        <v>1</v>
      </c>
      <c r="N142" s="1">
        <f t="shared" si="161"/>
        <v>1</v>
      </c>
      <c r="O142" s="1">
        <f t="shared" si="161"/>
        <v>3</v>
      </c>
      <c r="P142" s="1">
        <f t="shared" si="161"/>
        <v>1</v>
      </c>
      <c r="Q142" s="1">
        <f t="shared" si="161"/>
        <v>1</v>
      </c>
      <c r="R142" s="1">
        <f t="shared" si="161"/>
        <v>1</v>
      </c>
      <c r="S142" s="1">
        <f t="shared" si="161"/>
        <v>2</v>
      </c>
      <c r="T142" s="1">
        <f t="shared" si="161"/>
        <v>2</v>
      </c>
      <c r="U142" s="1">
        <f t="shared" si="161"/>
        <v>1</v>
      </c>
      <c r="V142" s="1">
        <f t="shared" si="161"/>
        <v>1</v>
      </c>
      <c r="W142" s="1">
        <f t="shared" si="161"/>
        <v>2</v>
      </c>
      <c r="X142" s="1">
        <f t="shared" si="161"/>
        <v>1</v>
      </c>
      <c r="Y142" s="1">
        <f t="shared" si="161"/>
        <v>1</v>
      </c>
      <c r="Z142" s="1">
        <f t="shared" si="161"/>
        <v>2</v>
      </c>
      <c r="AA142" s="1">
        <f t="shared" si="161"/>
        <v>1</v>
      </c>
      <c r="AB142" s="1">
        <f t="shared" si="161"/>
        <v>1</v>
      </c>
      <c r="AC142" s="1">
        <f t="shared" si="161"/>
        <v>3</v>
      </c>
      <c r="AD142" s="1">
        <f t="shared" si="161"/>
        <v>2</v>
      </c>
      <c r="AE142" s="1">
        <f t="shared" si="161"/>
        <v>1</v>
      </c>
      <c r="AF142" s="1">
        <f t="shared" si="161"/>
        <v>1</v>
      </c>
      <c r="AG142" s="1">
        <f t="shared" si="161"/>
        <v>1</v>
      </c>
      <c r="AH142" s="1">
        <f t="shared" ref="AH142:AY142" si="162">COUNTIF($B83:$AY83,AH83)</f>
        <v>1</v>
      </c>
      <c r="AI142" s="1">
        <f t="shared" si="162"/>
        <v>2</v>
      </c>
      <c r="AJ142" s="1">
        <f t="shared" si="162"/>
        <v>1</v>
      </c>
      <c r="AK142" s="1">
        <f t="shared" si="162"/>
        <v>1</v>
      </c>
      <c r="AL142" s="1">
        <f t="shared" si="162"/>
        <v>1</v>
      </c>
      <c r="AM142" s="1">
        <f t="shared" si="162"/>
        <v>1</v>
      </c>
      <c r="AN142" s="1">
        <f t="shared" si="162"/>
        <v>1</v>
      </c>
      <c r="AO142" s="1">
        <f t="shared" si="162"/>
        <v>3</v>
      </c>
      <c r="AP142" s="1">
        <f t="shared" si="162"/>
        <v>1</v>
      </c>
      <c r="AQ142" s="1">
        <f t="shared" si="162"/>
        <v>1</v>
      </c>
      <c r="AR142" s="1">
        <f t="shared" si="162"/>
        <v>1</v>
      </c>
      <c r="AS142" s="1">
        <f t="shared" si="162"/>
        <v>1</v>
      </c>
      <c r="AT142" s="1">
        <f t="shared" si="162"/>
        <v>1</v>
      </c>
      <c r="AU142" s="1">
        <f t="shared" si="162"/>
        <v>2</v>
      </c>
      <c r="AV142" s="1">
        <f t="shared" si="162"/>
        <v>1</v>
      </c>
      <c r="AW142" s="1">
        <f t="shared" si="162"/>
        <v>1</v>
      </c>
      <c r="AX142" s="1">
        <f t="shared" si="162"/>
        <v>1</v>
      </c>
      <c r="AY142" s="1">
        <f t="shared" si="162"/>
        <v>2</v>
      </c>
    </row>
    <row r="143" spans="1:51">
      <c r="A143" s="1" t="str">
        <f t="shared" si="116"/>
        <v>2.2.3) Life expectancy</v>
      </c>
      <c r="B143" s="1">
        <f t="shared" ref="B143:AG143" si="163">COUNTIF($B84:$AY84,B84)</f>
        <v>1</v>
      </c>
      <c r="C143" s="1">
        <f t="shared" si="163"/>
        <v>1</v>
      </c>
      <c r="D143" s="1">
        <f t="shared" si="163"/>
        <v>1</v>
      </c>
      <c r="E143" s="1">
        <f t="shared" si="163"/>
        <v>2</v>
      </c>
      <c r="F143" s="1">
        <f t="shared" si="163"/>
        <v>1</v>
      </c>
      <c r="G143" s="1">
        <f t="shared" si="163"/>
        <v>1</v>
      </c>
      <c r="H143" s="1">
        <f t="shared" si="163"/>
        <v>1</v>
      </c>
      <c r="I143" s="1">
        <f t="shared" si="163"/>
        <v>1</v>
      </c>
      <c r="J143" s="1">
        <f t="shared" si="163"/>
        <v>1</v>
      </c>
      <c r="K143" s="1">
        <f t="shared" si="163"/>
        <v>1</v>
      </c>
      <c r="L143" s="1">
        <f t="shared" si="163"/>
        <v>1</v>
      </c>
      <c r="M143" s="1">
        <f t="shared" si="163"/>
        <v>1</v>
      </c>
      <c r="N143" s="1">
        <f t="shared" si="163"/>
        <v>1</v>
      </c>
      <c r="O143" s="1">
        <f t="shared" si="163"/>
        <v>1</v>
      </c>
      <c r="P143" s="1">
        <f t="shared" si="163"/>
        <v>1</v>
      </c>
      <c r="Q143" s="1">
        <f t="shared" si="163"/>
        <v>1</v>
      </c>
      <c r="R143" s="1">
        <f t="shared" si="163"/>
        <v>1</v>
      </c>
      <c r="S143" s="1">
        <f t="shared" si="163"/>
        <v>1</v>
      </c>
      <c r="T143" s="1">
        <f t="shared" si="163"/>
        <v>1</v>
      </c>
      <c r="U143" s="1">
        <f t="shared" si="163"/>
        <v>1</v>
      </c>
      <c r="V143" s="1">
        <f t="shared" si="163"/>
        <v>1</v>
      </c>
      <c r="W143" s="1">
        <f t="shared" si="163"/>
        <v>2</v>
      </c>
      <c r="X143" s="1">
        <f t="shared" si="163"/>
        <v>1</v>
      </c>
      <c r="Y143" s="1">
        <f t="shared" si="163"/>
        <v>1</v>
      </c>
      <c r="Z143" s="1">
        <f t="shared" si="163"/>
        <v>1</v>
      </c>
      <c r="AA143" s="1">
        <f t="shared" si="163"/>
        <v>1</v>
      </c>
      <c r="AB143" s="1">
        <f t="shared" si="163"/>
        <v>1</v>
      </c>
      <c r="AC143" s="1">
        <f t="shared" si="163"/>
        <v>2</v>
      </c>
      <c r="AD143" s="1">
        <f t="shared" si="163"/>
        <v>1</v>
      </c>
      <c r="AE143" s="1">
        <f t="shared" si="163"/>
        <v>1</v>
      </c>
      <c r="AF143" s="1">
        <f t="shared" si="163"/>
        <v>1</v>
      </c>
      <c r="AG143" s="1">
        <f t="shared" si="163"/>
        <v>1</v>
      </c>
      <c r="AH143" s="1">
        <f t="shared" ref="AH143:AY143" si="164">COUNTIF($B84:$AY84,AH84)</f>
        <v>1</v>
      </c>
      <c r="AI143" s="1">
        <f t="shared" si="164"/>
        <v>2</v>
      </c>
      <c r="AJ143" s="1">
        <f t="shared" si="164"/>
        <v>1</v>
      </c>
      <c r="AK143" s="1">
        <f t="shared" si="164"/>
        <v>1</v>
      </c>
      <c r="AL143" s="1">
        <f t="shared" si="164"/>
        <v>2</v>
      </c>
      <c r="AM143" s="1">
        <f t="shared" si="164"/>
        <v>1</v>
      </c>
      <c r="AN143" s="1">
        <f t="shared" si="164"/>
        <v>1</v>
      </c>
      <c r="AO143" s="1">
        <f t="shared" si="164"/>
        <v>1</v>
      </c>
      <c r="AP143" s="1">
        <f t="shared" si="164"/>
        <v>1</v>
      </c>
      <c r="AQ143" s="1">
        <f t="shared" si="164"/>
        <v>2</v>
      </c>
      <c r="AR143" s="1">
        <f t="shared" si="164"/>
        <v>1</v>
      </c>
      <c r="AS143" s="1">
        <f t="shared" si="164"/>
        <v>1</v>
      </c>
      <c r="AT143" s="1">
        <f t="shared" si="164"/>
        <v>1</v>
      </c>
      <c r="AU143" s="1">
        <f t="shared" si="164"/>
        <v>1</v>
      </c>
      <c r="AV143" s="1">
        <f t="shared" si="164"/>
        <v>1</v>
      </c>
      <c r="AW143" s="1">
        <f t="shared" si="164"/>
        <v>1</v>
      </c>
      <c r="AX143" s="1">
        <f t="shared" si="164"/>
        <v>1</v>
      </c>
      <c r="AY143" s="1">
        <f t="shared" si="164"/>
        <v>1</v>
      </c>
    </row>
    <row r="144" spans="1:51">
      <c r="A144" s="1" t="str">
        <f t="shared" si="116"/>
        <v>2.2.4) Infant mortality (deaths per 1,000 live births)</v>
      </c>
      <c r="B144" s="1">
        <f t="shared" ref="B144:AG144" si="165">COUNTIF($B85:$AY85,B85)</f>
        <v>1</v>
      </c>
      <c r="C144" s="1">
        <f t="shared" si="165"/>
        <v>1</v>
      </c>
      <c r="D144" s="1">
        <f t="shared" si="165"/>
        <v>2</v>
      </c>
      <c r="E144" s="1">
        <f t="shared" si="165"/>
        <v>1</v>
      </c>
      <c r="F144" s="1">
        <f t="shared" si="165"/>
        <v>1</v>
      </c>
      <c r="G144" s="1">
        <f t="shared" si="165"/>
        <v>1</v>
      </c>
      <c r="H144" s="1">
        <f t="shared" si="165"/>
        <v>1</v>
      </c>
      <c r="I144" s="1">
        <f t="shared" si="165"/>
        <v>1</v>
      </c>
      <c r="J144" s="1">
        <f t="shared" si="165"/>
        <v>1</v>
      </c>
      <c r="K144" s="1">
        <f t="shared" si="165"/>
        <v>1</v>
      </c>
      <c r="L144" s="1">
        <f t="shared" si="165"/>
        <v>1</v>
      </c>
      <c r="M144" s="1">
        <f t="shared" si="165"/>
        <v>3</v>
      </c>
      <c r="N144" s="1">
        <f t="shared" si="165"/>
        <v>1</v>
      </c>
      <c r="O144" s="1">
        <f t="shared" si="165"/>
        <v>1</v>
      </c>
      <c r="P144" s="1">
        <f t="shared" si="165"/>
        <v>1</v>
      </c>
      <c r="Q144" s="1">
        <f t="shared" si="165"/>
        <v>1</v>
      </c>
      <c r="R144" s="1">
        <f t="shared" si="165"/>
        <v>1</v>
      </c>
      <c r="S144" s="1">
        <f t="shared" si="165"/>
        <v>1</v>
      </c>
      <c r="T144" s="1">
        <f t="shared" si="165"/>
        <v>1</v>
      </c>
      <c r="U144" s="1">
        <f t="shared" si="165"/>
        <v>2</v>
      </c>
      <c r="V144" s="1">
        <f t="shared" si="165"/>
        <v>2</v>
      </c>
      <c r="W144" s="1">
        <f t="shared" si="165"/>
        <v>1</v>
      </c>
      <c r="X144" s="1">
        <f t="shared" si="165"/>
        <v>1</v>
      </c>
      <c r="Y144" s="1">
        <f t="shared" si="165"/>
        <v>1</v>
      </c>
      <c r="Z144" s="1">
        <f t="shared" si="165"/>
        <v>1</v>
      </c>
      <c r="AA144" s="1">
        <f t="shared" si="165"/>
        <v>1</v>
      </c>
      <c r="AB144" s="1">
        <f t="shared" si="165"/>
        <v>1</v>
      </c>
      <c r="AC144" s="1">
        <f t="shared" si="165"/>
        <v>1</v>
      </c>
      <c r="AD144" s="1">
        <f t="shared" si="165"/>
        <v>2</v>
      </c>
      <c r="AE144" s="1">
        <f t="shared" si="165"/>
        <v>1</v>
      </c>
      <c r="AF144" s="1">
        <f t="shared" si="165"/>
        <v>1</v>
      </c>
      <c r="AG144" s="1">
        <f t="shared" si="165"/>
        <v>1</v>
      </c>
      <c r="AH144" s="1">
        <f t="shared" ref="AH144:AY144" si="166">COUNTIF($B85:$AY85,AH85)</f>
        <v>1</v>
      </c>
      <c r="AI144" s="1">
        <f t="shared" si="166"/>
        <v>1</v>
      </c>
      <c r="AJ144" s="1">
        <f t="shared" si="166"/>
        <v>1</v>
      </c>
      <c r="AK144" s="1">
        <f t="shared" si="166"/>
        <v>2</v>
      </c>
      <c r="AL144" s="1">
        <f t="shared" si="166"/>
        <v>1</v>
      </c>
      <c r="AM144" s="1">
        <f t="shared" si="166"/>
        <v>1</v>
      </c>
      <c r="AN144" s="1">
        <f t="shared" si="166"/>
        <v>1</v>
      </c>
      <c r="AO144" s="1">
        <f t="shared" si="166"/>
        <v>3</v>
      </c>
      <c r="AP144" s="1">
        <f t="shared" si="166"/>
        <v>1</v>
      </c>
      <c r="AQ144" s="1">
        <f t="shared" si="166"/>
        <v>1</v>
      </c>
      <c r="AR144" s="1">
        <f t="shared" si="166"/>
        <v>1</v>
      </c>
      <c r="AS144" s="1">
        <f t="shared" si="166"/>
        <v>1</v>
      </c>
      <c r="AT144" s="1">
        <f t="shared" si="166"/>
        <v>1</v>
      </c>
      <c r="AU144" s="1">
        <f t="shared" si="166"/>
        <v>3</v>
      </c>
      <c r="AV144" s="1">
        <f t="shared" si="166"/>
        <v>1</v>
      </c>
      <c r="AW144" s="1">
        <f t="shared" si="166"/>
        <v>1</v>
      </c>
      <c r="AX144" s="1">
        <f t="shared" si="166"/>
        <v>1</v>
      </c>
      <c r="AY144" s="1">
        <f t="shared" si="166"/>
        <v>2</v>
      </c>
    </row>
    <row r="145" spans="1:51">
      <c r="A145" s="1" t="str">
        <f t="shared" si="116"/>
        <v>2.2.5) Cancer mortality rate ( Cancer deaths per 100,000)</v>
      </c>
      <c r="B145" s="1">
        <f t="shared" ref="B145:AG145" si="167">COUNTIF($B86:$AY86,B86)</f>
        <v>1</v>
      </c>
      <c r="C145" s="1">
        <f t="shared" si="167"/>
        <v>1</v>
      </c>
      <c r="D145" s="1">
        <f t="shared" si="167"/>
        <v>1</v>
      </c>
      <c r="E145" s="1">
        <f t="shared" si="167"/>
        <v>2</v>
      </c>
      <c r="F145" s="1">
        <f t="shared" si="167"/>
        <v>3</v>
      </c>
      <c r="G145" s="1">
        <f t="shared" si="167"/>
        <v>1</v>
      </c>
      <c r="H145" s="1">
        <f t="shared" si="167"/>
        <v>1</v>
      </c>
      <c r="I145" s="1">
        <f t="shared" si="167"/>
        <v>1</v>
      </c>
      <c r="J145" s="1">
        <f t="shared" si="167"/>
        <v>1</v>
      </c>
      <c r="K145" s="1">
        <f t="shared" si="167"/>
        <v>1</v>
      </c>
      <c r="L145" s="1">
        <f t="shared" si="167"/>
        <v>1</v>
      </c>
      <c r="M145" s="1">
        <f t="shared" si="167"/>
        <v>1</v>
      </c>
      <c r="N145" s="1">
        <f t="shared" si="167"/>
        <v>1</v>
      </c>
      <c r="O145" s="1">
        <f t="shared" si="167"/>
        <v>1</v>
      </c>
      <c r="P145" s="1">
        <f t="shared" si="167"/>
        <v>1</v>
      </c>
      <c r="Q145" s="1">
        <f t="shared" si="167"/>
        <v>1</v>
      </c>
      <c r="R145" s="1">
        <f t="shared" si="167"/>
        <v>1</v>
      </c>
      <c r="S145" s="1">
        <f t="shared" si="167"/>
        <v>1</v>
      </c>
      <c r="T145" s="1">
        <f t="shared" si="167"/>
        <v>1</v>
      </c>
      <c r="U145" s="1">
        <f t="shared" si="167"/>
        <v>1</v>
      </c>
      <c r="V145" s="1">
        <f t="shared" si="167"/>
        <v>1</v>
      </c>
      <c r="W145" s="1">
        <f t="shared" si="167"/>
        <v>2</v>
      </c>
      <c r="X145" s="1">
        <f t="shared" si="167"/>
        <v>1</v>
      </c>
      <c r="Y145" s="1">
        <f t="shared" si="167"/>
        <v>1</v>
      </c>
      <c r="Z145" s="1">
        <f t="shared" si="167"/>
        <v>1</v>
      </c>
      <c r="AA145" s="1">
        <f t="shared" si="167"/>
        <v>1</v>
      </c>
      <c r="AB145" s="1">
        <f t="shared" si="167"/>
        <v>1</v>
      </c>
      <c r="AC145" s="1">
        <f t="shared" si="167"/>
        <v>1</v>
      </c>
      <c r="AD145" s="1">
        <f t="shared" si="167"/>
        <v>1</v>
      </c>
      <c r="AE145" s="1">
        <f t="shared" si="167"/>
        <v>1</v>
      </c>
      <c r="AF145" s="1">
        <f t="shared" si="167"/>
        <v>1</v>
      </c>
      <c r="AG145" s="1">
        <f t="shared" si="167"/>
        <v>2</v>
      </c>
      <c r="AH145" s="1">
        <f t="shared" ref="AH145:AY145" si="168">COUNTIF($B86:$AY86,AH86)</f>
        <v>1</v>
      </c>
      <c r="AI145" s="1">
        <f t="shared" si="168"/>
        <v>1</v>
      </c>
      <c r="AJ145" s="1">
        <f t="shared" si="168"/>
        <v>1</v>
      </c>
      <c r="AK145" s="1">
        <f t="shared" si="168"/>
        <v>1</v>
      </c>
      <c r="AL145" s="1">
        <f t="shared" si="168"/>
        <v>2</v>
      </c>
      <c r="AM145" s="1">
        <f t="shared" si="168"/>
        <v>1</v>
      </c>
      <c r="AN145" s="1">
        <f t="shared" si="168"/>
        <v>1</v>
      </c>
      <c r="AO145" s="1">
        <f t="shared" si="168"/>
        <v>3</v>
      </c>
      <c r="AP145" s="1">
        <f t="shared" si="168"/>
        <v>1</v>
      </c>
      <c r="AQ145" s="1">
        <f t="shared" si="168"/>
        <v>1</v>
      </c>
      <c r="AR145" s="1">
        <f t="shared" si="168"/>
        <v>1</v>
      </c>
      <c r="AS145" s="1">
        <f t="shared" si="168"/>
        <v>1</v>
      </c>
      <c r="AT145" s="1">
        <f t="shared" si="168"/>
        <v>1</v>
      </c>
      <c r="AU145" s="1">
        <f t="shared" si="168"/>
        <v>3</v>
      </c>
      <c r="AV145" s="1">
        <f t="shared" si="168"/>
        <v>1</v>
      </c>
      <c r="AW145" s="1">
        <f t="shared" si="168"/>
        <v>1</v>
      </c>
      <c r="AX145" s="1">
        <f t="shared" si="168"/>
        <v>1</v>
      </c>
      <c r="AY145" s="1">
        <f t="shared" si="168"/>
        <v>1</v>
      </c>
    </row>
    <row r="146" spans="1:51">
      <c r="A146" s="1" t="str">
        <f t="shared" si="116"/>
        <v>3) INFRASTRUCTURE SAFETY</v>
      </c>
      <c r="B146" s="1">
        <f t="shared" ref="B146:AG146" si="169">COUNTIF($B87:$AY87,B87)</f>
        <v>2</v>
      </c>
      <c r="C146" s="1">
        <f t="shared" si="169"/>
        <v>1</v>
      </c>
      <c r="D146" s="1">
        <f t="shared" si="169"/>
        <v>1</v>
      </c>
      <c r="E146" s="1">
        <f t="shared" si="169"/>
        <v>1</v>
      </c>
      <c r="F146" s="1">
        <f t="shared" si="169"/>
        <v>1</v>
      </c>
      <c r="G146" s="1">
        <f t="shared" si="169"/>
        <v>1</v>
      </c>
      <c r="H146" s="1">
        <f t="shared" si="169"/>
        <v>1</v>
      </c>
      <c r="I146" s="1">
        <f t="shared" si="169"/>
        <v>1</v>
      </c>
      <c r="J146" s="1">
        <f t="shared" si="169"/>
        <v>1</v>
      </c>
      <c r="K146" s="1">
        <f t="shared" si="169"/>
        <v>1</v>
      </c>
      <c r="L146" s="1">
        <f t="shared" si="169"/>
        <v>1</v>
      </c>
      <c r="M146" s="1">
        <f t="shared" si="169"/>
        <v>1</v>
      </c>
      <c r="N146" s="1">
        <f t="shared" si="169"/>
        <v>1</v>
      </c>
      <c r="O146" s="1">
        <f t="shared" si="169"/>
        <v>1</v>
      </c>
      <c r="P146" s="1">
        <f t="shared" si="169"/>
        <v>1</v>
      </c>
      <c r="Q146" s="1">
        <f t="shared" si="169"/>
        <v>1</v>
      </c>
      <c r="R146" s="1">
        <f t="shared" si="169"/>
        <v>1</v>
      </c>
      <c r="S146" s="1">
        <f t="shared" si="169"/>
        <v>1</v>
      </c>
      <c r="T146" s="1">
        <f t="shared" si="169"/>
        <v>1</v>
      </c>
      <c r="U146" s="1">
        <f t="shared" si="169"/>
        <v>1</v>
      </c>
      <c r="V146" s="1">
        <f t="shared" si="169"/>
        <v>1</v>
      </c>
      <c r="W146" s="1">
        <f t="shared" si="169"/>
        <v>1</v>
      </c>
      <c r="X146" s="1">
        <f t="shared" si="169"/>
        <v>1</v>
      </c>
      <c r="Y146" s="1">
        <f t="shared" si="169"/>
        <v>1</v>
      </c>
      <c r="Z146" s="1">
        <f t="shared" si="169"/>
        <v>1</v>
      </c>
      <c r="AA146" s="1">
        <f t="shared" si="169"/>
        <v>1</v>
      </c>
      <c r="AB146" s="1">
        <f t="shared" si="169"/>
        <v>1</v>
      </c>
      <c r="AC146" s="1">
        <f t="shared" si="169"/>
        <v>1</v>
      </c>
      <c r="AD146" s="1">
        <f t="shared" si="169"/>
        <v>1</v>
      </c>
      <c r="AE146" s="1">
        <f t="shared" si="169"/>
        <v>1</v>
      </c>
      <c r="AF146" s="1">
        <f t="shared" si="169"/>
        <v>1</v>
      </c>
      <c r="AG146" s="1">
        <f t="shared" si="169"/>
        <v>1</v>
      </c>
      <c r="AH146" s="1">
        <f t="shared" ref="AH146:AY146" si="170">COUNTIF($B87:$AY87,AH87)</f>
        <v>1</v>
      </c>
      <c r="AI146" s="1">
        <f t="shared" si="170"/>
        <v>1</v>
      </c>
      <c r="AJ146" s="1">
        <f t="shared" si="170"/>
        <v>2</v>
      </c>
      <c r="AK146" s="1">
        <f t="shared" si="170"/>
        <v>1</v>
      </c>
      <c r="AL146" s="1">
        <f t="shared" si="170"/>
        <v>1</v>
      </c>
      <c r="AM146" s="1">
        <f t="shared" si="170"/>
        <v>1</v>
      </c>
      <c r="AN146" s="1">
        <f t="shared" si="170"/>
        <v>1</v>
      </c>
      <c r="AO146" s="1">
        <f t="shared" si="170"/>
        <v>1</v>
      </c>
      <c r="AP146" s="1">
        <f t="shared" si="170"/>
        <v>1</v>
      </c>
      <c r="AQ146" s="1">
        <f t="shared" si="170"/>
        <v>1</v>
      </c>
      <c r="AR146" s="1">
        <f t="shared" si="170"/>
        <v>1</v>
      </c>
      <c r="AS146" s="1">
        <f t="shared" si="170"/>
        <v>1</v>
      </c>
      <c r="AT146" s="1">
        <f t="shared" si="170"/>
        <v>1</v>
      </c>
      <c r="AU146" s="1">
        <f t="shared" si="170"/>
        <v>1</v>
      </c>
      <c r="AV146" s="1">
        <f t="shared" si="170"/>
        <v>1</v>
      </c>
      <c r="AW146" s="1">
        <f t="shared" si="170"/>
        <v>1</v>
      </c>
      <c r="AX146" s="1">
        <f t="shared" si="170"/>
        <v>1</v>
      </c>
      <c r="AY146" s="1">
        <f t="shared" si="170"/>
        <v>1</v>
      </c>
    </row>
    <row r="147" spans="1:51">
      <c r="A147" s="1" t="str">
        <f t="shared" si="116"/>
        <v>3.1) Infrastructure Safety (Inputs)</v>
      </c>
      <c r="B147" s="1">
        <f t="shared" ref="B147:AG147" si="171">COUNTIF($B88:$AY88,B88)</f>
        <v>1</v>
      </c>
      <c r="C147" s="1">
        <f t="shared" si="171"/>
        <v>2</v>
      </c>
      <c r="D147" s="1">
        <f t="shared" si="171"/>
        <v>1</v>
      </c>
      <c r="E147" s="1">
        <f t="shared" si="171"/>
        <v>2</v>
      </c>
      <c r="F147" s="1">
        <f t="shared" si="171"/>
        <v>5</v>
      </c>
      <c r="G147" s="1">
        <f t="shared" si="171"/>
        <v>2</v>
      </c>
      <c r="H147" s="1">
        <f t="shared" si="171"/>
        <v>2</v>
      </c>
      <c r="I147" s="1">
        <f t="shared" si="171"/>
        <v>6</v>
      </c>
      <c r="J147" s="1">
        <f t="shared" si="171"/>
        <v>1</v>
      </c>
      <c r="K147" s="1">
        <f t="shared" si="171"/>
        <v>1</v>
      </c>
      <c r="L147" s="1">
        <f t="shared" si="171"/>
        <v>5</v>
      </c>
      <c r="M147" s="1">
        <f t="shared" si="171"/>
        <v>5</v>
      </c>
      <c r="N147" s="1">
        <f t="shared" si="171"/>
        <v>1</v>
      </c>
      <c r="O147" s="1">
        <f t="shared" si="171"/>
        <v>1</v>
      </c>
      <c r="P147" s="1">
        <f t="shared" si="171"/>
        <v>1</v>
      </c>
      <c r="Q147" s="1">
        <f t="shared" si="171"/>
        <v>1</v>
      </c>
      <c r="R147" s="1">
        <f t="shared" si="171"/>
        <v>1</v>
      </c>
      <c r="S147" s="1">
        <f t="shared" si="171"/>
        <v>1</v>
      </c>
      <c r="T147" s="1">
        <f t="shared" si="171"/>
        <v>1</v>
      </c>
      <c r="U147" s="1">
        <f t="shared" si="171"/>
        <v>1</v>
      </c>
      <c r="V147" s="1">
        <f t="shared" si="171"/>
        <v>1</v>
      </c>
      <c r="W147" s="1">
        <f t="shared" si="171"/>
        <v>2</v>
      </c>
      <c r="X147" s="1">
        <f t="shared" si="171"/>
        <v>5</v>
      </c>
      <c r="Y147" s="1">
        <f t="shared" si="171"/>
        <v>2</v>
      </c>
      <c r="Z147" s="1">
        <f t="shared" si="171"/>
        <v>1</v>
      </c>
      <c r="AA147" s="1">
        <f t="shared" si="171"/>
        <v>6</v>
      </c>
      <c r="AB147" s="1">
        <f t="shared" si="171"/>
        <v>1</v>
      </c>
      <c r="AC147" s="1">
        <f t="shared" si="171"/>
        <v>1</v>
      </c>
      <c r="AD147" s="1">
        <f t="shared" si="171"/>
        <v>6</v>
      </c>
      <c r="AE147" s="1">
        <f t="shared" si="171"/>
        <v>5</v>
      </c>
      <c r="AF147" s="1">
        <f t="shared" si="171"/>
        <v>2</v>
      </c>
      <c r="AG147" s="1">
        <f t="shared" si="171"/>
        <v>1</v>
      </c>
      <c r="AH147" s="1">
        <f t="shared" ref="AH147:AY147" si="172">COUNTIF($B88:$AY88,AH88)</f>
        <v>1</v>
      </c>
      <c r="AI147" s="1">
        <f t="shared" si="172"/>
        <v>1</v>
      </c>
      <c r="AJ147" s="1">
        <f t="shared" si="172"/>
        <v>6</v>
      </c>
      <c r="AK147" s="1">
        <f t="shared" si="172"/>
        <v>1</v>
      </c>
      <c r="AL147" s="1">
        <f t="shared" si="172"/>
        <v>2</v>
      </c>
      <c r="AM147" s="1">
        <f t="shared" si="172"/>
        <v>1</v>
      </c>
      <c r="AN147" s="1">
        <f t="shared" si="172"/>
        <v>5</v>
      </c>
      <c r="AO147" s="1">
        <f t="shared" si="172"/>
        <v>5</v>
      </c>
      <c r="AP147" s="1">
        <f t="shared" si="172"/>
        <v>1</v>
      </c>
      <c r="AQ147" s="1">
        <f t="shared" si="172"/>
        <v>1</v>
      </c>
      <c r="AR147" s="1">
        <f t="shared" si="172"/>
        <v>5</v>
      </c>
      <c r="AS147" s="1">
        <f t="shared" si="172"/>
        <v>2</v>
      </c>
      <c r="AT147" s="1">
        <f t="shared" si="172"/>
        <v>1</v>
      </c>
      <c r="AU147" s="1">
        <f t="shared" si="172"/>
        <v>5</v>
      </c>
      <c r="AV147" s="1">
        <f t="shared" si="172"/>
        <v>5</v>
      </c>
      <c r="AW147" s="1">
        <f t="shared" si="172"/>
        <v>6</v>
      </c>
      <c r="AX147" s="1">
        <f t="shared" si="172"/>
        <v>6</v>
      </c>
      <c r="AY147" s="1">
        <f t="shared" si="172"/>
        <v>2</v>
      </c>
    </row>
    <row r="148" spans="1:51">
      <c r="A148" s="1" t="str">
        <f t="shared" si="116"/>
        <v>3.1.1) Enforcement of transport safety</v>
      </c>
      <c r="B148" s="1">
        <f t="shared" ref="B148:AG148" si="173">COUNTIF($B89:$AY89,B89)</f>
        <v>2</v>
      </c>
      <c r="C148" s="1">
        <f t="shared" si="173"/>
        <v>3</v>
      </c>
      <c r="D148" s="1">
        <f t="shared" si="173"/>
        <v>2</v>
      </c>
      <c r="E148" s="1">
        <f t="shared" si="173"/>
        <v>3</v>
      </c>
      <c r="F148" s="1">
        <f t="shared" si="173"/>
        <v>6</v>
      </c>
      <c r="G148" s="1">
        <f t="shared" si="173"/>
        <v>3</v>
      </c>
      <c r="H148" s="1">
        <f t="shared" si="173"/>
        <v>3</v>
      </c>
      <c r="I148" s="1">
        <f t="shared" si="173"/>
        <v>7</v>
      </c>
      <c r="J148" s="1">
        <f t="shared" si="173"/>
        <v>2</v>
      </c>
      <c r="K148" s="1">
        <f t="shared" si="173"/>
        <v>3</v>
      </c>
      <c r="L148" s="1">
        <f t="shared" si="173"/>
        <v>5</v>
      </c>
      <c r="M148" s="1">
        <f t="shared" si="173"/>
        <v>6</v>
      </c>
      <c r="N148" s="1">
        <f t="shared" si="173"/>
        <v>3</v>
      </c>
      <c r="O148" s="1">
        <f t="shared" si="173"/>
        <v>3</v>
      </c>
      <c r="P148" s="1">
        <f t="shared" si="173"/>
        <v>1</v>
      </c>
      <c r="Q148" s="1">
        <f t="shared" si="173"/>
        <v>3</v>
      </c>
      <c r="R148" s="1">
        <f t="shared" si="173"/>
        <v>2</v>
      </c>
      <c r="S148" s="1">
        <f t="shared" si="173"/>
        <v>2</v>
      </c>
      <c r="T148" s="1">
        <f t="shared" si="173"/>
        <v>6</v>
      </c>
      <c r="U148" s="1">
        <f t="shared" si="173"/>
        <v>1</v>
      </c>
      <c r="V148" s="1">
        <f t="shared" si="173"/>
        <v>7</v>
      </c>
      <c r="W148" s="1">
        <f t="shared" si="173"/>
        <v>3</v>
      </c>
      <c r="X148" s="1">
        <f t="shared" si="173"/>
        <v>5</v>
      </c>
      <c r="Y148" s="1">
        <f t="shared" si="173"/>
        <v>2</v>
      </c>
      <c r="Z148" s="1">
        <f t="shared" si="173"/>
        <v>3</v>
      </c>
      <c r="AA148" s="1">
        <f t="shared" si="173"/>
        <v>7</v>
      </c>
      <c r="AB148" s="1">
        <f t="shared" si="173"/>
        <v>3</v>
      </c>
      <c r="AC148" s="1">
        <f t="shared" si="173"/>
        <v>2</v>
      </c>
      <c r="AD148" s="1">
        <f t="shared" si="173"/>
        <v>7</v>
      </c>
      <c r="AE148" s="1">
        <f t="shared" si="173"/>
        <v>5</v>
      </c>
      <c r="AF148" s="1">
        <f t="shared" si="173"/>
        <v>1</v>
      </c>
      <c r="AG148" s="1">
        <f t="shared" si="173"/>
        <v>3</v>
      </c>
      <c r="AH148" s="1">
        <f t="shared" ref="AH148:AY148" si="174">COUNTIF($B89:$AY89,AH89)</f>
        <v>3</v>
      </c>
      <c r="AI148" s="1">
        <f t="shared" si="174"/>
        <v>3</v>
      </c>
      <c r="AJ148" s="1">
        <f t="shared" si="174"/>
        <v>7</v>
      </c>
      <c r="AK148" s="1">
        <f t="shared" si="174"/>
        <v>2</v>
      </c>
      <c r="AL148" s="1">
        <f t="shared" si="174"/>
        <v>3</v>
      </c>
      <c r="AM148" s="1">
        <f t="shared" si="174"/>
        <v>3</v>
      </c>
      <c r="AN148" s="1">
        <f t="shared" si="174"/>
        <v>6</v>
      </c>
      <c r="AO148" s="1">
        <f t="shared" si="174"/>
        <v>6</v>
      </c>
      <c r="AP148" s="1">
        <f t="shared" si="174"/>
        <v>2</v>
      </c>
      <c r="AQ148" s="1">
        <f t="shared" si="174"/>
        <v>1</v>
      </c>
      <c r="AR148" s="1">
        <f t="shared" si="174"/>
        <v>5</v>
      </c>
      <c r="AS148" s="1">
        <f t="shared" si="174"/>
        <v>3</v>
      </c>
      <c r="AT148" s="1">
        <f t="shared" si="174"/>
        <v>2</v>
      </c>
      <c r="AU148" s="1">
        <f t="shared" si="174"/>
        <v>6</v>
      </c>
      <c r="AV148" s="1">
        <f t="shared" si="174"/>
        <v>5</v>
      </c>
      <c r="AW148" s="1">
        <f t="shared" si="174"/>
        <v>7</v>
      </c>
      <c r="AX148" s="1">
        <f t="shared" si="174"/>
        <v>7</v>
      </c>
      <c r="AY148" s="1">
        <f t="shared" si="174"/>
        <v>3</v>
      </c>
    </row>
    <row r="149" spans="1:51">
      <c r="A149" s="1" t="str">
        <f t="shared" si="116"/>
        <v>3.1.2) Pedestrian friendliness</v>
      </c>
      <c r="B149" s="1">
        <f t="shared" ref="B149:AG149" si="175">COUNTIF($B90:$AY90,B90)</f>
        <v>38</v>
      </c>
      <c r="C149" s="1">
        <f t="shared" si="175"/>
        <v>38</v>
      </c>
      <c r="D149" s="1">
        <f t="shared" si="175"/>
        <v>8</v>
      </c>
      <c r="E149" s="1">
        <f t="shared" si="175"/>
        <v>38</v>
      </c>
      <c r="F149" s="1">
        <f t="shared" si="175"/>
        <v>38</v>
      </c>
      <c r="G149" s="1">
        <f t="shared" si="175"/>
        <v>38</v>
      </c>
      <c r="H149" s="1">
        <f t="shared" si="175"/>
        <v>38</v>
      </c>
      <c r="I149" s="1">
        <f t="shared" si="175"/>
        <v>38</v>
      </c>
      <c r="J149" s="1">
        <f t="shared" si="175"/>
        <v>4</v>
      </c>
      <c r="K149" s="1">
        <f t="shared" si="175"/>
        <v>8</v>
      </c>
      <c r="L149" s="1">
        <f t="shared" si="175"/>
        <v>38</v>
      </c>
      <c r="M149" s="1">
        <f t="shared" si="175"/>
        <v>38</v>
      </c>
      <c r="N149" s="1">
        <f t="shared" si="175"/>
        <v>8</v>
      </c>
      <c r="O149" s="1">
        <f t="shared" si="175"/>
        <v>38</v>
      </c>
      <c r="P149" s="1">
        <f t="shared" si="175"/>
        <v>38</v>
      </c>
      <c r="Q149" s="1">
        <f t="shared" si="175"/>
        <v>4</v>
      </c>
      <c r="R149" s="1">
        <f t="shared" si="175"/>
        <v>38</v>
      </c>
      <c r="S149" s="1">
        <f t="shared" si="175"/>
        <v>8</v>
      </c>
      <c r="T149" s="1">
        <f t="shared" si="175"/>
        <v>38</v>
      </c>
      <c r="U149" s="1">
        <f t="shared" si="175"/>
        <v>8</v>
      </c>
      <c r="V149" s="1">
        <f t="shared" si="175"/>
        <v>38</v>
      </c>
      <c r="W149" s="1">
        <f t="shared" si="175"/>
        <v>38</v>
      </c>
      <c r="X149" s="1">
        <f t="shared" si="175"/>
        <v>38</v>
      </c>
      <c r="Y149" s="1">
        <f t="shared" si="175"/>
        <v>38</v>
      </c>
      <c r="Z149" s="1">
        <f t="shared" si="175"/>
        <v>38</v>
      </c>
      <c r="AA149" s="1">
        <f t="shared" si="175"/>
        <v>38</v>
      </c>
      <c r="AB149" s="1">
        <f t="shared" si="175"/>
        <v>38</v>
      </c>
      <c r="AC149" s="1">
        <f t="shared" si="175"/>
        <v>4</v>
      </c>
      <c r="AD149" s="1">
        <f t="shared" si="175"/>
        <v>38</v>
      </c>
      <c r="AE149" s="1">
        <f t="shared" si="175"/>
        <v>38</v>
      </c>
      <c r="AF149" s="1">
        <f t="shared" si="175"/>
        <v>8</v>
      </c>
      <c r="AG149" s="1">
        <f t="shared" si="175"/>
        <v>38</v>
      </c>
      <c r="AH149" s="1">
        <f t="shared" ref="AH149:AY149" si="176">COUNTIF($B90:$AY90,AH90)</f>
        <v>8</v>
      </c>
      <c r="AI149" s="1">
        <f t="shared" si="176"/>
        <v>38</v>
      </c>
      <c r="AJ149" s="1">
        <f t="shared" si="176"/>
        <v>38</v>
      </c>
      <c r="AK149" s="1">
        <f t="shared" si="176"/>
        <v>8</v>
      </c>
      <c r="AL149" s="1">
        <f t="shared" si="176"/>
        <v>38</v>
      </c>
      <c r="AM149" s="1">
        <f t="shared" si="176"/>
        <v>38</v>
      </c>
      <c r="AN149" s="1">
        <f t="shared" si="176"/>
        <v>38</v>
      </c>
      <c r="AO149" s="1">
        <f t="shared" si="176"/>
        <v>38</v>
      </c>
      <c r="AP149" s="1">
        <f t="shared" si="176"/>
        <v>38</v>
      </c>
      <c r="AQ149" s="1">
        <f t="shared" si="176"/>
        <v>38</v>
      </c>
      <c r="AR149" s="1">
        <f t="shared" si="176"/>
        <v>38</v>
      </c>
      <c r="AS149" s="1">
        <f t="shared" si="176"/>
        <v>38</v>
      </c>
      <c r="AT149" s="1">
        <f t="shared" si="176"/>
        <v>4</v>
      </c>
      <c r="AU149" s="1">
        <f t="shared" si="176"/>
        <v>38</v>
      </c>
      <c r="AV149" s="1">
        <f t="shared" si="176"/>
        <v>38</v>
      </c>
      <c r="AW149" s="1">
        <f t="shared" si="176"/>
        <v>38</v>
      </c>
      <c r="AX149" s="1">
        <f t="shared" si="176"/>
        <v>38</v>
      </c>
      <c r="AY149" s="1">
        <f t="shared" si="176"/>
        <v>38</v>
      </c>
    </row>
    <row r="150" spans="1:51">
      <c r="A150" s="1" t="str">
        <f t="shared" si="116"/>
        <v>3.1.3) Quality of road infrastructure</v>
      </c>
      <c r="B150" s="1">
        <f t="shared" ref="B150:AG150" si="177">COUNTIF($B91:$AY91,B91)</f>
        <v>13</v>
      </c>
      <c r="C150" s="1">
        <f t="shared" si="177"/>
        <v>13</v>
      </c>
      <c r="D150" s="1">
        <f t="shared" si="177"/>
        <v>3</v>
      </c>
      <c r="E150" s="1">
        <f t="shared" si="177"/>
        <v>13</v>
      </c>
      <c r="F150" s="1">
        <f t="shared" si="177"/>
        <v>25</v>
      </c>
      <c r="G150" s="1">
        <f t="shared" si="177"/>
        <v>25</v>
      </c>
      <c r="H150" s="1">
        <f t="shared" si="177"/>
        <v>25</v>
      </c>
      <c r="I150" s="1">
        <f t="shared" si="177"/>
        <v>25</v>
      </c>
      <c r="J150" s="1">
        <f t="shared" si="177"/>
        <v>8</v>
      </c>
      <c r="K150" s="1">
        <f t="shared" si="177"/>
        <v>25</v>
      </c>
      <c r="L150" s="1">
        <f t="shared" si="177"/>
        <v>13</v>
      </c>
      <c r="M150" s="1">
        <f t="shared" si="177"/>
        <v>25</v>
      </c>
      <c r="N150" s="1">
        <f t="shared" si="177"/>
        <v>3</v>
      </c>
      <c r="O150" s="1">
        <f t="shared" si="177"/>
        <v>13</v>
      </c>
      <c r="P150" s="1">
        <f t="shared" si="177"/>
        <v>8</v>
      </c>
      <c r="Q150" s="1">
        <f t="shared" si="177"/>
        <v>8</v>
      </c>
      <c r="R150" s="1">
        <f t="shared" si="177"/>
        <v>8</v>
      </c>
      <c r="S150" s="1">
        <f t="shared" si="177"/>
        <v>25</v>
      </c>
      <c r="T150" s="1">
        <f t="shared" si="177"/>
        <v>25</v>
      </c>
      <c r="U150" s="1">
        <f t="shared" si="177"/>
        <v>25</v>
      </c>
      <c r="V150" s="1">
        <f t="shared" si="177"/>
        <v>25</v>
      </c>
      <c r="W150" s="1">
        <f t="shared" si="177"/>
        <v>13</v>
      </c>
      <c r="X150" s="1">
        <f t="shared" si="177"/>
        <v>13</v>
      </c>
      <c r="Y150" s="1">
        <f t="shared" si="177"/>
        <v>8</v>
      </c>
      <c r="Z150" s="1">
        <f t="shared" si="177"/>
        <v>25</v>
      </c>
      <c r="AA150" s="1">
        <f t="shared" si="177"/>
        <v>25</v>
      </c>
      <c r="AB150" s="1">
        <f t="shared" si="177"/>
        <v>25</v>
      </c>
      <c r="AC150" s="1">
        <f t="shared" si="177"/>
        <v>1</v>
      </c>
      <c r="AD150" s="1">
        <f t="shared" si="177"/>
        <v>25</v>
      </c>
      <c r="AE150" s="1">
        <f t="shared" si="177"/>
        <v>13</v>
      </c>
      <c r="AF150" s="1">
        <f t="shared" si="177"/>
        <v>25</v>
      </c>
      <c r="AG150" s="1">
        <f t="shared" si="177"/>
        <v>8</v>
      </c>
      <c r="AH150" s="1">
        <f t="shared" ref="AH150:AY150" si="178">COUNTIF($B91:$AY91,AH91)</f>
        <v>8</v>
      </c>
      <c r="AI150" s="1">
        <f t="shared" si="178"/>
        <v>13</v>
      </c>
      <c r="AJ150" s="1">
        <f t="shared" si="178"/>
        <v>25</v>
      </c>
      <c r="AK150" s="1">
        <f t="shared" si="178"/>
        <v>25</v>
      </c>
      <c r="AL150" s="1">
        <f t="shared" si="178"/>
        <v>25</v>
      </c>
      <c r="AM150" s="1">
        <f t="shared" si="178"/>
        <v>25</v>
      </c>
      <c r="AN150" s="1">
        <f t="shared" si="178"/>
        <v>25</v>
      </c>
      <c r="AO150" s="1">
        <f t="shared" si="178"/>
        <v>25</v>
      </c>
      <c r="AP150" s="1">
        <f t="shared" si="178"/>
        <v>13</v>
      </c>
      <c r="AQ150" s="1">
        <f t="shared" si="178"/>
        <v>3</v>
      </c>
      <c r="AR150" s="1">
        <f t="shared" si="178"/>
        <v>13</v>
      </c>
      <c r="AS150" s="1">
        <f t="shared" si="178"/>
        <v>25</v>
      </c>
      <c r="AT150" s="1">
        <f t="shared" si="178"/>
        <v>8</v>
      </c>
      <c r="AU150" s="1">
        <f t="shared" si="178"/>
        <v>25</v>
      </c>
      <c r="AV150" s="1">
        <f t="shared" si="178"/>
        <v>13</v>
      </c>
      <c r="AW150" s="1">
        <f t="shared" si="178"/>
        <v>25</v>
      </c>
      <c r="AX150" s="1">
        <f t="shared" si="178"/>
        <v>25</v>
      </c>
      <c r="AY150" s="1">
        <f t="shared" si="178"/>
        <v>13</v>
      </c>
    </row>
    <row r="151" spans="1:51">
      <c r="A151" s="1" t="str">
        <f t="shared" si="116"/>
        <v>3.1.4) Quality of electricity infrastructure</v>
      </c>
      <c r="B151" s="1">
        <f t="shared" ref="B151:AG151" si="179">COUNTIF($B92:$AY92,B92)</f>
        <v>9</v>
      </c>
      <c r="C151" s="1">
        <f t="shared" si="179"/>
        <v>35</v>
      </c>
      <c r="D151" s="1">
        <f t="shared" si="179"/>
        <v>35</v>
      </c>
      <c r="E151" s="1">
        <f t="shared" si="179"/>
        <v>35</v>
      </c>
      <c r="F151" s="1">
        <f t="shared" si="179"/>
        <v>35</v>
      </c>
      <c r="G151" s="1">
        <f t="shared" si="179"/>
        <v>35</v>
      </c>
      <c r="H151" s="1">
        <f t="shared" si="179"/>
        <v>35</v>
      </c>
      <c r="I151" s="1">
        <f t="shared" si="179"/>
        <v>35</v>
      </c>
      <c r="J151" s="1">
        <f t="shared" si="179"/>
        <v>5</v>
      </c>
      <c r="K151" s="1">
        <f t="shared" si="179"/>
        <v>9</v>
      </c>
      <c r="L151" s="1">
        <f t="shared" si="179"/>
        <v>35</v>
      </c>
      <c r="M151" s="1">
        <f t="shared" si="179"/>
        <v>9</v>
      </c>
      <c r="N151" s="1">
        <f t="shared" si="179"/>
        <v>5</v>
      </c>
      <c r="O151" s="1">
        <f t="shared" si="179"/>
        <v>35</v>
      </c>
      <c r="P151" s="1">
        <f t="shared" si="179"/>
        <v>9</v>
      </c>
      <c r="Q151" s="1">
        <f t="shared" si="179"/>
        <v>5</v>
      </c>
      <c r="R151" s="1">
        <f t="shared" si="179"/>
        <v>5</v>
      </c>
      <c r="S151" s="1">
        <f t="shared" si="179"/>
        <v>35</v>
      </c>
      <c r="T151" s="1">
        <f t="shared" si="179"/>
        <v>35</v>
      </c>
      <c r="U151" s="1">
        <f t="shared" si="179"/>
        <v>35</v>
      </c>
      <c r="V151" s="1">
        <f t="shared" si="179"/>
        <v>35</v>
      </c>
      <c r="W151" s="1">
        <f t="shared" si="179"/>
        <v>35</v>
      </c>
      <c r="X151" s="1">
        <f t="shared" si="179"/>
        <v>35</v>
      </c>
      <c r="Y151" s="1">
        <f t="shared" si="179"/>
        <v>5</v>
      </c>
      <c r="Z151" s="1">
        <f t="shared" si="179"/>
        <v>35</v>
      </c>
      <c r="AA151" s="1">
        <f t="shared" si="179"/>
        <v>35</v>
      </c>
      <c r="AB151" s="1">
        <f t="shared" si="179"/>
        <v>35</v>
      </c>
      <c r="AC151" s="1">
        <f t="shared" si="179"/>
        <v>9</v>
      </c>
      <c r="AD151" s="1">
        <f t="shared" si="179"/>
        <v>35</v>
      </c>
      <c r="AE151" s="1">
        <f t="shared" si="179"/>
        <v>35</v>
      </c>
      <c r="AF151" s="1">
        <f t="shared" si="179"/>
        <v>35</v>
      </c>
      <c r="AG151" s="1">
        <f t="shared" si="179"/>
        <v>35</v>
      </c>
      <c r="AH151" s="1">
        <f t="shared" ref="AH151:AY151" si="180">COUNTIF($B92:$AY92,AH92)</f>
        <v>9</v>
      </c>
      <c r="AI151" s="1">
        <f t="shared" si="180"/>
        <v>35</v>
      </c>
      <c r="AJ151" s="1">
        <f t="shared" si="180"/>
        <v>35</v>
      </c>
      <c r="AK151" s="1">
        <f t="shared" si="180"/>
        <v>35</v>
      </c>
      <c r="AL151" s="1">
        <f t="shared" si="180"/>
        <v>9</v>
      </c>
      <c r="AM151" s="1">
        <f t="shared" si="180"/>
        <v>35</v>
      </c>
      <c r="AN151" s="1">
        <f t="shared" si="180"/>
        <v>35</v>
      </c>
      <c r="AO151" s="1">
        <f t="shared" si="180"/>
        <v>35</v>
      </c>
      <c r="AP151" s="1">
        <f t="shared" si="180"/>
        <v>35</v>
      </c>
      <c r="AQ151" s="1">
        <f t="shared" si="180"/>
        <v>9</v>
      </c>
      <c r="AR151" s="1">
        <f t="shared" si="180"/>
        <v>35</v>
      </c>
      <c r="AS151" s="1">
        <f t="shared" si="180"/>
        <v>9</v>
      </c>
      <c r="AT151" s="1">
        <f t="shared" si="180"/>
        <v>1</v>
      </c>
      <c r="AU151" s="1">
        <f t="shared" si="180"/>
        <v>35</v>
      </c>
      <c r="AV151" s="1">
        <f t="shared" si="180"/>
        <v>35</v>
      </c>
      <c r="AW151" s="1">
        <f t="shared" si="180"/>
        <v>35</v>
      </c>
      <c r="AX151" s="1">
        <f t="shared" si="180"/>
        <v>35</v>
      </c>
      <c r="AY151" s="1">
        <f t="shared" si="180"/>
        <v>35</v>
      </c>
    </row>
    <row r="152" spans="1:51">
      <c r="A152" s="1" t="str">
        <f t="shared" ref="A152:A175" si="181">A93</f>
        <v>3.1.5) Disaster Management/Business Continuity Plan</v>
      </c>
      <c r="B152" s="1">
        <f t="shared" ref="B152:AG152" si="182">COUNTIF($B93:$AY93,B93)</f>
        <v>10</v>
      </c>
      <c r="C152" s="1">
        <f t="shared" si="182"/>
        <v>27</v>
      </c>
      <c r="D152" s="1">
        <f t="shared" si="182"/>
        <v>10</v>
      </c>
      <c r="E152" s="1">
        <f t="shared" si="182"/>
        <v>27</v>
      </c>
      <c r="F152" s="1">
        <f t="shared" si="182"/>
        <v>11</v>
      </c>
      <c r="G152" s="1">
        <f t="shared" si="182"/>
        <v>27</v>
      </c>
      <c r="H152" s="1">
        <f t="shared" si="182"/>
        <v>27</v>
      </c>
      <c r="I152" s="1">
        <f t="shared" si="182"/>
        <v>27</v>
      </c>
      <c r="J152" s="1">
        <f t="shared" si="182"/>
        <v>2</v>
      </c>
      <c r="K152" s="1">
        <f t="shared" si="182"/>
        <v>27</v>
      </c>
      <c r="L152" s="1">
        <f t="shared" si="182"/>
        <v>27</v>
      </c>
      <c r="M152" s="1">
        <f t="shared" si="182"/>
        <v>10</v>
      </c>
      <c r="N152" s="1">
        <f t="shared" si="182"/>
        <v>11</v>
      </c>
      <c r="O152" s="1">
        <f t="shared" si="182"/>
        <v>27</v>
      </c>
      <c r="P152" s="1">
        <f t="shared" si="182"/>
        <v>10</v>
      </c>
      <c r="Q152" s="1">
        <f t="shared" si="182"/>
        <v>11</v>
      </c>
      <c r="R152" s="1">
        <f t="shared" si="182"/>
        <v>11</v>
      </c>
      <c r="S152" s="1">
        <f t="shared" si="182"/>
        <v>10</v>
      </c>
      <c r="T152" s="1">
        <f t="shared" si="182"/>
        <v>27</v>
      </c>
      <c r="U152" s="1">
        <f t="shared" si="182"/>
        <v>27</v>
      </c>
      <c r="V152" s="1">
        <f t="shared" si="182"/>
        <v>10</v>
      </c>
      <c r="W152" s="1">
        <f t="shared" si="182"/>
        <v>27</v>
      </c>
      <c r="X152" s="1">
        <f t="shared" si="182"/>
        <v>27</v>
      </c>
      <c r="Y152" s="1">
        <f t="shared" si="182"/>
        <v>10</v>
      </c>
      <c r="Z152" s="1">
        <f t="shared" si="182"/>
        <v>27</v>
      </c>
      <c r="AA152" s="1">
        <f t="shared" si="182"/>
        <v>27</v>
      </c>
      <c r="AB152" s="1">
        <f t="shared" si="182"/>
        <v>11</v>
      </c>
      <c r="AC152" s="1">
        <f t="shared" si="182"/>
        <v>2</v>
      </c>
      <c r="AD152" s="1">
        <f t="shared" si="182"/>
        <v>27</v>
      </c>
      <c r="AE152" s="1">
        <f t="shared" si="182"/>
        <v>27</v>
      </c>
      <c r="AF152" s="1">
        <f t="shared" si="182"/>
        <v>27</v>
      </c>
      <c r="AG152" s="1">
        <f t="shared" si="182"/>
        <v>11</v>
      </c>
      <c r="AH152" s="1">
        <f t="shared" ref="AH152:AY152" si="183">COUNTIF($B93:$AY93,AH93)</f>
        <v>11</v>
      </c>
      <c r="AI152" s="1">
        <f t="shared" si="183"/>
        <v>27</v>
      </c>
      <c r="AJ152" s="1">
        <f t="shared" si="183"/>
        <v>27</v>
      </c>
      <c r="AK152" s="1">
        <f t="shared" si="183"/>
        <v>27</v>
      </c>
      <c r="AL152" s="1">
        <f t="shared" si="183"/>
        <v>10</v>
      </c>
      <c r="AM152" s="1">
        <f t="shared" si="183"/>
        <v>10</v>
      </c>
      <c r="AN152" s="1">
        <f t="shared" si="183"/>
        <v>11</v>
      </c>
      <c r="AO152" s="1">
        <f t="shared" si="183"/>
        <v>11</v>
      </c>
      <c r="AP152" s="1">
        <f t="shared" si="183"/>
        <v>27</v>
      </c>
      <c r="AQ152" s="1">
        <f t="shared" si="183"/>
        <v>27</v>
      </c>
      <c r="AR152" s="1">
        <f t="shared" si="183"/>
        <v>27</v>
      </c>
      <c r="AS152" s="1">
        <f t="shared" si="183"/>
        <v>10</v>
      </c>
      <c r="AT152" s="1">
        <f t="shared" si="183"/>
        <v>11</v>
      </c>
      <c r="AU152" s="1">
        <f t="shared" si="183"/>
        <v>11</v>
      </c>
      <c r="AV152" s="1">
        <f t="shared" si="183"/>
        <v>27</v>
      </c>
      <c r="AW152" s="1">
        <f t="shared" si="183"/>
        <v>27</v>
      </c>
      <c r="AX152" s="1">
        <f t="shared" si="183"/>
        <v>27</v>
      </c>
      <c r="AY152" s="1">
        <f t="shared" si="183"/>
        <v>27</v>
      </c>
    </row>
    <row r="153" spans="1:51">
      <c r="A153" s="1" t="str">
        <f t="shared" si="181"/>
        <v>3.2) Infrastructure Safety (Outputs)</v>
      </c>
      <c r="B153" s="1">
        <f t="shared" ref="B153:AG153" si="184">COUNTIF($B94:$AY94,B94)</f>
        <v>1</v>
      </c>
      <c r="C153" s="1">
        <f t="shared" si="184"/>
        <v>1</v>
      </c>
      <c r="D153" s="1">
        <f t="shared" si="184"/>
        <v>1</v>
      </c>
      <c r="E153" s="1">
        <f t="shared" si="184"/>
        <v>1</v>
      </c>
      <c r="F153" s="1">
        <f t="shared" si="184"/>
        <v>1</v>
      </c>
      <c r="G153" s="1">
        <f t="shared" si="184"/>
        <v>1</v>
      </c>
      <c r="H153" s="1">
        <f t="shared" si="184"/>
        <v>1</v>
      </c>
      <c r="I153" s="1">
        <f t="shared" si="184"/>
        <v>1</v>
      </c>
      <c r="J153" s="1">
        <f t="shared" si="184"/>
        <v>1</v>
      </c>
      <c r="K153" s="1">
        <f t="shared" si="184"/>
        <v>1</v>
      </c>
      <c r="L153" s="1">
        <f t="shared" si="184"/>
        <v>1</v>
      </c>
      <c r="M153" s="1">
        <f t="shared" si="184"/>
        <v>1</v>
      </c>
      <c r="N153" s="1">
        <f t="shared" si="184"/>
        <v>1</v>
      </c>
      <c r="O153" s="1">
        <f t="shared" si="184"/>
        <v>1</v>
      </c>
      <c r="P153" s="1">
        <f t="shared" si="184"/>
        <v>1</v>
      </c>
      <c r="Q153" s="1">
        <f t="shared" si="184"/>
        <v>1</v>
      </c>
      <c r="R153" s="1">
        <f t="shared" si="184"/>
        <v>1</v>
      </c>
      <c r="S153" s="1">
        <f t="shared" si="184"/>
        <v>1</v>
      </c>
      <c r="T153" s="1">
        <f t="shared" si="184"/>
        <v>1</v>
      </c>
      <c r="U153" s="1">
        <f t="shared" si="184"/>
        <v>1</v>
      </c>
      <c r="V153" s="1">
        <f t="shared" si="184"/>
        <v>1</v>
      </c>
      <c r="W153" s="1">
        <f t="shared" si="184"/>
        <v>1</v>
      </c>
      <c r="X153" s="1">
        <f t="shared" si="184"/>
        <v>1</v>
      </c>
      <c r="Y153" s="1">
        <f t="shared" si="184"/>
        <v>1</v>
      </c>
      <c r="Z153" s="1">
        <f t="shared" si="184"/>
        <v>1</v>
      </c>
      <c r="AA153" s="1">
        <f t="shared" si="184"/>
        <v>1</v>
      </c>
      <c r="AB153" s="1">
        <f t="shared" si="184"/>
        <v>1</v>
      </c>
      <c r="AC153" s="1">
        <f t="shared" si="184"/>
        <v>1</v>
      </c>
      <c r="AD153" s="1">
        <f t="shared" si="184"/>
        <v>1</v>
      </c>
      <c r="AE153" s="1">
        <f t="shared" si="184"/>
        <v>1</v>
      </c>
      <c r="AF153" s="1">
        <f t="shared" si="184"/>
        <v>1</v>
      </c>
      <c r="AG153" s="1">
        <f t="shared" si="184"/>
        <v>1</v>
      </c>
      <c r="AH153" s="1">
        <f t="shared" ref="AH153:AY153" si="185">COUNTIF($B94:$AY94,AH94)</f>
        <v>1</v>
      </c>
      <c r="AI153" s="1">
        <f t="shared" si="185"/>
        <v>1</v>
      </c>
      <c r="AJ153" s="1">
        <f t="shared" si="185"/>
        <v>1</v>
      </c>
      <c r="AK153" s="1">
        <f t="shared" si="185"/>
        <v>1</v>
      </c>
      <c r="AL153" s="1">
        <f t="shared" si="185"/>
        <v>1</v>
      </c>
      <c r="AM153" s="1">
        <f t="shared" si="185"/>
        <v>1</v>
      </c>
      <c r="AN153" s="1">
        <f t="shared" si="185"/>
        <v>1</v>
      </c>
      <c r="AO153" s="1">
        <f t="shared" si="185"/>
        <v>1</v>
      </c>
      <c r="AP153" s="1">
        <f t="shared" si="185"/>
        <v>1</v>
      </c>
      <c r="AQ153" s="1">
        <f t="shared" si="185"/>
        <v>1</v>
      </c>
      <c r="AR153" s="1">
        <f t="shared" si="185"/>
        <v>1</v>
      </c>
      <c r="AS153" s="1">
        <f t="shared" si="185"/>
        <v>1</v>
      </c>
      <c r="AT153" s="1">
        <f t="shared" si="185"/>
        <v>1</v>
      </c>
      <c r="AU153" s="1">
        <f t="shared" si="185"/>
        <v>1</v>
      </c>
      <c r="AV153" s="1">
        <f t="shared" si="185"/>
        <v>1</v>
      </c>
      <c r="AW153" s="1">
        <f t="shared" si="185"/>
        <v>1</v>
      </c>
      <c r="AX153" s="1">
        <f t="shared" si="185"/>
        <v>1</v>
      </c>
      <c r="AY153" s="1">
        <f t="shared" si="185"/>
        <v>1</v>
      </c>
    </row>
    <row r="154" spans="1:51">
      <c r="A154" s="1" t="str">
        <f t="shared" si="181"/>
        <v>3.2.1) Death from natural disasters</v>
      </c>
      <c r="B154" s="1">
        <f t="shared" ref="B154:AG154" si="186">COUNTIF($B95:$AY95,B95)</f>
        <v>5</v>
      </c>
      <c r="C154" s="1">
        <f t="shared" si="186"/>
        <v>1</v>
      </c>
      <c r="D154" s="1">
        <f t="shared" si="186"/>
        <v>1</v>
      </c>
      <c r="E154" s="1">
        <f t="shared" si="186"/>
        <v>1</v>
      </c>
      <c r="F154" s="1">
        <f t="shared" si="186"/>
        <v>2</v>
      </c>
      <c r="G154" s="1">
        <f t="shared" si="186"/>
        <v>1</v>
      </c>
      <c r="H154" s="1">
        <f t="shared" si="186"/>
        <v>1</v>
      </c>
      <c r="I154" s="1">
        <f t="shared" si="186"/>
        <v>1</v>
      </c>
      <c r="J154" s="1">
        <f t="shared" si="186"/>
        <v>1</v>
      </c>
      <c r="K154" s="1">
        <f t="shared" si="186"/>
        <v>5</v>
      </c>
      <c r="L154" s="1">
        <f t="shared" si="186"/>
        <v>1</v>
      </c>
      <c r="M154" s="1">
        <f t="shared" si="186"/>
        <v>1</v>
      </c>
      <c r="N154" s="1">
        <f t="shared" si="186"/>
        <v>1</v>
      </c>
      <c r="O154" s="1">
        <f t="shared" si="186"/>
        <v>5</v>
      </c>
      <c r="P154" s="1">
        <f t="shared" si="186"/>
        <v>1</v>
      </c>
      <c r="Q154" s="1">
        <f t="shared" si="186"/>
        <v>1</v>
      </c>
      <c r="R154" s="1">
        <f t="shared" si="186"/>
        <v>1</v>
      </c>
      <c r="S154" s="1">
        <f t="shared" si="186"/>
        <v>5</v>
      </c>
      <c r="T154" s="1">
        <f t="shared" si="186"/>
        <v>1</v>
      </c>
      <c r="U154" s="1">
        <f t="shared" si="186"/>
        <v>1</v>
      </c>
      <c r="V154" s="1">
        <f t="shared" si="186"/>
        <v>2</v>
      </c>
      <c r="W154" s="1">
        <f t="shared" si="186"/>
        <v>2</v>
      </c>
      <c r="X154" s="1">
        <f t="shared" si="186"/>
        <v>2</v>
      </c>
      <c r="Y154" s="1">
        <f t="shared" si="186"/>
        <v>2</v>
      </c>
      <c r="Z154" s="1">
        <f t="shared" si="186"/>
        <v>1</v>
      </c>
      <c r="AA154" s="1">
        <f t="shared" si="186"/>
        <v>1</v>
      </c>
      <c r="AB154" s="1">
        <f t="shared" si="186"/>
        <v>1</v>
      </c>
      <c r="AC154" s="1">
        <f t="shared" si="186"/>
        <v>5</v>
      </c>
      <c r="AD154" s="1">
        <f t="shared" si="186"/>
        <v>1</v>
      </c>
      <c r="AE154" s="1">
        <f t="shared" si="186"/>
        <v>1</v>
      </c>
      <c r="AF154" s="1">
        <f t="shared" si="186"/>
        <v>1</v>
      </c>
      <c r="AG154" s="1">
        <f t="shared" si="186"/>
        <v>1</v>
      </c>
      <c r="AH154" s="1">
        <f t="shared" ref="AH154:AY154" si="187">COUNTIF($B95:$AY95,AH95)</f>
        <v>2</v>
      </c>
      <c r="AI154" s="1">
        <f t="shared" si="187"/>
        <v>1</v>
      </c>
      <c r="AJ154" s="1">
        <f t="shared" si="187"/>
        <v>1</v>
      </c>
      <c r="AK154" s="1">
        <f t="shared" si="187"/>
        <v>1</v>
      </c>
      <c r="AL154" s="1">
        <f t="shared" si="187"/>
        <v>1</v>
      </c>
      <c r="AM154" s="1">
        <f t="shared" si="187"/>
        <v>1</v>
      </c>
      <c r="AN154" s="1">
        <f t="shared" si="187"/>
        <v>1</v>
      </c>
      <c r="AO154" s="1">
        <f t="shared" si="187"/>
        <v>1</v>
      </c>
      <c r="AP154" s="1">
        <f t="shared" si="187"/>
        <v>1</v>
      </c>
      <c r="AQ154" s="1">
        <f t="shared" si="187"/>
        <v>2</v>
      </c>
      <c r="AR154" s="1">
        <f t="shared" si="187"/>
        <v>2</v>
      </c>
      <c r="AS154" s="1">
        <f t="shared" si="187"/>
        <v>1</v>
      </c>
      <c r="AT154" s="1">
        <f t="shared" si="187"/>
        <v>1</v>
      </c>
      <c r="AU154" s="1">
        <f t="shared" si="187"/>
        <v>1</v>
      </c>
      <c r="AV154" s="1">
        <f t="shared" si="187"/>
        <v>1</v>
      </c>
      <c r="AW154" s="1">
        <f t="shared" si="187"/>
        <v>2</v>
      </c>
      <c r="AX154" s="1">
        <f t="shared" si="187"/>
        <v>2</v>
      </c>
      <c r="AY154" s="1">
        <f t="shared" si="187"/>
        <v>1</v>
      </c>
    </row>
    <row r="155" spans="1:51">
      <c r="A155" s="1" t="str">
        <f t="shared" si="181"/>
        <v>3.2.2) Frequency of vehicular accidents</v>
      </c>
      <c r="B155" s="1">
        <f t="shared" ref="B155:AG155" si="188">COUNTIF($B96:$AY96,B96)</f>
        <v>1</v>
      </c>
      <c r="C155" s="1">
        <f t="shared" si="188"/>
        <v>1</v>
      </c>
      <c r="D155" s="1">
        <f t="shared" si="188"/>
        <v>1</v>
      </c>
      <c r="E155" s="1">
        <f t="shared" si="188"/>
        <v>1</v>
      </c>
      <c r="F155" s="1">
        <f t="shared" si="188"/>
        <v>1</v>
      </c>
      <c r="G155" s="1">
        <f t="shared" si="188"/>
        <v>2</v>
      </c>
      <c r="H155" s="1">
        <f t="shared" si="188"/>
        <v>1</v>
      </c>
      <c r="I155" s="1">
        <f t="shared" si="188"/>
        <v>1</v>
      </c>
      <c r="J155" s="1">
        <f t="shared" si="188"/>
        <v>1</v>
      </c>
      <c r="K155" s="1">
        <f t="shared" si="188"/>
        <v>1</v>
      </c>
      <c r="L155" s="1">
        <f t="shared" si="188"/>
        <v>1</v>
      </c>
      <c r="M155" s="1">
        <f t="shared" si="188"/>
        <v>1</v>
      </c>
      <c r="N155" s="1">
        <f t="shared" si="188"/>
        <v>1</v>
      </c>
      <c r="O155" s="1">
        <f t="shared" si="188"/>
        <v>1</v>
      </c>
      <c r="P155" s="1">
        <f t="shared" si="188"/>
        <v>1</v>
      </c>
      <c r="Q155" s="1">
        <f t="shared" si="188"/>
        <v>1</v>
      </c>
      <c r="R155" s="1">
        <f t="shared" si="188"/>
        <v>1</v>
      </c>
      <c r="S155" s="1">
        <f t="shared" si="188"/>
        <v>1</v>
      </c>
      <c r="T155" s="1">
        <f t="shared" si="188"/>
        <v>1</v>
      </c>
      <c r="U155" s="1">
        <f t="shared" si="188"/>
        <v>1</v>
      </c>
      <c r="V155" s="1">
        <f t="shared" si="188"/>
        <v>1</v>
      </c>
      <c r="W155" s="1">
        <f t="shared" si="188"/>
        <v>1</v>
      </c>
      <c r="X155" s="1">
        <f t="shared" si="188"/>
        <v>2</v>
      </c>
      <c r="Y155" s="1">
        <f t="shared" si="188"/>
        <v>1</v>
      </c>
      <c r="Z155" s="1">
        <f t="shared" si="188"/>
        <v>1</v>
      </c>
      <c r="AA155" s="1">
        <f t="shared" si="188"/>
        <v>1</v>
      </c>
      <c r="AB155" s="1">
        <f t="shared" si="188"/>
        <v>1</v>
      </c>
      <c r="AC155" s="1">
        <f t="shared" si="188"/>
        <v>1</v>
      </c>
      <c r="AD155" s="1">
        <f t="shared" si="188"/>
        <v>1</v>
      </c>
      <c r="AE155" s="1">
        <f t="shared" si="188"/>
        <v>1</v>
      </c>
      <c r="AF155" s="1">
        <f t="shared" si="188"/>
        <v>1</v>
      </c>
      <c r="AG155" s="1">
        <f t="shared" si="188"/>
        <v>1</v>
      </c>
      <c r="AH155" s="1">
        <f t="shared" ref="AH155:AY155" si="189">COUNTIF($B96:$AY96,AH96)</f>
        <v>1</v>
      </c>
      <c r="AI155" s="1">
        <f t="shared" si="189"/>
        <v>1</v>
      </c>
      <c r="AJ155" s="1">
        <f t="shared" si="189"/>
        <v>1</v>
      </c>
      <c r="AK155" s="1">
        <f t="shared" si="189"/>
        <v>1</v>
      </c>
      <c r="AL155" s="1">
        <f t="shared" si="189"/>
        <v>1</v>
      </c>
      <c r="AM155" s="1">
        <f t="shared" si="189"/>
        <v>1</v>
      </c>
      <c r="AN155" s="1">
        <f t="shared" si="189"/>
        <v>1</v>
      </c>
      <c r="AO155" s="1">
        <f t="shared" si="189"/>
        <v>1</v>
      </c>
      <c r="AP155" s="1">
        <f t="shared" si="189"/>
        <v>1</v>
      </c>
      <c r="AQ155" s="1">
        <f t="shared" si="189"/>
        <v>1</v>
      </c>
      <c r="AR155" s="1">
        <f t="shared" si="189"/>
        <v>1</v>
      </c>
      <c r="AS155" s="1">
        <f t="shared" si="189"/>
        <v>1</v>
      </c>
      <c r="AT155" s="1">
        <f t="shared" si="189"/>
        <v>1</v>
      </c>
      <c r="AU155" s="1">
        <f t="shared" si="189"/>
        <v>1</v>
      </c>
      <c r="AV155" s="1">
        <f t="shared" si="189"/>
        <v>1</v>
      </c>
      <c r="AW155" s="1">
        <f t="shared" si="189"/>
        <v>1</v>
      </c>
      <c r="AX155" s="1">
        <f t="shared" si="189"/>
        <v>1</v>
      </c>
      <c r="AY155" s="1">
        <f t="shared" si="189"/>
        <v>1</v>
      </c>
    </row>
    <row r="156" spans="1:51">
      <c r="A156" s="1" t="str">
        <f t="shared" si="181"/>
        <v>3.2.3) Frequency of pedestrian deaths</v>
      </c>
      <c r="B156" s="1">
        <f t="shared" ref="B156:AG156" si="190">COUNTIF($B97:$AY97,B97)</f>
        <v>1</v>
      </c>
      <c r="C156" s="1">
        <f t="shared" si="190"/>
        <v>2</v>
      </c>
      <c r="D156" s="1">
        <f t="shared" si="190"/>
        <v>1</v>
      </c>
      <c r="E156" s="1">
        <f t="shared" si="190"/>
        <v>2</v>
      </c>
      <c r="F156" s="1">
        <f t="shared" si="190"/>
        <v>2</v>
      </c>
      <c r="G156" s="1">
        <f t="shared" si="190"/>
        <v>4</v>
      </c>
      <c r="H156" s="1">
        <f t="shared" si="190"/>
        <v>1</v>
      </c>
      <c r="I156" s="1">
        <f t="shared" si="190"/>
        <v>1</v>
      </c>
      <c r="J156" s="1">
        <f t="shared" si="190"/>
        <v>3</v>
      </c>
      <c r="K156" s="1">
        <f t="shared" si="190"/>
        <v>1</v>
      </c>
      <c r="L156" s="1">
        <f t="shared" si="190"/>
        <v>2</v>
      </c>
      <c r="M156" s="1">
        <f t="shared" si="190"/>
        <v>4</v>
      </c>
      <c r="N156" s="1">
        <f t="shared" si="190"/>
        <v>1</v>
      </c>
      <c r="O156" s="1">
        <f t="shared" si="190"/>
        <v>1</v>
      </c>
      <c r="P156" s="1">
        <f t="shared" si="190"/>
        <v>1</v>
      </c>
      <c r="Q156" s="1">
        <f t="shared" si="190"/>
        <v>1</v>
      </c>
      <c r="R156" s="1">
        <f t="shared" si="190"/>
        <v>1</v>
      </c>
      <c r="S156" s="1">
        <f t="shared" si="190"/>
        <v>1</v>
      </c>
      <c r="T156" s="1">
        <f t="shared" si="190"/>
        <v>1</v>
      </c>
      <c r="U156" s="1">
        <f t="shared" si="190"/>
        <v>3</v>
      </c>
      <c r="V156" s="1">
        <f t="shared" si="190"/>
        <v>3</v>
      </c>
      <c r="W156" s="1">
        <f t="shared" si="190"/>
        <v>1</v>
      </c>
      <c r="X156" s="1">
        <f t="shared" si="190"/>
        <v>2</v>
      </c>
      <c r="Y156" s="1">
        <f t="shared" si="190"/>
        <v>1</v>
      </c>
      <c r="Z156" s="1">
        <f t="shared" si="190"/>
        <v>3</v>
      </c>
      <c r="AA156" s="1">
        <f t="shared" si="190"/>
        <v>1</v>
      </c>
      <c r="AB156" s="1">
        <f t="shared" si="190"/>
        <v>1</v>
      </c>
      <c r="AC156" s="1">
        <f t="shared" si="190"/>
        <v>1</v>
      </c>
      <c r="AD156" s="1">
        <f t="shared" si="190"/>
        <v>2</v>
      </c>
      <c r="AE156" s="1">
        <f t="shared" si="190"/>
        <v>2</v>
      </c>
      <c r="AF156" s="1">
        <f t="shared" si="190"/>
        <v>3</v>
      </c>
      <c r="AG156" s="1">
        <f t="shared" si="190"/>
        <v>1</v>
      </c>
      <c r="AH156" s="1">
        <f t="shared" ref="AH156:AY156" si="191">COUNTIF($B97:$AY97,AH97)</f>
        <v>1</v>
      </c>
      <c r="AI156" s="1">
        <f t="shared" si="191"/>
        <v>1</v>
      </c>
      <c r="AJ156" s="1">
        <f t="shared" si="191"/>
        <v>1</v>
      </c>
      <c r="AK156" s="1">
        <f t="shared" si="191"/>
        <v>1</v>
      </c>
      <c r="AL156" s="1">
        <f t="shared" si="191"/>
        <v>1</v>
      </c>
      <c r="AM156" s="1">
        <f t="shared" si="191"/>
        <v>2</v>
      </c>
      <c r="AN156" s="1">
        <f t="shared" si="191"/>
        <v>4</v>
      </c>
      <c r="AO156" s="1">
        <f t="shared" si="191"/>
        <v>2</v>
      </c>
      <c r="AP156" s="1">
        <f t="shared" si="191"/>
        <v>3</v>
      </c>
      <c r="AQ156" s="1">
        <f t="shared" si="191"/>
        <v>1</v>
      </c>
      <c r="AR156" s="1">
        <f t="shared" si="191"/>
        <v>2</v>
      </c>
      <c r="AS156" s="1">
        <f t="shared" si="191"/>
        <v>2</v>
      </c>
      <c r="AT156" s="1">
        <f t="shared" si="191"/>
        <v>1</v>
      </c>
      <c r="AU156" s="1">
        <f t="shared" si="191"/>
        <v>4</v>
      </c>
      <c r="AV156" s="1">
        <f t="shared" si="191"/>
        <v>1</v>
      </c>
      <c r="AW156" s="1">
        <f t="shared" si="191"/>
        <v>2</v>
      </c>
      <c r="AX156" s="1">
        <f t="shared" si="191"/>
        <v>2</v>
      </c>
      <c r="AY156" s="1">
        <f t="shared" si="191"/>
        <v>2</v>
      </c>
    </row>
    <row r="157" spans="1:51">
      <c r="A157" s="1" t="str">
        <f t="shared" si="181"/>
        <v>3.2.4) Percent living in urban slums</v>
      </c>
      <c r="B157" s="1">
        <f t="shared" ref="B157:AG157" si="192">COUNTIF($B98:$AY98,B98)</f>
        <v>2</v>
      </c>
      <c r="C157" s="1">
        <f t="shared" si="192"/>
        <v>3</v>
      </c>
      <c r="D157" s="1">
        <f t="shared" si="192"/>
        <v>1</v>
      </c>
      <c r="E157" s="1">
        <f t="shared" si="192"/>
        <v>2</v>
      </c>
      <c r="F157" s="1">
        <f t="shared" si="192"/>
        <v>5</v>
      </c>
      <c r="G157" s="1">
        <f t="shared" si="192"/>
        <v>1</v>
      </c>
      <c r="H157" s="1">
        <f t="shared" si="192"/>
        <v>1</v>
      </c>
      <c r="I157" s="1">
        <f t="shared" si="192"/>
        <v>5</v>
      </c>
      <c r="J157" s="1">
        <f t="shared" si="192"/>
        <v>2</v>
      </c>
      <c r="K157" s="1">
        <f t="shared" si="192"/>
        <v>2</v>
      </c>
      <c r="L157" s="1">
        <f t="shared" si="192"/>
        <v>1</v>
      </c>
      <c r="M157" s="1">
        <f t="shared" si="192"/>
        <v>5</v>
      </c>
      <c r="N157" s="1">
        <f t="shared" si="192"/>
        <v>1</v>
      </c>
      <c r="O157" s="1">
        <f t="shared" si="192"/>
        <v>2</v>
      </c>
      <c r="P157" s="1">
        <f t="shared" si="192"/>
        <v>1</v>
      </c>
      <c r="Q157" s="1">
        <f t="shared" si="192"/>
        <v>2</v>
      </c>
      <c r="R157" s="1">
        <f t="shared" si="192"/>
        <v>2</v>
      </c>
      <c r="S157" s="1">
        <f t="shared" si="192"/>
        <v>1</v>
      </c>
      <c r="T157" s="1">
        <f t="shared" si="192"/>
        <v>1</v>
      </c>
      <c r="U157" s="1">
        <f t="shared" si="192"/>
        <v>1</v>
      </c>
      <c r="V157" s="1">
        <f t="shared" si="192"/>
        <v>5</v>
      </c>
      <c r="W157" s="1">
        <f t="shared" si="192"/>
        <v>2</v>
      </c>
      <c r="X157" s="1">
        <f t="shared" si="192"/>
        <v>2</v>
      </c>
      <c r="Y157" s="1">
        <f t="shared" si="192"/>
        <v>1</v>
      </c>
      <c r="Z157" s="1">
        <f t="shared" si="192"/>
        <v>2</v>
      </c>
      <c r="AA157" s="1">
        <f t="shared" si="192"/>
        <v>1</v>
      </c>
      <c r="AB157" s="1">
        <f t="shared" si="192"/>
        <v>1</v>
      </c>
      <c r="AC157" s="1">
        <f t="shared" si="192"/>
        <v>2</v>
      </c>
      <c r="AD157" s="1">
        <f t="shared" si="192"/>
        <v>5</v>
      </c>
      <c r="AE157" s="1">
        <f t="shared" si="192"/>
        <v>2</v>
      </c>
      <c r="AF157" s="1">
        <f t="shared" si="192"/>
        <v>1</v>
      </c>
      <c r="AG157" s="1">
        <f t="shared" si="192"/>
        <v>2</v>
      </c>
      <c r="AH157" s="1">
        <f t="shared" ref="AH157:AY157" si="193">COUNTIF($B98:$AY98,AH98)</f>
        <v>2</v>
      </c>
      <c r="AI157" s="1">
        <f t="shared" si="193"/>
        <v>2</v>
      </c>
      <c r="AJ157" s="1">
        <f t="shared" si="193"/>
        <v>5</v>
      </c>
      <c r="AK157" s="1">
        <f t="shared" si="193"/>
        <v>1</v>
      </c>
      <c r="AL157" s="1">
        <f t="shared" si="193"/>
        <v>2</v>
      </c>
      <c r="AM157" s="1">
        <f t="shared" si="193"/>
        <v>3</v>
      </c>
      <c r="AN157" s="1">
        <f t="shared" si="193"/>
        <v>5</v>
      </c>
      <c r="AO157" s="1">
        <f t="shared" si="193"/>
        <v>5</v>
      </c>
      <c r="AP157" s="1">
        <f t="shared" si="193"/>
        <v>1</v>
      </c>
      <c r="AQ157" s="1">
        <f t="shared" si="193"/>
        <v>1</v>
      </c>
      <c r="AR157" s="1">
        <f t="shared" si="193"/>
        <v>2</v>
      </c>
      <c r="AS157" s="1">
        <f t="shared" si="193"/>
        <v>1</v>
      </c>
      <c r="AT157" s="1">
        <f t="shared" si="193"/>
        <v>3</v>
      </c>
      <c r="AU157" s="1">
        <f t="shared" si="193"/>
        <v>5</v>
      </c>
      <c r="AV157" s="1">
        <f t="shared" si="193"/>
        <v>2</v>
      </c>
      <c r="AW157" s="1">
        <f t="shared" si="193"/>
        <v>1</v>
      </c>
      <c r="AX157" s="1">
        <f t="shared" si="193"/>
        <v>5</v>
      </c>
      <c r="AY157" s="1">
        <f t="shared" si="193"/>
        <v>1</v>
      </c>
    </row>
    <row r="158" spans="1:51">
      <c r="A158" s="1" t="str">
        <f t="shared" si="181"/>
        <v>4) PERSONAL SAFETY</v>
      </c>
      <c r="B158" s="1">
        <f t="shared" ref="B158:AG158" si="194">COUNTIF($B99:$AY99,B99)</f>
        <v>1</v>
      </c>
      <c r="C158" s="1">
        <f t="shared" si="194"/>
        <v>1</v>
      </c>
      <c r="D158" s="1">
        <f t="shared" si="194"/>
        <v>1</v>
      </c>
      <c r="E158" s="1">
        <f t="shared" si="194"/>
        <v>1</v>
      </c>
      <c r="F158" s="1">
        <f t="shared" si="194"/>
        <v>1</v>
      </c>
      <c r="G158" s="1">
        <f t="shared" si="194"/>
        <v>1</v>
      </c>
      <c r="H158" s="1">
        <f t="shared" si="194"/>
        <v>1</v>
      </c>
      <c r="I158" s="1">
        <f t="shared" si="194"/>
        <v>1</v>
      </c>
      <c r="J158" s="1">
        <f t="shared" si="194"/>
        <v>1</v>
      </c>
      <c r="K158" s="1">
        <f t="shared" si="194"/>
        <v>1</v>
      </c>
      <c r="L158" s="1">
        <f t="shared" si="194"/>
        <v>1</v>
      </c>
      <c r="M158" s="1">
        <f t="shared" si="194"/>
        <v>1</v>
      </c>
      <c r="N158" s="1">
        <f t="shared" si="194"/>
        <v>1</v>
      </c>
      <c r="O158" s="1">
        <f t="shared" si="194"/>
        <v>1</v>
      </c>
      <c r="P158" s="1">
        <f t="shared" si="194"/>
        <v>1</v>
      </c>
      <c r="Q158" s="1">
        <f t="shared" si="194"/>
        <v>1</v>
      </c>
      <c r="R158" s="1">
        <f t="shared" si="194"/>
        <v>1</v>
      </c>
      <c r="S158" s="1">
        <f t="shared" si="194"/>
        <v>1</v>
      </c>
      <c r="T158" s="1">
        <f t="shared" si="194"/>
        <v>1</v>
      </c>
      <c r="U158" s="1">
        <f t="shared" si="194"/>
        <v>1</v>
      </c>
      <c r="V158" s="1">
        <f t="shared" si="194"/>
        <v>1</v>
      </c>
      <c r="W158" s="1">
        <f t="shared" si="194"/>
        <v>1</v>
      </c>
      <c r="X158" s="1">
        <f t="shared" si="194"/>
        <v>1</v>
      </c>
      <c r="Y158" s="1">
        <f t="shared" si="194"/>
        <v>1</v>
      </c>
      <c r="Z158" s="1">
        <f t="shared" si="194"/>
        <v>1</v>
      </c>
      <c r="AA158" s="1">
        <f t="shared" si="194"/>
        <v>1</v>
      </c>
      <c r="AB158" s="1">
        <f t="shared" si="194"/>
        <v>1</v>
      </c>
      <c r="AC158" s="1">
        <f t="shared" si="194"/>
        <v>1</v>
      </c>
      <c r="AD158" s="1">
        <f t="shared" si="194"/>
        <v>1</v>
      </c>
      <c r="AE158" s="1">
        <f t="shared" si="194"/>
        <v>1</v>
      </c>
      <c r="AF158" s="1">
        <f t="shared" si="194"/>
        <v>1</v>
      </c>
      <c r="AG158" s="1">
        <f t="shared" si="194"/>
        <v>1</v>
      </c>
      <c r="AH158" s="1">
        <f t="shared" ref="AH158:AY158" si="195">COUNTIF($B99:$AY99,AH99)</f>
        <v>1</v>
      </c>
      <c r="AI158" s="1">
        <f t="shared" si="195"/>
        <v>1</v>
      </c>
      <c r="AJ158" s="1">
        <f t="shared" si="195"/>
        <v>1</v>
      </c>
      <c r="AK158" s="1">
        <f t="shared" si="195"/>
        <v>1</v>
      </c>
      <c r="AL158" s="1">
        <f t="shared" si="195"/>
        <v>1</v>
      </c>
      <c r="AM158" s="1">
        <f t="shared" si="195"/>
        <v>1</v>
      </c>
      <c r="AN158" s="1">
        <f t="shared" si="195"/>
        <v>1</v>
      </c>
      <c r="AO158" s="1">
        <f t="shared" si="195"/>
        <v>1</v>
      </c>
      <c r="AP158" s="1">
        <f t="shared" si="195"/>
        <v>1</v>
      </c>
      <c r="AQ158" s="1">
        <f t="shared" si="195"/>
        <v>1</v>
      </c>
      <c r="AR158" s="1">
        <f t="shared" si="195"/>
        <v>1</v>
      </c>
      <c r="AS158" s="1">
        <f t="shared" si="195"/>
        <v>1</v>
      </c>
      <c r="AT158" s="1">
        <f t="shared" si="195"/>
        <v>1</v>
      </c>
      <c r="AU158" s="1">
        <f t="shared" si="195"/>
        <v>1</v>
      </c>
      <c r="AV158" s="1">
        <f t="shared" si="195"/>
        <v>1</v>
      </c>
      <c r="AW158" s="1">
        <f t="shared" si="195"/>
        <v>1</v>
      </c>
      <c r="AX158" s="1">
        <f t="shared" si="195"/>
        <v>1</v>
      </c>
      <c r="AY158" s="1">
        <f t="shared" si="195"/>
        <v>1</v>
      </c>
    </row>
    <row r="159" spans="1:51">
      <c r="A159" s="1" t="str">
        <f t="shared" si="181"/>
        <v>4.1) Personal Safety (Inputs)</v>
      </c>
      <c r="B159" s="1">
        <f t="shared" ref="B159:AG159" si="196">COUNTIF($B100:$AY100,B100)</f>
        <v>1</v>
      </c>
      <c r="C159" s="1">
        <f t="shared" si="196"/>
        <v>1</v>
      </c>
      <c r="D159" s="1">
        <f t="shared" si="196"/>
        <v>1</v>
      </c>
      <c r="E159" s="1">
        <f t="shared" si="196"/>
        <v>1</v>
      </c>
      <c r="F159" s="1">
        <f t="shared" si="196"/>
        <v>1</v>
      </c>
      <c r="G159" s="1">
        <f t="shared" si="196"/>
        <v>1</v>
      </c>
      <c r="H159" s="1">
        <f t="shared" si="196"/>
        <v>1</v>
      </c>
      <c r="I159" s="1">
        <f t="shared" si="196"/>
        <v>1</v>
      </c>
      <c r="J159" s="1">
        <f t="shared" si="196"/>
        <v>2</v>
      </c>
      <c r="K159" s="1">
        <f t="shared" si="196"/>
        <v>1</v>
      </c>
      <c r="L159" s="1">
        <f t="shared" si="196"/>
        <v>1</v>
      </c>
      <c r="M159" s="1">
        <f t="shared" si="196"/>
        <v>3</v>
      </c>
      <c r="N159" s="1">
        <f t="shared" si="196"/>
        <v>1</v>
      </c>
      <c r="O159" s="1">
        <f t="shared" si="196"/>
        <v>1</v>
      </c>
      <c r="P159" s="1">
        <f t="shared" si="196"/>
        <v>1</v>
      </c>
      <c r="Q159" s="1">
        <f t="shared" si="196"/>
        <v>1</v>
      </c>
      <c r="R159" s="1">
        <f t="shared" si="196"/>
        <v>1</v>
      </c>
      <c r="S159" s="1">
        <f t="shared" si="196"/>
        <v>1</v>
      </c>
      <c r="T159" s="1">
        <f t="shared" si="196"/>
        <v>1</v>
      </c>
      <c r="U159" s="1">
        <f t="shared" si="196"/>
        <v>2</v>
      </c>
      <c r="V159" s="1">
        <f t="shared" si="196"/>
        <v>2</v>
      </c>
      <c r="W159" s="1">
        <f t="shared" si="196"/>
        <v>1</v>
      </c>
      <c r="X159" s="1">
        <f t="shared" si="196"/>
        <v>3</v>
      </c>
      <c r="Y159" s="1">
        <f t="shared" si="196"/>
        <v>1</v>
      </c>
      <c r="Z159" s="1">
        <f t="shared" si="196"/>
        <v>1</v>
      </c>
      <c r="AA159" s="1">
        <f t="shared" si="196"/>
        <v>1</v>
      </c>
      <c r="AB159" s="1">
        <f t="shared" si="196"/>
        <v>1</v>
      </c>
      <c r="AC159" s="1">
        <f t="shared" si="196"/>
        <v>2</v>
      </c>
      <c r="AD159" s="1">
        <f t="shared" si="196"/>
        <v>1</v>
      </c>
      <c r="AE159" s="1">
        <f t="shared" si="196"/>
        <v>2</v>
      </c>
      <c r="AF159" s="1">
        <f t="shared" si="196"/>
        <v>1</v>
      </c>
      <c r="AG159" s="1">
        <f t="shared" si="196"/>
        <v>1</v>
      </c>
      <c r="AH159" s="1">
        <f t="shared" ref="AH159:AY159" si="197">COUNTIF($B100:$AY100,AH100)</f>
        <v>1</v>
      </c>
      <c r="AI159" s="1">
        <f t="shared" si="197"/>
        <v>1</v>
      </c>
      <c r="AJ159" s="1">
        <f t="shared" si="197"/>
        <v>2</v>
      </c>
      <c r="AK159" s="1">
        <f t="shared" si="197"/>
        <v>1</v>
      </c>
      <c r="AL159" s="1">
        <f t="shared" si="197"/>
        <v>1</v>
      </c>
      <c r="AM159" s="1">
        <f t="shared" si="197"/>
        <v>1</v>
      </c>
      <c r="AN159" s="1">
        <f t="shared" si="197"/>
        <v>1</v>
      </c>
      <c r="AO159" s="1">
        <f t="shared" si="197"/>
        <v>3</v>
      </c>
      <c r="AP159" s="1">
        <f t="shared" si="197"/>
        <v>1</v>
      </c>
      <c r="AQ159" s="1">
        <f t="shared" si="197"/>
        <v>1</v>
      </c>
      <c r="AR159" s="1">
        <f t="shared" si="197"/>
        <v>3</v>
      </c>
      <c r="AS159" s="1">
        <f t="shared" si="197"/>
        <v>1</v>
      </c>
      <c r="AT159" s="1">
        <f t="shared" si="197"/>
        <v>1</v>
      </c>
      <c r="AU159" s="1">
        <f t="shared" si="197"/>
        <v>3</v>
      </c>
      <c r="AV159" s="1">
        <f t="shared" si="197"/>
        <v>2</v>
      </c>
      <c r="AW159" s="1">
        <f t="shared" si="197"/>
        <v>2</v>
      </c>
      <c r="AX159" s="1">
        <f t="shared" si="197"/>
        <v>3</v>
      </c>
      <c r="AY159" s="1">
        <f t="shared" si="197"/>
        <v>1</v>
      </c>
    </row>
    <row r="160" spans="1:51">
      <c r="A160" s="1" t="str">
        <f t="shared" si="181"/>
        <v>4.1.1) Level of police engagement</v>
      </c>
      <c r="B160" s="1">
        <f t="shared" ref="B160:AG160" si="198">COUNTIF($B101:$AY101,B101)</f>
        <v>16</v>
      </c>
      <c r="C160" s="1">
        <f t="shared" si="198"/>
        <v>34</v>
      </c>
      <c r="D160" s="1">
        <f t="shared" si="198"/>
        <v>16</v>
      </c>
      <c r="E160" s="1">
        <f t="shared" si="198"/>
        <v>34</v>
      </c>
      <c r="F160" s="1">
        <f t="shared" si="198"/>
        <v>34</v>
      </c>
      <c r="G160" s="1">
        <f t="shared" si="198"/>
        <v>34</v>
      </c>
      <c r="H160" s="1">
        <f t="shared" si="198"/>
        <v>16</v>
      </c>
      <c r="I160" s="1">
        <f t="shared" si="198"/>
        <v>34</v>
      </c>
      <c r="J160" s="1">
        <f t="shared" si="198"/>
        <v>34</v>
      </c>
      <c r="K160" s="1">
        <f t="shared" si="198"/>
        <v>16</v>
      </c>
      <c r="L160" s="1">
        <f t="shared" si="198"/>
        <v>34</v>
      </c>
      <c r="M160" s="1">
        <f t="shared" si="198"/>
        <v>16</v>
      </c>
      <c r="N160" s="1">
        <f t="shared" si="198"/>
        <v>16</v>
      </c>
      <c r="O160" s="1">
        <f t="shared" si="198"/>
        <v>34</v>
      </c>
      <c r="P160" s="1">
        <f t="shared" si="198"/>
        <v>34</v>
      </c>
      <c r="Q160" s="1">
        <f t="shared" si="198"/>
        <v>16</v>
      </c>
      <c r="R160" s="1">
        <f t="shared" si="198"/>
        <v>34</v>
      </c>
      <c r="S160" s="1">
        <f t="shared" si="198"/>
        <v>34</v>
      </c>
      <c r="T160" s="1">
        <f t="shared" si="198"/>
        <v>34</v>
      </c>
      <c r="U160" s="1">
        <f t="shared" si="198"/>
        <v>34</v>
      </c>
      <c r="V160" s="1">
        <f t="shared" si="198"/>
        <v>34</v>
      </c>
      <c r="W160" s="1">
        <f t="shared" si="198"/>
        <v>16</v>
      </c>
      <c r="X160" s="1">
        <f t="shared" si="198"/>
        <v>34</v>
      </c>
      <c r="Y160" s="1">
        <f t="shared" si="198"/>
        <v>34</v>
      </c>
      <c r="Z160" s="1">
        <f t="shared" si="198"/>
        <v>34</v>
      </c>
      <c r="AA160" s="1">
        <f t="shared" si="198"/>
        <v>34</v>
      </c>
      <c r="AB160" s="1">
        <f t="shared" si="198"/>
        <v>16</v>
      </c>
      <c r="AC160" s="1">
        <f t="shared" si="198"/>
        <v>34</v>
      </c>
      <c r="AD160" s="1">
        <f t="shared" si="198"/>
        <v>34</v>
      </c>
      <c r="AE160" s="1">
        <f t="shared" si="198"/>
        <v>34</v>
      </c>
      <c r="AF160" s="1">
        <f t="shared" si="198"/>
        <v>34</v>
      </c>
      <c r="AG160" s="1">
        <f t="shared" si="198"/>
        <v>34</v>
      </c>
      <c r="AH160" s="1">
        <f t="shared" ref="AH160:AY160" si="199">COUNTIF($B101:$AY101,AH101)</f>
        <v>34</v>
      </c>
      <c r="AI160" s="1">
        <f t="shared" si="199"/>
        <v>34</v>
      </c>
      <c r="AJ160" s="1">
        <f t="shared" si="199"/>
        <v>34</v>
      </c>
      <c r="AK160" s="1">
        <f t="shared" si="199"/>
        <v>16</v>
      </c>
      <c r="AL160" s="1">
        <f t="shared" si="199"/>
        <v>16</v>
      </c>
      <c r="AM160" s="1">
        <f t="shared" si="199"/>
        <v>16</v>
      </c>
      <c r="AN160" s="1">
        <f t="shared" si="199"/>
        <v>16</v>
      </c>
      <c r="AO160" s="1">
        <f t="shared" si="199"/>
        <v>16</v>
      </c>
      <c r="AP160" s="1">
        <f t="shared" si="199"/>
        <v>34</v>
      </c>
      <c r="AQ160" s="1">
        <f t="shared" si="199"/>
        <v>34</v>
      </c>
      <c r="AR160" s="1">
        <f t="shared" si="199"/>
        <v>34</v>
      </c>
      <c r="AS160" s="1">
        <f t="shared" si="199"/>
        <v>34</v>
      </c>
      <c r="AT160" s="1">
        <f t="shared" si="199"/>
        <v>16</v>
      </c>
      <c r="AU160" s="1">
        <f t="shared" si="199"/>
        <v>16</v>
      </c>
      <c r="AV160" s="1">
        <f t="shared" si="199"/>
        <v>34</v>
      </c>
      <c r="AW160" s="1">
        <f t="shared" si="199"/>
        <v>34</v>
      </c>
      <c r="AX160" s="1">
        <f t="shared" si="199"/>
        <v>34</v>
      </c>
      <c r="AY160" s="1">
        <f t="shared" si="199"/>
        <v>34</v>
      </c>
    </row>
    <row r="161" spans="1:51">
      <c r="A161" s="1" t="str">
        <f t="shared" si="181"/>
        <v>4.1.2) Community-based patrolling</v>
      </c>
      <c r="B161" s="1">
        <f t="shared" ref="B161:AG161" si="200">COUNTIF($B102:$AY102,B102)</f>
        <v>47</v>
      </c>
      <c r="C161" s="1">
        <f t="shared" si="200"/>
        <v>47</v>
      </c>
      <c r="D161" s="1">
        <f t="shared" si="200"/>
        <v>47</v>
      </c>
      <c r="E161" s="1">
        <f t="shared" si="200"/>
        <v>47</v>
      </c>
      <c r="F161" s="1">
        <f t="shared" si="200"/>
        <v>47</v>
      </c>
      <c r="G161" s="1">
        <f t="shared" si="200"/>
        <v>47</v>
      </c>
      <c r="H161" s="1">
        <f t="shared" si="200"/>
        <v>47</v>
      </c>
      <c r="I161" s="1">
        <f t="shared" si="200"/>
        <v>47</v>
      </c>
      <c r="J161" s="1">
        <f t="shared" si="200"/>
        <v>47</v>
      </c>
      <c r="K161" s="1">
        <f t="shared" si="200"/>
        <v>47</v>
      </c>
      <c r="L161" s="1">
        <f t="shared" si="200"/>
        <v>47</v>
      </c>
      <c r="M161" s="1">
        <f t="shared" si="200"/>
        <v>47</v>
      </c>
      <c r="N161" s="1">
        <f t="shared" si="200"/>
        <v>47</v>
      </c>
      <c r="O161" s="1">
        <f t="shared" si="200"/>
        <v>47</v>
      </c>
      <c r="P161" s="1">
        <f t="shared" si="200"/>
        <v>47</v>
      </c>
      <c r="Q161" s="1">
        <f t="shared" si="200"/>
        <v>47</v>
      </c>
      <c r="R161" s="1">
        <f t="shared" si="200"/>
        <v>47</v>
      </c>
      <c r="S161" s="1">
        <f t="shared" si="200"/>
        <v>3</v>
      </c>
      <c r="T161" s="1">
        <f t="shared" si="200"/>
        <v>47</v>
      </c>
      <c r="U161" s="1">
        <f t="shared" si="200"/>
        <v>47</v>
      </c>
      <c r="V161" s="1">
        <f t="shared" si="200"/>
        <v>47</v>
      </c>
      <c r="W161" s="1">
        <f t="shared" si="200"/>
        <v>47</v>
      </c>
      <c r="X161" s="1">
        <f t="shared" si="200"/>
        <v>47</v>
      </c>
      <c r="Y161" s="1">
        <f t="shared" si="200"/>
        <v>47</v>
      </c>
      <c r="Z161" s="1">
        <f t="shared" si="200"/>
        <v>47</v>
      </c>
      <c r="AA161" s="1">
        <f t="shared" si="200"/>
        <v>47</v>
      </c>
      <c r="AB161" s="1">
        <f t="shared" si="200"/>
        <v>47</v>
      </c>
      <c r="AC161" s="1">
        <f t="shared" si="200"/>
        <v>47</v>
      </c>
      <c r="AD161" s="1">
        <f t="shared" si="200"/>
        <v>47</v>
      </c>
      <c r="AE161" s="1">
        <f t="shared" si="200"/>
        <v>47</v>
      </c>
      <c r="AF161" s="1">
        <f t="shared" si="200"/>
        <v>47</v>
      </c>
      <c r="AG161" s="1">
        <f t="shared" si="200"/>
        <v>47</v>
      </c>
      <c r="AH161" s="1">
        <f t="shared" ref="AH161:AY161" si="201">COUNTIF($B102:$AY102,AH102)</f>
        <v>3</v>
      </c>
      <c r="AI161" s="1">
        <f t="shared" si="201"/>
        <v>47</v>
      </c>
      <c r="AJ161" s="1">
        <f t="shared" si="201"/>
        <v>47</v>
      </c>
      <c r="AK161" s="1">
        <f t="shared" si="201"/>
        <v>47</v>
      </c>
      <c r="AL161" s="1">
        <f t="shared" si="201"/>
        <v>47</v>
      </c>
      <c r="AM161" s="1">
        <f t="shared" si="201"/>
        <v>47</v>
      </c>
      <c r="AN161" s="1">
        <f t="shared" si="201"/>
        <v>47</v>
      </c>
      <c r="AO161" s="1">
        <f t="shared" si="201"/>
        <v>47</v>
      </c>
      <c r="AP161" s="1">
        <f t="shared" si="201"/>
        <v>47</v>
      </c>
      <c r="AQ161" s="1">
        <f t="shared" si="201"/>
        <v>47</v>
      </c>
      <c r="AR161" s="1">
        <f t="shared" si="201"/>
        <v>47</v>
      </c>
      <c r="AS161" s="1">
        <f t="shared" si="201"/>
        <v>47</v>
      </c>
      <c r="AT161" s="1">
        <f t="shared" si="201"/>
        <v>3</v>
      </c>
      <c r="AU161" s="1">
        <f t="shared" si="201"/>
        <v>47</v>
      </c>
      <c r="AV161" s="1">
        <f t="shared" si="201"/>
        <v>47</v>
      </c>
      <c r="AW161" s="1">
        <f t="shared" si="201"/>
        <v>47</v>
      </c>
      <c r="AX161" s="1">
        <f t="shared" si="201"/>
        <v>47</v>
      </c>
      <c r="AY161" s="1">
        <f t="shared" si="201"/>
        <v>47</v>
      </c>
    </row>
    <row r="162" spans="1:51">
      <c r="A162" s="1" t="str">
        <f t="shared" si="181"/>
        <v>4.1.3) Availability of street-level crime data</v>
      </c>
      <c r="B162" s="1">
        <f t="shared" ref="B162:AG162" si="202">COUNTIF($B103:$AY103,B103)</f>
        <v>33</v>
      </c>
      <c r="C162" s="1">
        <f t="shared" si="202"/>
        <v>33</v>
      </c>
      <c r="D162" s="1">
        <f t="shared" si="202"/>
        <v>33</v>
      </c>
      <c r="E162" s="1">
        <f t="shared" si="202"/>
        <v>33</v>
      </c>
      <c r="F162" s="1">
        <f t="shared" si="202"/>
        <v>17</v>
      </c>
      <c r="G162" s="1">
        <f t="shared" si="202"/>
        <v>17</v>
      </c>
      <c r="H162" s="1">
        <f t="shared" si="202"/>
        <v>17</v>
      </c>
      <c r="I162" s="1">
        <f t="shared" si="202"/>
        <v>33</v>
      </c>
      <c r="J162" s="1">
        <f t="shared" si="202"/>
        <v>17</v>
      </c>
      <c r="K162" s="1">
        <f t="shared" si="202"/>
        <v>33</v>
      </c>
      <c r="L162" s="1">
        <f t="shared" si="202"/>
        <v>33</v>
      </c>
      <c r="M162" s="1">
        <f t="shared" si="202"/>
        <v>17</v>
      </c>
      <c r="N162" s="1">
        <f t="shared" si="202"/>
        <v>17</v>
      </c>
      <c r="O162" s="1">
        <f t="shared" si="202"/>
        <v>33</v>
      </c>
      <c r="P162" s="1">
        <f t="shared" si="202"/>
        <v>33</v>
      </c>
      <c r="Q162" s="1">
        <f t="shared" si="202"/>
        <v>33</v>
      </c>
      <c r="R162" s="1">
        <f t="shared" si="202"/>
        <v>33</v>
      </c>
      <c r="S162" s="1">
        <f t="shared" si="202"/>
        <v>17</v>
      </c>
      <c r="T162" s="1">
        <f t="shared" si="202"/>
        <v>33</v>
      </c>
      <c r="U162" s="1">
        <f t="shared" si="202"/>
        <v>33</v>
      </c>
      <c r="V162" s="1">
        <f t="shared" si="202"/>
        <v>33</v>
      </c>
      <c r="W162" s="1">
        <f t="shared" si="202"/>
        <v>33</v>
      </c>
      <c r="X162" s="1">
        <f t="shared" si="202"/>
        <v>33</v>
      </c>
      <c r="Y162" s="1">
        <f t="shared" si="202"/>
        <v>17</v>
      </c>
      <c r="Z162" s="1">
        <f t="shared" si="202"/>
        <v>33</v>
      </c>
      <c r="AA162" s="1">
        <f t="shared" si="202"/>
        <v>33</v>
      </c>
      <c r="AB162" s="1">
        <f t="shared" si="202"/>
        <v>17</v>
      </c>
      <c r="AC162" s="1">
        <f t="shared" si="202"/>
        <v>33</v>
      </c>
      <c r="AD162" s="1">
        <f t="shared" si="202"/>
        <v>33</v>
      </c>
      <c r="AE162" s="1">
        <f t="shared" si="202"/>
        <v>33</v>
      </c>
      <c r="AF162" s="1">
        <f t="shared" si="202"/>
        <v>33</v>
      </c>
      <c r="AG162" s="1">
        <f t="shared" si="202"/>
        <v>33</v>
      </c>
      <c r="AH162" s="1">
        <f t="shared" ref="AH162:AY162" si="203">COUNTIF($B103:$AY103,AH103)</f>
        <v>17</v>
      </c>
      <c r="AI162" s="1">
        <f t="shared" si="203"/>
        <v>33</v>
      </c>
      <c r="AJ162" s="1">
        <f t="shared" si="203"/>
        <v>33</v>
      </c>
      <c r="AK162" s="1">
        <f t="shared" si="203"/>
        <v>17</v>
      </c>
      <c r="AL162" s="1">
        <f t="shared" si="203"/>
        <v>17</v>
      </c>
      <c r="AM162" s="1">
        <f t="shared" si="203"/>
        <v>17</v>
      </c>
      <c r="AN162" s="1">
        <f t="shared" si="203"/>
        <v>17</v>
      </c>
      <c r="AO162" s="1">
        <f t="shared" si="203"/>
        <v>17</v>
      </c>
      <c r="AP162" s="1">
        <f t="shared" si="203"/>
        <v>33</v>
      </c>
      <c r="AQ162" s="1">
        <f t="shared" si="203"/>
        <v>33</v>
      </c>
      <c r="AR162" s="1">
        <f t="shared" si="203"/>
        <v>33</v>
      </c>
      <c r="AS162" s="1">
        <f t="shared" si="203"/>
        <v>33</v>
      </c>
      <c r="AT162" s="1">
        <f t="shared" si="203"/>
        <v>17</v>
      </c>
      <c r="AU162" s="1">
        <f t="shared" si="203"/>
        <v>17</v>
      </c>
      <c r="AV162" s="1">
        <f t="shared" si="203"/>
        <v>33</v>
      </c>
      <c r="AW162" s="1">
        <f t="shared" si="203"/>
        <v>33</v>
      </c>
      <c r="AX162" s="1">
        <f t="shared" si="203"/>
        <v>33</v>
      </c>
      <c r="AY162" s="1">
        <f t="shared" si="203"/>
        <v>33</v>
      </c>
    </row>
    <row r="163" spans="1:51">
      <c r="A163" s="1" t="str">
        <f t="shared" si="181"/>
        <v>4.1.4) Use of data-driven techniques for crime</v>
      </c>
      <c r="B163" s="1">
        <f t="shared" ref="B163:AG163" si="204">COUNTIF($B104:$AY104,B104)</f>
        <v>17</v>
      </c>
      <c r="C163" s="1">
        <f t="shared" si="204"/>
        <v>33</v>
      </c>
      <c r="D163" s="1">
        <f t="shared" si="204"/>
        <v>33</v>
      </c>
      <c r="E163" s="1">
        <f t="shared" si="204"/>
        <v>33</v>
      </c>
      <c r="F163" s="1">
        <f t="shared" si="204"/>
        <v>17</v>
      </c>
      <c r="G163" s="1">
        <f t="shared" si="204"/>
        <v>17</v>
      </c>
      <c r="H163" s="1">
        <f t="shared" si="204"/>
        <v>33</v>
      </c>
      <c r="I163" s="1">
        <f t="shared" si="204"/>
        <v>33</v>
      </c>
      <c r="J163" s="1">
        <f t="shared" si="204"/>
        <v>33</v>
      </c>
      <c r="K163" s="1">
        <f t="shared" si="204"/>
        <v>33</v>
      </c>
      <c r="L163" s="1">
        <f t="shared" si="204"/>
        <v>33</v>
      </c>
      <c r="M163" s="1">
        <f t="shared" si="204"/>
        <v>17</v>
      </c>
      <c r="N163" s="1">
        <f t="shared" si="204"/>
        <v>17</v>
      </c>
      <c r="O163" s="1">
        <f t="shared" si="204"/>
        <v>33</v>
      </c>
      <c r="P163" s="1">
        <f t="shared" si="204"/>
        <v>33</v>
      </c>
      <c r="Q163" s="1">
        <f t="shared" si="204"/>
        <v>17</v>
      </c>
      <c r="R163" s="1">
        <f t="shared" si="204"/>
        <v>17</v>
      </c>
      <c r="S163" s="1">
        <f t="shared" si="204"/>
        <v>17</v>
      </c>
      <c r="T163" s="1">
        <f t="shared" si="204"/>
        <v>33</v>
      </c>
      <c r="U163" s="1">
        <f t="shared" si="204"/>
        <v>33</v>
      </c>
      <c r="V163" s="1">
        <f t="shared" si="204"/>
        <v>33</v>
      </c>
      <c r="W163" s="1">
        <f t="shared" si="204"/>
        <v>17</v>
      </c>
      <c r="X163" s="1">
        <f t="shared" si="204"/>
        <v>33</v>
      </c>
      <c r="Y163" s="1">
        <f t="shared" si="204"/>
        <v>33</v>
      </c>
      <c r="Z163" s="1">
        <f t="shared" si="204"/>
        <v>33</v>
      </c>
      <c r="AA163" s="1">
        <f t="shared" si="204"/>
        <v>17</v>
      </c>
      <c r="AB163" s="1">
        <f t="shared" si="204"/>
        <v>17</v>
      </c>
      <c r="AC163" s="1">
        <f t="shared" si="204"/>
        <v>33</v>
      </c>
      <c r="AD163" s="1">
        <f t="shared" si="204"/>
        <v>33</v>
      </c>
      <c r="AE163" s="1">
        <f t="shared" si="204"/>
        <v>33</v>
      </c>
      <c r="AF163" s="1">
        <f t="shared" si="204"/>
        <v>33</v>
      </c>
      <c r="AG163" s="1">
        <f t="shared" si="204"/>
        <v>17</v>
      </c>
      <c r="AH163" s="1">
        <f t="shared" ref="AH163:AY163" si="205">COUNTIF($B104:$AY104,AH104)</f>
        <v>33</v>
      </c>
      <c r="AI163" s="1">
        <f t="shared" si="205"/>
        <v>17</v>
      </c>
      <c r="AJ163" s="1">
        <f t="shared" si="205"/>
        <v>33</v>
      </c>
      <c r="AK163" s="1">
        <f t="shared" si="205"/>
        <v>33</v>
      </c>
      <c r="AL163" s="1">
        <f t="shared" si="205"/>
        <v>17</v>
      </c>
      <c r="AM163" s="1">
        <f t="shared" si="205"/>
        <v>33</v>
      </c>
      <c r="AN163" s="1">
        <f t="shared" si="205"/>
        <v>33</v>
      </c>
      <c r="AO163" s="1">
        <f t="shared" si="205"/>
        <v>17</v>
      </c>
      <c r="AP163" s="1">
        <f t="shared" si="205"/>
        <v>33</v>
      </c>
      <c r="AQ163" s="1">
        <f t="shared" si="205"/>
        <v>33</v>
      </c>
      <c r="AR163" s="1">
        <f t="shared" si="205"/>
        <v>33</v>
      </c>
      <c r="AS163" s="1">
        <f t="shared" si="205"/>
        <v>33</v>
      </c>
      <c r="AT163" s="1">
        <f t="shared" si="205"/>
        <v>33</v>
      </c>
      <c r="AU163" s="1">
        <f t="shared" si="205"/>
        <v>17</v>
      </c>
      <c r="AV163" s="1">
        <f t="shared" si="205"/>
        <v>33</v>
      </c>
      <c r="AW163" s="1">
        <f t="shared" si="205"/>
        <v>33</v>
      </c>
      <c r="AX163" s="1">
        <f t="shared" si="205"/>
        <v>33</v>
      </c>
      <c r="AY163" s="1">
        <f t="shared" si="205"/>
        <v>17</v>
      </c>
    </row>
    <row r="164" spans="1:51">
      <c r="A164" s="1" t="str">
        <f t="shared" si="181"/>
        <v>4.1.5) Private security measures</v>
      </c>
      <c r="B164" s="1">
        <f t="shared" ref="B164:AG164" si="206">COUNTIF($B105:$AY105,B105)</f>
        <v>14</v>
      </c>
      <c r="C164" s="1">
        <f t="shared" si="206"/>
        <v>36</v>
      </c>
      <c r="D164" s="1">
        <f t="shared" si="206"/>
        <v>36</v>
      </c>
      <c r="E164" s="1">
        <f t="shared" si="206"/>
        <v>36</v>
      </c>
      <c r="F164" s="1">
        <f t="shared" si="206"/>
        <v>14</v>
      </c>
      <c r="G164" s="1">
        <f t="shared" si="206"/>
        <v>14</v>
      </c>
      <c r="H164" s="1">
        <f t="shared" si="206"/>
        <v>36</v>
      </c>
      <c r="I164" s="1">
        <f t="shared" si="206"/>
        <v>36</v>
      </c>
      <c r="J164" s="1">
        <f t="shared" si="206"/>
        <v>36</v>
      </c>
      <c r="K164" s="1">
        <f t="shared" si="206"/>
        <v>36</v>
      </c>
      <c r="L164" s="1">
        <f t="shared" si="206"/>
        <v>14</v>
      </c>
      <c r="M164" s="1">
        <f t="shared" si="206"/>
        <v>36</v>
      </c>
      <c r="N164" s="1">
        <f t="shared" si="206"/>
        <v>36</v>
      </c>
      <c r="O164" s="1">
        <f t="shared" si="206"/>
        <v>36</v>
      </c>
      <c r="P164" s="1">
        <f t="shared" si="206"/>
        <v>36</v>
      </c>
      <c r="Q164" s="1">
        <f t="shared" si="206"/>
        <v>14</v>
      </c>
      <c r="R164" s="1">
        <f t="shared" si="206"/>
        <v>36</v>
      </c>
      <c r="S164" s="1">
        <f t="shared" si="206"/>
        <v>14</v>
      </c>
      <c r="T164" s="1">
        <f t="shared" si="206"/>
        <v>36</v>
      </c>
      <c r="U164" s="1">
        <f t="shared" si="206"/>
        <v>36</v>
      </c>
      <c r="V164" s="1">
        <f t="shared" si="206"/>
        <v>36</v>
      </c>
      <c r="W164" s="1">
        <f t="shared" si="206"/>
        <v>36</v>
      </c>
      <c r="X164" s="1">
        <f t="shared" si="206"/>
        <v>36</v>
      </c>
      <c r="Y164" s="1">
        <f t="shared" si="206"/>
        <v>36</v>
      </c>
      <c r="Z164" s="1">
        <f t="shared" si="206"/>
        <v>14</v>
      </c>
      <c r="AA164" s="1">
        <f t="shared" si="206"/>
        <v>14</v>
      </c>
      <c r="AB164" s="1">
        <f t="shared" si="206"/>
        <v>14</v>
      </c>
      <c r="AC164" s="1">
        <f t="shared" si="206"/>
        <v>14</v>
      </c>
      <c r="AD164" s="1">
        <f t="shared" si="206"/>
        <v>36</v>
      </c>
      <c r="AE164" s="1">
        <f t="shared" si="206"/>
        <v>36</v>
      </c>
      <c r="AF164" s="1">
        <f t="shared" si="206"/>
        <v>14</v>
      </c>
      <c r="AG164" s="1">
        <f t="shared" si="206"/>
        <v>36</v>
      </c>
      <c r="AH164" s="1">
        <f t="shared" ref="AH164:AY164" si="207">COUNTIF($B105:$AY105,AH105)</f>
        <v>14</v>
      </c>
      <c r="AI164" s="1">
        <f t="shared" si="207"/>
        <v>14</v>
      </c>
      <c r="AJ164" s="1">
        <f t="shared" si="207"/>
        <v>36</v>
      </c>
      <c r="AK164" s="1">
        <f t="shared" si="207"/>
        <v>14</v>
      </c>
      <c r="AL164" s="1">
        <f t="shared" si="207"/>
        <v>36</v>
      </c>
      <c r="AM164" s="1">
        <f t="shared" si="207"/>
        <v>36</v>
      </c>
      <c r="AN164" s="1">
        <f t="shared" si="207"/>
        <v>36</v>
      </c>
      <c r="AO164" s="1">
        <f t="shared" si="207"/>
        <v>36</v>
      </c>
      <c r="AP164" s="1">
        <f t="shared" si="207"/>
        <v>36</v>
      </c>
      <c r="AQ164" s="1">
        <f t="shared" si="207"/>
        <v>36</v>
      </c>
      <c r="AR164" s="1">
        <f t="shared" si="207"/>
        <v>36</v>
      </c>
      <c r="AS164" s="1">
        <f t="shared" si="207"/>
        <v>36</v>
      </c>
      <c r="AT164" s="1">
        <f t="shared" si="207"/>
        <v>36</v>
      </c>
      <c r="AU164" s="1">
        <f t="shared" si="207"/>
        <v>36</v>
      </c>
      <c r="AV164" s="1">
        <f t="shared" si="207"/>
        <v>36</v>
      </c>
      <c r="AW164" s="1">
        <f t="shared" si="207"/>
        <v>36</v>
      </c>
      <c r="AX164" s="1">
        <f t="shared" si="207"/>
        <v>36</v>
      </c>
      <c r="AY164" s="1">
        <f t="shared" si="207"/>
        <v>36</v>
      </c>
    </row>
    <row r="165" spans="1:51">
      <c r="A165" s="1" t="str">
        <f t="shared" si="181"/>
        <v>4.1.6) Gun regulation and enforcement</v>
      </c>
      <c r="B165" s="1">
        <f t="shared" ref="B165:AG165" si="208">COUNTIF($B106:$AY106,B106)</f>
        <v>1</v>
      </c>
      <c r="C165" s="1">
        <f t="shared" si="208"/>
        <v>2</v>
      </c>
      <c r="D165" s="1">
        <f t="shared" si="208"/>
        <v>2</v>
      </c>
      <c r="E165" s="1">
        <f t="shared" si="208"/>
        <v>2</v>
      </c>
      <c r="F165" s="1">
        <f t="shared" si="208"/>
        <v>6</v>
      </c>
      <c r="G165" s="1">
        <f t="shared" si="208"/>
        <v>2</v>
      </c>
      <c r="H165" s="1">
        <f t="shared" si="208"/>
        <v>2</v>
      </c>
      <c r="I165" s="1">
        <f t="shared" si="208"/>
        <v>2</v>
      </c>
      <c r="J165" s="1">
        <f t="shared" si="208"/>
        <v>2</v>
      </c>
      <c r="K165" s="1">
        <f t="shared" si="208"/>
        <v>3</v>
      </c>
      <c r="L165" s="1">
        <f t="shared" si="208"/>
        <v>2</v>
      </c>
      <c r="M165" s="1">
        <f t="shared" si="208"/>
        <v>6</v>
      </c>
      <c r="N165" s="1">
        <f t="shared" si="208"/>
        <v>6</v>
      </c>
      <c r="O165" s="1">
        <f t="shared" si="208"/>
        <v>5</v>
      </c>
      <c r="P165" s="1">
        <f t="shared" si="208"/>
        <v>1</v>
      </c>
      <c r="Q165" s="1">
        <f t="shared" si="208"/>
        <v>1</v>
      </c>
      <c r="R165" s="1">
        <f t="shared" si="208"/>
        <v>3</v>
      </c>
      <c r="S165" s="1">
        <f t="shared" si="208"/>
        <v>1</v>
      </c>
      <c r="T165" s="1">
        <f t="shared" si="208"/>
        <v>3</v>
      </c>
      <c r="U165" s="1">
        <f t="shared" si="208"/>
        <v>5</v>
      </c>
      <c r="V165" s="1">
        <f t="shared" si="208"/>
        <v>3</v>
      </c>
      <c r="W165" s="1">
        <f t="shared" si="208"/>
        <v>2</v>
      </c>
      <c r="X165" s="1">
        <f t="shared" si="208"/>
        <v>4</v>
      </c>
      <c r="Y165" s="1">
        <f t="shared" si="208"/>
        <v>3</v>
      </c>
      <c r="Z165" s="1">
        <f t="shared" si="208"/>
        <v>3</v>
      </c>
      <c r="AA165" s="1">
        <f t="shared" si="208"/>
        <v>3</v>
      </c>
      <c r="AB165" s="1">
        <f t="shared" si="208"/>
        <v>2</v>
      </c>
      <c r="AC165" s="1">
        <f t="shared" si="208"/>
        <v>2</v>
      </c>
      <c r="AD165" s="1">
        <f t="shared" si="208"/>
        <v>1</v>
      </c>
      <c r="AE165" s="1">
        <f t="shared" si="208"/>
        <v>5</v>
      </c>
      <c r="AF165" s="1">
        <f t="shared" si="208"/>
        <v>1</v>
      </c>
      <c r="AG165" s="1">
        <f t="shared" si="208"/>
        <v>2</v>
      </c>
      <c r="AH165" s="1">
        <f t="shared" ref="AH165:AY165" si="209">COUNTIF($B106:$AY106,AH106)</f>
        <v>1</v>
      </c>
      <c r="AI165" s="1">
        <f t="shared" si="209"/>
        <v>3</v>
      </c>
      <c r="AJ165" s="1">
        <f t="shared" si="209"/>
        <v>3</v>
      </c>
      <c r="AK165" s="1">
        <f t="shared" si="209"/>
        <v>1</v>
      </c>
      <c r="AL165" s="1">
        <f t="shared" si="209"/>
        <v>2</v>
      </c>
      <c r="AM165" s="1">
        <f t="shared" si="209"/>
        <v>4</v>
      </c>
      <c r="AN165" s="1">
        <f t="shared" si="209"/>
        <v>6</v>
      </c>
      <c r="AO165" s="1">
        <f t="shared" si="209"/>
        <v>6</v>
      </c>
      <c r="AP165" s="1">
        <f t="shared" si="209"/>
        <v>5</v>
      </c>
      <c r="AQ165" s="1">
        <f t="shared" si="209"/>
        <v>2</v>
      </c>
      <c r="AR165" s="1">
        <f t="shared" si="209"/>
        <v>4</v>
      </c>
      <c r="AS165" s="1">
        <f t="shared" si="209"/>
        <v>1</v>
      </c>
      <c r="AT165" s="1">
        <f t="shared" si="209"/>
        <v>3</v>
      </c>
      <c r="AU165" s="1">
        <f t="shared" si="209"/>
        <v>6</v>
      </c>
      <c r="AV165" s="1">
        <f t="shared" si="209"/>
        <v>5</v>
      </c>
      <c r="AW165" s="1">
        <f t="shared" si="209"/>
        <v>3</v>
      </c>
      <c r="AX165" s="1">
        <f t="shared" si="209"/>
        <v>4</v>
      </c>
      <c r="AY165" s="1">
        <f t="shared" si="209"/>
        <v>3</v>
      </c>
    </row>
    <row r="166" spans="1:51">
      <c r="A166" s="1" t="str">
        <f t="shared" si="181"/>
        <v>4.1.7) Political Stability Risk</v>
      </c>
      <c r="B166" s="1">
        <f t="shared" ref="B166:AG166" si="210">COUNTIF($B107:$AY107,B107)</f>
        <v>2</v>
      </c>
      <c r="C166" s="1">
        <f t="shared" si="210"/>
        <v>5</v>
      </c>
      <c r="D166" s="1">
        <f t="shared" si="210"/>
        <v>3</v>
      </c>
      <c r="E166" s="1">
        <f t="shared" si="210"/>
        <v>3</v>
      </c>
      <c r="F166" s="1">
        <f t="shared" si="210"/>
        <v>8</v>
      </c>
      <c r="G166" s="1">
        <f t="shared" si="210"/>
        <v>3</v>
      </c>
      <c r="H166" s="1">
        <f t="shared" si="210"/>
        <v>8</v>
      </c>
      <c r="I166" s="1">
        <f t="shared" si="210"/>
        <v>10</v>
      </c>
      <c r="J166" s="1">
        <f t="shared" si="210"/>
        <v>5</v>
      </c>
      <c r="K166" s="1">
        <f t="shared" si="210"/>
        <v>3</v>
      </c>
      <c r="L166" s="1">
        <f t="shared" si="210"/>
        <v>1</v>
      </c>
      <c r="M166" s="1">
        <f t="shared" si="210"/>
        <v>8</v>
      </c>
      <c r="N166" s="1">
        <f t="shared" si="210"/>
        <v>1</v>
      </c>
      <c r="O166" s="1">
        <f t="shared" si="210"/>
        <v>6</v>
      </c>
      <c r="P166" s="1">
        <f t="shared" si="210"/>
        <v>8</v>
      </c>
      <c r="Q166" s="1">
        <f t="shared" si="210"/>
        <v>4</v>
      </c>
      <c r="R166" s="1">
        <f t="shared" si="210"/>
        <v>6</v>
      </c>
      <c r="S166" s="1">
        <f t="shared" si="210"/>
        <v>1</v>
      </c>
      <c r="T166" s="1">
        <f t="shared" si="210"/>
        <v>2</v>
      </c>
      <c r="U166" s="1">
        <f t="shared" si="210"/>
        <v>4</v>
      </c>
      <c r="V166" s="1">
        <f t="shared" si="210"/>
        <v>10</v>
      </c>
      <c r="W166" s="1">
        <f t="shared" si="210"/>
        <v>3</v>
      </c>
      <c r="X166" s="1">
        <f t="shared" si="210"/>
        <v>10</v>
      </c>
      <c r="Y166" s="1">
        <f t="shared" si="210"/>
        <v>3</v>
      </c>
      <c r="Z166" s="1">
        <f t="shared" si="210"/>
        <v>6</v>
      </c>
      <c r="AA166" s="1">
        <f t="shared" si="210"/>
        <v>2</v>
      </c>
      <c r="AB166" s="1">
        <f t="shared" si="210"/>
        <v>3</v>
      </c>
      <c r="AC166" s="1">
        <f t="shared" si="210"/>
        <v>5</v>
      </c>
      <c r="AD166" s="1">
        <f t="shared" si="210"/>
        <v>10</v>
      </c>
      <c r="AE166" s="1">
        <f t="shared" si="210"/>
        <v>10</v>
      </c>
      <c r="AF166" s="1">
        <f t="shared" si="210"/>
        <v>4</v>
      </c>
      <c r="AG166" s="1">
        <f t="shared" si="210"/>
        <v>6</v>
      </c>
      <c r="AH166" s="1">
        <f t="shared" ref="AH166:AY166" si="211">COUNTIF($B107:$AY107,AH107)</f>
        <v>8</v>
      </c>
      <c r="AI166" s="1">
        <f t="shared" si="211"/>
        <v>6</v>
      </c>
      <c r="AJ166" s="1">
        <f t="shared" si="211"/>
        <v>10</v>
      </c>
      <c r="AK166" s="1">
        <f t="shared" si="211"/>
        <v>5</v>
      </c>
      <c r="AL166" s="1">
        <f t="shared" si="211"/>
        <v>6</v>
      </c>
      <c r="AM166" s="1">
        <f t="shared" si="211"/>
        <v>3</v>
      </c>
      <c r="AN166" s="1">
        <f t="shared" si="211"/>
        <v>8</v>
      </c>
      <c r="AO166" s="1">
        <f t="shared" si="211"/>
        <v>8</v>
      </c>
      <c r="AP166" s="1">
        <f t="shared" si="211"/>
        <v>5</v>
      </c>
      <c r="AQ166" s="1">
        <f t="shared" si="211"/>
        <v>3</v>
      </c>
      <c r="AR166" s="1">
        <f t="shared" si="211"/>
        <v>10</v>
      </c>
      <c r="AS166" s="1">
        <f t="shared" si="211"/>
        <v>4</v>
      </c>
      <c r="AT166" s="1">
        <f t="shared" si="211"/>
        <v>1</v>
      </c>
      <c r="AU166" s="1">
        <f t="shared" si="211"/>
        <v>8</v>
      </c>
      <c r="AV166" s="1">
        <f t="shared" si="211"/>
        <v>10</v>
      </c>
      <c r="AW166" s="1">
        <f t="shared" si="211"/>
        <v>2</v>
      </c>
      <c r="AX166" s="1">
        <f t="shared" si="211"/>
        <v>10</v>
      </c>
      <c r="AY166" s="1">
        <f t="shared" si="211"/>
        <v>10</v>
      </c>
    </row>
    <row r="167" spans="1:51">
      <c r="A167" s="1" t="str">
        <f t="shared" si="181"/>
        <v>4.2) Personal Safety (Outputs)</v>
      </c>
      <c r="B167" s="1">
        <f t="shared" ref="B167:AG167" si="212">COUNTIF($B108:$AY108,B108)</f>
        <v>1</v>
      </c>
      <c r="C167" s="1">
        <f t="shared" si="212"/>
        <v>1</v>
      </c>
      <c r="D167" s="1">
        <f t="shared" si="212"/>
        <v>1</v>
      </c>
      <c r="E167" s="1">
        <f t="shared" si="212"/>
        <v>1</v>
      </c>
      <c r="F167" s="1">
        <f t="shared" si="212"/>
        <v>1</v>
      </c>
      <c r="G167" s="1">
        <f t="shared" si="212"/>
        <v>1</v>
      </c>
      <c r="H167" s="1">
        <f t="shared" si="212"/>
        <v>1</v>
      </c>
      <c r="I167" s="1">
        <f t="shared" si="212"/>
        <v>1</v>
      </c>
      <c r="J167" s="1">
        <f t="shared" si="212"/>
        <v>1</v>
      </c>
      <c r="K167" s="1">
        <f t="shared" si="212"/>
        <v>1</v>
      </c>
      <c r="L167" s="1">
        <f t="shared" si="212"/>
        <v>2</v>
      </c>
      <c r="M167" s="1">
        <f t="shared" si="212"/>
        <v>1</v>
      </c>
      <c r="N167" s="1">
        <f t="shared" si="212"/>
        <v>1</v>
      </c>
      <c r="O167" s="1">
        <f t="shared" si="212"/>
        <v>1</v>
      </c>
      <c r="P167" s="1">
        <f t="shared" si="212"/>
        <v>1</v>
      </c>
      <c r="Q167" s="1">
        <f t="shared" si="212"/>
        <v>1</v>
      </c>
      <c r="R167" s="1">
        <f t="shared" si="212"/>
        <v>1</v>
      </c>
      <c r="S167" s="1">
        <f t="shared" si="212"/>
        <v>1</v>
      </c>
      <c r="T167" s="1">
        <f t="shared" si="212"/>
        <v>1</v>
      </c>
      <c r="U167" s="1">
        <f t="shared" si="212"/>
        <v>1</v>
      </c>
      <c r="V167" s="1">
        <f t="shared" si="212"/>
        <v>1</v>
      </c>
      <c r="W167" s="1">
        <f t="shared" si="212"/>
        <v>1</v>
      </c>
      <c r="X167" s="1">
        <f t="shared" si="212"/>
        <v>1</v>
      </c>
      <c r="Y167" s="1">
        <f t="shared" si="212"/>
        <v>1</v>
      </c>
      <c r="Z167" s="1">
        <f t="shared" si="212"/>
        <v>1</v>
      </c>
      <c r="AA167" s="1">
        <f t="shared" si="212"/>
        <v>1</v>
      </c>
      <c r="AB167" s="1">
        <f t="shared" si="212"/>
        <v>1</v>
      </c>
      <c r="AC167" s="1">
        <f t="shared" si="212"/>
        <v>2</v>
      </c>
      <c r="AD167" s="1">
        <f t="shared" si="212"/>
        <v>1</v>
      </c>
      <c r="AE167" s="1">
        <f t="shared" si="212"/>
        <v>1</v>
      </c>
      <c r="AF167" s="1">
        <f t="shared" si="212"/>
        <v>1</v>
      </c>
      <c r="AG167" s="1">
        <f t="shared" si="212"/>
        <v>1</v>
      </c>
      <c r="AH167" s="1">
        <f t="shared" ref="AH167:AY167" si="213">COUNTIF($B108:$AY108,AH108)</f>
        <v>1</v>
      </c>
      <c r="AI167" s="1">
        <f t="shared" si="213"/>
        <v>1</v>
      </c>
      <c r="AJ167" s="1">
        <f t="shared" si="213"/>
        <v>1</v>
      </c>
      <c r="AK167" s="1">
        <f t="shared" si="213"/>
        <v>1</v>
      </c>
      <c r="AL167" s="1">
        <f t="shared" si="213"/>
        <v>1</v>
      </c>
      <c r="AM167" s="1">
        <f t="shared" si="213"/>
        <v>1</v>
      </c>
      <c r="AN167" s="1">
        <f t="shared" si="213"/>
        <v>1</v>
      </c>
      <c r="AO167" s="1">
        <f t="shared" si="213"/>
        <v>1</v>
      </c>
      <c r="AP167" s="1">
        <f t="shared" si="213"/>
        <v>1</v>
      </c>
      <c r="AQ167" s="1">
        <f t="shared" si="213"/>
        <v>1</v>
      </c>
      <c r="AR167" s="1">
        <f t="shared" si="213"/>
        <v>1</v>
      </c>
      <c r="AS167" s="1">
        <f t="shared" si="213"/>
        <v>1</v>
      </c>
      <c r="AT167" s="1">
        <f t="shared" si="213"/>
        <v>1</v>
      </c>
      <c r="AU167" s="1">
        <f t="shared" si="213"/>
        <v>1</v>
      </c>
      <c r="AV167" s="1">
        <f t="shared" si="213"/>
        <v>1</v>
      </c>
      <c r="AW167" s="1">
        <f t="shared" si="213"/>
        <v>1</v>
      </c>
      <c r="AX167" s="1">
        <f t="shared" si="213"/>
        <v>1</v>
      </c>
      <c r="AY167" s="1">
        <f t="shared" si="213"/>
        <v>1</v>
      </c>
    </row>
    <row r="168" spans="1:51">
      <c r="A168" s="1" t="str">
        <f t="shared" si="181"/>
        <v>4.2.1) Prevalence of petty crime</v>
      </c>
      <c r="B168" s="1">
        <f t="shared" ref="B168:AG168" si="214">COUNTIF($B109:$AY109,B109)</f>
        <v>25</v>
      </c>
      <c r="C168" s="1">
        <f t="shared" si="214"/>
        <v>15</v>
      </c>
      <c r="D168" s="1">
        <f t="shared" si="214"/>
        <v>15</v>
      </c>
      <c r="E168" s="1">
        <f t="shared" si="214"/>
        <v>25</v>
      </c>
      <c r="F168" s="1">
        <f t="shared" si="214"/>
        <v>15</v>
      </c>
      <c r="G168" s="1">
        <f t="shared" si="214"/>
        <v>25</v>
      </c>
      <c r="H168" s="1">
        <f t="shared" si="214"/>
        <v>15</v>
      </c>
      <c r="I168" s="1">
        <f t="shared" si="214"/>
        <v>25</v>
      </c>
      <c r="J168" s="1">
        <f t="shared" si="214"/>
        <v>15</v>
      </c>
      <c r="K168" s="1">
        <f t="shared" si="214"/>
        <v>25</v>
      </c>
      <c r="L168" s="1">
        <f t="shared" si="214"/>
        <v>25</v>
      </c>
      <c r="M168" s="1">
        <f t="shared" si="214"/>
        <v>15</v>
      </c>
      <c r="N168" s="1">
        <f t="shared" si="214"/>
        <v>5</v>
      </c>
      <c r="O168" s="1">
        <f t="shared" si="214"/>
        <v>25</v>
      </c>
      <c r="P168" s="1">
        <f t="shared" si="214"/>
        <v>15</v>
      </c>
      <c r="Q168" s="1">
        <f t="shared" si="214"/>
        <v>5</v>
      </c>
      <c r="R168" s="1">
        <f t="shared" si="214"/>
        <v>2</v>
      </c>
      <c r="S168" s="1">
        <f t="shared" si="214"/>
        <v>25</v>
      </c>
      <c r="T168" s="1">
        <f t="shared" si="214"/>
        <v>15</v>
      </c>
      <c r="U168" s="1">
        <f t="shared" si="214"/>
        <v>15</v>
      </c>
      <c r="V168" s="1">
        <f t="shared" si="214"/>
        <v>25</v>
      </c>
      <c r="W168" s="1">
        <f t="shared" si="214"/>
        <v>25</v>
      </c>
      <c r="X168" s="1">
        <f t="shared" si="214"/>
        <v>25</v>
      </c>
      <c r="Y168" s="1">
        <f t="shared" si="214"/>
        <v>2</v>
      </c>
      <c r="Z168" s="1">
        <f t="shared" si="214"/>
        <v>25</v>
      </c>
      <c r="AA168" s="1">
        <f t="shared" si="214"/>
        <v>25</v>
      </c>
      <c r="AB168" s="1">
        <f t="shared" si="214"/>
        <v>15</v>
      </c>
      <c r="AC168" s="1">
        <f t="shared" si="214"/>
        <v>5</v>
      </c>
      <c r="AD168" s="1">
        <f t="shared" si="214"/>
        <v>15</v>
      </c>
      <c r="AE168" s="1">
        <f t="shared" si="214"/>
        <v>25</v>
      </c>
      <c r="AF168" s="1">
        <f t="shared" si="214"/>
        <v>25</v>
      </c>
      <c r="AG168" s="1">
        <f t="shared" si="214"/>
        <v>5</v>
      </c>
      <c r="AH168" s="1">
        <f t="shared" ref="AH168:AY168" si="215">COUNTIF($B109:$AY109,AH109)</f>
        <v>25</v>
      </c>
      <c r="AI168" s="1">
        <f t="shared" si="215"/>
        <v>15</v>
      </c>
      <c r="AJ168" s="1">
        <f t="shared" si="215"/>
        <v>25</v>
      </c>
      <c r="AK168" s="1">
        <f t="shared" si="215"/>
        <v>15</v>
      </c>
      <c r="AL168" s="1">
        <f t="shared" si="215"/>
        <v>5</v>
      </c>
      <c r="AM168" s="1">
        <f t="shared" si="215"/>
        <v>25</v>
      </c>
      <c r="AN168" s="1">
        <f t="shared" si="215"/>
        <v>15</v>
      </c>
      <c r="AO168" s="1">
        <f t="shared" si="215"/>
        <v>25</v>
      </c>
      <c r="AP168" s="1">
        <f t="shared" si="215"/>
        <v>3</v>
      </c>
      <c r="AQ168" s="1">
        <f t="shared" si="215"/>
        <v>3</v>
      </c>
      <c r="AR168" s="1">
        <f t="shared" si="215"/>
        <v>25</v>
      </c>
      <c r="AS168" s="1">
        <f t="shared" si="215"/>
        <v>25</v>
      </c>
      <c r="AT168" s="1">
        <f t="shared" si="215"/>
        <v>15</v>
      </c>
      <c r="AU168" s="1">
        <f t="shared" si="215"/>
        <v>25</v>
      </c>
      <c r="AV168" s="1">
        <f t="shared" si="215"/>
        <v>25</v>
      </c>
      <c r="AW168" s="1">
        <f t="shared" si="215"/>
        <v>3</v>
      </c>
      <c r="AX168" s="1">
        <f t="shared" si="215"/>
        <v>25</v>
      </c>
      <c r="AY168" s="1">
        <f t="shared" si="215"/>
        <v>25</v>
      </c>
    </row>
    <row r="169" spans="1:51">
      <c r="A169" s="1" t="str">
        <f t="shared" si="181"/>
        <v>4.2.2) Prevalence of violence crime</v>
      </c>
      <c r="B169" s="1">
        <f t="shared" ref="B169:AG169" si="216">COUNTIF($B110:$AY110,B110)</f>
        <v>15</v>
      </c>
      <c r="C169" s="1">
        <f t="shared" si="216"/>
        <v>25</v>
      </c>
      <c r="D169" s="1">
        <f t="shared" si="216"/>
        <v>25</v>
      </c>
      <c r="E169" s="1">
        <f t="shared" si="216"/>
        <v>25</v>
      </c>
      <c r="F169" s="1">
        <f t="shared" si="216"/>
        <v>25</v>
      </c>
      <c r="G169" s="1">
        <f t="shared" si="216"/>
        <v>25</v>
      </c>
      <c r="H169" s="1">
        <f t="shared" si="216"/>
        <v>6</v>
      </c>
      <c r="I169" s="1">
        <f t="shared" si="216"/>
        <v>25</v>
      </c>
      <c r="J169" s="1">
        <f t="shared" si="216"/>
        <v>6</v>
      </c>
      <c r="K169" s="1">
        <f t="shared" si="216"/>
        <v>15</v>
      </c>
      <c r="L169" s="1">
        <f t="shared" si="216"/>
        <v>25</v>
      </c>
      <c r="M169" s="1">
        <f t="shared" si="216"/>
        <v>25</v>
      </c>
      <c r="N169" s="1">
        <f t="shared" si="216"/>
        <v>6</v>
      </c>
      <c r="O169" s="1">
        <f t="shared" si="216"/>
        <v>15</v>
      </c>
      <c r="P169" s="1">
        <f t="shared" si="216"/>
        <v>6</v>
      </c>
      <c r="Q169" s="1">
        <f t="shared" si="216"/>
        <v>25</v>
      </c>
      <c r="R169" s="1">
        <f t="shared" si="216"/>
        <v>2</v>
      </c>
      <c r="S169" s="1">
        <f t="shared" si="216"/>
        <v>15</v>
      </c>
      <c r="T169" s="1">
        <f t="shared" si="216"/>
        <v>6</v>
      </c>
      <c r="U169" s="1">
        <f t="shared" si="216"/>
        <v>25</v>
      </c>
      <c r="V169" s="1">
        <f t="shared" si="216"/>
        <v>25</v>
      </c>
      <c r="W169" s="1">
        <f t="shared" si="216"/>
        <v>25</v>
      </c>
      <c r="X169" s="1">
        <f t="shared" si="216"/>
        <v>15</v>
      </c>
      <c r="Y169" s="1">
        <f t="shared" si="216"/>
        <v>2</v>
      </c>
      <c r="Z169" s="1">
        <f t="shared" si="216"/>
        <v>25</v>
      </c>
      <c r="AA169" s="1">
        <f t="shared" si="216"/>
        <v>15</v>
      </c>
      <c r="AB169" s="1">
        <f t="shared" si="216"/>
        <v>25</v>
      </c>
      <c r="AC169" s="1">
        <f t="shared" si="216"/>
        <v>25</v>
      </c>
      <c r="AD169" s="1">
        <f t="shared" si="216"/>
        <v>25</v>
      </c>
      <c r="AE169" s="1">
        <f t="shared" si="216"/>
        <v>15</v>
      </c>
      <c r="AF169" s="1">
        <f t="shared" si="216"/>
        <v>25</v>
      </c>
      <c r="AG169" s="1">
        <f t="shared" si="216"/>
        <v>2</v>
      </c>
      <c r="AH169" s="1">
        <f t="shared" ref="AH169:AY169" si="217">COUNTIF($B110:$AY110,AH110)</f>
        <v>15</v>
      </c>
      <c r="AI169" s="1">
        <f t="shared" si="217"/>
        <v>25</v>
      </c>
      <c r="AJ169" s="1">
        <f t="shared" si="217"/>
        <v>25</v>
      </c>
      <c r="AK169" s="1">
        <f t="shared" si="217"/>
        <v>6</v>
      </c>
      <c r="AL169" s="1">
        <f t="shared" si="217"/>
        <v>2</v>
      </c>
      <c r="AM169" s="1">
        <f t="shared" si="217"/>
        <v>15</v>
      </c>
      <c r="AN169" s="1">
        <f t="shared" si="217"/>
        <v>25</v>
      </c>
      <c r="AO169" s="1">
        <f t="shared" si="217"/>
        <v>25</v>
      </c>
      <c r="AP169" s="1">
        <f t="shared" si="217"/>
        <v>15</v>
      </c>
      <c r="AQ169" s="1">
        <f t="shared" si="217"/>
        <v>15</v>
      </c>
      <c r="AR169" s="1">
        <f t="shared" si="217"/>
        <v>25</v>
      </c>
      <c r="AS169" s="1">
        <f t="shared" si="217"/>
        <v>25</v>
      </c>
      <c r="AT169" s="1">
        <f t="shared" si="217"/>
        <v>25</v>
      </c>
      <c r="AU169" s="1">
        <f t="shared" si="217"/>
        <v>15</v>
      </c>
      <c r="AV169" s="1">
        <f t="shared" si="217"/>
        <v>15</v>
      </c>
      <c r="AW169" s="1">
        <f t="shared" si="217"/>
        <v>15</v>
      </c>
      <c r="AX169" s="1">
        <f t="shared" si="217"/>
        <v>25</v>
      </c>
      <c r="AY169" s="1">
        <f t="shared" si="217"/>
        <v>15</v>
      </c>
    </row>
    <row r="170" spans="1:51">
      <c r="A170" s="1" t="str">
        <f t="shared" si="181"/>
        <v>4.2.3) Criminal gang activity</v>
      </c>
      <c r="B170" s="1">
        <f t="shared" ref="B170:AG170" si="218">COUNTIF($B111:$AY111,B111)</f>
        <v>2</v>
      </c>
      <c r="C170" s="1">
        <f t="shared" si="218"/>
        <v>1</v>
      </c>
      <c r="D170" s="1">
        <f t="shared" si="218"/>
        <v>1</v>
      </c>
      <c r="E170" s="1">
        <f t="shared" si="218"/>
        <v>2</v>
      </c>
      <c r="F170" s="1">
        <f t="shared" si="218"/>
        <v>6</v>
      </c>
      <c r="G170" s="1">
        <f t="shared" si="218"/>
        <v>2</v>
      </c>
      <c r="H170" s="1">
        <f t="shared" si="218"/>
        <v>2</v>
      </c>
      <c r="I170" s="1">
        <f t="shared" si="218"/>
        <v>6</v>
      </c>
      <c r="J170" s="1">
        <f t="shared" si="218"/>
        <v>2</v>
      </c>
      <c r="K170" s="1">
        <f t="shared" si="218"/>
        <v>6</v>
      </c>
      <c r="L170" s="1">
        <f t="shared" si="218"/>
        <v>1</v>
      </c>
      <c r="M170" s="1">
        <f t="shared" si="218"/>
        <v>6</v>
      </c>
      <c r="N170" s="1">
        <f t="shared" si="218"/>
        <v>1</v>
      </c>
      <c r="O170" s="1">
        <f t="shared" si="218"/>
        <v>6</v>
      </c>
      <c r="P170" s="1">
        <f t="shared" si="218"/>
        <v>1</v>
      </c>
      <c r="Q170" s="1">
        <f t="shared" si="218"/>
        <v>1</v>
      </c>
      <c r="R170" s="1">
        <f t="shared" si="218"/>
        <v>1</v>
      </c>
      <c r="S170" s="1">
        <f t="shared" si="218"/>
        <v>1</v>
      </c>
      <c r="T170" s="1">
        <f t="shared" si="218"/>
        <v>1</v>
      </c>
      <c r="U170" s="1">
        <f t="shared" si="218"/>
        <v>1</v>
      </c>
      <c r="V170" s="1">
        <f t="shared" si="218"/>
        <v>6</v>
      </c>
      <c r="W170" s="1">
        <f t="shared" si="218"/>
        <v>2</v>
      </c>
      <c r="X170" s="1">
        <f t="shared" si="218"/>
        <v>2</v>
      </c>
      <c r="Y170" s="1">
        <f t="shared" si="218"/>
        <v>1</v>
      </c>
      <c r="Z170" s="1">
        <f t="shared" si="218"/>
        <v>2</v>
      </c>
      <c r="AA170" s="1">
        <f t="shared" si="218"/>
        <v>2</v>
      </c>
      <c r="AB170" s="1">
        <f t="shared" si="218"/>
        <v>1</v>
      </c>
      <c r="AC170" s="1">
        <f t="shared" si="218"/>
        <v>2</v>
      </c>
      <c r="AD170" s="1">
        <f t="shared" si="218"/>
        <v>6</v>
      </c>
      <c r="AE170" s="1">
        <f t="shared" si="218"/>
        <v>2</v>
      </c>
      <c r="AF170" s="1">
        <f t="shared" si="218"/>
        <v>1</v>
      </c>
      <c r="AG170" s="1">
        <f t="shared" si="218"/>
        <v>2</v>
      </c>
      <c r="AH170" s="1">
        <f t="shared" ref="AH170:AY170" si="219">COUNTIF($B111:$AY111,AH111)</f>
        <v>1</v>
      </c>
      <c r="AI170" s="1">
        <f t="shared" si="219"/>
        <v>2</v>
      </c>
      <c r="AJ170" s="1">
        <f t="shared" si="219"/>
        <v>6</v>
      </c>
      <c r="AK170" s="1">
        <f t="shared" si="219"/>
        <v>1</v>
      </c>
      <c r="AL170" s="1">
        <f t="shared" si="219"/>
        <v>2</v>
      </c>
      <c r="AM170" s="1">
        <f t="shared" si="219"/>
        <v>1</v>
      </c>
      <c r="AN170" s="1">
        <f t="shared" si="219"/>
        <v>6</v>
      </c>
      <c r="AO170" s="1">
        <f t="shared" si="219"/>
        <v>6</v>
      </c>
      <c r="AP170" s="1">
        <f t="shared" si="219"/>
        <v>2</v>
      </c>
      <c r="AQ170" s="1">
        <f t="shared" si="219"/>
        <v>1</v>
      </c>
      <c r="AR170" s="1">
        <f t="shared" si="219"/>
        <v>2</v>
      </c>
      <c r="AS170" s="1">
        <f t="shared" si="219"/>
        <v>1</v>
      </c>
      <c r="AT170" s="1">
        <f t="shared" si="219"/>
        <v>1</v>
      </c>
      <c r="AU170" s="1">
        <f t="shared" si="219"/>
        <v>6</v>
      </c>
      <c r="AV170" s="1">
        <f t="shared" si="219"/>
        <v>2</v>
      </c>
      <c r="AW170" s="1">
        <f t="shared" si="219"/>
        <v>2</v>
      </c>
      <c r="AX170" s="1">
        <f t="shared" si="219"/>
        <v>6</v>
      </c>
      <c r="AY170" s="1">
        <f t="shared" si="219"/>
        <v>1</v>
      </c>
    </row>
    <row r="171" spans="1:51">
      <c r="A171" s="1" t="str">
        <f t="shared" si="181"/>
        <v>4.2.4) Level of corruption in police force</v>
      </c>
      <c r="B171" s="1">
        <f t="shared" ref="B171:AG171" si="220">COUNTIF($B112:$AY112,B112)</f>
        <v>1</v>
      </c>
      <c r="C171" s="1">
        <f t="shared" si="220"/>
        <v>1</v>
      </c>
      <c r="D171" s="1">
        <f t="shared" si="220"/>
        <v>7</v>
      </c>
      <c r="E171" s="1">
        <f t="shared" si="220"/>
        <v>2</v>
      </c>
      <c r="F171" s="1">
        <f t="shared" si="220"/>
        <v>7</v>
      </c>
      <c r="G171" s="1">
        <f t="shared" si="220"/>
        <v>6</v>
      </c>
      <c r="H171" s="1">
        <f t="shared" si="220"/>
        <v>1</v>
      </c>
      <c r="I171" s="1">
        <f t="shared" si="220"/>
        <v>6</v>
      </c>
      <c r="J171" s="1">
        <f t="shared" si="220"/>
        <v>2</v>
      </c>
      <c r="K171" s="1">
        <f t="shared" si="220"/>
        <v>1</v>
      </c>
      <c r="L171" s="1">
        <f t="shared" si="220"/>
        <v>1</v>
      </c>
      <c r="M171" s="1">
        <f t="shared" si="220"/>
        <v>7</v>
      </c>
      <c r="N171" s="1">
        <f t="shared" si="220"/>
        <v>1</v>
      </c>
      <c r="O171" s="1">
        <f t="shared" si="220"/>
        <v>1</v>
      </c>
      <c r="P171" s="1">
        <f t="shared" si="220"/>
        <v>1</v>
      </c>
      <c r="Q171" s="1">
        <f t="shared" si="220"/>
        <v>1</v>
      </c>
      <c r="R171" s="1">
        <f t="shared" si="220"/>
        <v>2</v>
      </c>
      <c r="S171" s="1">
        <f t="shared" si="220"/>
        <v>2</v>
      </c>
      <c r="T171" s="1">
        <f t="shared" si="220"/>
        <v>7</v>
      </c>
      <c r="U171" s="1">
        <f t="shared" si="220"/>
        <v>1</v>
      </c>
      <c r="V171" s="1">
        <f t="shared" si="220"/>
        <v>6</v>
      </c>
      <c r="W171" s="1">
        <f t="shared" si="220"/>
        <v>2</v>
      </c>
      <c r="X171" s="1">
        <f t="shared" si="220"/>
        <v>3</v>
      </c>
      <c r="Y171" s="1">
        <f t="shared" si="220"/>
        <v>1</v>
      </c>
      <c r="Z171" s="1">
        <f t="shared" si="220"/>
        <v>2</v>
      </c>
      <c r="AA171" s="1">
        <f t="shared" si="220"/>
        <v>2</v>
      </c>
      <c r="AB171" s="1">
        <f t="shared" si="220"/>
        <v>1</v>
      </c>
      <c r="AC171" s="1">
        <f t="shared" si="220"/>
        <v>2</v>
      </c>
      <c r="AD171" s="1">
        <f t="shared" si="220"/>
        <v>6</v>
      </c>
      <c r="AE171" s="1">
        <f t="shared" si="220"/>
        <v>2</v>
      </c>
      <c r="AF171" s="1">
        <f t="shared" si="220"/>
        <v>1</v>
      </c>
      <c r="AG171" s="1">
        <f t="shared" si="220"/>
        <v>2</v>
      </c>
      <c r="AH171" s="1">
        <f t="shared" ref="AH171:AY171" si="221">COUNTIF($B112:$AY112,AH112)</f>
        <v>1</v>
      </c>
      <c r="AI171" s="1">
        <f t="shared" si="221"/>
        <v>2</v>
      </c>
      <c r="AJ171" s="1">
        <f t="shared" si="221"/>
        <v>6</v>
      </c>
      <c r="AK171" s="1">
        <f t="shared" si="221"/>
        <v>1</v>
      </c>
      <c r="AL171" s="1">
        <f t="shared" si="221"/>
        <v>2</v>
      </c>
      <c r="AM171" s="1">
        <f t="shared" si="221"/>
        <v>1</v>
      </c>
      <c r="AN171" s="1">
        <f t="shared" si="221"/>
        <v>7</v>
      </c>
      <c r="AO171" s="1">
        <f t="shared" si="221"/>
        <v>7</v>
      </c>
      <c r="AP171" s="1">
        <f t="shared" si="221"/>
        <v>1</v>
      </c>
      <c r="AQ171" s="1">
        <f t="shared" si="221"/>
        <v>1</v>
      </c>
      <c r="AR171" s="1">
        <f t="shared" si="221"/>
        <v>3</v>
      </c>
      <c r="AS171" s="1">
        <f t="shared" si="221"/>
        <v>1</v>
      </c>
      <c r="AT171" s="1">
        <f t="shared" si="221"/>
        <v>1</v>
      </c>
      <c r="AU171" s="1">
        <f t="shared" si="221"/>
        <v>7</v>
      </c>
      <c r="AV171" s="1">
        <f t="shared" si="221"/>
        <v>2</v>
      </c>
      <c r="AW171" s="1">
        <f t="shared" si="221"/>
        <v>2</v>
      </c>
      <c r="AX171" s="1">
        <f t="shared" si="221"/>
        <v>6</v>
      </c>
      <c r="AY171" s="1">
        <f t="shared" si="221"/>
        <v>3</v>
      </c>
    </row>
    <row r="172" spans="1:51">
      <c r="A172" s="1" t="str">
        <f t="shared" si="181"/>
        <v>4.2.5) Rate of drug use</v>
      </c>
      <c r="B172" s="1">
        <f t="shared" ref="B172:AG172" si="222">COUNTIF($B113:$AY113,B113)</f>
        <v>1</v>
      </c>
      <c r="C172" s="1">
        <f t="shared" si="222"/>
        <v>2</v>
      </c>
      <c r="D172" s="1">
        <f t="shared" si="222"/>
        <v>6</v>
      </c>
      <c r="E172" s="1">
        <f t="shared" si="222"/>
        <v>5</v>
      </c>
      <c r="F172" s="1">
        <f t="shared" si="222"/>
        <v>5</v>
      </c>
      <c r="G172" s="1">
        <f t="shared" si="222"/>
        <v>2</v>
      </c>
      <c r="H172" s="1">
        <f t="shared" si="222"/>
        <v>5</v>
      </c>
      <c r="I172" s="1">
        <f t="shared" si="222"/>
        <v>6</v>
      </c>
      <c r="J172" s="1">
        <f t="shared" si="222"/>
        <v>3</v>
      </c>
      <c r="K172" s="1">
        <f t="shared" si="222"/>
        <v>2</v>
      </c>
      <c r="L172" s="1">
        <f t="shared" si="222"/>
        <v>2</v>
      </c>
      <c r="M172" s="1">
        <f t="shared" si="222"/>
        <v>5</v>
      </c>
      <c r="N172" s="1">
        <f t="shared" si="222"/>
        <v>6</v>
      </c>
      <c r="O172" s="1">
        <f t="shared" si="222"/>
        <v>1</v>
      </c>
      <c r="P172" s="1">
        <f t="shared" si="222"/>
        <v>6</v>
      </c>
      <c r="Q172" s="1">
        <f t="shared" si="222"/>
        <v>5</v>
      </c>
      <c r="R172" s="1">
        <f t="shared" si="222"/>
        <v>1</v>
      </c>
      <c r="S172" s="1">
        <f t="shared" si="222"/>
        <v>6</v>
      </c>
      <c r="T172" s="1">
        <f t="shared" si="222"/>
        <v>2</v>
      </c>
      <c r="U172" s="1">
        <f t="shared" si="222"/>
        <v>3</v>
      </c>
      <c r="V172" s="1">
        <f t="shared" si="222"/>
        <v>6</v>
      </c>
      <c r="W172" s="1">
        <f t="shared" si="222"/>
        <v>5</v>
      </c>
      <c r="X172" s="1">
        <f t="shared" si="222"/>
        <v>3</v>
      </c>
      <c r="Y172" s="1">
        <f t="shared" si="222"/>
        <v>3</v>
      </c>
      <c r="Z172" s="1">
        <f t="shared" si="222"/>
        <v>2</v>
      </c>
      <c r="AA172" s="1">
        <f t="shared" si="222"/>
        <v>2</v>
      </c>
      <c r="AB172" s="1">
        <f t="shared" si="222"/>
        <v>2</v>
      </c>
      <c r="AC172" s="1">
        <f t="shared" si="222"/>
        <v>3</v>
      </c>
      <c r="AD172" s="1">
        <f t="shared" si="222"/>
        <v>6</v>
      </c>
      <c r="AE172" s="1">
        <f t="shared" si="222"/>
        <v>2</v>
      </c>
      <c r="AF172" s="1">
        <f t="shared" si="222"/>
        <v>2</v>
      </c>
      <c r="AG172" s="1">
        <f t="shared" si="222"/>
        <v>2</v>
      </c>
      <c r="AH172" s="1">
        <f t="shared" ref="AH172:AY172" si="223">COUNTIF($B113:$AY113,AH113)</f>
        <v>2</v>
      </c>
      <c r="AI172" s="1">
        <f t="shared" si="223"/>
        <v>2</v>
      </c>
      <c r="AJ172" s="1">
        <f t="shared" si="223"/>
        <v>6</v>
      </c>
      <c r="AK172" s="1">
        <f t="shared" si="223"/>
        <v>6</v>
      </c>
      <c r="AL172" s="1">
        <f t="shared" si="223"/>
        <v>2</v>
      </c>
      <c r="AM172" s="1">
        <f t="shared" si="223"/>
        <v>6</v>
      </c>
      <c r="AN172" s="1">
        <f t="shared" si="223"/>
        <v>5</v>
      </c>
      <c r="AO172" s="1">
        <f t="shared" si="223"/>
        <v>5</v>
      </c>
      <c r="AP172" s="1">
        <f t="shared" si="223"/>
        <v>1</v>
      </c>
      <c r="AQ172" s="1">
        <f t="shared" si="223"/>
        <v>2</v>
      </c>
      <c r="AR172" s="1">
        <f t="shared" si="223"/>
        <v>3</v>
      </c>
      <c r="AS172" s="1">
        <f t="shared" si="223"/>
        <v>6</v>
      </c>
      <c r="AT172" s="1">
        <f t="shared" si="223"/>
        <v>5</v>
      </c>
      <c r="AU172" s="1">
        <f t="shared" si="223"/>
        <v>5</v>
      </c>
      <c r="AV172" s="1">
        <f t="shared" si="223"/>
        <v>2</v>
      </c>
      <c r="AW172" s="1">
        <f t="shared" si="223"/>
        <v>2</v>
      </c>
      <c r="AX172" s="1">
        <f t="shared" si="223"/>
        <v>6</v>
      </c>
      <c r="AY172" s="1">
        <f t="shared" si="223"/>
        <v>2</v>
      </c>
    </row>
    <row r="173" spans="1:51">
      <c r="A173" s="1" t="str">
        <f t="shared" si="181"/>
        <v>4.2.6) Frequency of terrorist attacks</v>
      </c>
      <c r="B173" s="1">
        <f t="shared" ref="B173:AG173" si="224">COUNTIF($B114:$AY114,B114)</f>
        <v>13</v>
      </c>
      <c r="C173" s="1">
        <f t="shared" si="224"/>
        <v>11</v>
      </c>
      <c r="D173" s="1">
        <f t="shared" si="224"/>
        <v>1</v>
      </c>
      <c r="E173" s="1">
        <f t="shared" si="224"/>
        <v>11</v>
      </c>
      <c r="F173" s="1">
        <f t="shared" si="224"/>
        <v>2</v>
      </c>
      <c r="G173" s="1">
        <f t="shared" si="224"/>
        <v>5</v>
      </c>
      <c r="H173" s="1">
        <f t="shared" si="224"/>
        <v>2</v>
      </c>
      <c r="I173" s="1">
        <f t="shared" si="224"/>
        <v>13</v>
      </c>
      <c r="J173" s="1">
        <f t="shared" si="224"/>
        <v>1</v>
      </c>
      <c r="K173" s="1">
        <f t="shared" si="224"/>
        <v>11</v>
      </c>
      <c r="L173" s="1">
        <f t="shared" si="224"/>
        <v>5</v>
      </c>
      <c r="M173" s="1">
        <f t="shared" si="224"/>
        <v>13</v>
      </c>
      <c r="N173" s="1">
        <f t="shared" si="224"/>
        <v>13</v>
      </c>
      <c r="O173" s="1">
        <f t="shared" si="224"/>
        <v>11</v>
      </c>
      <c r="P173" s="1">
        <f t="shared" si="224"/>
        <v>1</v>
      </c>
      <c r="Q173" s="1">
        <f t="shared" si="224"/>
        <v>2</v>
      </c>
      <c r="R173" s="1">
        <f t="shared" si="224"/>
        <v>11</v>
      </c>
      <c r="S173" s="1">
        <f t="shared" si="224"/>
        <v>13</v>
      </c>
      <c r="T173" s="1">
        <f t="shared" si="224"/>
        <v>11</v>
      </c>
      <c r="U173" s="1">
        <f t="shared" si="224"/>
        <v>1</v>
      </c>
      <c r="V173" s="1">
        <f t="shared" si="224"/>
        <v>2</v>
      </c>
      <c r="W173" s="1">
        <f t="shared" si="224"/>
        <v>2</v>
      </c>
      <c r="X173" s="1">
        <f t="shared" si="224"/>
        <v>13</v>
      </c>
      <c r="Y173" s="1">
        <f t="shared" si="224"/>
        <v>1</v>
      </c>
      <c r="Z173" s="1">
        <f t="shared" si="224"/>
        <v>1</v>
      </c>
      <c r="AA173" s="1">
        <f t="shared" si="224"/>
        <v>5</v>
      </c>
      <c r="AB173" s="1">
        <f t="shared" si="224"/>
        <v>1</v>
      </c>
      <c r="AC173" s="1">
        <f t="shared" si="224"/>
        <v>1</v>
      </c>
      <c r="AD173" s="1">
        <f t="shared" si="224"/>
        <v>2</v>
      </c>
      <c r="AE173" s="1">
        <f t="shared" si="224"/>
        <v>13</v>
      </c>
      <c r="AF173" s="1">
        <f t="shared" si="224"/>
        <v>1</v>
      </c>
      <c r="AG173" s="1">
        <f t="shared" si="224"/>
        <v>13</v>
      </c>
      <c r="AH173" s="1">
        <f t="shared" ref="AH173:AY173" si="225">COUNTIF($B114:$AY114,AH114)</f>
        <v>1</v>
      </c>
      <c r="AI173" s="1">
        <f t="shared" si="225"/>
        <v>1</v>
      </c>
      <c r="AJ173" s="1">
        <f t="shared" si="225"/>
        <v>11</v>
      </c>
      <c r="AK173" s="1">
        <f t="shared" si="225"/>
        <v>1</v>
      </c>
      <c r="AL173" s="1">
        <f t="shared" si="225"/>
        <v>5</v>
      </c>
      <c r="AM173" s="1">
        <f t="shared" si="225"/>
        <v>11</v>
      </c>
      <c r="AN173" s="1">
        <f t="shared" si="225"/>
        <v>13</v>
      </c>
      <c r="AO173" s="1">
        <f t="shared" si="225"/>
        <v>11</v>
      </c>
      <c r="AP173" s="1">
        <f t="shared" si="225"/>
        <v>13</v>
      </c>
      <c r="AQ173" s="1">
        <f t="shared" si="225"/>
        <v>1</v>
      </c>
      <c r="AR173" s="1">
        <f t="shared" si="225"/>
        <v>13</v>
      </c>
      <c r="AS173" s="1">
        <f t="shared" si="225"/>
        <v>5</v>
      </c>
      <c r="AT173" s="1">
        <f t="shared" si="225"/>
        <v>2</v>
      </c>
      <c r="AU173" s="1">
        <f t="shared" si="225"/>
        <v>13</v>
      </c>
      <c r="AV173" s="1">
        <f t="shared" si="225"/>
        <v>13</v>
      </c>
      <c r="AW173" s="1">
        <f t="shared" si="225"/>
        <v>11</v>
      </c>
      <c r="AX173" s="1">
        <f t="shared" si="225"/>
        <v>2</v>
      </c>
      <c r="AY173" s="1">
        <f t="shared" si="225"/>
        <v>11</v>
      </c>
    </row>
    <row r="174" spans="1:51">
      <c r="A174" s="1" t="str">
        <f t="shared" si="181"/>
        <v>4.2.7) Gender safety</v>
      </c>
      <c r="B174" s="1">
        <f t="shared" ref="B174:AG174" si="226">COUNTIF($B115:$AY115,B115)</f>
        <v>1</v>
      </c>
      <c r="C174" s="1">
        <f t="shared" si="226"/>
        <v>1</v>
      </c>
      <c r="D174" s="1">
        <f t="shared" si="226"/>
        <v>1</v>
      </c>
      <c r="E174" s="1">
        <f t="shared" si="226"/>
        <v>1</v>
      </c>
      <c r="F174" s="1">
        <f t="shared" si="226"/>
        <v>5</v>
      </c>
      <c r="G174" s="1">
        <f t="shared" si="226"/>
        <v>1</v>
      </c>
      <c r="H174" s="1">
        <f t="shared" si="226"/>
        <v>1</v>
      </c>
      <c r="I174" s="1">
        <f t="shared" si="226"/>
        <v>1</v>
      </c>
      <c r="J174" s="1">
        <f t="shared" si="226"/>
        <v>1</v>
      </c>
      <c r="K174" s="1">
        <f t="shared" si="226"/>
        <v>1</v>
      </c>
      <c r="L174" s="1">
        <f t="shared" si="226"/>
        <v>1</v>
      </c>
      <c r="M174" s="1">
        <f t="shared" si="226"/>
        <v>5</v>
      </c>
      <c r="N174" s="1">
        <f t="shared" si="226"/>
        <v>1</v>
      </c>
      <c r="O174" s="1">
        <f t="shared" si="226"/>
        <v>1</v>
      </c>
      <c r="P174" s="1">
        <f t="shared" si="226"/>
        <v>1</v>
      </c>
      <c r="Q174" s="1">
        <f t="shared" si="226"/>
        <v>1</v>
      </c>
      <c r="R174" s="1">
        <f t="shared" si="226"/>
        <v>1</v>
      </c>
      <c r="S174" s="1">
        <f t="shared" si="226"/>
        <v>2</v>
      </c>
      <c r="T174" s="1">
        <f t="shared" si="226"/>
        <v>1</v>
      </c>
      <c r="U174" s="1">
        <f t="shared" si="226"/>
        <v>1</v>
      </c>
      <c r="V174" s="1">
        <f t="shared" si="226"/>
        <v>1</v>
      </c>
      <c r="W174" s="1">
        <f t="shared" si="226"/>
        <v>1</v>
      </c>
      <c r="X174" s="1">
        <f t="shared" si="226"/>
        <v>1</v>
      </c>
      <c r="Y174" s="1">
        <f t="shared" si="226"/>
        <v>1</v>
      </c>
      <c r="Z174" s="1">
        <f t="shared" si="226"/>
        <v>1</v>
      </c>
      <c r="AA174" s="1">
        <f t="shared" si="226"/>
        <v>2</v>
      </c>
      <c r="AB174" s="1">
        <f t="shared" si="226"/>
        <v>1</v>
      </c>
      <c r="AC174" s="1">
        <f t="shared" si="226"/>
        <v>1</v>
      </c>
      <c r="AD174" s="1">
        <f t="shared" si="226"/>
        <v>1</v>
      </c>
      <c r="AE174" s="1">
        <f t="shared" si="226"/>
        <v>2</v>
      </c>
      <c r="AF174" s="1">
        <f t="shared" si="226"/>
        <v>1</v>
      </c>
      <c r="AG174" s="1">
        <f t="shared" si="226"/>
        <v>1</v>
      </c>
      <c r="AH174" s="1">
        <f t="shared" ref="AH174:AY174" si="227">COUNTIF($B115:$AY115,AH115)</f>
        <v>1</v>
      </c>
      <c r="AI174" s="1">
        <f t="shared" si="227"/>
        <v>1</v>
      </c>
      <c r="AJ174" s="1">
        <f t="shared" si="227"/>
        <v>1</v>
      </c>
      <c r="AK174" s="1">
        <f t="shared" si="227"/>
        <v>1</v>
      </c>
      <c r="AL174" s="1">
        <f t="shared" si="227"/>
        <v>1</v>
      </c>
      <c r="AM174" s="1">
        <f t="shared" si="227"/>
        <v>1</v>
      </c>
      <c r="AN174" s="1">
        <f t="shared" si="227"/>
        <v>5</v>
      </c>
      <c r="AO174" s="1">
        <f t="shared" si="227"/>
        <v>5</v>
      </c>
      <c r="AP174" s="1">
        <f t="shared" si="227"/>
        <v>1</v>
      </c>
      <c r="AQ174" s="1">
        <f t="shared" si="227"/>
        <v>1</v>
      </c>
      <c r="AR174" s="1">
        <f t="shared" si="227"/>
        <v>1</v>
      </c>
      <c r="AS174" s="1">
        <f t="shared" si="227"/>
        <v>1</v>
      </c>
      <c r="AT174" s="1">
        <f t="shared" si="227"/>
        <v>1</v>
      </c>
      <c r="AU174" s="1">
        <f t="shared" si="227"/>
        <v>5</v>
      </c>
      <c r="AV174" s="1">
        <f t="shared" si="227"/>
        <v>1</v>
      </c>
      <c r="AW174" s="1">
        <f t="shared" si="227"/>
        <v>2</v>
      </c>
      <c r="AX174" s="1">
        <f t="shared" si="227"/>
        <v>1</v>
      </c>
      <c r="AY174" s="1">
        <f t="shared" si="227"/>
        <v>1</v>
      </c>
    </row>
    <row r="175" spans="1:51">
      <c r="A175" s="1" t="str">
        <f t="shared" si="181"/>
        <v>4.2.8) Perceptions of safety</v>
      </c>
      <c r="B175" s="1">
        <f t="shared" ref="B175:AG175" si="228">COUNTIF($B116:$AY116,B116)</f>
        <v>1</v>
      </c>
      <c r="C175" s="1">
        <f t="shared" si="228"/>
        <v>1</v>
      </c>
      <c r="D175" s="1">
        <f t="shared" si="228"/>
        <v>1</v>
      </c>
      <c r="E175" s="1">
        <f t="shared" si="228"/>
        <v>1</v>
      </c>
      <c r="F175" s="1">
        <f t="shared" si="228"/>
        <v>1</v>
      </c>
      <c r="G175" s="1">
        <f t="shared" si="228"/>
        <v>1</v>
      </c>
      <c r="H175" s="1">
        <f t="shared" si="228"/>
        <v>1</v>
      </c>
      <c r="I175" s="1">
        <f t="shared" si="228"/>
        <v>1</v>
      </c>
      <c r="J175" s="1">
        <f t="shared" si="228"/>
        <v>1</v>
      </c>
      <c r="K175" s="1">
        <f t="shared" si="228"/>
        <v>1</v>
      </c>
      <c r="L175" s="1">
        <f t="shared" si="228"/>
        <v>1</v>
      </c>
      <c r="M175" s="1">
        <f t="shared" si="228"/>
        <v>1</v>
      </c>
      <c r="N175" s="1">
        <f t="shared" si="228"/>
        <v>1</v>
      </c>
      <c r="O175" s="1">
        <f t="shared" si="228"/>
        <v>1</v>
      </c>
      <c r="P175" s="1">
        <f t="shared" si="228"/>
        <v>1</v>
      </c>
      <c r="Q175" s="1">
        <f t="shared" si="228"/>
        <v>1</v>
      </c>
      <c r="R175" s="1">
        <f t="shared" si="228"/>
        <v>1</v>
      </c>
      <c r="S175" s="1">
        <f t="shared" si="228"/>
        <v>1</v>
      </c>
      <c r="T175" s="1">
        <f t="shared" si="228"/>
        <v>1</v>
      </c>
      <c r="U175" s="1">
        <f t="shared" si="228"/>
        <v>1</v>
      </c>
      <c r="V175" s="1">
        <f t="shared" si="228"/>
        <v>1</v>
      </c>
      <c r="W175" s="1">
        <f t="shared" si="228"/>
        <v>1</v>
      </c>
      <c r="X175" s="1">
        <f t="shared" si="228"/>
        <v>1</v>
      </c>
      <c r="Y175" s="1">
        <f t="shared" si="228"/>
        <v>1</v>
      </c>
      <c r="Z175" s="1">
        <f t="shared" si="228"/>
        <v>1</v>
      </c>
      <c r="AA175" s="1">
        <f t="shared" si="228"/>
        <v>1</v>
      </c>
      <c r="AB175" s="1">
        <f t="shared" si="228"/>
        <v>1</v>
      </c>
      <c r="AC175" s="1">
        <f t="shared" si="228"/>
        <v>1</v>
      </c>
      <c r="AD175" s="1">
        <f t="shared" si="228"/>
        <v>1</v>
      </c>
      <c r="AE175" s="1">
        <f t="shared" si="228"/>
        <v>1</v>
      </c>
      <c r="AF175" s="1">
        <f t="shared" si="228"/>
        <v>1</v>
      </c>
      <c r="AG175" s="1">
        <f t="shared" si="228"/>
        <v>1</v>
      </c>
      <c r="AH175" s="1">
        <f t="shared" ref="AH175:AY175" si="229">COUNTIF($B116:$AY116,AH116)</f>
        <v>1</v>
      </c>
      <c r="AI175" s="1">
        <f t="shared" si="229"/>
        <v>1</v>
      </c>
      <c r="AJ175" s="1">
        <f t="shared" si="229"/>
        <v>1</v>
      </c>
      <c r="AK175" s="1">
        <f t="shared" si="229"/>
        <v>1</v>
      </c>
      <c r="AL175" s="1">
        <f t="shared" si="229"/>
        <v>1</v>
      </c>
      <c r="AM175" s="1">
        <f t="shared" si="229"/>
        <v>1</v>
      </c>
      <c r="AN175" s="1">
        <f t="shared" si="229"/>
        <v>1</v>
      </c>
      <c r="AO175" s="1">
        <f t="shared" si="229"/>
        <v>1</v>
      </c>
      <c r="AP175" s="1">
        <f t="shared" si="229"/>
        <v>1</v>
      </c>
      <c r="AQ175" s="1">
        <f t="shared" si="229"/>
        <v>1</v>
      </c>
      <c r="AR175" s="1">
        <f t="shared" si="229"/>
        <v>1</v>
      </c>
      <c r="AS175" s="1">
        <f t="shared" si="229"/>
        <v>1</v>
      </c>
      <c r="AT175" s="1">
        <f t="shared" si="229"/>
        <v>1</v>
      </c>
      <c r="AU175" s="1">
        <f t="shared" si="229"/>
        <v>1</v>
      </c>
      <c r="AV175" s="1">
        <f t="shared" si="229"/>
        <v>1</v>
      </c>
      <c r="AW175" s="1">
        <f t="shared" si="229"/>
        <v>1</v>
      </c>
      <c r="AX175" s="1">
        <f t="shared" si="229"/>
        <v>1</v>
      </c>
      <c r="AY175" s="1">
        <f t="shared" si="229"/>
        <v>1</v>
      </c>
    </row>
    <row r="179" spans="1:51">
      <c r="A179" s="1" t="str">
        <f t="shared" ref="A179:A210" si="230">A120</f>
        <v>OVERALL SCORE</v>
      </c>
      <c r="B179" s="1" t="str">
        <f t="shared" ref="B179:AG179" si="231">IF(B120&gt;1,"=","")&amp;B61</f>
        <v>25</v>
      </c>
      <c r="C179" s="1" t="str">
        <f t="shared" si="231"/>
        <v>5</v>
      </c>
      <c r="D179" s="1" t="str">
        <f t="shared" si="231"/>
        <v>39</v>
      </c>
      <c r="E179" s="1" t="str">
        <f t="shared" si="231"/>
        <v>15</v>
      </c>
      <c r="F179" s="1" t="str">
        <f t="shared" si="231"/>
        <v>37</v>
      </c>
      <c r="G179" s="1" t="str">
        <f t="shared" si="231"/>
        <v>22</v>
      </c>
      <c r="H179" s="1" t="str">
        <f t="shared" si="231"/>
        <v>31</v>
      </c>
      <c r="I179" s="1" t="str">
        <f t="shared" si="231"/>
        <v>16</v>
      </c>
      <c r="J179" s="1" t="str">
        <f t="shared" si="231"/>
        <v>42</v>
      </c>
      <c r="K179" s="1" t="str">
        <f t="shared" si="231"/>
        <v>29</v>
      </c>
      <c r="L179" s="1" t="str">
        <f t="shared" si="231"/>
        <v>20</v>
      </c>
      <c r="M179" s="1" t="str">
        <f t="shared" si="231"/>
        <v>38</v>
      </c>
      <c r="N179" s="1" t="str">
        <f t="shared" si="231"/>
        <v>48</v>
      </c>
      <c r="O179" s="1" t="str">
        <f t="shared" si="231"/>
        <v>11</v>
      </c>
      <c r="P179" s="1" t="str">
        <f t="shared" si="231"/>
        <v>41</v>
      </c>
      <c r="Q179" s="1" t="str">
        <f t="shared" si="231"/>
        <v>50</v>
      </c>
      <c r="R179" s="1" t="str">
        <f t="shared" si="231"/>
        <v>47</v>
      </c>
      <c r="S179" s="1" t="str">
        <f t="shared" si="231"/>
        <v>36</v>
      </c>
      <c r="T179" s="1" t="str">
        <f t="shared" si="231"/>
        <v>33</v>
      </c>
      <c r="U179" s="1" t="str">
        <f t="shared" si="231"/>
        <v>18</v>
      </c>
      <c r="V179" s="1" t="str">
        <f t="shared" si="231"/>
        <v>17</v>
      </c>
      <c r="W179" s="1" t="str">
        <f t="shared" si="231"/>
        <v>21</v>
      </c>
      <c r="X179" s="1" t="str">
        <f t="shared" si="231"/>
        <v>9</v>
      </c>
      <c r="Y179" s="1" t="str">
        <f t="shared" si="231"/>
        <v>45</v>
      </c>
      <c r="Z179" s="1" t="str">
        <f t="shared" si="231"/>
        <v>26</v>
      </c>
      <c r="AA179" s="1" t="str">
        <f t="shared" si="231"/>
        <v>14</v>
      </c>
      <c r="AB179" s="1" t="str">
        <f t="shared" si="231"/>
        <v>43</v>
      </c>
      <c r="AC179" s="1" t="str">
        <f t="shared" si="231"/>
        <v>44</v>
      </c>
      <c r="AD179" s="1" t="str">
        <f t="shared" si="231"/>
        <v>10</v>
      </c>
      <c r="AE179" s="1" t="str">
        <f t="shared" si="231"/>
        <v>3</v>
      </c>
      <c r="AF179" s="1" t="str">
        <f t="shared" si="231"/>
        <v>23</v>
      </c>
      <c r="AG179" s="1" t="str">
        <f t="shared" si="231"/>
        <v>35</v>
      </c>
      <c r="AH179" s="1" t="str">
        <f t="shared" ref="AH179:AY179" si="232">IF(AH120&gt;1,"=","")&amp;AH61</f>
        <v>46</v>
      </c>
      <c r="AI179" s="1" t="str">
        <f t="shared" si="232"/>
        <v>27</v>
      </c>
      <c r="AJ179" s="1" t="str">
        <f t="shared" si="232"/>
        <v>12</v>
      </c>
      <c r="AK179" s="1" t="str">
        <f t="shared" si="232"/>
        <v>28</v>
      </c>
      <c r="AL179" s="1" t="str">
        <f t="shared" si="232"/>
        <v>40</v>
      </c>
      <c r="AM179" s="1" t="str">
        <f t="shared" si="232"/>
        <v>24</v>
      </c>
      <c r="AN179" s="1" t="str">
        <f t="shared" si="232"/>
        <v>30</v>
      </c>
      <c r="AO179" s="1" t="str">
        <f t="shared" si="232"/>
        <v>32</v>
      </c>
      <c r="AP179" s="1" t="str">
        <f t="shared" si="232"/>
        <v>2</v>
      </c>
      <c r="AQ179" s="1" t="str">
        <f t="shared" si="232"/>
        <v>4</v>
      </c>
      <c r="AR179" s="1" t="str">
        <f t="shared" si="232"/>
        <v>6</v>
      </c>
      <c r="AS179" s="1" t="str">
        <f t="shared" si="232"/>
        <v>13</v>
      </c>
      <c r="AT179" s="1" t="str">
        <f t="shared" si="232"/>
        <v>49</v>
      </c>
      <c r="AU179" s="1" t="str">
        <f t="shared" si="232"/>
        <v>34</v>
      </c>
      <c r="AV179" s="1" t="str">
        <f t="shared" si="232"/>
        <v>1</v>
      </c>
      <c r="AW179" s="1" t="str">
        <f t="shared" si="232"/>
        <v>8</v>
      </c>
      <c r="AX179" s="1" t="str">
        <f t="shared" si="232"/>
        <v>19</v>
      </c>
      <c r="AY179" s="1" t="str">
        <f t="shared" si="232"/>
        <v>7</v>
      </c>
    </row>
    <row r="180" spans="1:51">
      <c r="A180" s="1" t="str">
        <f t="shared" si="230"/>
        <v>1) DIGITAL SECURITY</v>
      </c>
      <c r="B180" s="1" t="str">
        <f t="shared" ref="B180:AG180" si="233">IF(B121&gt;1,"=","")&amp;B62</f>
        <v>9</v>
      </c>
      <c r="C180" s="1" t="str">
        <f t="shared" si="233"/>
        <v>17</v>
      </c>
      <c r="D180" s="1" t="str">
        <f t="shared" si="233"/>
        <v>45</v>
      </c>
      <c r="E180" s="1" t="str">
        <f t="shared" si="233"/>
        <v>29</v>
      </c>
      <c r="F180" s="1" t="str">
        <f t="shared" si="233"/>
        <v>34</v>
      </c>
      <c r="G180" s="1" t="str">
        <f t="shared" si="233"/>
        <v>22</v>
      </c>
      <c r="H180" s="1" t="str">
        <f t="shared" si="233"/>
        <v>30</v>
      </c>
      <c r="I180" s="1" t="str">
        <f t="shared" si="233"/>
        <v>10</v>
      </c>
      <c r="J180" s="1" t="str">
        <f t="shared" si="233"/>
        <v>24</v>
      </c>
      <c r="K180" s="1" t="str">
        <f t="shared" si="233"/>
        <v>31</v>
      </c>
      <c r="L180" s="1" t="str">
        <f t="shared" si="233"/>
        <v>33</v>
      </c>
      <c r="M180" s="1" t="str">
        <f t="shared" si="233"/>
        <v>37</v>
      </c>
      <c r="N180" s="1" t="str">
        <f t="shared" si="233"/>
        <v>42</v>
      </c>
      <c r="O180" s="1" t="str">
        <f t="shared" si="233"/>
        <v>4</v>
      </c>
      <c r="P180" s="1" t="str">
        <f t="shared" si="233"/>
        <v>49</v>
      </c>
      <c r="Q180" s="1" t="str">
        <f t="shared" si="233"/>
        <v>48</v>
      </c>
      <c r="R180" s="1" t="str">
        <f t="shared" si="233"/>
        <v>44</v>
      </c>
      <c r="S180" s="1" t="str">
        <f t="shared" si="233"/>
        <v>23</v>
      </c>
      <c r="T180" s="1" t="str">
        <f t="shared" si="233"/>
        <v>38</v>
      </c>
      <c r="U180" s="1" t="str">
        <f t="shared" si="233"/>
        <v>16</v>
      </c>
      <c r="V180" s="1" t="str">
        <f t="shared" si="233"/>
        <v>6</v>
      </c>
      <c r="W180" s="1" t="str">
        <f t="shared" si="233"/>
        <v>28</v>
      </c>
      <c r="X180" s="1" t="str">
        <f t="shared" si="233"/>
        <v>20</v>
      </c>
      <c r="Y180" s="1" t="str">
        <f t="shared" si="233"/>
        <v>27</v>
      </c>
      <c r="Z180" s="1" t="str">
        <f t="shared" si="233"/>
        <v>26</v>
      </c>
      <c r="AA180" s="1" t="str">
        <f t="shared" si="233"/>
        <v>=11</v>
      </c>
      <c r="AB180" s="1" t="str">
        <f t="shared" si="233"/>
        <v>46</v>
      </c>
      <c r="AC180" s="1" t="str">
        <f t="shared" si="233"/>
        <v>18</v>
      </c>
      <c r="AD180" s="1" t="str">
        <f t="shared" si="233"/>
        <v>3</v>
      </c>
      <c r="AE180" s="1" t="str">
        <f t="shared" si="233"/>
        <v>5</v>
      </c>
      <c r="AF180" s="1" t="str">
        <f t="shared" si="233"/>
        <v>32</v>
      </c>
      <c r="AG180" s="1" t="str">
        <f t="shared" si="233"/>
        <v>40</v>
      </c>
      <c r="AH180" s="1" t="str">
        <f t="shared" ref="AH180:AY180" si="234">IF(AH121&gt;1,"=","")&amp;AH62</f>
        <v>43</v>
      </c>
      <c r="AI180" s="1" t="str">
        <f t="shared" si="234"/>
        <v>35</v>
      </c>
      <c r="AJ180" s="1" t="str">
        <f t="shared" si="234"/>
        <v>8</v>
      </c>
      <c r="AK180" s="1" t="str">
        <f t="shared" si="234"/>
        <v>13</v>
      </c>
      <c r="AL180" s="1" t="str">
        <f t="shared" si="234"/>
        <v>39</v>
      </c>
      <c r="AM180" s="1" t="str">
        <f t="shared" si="234"/>
        <v>47</v>
      </c>
      <c r="AN180" s="1" t="str">
        <f t="shared" si="234"/>
        <v>36</v>
      </c>
      <c r="AO180" s="1" t="str">
        <f t="shared" si="234"/>
        <v>25</v>
      </c>
      <c r="AP180" s="1" t="str">
        <f t="shared" si="234"/>
        <v>2</v>
      </c>
      <c r="AQ180" s="1" t="str">
        <f t="shared" si="234"/>
        <v>7</v>
      </c>
      <c r="AR180" s="1" t="str">
        <f t="shared" si="234"/>
        <v>14</v>
      </c>
      <c r="AS180" s="1" t="str">
        <f t="shared" si="234"/>
        <v>21</v>
      </c>
      <c r="AT180" s="1" t="str">
        <f t="shared" si="234"/>
        <v>50</v>
      </c>
      <c r="AU180" s="1" t="str">
        <f t="shared" si="234"/>
        <v>41</v>
      </c>
      <c r="AV180" s="1" t="str">
        <f t="shared" si="234"/>
        <v>1</v>
      </c>
      <c r="AW180" s="1" t="str">
        <f t="shared" si="234"/>
        <v>=11</v>
      </c>
      <c r="AX180" s="1" t="str">
        <f t="shared" si="234"/>
        <v>15</v>
      </c>
      <c r="AY180" s="1" t="str">
        <f t="shared" si="234"/>
        <v>19</v>
      </c>
    </row>
    <row r="181" spans="1:51">
      <c r="A181" s="1" t="str">
        <f t="shared" si="230"/>
        <v>1.1) Digital Security (Inputs)</v>
      </c>
      <c r="B181" s="1" t="str">
        <f t="shared" ref="B181:AG181" si="235">IF(B122&gt;1,"=","")&amp;B63</f>
        <v>15</v>
      </c>
      <c r="C181" s="1" t="str">
        <f t="shared" si="235"/>
        <v>44</v>
      </c>
      <c r="D181" s="1" t="str">
        <f t="shared" si="235"/>
        <v>=24</v>
      </c>
      <c r="E181" s="1" t="str">
        <f t="shared" si="235"/>
        <v>=17</v>
      </c>
      <c r="F181" s="1" t="str">
        <f t="shared" si="235"/>
        <v>=24</v>
      </c>
      <c r="G181" s="1" t="str">
        <f t="shared" si="235"/>
        <v>39</v>
      </c>
      <c r="H181" s="1" t="str">
        <f t="shared" si="235"/>
        <v>49</v>
      </c>
      <c r="I181" s="1" t="str">
        <f t="shared" si="235"/>
        <v>=7</v>
      </c>
      <c r="J181" s="1" t="str">
        <f t="shared" si="235"/>
        <v>6</v>
      </c>
      <c r="K181" s="1" t="str">
        <f t="shared" si="235"/>
        <v>48</v>
      </c>
      <c r="L181" s="1" t="str">
        <f t="shared" si="235"/>
        <v>40</v>
      </c>
      <c r="M181" s="1" t="str">
        <f t="shared" si="235"/>
        <v>=24</v>
      </c>
      <c r="N181" s="1" t="str">
        <f t="shared" si="235"/>
        <v>=24</v>
      </c>
      <c r="O181" s="1" t="str">
        <f t="shared" si="235"/>
        <v>4</v>
      </c>
      <c r="P181" s="1" t="str">
        <f t="shared" si="235"/>
        <v>47</v>
      </c>
      <c r="Q181" s="1" t="str">
        <f t="shared" si="235"/>
        <v>41</v>
      </c>
      <c r="R181" s="1" t="str">
        <f t="shared" si="235"/>
        <v>45</v>
      </c>
      <c r="S181" s="1" t="str">
        <f t="shared" si="235"/>
        <v>=34</v>
      </c>
      <c r="T181" s="1" t="str">
        <f t="shared" si="235"/>
        <v>=21</v>
      </c>
      <c r="U181" s="1" t="str">
        <f t="shared" si="235"/>
        <v>=17</v>
      </c>
      <c r="V181" s="1" t="str">
        <f t="shared" si="235"/>
        <v>=7</v>
      </c>
      <c r="W181" s="1" t="str">
        <f t="shared" si="235"/>
        <v>=17</v>
      </c>
      <c r="X181" s="1" t="str">
        <f t="shared" si="235"/>
        <v>=17</v>
      </c>
      <c r="Y181" s="1" t="str">
        <f t="shared" si="235"/>
        <v>31</v>
      </c>
      <c r="Z181" s="1" t="str">
        <f t="shared" si="235"/>
        <v>33</v>
      </c>
      <c r="AA181" s="1" t="str">
        <f t="shared" si="235"/>
        <v>=10</v>
      </c>
      <c r="AB181" s="1" t="str">
        <f t="shared" si="235"/>
        <v>=34</v>
      </c>
      <c r="AC181" s="1" t="str">
        <f t="shared" si="235"/>
        <v>1</v>
      </c>
      <c r="AD181" s="1" t="str">
        <f t="shared" si="235"/>
        <v>=2</v>
      </c>
      <c r="AE181" s="1" t="str">
        <f t="shared" si="235"/>
        <v>23</v>
      </c>
      <c r="AF181" s="1" t="str">
        <f t="shared" si="235"/>
        <v>43</v>
      </c>
      <c r="AG181" s="1" t="str">
        <f t="shared" si="235"/>
        <v>=34</v>
      </c>
      <c r="AH181" s="1" t="str">
        <f t="shared" ref="AH181:AY181" si="236">IF(AH122&gt;1,"=","")&amp;AH63</f>
        <v>=34</v>
      </c>
      <c r="AI181" s="1" t="str">
        <f t="shared" si="236"/>
        <v>46</v>
      </c>
      <c r="AJ181" s="1" t="str">
        <f t="shared" si="236"/>
        <v>=7</v>
      </c>
      <c r="AK181" s="1" t="str">
        <f t="shared" si="236"/>
        <v>=21</v>
      </c>
      <c r="AL181" s="1" t="str">
        <f t="shared" si="236"/>
        <v>=34</v>
      </c>
      <c r="AM181" s="1" t="str">
        <f t="shared" si="236"/>
        <v>30</v>
      </c>
      <c r="AN181" s="1" t="str">
        <f t="shared" si="236"/>
        <v>=24</v>
      </c>
      <c r="AO181" s="1" t="str">
        <f t="shared" si="236"/>
        <v>14</v>
      </c>
      <c r="AP181" s="1" t="str">
        <f t="shared" si="236"/>
        <v>=2</v>
      </c>
      <c r="AQ181" s="1" t="str">
        <f t="shared" si="236"/>
        <v>13</v>
      </c>
      <c r="AR181" s="1" t="str">
        <f t="shared" si="236"/>
        <v>=10</v>
      </c>
      <c r="AS181" s="1" t="str">
        <f t="shared" si="236"/>
        <v>42</v>
      </c>
      <c r="AT181" s="1" t="str">
        <f t="shared" si="236"/>
        <v>50</v>
      </c>
      <c r="AU181" s="1" t="str">
        <f t="shared" si="236"/>
        <v>=24</v>
      </c>
      <c r="AV181" s="1" t="str">
        <f t="shared" si="236"/>
        <v>5</v>
      </c>
      <c r="AW181" s="1" t="str">
        <f t="shared" si="236"/>
        <v>=10</v>
      </c>
      <c r="AX181" s="1" t="str">
        <f t="shared" si="236"/>
        <v>16</v>
      </c>
      <c r="AY181" s="1" t="str">
        <f t="shared" si="236"/>
        <v>32</v>
      </c>
    </row>
    <row r="182" spans="1:51">
      <c r="A182" s="1" t="str">
        <f t="shared" si="230"/>
        <v>1.1.1) Privacy policy</v>
      </c>
      <c r="B182" s="1" t="str">
        <f t="shared" ref="B182:AG182" si="237">IF(B123&gt;1,"=","")&amp;B64</f>
        <v>=42</v>
      </c>
      <c r="C182" s="1" t="str">
        <f t="shared" si="237"/>
        <v>=48</v>
      </c>
      <c r="D182" s="1" t="str">
        <f t="shared" si="237"/>
        <v>=1</v>
      </c>
      <c r="E182" s="1" t="str">
        <f t="shared" si="237"/>
        <v>=30</v>
      </c>
      <c r="F182" s="1" t="str">
        <f t="shared" si="237"/>
        <v>=1</v>
      </c>
      <c r="G182" s="1" t="str">
        <f t="shared" si="237"/>
        <v>=48</v>
      </c>
      <c r="H182" s="1" t="str">
        <f t="shared" si="237"/>
        <v>=48</v>
      </c>
      <c r="I182" s="1" t="str">
        <f t="shared" si="237"/>
        <v>=10</v>
      </c>
      <c r="J182" s="1" t="str">
        <f t="shared" si="237"/>
        <v>=10</v>
      </c>
      <c r="K182" s="1" t="str">
        <f t="shared" si="237"/>
        <v>=30</v>
      </c>
      <c r="L182" s="1" t="str">
        <f t="shared" si="237"/>
        <v>=42</v>
      </c>
      <c r="M182" s="1" t="str">
        <f t="shared" si="237"/>
        <v>=1</v>
      </c>
      <c r="N182" s="1" t="str">
        <f t="shared" si="237"/>
        <v>=1</v>
      </c>
      <c r="O182" s="1" t="str">
        <f t="shared" si="237"/>
        <v>=30</v>
      </c>
      <c r="P182" s="1" t="str">
        <f t="shared" si="237"/>
        <v>=10</v>
      </c>
      <c r="Q182" s="1" t="str">
        <f t="shared" si="237"/>
        <v>=10</v>
      </c>
      <c r="R182" s="1" t="str">
        <f t="shared" si="237"/>
        <v>=42</v>
      </c>
      <c r="S182" s="1" t="str">
        <f t="shared" si="237"/>
        <v>=10</v>
      </c>
      <c r="T182" s="1" t="str">
        <f t="shared" si="237"/>
        <v>=10</v>
      </c>
      <c r="U182" s="1" t="str">
        <f t="shared" si="237"/>
        <v>=30</v>
      </c>
      <c r="V182" s="1" t="str">
        <f t="shared" si="237"/>
        <v>=10</v>
      </c>
      <c r="W182" s="1" t="str">
        <f t="shared" si="237"/>
        <v>=30</v>
      </c>
      <c r="X182" s="1" t="str">
        <f t="shared" si="237"/>
        <v>=30</v>
      </c>
      <c r="Y182" s="1" t="str">
        <f t="shared" si="237"/>
        <v>=30</v>
      </c>
      <c r="Z182" s="1" t="str">
        <f t="shared" si="237"/>
        <v>=42</v>
      </c>
      <c r="AA182" s="1" t="str">
        <f t="shared" si="237"/>
        <v>=30</v>
      </c>
      <c r="AB182" s="1" t="str">
        <f t="shared" si="237"/>
        <v>=10</v>
      </c>
      <c r="AC182" s="1" t="str">
        <f t="shared" si="237"/>
        <v>=10</v>
      </c>
      <c r="AD182" s="1" t="str">
        <f t="shared" si="237"/>
        <v>=10</v>
      </c>
      <c r="AE182" s="1" t="str">
        <f t="shared" si="237"/>
        <v>=10</v>
      </c>
      <c r="AF182" s="1" t="str">
        <f t="shared" si="237"/>
        <v>=30</v>
      </c>
      <c r="AG182" s="1" t="str">
        <f t="shared" si="237"/>
        <v>=10</v>
      </c>
      <c r="AH182" s="1" t="str">
        <f t="shared" ref="AH182:AY182" si="238">IF(AH123&gt;1,"=","")&amp;AH64</f>
        <v>=10</v>
      </c>
      <c r="AI182" s="1" t="str">
        <f t="shared" si="238"/>
        <v>=42</v>
      </c>
      <c r="AJ182" s="1" t="str">
        <f t="shared" si="238"/>
        <v>=10</v>
      </c>
      <c r="AK182" s="1" t="str">
        <f t="shared" si="238"/>
        <v>=10</v>
      </c>
      <c r="AL182" s="1" t="str">
        <f t="shared" si="238"/>
        <v>=10</v>
      </c>
      <c r="AM182" s="1" t="str">
        <f t="shared" si="238"/>
        <v>=42</v>
      </c>
      <c r="AN182" s="1" t="str">
        <f t="shared" si="238"/>
        <v>=1</v>
      </c>
      <c r="AO182" s="1" t="str">
        <f t="shared" si="238"/>
        <v>=1</v>
      </c>
      <c r="AP182" s="1" t="str">
        <f t="shared" si="238"/>
        <v>=10</v>
      </c>
      <c r="AQ182" s="1" t="str">
        <f t="shared" si="238"/>
        <v>=1</v>
      </c>
      <c r="AR182" s="1" t="str">
        <f t="shared" si="238"/>
        <v>=30</v>
      </c>
      <c r="AS182" s="1" t="str">
        <f t="shared" si="238"/>
        <v>=10</v>
      </c>
      <c r="AT182" s="1" t="str">
        <f t="shared" si="238"/>
        <v>=1</v>
      </c>
      <c r="AU182" s="1" t="str">
        <f t="shared" si="238"/>
        <v>=1</v>
      </c>
      <c r="AV182" s="1" t="str">
        <f t="shared" si="238"/>
        <v>=10</v>
      </c>
      <c r="AW182" s="1" t="str">
        <f t="shared" si="238"/>
        <v>=30</v>
      </c>
      <c r="AX182" s="1" t="str">
        <f t="shared" si="238"/>
        <v>=10</v>
      </c>
      <c r="AY182" s="1" t="str">
        <f t="shared" si="238"/>
        <v>=30</v>
      </c>
    </row>
    <row r="183" spans="1:51">
      <c r="A183" s="1" t="str">
        <f t="shared" si="230"/>
        <v>1.1.2) Citizen awareness of digital threats</v>
      </c>
      <c r="B183" s="1" t="str">
        <f t="shared" ref="B183:AG183" si="239">IF(B124&gt;1,"=","")&amp;B65</f>
        <v>=3</v>
      </c>
      <c r="C183" s="1" t="str">
        <f t="shared" si="239"/>
        <v>=26</v>
      </c>
      <c r="D183" s="1" t="str">
        <f t="shared" si="239"/>
        <v>=26</v>
      </c>
      <c r="E183" s="1" t="str">
        <f t="shared" si="239"/>
        <v>=3</v>
      </c>
      <c r="F183" s="1" t="str">
        <f t="shared" si="239"/>
        <v>=26</v>
      </c>
      <c r="G183" s="1" t="str">
        <f t="shared" si="239"/>
        <v>=3</v>
      </c>
      <c r="H183" s="1" t="str">
        <f t="shared" si="239"/>
        <v>=3</v>
      </c>
      <c r="I183" s="1" t="str">
        <f t="shared" si="239"/>
        <v>=3</v>
      </c>
      <c r="J183" s="1" t="str">
        <f t="shared" si="239"/>
        <v>=1</v>
      </c>
      <c r="K183" s="1" t="str">
        <f t="shared" si="239"/>
        <v>=26</v>
      </c>
      <c r="L183" s="1" t="str">
        <f t="shared" si="239"/>
        <v>=26</v>
      </c>
      <c r="M183" s="1" t="str">
        <f t="shared" si="239"/>
        <v>=26</v>
      </c>
      <c r="N183" s="1" t="str">
        <f t="shared" si="239"/>
        <v>=26</v>
      </c>
      <c r="O183" s="1" t="str">
        <f t="shared" si="239"/>
        <v>=3</v>
      </c>
      <c r="P183" s="1" t="str">
        <f t="shared" si="239"/>
        <v>=26</v>
      </c>
      <c r="Q183" s="1" t="str">
        <f t="shared" si="239"/>
        <v>=3</v>
      </c>
      <c r="R183" s="1" t="str">
        <f t="shared" si="239"/>
        <v>=26</v>
      </c>
      <c r="S183" s="1" t="str">
        <f t="shared" si="239"/>
        <v>=26</v>
      </c>
      <c r="T183" s="1" t="str">
        <f t="shared" si="239"/>
        <v>=3</v>
      </c>
      <c r="U183" s="1" t="str">
        <f t="shared" si="239"/>
        <v>=3</v>
      </c>
      <c r="V183" s="1" t="str">
        <f t="shared" si="239"/>
        <v>=3</v>
      </c>
      <c r="W183" s="1" t="str">
        <f t="shared" si="239"/>
        <v>=3</v>
      </c>
      <c r="X183" s="1" t="str">
        <f t="shared" si="239"/>
        <v>=3</v>
      </c>
      <c r="Y183" s="1" t="str">
        <f t="shared" si="239"/>
        <v>=3</v>
      </c>
      <c r="Z183" s="1" t="str">
        <f t="shared" si="239"/>
        <v>=47</v>
      </c>
      <c r="AA183" s="1" t="str">
        <f t="shared" si="239"/>
        <v>=3</v>
      </c>
      <c r="AB183" s="1" t="str">
        <f t="shared" si="239"/>
        <v>=26</v>
      </c>
      <c r="AC183" s="1" t="str">
        <f t="shared" si="239"/>
        <v>=1</v>
      </c>
      <c r="AD183" s="1" t="str">
        <f t="shared" si="239"/>
        <v>=3</v>
      </c>
      <c r="AE183" s="1" t="str">
        <f t="shared" si="239"/>
        <v>=26</v>
      </c>
      <c r="AF183" s="1" t="str">
        <f t="shared" si="239"/>
        <v>=47</v>
      </c>
      <c r="AG183" s="1" t="str">
        <f t="shared" si="239"/>
        <v>=26</v>
      </c>
      <c r="AH183" s="1" t="str">
        <f t="shared" ref="AH183:AY183" si="240">IF(AH124&gt;1,"=","")&amp;AH65</f>
        <v>=26</v>
      </c>
      <c r="AI183" s="1" t="str">
        <f t="shared" si="240"/>
        <v>=47</v>
      </c>
      <c r="AJ183" s="1" t="str">
        <f t="shared" si="240"/>
        <v>=3</v>
      </c>
      <c r="AK183" s="1" t="str">
        <f t="shared" si="240"/>
        <v>=3</v>
      </c>
      <c r="AL183" s="1" t="str">
        <f t="shared" si="240"/>
        <v>=26</v>
      </c>
      <c r="AM183" s="1" t="str">
        <f t="shared" si="240"/>
        <v>=3</v>
      </c>
      <c r="AN183" s="1" t="str">
        <f t="shared" si="240"/>
        <v>=26</v>
      </c>
      <c r="AO183" s="1" t="str">
        <f t="shared" si="240"/>
        <v>=26</v>
      </c>
      <c r="AP183" s="1" t="str">
        <f t="shared" si="240"/>
        <v>=3</v>
      </c>
      <c r="AQ183" s="1" t="str">
        <f t="shared" si="240"/>
        <v>=3</v>
      </c>
      <c r="AR183" s="1" t="str">
        <f t="shared" si="240"/>
        <v>=3</v>
      </c>
      <c r="AS183" s="1" t="str">
        <f t="shared" si="240"/>
        <v>=26</v>
      </c>
      <c r="AT183" s="1" t="str">
        <f t="shared" si="240"/>
        <v>=47</v>
      </c>
      <c r="AU183" s="1" t="str">
        <f t="shared" si="240"/>
        <v>=26</v>
      </c>
      <c r="AV183" s="1" t="str">
        <f t="shared" si="240"/>
        <v>=26</v>
      </c>
      <c r="AW183" s="1" t="str">
        <f t="shared" si="240"/>
        <v>=3</v>
      </c>
      <c r="AX183" s="1" t="str">
        <f t="shared" si="240"/>
        <v>=3</v>
      </c>
      <c r="AY183" s="1" t="str">
        <f t="shared" si="240"/>
        <v>=26</v>
      </c>
    </row>
    <row r="184" spans="1:51">
      <c r="A184" s="1" t="str">
        <f t="shared" si="230"/>
        <v>1.1.3) Public-private partnerships</v>
      </c>
      <c r="B184" s="1" t="str">
        <f t="shared" ref="B184:AG184" si="241">IF(B125&gt;1,"=","")&amp;B66</f>
        <v>=8</v>
      </c>
      <c r="C184" s="1" t="str">
        <f t="shared" si="241"/>
        <v>=8</v>
      </c>
      <c r="D184" s="1" t="str">
        <f t="shared" si="241"/>
        <v>=8</v>
      </c>
      <c r="E184" s="1" t="str">
        <f t="shared" si="241"/>
        <v>=44</v>
      </c>
      <c r="F184" s="1" t="str">
        <f t="shared" si="241"/>
        <v>=8</v>
      </c>
      <c r="G184" s="1" t="str">
        <f t="shared" si="241"/>
        <v>=8</v>
      </c>
      <c r="H184" s="1" t="str">
        <f t="shared" si="241"/>
        <v>=44</v>
      </c>
      <c r="I184" s="1" t="str">
        <f t="shared" si="241"/>
        <v>=8</v>
      </c>
      <c r="J184" s="1" t="str">
        <f t="shared" si="241"/>
        <v>=1</v>
      </c>
      <c r="K184" s="1" t="str">
        <f t="shared" si="241"/>
        <v>=44</v>
      </c>
      <c r="L184" s="1" t="str">
        <f t="shared" si="241"/>
        <v>=8</v>
      </c>
      <c r="M184" s="1" t="str">
        <f t="shared" si="241"/>
        <v>=8</v>
      </c>
      <c r="N184" s="1" t="str">
        <f t="shared" si="241"/>
        <v>=8</v>
      </c>
      <c r="O184" s="1" t="str">
        <f t="shared" si="241"/>
        <v>=1</v>
      </c>
      <c r="P184" s="1" t="str">
        <f t="shared" si="241"/>
        <v>=44</v>
      </c>
      <c r="Q184" s="1" t="str">
        <f t="shared" si="241"/>
        <v>=44</v>
      </c>
      <c r="R184" s="1" t="str">
        <f t="shared" si="241"/>
        <v>=8</v>
      </c>
      <c r="S184" s="1" t="str">
        <f t="shared" si="241"/>
        <v>=8</v>
      </c>
      <c r="T184" s="1" t="str">
        <f t="shared" si="241"/>
        <v>=8</v>
      </c>
      <c r="U184" s="1" t="str">
        <f t="shared" si="241"/>
        <v>=8</v>
      </c>
      <c r="V184" s="1" t="str">
        <f t="shared" si="241"/>
        <v>=8</v>
      </c>
      <c r="W184" s="1" t="str">
        <f t="shared" si="241"/>
        <v>=8</v>
      </c>
      <c r="X184" s="1" t="str">
        <f t="shared" si="241"/>
        <v>=8</v>
      </c>
      <c r="Y184" s="1" t="str">
        <f t="shared" si="241"/>
        <v>=8</v>
      </c>
      <c r="Z184" s="1" t="str">
        <f t="shared" si="241"/>
        <v>=8</v>
      </c>
      <c r="AA184" s="1" t="str">
        <f t="shared" si="241"/>
        <v>=1</v>
      </c>
      <c r="AB184" s="1" t="str">
        <f t="shared" si="241"/>
        <v>=8</v>
      </c>
      <c r="AC184" s="1" t="str">
        <f t="shared" si="241"/>
        <v>=1</v>
      </c>
      <c r="AD184" s="1" t="str">
        <f t="shared" si="241"/>
        <v>=1</v>
      </c>
      <c r="AE184" s="1" t="str">
        <f t="shared" si="241"/>
        <v>=8</v>
      </c>
      <c r="AF184" s="1" t="str">
        <f t="shared" si="241"/>
        <v>=8</v>
      </c>
      <c r="AG184" s="1" t="str">
        <f t="shared" si="241"/>
        <v>=8</v>
      </c>
      <c r="AH184" s="1" t="str">
        <f t="shared" ref="AH184:AY184" si="242">IF(AH125&gt;1,"=","")&amp;AH66</f>
        <v>=8</v>
      </c>
      <c r="AI184" s="1" t="str">
        <f t="shared" si="242"/>
        <v>=8</v>
      </c>
      <c r="AJ184" s="1" t="str">
        <f t="shared" si="242"/>
        <v>=8</v>
      </c>
      <c r="AK184" s="1" t="str">
        <f t="shared" si="242"/>
        <v>=8</v>
      </c>
      <c r="AL184" s="1" t="str">
        <f t="shared" si="242"/>
        <v>=8</v>
      </c>
      <c r="AM184" s="1" t="str">
        <f t="shared" si="242"/>
        <v>=8</v>
      </c>
      <c r="AN184" s="1" t="str">
        <f t="shared" si="242"/>
        <v>=8</v>
      </c>
      <c r="AO184" s="1" t="str">
        <f t="shared" si="242"/>
        <v>=8</v>
      </c>
      <c r="AP184" s="1" t="str">
        <f t="shared" si="242"/>
        <v>=1</v>
      </c>
      <c r="AQ184" s="1" t="str">
        <f t="shared" si="242"/>
        <v>=8</v>
      </c>
      <c r="AR184" s="1" t="str">
        <f t="shared" si="242"/>
        <v>=8</v>
      </c>
      <c r="AS184" s="1" t="str">
        <f t="shared" si="242"/>
        <v>=44</v>
      </c>
      <c r="AT184" s="1" t="str">
        <f t="shared" si="242"/>
        <v>=44</v>
      </c>
      <c r="AU184" s="1" t="str">
        <f t="shared" si="242"/>
        <v>=8</v>
      </c>
      <c r="AV184" s="1" t="str">
        <f t="shared" si="242"/>
        <v>=1</v>
      </c>
      <c r="AW184" s="1" t="str">
        <f t="shared" si="242"/>
        <v>=8</v>
      </c>
      <c r="AX184" s="1" t="str">
        <f t="shared" si="242"/>
        <v>=8</v>
      </c>
      <c r="AY184" s="1" t="str">
        <f t="shared" si="242"/>
        <v>=8</v>
      </c>
    </row>
    <row r="185" spans="1:51">
      <c r="A185" s="1" t="str">
        <f t="shared" si="230"/>
        <v>1.1.4) Level of technology employed</v>
      </c>
      <c r="B185" s="1" t="str">
        <f t="shared" ref="B185:AG185" si="243">IF(B126&gt;1,"=","")&amp;B67</f>
        <v>=1</v>
      </c>
      <c r="C185" s="1" t="str">
        <f t="shared" si="243"/>
        <v>=1</v>
      </c>
      <c r="D185" s="1" t="str">
        <f t="shared" si="243"/>
        <v>=28</v>
      </c>
      <c r="E185" s="1" t="str">
        <f t="shared" si="243"/>
        <v>=1</v>
      </c>
      <c r="F185" s="1" t="str">
        <f t="shared" si="243"/>
        <v>=28</v>
      </c>
      <c r="G185" s="1" t="str">
        <f t="shared" si="243"/>
        <v>=1</v>
      </c>
      <c r="H185" s="1" t="str">
        <f t="shared" si="243"/>
        <v>=28</v>
      </c>
      <c r="I185" s="1" t="str">
        <f t="shared" si="243"/>
        <v>=1</v>
      </c>
      <c r="J185" s="1" t="str">
        <f t="shared" si="243"/>
        <v>=28</v>
      </c>
      <c r="K185" s="1" t="str">
        <f t="shared" si="243"/>
        <v>=28</v>
      </c>
      <c r="L185" s="1" t="str">
        <f t="shared" si="243"/>
        <v>=1</v>
      </c>
      <c r="M185" s="1" t="str">
        <f t="shared" si="243"/>
        <v>=28</v>
      </c>
      <c r="N185" s="1" t="str">
        <f t="shared" si="243"/>
        <v>=28</v>
      </c>
      <c r="O185" s="1" t="str">
        <f t="shared" si="243"/>
        <v>=1</v>
      </c>
      <c r="P185" s="1" t="str">
        <f t="shared" si="243"/>
        <v>=28</v>
      </c>
      <c r="Q185" s="1" t="str">
        <f t="shared" si="243"/>
        <v>=28</v>
      </c>
      <c r="R185" s="1" t="str">
        <f t="shared" si="243"/>
        <v>=28</v>
      </c>
      <c r="S185" s="1" t="str">
        <f t="shared" si="243"/>
        <v>=28</v>
      </c>
      <c r="T185" s="1" t="str">
        <f t="shared" si="243"/>
        <v>=28</v>
      </c>
      <c r="U185" s="1" t="str">
        <f t="shared" si="243"/>
        <v>=1</v>
      </c>
      <c r="V185" s="1" t="str">
        <f t="shared" si="243"/>
        <v>=1</v>
      </c>
      <c r="W185" s="1" t="str">
        <f t="shared" si="243"/>
        <v>=1</v>
      </c>
      <c r="X185" s="1" t="str">
        <f t="shared" si="243"/>
        <v>=1</v>
      </c>
      <c r="Y185" s="1" t="str">
        <f t="shared" si="243"/>
        <v>=28</v>
      </c>
      <c r="Z185" s="1" t="str">
        <f t="shared" si="243"/>
        <v>=1</v>
      </c>
      <c r="AA185" s="1" t="str">
        <f t="shared" si="243"/>
        <v>=1</v>
      </c>
      <c r="AB185" s="1" t="str">
        <f t="shared" si="243"/>
        <v>=28</v>
      </c>
      <c r="AC185" s="1" t="str">
        <f t="shared" si="243"/>
        <v>=28</v>
      </c>
      <c r="AD185" s="1" t="str">
        <f t="shared" si="243"/>
        <v>=1</v>
      </c>
      <c r="AE185" s="1" t="str">
        <f t="shared" si="243"/>
        <v>=1</v>
      </c>
      <c r="AF185" s="1" t="str">
        <f t="shared" si="243"/>
        <v>=1</v>
      </c>
      <c r="AG185" s="1" t="str">
        <f t="shared" si="243"/>
        <v>=28</v>
      </c>
      <c r="AH185" s="1" t="str">
        <f t="shared" ref="AH185:AY185" si="244">IF(AH126&gt;1,"=","")&amp;AH67</f>
        <v>=28</v>
      </c>
      <c r="AI185" s="1" t="str">
        <f t="shared" si="244"/>
        <v>=1</v>
      </c>
      <c r="AJ185" s="1" t="str">
        <f t="shared" si="244"/>
        <v>=1</v>
      </c>
      <c r="AK185" s="1" t="str">
        <f t="shared" si="244"/>
        <v>=28</v>
      </c>
      <c r="AL185" s="1" t="str">
        <f t="shared" si="244"/>
        <v>=28</v>
      </c>
      <c r="AM185" s="1" t="str">
        <f t="shared" si="244"/>
        <v>=1</v>
      </c>
      <c r="AN185" s="1" t="str">
        <f t="shared" si="244"/>
        <v>=28</v>
      </c>
      <c r="AO185" s="1" t="str">
        <f t="shared" si="244"/>
        <v>=28</v>
      </c>
      <c r="AP185" s="1" t="str">
        <f t="shared" si="244"/>
        <v>=1</v>
      </c>
      <c r="AQ185" s="1" t="str">
        <f t="shared" si="244"/>
        <v>=1</v>
      </c>
      <c r="AR185" s="1" t="str">
        <f t="shared" si="244"/>
        <v>=1</v>
      </c>
      <c r="AS185" s="1" t="str">
        <f t="shared" si="244"/>
        <v>=1</v>
      </c>
      <c r="AT185" s="1" t="str">
        <f t="shared" si="244"/>
        <v>50</v>
      </c>
      <c r="AU185" s="1" t="str">
        <f t="shared" si="244"/>
        <v>=28</v>
      </c>
      <c r="AV185" s="1" t="str">
        <f t="shared" si="244"/>
        <v>=1</v>
      </c>
      <c r="AW185" s="1" t="str">
        <f t="shared" si="244"/>
        <v>=1</v>
      </c>
      <c r="AX185" s="1" t="str">
        <f t="shared" si="244"/>
        <v>=1</v>
      </c>
      <c r="AY185" s="1" t="str">
        <f t="shared" si="244"/>
        <v>=1</v>
      </c>
    </row>
    <row r="186" spans="1:51">
      <c r="A186" s="1" t="str">
        <f t="shared" si="230"/>
        <v>1.1.5) Dedicated cyber security teams</v>
      </c>
      <c r="B186" s="1" t="str">
        <f t="shared" ref="B186:AG186" si="245">IF(B127&gt;1,"=","")&amp;B68</f>
        <v>=1</v>
      </c>
      <c r="C186" s="1" t="str">
        <f t="shared" si="245"/>
        <v>=15</v>
      </c>
      <c r="D186" s="1" t="str">
        <f t="shared" si="245"/>
        <v>=15</v>
      </c>
      <c r="E186" s="1" t="str">
        <f t="shared" si="245"/>
        <v>=1</v>
      </c>
      <c r="F186" s="1" t="str">
        <f t="shared" si="245"/>
        <v>=15</v>
      </c>
      <c r="G186" s="1" t="str">
        <f t="shared" si="245"/>
        <v>=15</v>
      </c>
      <c r="H186" s="1" t="str">
        <f t="shared" si="245"/>
        <v>=15</v>
      </c>
      <c r="I186" s="1" t="str">
        <f t="shared" si="245"/>
        <v>=1</v>
      </c>
      <c r="J186" s="1" t="str">
        <f t="shared" si="245"/>
        <v>=15</v>
      </c>
      <c r="K186" s="1" t="str">
        <f t="shared" si="245"/>
        <v>=15</v>
      </c>
      <c r="L186" s="1" t="str">
        <f t="shared" si="245"/>
        <v>=15</v>
      </c>
      <c r="M186" s="1" t="str">
        <f t="shared" si="245"/>
        <v>=15</v>
      </c>
      <c r="N186" s="1" t="str">
        <f t="shared" si="245"/>
        <v>=15</v>
      </c>
      <c r="O186" s="1" t="str">
        <f t="shared" si="245"/>
        <v>=1</v>
      </c>
      <c r="P186" s="1" t="str">
        <f t="shared" si="245"/>
        <v>=15</v>
      </c>
      <c r="Q186" s="1" t="str">
        <f t="shared" si="245"/>
        <v>=15</v>
      </c>
      <c r="R186" s="1" t="str">
        <f t="shared" si="245"/>
        <v>=15</v>
      </c>
      <c r="S186" s="1" t="str">
        <f t="shared" si="245"/>
        <v>=15</v>
      </c>
      <c r="T186" s="1" t="str">
        <f t="shared" si="245"/>
        <v>=15</v>
      </c>
      <c r="U186" s="1" t="str">
        <f t="shared" si="245"/>
        <v>=15</v>
      </c>
      <c r="V186" s="1" t="str">
        <f t="shared" si="245"/>
        <v>=1</v>
      </c>
      <c r="W186" s="1" t="str">
        <f t="shared" si="245"/>
        <v>=15</v>
      </c>
      <c r="X186" s="1" t="str">
        <f t="shared" si="245"/>
        <v>=15</v>
      </c>
      <c r="Y186" s="1" t="str">
        <f t="shared" si="245"/>
        <v>=15</v>
      </c>
      <c r="Z186" s="1" t="str">
        <f t="shared" si="245"/>
        <v>=1</v>
      </c>
      <c r="AA186" s="1" t="str">
        <f t="shared" si="245"/>
        <v>=15</v>
      </c>
      <c r="AB186" s="1" t="str">
        <f t="shared" si="245"/>
        <v>=15</v>
      </c>
      <c r="AC186" s="1" t="str">
        <f t="shared" si="245"/>
        <v>=1</v>
      </c>
      <c r="AD186" s="1" t="str">
        <f t="shared" si="245"/>
        <v>=1</v>
      </c>
      <c r="AE186" s="1" t="str">
        <f t="shared" si="245"/>
        <v>=15</v>
      </c>
      <c r="AF186" s="1" t="str">
        <f t="shared" si="245"/>
        <v>=15</v>
      </c>
      <c r="AG186" s="1" t="str">
        <f t="shared" si="245"/>
        <v>=15</v>
      </c>
      <c r="AH186" s="1" t="str">
        <f t="shared" ref="AH186:AY186" si="246">IF(AH127&gt;1,"=","")&amp;AH68</f>
        <v>=15</v>
      </c>
      <c r="AI186" s="1" t="str">
        <f t="shared" si="246"/>
        <v>=15</v>
      </c>
      <c r="AJ186" s="1" t="str">
        <f t="shared" si="246"/>
        <v>=1</v>
      </c>
      <c r="AK186" s="1" t="str">
        <f t="shared" si="246"/>
        <v>=15</v>
      </c>
      <c r="AL186" s="1" t="str">
        <f t="shared" si="246"/>
        <v>=15</v>
      </c>
      <c r="AM186" s="1" t="str">
        <f t="shared" si="246"/>
        <v>=15</v>
      </c>
      <c r="AN186" s="1" t="str">
        <f t="shared" si="246"/>
        <v>=15</v>
      </c>
      <c r="AO186" s="1" t="str">
        <f t="shared" si="246"/>
        <v>=1</v>
      </c>
      <c r="AP186" s="1" t="str">
        <f t="shared" si="246"/>
        <v>=1</v>
      </c>
      <c r="AQ186" s="1" t="str">
        <f t="shared" si="246"/>
        <v>=15</v>
      </c>
      <c r="AR186" s="1" t="str">
        <f t="shared" si="246"/>
        <v>=1</v>
      </c>
      <c r="AS186" s="1" t="str">
        <f t="shared" si="246"/>
        <v>=15</v>
      </c>
      <c r="AT186" s="1" t="str">
        <f t="shared" si="246"/>
        <v>=15</v>
      </c>
      <c r="AU186" s="1" t="str">
        <f t="shared" si="246"/>
        <v>=15</v>
      </c>
      <c r="AV186" s="1" t="str">
        <f t="shared" si="246"/>
        <v>=1</v>
      </c>
      <c r="AW186" s="1" t="str">
        <f t="shared" si="246"/>
        <v>=1</v>
      </c>
      <c r="AX186" s="1" t="str">
        <f t="shared" si="246"/>
        <v>=15</v>
      </c>
      <c r="AY186" s="1" t="str">
        <f t="shared" si="246"/>
        <v>=15</v>
      </c>
    </row>
    <row r="187" spans="1:51">
      <c r="A187" s="1" t="str">
        <f t="shared" si="230"/>
        <v>1.2) Digital Security (Outputs)</v>
      </c>
      <c r="B187" s="1" t="str">
        <f t="shared" ref="B187:AG187" si="247">IF(B128&gt;1,"=","")&amp;B69</f>
        <v>9</v>
      </c>
      <c r="C187" s="1" t="str">
        <f t="shared" si="247"/>
        <v>3</v>
      </c>
      <c r="D187" s="1" t="str">
        <f t="shared" si="247"/>
        <v>48</v>
      </c>
      <c r="E187" s="1" t="str">
        <f t="shared" si="247"/>
        <v>32</v>
      </c>
      <c r="F187" s="1" t="str">
        <f t="shared" si="247"/>
        <v>36</v>
      </c>
      <c r="G187" s="1" t="str">
        <f t="shared" si="247"/>
        <v>14</v>
      </c>
      <c r="H187" s="1" t="str">
        <f t="shared" si="247"/>
        <v>6</v>
      </c>
      <c r="I187" s="1" t="str">
        <f t="shared" si="247"/>
        <v>23</v>
      </c>
      <c r="J187" s="1" t="str">
        <f t="shared" si="247"/>
        <v>44</v>
      </c>
      <c r="K187" s="1" t="str">
        <f t="shared" si="247"/>
        <v>11</v>
      </c>
      <c r="L187" s="1" t="str">
        <f t="shared" si="247"/>
        <v>29</v>
      </c>
      <c r="M187" s="1" t="str">
        <f t="shared" si="247"/>
        <v>40</v>
      </c>
      <c r="N187" s="1" t="str">
        <f t="shared" si="247"/>
        <v>47</v>
      </c>
      <c r="O187" s="1" t="str">
        <f t="shared" si="247"/>
        <v>13</v>
      </c>
      <c r="P187" s="1" t="str">
        <f t="shared" si="247"/>
        <v>42</v>
      </c>
      <c r="Q187" s="1" t="str">
        <f t="shared" si="247"/>
        <v>49</v>
      </c>
      <c r="R187" s="1" t="str">
        <f t="shared" si="247"/>
        <v>31</v>
      </c>
      <c r="S187" s="1" t="str">
        <f t="shared" si="247"/>
        <v>15</v>
      </c>
      <c r="T187" s="1" t="str">
        <f t="shared" si="247"/>
        <v>43</v>
      </c>
      <c r="U187" s="1" t="str">
        <f t="shared" si="247"/>
        <v>12</v>
      </c>
      <c r="V187" s="1" t="str">
        <f t="shared" si="247"/>
        <v>=16</v>
      </c>
      <c r="W187" s="1" t="str">
        <f t="shared" si="247"/>
        <v>30</v>
      </c>
      <c r="X187" s="1" t="str">
        <f t="shared" si="247"/>
        <v>25</v>
      </c>
      <c r="Y187" s="1" t="str">
        <f t="shared" si="247"/>
        <v>28</v>
      </c>
      <c r="Z187" s="1" t="str">
        <f t="shared" si="247"/>
        <v>22</v>
      </c>
      <c r="AA187" s="1" t="str">
        <f t="shared" si="247"/>
        <v>=19</v>
      </c>
      <c r="AB187" s="1" t="str">
        <f t="shared" si="247"/>
        <v>45</v>
      </c>
      <c r="AC187" s="1" t="str">
        <f t="shared" si="247"/>
        <v>46</v>
      </c>
      <c r="AD187" s="1" t="str">
        <f t="shared" si="247"/>
        <v>18</v>
      </c>
      <c r="AE187" s="1" t="str">
        <f t="shared" si="247"/>
        <v>2</v>
      </c>
      <c r="AF187" s="1" t="str">
        <f t="shared" si="247"/>
        <v>27</v>
      </c>
      <c r="AG187" s="1" t="str">
        <f t="shared" si="247"/>
        <v>37</v>
      </c>
      <c r="AH187" s="1" t="str">
        <f t="shared" ref="AH187:AY187" si="248">IF(AH128&gt;1,"=","")&amp;AH69</f>
        <v>39</v>
      </c>
      <c r="AI187" s="1" t="str">
        <f t="shared" si="248"/>
        <v>26</v>
      </c>
      <c r="AJ187" s="1" t="str">
        <f t="shared" si="248"/>
        <v>21</v>
      </c>
      <c r="AK187" s="1" t="str">
        <f t="shared" si="248"/>
        <v>7</v>
      </c>
      <c r="AL187" s="1" t="str">
        <f t="shared" si="248"/>
        <v>35</v>
      </c>
      <c r="AM187" s="1" t="str">
        <f t="shared" si="248"/>
        <v>50</v>
      </c>
      <c r="AN187" s="1" t="str">
        <f t="shared" si="248"/>
        <v>38</v>
      </c>
      <c r="AO187" s="1" t="str">
        <f t="shared" si="248"/>
        <v>33</v>
      </c>
      <c r="AP187" s="1" t="str">
        <f t="shared" si="248"/>
        <v>4</v>
      </c>
      <c r="AQ187" s="1" t="str">
        <f t="shared" si="248"/>
        <v>8</v>
      </c>
      <c r="AR187" s="1" t="str">
        <f t="shared" si="248"/>
        <v>24</v>
      </c>
      <c r="AS187" s="1" t="str">
        <f t="shared" si="248"/>
        <v>5</v>
      </c>
      <c r="AT187" s="1" t="str">
        <f t="shared" si="248"/>
        <v>34</v>
      </c>
      <c r="AU187" s="1" t="str">
        <f t="shared" si="248"/>
        <v>41</v>
      </c>
      <c r="AV187" s="1" t="str">
        <f t="shared" si="248"/>
        <v>1</v>
      </c>
      <c r="AW187" s="1" t="str">
        <f t="shared" si="248"/>
        <v>=19</v>
      </c>
      <c r="AX187" s="1" t="str">
        <f t="shared" si="248"/>
        <v>=16</v>
      </c>
      <c r="AY187" s="1" t="str">
        <f t="shared" si="248"/>
        <v>10</v>
      </c>
    </row>
    <row r="188" spans="1:51">
      <c r="A188" s="1" t="str">
        <f t="shared" si="230"/>
        <v>1.2.1) Frequency of identity theft</v>
      </c>
      <c r="B188" s="1" t="str">
        <f t="shared" ref="B188:AG188" si="249">IF(B129&gt;1,"=","")&amp;B70</f>
        <v>=6</v>
      </c>
      <c r="C188" s="1" t="str">
        <f t="shared" si="249"/>
        <v>5</v>
      </c>
      <c r="D188" s="1" t="str">
        <f t="shared" si="249"/>
        <v>=6</v>
      </c>
      <c r="E188" s="1" t="str">
        <f t="shared" si="249"/>
        <v>=34</v>
      </c>
      <c r="F188" s="1" t="str">
        <f t="shared" si="249"/>
        <v>=45</v>
      </c>
      <c r="G188" s="1" t="str">
        <f t="shared" si="249"/>
        <v>19</v>
      </c>
      <c r="H188" s="1" t="str">
        <f t="shared" si="249"/>
        <v>=6</v>
      </c>
      <c r="I188" s="1" t="str">
        <f t="shared" si="249"/>
        <v>=22</v>
      </c>
      <c r="J188" s="1" t="str">
        <f t="shared" si="249"/>
        <v>=42</v>
      </c>
      <c r="K188" s="1" t="str">
        <f t="shared" si="249"/>
        <v>=6</v>
      </c>
      <c r="L188" s="1" t="str">
        <f t="shared" si="249"/>
        <v>=29</v>
      </c>
      <c r="M188" s="1" t="str">
        <f t="shared" si="249"/>
        <v>=45</v>
      </c>
      <c r="N188" s="1" t="str">
        <f t="shared" si="249"/>
        <v>=6</v>
      </c>
      <c r="O188" s="1" t="str">
        <f t="shared" si="249"/>
        <v>=6</v>
      </c>
      <c r="P188" s="1" t="str">
        <f t="shared" si="249"/>
        <v>=29</v>
      </c>
      <c r="Q188" s="1" t="str">
        <f t="shared" si="249"/>
        <v>41</v>
      </c>
      <c r="R188" s="1" t="str">
        <f t="shared" si="249"/>
        <v>=42</v>
      </c>
      <c r="S188" s="1" t="str">
        <f t="shared" si="249"/>
        <v>=6</v>
      </c>
      <c r="T188" s="1" t="str">
        <f t="shared" si="249"/>
        <v>4</v>
      </c>
      <c r="U188" s="1" t="str">
        <f t="shared" si="249"/>
        <v>21</v>
      </c>
      <c r="V188" s="1" t="str">
        <f t="shared" si="249"/>
        <v>=22</v>
      </c>
      <c r="W188" s="1" t="str">
        <f t="shared" si="249"/>
        <v>=34</v>
      </c>
      <c r="X188" s="1" t="str">
        <f t="shared" si="249"/>
        <v>=29</v>
      </c>
      <c r="Y188" s="1" t="str">
        <f t="shared" si="249"/>
        <v>=34</v>
      </c>
      <c r="Z188" s="1" t="str">
        <f t="shared" si="249"/>
        <v>=1</v>
      </c>
      <c r="AA188" s="1" t="str">
        <f t="shared" si="249"/>
        <v>=22</v>
      </c>
      <c r="AB188" s="1" t="str">
        <f t="shared" si="249"/>
        <v>=37</v>
      </c>
      <c r="AC188" s="1" t="str">
        <f t="shared" si="249"/>
        <v>=42</v>
      </c>
      <c r="AD188" s="1" t="str">
        <f t="shared" si="249"/>
        <v>=22</v>
      </c>
      <c r="AE188" s="1" t="str">
        <f t="shared" si="249"/>
        <v>=15</v>
      </c>
      <c r="AF188" s="1" t="str">
        <f t="shared" si="249"/>
        <v>=15</v>
      </c>
      <c r="AG188" s="1" t="str">
        <f t="shared" si="249"/>
        <v>=37</v>
      </c>
      <c r="AH188" s="1" t="str">
        <f t="shared" ref="AH188:AY188" si="250">IF(AH129&gt;1,"=","")&amp;AH70</f>
        <v>=29</v>
      </c>
      <c r="AI188" s="1" t="str">
        <f t="shared" si="250"/>
        <v>=1</v>
      </c>
      <c r="AJ188" s="1" t="str">
        <f t="shared" si="250"/>
        <v>=22</v>
      </c>
      <c r="AK188" s="1" t="str">
        <f t="shared" si="250"/>
        <v>=6</v>
      </c>
      <c r="AL188" s="1" t="str">
        <f t="shared" si="250"/>
        <v>=37</v>
      </c>
      <c r="AM188" s="1" t="str">
        <f t="shared" si="250"/>
        <v>50</v>
      </c>
      <c r="AN188" s="1" t="str">
        <f t="shared" si="250"/>
        <v>=45</v>
      </c>
      <c r="AO188" s="1" t="str">
        <f t="shared" si="250"/>
        <v>=45</v>
      </c>
      <c r="AP188" s="1" t="str">
        <f t="shared" si="250"/>
        <v>=37</v>
      </c>
      <c r="AQ188" s="1" t="str">
        <f t="shared" si="250"/>
        <v>20</v>
      </c>
      <c r="AR188" s="1" t="str">
        <f t="shared" si="250"/>
        <v>=29</v>
      </c>
      <c r="AS188" s="1" t="str">
        <f t="shared" si="250"/>
        <v>=6</v>
      </c>
      <c r="AT188" s="1" t="str">
        <f t="shared" si="250"/>
        <v>=1</v>
      </c>
      <c r="AU188" s="1" t="str">
        <f t="shared" si="250"/>
        <v>=45</v>
      </c>
      <c r="AV188" s="1" t="str">
        <f t="shared" si="250"/>
        <v>=15</v>
      </c>
      <c r="AW188" s="1" t="str">
        <f t="shared" si="250"/>
        <v>=22</v>
      </c>
      <c r="AX188" s="1" t="str">
        <f t="shared" si="250"/>
        <v>=22</v>
      </c>
      <c r="AY188" s="1" t="str">
        <f t="shared" si="250"/>
        <v>=15</v>
      </c>
    </row>
    <row r="189" spans="1:51">
      <c r="A189" s="1" t="str">
        <f t="shared" si="230"/>
        <v>1.2.2) Percentage of computers infected</v>
      </c>
      <c r="B189" s="1" t="str">
        <f t="shared" ref="B189:AG189" si="251">IF(B130&gt;1,"=","")&amp;B71</f>
        <v>=10</v>
      </c>
      <c r="C189" s="1" t="str">
        <f t="shared" si="251"/>
        <v>=4</v>
      </c>
      <c r="D189" s="1" t="str">
        <f t="shared" si="251"/>
        <v>=42</v>
      </c>
      <c r="E189" s="1" t="str">
        <f t="shared" si="251"/>
        <v>=42</v>
      </c>
      <c r="F189" s="1" t="str">
        <f t="shared" si="251"/>
        <v>=10</v>
      </c>
      <c r="G189" s="1" t="str">
        <f t="shared" si="251"/>
        <v>=10</v>
      </c>
      <c r="H189" s="1" t="str">
        <f t="shared" si="251"/>
        <v>=4</v>
      </c>
      <c r="I189" s="1" t="str">
        <f t="shared" si="251"/>
        <v>=10</v>
      </c>
      <c r="J189" s="1" t="str">
        <f t="shared" si="251"/>
        <v>=10</v>
      </c>
      <c r="K189" s="1" t="str">
        <f t="shared" si="251"/>
        <v>=10</v>
      </c>
      <c r="L189" s="1" t="str">
        <f t="shared" si="251"/>
        <v>=42</v>
      </c>
      <c r="M189" s="1" t="str">
        <f t="shared" si="251"/>
        <v>=10</v>
      </c>
      <c r="N189" s="1" t="str">
        <f t="shared" si="251"/>
        <v>=49</v>
      </c>
      <c r="O189" s="1" t="str">
        <f t="shared" si="251"/>
        <v>=10</v>
      </c>
      <c r="P189" s="1" t="str">
        <f t="shared" si="251"/>
        <v>=42</v>
      </c>
      <c r="Q189" s="1" t="str">
        <f t="shared" si="251"/>
        <v>=10</v>
      </c>
      <c r="R189" s="1" t="str">
        <f t="shared" si="251"/>
        <v>=4</v>
      </c>
      <c r="S189" s="1" t="str">
        <f t="shared" si="251"/>
        <v>=10</v>
      </c>
      <c r="T189" s="1" t="str">
        <f t="shared" si="251"/>
        <v>=10</v>
      </c>
      <c r="U189" s="1" t="str">
        <f t="shared" si="251"/>
        <v>=10</v>
      </c>
      <c r="V189" s="1" t="str">
        <f t="shared" si="251"/>
        <v>=10</v>
      </c>
      <c r="W189" s="1" t="str">
        <f t="shared" si="251"/>
        <v>=42</v>
      </c>
      <c r="X189" s="1" t="str">
        <f t="shared" si="251"/>
        <v>=10</v>
      </c>
      <c r="Y189" s="1" t="str">
        <f t="shared" si="251"/>
        <v>=4</v>
      </c>
      <c r="Z189" s="1" t="str">
        <f t="shared" si="251"/>
        <v>=10</v>
      </c>
      <c r="AA189" s="1" t="str">
        <f t="shared" si="251"/>
        <v>=10</v>
      </c>
      <c r="AB189" s="1" t="str">
        <f t="shared" si="251"/>
        <v>=49</v>
      </c>
      <c r="AC189" s="1" t="str">
        <f t="shared" si="251"/>
        <v>=10</v>
      </c>
      <c r="AD189" s="1" t="str">
        <f t="shared" si="251"/>
        <v>=10</v>
      </c>
      <c r="AE189" s="1" t="str">
        <f t="shared" si="251"/>
        <v>=1</v>
      </c>
      <c r="AF189" s="1" t="str">
        <f t="shared" si="251"/>
        <v>=42</v>
      </c>
      <c r="AG189" s="1" t="str">
        <f t="shared" si="251"/>
        <v>=10</v>
      </c>
      <c r="AH189" s="1" t="str">
        <f t="shared" ref="AH189:AY189" si="252">IF(AH130&gt;1,"=","")&amp;AH71</f>
        <v>=42</v>
      </c>
      <c r="AI189" s="1" t="str">
        <f t="shared" si="252"/>
        <v>=10</v>
      </c>
      <c r="AJ189" s="1" t="str">
        <f t="shared" si="252"/>
        <v>=10</v>
      </c>
      <c r="AK189" s="1" t="str">
        <f t="shared" si="252"/>
        <v>=4</v>
      </c>
      <c r="AL189" s="1" t="str">
        <f t="shared" si="252"/>
        <v>=10</v>
      </c>
      <c r="AM189" s="1" t="str">
        <f t="shared" si="252"/>
        <v>=10</v>
      </c>
      <c r="AN189" s="1" t="str">
        <f t="shared" si="252"/>
        <v>=10</v>
      </c>
      <c r="AO189" s="1" t="str">
        <f t="shared" si="252"/>
        <v>=10</v>
      </c>
      <c r="AP189" s="1" t="str">
        <f t="shared" si="252"/>
        <v>=1</v>
      </c>
      <c r="AQ189" s="1" t="str">
        <f t="shared" si="252"/>
        <v>=10</v>
      </c>
      <c r="AR189" s="1" t="str">
        <f t="shared" si="252"/>
        <v>=10</v>
      </c>
      <c r="AS189" s="1" t="str">
        <f t="shared" si="252"/>
        <v>=4</v>
      </c>
      <c r="AT189" s="1" t="str">
        <f t="shared" si="252"/>
        <v>=10</v>
      </c>
      <c r="AU189" s="1" t="str">
        <f t="shared" si="252"/>
        <v>=10</v>
      </c>
      <c r="AV189" s="1" t="str">
        <f t="shared" si="252"/>
        <v>=1</v>
      </c>
      <c r="AW189" s="1" t="str">
        <f t="shared" si="252"/>
        <v>=10</v>
      </c>
      <c r="AX189" s="1" t="str">
        <f t="shared" si="252"/>
        <v>=10</v>
      </c>
      <c r="AY189" s="1" t="str">
        <f t="shared" si="252"/>
        <v>=10</v>
      </c>
    </row>
    <row r="190" spans="1:51">
      <c r="A190" s="1" t="str">
        <f t="shared" si="230"/>
        <v>1.2.3) Percent with internet access</v>
      </c>
      <c r="B190" s="1" t="str">
        <f t="shared" ref="B190:AG190" si="253">IF(B131&gt;1,"=","")&amp;B72</f>
        <v>=4</v>
      </c>
      <c r="C190" s="1" t="str">
        <f t="shared" si="253"/>
        <v>2</v>
      </c>
      <c r="D190" s="1" t="str">
        <f t="shared" si="253"/>
        <v>49</v>
      </c>
      <c r="E190" s="1" t="str">
        <f t="shared" si="253"/>
        <v>25</v>
      </c>
      <c r="F190" s="1" t="str">
        <f t="shared" si="253"/>
        <v>29</v>
      </c>
      <c r="G190" s="1" t="str">
        <f t="shared" si="253"/>
        <v>13</v>
      </c>
      <c r="H190" s="1" t="str">
        <f t="shared" si="253"/>
        <v>32</v>
      </c>
      <c r="I190" s="1" t="str">
        <f t="shared" si="253"/>
        <v>24</v>
      </c>
      <c r="J190" s="1" t="str">
        <f t="shared" si="253"/>
        <v>42</v>
      </c>
      <c r="K190" s="1" t="str">
        <f t="shared" si="253"/>
        <v>=14</v>
      </c>
      <c r="L190" s="1" t="str">
        <f t="shared" si="253"/>
        <v>10</v>
      </c>
      <c r="M190" s="1" t="str">
        <f t="shared" si="253"/>
        <v>34</v>
      </c>
      <c r="N190" s="1" t="str">
        <f t="shared" si="253"/>
        <v>41</v>
      </c>
      <c r="O190" s="1" t="str">
        <f t="shared" si="253"/>
        <v>19</v>
      </c>
      <c r="P190" s="1" t="str">
        <f t="shared" si="253"/>
        <v>46</v>
      </c>
      <c r="Q190" s="1" t="str">
        <f t="shared" si="253"/>
        <v>47</v>
      </c>
      <c r="R190" s="1" t="str">
        <f t="shared" si="253"/>
        <v>39</v>
      </c>
      <c r="S190" s="1" t="str">
        <f t="shared" si="253"/>
        <v>=26</v>
      </c>
      <c r="T190" s="1" t="str">
        <f t="shared" si="253"/>
        <v>50</v>
      </c>
      <c r="U190" s="1" t="str">
        <f t="shared" si="253"/>
        <v>3</v>
      </c>
      <c r="V190" s="1" t="str">
        <f t="shared" si="253"/>
        <v>=8</v>
      </c>
      <c r="W190" s="1" t="str">
        <f t="shared" si="253"/>
        <v>20</v>
      </c>
      <c r="X190" s="1" t="str">
        <f t="shared" si="253"/>
        <v>23</v>
      </c>
      <c r="Y190" s="1" t="str">
        <f t="shared" si="253"/>
        <v>40</v>
      </c>
      <c r="Z190" s="1" t="str">
        <f t="shared" si="253"/>
        <v>35</v>
      </c>
      <c r="AA190" s="1" t="str">
        <f t="shared" si="253"/>
        <v>=16</v>
      </c>
      <c r="AB190" s="1" t="str">
        <f t="shared" si="253"/>
        <v>=26</v>
      </c>
      <c r="AC190" s="1" t="str">
        <f t="shared" si="253"/>
        <v>=44</v>
      </c>
      <c r="AD190" s="1" t="str">
        <f t="shared" si="253"/>
        <v>12</v>
      </c>
      <c r="AE190" s="1" t="str">
        <f t="shared" si="253"/>
        <v>7</v>
      </c>
      <c r="AF190" s="1" t="str">
        <f t="shared" si="253"/>
        <v>=14</v>
      </c>
      <c r="AG190" s="1" t="str">
        <f t="shared" si="253"/>
        <v>=44</v>
      </c>
      <c r="AH190" s="1" t="str">
        <f t="shared" ref="AH190:AY190" si="254">IF(AH131&gt;1,"=","")&amp;AH72</f>
        <v>38</v>
      </c>
      <c r="AI190" s="1" t="str">
        <f t="shared" si="254"/>
        <v>37</v>
      </c>
      <c r="AJ190" s="1" t="str">
        <f t="shared" si="254"/>
        <v>18</v>
      </c>
      <c r="AK190" s="1" t="str">
        <f t="shared" si="254"/>
        <v>33</v>
      </c>
      <c r="AL190" s="1" t="str">
        <f t="shared" si="254"/>
        <v>43</v>
      </c>
      <c r="AM190" s="1" t="str">
        <f t="shared" si="254"/>
        <v>11</v>
      </c>
      <c r="AN190" s="1" t="str">
        <f t="shared" si="254"/>
        <v>31</v>
      </c>
      <c r="AO190" s="1" t="str">
        <f t="shared" si="254"/>
        <v>21</v>
      </c>
      <c r="AP190" s="1" t="str">
        <f t="shared" si="254"/>
        <v>28</v>
      </c>
      <c r="AQ190" s="1" t="str">
        <f t="shared" si="254"/>
        <v>1</v>
      </c>
      <c r="AR190" s="1" t="str">
        <f t="shared" si="254"/>
        <v>22</v>
      </c>
      <c r="AS190" s="1" t="str">
        <f t="shared" si="254"/>
        <v>30</v>
      </c>
      <c r="AT190" s="1" t="str">
        <f t="shared" si="254"/>
        <v>48</v>
      </c>
      <c r="AU190" s="1" t="str">
        <f t="shared" si="254"/>
        <v>36</v>
      </c>
      <c r="AV190" s="1" t="str">
        <f t="shared" si="254"/>
        <v>6</v>
      </c>
      <c r="AW190" s="1" t="str">
        <f t="shared" si="254"/>
        <v>=16</v>
      </c>
      <c r="AX190" s="1" t="str">
        <f t="shared" si="254"/>
        <v>=8</v>
      </c>
      <c r="AY190" s="1" t="str">
        <f t="shared" si="254"/>
        <v>=4</v>
      </c>
    </row>
    <row r="191" spans="1:51">
      <c r="A191" s="1" t="str">
        <f t="shared" si="230"/>
        <v>2) HEALTH SECURITY</v>
      </c>
      <c r="B191" s="1" t="str">
        <f t="shared" ref="B191:AG191" si="255">IF(B132&gt;1,"=","")&amp;B73</f>
        <v>45</v>
      </c>
      <c r="C191" s="1" t="str">
        <f t="shared" si="255"/>
        <v>13</v>
      </c>
      <c r="D191" s="1" t="str">
        <f t="shared" si="255"/>
        <v>35</v>
      </c>
      <c r="E191" s="1" t="str">
        <f t="shared" si="255"/>
        <v>7</v>
      </c>
      <c r="F191" s="1" t="str">
        <f t="shared" si="255"/>
        <v>30</v>
      </c>
      <c r="G191" s="1" t="str">
        <f t="shared" si="255"/>
        <v>3</v>
      </c>
      <c r="H191" s="1" t="str">
        <f t="shared" si="255"/>
        <v>29</v>
      </c>
      <c r="I191" s="1" t="str">
        <f t="shared" si="255"/>
        <v>23</v>
      </c>
      <c r="J191" s="1" t="str">
        <f t="shared" si="255"/>
        <v>42</v>
      </c>
      <c r="K191" s="1" t="str">
        <f t="shared" si="255"/>
        <v>41</v>
      </c>
      <c r="L191" s="1" t="str">
        <f t="shared" si="255"/>
        <v>4</v>
      </c>
      <c r="M191" s="1" t="str">
        <f t="shared" si="255"/>
        <v>37</v>
      </c>
      <c r="N191" s="1" t="str">
        <f t="shared" si="255"/>
        <v>48</v>
      </c>
      <c r="O191" s="1" t="str">
        <f t="shared" si="255"/>
        <v>15</v>
      </c>
      <c r="P191" s="1" t="str">
        <f t="shared" si="255"/>
        <v>46</v>
      </c>
      <c r="Q191" s="1" t="str">
        <f t="shared" si="255"/>
        <v>44</v>
      </c>
      <c r="R191" s="1" t="str">
        <f t="shared" si="255"/>
        <v>47</v>
      </c>
      <c r="S191" s="1" t="str">
        <f t="shared" si="255"/>
        <v>39</v>
      </c>
      <c r="T191" s="1" t="str">
        <f t="shared" si="255"/>
        <v>40</v>
      </c>
      <c r="U191" s="1" t="str">
        <f t="shared" si="255"/>
        <v>22</v>
      </c>
      <c r="V191" s="1" t="str">
        <f t="shared" si="255"/>
        <v>26</v>
      </c>
      <c r="W191" s="1" t="str">
        <f t="shared" si="255"/>
        <v>11</v>
      </c>
      <c r="X191" s="1" t="str">
        <f t="shared" si="255"/>
        <v>14</v>
      </c>
      <c r="Y191" s="1" t="str">
        <f t="shared" si="255"/>
        <v>33</v>
      </c>
      <c r="Z191" s="1" t="str">
        <f t="shared" si="255"/>
        <v>27</v>
      </c>
      <c r="AA191" s="1" t="str">
        <f t="shared" si="255"/>
        <v>20</v>
      </c>
      <c r="AB191" s="1" t="str">
        <f t="shared" si="255"/>
        <v>24</v>
      </c>
      <c r="AC191" s="1" t="str">
        <f t="shared" si="255"/>
        <v>50</v>
      </c>
      <c r="AD191" s="1" t="str">
        <f t="shared" si="255"/>
        <v>2</v>
      </c>
      <c r="AE191" s="1" t="str">
        <f t="shared" si="255"/>
        <v>6</v>
      </c>
      <c r="AF191" s="1" t="str">
        <f t="shared" si="255"/>
        <v>5</v>
      </c>
      <c r="AG191" s="1" t="str">
        <f t="shared" si="255"/>
        <v>38</v>
      </c>
      <c r="AH191" s="1" t="str">
        <f t="shared" ref="AH191:AY191" si="256">IF(AH132&gt;1,"=","")&amp;AH73</f>
        <v>43</v>
      </c>
      <c r="AI191" s="1" t="str">
        <f t="shared" si="256"/>
        <v>25</v>
      </c>
      <c r="AJ191" s="1" t="str">
        <f t="shared" si="256"/>
        <v>16</v>
      </c>
      <c r="AK191" s="1" t="str">
        <f t="shared" si="256"/>
        <v>28</v>
      </c>
      <c r="AL191" s="1" t="str">
        <f t="shared" si="256"/>
        <v>36</v>
      </c>
      <c r="AM191" s="1" t="str">
        <f t="shared" si="256"/>
        <v>18</v>
      </c>
      <c r="AN191" s="1" t="str">
        <f t="shared" si="256"/>
        <v>31</v>
      </c>
      <c r="AO191" s="1" t="str">
        <f t="shared" si="256"/>
        <v>32</v>
      </c>
      <c r="AP191" s="1" t="str">
        <f t="shared" si="256"/>
        <v>12</v>
      </c>
      <c r="AQ191" s="1" t="str">
        <f t="shared" si="256"/>
        <v>10</v>
      </c>
      <c r="AR191" s="1" t="str">
        <f t="shared" si="256"/>
        <v>17</v>
      </c>
      <c r="AS191" s="1" t="str">
        <f t="shared" si="256"/>
        <v>9</v>
      </c>
      <c r="AT191" s="1" t="str">
        <f t="shared" si="256"/>
        <v>49</v>
      </c>
      <c r="AU191" s="1" t="str">
        <f t="shared" si="256"/>
        <v>34</v>
      </c>
      <c r="AV191" s="1" t="str">
        <f t="shared" si="256"/>
        <v>8</v>
      </c>
      <c r="AW191" s="1" t="str">
        <f t="shared" si="256"/>
        <v>21</v>
      </c>
      <c r="AX191" s="1" t="str">
        <f t="shared" si="256"/>
        <v>19</v>
      </c>
      <c r="AY191" s="1" t="str">
        <f t="shared" si="256"/>
        <v>1</v>
      </c>
    </row>
    <row r="192" spans="1:51">
      <c r="A192" s="1" t="str">
        <f t="shared" si="230"/>
        <v>2.1) Health Security (Inputs)</v>
      </c>
      <c r="B192" s="1" t="str">
        <f t="shared" ref="B192:AG192" si="257">IF(B133&gt;1,"=","")&amp;B74</f>
        <v>35</v>
      </c>
      <c r="C192" s="1" t="str">
        <f t="shared" si="257"/>
        <v>10</v>
      </c>
      <c r="D192" s="1" t="str">
        <f t="shared" si="257"/>
        <v>33</v>
      </c>
      <c r="E192" s="1" t="str">
        <f t="shared" si="257"/>
        <v>13</v>
      </c>
      <c r="F192" s="1" t="str">
        <f t="shared" si="257"/>
        <v>31</v>
      </c>
      <c r="G192" s="1" t="str">
        <f t="shared" si="257"/>
        <v>3</v>
      </c>
      <c r="H192" s="1" t="str">
        <f t="shared" si="257"/>
        <v>24</v>
      </c>
      <c r="I192" s="1" t="str">
        <f t="shared" si="257"/>
        <v>23</v>
      </c>
      <c r="J192" s="1" t="str">
        <f t="shared" si="257"/>
        <v>40</v>
      </c>
      <c r="K192" s="1" t="str">
        <f t="shared" si="257"/>
        <v>39</v>
      </c>
      <c r="L192" s="1" t="str">
        <f t="shared" si="257"/>
        <v>11</v>
      </c>
      <c r="M192" s="1" t="str">
        <f t="shared" si="257"/>
        <v>30</v>
      </c>
      <c r="N192" s="1" t="str">
        <f t="shared" si="257"/>
        <v>49</v>
      </c>
      <c r="O192" s="1" t="str">
        <f t="shared" si="257"/>
        <v>17</v>
      </c>
      <c r="P192" s="1" t="str">
        <f t="shared" si="257"/>
        <v>50</v>
      </c>
      <c r="Q192" s="1" t="str">
        <f t="shared" si="257"/>
        <v>46</v>
      </c>
      <c r="R192" s="1" t="str">
        <f t="shared" si="257"/>
        <v>44</v>
      </c>
      <c r="S192" s="1" t="str">
        <f t="shared" si="257"/>
        <v>42</v>
      </c>
      <c r="T192" s="1" t="str">
        <f t="shared" si="257"/>
        <v>45</v>
      </c>
      <c r="U192" s="1" t="str">
        <f t="shared" si="257"/>
        <v>26</v>
      </c>
      <c r="V192" s="1" t="str">
        <f t="shared" si="257"/>
        <v>21</v>
      </c>
      <c r="W192" s="1" t="str">
        <f t="shared" si="257"/>
        <v>20</v>
      </c>
      <c r="X192" s="1" t="str">
        <f t="shared" si="257"/>
        <v>15</v>
      </c>
      <c r="Y192" s="1" t="str">
        <f t="shared" si="257"/>
        <v>37</v>
      </c>
      <c r="Z192" s="1" t="str">
        <f t="shared" si="257"/>
        <v>32</v>
      </c>
      <c r="AA192" s="1" t="str">
        <f t="shared" si="257"/>
        <v>8</v>
      </c>
      <c r="AB192" s="1" t="str">
        <f t="shared" si="257"/>
        <v>16</v>
      </c>
      <c r="AC192" s="1" t="str">
        <f t="shared" si="257"/>
        <v>48</v>
      </c>
      <c r="AD192" s="1" t="str">
        <f t="shared" si="257"/>
        <v>12</v>
      </c>
      <c r="AE192" s="1" t="str">
        <f t="shared" si="257"/>
        <v>2</v>
      </c>
      <c r="AF192" s="1" t="str">
        <f t="shared" si="257"/>
        <v>6</v>
      </c>
      <c r="AG192" s="1" t="str">
        <f t="shared" si="257"/>
        <v>28</v>
      </c>
      <c r="AH192" s="1" t="str">
        <f t="shared" ref="AH192:AY192" si="258">IF(AH133&gt;1,"=","")&amp;AH74</f>
        <v>47</v>
      </c>
      <c r="AI192" s="1" t="str">
        <f t="shared" si="258"/>
        <v>27</v>
      </c>
      <c r="AJ192" s="1" t="str">
        <f t="shared" si="258"/>
        <v>19</v>
      </c>
      <c r="AK192" s="1" t="str">
        <f t="shared" si="258"/>
        <v>41</v>
      </c>
      <c r="AL192" s="1" t="str">
        <f t="shared" si="258"/>
        <v>38</v>
      </c>
      <c r="AM192" s="1" t="str">
        <f t="shared" si="258"/>
        <v>18</v>
      </c>
      <c r="AN192" s="1" t="str">
        <f t="shared" si="258"/>
        <v>34</v>
      </c>
      <c r="AO192" s="1" t="str">
        <f t="shared" si="258"/>
        <v>29</v>
      </c>
      <c r="AP192" s="1" t="str">
        <f t="shared" si="258"/>
        <v>14</v>
      </c>
      <c r="AQ192" s="1" t="str">
        <f t="shared" si="258"/>
        <v>9</v>
      </c>
      <c r="AR192" s="1" t="str">
        <f t="shared" si="258"/>
        <v>22</v>
      </c>
      <c r="AS192" s="1" t="str">
        <f t="shared" si="258"/>
        <v>1</v>
      </c>
      <c r="AT192" s="1" t="str">
        <f t="shared" si="258"/>
        <v>43</v>
      </c>
      <c r="AU192" s="1" t="str">
        <f t="shared" si="258"/>
        <v>36</v>
      </c>
      <c r="AV192" s="1" t="str">
        <f t="shared" si="258"/>
        <v>4</v>
      </c>
      <c r="AW192" s="1" t="str">
        <f t="shared" si="258"/>
        <v>25</v>
      </c>
      <c r="AX192" s="1" t="str">
        <f t="shared" si="258"/>
        <v>5</v>
      </c>
      <c r="AY192" s="1" t="str">
        <f t="shared" si="258"/>
        <v>7</v>
      </c>
    </row>
    <row r="193" spans="1:51">
      <c r="A193" s="1" t="str">
        <f t="shared" si="230"/>
        <v>2.1.1) Environmental policies</v>
      </c>
      <c r="B193" s="1" t="str">
        <f t="shared" ref="B193:AG193" si="259">IF(B134&gt;1,"=","")&amp;B75</f>
        <v>40</v>
      </c>
      <c r="C193" s="1" t="str">
        <f t="shared" si="259"/>
        <v>18</v>
      </c>
      <c r="D193" s="1" t="str">
        <f t="shared" si="259"/>
        <v>=14</v>
      </c>
      <c r="E193" s="1" t="str">
        <f t="shared" si="259"/>
        <v>=26</v>
      </c>
      <c r="F193" s="1" t="str">
        <f t="shared" si="259"/>
        <v>=28</v>
      </c>
      <c r="G193" s="1" t="str">
        <f t="shared" si="259"/>
        <v>=1</v>
      </c>
      <c r="H193" s="1" t="str">
        <f t="shared" si="259"/>
        <v>33</v>
      </c>
      <c r="I193" s="1" t="str">
        <f t="shared" si="259"/>
        <v>=22</v>
      </c>
      <c r="J193" s="1" t="str">
        <f t="shared" si="259"/>
        <v>21</v>
      </c>
      <c r="K193" s="1" t="str">
        <f t="shared" si="259"/>
        <v>47</v>
      </c>
      <c r="L193" s="1" t="str">
        <f t="shared" si="259"/>
        <v>32</v>
      </c>
      <c r="M193" s="1" t="str">
        <f t="shared" si="259"/>
        <v>24</v>
      </c>
      <c r="N193" s="1" t="str">
        <f t="shared" si="259"/>
        <v>46</v>
      </c>
      <c r="O193" s="1" t="str">
        <f t="shared" si="259"/>
        <v>=5</v>
      </c>
      <c r="P193" s="1" t="str">
        <f t="shared" si="259"/>
        <v>48</v>
      </c>
      <c r="Q193" s="1" t="str">
        <f t="shared" si="259"/>
        <v>19</v>
      </c>
      <c r="R193" s="1" t="str">
        <f t="shared" si="259"/>
        <v>=36</v>
      </c>
      <c r="S193" s="1" t="str">
        <f t="shared" si="259"/>
        <v>=49</v>
      </c>
      <c r="T193" s="1" t="str">
        <f t="shared" si="259"/>
        <v>42</v>
      </c>
      <c r="U193" s="1" t="str">
        <f t="shared" si="259"/>
        <v>31</v>
      </c>
      <c r="V193" s="1" t="str">
        <f t="shared" si="259"/>
        <v>=10</v>
      </c>
      <c r="W193" s="1" t="str">
        <f t="shared" si="259"/>
        <v>=26</v>
      </c>
      <c r="X193" s="1" t="str">
        <f t="shared" si="259"/>
        <v>30</v>
      </c>
      <c r="Y193" s="1" t="str">
        <f t="shared" si="259"/>
        <v>12</v>
      </c>
      <c r="Z193" s="1" t="str">
        <f t="shared" si="259"/>
        <v>=44</v>
      </c>
      <c r="AA193" s="1" t="str">
        <f t="shared" si="259"/>
        <v>34</v>
      </c>
      <c r="AB193" s="1" t="str">
        <f t="shared" si="259"/>
        <v>20</v>
      </c>
      <c r="AC193" s="1" t="str">
        <f t="shared" si="259"/>
        <v>41</v>
      </c>
      <c r="AD193" s="1" t="str">
        <f t="shared" si="259"/>
        <v>=1</v>
      </c>
      <c r="AE193" s="1" t="str">
        <f t="shared" si="259"/>
        <v>=8</v>
      </c>
      <c r="AF193" s="1" t="str">
        <f t="shared" si="259"/>
        <v>=10</v>
      </c>
      <c r="AG193" s="1" t="str">
        <f t="shared" si="259"/>
        <v>=14</v>
      </c>
      <c r="AH193" s="1" t="str">
        <f t="shared" ref="AH193:AY193" si="260">IF(AH134&gt;1,"=","")&amp;AH75</f>
        <v>=49</v>
      </c>
      <c r="AI193" s="1" t="str">
        <f t="shared" si="260"/>
        <v>=44</v>
      </c>
      <c r="AJ193" s="1" t="str">
        <f t="shared" si="260"/>
        <v>13</v>
      </c>
      <c r="AK193" s="1" t="str">
        <f t="shared" si="260"/>
        <v>=36</v>
      </c>
      <c r="AL193" s="1" t="str">
        <f t="shared" si="260"/>
        <v>39</v>
      </c>
      <c r="AM193" s="1" t="str">
        <f t="shared" si="260"/>
        <v>=14</v>
      </c>
      <c r="AN193" s="1" t="str">
        <f t="shared" si="260"/>
        <v>25</v>
      </c>
      <c r="AO193" s="1" t="str">
        <f t="shared" si="260"/>
        <v>=5</v>
      </c>
      <c r="AP193" s="1" t="str">
        <f t="shared" si="260"/>
        <v>7</v>
      </c>
      <c r="AQ193" s="1" t="str">
        <f t="shared" si="260"/>
        <v>=1</v>
      </c>
      <c r="AR193" s="1" t="str">
        <f t="shared" si="260"/>
        <v>38</v>
      </c>
      <c r="AS193" s="1" t="str">
        <f t="shared" si="260"/>
        <v>=14</v>
      </c>
      <c r="AT193" s="1" t="str">
        <f t="shared" si="260"/>
        <v>35</v>
      </c>
      <c r="AU193" s="1" t="str">
        <f t="shared" si="260"/>
        <v>=28</v>
      </c>
      <c r="AV193" s="1" t="str">
        <f t="shared" si="260"/>
        <v>=8</v>
      </c>
      <c r="AW193" s="1" t="str">
        <f t="shared" si="260"/>
        <v>43</v>
      </c>
      <c r="AX193" s="1" t="str">
        <f t="shared" si="260"/>
        <v>=1</v>
      </c>
      <c r="AY193" s="1" t="str">
        <f t="shared" si="260"/>
        <v>=22</v>
      </c>
    </row>
    <row r="194" spans="1:51">
      <c r="A194" s="1" t="str">
        <f t="shared" si="230"/>
        <v>2.1.2) Access to healthcare</v>
      </c>
      <c r="B194" s="1" t="str">
        <f t="shared" ref="B194:AG194" si="261">IF(B135&gt;1,"=","")&amp;B76</f>
        <v>27</v>
      </c>
      <c r="C194" s="1" t="str">
        <f t="shared" si="261"/>
        <v>=1</v>
      </c>
      <c r="D194" s="1" t="str">
        <f t="shared" si="261"/>
        <v>=39</v>
      </c>
      <c r="E194" s="1" t="str">
        <f t="shared" si="261"/>
        <v>12</v>
      </c>
      <c r="F194" s="1" t="str">
        <f t="shared" si="261"/>
        <v>=34</v>
      </c>
      <c r="G194" s="1" t="str">
        <f t="shared" si="261"/>
        <v>=1</v>
      </c>
      <c r="H194" s="1" t="str">
        <f t="shared" si="261"/>
        <v>=19</v>
      </c>
      <c r="I194" s="1" t="str">
        <f t="shared" si="261"/>
        <v>=13</v>
      </c>
      <c r="J194" s="1" t="str">
        <f t="shared" si="261"/>
        <v>=44</v>
      </c>
      <c r="K194" s="1" t="str">
        <f t="shared" si="261"/>
        <v>=28</v>
      </c>
      <c r="L194" s="1" t="str">
        <f t="shared" si="261"/>
        <v>=1</v>
      </c>
      <c r="M194" s="1" t="str">
        <f t="shared" si="261"/>
        <v>=39</v>
      </c>
      <c r="N194" s="1" t="str">
        <f t="shared" si="261"/>
        <v>=47</v>
      </c>
      <c r="O194" s="1" t="str">
        <f t="shared" si="261"/>
        <v>=19</v>
      </c>
      <c r="P194" s="1" t="str">
        <f t="shared" si="261"/>
        <v>=47</v>
      </c>
      <c r="Q194" s="1" t="str">
        <f t="shared" si="261"/>
        <v>49</v>
      </c>
      <c r="R194" s="1" t="str">
        <f t="shared" si="261"/>
        <v>=44</v>
      </c>
      <c r="S194" s="1" t="str">
        <f t="shared" si="261"/>
        <v>=28</v>
      </c>
      <c r="T194" s="1" t="str">
        <f t="shared" si="261"/>
        <v>=34</v>
      </c>
      <c r="U194" s="1" t="str">
        <f t="shared" si="261"/>
        <v>32</v>
      </c>
      <c r="V194" s="1" t="str">
        <f t="shared" si="261"/>
        <v>=13</v>
      </c>
      <c r="W194" s="1" t="str">
        <f t="shared" si="261"/>
        <v>=19</v>
      </c>
      <c r="X194" s="1" t="str">
        <f t="shared" si="261"/>
        <v>=1</v>
      </c>
      <c r="Y194" s="1" t="str">
        <f t="shared" si="261"/>
        <v>=34</v>
      </c>
      <c r="Z194" s="1" t="str">
        <f t="shared" si="261"/>
        <v>18</v>
      </c>
      <c r="AA194" s="1" t="str">
        <f t="shared" si="261"/>
        <v>=1</v>
      </c>
      <c r="AB194" s="1" t="str">
        <f t="shared" si="261"/>
        <v>26</v>
      </c>
      <c r="AC194" s="1" t="str">
        <f t="shared" si="261"/>
        <v>46</v>
      </c>
      <c r="AD194" s="1" t="str">
        <f t="shared" si="261"/>
        <v>=13</v>
      </c>
      <c r="AE194" s="1" t="str">
        <f t="shared" si="261"/>
        <v>=1</v>
      </c>
      <c r="AF194" s="1" t="str">
        <f t="shared" si="261"/>
        <v>=1</v>
      </c>
      <c r="AG194" s="1" t="str">
        <f t="shared" si="261"/>
        <v>=34</v>
      </c>
      <c r="AH194" s="1" t="str">
        <f t="shared" ref="AH194:AY194" si="262">IF(AH135&gt;1,"=","")&amp;AH76</f>
        <v>33</v>
      </c>
      <c r="AI194" s="1" t="str">
        <f t="shared" si="262"/>
        <v>=19</v>
      </c>
      <c r="AJ194" s="1" t="str">
        <f t="shared" si="262"/>
        <v>=13</v>
      </c>
      <c r="AK194" s="1" t="str">
        <f t="shared" si="262"/>
        <v>=30</v>
      </c>
      <c r="AL194" s="1" t="str">
        <f t="shared" si="262"/>
        <v>=30</v>
      </c>
      <c r="AM194" s="1" t="str">
        <f t="shared" si="262"/>
        <v>24</v>
      </c>
      <c r="AN194" s="1" t="str">
        <f t="shared" si="262"/>
        <v>=39</v>
      </c>
      <c r="AO194" s="1" t="str">
        <f t="shared" si="262"/>
        <v>=39</v>
      </c>
      <c r="AP194" s="1" t="str">
        <f t="shared" si="262"/>
        <v>=19</v>
      </c>
      <c r="AQ194" s="1" t="str">
        <f t="shared" si="262"/>
        <v>50</v>
      </c>
      <c r="AR194" s="1" t="str">
        <f t="shared" si="262"/>
        <v>=1</v>
      </c>
      <c r="AS194" s="1" t="str">
        <f t="shared" si="262"/>
        <v>25</v>
      </c>
      <c r="AT194" s="1" t="str">
        <f t="shared" si="262"/>
        <v>=39</v>
      </c>
      <c r="AU194" s="1" t="str">
        <f t="shared" si="262"/>
        <v>=34</v>
      </c>
      <c r="AV194" s="1" t="str">
        <f t="shared" si="262"/>
        <v>=1</v>
      </c>
      <c r="AW194" s="1" t="str">
        <f t="shared" si="262"/>
        <v>=1</v>
      </c>
      <c r="AX194" s="1" t="str">
        <f t="shared" si="262"/>
        <v>=13</v>
      </c>
      <c r="AY194" s="1" t="str">
        <f t="shared" si="262"/>
        <v>=1</v>
      </c>
    </row>
    <row r="195" spans="1:51">
      <c r="A195" s="1" t="str">
        <f t="shared" si="230"/>
        <v>2.1.3) No. of beds per 1000</v>
      </c>
      <c r="B195" s="1" t="str">
        <f t="shared" ref="B195:AG195" si="263">IF(B136&gt;1,"=","")&amp;B77</f>
        <v>29</v>
      </c>
      <c r="C195" s="1" t="str">
        <f t="shared" si="263"/>
        <v>16</v>
      </c>
      <c r="D195" s="1" t="str">
        <f t="shared" si="263"/>
        <v>23</v>
      </c>
      <c r="E195" s="1" t="str">
        <f t="shared" si="263"/>
        <v>24</v>
      </c>
      <c r="F195" s="1" t="str">
        <f t="shared" si="263"/>
        <v>=13</v>
      </c>
      <c r="G195" s="1" t="str">
        <f t="shared" si="263"/>
        <v>8</v>
      </c>
      <c r="H195" s="1" t="str">
        <f t="shared" si="263"/>
        <v>18</v>
      </c>
      <c r="I195" s="1" t="str">
        <f t="shared" si="263"/>
        <v>=31</v>
      </c>
      <c r="J195" s="1" t="str">
        <f t="shared" si="263"/>
        <v>35</v>
      </c>
      <c r="K195" s="1" t="str">
        <f t="shared" si="263"/>
        <v>47</v>
      </c>
      <c r="L195" s="1" t="str">
        <f t="shared" si="263"/>
        <v>6</v>
      </c>
      <c r="M195" s="1" t="str">
        <f t="shared" si="263"/>
        <v>=13</v>
      </c>
      <c r="N195" s="1" t="str">
        <f t="shared" si="263"/>
        <v>21</v>
      </c>
      <c r="O195" s="1" t="str">
        <f t="shared" si="263"/>
        <v>12</v>
      </c>
      <c r="P195" s="1" t="str">
        <f t="shared" si="263"/>
        <v>50</v>
      </c>
      <c r="Q195" s="1" t="str">
        <f t="shared" si="263"/>
        <v>=43</v>
      </c>
      <c r="R195" s="1" t="str">
        <f t="shared" si="263"/>
        <v>45</v>
      </c>
      <c r="S195" s="1" t="str">
        <f t="shared" si="263"/>
        <v>=37</v>
      </c>
      <c r="T195" s="1" t="str">
        <f t="shared" si="263"/>
        <v>=43</v>
      </c>
      <c r="U195" s="1" t="str">
        <f t="shared" si="263"/>
        <v>=37</v>
      </c>
      <c r="V195" s="1" t="str">
        <f t="shared" si="263"/>
        <v>46</v>
      </c>
      <c r="W195" s="1" t="str">
        <f t="shared" si="263"/>
        <v>26</v>
      </c>
      <c r="X195" s="1" t="str">
        <f t="shared" si="263"/>
        <v>34</v>
      </c>
      <c r="Y195" s="1" t="str">
        <f t="shared" si="263"/>
        <v>48</v>
      </c>
      <c r="Z195" s="1" t="str">
        <f t="shared" si="263"/>
        <v>11</v>
      </c>
      <c r="AA195" s="1" t="str">
        <f t="shared" si="263"/>
        <v>2</v>
      </c>
      <c r="AB195" s="1" t="str">
        <f t="shared" si="263"/>
        <v>4</v>
      </c>
      <c r="AC195" s="1" t="str">
        <f t="shared" si="263"/>
        <v>41</v>
      </c>
      <c r="AD195" s="1" t="str">
        <f t="shared" si="263"/>
        <v>25</v>
      </c>
      <c r="AE195" s="1" t="str">
        <f t="shared" si="263"/>
        <v>3</v>
      </c>
      <c r="AF195" s="1" t="str">
        <f t="shared" si="263"/>
        <v>9</v>
      </c>
      <c r="AG195" s="1" t="str">
        <f t="shared" si="263"/>
        <v>42</v>
      </c>
      <c r="AH195" s="1" t="str">
        <f t="shared" ref="AH195:AY195" si="264">IF(AH136&gt;1,"=","")&amp;AH77</f>
        <v>36</v>
      </c>
      <c r="AI195" s="1" t="str">
        <f t="shared" si="264"/>
        <v>20</v>
      </c>
      <c r="AJ195" s="1" t="str">
        <f t="shared" si="264"/>
        <v>27</v>
      </c>
      <c r="AK195" s="1" t="str">
        <f t="shared" si="264"/>
        <v>39</v>
      </c>
      <c r="AL195" s="1" t="str">
        <f t="shared" si="264"/>
        <v>30</v>
      </c>
      <c r="AM195" s="1" t="str">
        <f t="shared" si="264"/>
        <v>15</v>
      </c>
      <c r="AN195" s="1" t="str">
        <f t="shared" si="264"/>
        <v>17</v>
      </c>
      <c r="AO195" s="1" t="str">
        <f t="shared" si="264"/>
        <v>33</v>
      </c>
      <c r="AP195" s="1" t="str">
        <f t="shared" si="264"/>
        <v>40</v>
      </c>
      <c r="AQ195" s="1" t="str">
        <f t="shared" si="264"/>
        <v>1</v>
      </c>
      <c r="AR195" s="1" t="str">
        <f t="shared" si="264"/>
        <v>28</v>
      </c>
      <c r="AS195" s="1" t="str">
        <f t="shared" si="264"/>
        <v>7</v>
      </c>
      <c r="AT195" s="1" t="str">
        <f t="shared" si="264"/>
        <v>49</v>
      </c>
      <c r="AU195" s="1" t="str">
        <f t="shared" si="264"/>
        <v>22</v>
      </c>
      <c r="AV195" s="1" t="str">
        <f t="shared" si="264"/>
        <v>5</v>
      </c>
      <c r="AW195" s="1" t="str">
        <f t="shared" si="264"/>
        <v>=31</v>
      </c>
      <c r="AX195" s="1" t="str">
        <f t="shared" si="264"/>
        <v>10</v>
      </c>
      <c r="AY195" s="1" t="str">
        <f t="shared" si="264"/>
        <v>19</v>
      </c>
    </row>
    <row r="196" spans="1:51">
      <c r="A196" s="1" t="str">
        <f t="shared" si="230"/>
        <v>2.1.4) Number of doctors per 1000</v>
      </c>
      <c r="B196" s="1" t="str">
        <f t="shared" ref="B196:AG196" si="265">IF(B137&gt;1,"=","")&amp;B78</f>
        <v>32</v>
      </c>
      <c r="C196" s="1" t="str">
        <f t="shared" si="265"/>
        <v>25</v>
      </c>
      <c r="D196" s="1" t="str">
        <f t="shared" si="265"/>
        <v>=49</v>
      </c>
      <c r="E196" s="1" t="str">
        <f t="shared" si="265"/>
        <v>7</v>
      </c>
      <c r="F196" s="1" t="str">
        <f t="shared" si="265"/>
        <v>15</v>
      </c>
      <c r="G196" s="1" t="str">
        <f t="shared" si="265"/>
        <v>4</v>
      </c>
      <c r="H196" s="1" t="str">
        <f t="shared" si="265"/>
        <v>21</v>
      </c>
      <c r="I196" s="1" t="str">
        <f t="shared" si="265"/>
        <v>27</v>
      </c>
      <c r="J196" s="1" t="str">
        <f t="shared" si="265"/>
        <v>22</v>
      </c>
      <c r="K196" s="1" t="str">
        <f t="shared" si="265"/>
        <v>2</v>
      </c>
      <c r="L196" s="1" t="str">
        <f t="shared" si="265"/>
        <v>13</v>
      </c>
      <c r="M196" s="1" t="str">
        <f t="shared" si="265"/>
        <v>26</v>
      </c>
      <c r="N196" s="1" t="str">
        <f t="shared" si="265"/>
        <v>40</v>
      </c>
      <c r="O196" s="1" t="str">
        <f t="shared" si="265"/>
        <v>37</v>
      </c>
      <c r="P196" s="1" t="str">
        <f t="shared" si="265"/>
        <v>44</v>
      </c>
      <c r="Q196" s="1" t="str">
        <f t="shared" si="265"/>
        <v>=49</v>
      </c>
      <c r="R196" s="1" t="str">
        <f t="shared" si="265"/>
        <v>47</v>
      </c>
      <c r="S196" s="1" t="str">
        <f t="shared" si="265"/>
        <v>=35</v>
      </c>
      <c r="T196" s="1" t="str">
        <f t="shared" si="265"/>
        <v>42</v>
      </c>
      <c r="U196" s="1" t="str">
        <f t="shared" si="265"/>
        <v>=18</v>
      </c>
      <c r="V196" s="1" t="str">
        <f t="shared" si="265"/>
        <v>28</v>
      </c>
      <c r="W196" s="1" t="str">
        <f t="shared" si="265"/>
        <v>5</v>
      </c>
      <c r="X196" s="1" t="str">
        <f t="shared" si="265"/>
        <v>20</v>
      </c>
      <c r="Y196" s="1" t="str">
        <f t="shared" si="265"/>
        <v>29</v>
      </c>
      <c r="Z196" s="1" t="str">
        <f t="shared" si="265"/>
        <v>39</v>
      </c>
      <c r="AA196" s="1" t="str">
        <f t="shared" si="265"/>
        <v>41</v>
      </c>
      <c r="AB196" s="1" t="str">
        <f t="shared" si="265"/>
        <v>12</v>
      </c>
      <c r="AC196" s="1" t="str">
        <f t="shared" si="265"/>
        <v>48</v>
      </c>
      <c r="AD196" s="1" t="str">
        <f t="shared" si="265"/>
        <v>=18</v>
      </c>
      <c r="AE196" s="1" t="str">
        <f t="shared" si="265"/>
        <v>6</v>
      </c>
      <c r="AF196" s="1" t="str">
        <f t="shared" si="265"/>
        <v>16</v>
      </c>
      <c r="AG196" s="1" t="str">
        <f t="shared" si="265"/>
        <v>14</v>
      </c>
      <c r="AH196" s="1" t="str">
        <f t="shared" ref="AH196:AY196" si="266">IF(AH137&gt;1,"=","")&amp;AH78</f>
        <v>34</v>
      </c>
      <c r="AI196" s="1" t="str">
        <f t="shared" si="266"/>
        <v>10</v>
      </c>
      <c r="AJ196" s="1" t="str">
        <f t="shared" si="266"/>
        <v>30</v>
      </c>
      <c r="AK196" s="1" t="str">
        <f t="shared" si="266"/>
        <v>43</v>
      </c>
      <c r="AL196" s="1" t="str">
        <f t="shared" si="266"/>
        <v>11</v>
      </c>
      <c r="AM196" s="1" t="str">
        <f t="shared" si="266"/>
        <v>17</v>
      </c>
      <c r="AN196" s="1" t="str">
        <f t="shared" si="266"/>
        <v>31</v>
      </c>
      <c r="AO196" s="1" t="str">
        <f t="shared" si="266"/>
        <v>33</v>
      </c>
      <c r="AP196" s="1" t="str">
        <f t="shared" si="266"/>
        <v>38</v>
      </c>
      <c r="AQ196" s="1" t="str">
        <f t="shared" si="266"/>
        <v>9</v>
      </c>
      <c r="AR196" s="1" t="str">
        <f t="shared" si="266"/>
        <v>23</v>
      </c>
      <c r="AS196" s="1" t="str">
        <f t="shared" si="266"/>
        <v>1</v>
      </c>
      <c r="AT196" s="1" t="str">
        <f t="shared" si="266"/>
        <v>46</v>
      </c>
      <c r="AU196" s="1" t="str">
        <f t="shared" si="266"/>
        <v>=35</v>
      </c>
      <c r="AV196" s="1" t="str">
        <f t="shared" si="266"/>
        <v>24</v>
      </c>
      <c r="AW196" s="1" t="str">
        <f t="shared" si="266"/>
        <v>45</v>
      </c>
      <c r="AX196" s="1" t="str">
        <f t="shared" si="266"/>
        <v>3</v>
      </c>
      <c r="AY196" s="1" t="str">
        <f t="shared" si="266"/>
        <v>8</v>
      </c>
    </row>
    <row r="197" spans="1:51">
      <c r="A197" s="1" t="str">
        <f t="shared" si="230"/>
        <v>2.1.5) Access to safe and quality food</v>
      </c>
      <c r="B197" s="1" t="str">
        <f t="shared" ref="B197:AG197" si="267">IF(B138&gt;1,"=","")&amp;B79</f>
        <v>=1</v>
      </c>
      <c r="C197" s="1" t="str">
        <f t="shared" si="267"/>
        <v>=1</v>
      </c>
      <c r="D197" s="1" t="str">
        <f t="shared" si="267"/>
        <v>=24</v>
      </c>
      <c r="E197" s="1" t="str">
        <f t="shared" si="267"/>
        <v>=1</v>
      </c>
      <c r="F197" s="1" t="str">
        <f t="shared" si="267"/>
        <v>=35</v>
      </c>
      <c r="G197" s="1" t="str">
        <f t="shared" si="267"/>
        <v>=1</v>
      </c>
      <c r="H197" s="1" t="str">
        <f t="shared" si="267"/>
        <v>=24</v>
      </c>
      <c r="I197" s="1" t="str">
        <f t="shared" si="267"/>
        <v>=26</v>
      </c>
      <c r="J197" s="1" t="str">
        <f t="shared" si="267"/>
        <v>=46</v>
      </c>
      <c r="K197" s="1" t="str">
        <f t="shared" si="267"/>
        <v>23</v>
      </c>
      <c r="L197" s="1" t="str">
        <f t="shared" si="267"/>
        <v>=1</v>
      </c>
      <c r="M197" s="1" t="str">
        <f t="shared" si="267"/>
        <v>=35</v>
      </c>
      <c r="N197" s="1" t="str">
        <f t="shared" si="267"/>
        <v>45</v>
      </c>
      <c r="O197" s="1" t="str">
        <f t="shared" si="267"/>
        <v>=35</v>
      </c>
      <c r="P197" s="1" t="str">
        <f t="shared" si="267"/>
        <v>18</v>
      </c>
      <c r="Q197" s="1" t="str">
        <f t="shared" si="267"/>
        <v>49</v>
      </c>
      <c r="R197" s="1" t="str">
        <f t="shared" si="267"/>
        <v>44</v>
      </c>
      <c r="S197" s="1" t="str">
        <f t="shared" si="267"/>
        <v>=19</v>
      </c>
      <c r="T197" s="1" t="str">
        <f t="shared" si="267"/>
        <v>50</v>
      </c>
      <c r="U197" s="1" t="str">
        <f t="shared" si="267"/>
        <v>=1</v>
      </c>
      <c r="V197" s="1" t="str">
        <f t="shared" si="267"/>
        <v>=26</v>
      </c>
      <c r="W197" s="1" t="str">
        <f t="shared" si="267"/>
        <v>=1</v>
      </c>
      <c r="X197" s="1" t="str">
        <f t="shared" si="267"/>
        <v>=1</v>
      </c>
      <c r="Y197" s="1" t="str">
        <f t="shared" si="267"/>
        <v>33</v>
      </c>
      <c r="Z197" s="1" t="str">
        <f t="shared" si="267"/>
        <v>=1</v>
      </c>
      <c r="AA197" s="1" t="str">
        <f t="shared" si="267"/>
        <v>=19</v>
      </c>
      <c r="AB197" s="1" t="str">
        <f t="shared" si="267"/>
        <v>31</v>
      </c>
      <c r="AC197" s="1" t="str">
        <f t="shared" si="267"/>
        <v>=46</v>
      </c>
      <c r="AD197" s="1" t="str">
        <f t="shared" si="267"/>
        <v>=26</v>
      </c>
      <c r="AE197" s="1" t="str">
        <f t="shared" si="267"/>
        <v>=1</v>
      </c>
      <c r="AF197" s="1" t="str">
        <f t="shared" si="267"/>
        <v>=1</v>
      </c>
      <c r="AG197" s="1" t="str">
        <f t="shared" si="267"/>
        <v>=42</v>
      </c>
      <c r="AH197" s="1" t="str">
        <f t="shared" ref="AH197:AY197" si="268">IF(AH138&gt;1,"=","")&amp;AH79</f>
        <v>22</v>
      </c>
      <c r="AI197" s="1" t="str">
        <f t="shared" si="268"/>
        <v>=1</v>
      </c>
      <c r="AJ197" s="1" t="str">
        <f t="shared" si="268"/>
        <v>=26</v>
      </c>
      <c r="AK197" s="1" t="str">
        <f t="shared" si="268"/>
        <v>32</v>
      </c>
      <c r="AL197" s="1" t="str">
        <f t="shared" si="268"/>
        <v>=42</v>
      </c>
      <c r="AM197" s="1" t="str">
        <f t="shared" si="268"/>
        <v>34</v>
      </c>
      <c r="AN197" s="1" t="str">
        <f t="shared" si="268"/>
        <v>=35</v>
      </c>
      <c r="AO197" s="1" t="str">
        <f t="shared" si="268"/>
        <v>=35</v>
      </c>
      <c r="AP197" s="1" t="str">
        <f t="shared" si="268"/>
        <v>=1</v>
      </c>
      <c r="AQ197" s="1" t="str">
        <f t="shared" si="268"/>
        <v>=1</v>
      </c>
      <c r="AR197" s="1" t="str">
        <f t="shared" si="268"/>
        <v>=1</v>
      </c>
      <c r="AS197" s="1" t="str">
        <f t="shared" si="268"/>
        <v>=35</v>
      </c>
      <c r="AT197" s="1" t="str">
        <f t="shared" si="268"/>
        <v>48</v>
      </c>
      <c r="AU197" s="1" t="str">
        <f t="shared" si="268"/>
        <v>=35</v>
      </c>
      <c r="AV197" s="1" t="str">
        <f t="shared" si="268"/>
        <v>=1</v>
      </c>
      <c r="AW197" s="1" t="str">
        <f t="shared" si="268"/>
        <v>=19</v>
      </c>
      <c r="AX197" s="1" t="str">
        <f t="shared" si="268"/>
        <v>=26</v>
      </c>
      <c r="AY197" s="1" t="str">
        <f t="shared" si="268"/>
        <v>=1</v>
      </c>
    </row>
    <row r="198" spans="1:51">
      <c r="A198" s="1" t="str">
        <f t="shared" si="230"/>
        <v>2.1.6) Quality of health services</v>
      </c>
      <c r="B198" s="1" t="str">
        <f t="shared" ref="B198:AG198" si="269">IF(B139&gt;1,"=","")&amp;B80</f>
        <v>=26</v>
      </c>
      <c r="C198" s="1" t="str">
        <f t="shared" si="269"/>
        <v>=1</v>
      </c>
      <c r="D198" s="1" t="str">
        <f t="shared" si="269"/>
        <v>=32</v>
      </c>
      <c r="E198" s="1" t="str">
        <f t="shared" si="269"/>
        <v>=1</v>
      </c>
      <c r="F198" s="1" t="str">
        <f t="shared" si="269"/>
        <v>=32</v>
      </c>
      <c r="G198" s="1" t="str">
        <f t="shared" si="269"/>
        <v>=1</v>
      </c>
      <c r="H198" s="1" t="str">
        <f t="shared" si="269"/>
        <v>=26</v>
      </c>
      <c r="I198" s="1" t="str">
        <f t="shared" si="269"/>
        <v>=15</v>
      </c>
      <c r="J198" s="1" t="str">
        <f t="shared" si="269"/>
        <v>=32</v>
      </c>
      <c r="K198" s="1" t="str">
        <f t="shared" si="269"/>
        <v>=26</v>
      </c>
      <c r="L198" s="1" t="str">
        <f t="shared" si="269"/>
        <v>=1</v>
      </c>
      <c r="M198" s="1" t="str">
        <f t="shared" si="269"/>
        <v>=32</v>
      </c>
      <c r="N198" s="1" t="str">
        <f t="shared" si="269"/>
        <v>=48</v>
      </c>
      <c r="O198" s="1" t="str">
        <f t="shared" si="269"/>
        <v>=15</v>
      </c>
      <c r="P198" s="1" t="str">
        <f t="shared" si="269"/>
        <v>=45</v>
      </c>
      <c r="Q198" s="1" t="str">
        <f t="shared" si="269"/>
        <v>=48</v>
      </c>
      <c r="R198" s="1" t="str">
        <f t="shared" si="269"/>
        <v>=45</v>
      </c>
      <c r="S198" s="1" t="str">
        <f t="shared" si="269"/>
        <v>=15</v>
      </c>
      <c r="T198" s="1" t="str">
        <f t="shared" si="269"/>
        <v>=32</v>
      </c>
      <c r="U198" s="1" t="str">
        <f t="shared" si="269"/>
        <v>=15</v>
      </c>
      <c r="V198" s="1" t="str">
        <f t="shared" si="269"/>
        <v>=15</v>
      </c>
      <c r="W198" s="1" t="str">
        <f t="shared" si="269"/>
        <v>=15</v>
      </c>
      <c r="X198" s="1" t="str">
        <f t="shared" si="269"/>
        <v>=1</v>
      </c>
      <c r="Y198" s="1" t="str">
        <f t="shared" si="269"/>
        <v>=45</v>
      </c>
      <c r="Z198" s="1" t="str">
        <f t="shared" si="269"/>
        <v>=26</v>
      </c>
      <c r="AA198" s="1" t="str">
        <f t="shared" si="269"/>
        <v>=1</v>
      </c>
      <c r="AB198" s="1" t="str">
        <f t="shared" si="269"/>
        <v>=26</v>
      </c>
      <c r="AC198" s="1" t="str">
        <f t="shared" si="269"/>
        <v>=48</v>
      </c>
      <c r="AD198" s="1" t="str">
        <f t="shared" si="269"/>
        <v>=15</v>
      </c>
      <c r="AE198" s="1" t="str">
        <f t="shared" si="269"/>
        <v>=1</v>
      </c>
      <c r="AF198" s="1" t="str">
        <f t="shared" si="269"/>
        <v>=1</v>
      </c>
      <c r="AG198" s="1" t="str">
        <f t="shared" si="269"/>
        <v>=32</v>
      </c>
      <c r="AH198" s="1" t="str">
        <f t="shared" ref="AH198:AY198" si="270">IF(AH139&gt;1,"=","")&amp;AH80</f>
        <v>=32</v>
      </c>
      <c r="AI198" s="1" t="str">
        <f t="shared" si="270"/>
        <v>=26</v>
      </c>
      <c r="AJ198" s="1" t="str">
        <f t="shared" si="270"/>
        <v>=15</v>
      </c>
      <c r="AK198" s="1" t="str">
        <f t="shared" si="270"/>
        <v>=32</v>
      </c>
      <c r="AL198" s="1" t="str">
        <f t="shared" si="270"/>
        <v>=32</v>
      </c>
      <c r="AM198" s="1" t="str">
        <f t="shared" si="270"/>
        <v>=15</v>
      </c>
      <c r="AN198" s="1" t="str">
        <f t="shared" si="270"/>
        <v>=32</v>
      </c>
      <c r="AO198" s="1" t="str">
        <f t="shared" si="270"/>
        <v>=32</v>
      </c>
      <c r="AP198" s="1" t="str">
        <f t="shared" si="270"/>
        <v>=1</v>
      </c>
      <c r="AQ198" s="1" t="str">
        <f t="shared" si="270"/>
        <v>=1</v>
      </c>
      <c r="AR198" s="1" t="str">
        <f t="shared" si="270"/>
        <v>=1</v>
      </c>
      <c r="AS198" s="1" t="str">
        <f t="shared" si="270"/>
        <v>=15</v>
      </c>
      <c r="AT198" s="1" t="str">
        <f t="shared" si="270"/>
        <v>=32</v>
      </c>
      <c r="AU198" s="1" t="str">
        <f t="shared" si="270"/>
        <v>=32</v>
      </c>
      <c r="AV198" s="1" t="str">
        <f t="shared" si="270"/>
        <v>=1</v>
      </c>
      <c r="AW198" s="1" t="str">
        <f t="shared" si="270"/>
        <v>=1</v>
      </c>
      <c r="AX198" s="1" t="str">
        <f t="shared" si="270"/>
        <v>=15</v>
      </c>
      <c r="AY198" s="1" t="str">
        <f t="shared" si="270"/>
        <v>=1</v>
      </c>
    </row>
    <row r="199" spans="1:51">
      <c r="A199" s="1" t="str">
        <f t="shared" si="230"/>
        <v>2.2) Health Security (Outputs)</v>
      </c>
      <c r="B199" s="1" t="str">
        <f t="shared" ref="B199:AG199" si="271">IF(B140&gt;1,"=","")&amp;B81</f>
        <v>50</v>
      </c>
      <c r="C199" s="1" t="str">
        <f t="shared" si="271"/>
        <v>19</v>
      </c>
      <c r="D199" s="1" t="str">
        <f t="shared" si="271"/>
        <v>37</v>
      </c>
      <c r="E199" s="1" t="str">
        <f t="shared" si="271"/>
        <v>4</v>
      </c>
      <c r="F199" s="1" t="str">
        <f t="shared" si="271"/>
        <v>25</v>
      </c>
      <c r="G199" s="1" t="str">
        <f t="shared" si="271"/>
        <v>18</v>
      </c>
      <c r="H199" s="1" t="str">
        <f t="shared" si="271"/>
        <v>31</v>
      </c>
      <c r="I199" s="1" t="str">
        <f t="shared" si="271"/>
        <v>23</v>
      </c>
      <c r="J199" s="1" t="str">
        <f t="shared" si="271"/>
        <v>47</v>
      </c>
      <c r="K199" s="1" t="str">
        <f t="shared" si="271"/>
        <v>46</v>
      </c>
      <c r="L199" s="1" t="str">
        <f t="shared" si="271"/>
        <v>5</v>
      </c>
      <c r="M199" s="1" t="str">
        <f t="shared" si="271"/>
        <v>42</v>
      </c>
      <c r="N199" s="1" t="str">
        <f t="shared" si="271"/>
        <v>43</v>
      </c>
      <c r="O199" s="1" t="str">
        <f t="shared" si="271"/>
        <v>10</v>
      </c>
      <c r="P199" s="1" t="str">
        <f t="shared" si="271"/>
        <v>39</v>
      </c>
      <c r="Q199" s="1" t="str">
        <f t="shared" si="271"/>
        <v>41</v>
      </c>
      <c r="R199" s="1" t="str">
        <f t="shared" si="271"/>
        <v>45</v>
      </c>
      <c r="S199" s="1" t="str">
        <f t="shared" si="271"/>
        <v>36</v>
      </c>
      <c r="T199" s="1" t="str">
        <f t="shared" si="271"/>
        <v>38</v>
      </c>
      <c r="U199" s="1" t="str">
        <f t="shared" si="271"/>
        <v>13</v>
      </c>
      <c r="V199" s="1" t="str">
        <f t="shared" si="271"/>
        <v>32</v>
      </c>
      <c r="W199" s="1" t="str">
        <f t="shared" si="271"/>
        <v>3</v>
      </c>
      <c r="X199" s="1" t="str">
        <f t="shared" si="271"/>
        <v>8</v>
      </c>
      <c r="Y199" s="1" t="str">
        <f t="shared" si="271"/>
        <v>30</v>
      </c>
      <c r="Z199" s="1" t="str">
        <f t="shared" si="271"/>
        <v>21</v>
      </c>
      <c r="AA199" s="1" t="str">
        <f t="shared" si="271"/>
        <v>24</v>
      </c>
      <c r="AB199" s="1" t="str">
        <f t="shared" si="271"/>
        <v>27</v>
      </c>
      <c r="AC199" s="1" t="str">
        <f t="shared" si="271"/>
        <v>49</v>
      </c>
      <c r="AD199" s="1" t="str">
        <f t="shared" si="271"/>
        <v>1</v>
      </c>
      <c r="AE199" s="1" t="str">
        <f t="shared" si="271"/>
        <v>22</v>
      </c>
      <c r="AF199" s="1" t="str">
        <f t="shared" si="271"/>
        <v>14</v>
      </c>
      <c r="AG199" s="1" t="str">
        <f t="shared" si="271"/>
        <v>44</v>
      </c>
      <c r="AH199" s="1" t="str">
        <f t="shared" ref="AH199:AY199" si="272">IF(AH140&gt;1,"=","")&amp;AH81</f>
        <v>40</v>
      </c>
      <c r="AI199" s="1" t="str">
        <f t="shared" si="272"/>
        <v>20</v>
      </c>
      <c r="AJ199" s="1" t="str">
        <f t="shared" si="272"/>
        <v>9</v>
      </c>
      <c r="AK199" s="1" t="str">
        <f t="shared" si="272"/>
        <v>16</v>
      </c>
      <c r="AL199" s="1" t="str">
        <f t="shared" si="272"/>
        <v>=33</v>
      </c>
      <c r="AM199" s="1" t="str">
        <f t="shared" si="272"/>
        <v>15</v>
      </c>
      <c r="AN199" s="1" t="str">
        <f t="shared" si="272"/>
        <v>26</v>
      </c>
      <c r="AO199" s="1" t="str">
        <f t="shared" si="272"/>
        <v>35</v>
      </c>
      <c r="AP199" s="1" t="str">
        <f t="shared" si="272"/>
        <v>6</v>
      </c>
      <c r="AQ199" s="1" t="str">
        <f t="shared" si="272"/>
        <v>12</v>
      </c>
      <c r="AR199" s="1" t="str">
        <f t="shared" si="272"/>
        <v>7</v>
      </c>
      <c r="AS199" s="1" t="str">
        <f t="shared" si="272"/>
        <v>29</v>
      </c>
      <c r="AT199" s="1" t="str">
        <f t="shared" si="272"/>
        <v>48</v>
      </c>
      <c r="AU199" s="1" t="str">
        <f t="shared" si="272"/>
        <v>=33</v>
      </c>
      <c r="AV199" s="1" t="str">
        <f t="shared" si="272"/>
        <v>17</v>
      </c>
      <c r="AW199" s="1" t="str">
        <f t="shared" si="272"/>
        <v>11</v>
      </c>
      <c r="AX199" s="1" t="str">
        <f t="shared" si="272"/>
        <v>28</v>
      </c>
      <c r="AY199" s="1" t="str">
        <f t="shared" si="272"/>
        <v>2</v>
      </c>
    </row>
    <row r="200" spans="1:51">
      <c r="A200" s="1" t="str">
        <f t="shared" si="230"/>
        <v>2.2.1) Air quality</v>
      </c>
      <c r="B200" s="1" t="str">
        <f t="shared" ref="B200:AG200" si="273">IF(B141&gt;1,"=","")&amp;B82</f>
        <v>49</v>
      </c>
      <c r="C200" s="1" t="str">
        <f t="shared" si="273"/>
        <v>=19</v>
      </c>
      <c r="D200" s="1" t="str">
        <f t="shared" si="273"/>
        <v>=23</v>
      </c>
      <c r="E200" s="1" t="str">
        <f t="shared" si="273"/>
        <v>=14</v>
      </c>
      <c r="F200" s="1" t="str">
        <f t="shared" si="273"/>
        <v>47</v>
      </c>
      <c r="G200" s="1" t="str">
        <f t="shared" si="273"/>
        <v>=19</v>
      </c>
      <c r="H200" s="1" t="str">
        <f t="shared" si="273"/>
        <v>=14</v>
      </c>
      <c r="I200" s="1" t="str">
        <f t="shared" si="273"/>
        <v>11</v>
      </c>
      <c r="J200" s="1" t="str">
        <f t="shared" si="273"/>
        <v>45</v>
      </c>
      <c r="K200" s="1" t="str">
        <f t="shared" si="273"/>
        <v>50</v>
      </c>
      <c r="L200" s="1" t="str">
        <f t="shared" si="273"/>
        <v>=19</v>
      </c>
      <c r="M200" s="1" t="str">
        <f t="shared" si="273"/>
        <v>=36</v>
      </c>
      <c r="N200" s="1" t="str">
        <f t="shared" si="273"/>
        <v>33</v>
      </c>
      <c r="O200" s="1" t="str">
        <f t="shared" si="273"/>
        <v>=25</v>
      </c>
      <c r="P200" s="1" t="str">
        <f t="shared" si="273"/>
        <v>=36</v>
      </c>
      <c r="Q200" s="1" t="str">
        <f t="shared" si="273"/>
        <v>=25</v>
      </c>
      <c r="R200" s="1" t="str">
        <f t="shared" si="273"/>
        <v>46</v>
      </c>
      <c r="S200" s="1" t="str">
        <f t="shared" si="273"/>
        <v>48</v>
      </c>
      <c r="T200" s="1" t="str">
        <f t="shared" si="273"/>
        <v>41</v>
      </c>
      <c r="U200" s="1" t="str">
        <f t="shared" si="273"/>
        <v>=14</v>
      </c>
      <c r="V200" s="1" t="str">
        <f t="shared" si="273"/>
        <v>=23</v>
      </c>
      <c r="W200" s="1" t="str">
        <f t="shared" si="273"/>
        <v>9</v>
      </c>
      <c r="X200" s="1" t="str">
        <f t="shared" si="273"/>
        <v>=1</v>
      </c>
      <c r="Y200" s="1" t="str">
        <f t="shared" si="273"/>
        <v>30</v>
      </c>
      <c r="Z200" s="1" t="str">
        <f t="shared" si="273"/>
        <v>38</v>
      </c>
      <c r="AA200" s="1" t="str">
        <f t="shared" si="273"/>
        <v>=5</v>
      </c>
      <c r="AB200" s="1" t="str">
        <f t="shared" si="273"/>
        <v>=28</v>
      </c>
      <c r="AC200" s="1" t="str">
        <f t="shared" si="273"/>
        <v>44</v>
      </c>
      <c r="AD200" s="1" t="str">
        <f t="shared" si="273"/>
        <v>=12</v>
      </c>
      <c r="AE200" s="1" t="str">
        <f t="shared" si="273"/>
        <v>=5</v>
      </c>
      <c r="AF200" s="1" t="str">
        <f t="shared" si="273"/>
        <v>=17</v>
      </c>
      <c r="AG200" s="1" t="str">
        <f t="shared" si="273"/>
        <v>=39</v>
      </c>
      <c r="AH200" s="1" t="str">
        <f t="shared" ref="AH200:AY200" si="274">IF(AH141&gt;1,"=","")&amp;AH82</f>
        <v>34</v>
      </c>
      <c r="AI200" s="1" t="str">
        <f t="shared" si="274"/>
        <v>=25</v>
      </c>
      <c r="AJ200" s="1" t="str">
        <f t="shared" si="274"/>
        <v>=7</v>
      </c>
      <c r="AK200" s="1" t="str">
        <f t="shared" si="274"/>
        <v>=31</v>
      </c>
      <c r="AL200" s="1" t="str">
        <f t="shared" si="274"/>
        <v>22</v>
      </c>
      <c r="AM200" s="1" t="str">
        <f t="shared" si="274"/>
        <v>=28</v>
      </c>
      <c r="AN200" s="1" t="str">
        <f t="shared" si="274"/>
        <v>=39</v>
      </c>
      <c r="AO200" s="1" t="str">
        <f t="shared" si="274"/>
        <v>=31</v>
      </c>
      <c r="AP200" s="1" t="str">
        <f t="shared" si="274"/>
        <v>=17</v>
      </c>
      <c r="AQ200" s="1" t="str">
        <f t="shared" si="274"/>
        <v>3</v>
      </c>
      <c r="AR200" s="1" t="str">
        <f t="shared" si="274"/>
        <v>=1</v>
      </c>
      <c r="AS200" s="1" t="str">
        <f t="shared" si="274"/>
        <v>42</v>
      </c>
      <c r="AT200" s="1" t="str">
        <f t="shared" si="274"/>
        <v>35</v>
      </c>
      <c r="AU200" s="1" t="str">
        <f t="shared" si="274"/>
        <v>43</v>
      </c>
      <c r="AV200" s="1" t="str">
        <f t="shared" si="274"/>
        <v>=7</v>
      </c>
      <c r="AW200" s="1" t="str">
        <f t="shared" si="274"/>
        <v>4</v>
      </c>
      <c r="AX200" s="1" t="str">
        <f t="shared" si="274"/>
        <v>10</v>
      </c>
      <c r="AY200" s="1" t="str">
        <f t="shared" si="274"/>
        <v>=12</v>
      </c>
    </row>
    <row r="201" spans="1:51">
      <c r="A201" s="1" t="str">
        <f t="shared" si="230"/>
        <v>2.2.2) Water quality</v>
      </c>
      <c r="B201" s="1" t="str">
        <f t="shared" ref="B201:AG201" si="275">IF(B142&gt;1,"=","")&amp;B83</f>
        <v>35</v>
      </c>
      <c r="C201" s="1" t="str">
        <f t="shared" si="275"/>
        <v>1</v>
      </c>
      <c r="D201" s="1" t="str">
        <f t="shared" si="275"/>
        <v>45</v>
      </c>
      <c r="E201" s="1" t="str">
        <f t="shared" si="275"/>
        <v>=7</v>
      </c>
      <c r="F201" s="1" t="str">
        <f t="shared" si="275"/>
        <v>=19</v>
      </c>
      <c r="G201" s="1" t="str">
        <f t="shared" si="275"/>
        <v>2</v>
      </c>
      <c r="H201" s="1" t="str">
        <f t="shared" si="275"/>
        <v>49</v>
      </c>
      <c r="I201" s="1" t="str">
        <f t="shared" si="275"/>
        <v>12</v>
      </c>
      <c r="J201" s="1" t="str">
        <f t="shared" si="275"/>
        <v>39</v>
      </c>
      <c r="K201" s="1" t="str">
        <f t="shared" si="275"/>
        <v>50</v>
      </c>
      <c r="L201" s="1" t="str">
        <f t="shared" si="275"/>
        <v>5</v>
      </c>
      <c r="M201" s="1" t="str">
        <f t="shared" si="275"/>
        <v>42</v>
      </c>
      <c r="N201" s="1" t="str">
        <f t="shared" si="275"/>
        <v>41</v>
      </c>
      <c r="O201" s="1" t="str">
        <f t="shared" si="275"/>
        <v>=30</v>
      </c>
      <c r="P201" s="1" t="str">
        <f t="shared" si="275"/>
        <v>40</v>
      </c>
      <c r="Q201" s="1" t="str">
        <f t="shared" si="275"/>
        <v>44</v>
      </c>
      <c r="R201" s="1" t="str">
        <f t="shared" si="275"/>
        <v>36</v>
      </c>
      <c r="S201" s="1" t="str">
        <f t="shared" si="275"/>
        <v>=37</v>
      </c>
      <c r="T201" s="1" t="str">
        <f t="shared" si="275"/>
        <v>=37</v>
      </c>
      <c r="U201" s="1" t="str">
        <f t="shared" si="275"/>
        <v>9</v>
      </c>
      <c r="V201" s="1" t="str">
        <f t="shared" si="275"/>
        <v>14</v>
      </c>
      <c r="W201" s="1" t="str">
        <f t="shared" si="275"/>
        <v>=7</v>
      </c>
      <c r="X201" s="1" t="str">
        <f t="shared" si="275"/>
        <v>26</v>
      </c>
      <c r="Y201" s="1" t="str">
        <f t="shared" si="275"/>
        <v>29</v>
      </c>
      <c r="Z201" s="1" t="str">
        <f t="shared" si="275"/>
        <v>=24</v>
      </c>
      <c r="AA201" s="1" t="str">
        <f t="shared" si="275"/>
        <v>47</v>
      </c>
      <c r="AB201" s="1" t="str">
        <f t="shared" si="275"/>
        <v>27</v>
      </c>
      <c r="AC201" s="1" t="str">
        <f t="shared" si="275"/>
        <v>=30</v>
      </c>
      <c r="AD201" s="1" t="str">
        <f t="shared" si="275"/>
        <v>=3</v>
      </c>
      <c r="AE201" s="1" t="str">
        <f t="shared" si="275"/>
        <v>22</v>
      </c>
      <c r="AF201" s="1" t="str">
        <f t="shared" si="275"/>
        <v>10</v>
      </c>
      <c r="AG201" s="1" t="str">
        <f t="shared" si="275"/>
        <v>43</v>
      </c>
      <c r="AH201" s="1" t="str">
        <f t="shared" ref="AH201:AY201" si="276">IF(AH142&gt;1,"=","")&amp;AH83</f>
        <v>46</v>
      </c>
      <c r="AI201" s="1" t="str">
        <f t="shared" si="276"/>
        <v>=24</v>
      </c>
      <c r="AJ201" s="1" t="str">
        <f t="shared" si="276"/>
        <v>6</v>
      </c>
      <c r="AK201" s="1" t="str">
        <f t="shared" si="276"/>
        <v>23</v>
      </c>
      <c r="AL201" s="1" t="str">
        <f t="shared" si="276"/>
        <v>17</v>
      </c>
      <c r="AM201" s="1" t="str">
        <f t="shared" si="276"/>
        <v>18</v>
      </c>
      <c r="AN201" s="1" t="str">
        <f t="shared" si="276"/>
        <v>33</v>
      </c>
      <c r="AO201" s="1" t="str">
        <f t="shared" si="276"/>
        <v>=30</v>
      </c>
      <c r="AP201" s="1" t="str">
        <f t="shared" si="276"/>
        <v>16</v>
      </c>
      <c r="AQ201" s="1" t="str">
        <f t="shared" si="276"/>
        <v>21</v>
      </c>
      <c r="AR201" s="1" t="str">
        <f t="shared" si="276"/>
        <v>13</v>
      </c>
      <c r="AS201" s="1" t="str">
        <f t="shared" si="276"/>
        <v>34</v>
      </c>
      <c r="AT201" s="1" t="str">
        <f t="shared" si="276"/>
        <v>48</v>
      </c>
      <c r="AU201" s="1" t="str">
        <f t="shared" si="276"/>
        <v>=19</v>
      </c>
      <c r="AV201" s="1" t="str">
        <f t="shared" si="276"/>
        <v>15</v>
      </c>
      <c r="AW201" s="1" t="str">
        <f t="shared" si="276"/>
        <v>11</v>
      </c>
      <c r="AX201" s="1" t="str">
        <f t="shared" si="276"/>
        <v>28</v>
      </c>
      <c r="AY201" s="1" t="str">
        <f t="shared" si="276"/>
        <v>=3</v>
      </c>
    </row>
    <row r="202" spans="1:51">
      <c r="A202" s="1" t="str">
        <f t="shared" si="230"/>
        <v>2.2.3) Life expectancy</v>
      </c>
      <c r="B202" s="1" t="str">
        <f t="shared" ref="B202:AG202" si="277">IF(B143&gt;1,"=","")&amp;B84</f>
        <v>32</v>
      </c>
      <c r="C202" s="1" t="str">
        <f t="shared" si="277"/>
        <v>27</v>
      </c>
      <c r="D202" s="1" t="str">
        <f t="shared" si="277"/>
        <v>42</v>
      </c>
      <c r="E202" s="1" t="str">
        <f t="shared" si="277"/>
        <v>=11</v>
      </c>
      <c r="F202" s="1" t="str">
        <f t="shared" si="277"/>
        <v>17</v>
      </c>
      <c r="G202" s="1" t="str">
        <f t="shared" si="277"/>
        <v>21</v>
      </c>
      <c r="H202" s="1" t="str">
        <f t="shared" si="277"/>
        <v>36</v>
      </c>
      <c r="I202" s="1" t="str">
        <f t="shared" si="277"/>
        <v>30</v>
      </c>
      <c r="J202" s="1" t="str">
        <f t="shared" si="277"/>
        <v>49</v>
      </c>
      <c r="K202" s="1" t="str">
        <f t="shared" si="277"/>
        <v>29</v>
      </c>
      <c r="L202" s="1" t="str">
        <f t="shared" si="277"/>
        <v>25</v>
      </c>
      <c r="M202" s="1" t="str">
        <f t="shared" si="277"/>
        <v>35</v>
      </c>
      <c r="N202" s="1" t="str">
        <f t="shared" si="277"/>
        <v>45</v>
      </c>
      <c r="O202" s="1" t="str">
        <f t="shared" si="277"/>
        <v>2</v>
      </c>
      <c r="P202" s="1" t="str">
        <f t="shared" si="277"/>
        <v>46</v>
      </c>
      <c r="Q202" s="1" t="str">
        <f t="shared" si="277"/>
        <v>43</v>
      </c>
      <c r="R202" s="1" t="str">
        <f t="shared" si="277"/>
        <v>50</v>
      </c>
      <c r="S202" s="1" t="str">
        <f t="shared" si="277"/>
        <v>31</v>
      </c>
      <c r="T202" s="1" t="str">
        <f t="shared" si="277"/>
        <v>41</v>
      </c>
      <c r="U202" s="1" t="str">
        <f t="shared" si="277"/>
        <v>14</v>
      </c>
      <c r="V202" s="1" t="str">
        <f t="shared" si="277"/>
        <v>22</v>
      </c>
      <c r="W202" s="1" t="str">
        <f t="shared" si="277"/>
        <v>=11</v>
      </c>
      <c r="X202" s="1" t="str">
        <f t="shared" si="277"/>
        <v>1</v>
      </c>
      <c r="Y202" s="1" t="str">
        <f t="shared" si="277"/>
        <v>33</v>
      </c>
      <c r="Z202" s="1" t="str">
        <f t="shared" si="277"/>
        <v>6</v>
      </c>
      <c r="AA202" s="1" t="str">
        <f t="shared" si="277"/>
        <v>18</v>
      </c>
      <c r="AB202" s="1" t="str">
        <f t="shared" si="277"/>
        <v>38</v>
      </c>
      <c r="AC202" s="1" t="str">
        <f t="shared" si="277"/>
        <v>=47</v>
      </c>
      <c r="AD202" s="1" t="str">
        <f t="shared" si="277"/>
        <v>19</v>
      </c>
      <c r="AE202" s="1" t="str">
        <f t="shared" si="277"/>
        <v>4</v>
      </c>
      <c r="AF202" s="1" t="str">
        <f t="shared" si="277"/>
        <v>15</v>
      </c>
      <c r="AG202" s="1" t="str">
        <f t="shared" si="277"/>
        <v>44</v>
      </c>
      <c r="AH202" s="1" t="str">
        <f t="shared" ref="AH202:AY202" si="278">IF(AH143&gt;1,"=","")&amp;AH84</f>
        <v>40</v>
      </c>
      <c r="AI202" s="1" t="str">
        <f t="shared" si="278"/>
        <v>=9</v>
      </c>
      <c r="AJ202" s="1" t="str">
        <f t="shared" si="278"/>
        <v>24</v>
      </c>
      <c r="AK202" s="1" t="str">
        <f t="shared" si="278"/>
        <v>28</v>
      </c>
      <c r="AL202" s="1" t="str">
        <f t="shared" si="278"/>
        <v>=47</v>
      </c>
      <c r="AM202" s="1" t="str">
        <f t="shared" si="278"/>
        <v>5</v>
      </c>
      <c r="AN202" s="1" t="str">
        <f t="shared" si="278"/>
        <v>23</v>
      </c>
      <c r="AO202" s="1" t="str">
        <f t="shared" si="278"/>
        <v>39</v>
      </c>
      <c r="AP202" s="1" t="str">
        <f t="shared" si="278"/>
        <v>13</v>
      </c>
      <c r="AQ202" s="1" t="str">
        <f t="shared" si="278"/>
        <v>=9</v>
      </c>
      <c r="AR202" s="1" t="str">
        <f t="shared" si="278"/>
        <v>16</v>
      </c>
      <c r="AS202" s="1" t="str">
        <f t="shared" si="278"/>
        <v>7</v>
      </c>
      <c r="AT202" s="1" t="str">
        <f t="shared" si="278"/>
        <v>34</v>
      </c>
      <c r="AU202" s="1" t="str">
        <f t="shared" si="278"/>
        <v>26</v>
      </c>
      <c r="AV202" s="1" t="str">
        <f t="shared" si="278"/>
        <v>8</v>
      </c>
      <c r="AW202" s="1" t="str">
        <f t="shared" si="278"/>
        <v>20</v>
      </c>
      <c r="AX202" s="1" t="str">
        <f t="shared" si="278"/>
        <v>37</v>
      </c>
      <c r="AY202" s="1" t="str">
        <f t="shared" si="278"/>
        <v>3</v>
      </c>
    </row>
    <row r="203" spans="1:51">
      <c r="A203" s="1" t="str">
        <f t="shared" si="230"/>
        <v>2.2.4) Infant mortality (deaths per 1,000 live births)</v>
      </c>
      <c r="B203" s="1" t="str">
        <f t="shared" ref="B203:AG203" si="279">IF(B144&gt;1,"=","")&amp;B85</f>
        <v>28</v>
      </c>
      <c r="C203" s="1" t="str">
        <f t="shared" si="279"/>
        <v>17</v>
      </c>
      <c r="D203" s="1" t="str">
        <f t="shared" si="279"/>
        <v>=33</v>
      </c>
      <c r="E203" s="1" t="str">
        <f t="shared" si="279"/>
        <v>13</v>
      </c>
      <c r="F203" s="1" t="str">
        <f t="shared" si="279"/>
        <v>9</v>
      </c>
      <c r="G203" s="1" t="str">
        <f t="shared" si="279"/>
        <v>8</v>
      </c>
      <c r="H203" s="1" t="str">
        <f t="shared" si="279"/>
        <v>37</v>
      </c>
      <c r="I203" s="1" t="str">
        <f t="shared" si="279"/>
        <v>32</v>
      </c>
      <c r="J203" s="1" t="str">
        <f t="shared" si="279"/>
        <v>48</v>
      </c>
      <c r="K203" s="1" t="str">
        <f t="shared" si="279"/>
        <v>30</v>
      </c>
      <c r="L203" s="1" t="str">
        <f t="shared" si="279"/>
        <v>1</v>
      </c>
      <c r="M203" s="1" t="str">
        <f t="shared" si="279"/>
        <v>=39</v>
      </c>
      <c r="N203" s="1" t="str">
        <f t="shared" si="279"/>
        <v>47</v>
      </c>
      <c r="O203" s="1" t="str">
        <f t="shared" si="279"/>
        <v>2</v>
      </c>
      <c r="P203" s="1" t="str">
        <f t="shared" si="279"/>
        <v>26</v>
      </c>
      <c r="Q203" s="1" t="str">
        <f t="shared" si="279"/>
        <v>43</v>
      </c>
      <c r="R203" s="1" t="str">
        <f t="shared" si="279"/>
        <v>24</v>
      </c>
      <c r="S203" s="1" t="str">
        <f t="shared" si="279"/>
        <v>36</v>
      </c>
      <c r="T203" s="1" t="str">
        <f t="shared" si="279"/>
        <v>38</v>
      </c>
      <c r="U203" s="1" t="str">
        <f t="shared" si="279"/>
        <v>=18</v>
      </c>
      <c r="V203" s="1" t="str">
        <f t="shared" si="279"/>
        <v>=20</v>
      </c>
      <c r="W203" s="1" t="str">
        <f t="shared" si="279"/>
        <v>15</v>
      </c>
      <c r="X203" s="1" t="str">
        <f t="shared" si="279"/>
        <v>12</v>
      </c>
      <c r="Y203" s="1" t="str">
        <f t="shared" si="279"/>
        <v>45</v>
      </c>
      <c r="Z203" s="1" t="str">
        <f t="shared" si="279"/>
        <v>7</v>
      </c>
      <c r="AA203" s="1" t="str">
        <f t="shared" si="279"/>
        <v>23</v>
      </c>
      <c r="AB203" s="1" t="str">
        <f t="shared" si="279"/>
        <v>35</v>
      </c>
      <c r="AC203" s="1" t="str">
        <f t="shared" si="279"/>
        <v>49</v>
      </c>
      <c r="AD203" s="1" t="str">
        <f t="shared" si="279"/>
        <v>=20</v>
      </c>
      <c r="AE203" s="1" t="str">
        <f t="shared" si="279"/>
        <v>4</v>
      </c>
      <c r="AF203" s="1" t="str">
        <f t="shared" si="279"/>
        <v>14</v>
      </c>
      <c r="AG203" s="1" t="str">
        <f t="shared" si="279"/>
        <v>46</v>
      </c>
      <c r="AH203" s="1" t="str">
        <f t="shared" ref="AH203:AY203" si="280">IF(AH144&gt;1,"=","")&amp;AH85</f>
        <v>44</v>
      </c>
      <c r="AI203" s="1" t="str">
        <f t="shared" si="280"/>
        <v>31</v>
      </c>
      <c r="AJ203" s="1" t="str">
        <f t="shared" si="280"/>
        <v>10</v>
      </c>
      <c r="AK203" s="1" t="str">
        <f t="shared" si="280"/>
        <v>=33</v>
      </c>
      <c r="AL203" s="1" t="str">
        <f t="shared" si="280"/>
        <v>42</v>
      </c>
      <c r="AM203" s="1" t="str">
        <f t="shared" si="280"/>
        <v>22</v>
      </c>
      <c r="AN203" s="1" t="str">
        <f t="shared" si="280"/>
        <v>27</v>
      </c>
      <c r="AO203" s="1" t="str">
        <f t="shared" si="280"/>
        <v>=39</v>
      </c>
      <c r="AP203" s="1" t="str">
        <f t="shared" si="280"/>
        <v>6</v>
      </c>
      <c r="AQ203" s="1" t="str">
        <f t="shared" si="280"/>
        <v>3</v>
      </c>
      <c r="AR203" s="1" t="str">
        <f t="shared" si="280"/>
        <v>11</v>
      </c>
      <c r="AS203" s="1" t="str">
        <f t="shared" si="280"/>
        <v>16</v>
      </c>
      <c r="AT203" s="1" t="str">
        <f t="shared" si="280"/>
        <v>50</v>
      </c>
      <c r="AU203" s="1" t="str">
        <f t="shared" si="280"/>
        <v>=39</v>
      </c>
      <c r="AV203" s="1" t="str">
        <f t="shared" si="280"/>
        <v>5</v>
      </c>
      <c r="AW203" s="1" t="str">
        <f t="shared" si="280"/>
        <v>29</v>
      </c>
      <c r="AX203" s="1" t="str">
        <f t="shared" si="280"/>
        <v>25</v>
      </c>
      <c r="AY203" s="1" t="str">
        <f t="shared" si="280"/>
        <v>=18</v>
      </c>
    </row>
    <row r="204" spans="1:51">
      <c r="A204" s="1" t="str">
        <f t="shared" si="230"/>
        <v>2.2.5) Cancer mortality rate ( Cancer deaths per 100,000)</v>
      </c>
      <c r="B204" s="1" t="str">
        <f t="shared" ref="B204:AG204" si="281">IF(B145&gt;1,"=","")&amp;B86</f>
        <v>50</v>
      </c>
      <c r="C204" s="1" t="str">
        <f t="shared" si="281"/>
        <v>45</v>
      </c>
      <c r="D204" s="1" t="str">
        <f t="shared" si="281"/>
        <v>34</v>
      </c>
      <c r="E204" s="1" t="str">
        <f t="shared" si="281"/>
        <v>=15</v>
      </c>
      <c r="F204" s="1" t="str">
        <f t="shared" si="281"/>
        <v>=24</v>
      </c>
      <c r="G204" s="1" t="str">
        <f t="shared" si="281"/>
        <v>46</v>
      </c>
      <c r="H204" s="1" t="str">
        <f t="shared" si="281"/>
        <v>22</v>
      </c>
      <c r="I204" s="1" t="str">
        <f t="shared" si="281"/>
        <v>41</v>
      </c>
      <c r="J204" s="1" t="str">
        <f t="shared" si="281"/>
        <v>3</v>
      </c>
      <c r="K204" s="1" t="str">
        <f t="shared" si="281"/>
        <v>9</v>
      </c>
      <c r="L204" s="1" t="str">
        <f t="shared" si="281"/>
        <v>17</v>
      </c>
      <c r="M204" s="1" t="str">
        <f t="shared" si="281"/>
        <v>33</v>
      </c>
      <c r="N204" s="1" t="str">
        <f t="shared" si="281"/>
        <v>20</v>
      </c>
      <c r="O204" s="1" t="str">
        <f t="shared" si="281"/>
        <v>21</v>
      </c>
      <c r="P204" s="1" t="str">
        <f t="shared" si="281"/>
        <v>28</v>
      </c>
      <c r="Q204" s="1" t="str">
        <f t="shared" si="281"/>
        <v>11</v>
      </c>
      <c r="R204" s="1" t="str">
        <f t="shared" si="281"/>
        <v>7</v>
      </c>
      <c r="S204" s="1" t="str">
        <f t="shared" si="281"/>
        <v>5</v>
      </c>
      <c r="T204" s="1" t="str">
        <f t="shared" si="281"/>
        <v>13</v>
      </c>
      <c r="U204" s="1" t="str">
        <f t="shared" si="281"/>
        <v>37</v>
      </c>
      <c r="V204" s="1" t="str">
        <f t="shared" si="281"/>
        <v>49</v>
      </c>
      <c r="W204" s="1" t="str">
        <f t="shared" si="281"/>
        <v>=15</v>
      </c>
      <c r="X204" s="1" t="str">
        <f t="shared" si="281"/>
        <v>42</v>
      </c>
      <c r="Y204" s="1" t="str">
        <f t="shared" si="281"/>
        <v>8</v>
      </c>
      <c r="Z204" s="1" t="str">
        <f t="shared" si="281"/>
        <v>31</v>
      </c>
      <c r="AA204" s="1" t="str">
        <f t="shared" si="281"/>
        <v>35</v>
      </c>
      <c r="AB204" s="1" t="str">
        <f t="shared" si="281"/>
        <v>27</v>
      </c>
      <c r="AC204" s="1" t="str">
        <f t="shared" si="281"/>
        <v>6</v>
      </c>
      <c r="AD204" s="1" t="str">
        <f t="shared" si="281"/>
        <v>1</v>
      </c>
      <c r="AE204" s="1" t="str">
        <f t="shared" si="281"/>
        <v>48</v>
      </c>
      <c r="AF204" s="1" t="str">
        <f t="shared" si="281"/>
        <v>39</v>
      </c>
      <c r="AG204" s="1" t="str">
        <f t="shared" si="281"/>
        <v>=18</v>
      </c>
      <c r="AH204" s="1" t="str">
        <f t="shared" ref="AH204:AY204" si="282">IF(AH145&gt;1,"=","")&amp;AH86</f>
        <v>4</v>
      </c>
      <c r="AI204" s="1" t="str">
        <f t="shared" si="282"/>
        <v>30</v>
      </c>
      <c r="AJ204" s="1" t="str">
        <f t="shared" si="282"/>
        <v>36</v>
      </c>
      <c r="AK204" s="1" t="str">
        <f t="shared" si="282"/>
        <v>2</v>
      </c>
      <c r="AL204" s="1" t="str">
        <f t="shared" si="282"/>
        <v>=18</v>
      </c>
      <c r="AM204" s="1" t="str">
        <f t="shared" si="282"/>
        <v>23</v>
      </c>
      <c r="AN204" s="1" t="str">
        <f t="shared" si="282"/>
        <v>29</v>
      </c>
      <c r="AO204" s="1" t="str">
        <f t="shared" si="282"/>
        <v>=24</v>
      </c>
      <c r="AP204" s="1" t="str">
        <f t="shared" si="282"/>
        <v>12</v>
      </c>
      <c r="AQ204" s="1" t="str">
        <f t="shared" si="282"/>
        <v>40</v>
      </c>
      <c r="AR204" s="1" t="str">
        <f t="shared" si="282"/>
        <v>38</v>
      </c>
      <c r="AS204" s="1" t="str">
        <f t="shared" si="282"/>
        <v>43</v>
      </c>
      <c r="AT204" s="1" t="str">
        <f t="shared" si="282"/>
        <v>10</v>
      </c>
      <c r="AU204" s="1" t="str">
        <f t="shared" si="282"/>
        <v>=24</v>
      </c>
      <c r="AV204" s="1" t="str">
        <f t="shared" si="282"/>
        <v>47</v>
      </c>
      <c r="AW204" s="1" t="str">
        <f t="shared" si="282"/>
        <v>32</v>
      </c>
      <c r="AX204" s="1" t="str">
        <f t="shared" si="282"/>
        <v>44</v>
      </c>
      <c r="AY204" s="1" t="str">
        <f t="shared" si="282"/>
        <v>14</v>
      </c>
    </row>
    <row r="205" spans="1:51">
      <c r="A205" s="1" t="str">
        <f t="shared" si="230"/>
        <v>3) INFRASTRUCTURE SAFETY</v>
      </c>
      <c r="B205" s="1" t="str">
        <f t="shared" ref="B205:AG205" si="283">IF(B146&gt;1,"=","")&amp;B87</f>
        <v>=10</v>
      </c>
      <c r="C205" s="1" t="str">
        <f t="shared" si="283"/>
        <v>4</v>
      </c>
      <c r="D205" s="1" t="str">
        <f t="shared" si="283"/>
        <v>42</v>
      </c>
      <c r="E205" s="1" t="str">
        <f t="shared" si="283"/>
        <v>14</v>
      </c>
      <c r="F205" s="1" t="str">
        <f t="shared" si="283"/>
        <v>32</v>
      </c>
      <c r="G205" s="1" t="str">
        <f t="shared" si="283"/>
        <v>17</v>
      </c>
      <c r="H205" s="1" t="str">
        <f t="shared" si="283"/>
        <v>28</v>
      </c>
      <c r="I205" s="1" t="str">
        <f t="shared" si="283"/>
        <v>13</v>
      </c>
      <c r="J205" s="1" t="str">
        <f t="shared" si="283"/>
        <v>46</v>
      </c>
      <c r="K205" s="1" t="str">
        <f t="shared" si="283"/>
        <v>36</v>
      </c>
      <c r="L205" s="1" t="str">
        <f t="shared" si="283"/>
        <v>20</v>
      </c>
      <c r="M205" s="1" t="str">
        <f t="shared" si="283"/>
        <v>31</v>
      </c>
      <c r="N205" s="1" t="str">
        <f t="shared" si="283"/>
        <v>50</v>
      </c>
      <c r="O205" s="1" t="str">
        <f t="shared" si="283"/>
        <v>40</v>
      </c>
      <c r="P205" s="1" t="str">
        <f t="shared" si="283"/>
        <v>27</v>
      </c>
      <c r="Q205" s="1" t="str">
        <f t="shared" si="283"/>
        <v>48</v>
      </c>
      <c r="R205" s="1" t="str">
        <f t="shared" si="283"/>
        <v>45</v>
      </c>
      <c r="S205" s="1" t="str">
        <f t="shared" si="283"/>
        <v>39</v>
      </c>
      <c r="T205" s="1" t="str">
        <f t="shared" si="283"/>
        <v>37</v>
      </c>
      <c r="U205" s="1" t="str">
        <f t="shared" si="283"/>
        <v>25</v>
      </c>
      <c r="V205" s="1" t="str">
        <f t="shared" si="283"/>
        <v>19</v>
      </c>
      <c r="W205" s="1" t="str">
        <f t="shared" si="283"/>
        <v>9</v>
      </c>
      <c r="X205" s="1" t="str">
        <f t="shared" si="283"/>
        <v>2</v>
      </c>
      <c r="Y205" s="1" t="str">
        <f t="shared" si="283"/>
        <v>49</v>
      </c>
      <c r="Z205" s="1" t="str">
        <f t="shared" si="283"/>
        <v>23</v>
      </c>
      <c r="AA205" s="1" t="str">
        <f t="shared" si="283"/>
        <v>6</v>
      </c>
      <c r="AB205" s="1" t="str">
        <f t="shared" si="283"/>
        <v>41</v>
      </c>
      <c r="AC205" s="1" t="str">
        <f t="shared" si="283"/>
        <v>47</v>
      </c>
      <c r="AD205" s="1" t="str">
        <f t="shared" si="283"/>
        <v>16</v>
      </c>
      <c r="AE205" s="1" t="str">
        <f t="shared" si="283"/>
        <v>12</v>
      </c>
      <c r="AF205" s="1" t="str">
        <f t="shared" si="283"/>
        <v>26</v>
      </c>
      <c r="AG205" s="1" t="str">
        <f t="shared" si="283"/>
        <v>38</v>
      </c>
      <c r="AH205" s="1" t="str">
        <f t="shared" ref="AH205:AY205" si="284">IF(AH146&gt;1,"=","")&amp;AH87</f>
        <v>44</v>
      </c>
      <c r="AI205" s="1" t="str">
        <f t="shared" si="284"/>
        <v>18</v>
      </c>
      <c r="AJ205" s="1" t="str">
        <f t="shared" si="284"/>
        <v>=10</v>
      </c>
      <c r="AK205" s="1" t="str">
        <f t="shared" si="284"/>
        <v>24</v>
      </c>
      <c r="AL205" s="1" t="str">
        <f t="shared" si="284"/>
        <v>35</v>
      </c>
      <c r="AM205" s="1" t="str">
        <f t="shared" si="284"/>
        <v>15</v>
      </c>
      <c r="AN205" s="1" t="str">
        <f t="shared" si="284"/>
        <v>30</v>
      </c>
      <c r="AO205" s="1" t="str">
        <f t="shared" si="284"/>
        <v>34</v>
      </c>
      <c r="AP205" s="1" t="str">
        <f t="shared" si="284"/>
        <v>7</v>
      </c>
      <c r="AQ205" s="1" t="str">
        <f t="shared" si="284"/>
        <v>21</v>
      </c>
      <c r="AR205" s="1" t="str">
        <f t="shared" si="284"/>
        <v>3</v>
      </c>
      <c r="AS205" s="1" t="str">
        <f t="shared" si="284"/>
        <v>22</v>
      </c>
      <c r="AT205" s="1" t="str">
        <f t="shared" si="284"/>
        <v>43</v>
      </c>
      <c r="AU205" s="1" t="str">
        <f t="shared" si="284"/>
        <v>33</v>
      </c>
      <c r="AV205" s="1" t="str">
        <f t="shared" si="284"/>
        <v>5</v>
      </c>
      <c r="AW205" s="1" t="str">
        <f t="shared" si="284"/>
        <v>8</v>
      </c>
      <c r="AX205" s="1" t="str">
        <f t="shared" si="284"/>
        <v>29</v>
      </c>
      <c r="AY205" s="1" t="str">
        <f t="shared" si="284"/>
        <v>1</v>
      </c>
    </row>
    <row r="206" spans="1:51">
      <c r="A206" s="1" t="str">
        <f t="shared" si="230"/>
        <v>3.1) Infrastructure Safety (Inputs)</v>
      </c>
      <c r="B206" s="1" t="str">
        <f t="shared" ref="B206:AG206" si="285">IF(B147&gt;1,"=","")&amp;B88</f>
        <v>21</v>
      </c>
      <c r="C206" s="1" t="str">
        <f t="shared" si="285"/>
        <v>=9</v>
      </c>
      <c r="D206" s="1" t="str">
        <f t="shared" si="285"/>
        <v>44</v>
      </c>
      <c r="E206" s="1" t="str">
        <f t="shared" si="285"/>
        <v>=7</v>
      </c>
      <c r="F206" s="1" t="str">
        <f t="shared" si="285"/>
        <v>=31</v>
      </c>
      <c r="G206" s="1" t="str">
        <f t="shared" si="285"/>
        <v>=19</v>
      </c>
      <c r="H206" s="1" t="str">
        <f t="shared" si="285"/>
        <v>=19</v>
      </c>
      <c r="I206" s="1" t="str">
        <f t="shared" si="285"/>
        <v>=12</v>
      </c>
      <c r="J206" s="1" t="str">
        <f t="shared" si="285"/>
        <v>48</v>
      </c>
      <c r="K206" s="1" t="str">
        <f t="shared" si="285"/>
        <v>39</v>
      </c>
      <c r="L206" s="1" t="str">
        <f t="shared" si="285"/>
        <v>=2</v>
      </c>
      <c r="M206" s="1" t="str">
        <f t="shared" si="285"/>
        <v>=31</v>
      </c>
      <c r="N206" s="1" t="str">
        <f t="shared" si="285"/>
        <v>50</v>
      </c>
      <c r="O206" s="1" t="str">
        <f t="shared" si="285"/>
        <v>25</v>
      </c>
      <c r="P206" s="1" t="str">
        <f t="shared" si="285"/>
        <v>29</v>
      </c>
      <c r="Q206" s="1" t="str">
        <f t="shared" si="285"/>
        <v>46</v>
      </c>
      <c r="R206" s="1" t="str">
        <f t="shared" si="285"/>
        <v>43</v>
      </c>
      <c r="S206" s="1" t="str">
        <f t="shared" si="285"/>
        <v>42</v>
      </c>
      <c r="T206" s="1" t="str">
        <f t="shared" si="285"/>
        <v>24</v>
      </c>
      <c r="U206" s="1" t="str">
        <f t="shared" si="285"/>
        <v>30</v>
      </c>
      <c r="V206" s="1" t="str">
        <f t="shared" si="285"/>
        <v>22</v>
      </c>
      <c r="W206" s="1" t="str">
        <f t="shared" si="285"/>
        <v>=7</v>
      </c>
      <c r="X206" s="1" t="str">
        <f t="shared" si="285"/>
        <v>=2</v>
      </c>
      <c r="Y206" s="1" t="str">
        <f t="shared" si="285"/>
        <v>=40</v>
      </c>
      <c r="Z206" s="1" t="str">
        <f t="shared" si="285"/>
        <v>18</v>
      </c>
      <c r="AA206" s="1" t="str">
        <f t="shared" si="285"/>
        <v>=12</v>
      </c>
      <c r="AB206" s="1" t="str">
        <f t="shared" si="285"/>
        <v>28</v>
      </c>
      <c r="AC206" s="1" t="str">
        <f t="shared" si="285"/>
        <v>49</v>
      </c>
      <c r="AD206" s="1" t="str">
        <f t="shared" si="285"/>
        <v>=12</v>
      </c>
      <c r="AE206" s="1" t="str">
        <f t="shared" si="285"/>
        <v>=2</v>
      </c>
      <c r="AF206" s="1" t="str">
        <f t="shared" si="285"/>
        <v>=26</v>
      </c>
      <c r="AG206" s="1" t="str">
        <f t="shared" si="285"/>
        <v>37</v>
      </c>
      <c r="AH206" s="1" t="str">
        <f t="shared" ref="AH206:AY206" si="286">IF(AH147&gt;1,"=","")&amp;AH88</f>
        <v>45</v>
      </c>
      <c r="AI206" s="1" t="str">
        <f t="shared" si="286"/>
        <v>11</v>
      </c>
      <c r="AJ206" s="1" t="str">
        <f t="shared" si="286"/>
        <v>=12</v>
      </c>
      <c r="AK206" s="1" t="str">
        <f t="shared" si="286"/>
        <v>38</v>
      </c>
      <c r="AL206" s="1" t="str">
        <f t="shared" si="286"/>
        <v>=26</v>
      </c>
      <c r="AM206" s="1" t="str">
        <f t="shared" si="286"/>
        <v>23</v>
      </c>
      <c r="AN206" s="1" t="str">
        <f t="shared" si="286"/>
        <v>=31</v>
      </c>
      <c r="AO206" s="1" t="str">
        <f t="shared" si="286"/>
        <v>=31</v>
      </c>
      <c r="AP206" s="1" t="str">
        <f t="shared" si="286"/>
        <v>1</v>
      </c>
      <c r="AQ206" s="1" t="str">
        <f t="shared" si="286"/>
        <v>36</v>
      </c>
      <c r="AR206" s="1" t="str">
        <f t="shared" si="286"/>
        <v>=2</v>
      </c>
      <c r="AS206" s="1" t="str">
        <f t="shared" si="286"/>
        <v>=40</v>
      </c>
      <c r="AT206" s="1" t="str">
        <f t="shared" si="286"/>
        <v>47</v>
      </c>
      <c r="AU206" s="1" t="str">
        <f t="shared" si="286"/>
        <v>=31</v>
      </c>
      <c r="AV206" s="1" t="str">
        <f t="shared" si="286"/>
        <v>=2</v>
      </c>
      <c r="AW206" s="1" t="str">
        <f t="shared" si="286"/>
        <v>=12</v>
      </c>
      <c r="AX206" s="1" t="str">
        <f t="shared" si="286"/>
        <v>=12</v>
      </c>
      <c r="AY206" s="1" t="str">
        <f t="shared" si="286"/>
        <v>=9</v>
      </c>
    </row>
    <row r="207" spans="1:51">
      <c r="A207" s="1" t="str">
        <f t="shared" si="230"/>
        <v>3.1.1) Enforcement of transport safety</v>
      </c>
      <c r="B207" s="1" t="str">
        <f t="shared" ref="B207:AG207" si="287">IF(B148&gt;1,"=","")&amp;B89</f>
        <v>=2</v>
      </c>
      <c r="C207" s="1" t="str">
        <f t="shared" si="287"/>
        <v>=21</v>
      </c>
      <c r="D207" s="1" t="str">
        <f t="shared" si="287"/>
        <v>=36</v>
      </c>
      <c r="E207" s="1" t="str">
        <f t="shared" si="287"/>
        <v>=18</v>
      </c>
      <c r="F207" s="1" t="str">
        <f t="shared" si="287"/>
        <v>=38</v>
      </c>
      <c r="G207" s="1" t="str">
        <f t="shared" si="287"/>
        <v>=31</v>
      </c>
      <c r="H207" s="1" t="str">
        <f t="shared" si="287"/>
        <v>=31</v>
      </c>
      <c r="I207" s="1" t="str">
        <f t="shared" si="287"/>
        <v>=11</v>
      </c>
      <c r="J207" s="1" t="str">
        <f t="shared" si="287"/>
        <v>=46</v>
      </c>
      <c r="K207" s="1" t="str">
        <f t="shared" si="287"/>
        <v>=21</v>
      </c>
      <c r="L207" s="1" t="str">
        <f t="shared" si="287"/>
        <v>=6</v>
      </c>
      <c r="M207" s="1" t="str">
        <f t="shared" si="287"/>
        <v>=38</v>
      </c>
      <c r="N207" s="1" t="str">
        <f t="shared" si="287"/>
        <v>=48</v>
      </c>
      <c r="O207" s="1" t="str">
        <f t="shared" si="287"/>
        <v>=48</v>
      </c>
      <c r="P207" s="1" t="str">
        <f t="shared" si="287"/>
        <v>4</v>
      </c>
      <c r="Q207" s="1" t="str">
        <f t="shared" si="287"/>
        <v>=28</v>
      </c>
      <c r="R207" s="1" t="str">
        <f t="shared" si="287"/>
        <v>=44</v>
      </c>
      <c r="S207" s="1" t="str">
        <f t="shared" si="287"/>
        <v>=44</v>
      </c>
      <c r="T207" s="1" t="str">
        <f t="shared" si="287"/>
        <v>=38</v>
      </c>
      <c r="U207" s="1" t="str">
        <f t="shared" si="287"/>
        <v>5</v>
      </c>
      <c r="V207" s="1" t="str">
        <f t="shared" si="287"/>
        <v>=11</v>
      </c>
      <c r="W207" s="1" t="str">
        <f t="shared" si="287"/>
        <v>=18</v>
      </c>
      <c r="X207" s="1" t="str">
        <f t="shared" si="287"/>
        <v>=6</v>
      </c>
      <c r="Y207" s="1" t="str">
        <f t="shared" si="287"/>
        <v>=36</v>
      </c>
      <c r="Z207" s="1" t="str">
        <f t="shared" si="287"/>
        <v>=24</v>
      </c>
      <c r="AA207" s="1" t="str">
        <f t="shared" si="287"/>
        <v>=11</v>
      </c>
      <c r="AB207" s="1" t="str">
        <f t="shared" si="287"/>
        <v>=31</v>
      </c>
      <c r="AC207" s="1" t="str">
        <f t="shared" si="287"/>
        <v>=46</v>
      </c>
      <c r="AD207" s="1" t="str">
        <f t="shared" si="287"/>
        <v>=11</v>
      </c>
      <c r="AE207" s="1" t="str">
        <f t="shared" si="287"/>
        <v>=6</v>
      </c>
      <c r="AF207" s="1" t="str">
        <f t="shared" si="287"/>
        <v>1</v>
      </c>
      <c r="AG207" s="1" t="str">
        <f t="shared" si="287"/>
        <v>=28</v>
      </c>
      <c r="AH207" s="1" t="str">
        <f t="shared" ref="AH207:AY207" si="288">IF(AH148&gt;1,"=","")&amp;AH89</f>
        <v>=24</v>
      </c>
      <c r="AI207" s="1" t="str">
        <f t="shared" si="288"/>
        <v>=24</v>
      </c>
      <c r="AJ207" s="1" t="str">
        <f t="shared" si="288"/>
        <v>=11</v>
      </c>
      <c r="AK207" s="1" t="str">
        <f t="shared" si="288"/>
        <v>=34</v>
      </c>
      <c r="AL207" s="1" t="str">
        <f t="shared" si="288"/>
        <v>=28</v>
      </c>
      <c r="AM207" s="1" t="str">
        <f t="shared" si="288"/>
        <v>=18</v>
      </c>
      <c r="AN207" s="1" t="str">
        <f t="shared" si="288"/>
        <v>=38</v>
      </c>
      <c r="AO207" s="1" t="str">
        <f t="shared" si="288"/>
        <v>=38</v>
      </c>
      <c r="AP207" s="1" t="str">
        <f t="shared" si="288"/>
        <v>=2</v>
      </c>
      <c r="AQ207" s="1" t="str">
        <f t="shared" si="288"/>
        <v>27</v>
      </c>
      <c r="AR207" s="1" t="str">
        <f t="shared" si="288"/>
        <v>=6</v>
      </c>
      <c r="AS207" s="1" t="str">
        <f t="shared" si="288"/>
        <v>=48</v>
      </c>
      <c r="AT207" s="1" t="str">
        <f t="shared" si="288"/>
        <v>=34</v>
      </c>
      <c r="AU207" s="1" t="str">
        <f t="shared" si="288"/>
        <v>=38</v>
      </c>
      <c r="AV207" s="1" t="str">
        <f t="shared" si="288"/>
        <v>=6</v>
      </c>
      <c r="AW207" s="1" t="str">
        <f t="shared" si="288"/>
        <v>=11</v>
      </c>
      <c r="AX207" s="1" t="str">
        <f t="shared" si="288"/>
        <v>=11</v>
      </c>
      <c r="AY207" s="1" t="str">
        <f t="shared" si="288"/>
        <v>=21</v>
      </c>
    </row>
    <row r="208" spans="1:51">
      <c r="A208" s="1" t="str">
        <f t="shared" si="230"/>
        <v>3.1.2) Pedestrian friendliness</v>
      </c>
      <c r="B208" s="1" t="str">
        <f t="shared" ref="B208:AG208" si="289">IF(B149&gt;1,"=","")&amp;B90</f>
        <v>=1</v>
      </c>
      <c r="C208" s="1" t="str">
        <f t="shared" si="289"/>
        <v>=1</v>
      </c>
      <c r="D208" s="1" t="str">
        <f t="shared" si="289"/>
        <v>=43</v>
      </c>
      <c r="E208" s="1" t="str">
        <f t="shared" si="289"/>
        <v>=1</v>
      </c>
      <c r="F208" s="1" t="str">
        <f t="shared" si="289"/>
        <v>=1</v>
      </c>
      <c r="G208" s="1" t="str">
        <f t="shared" si="289"/>
        <v>=1</v>
      </c>
      <c r="H208" s="1" t="str">
        <f t="shared" si="289"/>
        <v>=1</v>
      </c>
      <c r="I208" s="1" t="str">
        <f t="shared" si="289"/>
        <v>=1</v>
      </c>
      <c r="J208" s="1" t="str">
        <f t="shared" si="289"/>
        <v>=39</v>
      </c>
      <c r="K208" s="1" t="str">
        <f t="shared" si="289"/>
        <v>=43</v>
      </c>
      <c r="L208" s="1" t="str">
        <f t="shared" si="289"/>
        <v>=1</v>
      </c>
      <c r="M208" s="1" t="str">
        <f t="shared" si="289"/>
        <v>=1</v>
      </c>
      <c r="N208" s="1" t="str">
        <f t="shared" si="289"/>
        <v>=43</v>
      </c>
      <c r="O208" s="1" t="str">
        <f t="shared" si="289"/>
        <v>=1</v>
      </c>
      <c r="P208" s="1" t="str">
        <f t="shared" si="289"/>
        <v>=1</v>
      </c>
      <c r="Q208" s="1" t="str">
        <f t="shared" si="289"/>
        <v>=39</v>
      </c>
      <c r="R208" s="1" t="str">
        <f t="shared" si="289"/>
        <v>=1</v>
      </c>
      <c r="S208" s="1" t="str">
        <f t="shared" si="289"/>
        <v>=43</v>
      </c>
      <c r="T208" s="1" t="str">
        <f t="shared" si="289"/>
        <v>=1</v>
      </c>
      <c r="U208" s="1" t="str">
        <f t="shared" si="289"/>
        <v>=43</v>
      </c>
      <c r="V208" s="1" t="str">
        <f t="shared" si="289"/>
        <v>=1</v>
      </c>
      <c r="W208" s="1" t="str">
        <f t="shared" si="289"/>
        <v>=1</v>
      </c>
      <c r="X208" s="1" t="str">
        <f t="shared" si="289"/>
        <v>=1</v>
      </c>
      <c r="Y208" s="1" t="str">
        <f t="shared" si="289"/>
        <v>=1</v>
      </c>
      <c r="Z208" s="1" t="str">
        <f t="shared" si="289"/>
        <v>=1</v>
      </c>
      <c r="AA208" s="1" t="str">
        <f t="shared" si="289"/>
        <v>=1</v>
      </c>
      <c r="AB208" s="1" t="str">
        <f t="shared" si="289"/>
        <v>=1</v>
      </c>
      <c r="AC208" s="1" t="str">
        <f t="shared" si="289"/>
        <v>=39</v>
      </c>
      <c r="AD208" s="1" t="str">
        <f t="shared" si="289"/>
        <v>=1</v>
      </c>
      <c r="AE208" s="1" t="str">
        <f t="shared" si="289"/>
        <v>=1</v>
      </c>
      <c r="AF208" s="1" t="str">
        <f t="shared" si="289"/>
        <v>=43</v>
      </c>
      <c r="AG208" s="1" t="str">
        <f t="shared" si="289"/>
        <v>=1</v>
      </c>
      <c r="AH208" s="1" t="str">
        <f t="shared" ref="AH208:AY208" si="290">IF(AH149&gt;1,"=","")&amp;AH90</f>
        <v>=43</v>
      </c>
      <c r="AI208" s="1" t="str">
        <f t="shared" si="290"/>
        <v>=1</v>
      </c>
      <c r="AJ208" s="1" t="str">
        <f t="shared" si="290"/>
        <v>=1</v>
      </c>
      <c r="AK208" s="1" t="str">
        <f t="shared" si="290"/>
        <v>=43</v>
      </c>
      <c r="AL208" s="1" t="str">
        <f t="shared" si="290"/>
        <v>=1</v>
      </c>
      <c r="AM208" s="1" t="str">
        <f t="shared" si="290"/>
        <v>=1</v>
      </c>
      <c r="AN208" s="1" t="str">
        <f t="shared" si="290"/>
        <v>=1</v>
      </c>
      <c r="AO208" s="1" t="str">
        <f t="shared" si="290"/>
        <v>=1</v>
      </c>
      <c r="AP208" s="1" t="str">
        <f t="shared" si="290"/>
        <v>=1</v>
      </c>
      <c r="AQ208" s="1" t="str">
        <f t="shared" si="290"/>
        <v>=1</v>
      </c>
      <c r="AR208" s="1" t="str">
        <f t="shared" si="290"/>
        <v>=1</v>
      </c>
      <c r="AS208" s="1" t="str">
        <f t="shared" si="290"/>
        <v>=1</v>
      </c>
      <c r="AT208" s="1" t="str">
        <f t="shared" si="290"/>
        <v>=39</v>
      </c>
      <c r="AU208" s="1" t="str">
        <f t="shared" si="290"/>
        <v>=1</v>
      </c>
      <c r="AV208" s="1" t="str">
        <f t="shared" si="290"/>
        <v>=1</v>
      </c>
      <c r="AW208" s="1" t="str">
        <f t="shared" si="290"/>
        <v>=1</v>
      </c>
      <c r="AX208" s="1" t="str">
        <f t="shared" si="290"/>
        <v>=1</v>
      </c>
      <c r="AY208" s="1" t="str">
        <f t="shared" si="290"/>
        <v>=1</v>
      </c>
    </row>
    <row r="209" spans="1:51">
      <c r="A209" s="1" t="str">
        <f t="shared" si="230"/>
        <v>3.1.3) Quality of road infrastructure</v>
      </c>
      <c r="B209" s="1" t="str">
        <f t="shared" ref="B209:AG209" si="291">IF(B150&gt;1,"=","")&amp;B91</f>
        <v>=1</v>
      </c>
      <c r="C209" s="1" t="str">
        <f t="shared" si="291"/>
        <v>=1</v>
      </c>
      <c r="D209" s="1" t="str">
        <f t="shared" si="291"/>
        <v>=47</v>
      </c>
      <c r="E209" s="1" t="str">
        <f t="shared" si="291"/>
        <v>=1</v>
      </c>
      <c r="F209" s="1" t="str">
        <f t="shared" si="291"/>
        <v>=14</v>
      </c>
      <c r="G209" s="1" t="str">
        <f t="shared" si="291"/>
        <v>=14</v>
      </c>
      <c r="H209" s="1" t="str">
        <f t="shared" si="291"/>
        <v>=14</v>
      </c>
      <c r="I209" s="1" t="str">
        <f t="shared" si="291"/>
        <v>=14</v>
      </c>
      <c r="J209" s="1" t="str">
        <f t="shared" si="291"/>
        <v>=39</v>
      </c>
      <c r="K209" s="1" t="str">
        <f t="shared" si="291"/>
        <v>=14</v>
      </c>
      <c r="L209" s="1" t="str">
        <f t="shared" si="291"/>
        <v>=1</v>
      </c>
      <c r="M209" s="1" t="str">
        <f t="shared" si="291"/>
        <v>=14</v>
      </c>
      <c r="N209" s="1" t="str">
        <f t="shared" si="291"/>
        <v>=47</v>
      </c>
      <c r="O209" s="1" t="str">
        <f t="shared" si="291"/>
        <v>=1</v>
      </c>
      <c r="P209" s="1" t="str">
        <f t="shared" si="291"/>
        <v>=39</v>
      </c>
      <c r="Q209" s="1" t="str">
        <f t="shared" si="291"/>
        <v>=39</v>
      </c>
      <c r="R209" s="1" t="str">
        <f t="shared" si="291"/>
        <v>=39</v>
      </c>
      <c r="S209" s="1" t="str">
        <f t="shared" si="291"/>
        <v>=14</v>
      </c>
      <c r="T209" s="1" t="str">
        <f t="shared" si="291"/>
        <v>=14</v>
      </c>
      <c r="U209" s="1" t="str">
        <f t="shared" si="291"/>
        <v>=14</v>
      </c>
      <c r="V209" s="1" t="str">
        <f t="shared" si="291"/>
        <v>=14</v>
      </c>
      <c r="W209" s="1" t="str">
        <f t="shared" si="291"/>
        <v>=1</v>
      </c>
      <c r="X209" s="1" t="str">
        <f t="shared" si="291"/>
        <v>=1</v>
      </c>
      <c r="Y209" s="1" t="str">
        <f t="shared" si="291"/>
        <v>=39</v>
      </c>
      <c r="Z209" s="1" t="str">
        <f t="shared" si="291"/>
        <v>=14</v>
      </c>
      <c r="AA209" s="1" t="str">
        <f t="shared" si="291"/>
        <v>=14</v>
      </c>
      <c r="AB209" s="1" t="str">
        <f t="shared" si="291"/>
        <v>=14</v>
      </c>
      <c r="AC209" s="1" t="str">
        <f t="shared" si="291"/>
        <v>50</v>
      </c>
      <c r="AD209" s="1" t="str">
        <f t="shared" si="291"/>
        <v>=14</v>
      </c>
      <c r="AE209" s="1" t="str">
        <f t="shared" si="291"/>
        <v>=1</v>
      </c>
      <c r="AF209" s="1" t="str">
        <f t="shared" si="291"/>
        <v>=14</v>
      </c>
      <c r="AG209" s="1" t="str">
        <f t="shared" si="291"/>
        <v>=39</v>
      </c>
      <c r="AH209" s="1" t="str">
        <f t="shared" ref="AH209:AY209" si="292">IF(AH150&gt;1,"=","")&amp;AH91</f>
        <v>=39</v>
      </c>
      <c r="AI209" s="1" t="str">
        <f t="shared" si="292"/>
        <v>=1</v>
      </c>
      <c r="AJ209" s="1" t="str">
        <f t="shared" si="292"/>
        <v>=14</v>
      </c>
      <c r="AK209" s="1" t="str">
        <f t="shared" si="292"/>
        <v>=14</v>
      </c>
      <c r="AL209" s="1" t="str">
        <f t="shared" si="292"/>
        <v>=14</v>
      </c>
      <c r="AM209" s="1" t="str">
        <f t="shared" si="292"/>
        <v>=14</v>
      </c>
      <c r="AN209" s="1" t="str">
        <f t="shared" si="292"/>
        <v>=14</v>
      </c>
      <c r="AO209" s="1" t="str">
        <f t="shared" si="292"/>
        <v>=14</v>
      </c>
      <c r="AP209" s="1" t="str">
        <f t="shared" si="292"/>
        <v>=1</v>
      </c>
      <c r="AQ209" s="1" t="str">
        <f t="shared" si="292"/>
        <v>=47</v>
      </c>
      <c r="AR209" s="1" t="str">
        <f t="shared" si="292"/>
        <v>=1</v>
      </c>
      <c r="AS209" s="1" t="str">
        <f t="shared" si="292"/>
        <v>=14</v>
      </c>
      <c r="AT209" s="1" t="str">
        <f t="shared" si="292"/>
        <v>=39</v>
      </c>
      <c r="AU209" s="1" t="str">
        <f t="shared" si="292"/>
        <v>=14</v>
      </c>
      <c r="AV209" s="1" t="str">
        <f t="shared" si="292"/>
        <v>=1</v>
      </c>
      <c r="AW209" s="1" t="str">
        <f t="shared" si="292"/>
        <v>=14</v>
      </c>
      <c r="AX209" s="1" t="str">
        <f t="shared" si="292"/>
        <v>=14</v>
      </c>
      <c r="AY209" s="1" t="str">
        <f t="shared" si="292"/>
        <v>=1</v>
      </c>
    </row>
    <row r="210" spans="1:51">
      <c r="A210" s="1" t="str">
        <f t="shared" si="230"/>
        <v>3.1.4) Quality of electricity infrastructure</v>
      </c>
      <c r="B210" s="1" t="str">
        <f t="shared" ref="B210:AG210" si="293">IF(B151&gt;1,"=","")&amp;B92</f>
        <v>=36</v>
      </c>
      <c r="C210" s="1" t="str">
        <f t="shared" si="293"/>
        <v>=1</v>
      </c>
      <c r="D210" s="1" t="str">
        <f t="shared" si="293"/>
        <v>=1</v>
      </c>
      <c r="E210" s="1" t="str">
        <f t="shared" si="293"/>
        <v>=1</v>
      </c>
      <c r="F210" s="1" t="str">
        <f t="shared" si="293"/>
        <v>=1</v>
      </c>
      <c r="G210" s="1" t="str">
        <f t="shared" si="293"/>
        <v>=1</v>
      </c>
      <c r="H210" s="1" t="str">
        <f t="shared" si="293"/>
        <v>=1</v>
      </c>
      <c r="I210" s="1" t="str">
        <f t="shared" si="293"/>
        <v>=1</v>
      </c>
      <c r="J210" s="1" t="str">
        <f t="shared" si="293"/>
        <v>=45</v>
      </c>
      <c r="K210" s="1" t="str">
        <f t="shared" si="293"/>
        <v>=36</v>
      </c>
      <c r="L210" s="1" t="str">
        <f t="shared" si="293"/>
        <v>=1</v>
      </c>
      <c r="M210" s="1" t="str">
        <f t="shared" si="293"/>
        <v>=36</v>
      </c>
      <c r="N210" s="1" t="str">
        <f t="shared" si="293"/>
        <v>=45</v>
      </c>
      <c r="O210" s="1" t="str">
        <f t="shared" si="293"/>
        <v>=1</v>
      </c>
      <c r="P210" s="1" t="str">
        <f t="shared" si="293"/>
        <v>=36</v>
      </c>
      <c r="Q210" s="1" t="str">
        <f t="shared" si="293"/>
        <v>=45</v>
      </c>
      <c r="R210" s="1" t="str">
        <f t="shared" si="293"/>
        <v>=45</v>
      </c>
      <c r="S210" s="1" t="str">
        <f t="shared" si="293"/>
        <v>=1</v>
      </c>
      <c r="T210" s="1" t="str">
        <f t="shared" si="293"/>
        <v>=1</v>
      </c>
      <c r="U210" s="1" t="str">
        <f t="shared" si="293"/>
        <v>=1</v>
      </c>
      <c r="V210" s="1" t="str">
        <f t="shared" si="293"/>
        <v>=1</v>
      </c>
      <c r="W210" s="1" t="str">
        <f t="shared" si="293"/>
        <v>=1</v>
      </c>
      <c r="X210" s="1" t="str">
        <f t="shared" si="293"/>
        <v>=1</v>
      </c>
      <c r="Y210" s="1" t="str">
        <f t="shared" si="293"/>
        <v>=45</v>
      </c>
      <c r="Z210" s="1" t="str">
        <f t="shared" si="293"/>
        <v>=1</v>
      </c>
      <c r="AA210" s="1" t="str">
        <f t="shared" si="293"/>
        <v>=1</v>
      </c>
      <c r="AB210" s="1" t="str">
        <f t="shared" si="293"/>
        <v>=1</v>
      </c>
      <c r="AC210" s="1" t="str">
        <f t="shared" si="293"/>
        <v>=36</v>
      </c>
      <c r="AD210" s="1" t="str">
        <f t="shared" si="293"/>
        <v>=1</v>
      </c>
      <c r="AE210" s="1" t="str">
        <f t="shared" si="293"/>
        <v>=1</v>
      </c>
      <c r="AF210" s="1" t="str">
        <f t="shared" si="293"/>
        <v>=1</v>
      </c>
      <c r="AG210" s="1" t="str">
        <f t="shared" si="293"/>
        <v>=1</v>
      </c>
      <c r="AH210" s="1" t="str">
        <f t="shared" ref="AH210:AY210" si="294">IF(AH151&gt;1,"=","")&amp;AH92</f>
        <v>=36</v>
      </c>
      <c r="AI210" s="1" t="str">
        <f t="shared" si="294"/>
        <v>=1</v>
      </c>
      <c r="AJ210" s="1" t="str">
        <f t="shared" si="294"/>
        <v>=1</v>
      </c>
      <c r="AK210" s="1" t="str">
        <f t="shared" si="294"/>
        <v>=1</v>
      </c>
      <c r="AL210" s="1" t="str">
        <f t="shared" si="294"/>
        <v>=36</v>
      </c>
      <c r="AM210" s="1" t="str">
        <f t="shared" si="294"/>
        <v>=1</v>
      </c>
      <c r="AN210" s="1" t="str">
        <f t="shared" si="294"/>
        <v>=1</v>
      </c>
      <c r="AO210" s="1" t="str">
        <f t="shared" si="294"/>
        <v>=1</v>
      </c>
      <c r="AP210" s="1" t="str">
        <f t="shared" si="294"/>
        <v>=1</v>
      </c>
      <c r="AQ210" s="1" t="str">
        <f t="shared" si="294"/>
        <v>=36</v>
      </c>
      <c r="AR210" s="1" t="str">
        <f t="shared" si="294"/>
        <v>=1</v>
      </c>
      <c r="AS210" s="1" t="str">
        <f t="shared" si="294"/>
        <v>=36</v>
      </c>
      <c r="AT210" s="1" t="str">
        <f t="shared" si="294"/>
        <v>50</v>
      </c>
      <c r="AU210" s="1" t="str">
        <f t="shared" si="294"/>
        <v>=1</v>
      </c>
      <c r="AV210" s="1" t="str">
        <f t="shared" si="294"/>
        <v>=1</v>
      </c>
      <c r="AW210" s="1" t="str">
        <f t="shared" si="294"/>
        <v>=1</v>
      </c>
      <c r="AX210" s="1" t="str">
        <f t="shared" si="294"/>
        <v>=1</v>
      </c>
      <c r="AY210" s="1" t="str">
        <f t="shared" si="294"/>
        <v>=1</v>
      </c>
    </row>
    <row r="211" spans="1:51">
      <c r="A211" s="1" t="str">
        <f t="shared" ref="A211:A234" si="295">A152</f>
        <v>3.1.5) Disaster Management/Business Continuity Plan</v>
      </c>
      <c r="B211" s="1" t="str">
        <f t="shared" ref="B211:AG211" si="296">IF(B152&gt;1,"=","")&amp;B93</f>
        <v>=28</v>
      </c>
      <c r="C211" s="1" t="str">
        <f t="shared" si="296"/>
        <v>=1</v>
      </c>
      <c r="D211" s="1" t="str">
        <f t="shared" si="296"/>
        <v>=28</v>
      </c>
      <c r="E211" s="1" t="str">
        <f t="shared" si="296"/>
        <v>=1</v>
      </c>
      <c r="F211" s="1" t="str">
        <f t="shared" si="296"/>
        <v>=38</v>
      </c>
      <c r="G211" s="1" t="str">
        <f t="shared" si="296"/>
        <v>=1</v>
      </c>
      <c r="H211" s="1" t="str">
        <f t="shared" si="296"/>
        <v>=1</v>
      </c>
      <c r="I211" s="1" t="str">
        <f t="shared" si="296"/>
        <v>=1</v>
      </c>
      <c r="J211" s="1" t="str">
        <f t="shared" si="296"/>
        <v>=49</v>
      </c>
      <c r="K211" s="1" t="str">
        <f t="shared" si="296"/>
        <v>=1</v>
      </c>
      <c r="L211" s="1" t="str">
        <f t="shared" si="296"/>
        <v>=1</v>
      </c>
      <c r="M211" s="1" t="str">
        <f t="shared" si="296"/>
        <v>=28</v>
      </c>
      <c r="N211" s="1" t="str">
        <f t="shared" si="296"/>
        <v>=38</v>
      </c>
      <c r="O211" s="1" t="str">
        <f t="shared" si="296"/>
        <v>=1</v>
      </c>
      <c r="P211" s="1" t="str">
        <f t="shared" si="296"/>
        <v>=28</v>
      </c>
      <c r="Q211" s="1" t="str">
        <f t="shared" si="296"/>
        <v>=38</v>
      </c>
      <c r="R211" s="1" t="str">
        <f t="shared" si="296"/>
        <v>=38</v>
      </c>
      <c r="S211" s="1" t="str">
        <f t="shared" si="296"/>
        <v>=28</v>
      </c>
      <c r="T211" s="1" t="str">
        <f t="shared" si="296"/>
        <v>=1</v>
      </c>
      <c r="U211" s="1" t="str">
        <f t="shared" si="296"/>
        <v>=1</v>
      </c>
      <c r="V211" s="1" t="str">
        <f t="shared" si="296"/>
        <v>=28</v>
      </c>
      <c r="W211" s="1" t="str">
        <f t="shared" si="296"/>
        <v>=1</v>
      </c>
      <c r="X211" s="1" t="str">
        <f t="shared" si="296"/>
        <v>=1</v>
      </c>
      <c r="Y211" s="1" t="str">
        <f t="shared" si="296"/>
        <v>=28</v>
      </c>
      <c r="Z211" s="1" t="str">
        <f t="shared" si="296"/>
        <v>=1</v>
      </c>
      <c r="AA211" s="1" t="str">
        <f t="shared" si="296"/>
        <v>=1</v>
      </c>
      <c r="AB211" s="1" t="str">
        <f t="shared" si="296"/>
        <v>=38</v>
      </c>
      <c r="AC211" s="1" t="str">
        <f t="shared" si="296"/>
        <v>=49</v>
      </c>
      <c r="AD211" s="1" t="str">
        <f t="shared" si="296"/>
        <v>=1</v>
      </c>
      <c r="AE211" s="1" t="str">
        <f t="shared" si="296"/>
        <v>=1</v>
      </c>
      <c r="AF211" s="1" t="str">
        <f t="shared" si="296"/>
        <v>=1</v>
      </c>
      <c r="AG211" s="1" t="str">
        <f t="shared" si="296"/>
        <v>=38</v>
      </c>
      <c r="AH211" s="1" t="str">
        <f t="shared" ref="AH211:AY211" si="297">IF(AH152&gt;1,"=","")&amp;AH93</f>
        <v>=38</v>
      </c>
      <c r="AI211" s="1" t="str">
        <f t="shared" si="297"/>
        <v>=1</v>
      </c>
      <c r="AJ211" s="1" t="str">
        <f t="shared" si="297"/>
        <v>=1</v>
      </c>
      <c r="AK211" s="1" t="str">
        <f t="shared" si="297"/>
        <v>=1</v>
      </c>
      <c r="AL211" s="1" t="str">
        <f t="shared" si="297"/>
        <v>=28</v>
      </c>
      <c r="AM211" s="1" t="str">
        <f t="shared" si="297"/>
        <v>=28</v>
      </c>
      <c r="AN211" s="1" t="str">
        <f t="shared" si="297"/>
        <v>=38</v>
      </c>
      <c r="AO211" s="1" t="str">
        <f t="shared" si="297"/>
        <v>=38</v>
      </c>
      <c r="AP211" s="1" t="str">
        <f t="shared" si="297"/>
        <v>=1</v>
      </c>
      <c r="AQ211" s="1" t="str">
        <f t="shared" si="297"/>
        <v>=1</v>
      </c>
      <c r="AR211" s="1" t="str">
        <f t="shared" si="297"/>
        <v>=1</v>
      </c>
      <c r="AS211" s="1" t="str">
        <f t="shared" si="297"/>
        <v>=28</v>
      </c>
      <c r="AT211" s="1" t="str">
        <f t="shared" si="297"/>
        <v>=38</v>
      </c>
      <c r="AU211" s="1" t="str">
        <f t="shared" si="297"/>
        <v>=38</v>
      </c>
      <c r="AV211" s="1" t="str">
        <f t="shared" si="297"/>
        <v>=1</v>
      </c>
      <c r="AW211" s="1" t="str">
        <f t="shared" si="297"/>
        <v>=1</v>
      </c>
      <c r="AX211" s="1" t="str">
        <f t="shared" si="297"/>
        <v>=1</v>
      </c>
      <c r="AY211" s="1" t="str">
        <f t="shared" si="297"/>
        <v>=1</v>
      </c>
    </row>
    <row r="212" spans="1:51">
      <c r="A212" s="1" t="str">
        <f t="shared" si="295"/>
        <v>3.2) Infrastructure Safety (Outputs)</v>
      </c>
      <c r="B212" s="1" t="str">
        <f t="shared" ref="B212:AG212" si="298">IF(B153&gt;1,"=","")&amp;B94</f>
        <v>10</v>
      </c>
      <c r="C212" s="1" t="str">
        <f t="shared" si="298"/>
        <v>6</v>
      </c>
      <c r="D212" s="1" t="str">
        <f t="shared" si="298"/>
        <v>33</v>
      </c>
      <c r="E212" s="1" t="str">
        <f t="shared" si="298"/>
        <v>34</v>
      </c>
      <c r="F212" s="1" t="str">
        <f t="shared" si="298"/>
        <v>26</v>
      </c>
      <c r="G212" s="1" t="str">
        <f t="shared" si="298"/>
        <v>19</v>
      </c>
      <c r="H212" s="1" t="str">
        <f t="shared" si="298"/>
        <v>44</v>
      </c>
      <c r="I212" s="1" t="str">
        <f t="shared" si="298"/>
        <v>20</v>
      </c>
      <c r="J212" s="1" t="str">
        <f t="shared" si="298"/>
        <v>32</v>
      </c>
      <c r="K212" s="1" t="str">
        <f t="shared" si="298"/>
        <v>15</v>
      </c>
      <c r="L212" s="1" t="str">
        <f t="shared" si="298"/>
        <v>40</v>
      </c>
      <c r="M212" s="1" t="str">
        <f t="shared" si="298"/>
        <v>25</v>
      </c>
      <c r="N212" s="1" t="str">
        <f t="shared" si="298"/>
        <v>38</v>
      </c>
      <c r="O212" s="1" t="str">
        <f t="shared" si="298"/>
        <v>48</v>
      </c>
      <c r="P212" s="1" t="str">
        <f t="shared" si="298"/>
        <v>29</v>
      </c>
      <c r="Q212" s="1" t="str">
        <f t="shared" si="298"/>
        <v>49</v>
      </c>
      <c r="R212" s="1" t="str">
        <f t="shared" si="298"/>
        <v>45</v>
      </c>
      <c r="S212" s="1" t="str">
        <f t="shared" si="298"/>
        <v>11</v>
      </c>
      <c r="T212" s="1" t="str">
        <f t="shared" si="298"/>
        <v>43</v>
      </c>
      <c r="U212" s="1" t="str">
        <f t="shared" si="298"/>
        <v>18</v>
      </c>
      <c r="V212" s="1" t="str">
        <f t="shared" si="298"/>
        <v>16</v>
      </c>
      <c r="W212" s="1" t="str">
        <f t="shared" si="298"/>
        <v>22</v>
      </c>
      <c r="X212" s="1" t="str">
        <f t="shared" si="298"/>
        <v>4</v>
      </c>
      <c r="Y212" s="1" t="str">
        <f t="shared" si="298"/>
        <v>50</v>
      </c>
      <c r="Z212" s="1" t="str">
        <f t="shared" si="298"/>
        <v>42</v>
      </c>
      <c r="AA212" s="1" t="str">
        <f t="shared" si="298"/>
        <v>5</v>
      </c>
      <c r="AB212" s="1" t="str">
        <f t="shared" si="298"/>
        <v>46</v>
      </c>
      <c r="AC212" s="1" t="str">
        <f t="shared" si="298"/>
        <v>30</v>
      </c>
      <c r="AD212" s="1" t="str">
        <f t="shared" si="298"/>
        <v>23</v>
      </c>
      <c r="AE212" s="1" t="str">
        <f t="shared" si="298"/>
        <v>36</v>
      </c>
      <c r="AF212" s="1" t="str">
        <f t="shared" si="298"/>
        <v>31</v>
      </c>
      <c r="AG212" s="1" t="str">
        <f t="shared" si="298"/>
        <v>35</v>
      </c>
      <c r="AH212" s="1" t="str">
        <f t="shared" ref="AH212:AY212" si="299">IF(AH153&gt;1,"=","")&amp;AH94</f>
        <v>41</v>
      </c>
      <c r="AI212" s="1" t="str">
        <f t="shared" si="299"/>
        <v>39</v>
      </c>
      <c r="AJ212" s="1" t="str">
        <f t="shared" si="299"/>
        <v>17</v>
      </c>
      <c r="AK212" s="1" t="str">
        <f t="shared" si="299"/>
        <v>9</v>
      </c>
      <c r="AL212" s="1" t="str">
        <f t="shared" si="299"/>
        <v>37</v>
      </c>
      <c r="AM212" s="1" t="str">
        <f t="shared" si="299"/>
        <v>8</v>
      </c>
      <c r="AN212" s="1" t="str">
        <f t="shared" si="299"/>
        <v>24</v>
      </c>
      <c r="AO212" s="1" t="str">
        <f t="shared" si="299"/>
        <v>28</v>
      </c>
      <c r="AP212" s="1" t="str">
        <f t="shared" si="299"/>
        <v>21</v>
      </c>
      <c r="AQ212" s="1" t="str">
        <f t="shared" si="299"/>
        <v>2</v>
      </c>
      <c r="AR212" s="1" t="str">
        <f t="shared" si="299"/>
        <v>7</v>
      </c>
      <c r="AS212" s="1" t="str">
        <f t="shared" si="299"/>
        <v>1</v>
      </c>
      <c r="AT212" s="1" t="str">
        <f t="shared" si="299"/>
        <v>13</v>
      </c>
      <c r="AU212" s="1" t="str">
        <f t="shared" si="299"/>
        <v>27</v>
      </c>
      <c r="AV212" s="1" t="str">
        <f t="shared" si="299"/>
        <v>14</v>
      </c>
      <c r="AW212" s="1" t="str">
        <f t="shared" si="299"/>
        <v>12</v>
      </c>
      <c r="AX212" s="1" t="str">
        <f t="shared" si="299"/>
        <v>47</v>
      </c>
      <c r="AY212" s="1" t="str">
        <f t="shared" si="299"/>
        <v>3</v>
      </c>
    </row>
    <row r="213" spans="1:51">
      <c r="A213" s="1" t="str">
        <f t="shared" si="295"/>
        <v>3.2.1) Death from natural disasters</v>
      </c>
      <c r="B213" s="1" t="str">
        <f t="shared" ref="B213:AG213" si="300">IF(B154&gt;1,"=","")&amp;B95</f>
        <v>=1</v>
      </c>
      <c r="C213" s="1" t="str">
        <f t="shared" si="300"/>
        <v>45</v>
      </c>
      <c r="D213" s="1" t="str">
        <f t="shared" si="300"/>
        <v>43</v>
      </c>
      <c r="E213" s="1" t="str">
        <f t="shared" si="300"/>
        <v>26</v>
      </c>
      <c r="F213" s="1" t="str">
        <f t="shared" si="300"/>
        <v>=14</v>
      </c>
      <c r="G213" s="1" t="str">
        <f t="shared" si="300"/>
        <v>44</v>
      </c>
      <c r="H213" s="1" t="str">
        <f t="shared" si="300"/>
        <v>21</v>
      </c>
      <c r="I213" s="1" t="str">
        <f t="shared" si="300"/>
        <v>30</v>
      </c>
      <c r="J213" s="1" t="str">
        <f t="shared" si="300"/>
        <v>42</v>
      </c>
      <c r="K213" s="1" t="str">
        <f t="shared" si="300"/>
        <v>=1</v>
      </c>
      <c r="L213" s="1" t="str">
        <f t="shared" si="300"/>
        <v>32</v>
      </c>
      <c r="M213" s="1" t="str">
        <f t="shared" si="300"/>
        <v>20</v>
      </c>
      <c r="N213" s="1" t="str">
        <f t="shared" si="300"/>
        <v>36</v>
      </c>
      <c r="O213" s="1" t="str">
        <f t="shared" si="300"/>
        <v>=1</v>
      </c>
      <c r="P213" s="1" t="str">
        <f t="shared" si="300"/>
        <v>25</v>
      </c>
      <c r="Q213" s="1" t="str">
        <f t="shared" si="300"/>
        <v>50</v>
      </c>
      <c r="R213" s="1" t="str">
        <f t="shared" si="300"/>
        <v>23</v>
      </c>
      <c r="S213" s="1" t="str">
        <f t="shared" si="300"/>
        <v>=1</v>
      </c>
      <c r="T213" s="1" t="str">
        <f t="shared" si="300"/>
        <v>35</v>
      </c>
      <c r="U213" s="1" t="str">
        <f t="shared" si="300"/>
        <v>28</v>
      </c>
      <c r="V213" s="1" t="str">
        <f t="shared" si="300"/>
        <v>=14</v>
      </c>
      <c r="W213" s="1" t="str">
        <f t="shared" si="300"/>
        <v>=16</v>
      </c>
      <c r="X213" s="1" t="str">
        <f t="shared" si="300"/>
        <v>=39</v>
      </c>
      <c r="Y213" s="1" t="str">
        <f t="shared" si="300"/>
        <v>=16</v>
      </c>
      <c r="Z213" s="1" t="str">
        <f t="shared" si="300"/>
        <v>41</v>
      </c>
      <c r="AA213" s="1" t="str">
        <f t="shared" si="300"/>
        <v>11</v>
      </c>
      <c r="AB213" s="1" t="str">
        <f t="shared" si="300"/>
        <v>48</v>
      </c>
      <c r="AC213" s="1" t="str">
        <f t="shared" si="300"/>
        <v>=1</v>
      </c>
      <c r="AD213" s="1" t="str">
        <f t="shared" si="300"/>
        <v>12</v>
      </c>
      <c r="AE213" s="1" t="str">
        <f t="shared" si="300"/>
        <v>49</v>
      </c>
      <c r="AF213" s="1" t="str">
        <f t="shared" si="300"/>
        <v>31</v>
      </c>
      <c r="AG213" s="1" t="str">
        <f t="shared" si="300"/>
        <v>38</v>
      </c>
      <c r="AH213" s="1" t="str">
        <f t="shared" ref="AH213:AY213" si="301">IF(AH154&gt;1,"=","")&amp;AH95</f>
        <v>=7</v>
      </c>
      <c r="AI213" s="1" t="str">
        <f t="shared" si="301"/>
        <v>34</v>
      </c>
      <c r="AJ213" s="1" t="str">
        <f t="shared" si="301"/>
        <v>33</v>
      </c>
      <c r="AK213" s="1" t="str">
        <f t="shared" si="301"/>
        <v>27</v>
      </c>
      <c r="AL213" s="1" t="str">
        <f t="shared" si="301"/>
        <v>46</v>
      </c>
      <c r="AM213" s="1" t="str">
        <f t="shared" si="301"/>
        <v>13</v>
      </c>
      <c r="AN213" s="1" t="str">
        <f t="shared" si="301"/>
        <v>6</v>
      </c>
      <c r="AO213" s="1" t="str">
        <f t="shared" si="301"/>
        <v>18</v>
      </c>
      <c r="AP213" s="1" t="str">
        <f t="shared" si="301"/>
        <v>22</v>
      </c>
      <c r="AQ213" s="1" t="str">
        <f t="shared" si="301"/>
        <v>=9</v>
      </c>
      <c r="AR213" s="1" t="str">
        <f t="shared" si="301"/>
        <v>=39</v>
      </c>
      <c r="AS213" s="1" t="str">
        <f t="shared" si="301"/>
        <v>37</v>
      </c>
      <c r="AT213" s="1" t="str">
        <f t="shared" si="301"/>
        <v>29</v>
      </c>
      <c r="AU213" s="1" t="str">
        <f t="shared" si="301"/>
        <v>24</v>
      </c>
      <c r="AV213" s="1" t="str">
        <f t="shared" si="301"/>
        <v>47</v>
      </c>
      <c r="AW213" s="1" t="str">
        <f t="shared" si="301"/>
        <v>=9</v>
      </c>
      <c r="AX213" s="1" t="str">
        <f t="shared" si="301"/>
        <v>=7</v>
      </c>
      <c r="AY213" s="1" t="str">
        <f t="shared" si="301"/>
        <v>19</v>
      </c>
    </row>
    <row r="214" spans="1:51">
      <c r="A214" s="1" t="str">
        <f t="shared" si="295"/>
        <v>3.2.2) Frequency of vehicular accidents</v>
      </c>
      <c r="B214" s="1" t="str">
        <f t="shared" ref="B214:AG214" si="302">IF(B155&gt;1,"=","")&amp;B96</f>
        <v>11</v>
      </c>
      <c r="C214" s="1" t="str">
        <f t="shared" si="302"/>
        <v>9</v>
      </c>
      <c r="D214" s="1" t="str">
        <f t="shared" si="302"/>
        <v>22</v>
      </c>
      <c r="E214" s="1" t="str">
        <f t="shared" si="302"/>
        <v>34</v>
      </c>
      <c r="F214" s="1" t="str">
        <f t="shared" si="302"/>
        <v>2</v>
      </c>
      <c r="G214" s="1" t="str">
        <f t="shared" si="302"/>
        <v>=23</v>
      </c>
      <c r="H214" s="1" t="str">
        <f t="shared" si="302"/>
        <v>20</v>
      </c>
      <c r="I214" s="1" t="str">
        <f t="shared" si="302"/>
        <v>35</v>
      </c>
      <c r="J214" s="1" t="str">
        <f t="shared" si="302"/>
        <v>8</v>
      </c>
      <c r="K214" s="1" t="str">
        <f t="shared" si="302"/>
        <v>18</v>
      </c>
      <c r="L214" s="1" t="str">
        <f t="shared" si="302"/>
        <v>47</v>
      </c>
      <c r="M214" s="1" t="str">
        <f t="shared" si="302"/>
        <v>3</v>
      </c>
      <c r="N214" s="1" t="str">
        <f t="shared" si="302"/>
        <v>7</v>
      </c>
      <c r="O214" s="1" t="str">
        <f t="shared" si="302"/>
        <v>19</v>
      </c>
      <c r="P214" s="1" t="str">
        <f t="shared" si="302"/>
        <v>45</v>
      </c>
      <c r="Q214" s="1" t="str">
        <f t="shared" si="302"/>
        <v>10</v>
      </c>
      <c r="R214" s="1" t="str">
        <f t="shared" si="302"/>
        <v>46</v>
      </c>
      <c r="S214" s="1" t="str">
        <f t="shared" si="302"/>
        <v>42</v>
      </c>
      <c r="T214" s="1" t="str">
        <f t="shared" si="302"/>
        <v>36</v>
      </c>
      <c r="U214" s="1" t="str">
        <f t="shared" si="302"/>
        <v>17</v>
      </c>
      <c r="V214" s="1" t="str">
        <f t="shared" si="302"/>
        <v>30</v>
      </c>
      <c r="W214" s="1" t="str">
        <f t="shared" si="302"/>
        <v>16</v>
      </c>
      <c r="X214" s="1" t="str">
        <f t="shared" si="302"/>
        <v>=23</v>
      </c>
      <c r="Y214" s="1" t="str">
        <f t="shared" si="302"/>
        <v>50</v>
      </c>
      <c r="Z214" s="1" t="str">
        <f t="shared" si="302"/>
        <v>44</v>
      </c>
      <c r="AA214" s="1" t="str">
        <f t="shared" si="302"/>
        <v>28</v>
      </c>
      <c r="AB214" s="1" t="str">
        <f t="shared" si="302"/>
        <v>12</v>
      </c>
      <c r="AC214" s="1" t="str">
        <f t="shared" si="302"/>
        <v>4</v>
      </c>
      <c r="AD214" s="1" t="str">
        <f t="shared" si="302"/>
        <v>39</v>
      </c>
      <c r="AE214" s="1" t="str">
        <f t="shared" si="302"/>
        <v>32</v>
      </c>
      <c r="AF214" s="1" t="str">
        <f t="shared" si="302"/>
        <v>43</v>
      </c>
      <c r="AG214" s="1" t="str">
        <f t="shared" si="302"/>
        <v>25</v>
      </c>
      <c r="AH214" s="1" t="str">
        <f t="shared" ref="AH214:AY214" si="303">IF(AH155&gt;1,"=","")&amp;AH96</f>
        <v>48</v>
      </c>
      <c r="AI214" s="1" t="str">
        <f t="shared" si="303"/>
        <v>37</v>
      </c>
      <c r="AJ214" s="1" t="str">
        <f t="shared" si="303"/>
        <v>31</v>
      </c>
      <c r="AK214" s="1" t="str">
        <f t="shared" si="303"/>
        <v>27</v>
      </c>
      <c r="AL214" s="1" t="str">
        <f t="shared" si="303"/>
        <v>21</v>
      </c>
      <c r="AM214" s="1" t="str">
        <f t="shared" si="303"/>
        <v>29</v>
      </c>
      <c r="AN214" s="1" t="str">
        <f t="shared" si="303"/>
        <v>1</v>
      </c>
      <c r="AO214" s="1" t="str">
        <f t="shared" si="303"/>
        <v>6</v>
      </c>
      <c r="AP214" s="1" t="str">
        <f t="shared" si="303"/>
        <v>13</v>
      </c>
      <c r="AQ214" s="1" t="str">
        <f t="shared" si="303"/>
        <v>14</v>
      </c>
      <c r="AR214" s="1" t="str">
        <f t="shared" si="303"/>
        <v>33</v>
      </c>
      <c r="AS214" s="1" t="str">
        <f t="shared" si="303"/>
        <v>38</v>
      </c>
      <c r="AT214" s="1" t="str">
        <f t="shared" si="303"/>
        <v>15</v>
      </c>
      <c r="AU214" s="1" t="str">
        <f t="shared" si="303"/>
        <v>5</v>
      </c>
      <c r="AV214" s="1" t="str">
        <f t="shared" si="303"/>
        <v>26</v>
      </c>
      <c r="AW214" s="1" t="str">
        <f t="shared" si="303"/>
        <v>40</v>
      </c>
      <c r="AX214" s="1" t="str">
        <f t="shared" si="303"/>
        <v>49</v>
      </c>
      <c r="AY214" s="1" t="str">
        <f t="shared" si="303"/>
        <v>41</v>
      </c>
    </row>
    <row r="215" spans="1:51">
      <c r="A215" s="1" t="str">
        <f t="shared" si="295"/>
        <v>3.2.3) Frequency of pedestrian deaths</v>
      </c>
      <c r="B215" s="1" t="str">
        <f t="shared" ref="B215:AG215" si="304">IF(B156&gt;1,"=","")&amp;B97</f>
        <v>31</v>
      </c>
      <c r="C215" s="1" t="str">
        <f t="shared" si="304"/>
        <v>=3</v>
      </c>
      <c r="D215" s="1" t="str">
        <f t="shared" si="304"/>
        <v>26</v>
      </c>
      <c r="E215" s="1" t="str">
        <f t="shared" si="304"/>
        <v>=8</v>
      </c>
      <c r="F215" s="1" t="str">
        <f t="shared" si="304"/>
        <v>=21</v>
      </c>
      <c r="G215" s="1" t="str">
        <f t="shared" si="304"/>
        <v>=16</v>
      </c>
      <c r="H215" s="1" t="str">
        <f t="shared" si="304"/>
        <v>48</v>
      </c>
      <c r="I215" s="1" t="str">
        <f t="shared" si="304"/>
        <v>30</v>
      </c>
      <c r="J215" s="1" t="str">
        <f t="shared" si="304"/>
        <v>=34</v>
      </c>
      <c r="K215" s="1" t="str">
        <f t="shared" si="304"/>
        <v>39</v>
      </c>
      <c r="L215" s="1" t="str">
        <f t="shared" si="304"/>
        <v>=6</v>
      </c>
      <c r="M215" s="1" t="str">
        <f t="shared" si="304"/>
        <v>=16</v>
      </c>
      <c r="N215" s="1" t="str">
        <f t="shared" si="304"/>
        <v>13</v>
      </c>
      <c r="O215" s="1" t="str">
        <f t="shared" si="304"/>
        <v>49</v>
      </c>
      <c r="P215" s="1" t="str">
        <f t="shared" si="304"/>
        <v>20</v>
      </c>
      <c r="Q215" s="1" t="str">
        <f t="shared" si="304"/>
        <v>37</v>
      </c>
      <c r="R215" s="1" t="str">
        <f t="shared" si="304"/>
        <v>44</v>
      </c>
      <c r="S215" s="1" t="str">
        <f t="shared" si="304"/>
        <v>43</v>
      </c>
      <c r="T215" s="1" t="str">
        <f t="shared" si="304"/>
        <v>40</v>
      </c>
      <c r="U215" s="1" t="str">
        <f t="shared" si="304"/>
        <v>=10</v>
      </c>
      <c r="V215" s="1" t="str">
        <f t="shared" si="304"/>
        <v>=34</v>
      </c>
      <c r="W215" s="1" t="str">
        <f t="shared" si="304"/>
        <v>2</v>
      </c>
      <c r="X215" s="1" t="str">
        <f t="shared" si="304"/>
        <v>=6</v>
      </c>
      <c r="Y215" s="1" t="str">
        <f t="shared" si="304"/>
        <v>50</v>
      </c>
      <c r="Z215" s="1" t="str">
        <f t="shared" si="304"/>
        <v>=34</v>
      </c>
      <c r="AA215" s="1" t="str">
        <f t="shared" si="304"/>
        <v>1</v>
      </c>
      <c r="AB215" s="1" t="str">
        <f t="shared" si="304"/>
        <v>45</v>
      </c>
      <c r="AC215" s="1" t="str">
        <f t="shared" si="304"/>
        <v>25</v>
      </c>
      <c r="AD215" s="1" t="str">
        <f t="shared" si="304"/>
        <v>=27</v>
      </c>
      <c r="AE215" s="1" t="str">
        <f t="shared" si="304"/>
        <v>=23</v>
      </c>
      <c r="AF215" s="1" t="str">
        <f t="shared" si="304"/>
        <v>=10</v>
      </c>
      <c r="AG215" s="1" t="str">
        <f t="shared" si="304"/>
        <v>41</v>
      </c>
      <c r="AH215" s="1" t="str">
        <f t="shared" ref="AH215:AY215" si="305">IF(AH156&gt;1,"=","")&amp;AH97</f>
        <v>38</v>
      </c>
      <c r="AI215" s="1" t="str">
        <f t="shared" si="305"/>
        <v>33</v>
      </c>
      <c r="AJ215" s="1" t="str">
        <f t="shared" si="305"/>
        <v>32</v>
      </c>
      <c r="AK215" s="1" t="str">
        <f t="shared" si="305"/>
        <v>47</v>
      </c>
      <c r="AL215" s="1" t="str">
        <f t="shared" si="305"/>
        <v>42</v>
      </c>
      <c r="AM215" s="1" t="str">
        <f t="shared" si="305"/>
        <v>=27</v>
      </c>
      <c r="AN215" s="1" t="str">
        <f t="shared" si="305"/>
        <v>=16</v>
      </c>
      <c r="AO215" s="1" t="str">
        <f t="shared" si="305"/>
        <v>=21</v>
      </c>
      <c r="AP215" s="1" t="str">
        <f t="shared" si="305"/>
        <v>=10</v>
      </c>
      <c r="AQ215" s="1" t="str">
        <f t="shared" si="305"/>
        <v>5</v>
      </c>
      <c r="AR215" s="1" t="str">
        <f t="shared" si="305"/>
        <v>=8</v>
      </c>
      <c r="AS215" s="1" t="str">
        <f t="shared" si="305"/>
        <v>=14</v>
      </c>
      <c r="AT215" s="1" t="str">
        <f t="shared" si="305"/>
        <v>46</v>
      </c>
      <c r="AU215" s="1" t="str">
        <f t="shared" si="305"/>
        <v>=16</v>
      </c>
      <c r="AV215" s="1" t="str">
        <f t="shared" si="305"/>
        <v>29</v>
      </c>
      <c r="AW215" s="1" t="str">
        <f t="shared" si="305"/>
        <v>=3</v>
      </c>
      <c r="AX215" s="1" t="str">
        <f t="shared" si="305"/>
        <v>=23</v>
      </c>
      <c r="AY215" s="1" t="str">
        <f t="shared" si="305"/>
        <v>=14</v>
      </c>
    </row>
    <row r="216" spans="1:51">
      <c r="A216" s="1" t="str">
        <f t="shared" si="295"/>
        <v>3.2.4) Percent living in urban slums</v>
      </c>
      <c r="B216" s="1" t="str">
        <f t="shared" ref="B216:AG216" si="306">IF(B157&gt;1,"=","")&amp;B98</f>
        <v>=20</v>
      </c>
      <c r="C216" s="1" t="str">
        <f t="shared" si="306"/>
        <v>=12</v>
      </c>
      <c r="D216" s="1" t="str">
        <f t="shared" si="306"/>
        <v>36</v>
      </c>
      <c r="E216" s="1" t="str">
        <f t="shared" si="306"/>
        <v>=37</v>
      </c>
      <c r="F216" s="1" t="str">
        <f t="shared" si="306"/>
        <v>=41</v>
      </c>
      <c r="G216" s="1" t="str">
        <f t="shared" si="306"/>
        <v>29</v>
      </c>
      <c r="H216" s="1" t="str">
        <f t="shared" si="306"/>
        <v>28</v>
      </c>
      <c r="I216" s="1" t="str">
        <f t="shared" si="306"/>
        <v>=23</v>
      </c>
      <c r="J216" s="1" t="str">
        <f t="shared" si="306"/>
        <v>=46</v>
      </c>
      <c r="K216" s="1" t="str">
        <f t="shared" si="306"/>
        <v>=20</v>
      </c>
      <c r="L216" s="1" t="str">
        <f t="shared" si="306"/>
        <v>22</v>
      </c>
      <c r="M216" s="1" t="str">
        <f t="shared" si="306"/>
        <v>=41</v>
      </c>
      <c r="N216" s="1" t="str">
        <f t="shared" si="306"/>
        <v>48</v>
      </c>
      <c r="O216" s="1" t="str">
        <f t="shared" si="306"/>
        <v>=17</v>
      </c>
      <c r="P216" s="1" t="str">
        <f t="shared" si="306"/>
        <v>8</v>
      </c>
      <c r="Q216" s="1" t="str">
        <f t="shared" si="306"/>
        <v>=30</v>
      </c>
      <c r="R216" s="1" t="str">
        <f t="shared" si="306"/>
        <v>=30</v>
      </c>
      <c r="S216" s="1" t="str">
        <f t="shared" si="306"/>
        <v>3</v>
      </c>
      <c r="T216" s="1" t="str">
        <f t="shared" si="306"/>
        <v>50</v>
      </c>
      <c r="U216" s="1" t="str">
        <f t="shared" si="306"/>
        <v>32</v>
      </c>
      <c r="V216" s="1" t="str">
        <f t="shared" si="306"/>
        <v>=23</v>
      </c>
      <c r="W216" s="1" t="str">
        <f t="shared" si="306"/>
        <v>=37</v>
      </c>
      <c r="X216" s="1" t="str">
        <f t="shared" si="306"/>
        <v>=6</v>
      </c>
      <c r="Y216" s="1" t="str">
        <f t="shared" si="306"/>
        <v>11</v>
      </c>
      <c r="Z216" s="1" t="str">
        <f t="shared" si="306"/>
        <v>=39</v>
      </c>
      <c r="AA216" s="1" t="str">
        <f t="shared" si="306"/>
        <v>9</v>
      </c>
      <c r="AB216" s="1" t="str">
        <f t="shared" si="306"/>
        <v>49</v>
      </c>
      <c r="AC216" s="1" t="str">
        <f t="shared" si="306"/>
        <v>=46</v>
      </c>
      <c r="AD216" s="1" t="str">
        <f t="shared" si="306"/>
        <v>=23</v>
      </c>
      <c r="AE216" s="1" t="str">
        <f t="shared" si="306"/>
        <v>=15</v>
      </c>
      <c r="AF216" s="1" t="str">
        <f t="shared" si="306"/>
        <v>19</v>
      </c>
      <c r="AG216" s="1" t="str">
        <f t="shared" si="306"/>
        <v>=34</v>
      </c>
      <c r="AH216" s="1" t="str">
        <f t="shared" ref="AH216:AY216" si="307">IF(AH157&gt;1,"=","")&amp;AH98</f>
        <v>=17</v>
      </c>
      <c r="AI216" s="1" t="str">
        <f t="shared" si="307"/>
        <v>=39</v>
      </c>
      <c r="AJ216" s="1" t="str">
        <f t="shared" si="307"/>
        <v>=23</v>
      </c>
      <c r="AK216" s="1" t="str">
        <f t="shared" si="307"/>
        <v>4</v>
      </c>
      <c r="AL216" s="1" t="str">
        <f t="shared" si="307"/>
        <v>=34</v>
      </c>
      <c r="AM216" s="1" t="str">
        <f t="shared" si="307"/>
        <v>=12</v>
      </c>
      <c r="AN216" s="1" t="str">
        <f t="shared" si="307"/>
        <v>=41</v>
      </c>
      <c r="AO216" s="1" t="str">
        <f t="shared" si="307"/>
        <v>=41</v>
      </c>
      <c r="AP216" s="1" t="str">
        <f t="shared" si="307"/>
        <v>33</v>
      </c>
      <c r="AQ216" s="1" t="str">
        <f t="shared" si="307"/>
        <v>5</v>
      </c>
      <c r="AR216" s="1" t="str">
        <f t="shared" si="307"/>
        <v>=6</v>
      </c>
      <c r="AS216" s="1" t="str">
        <f t="shared" si="307"/>
        <v>1</v>
      </c>
      <c r="AT216" s="1" t="str">
        <f t="shared" si="307"/>
        <v>=12</v>
      </c>
      <c r="AU216" s="1" t="str">
        <f t="shared" si="307"/>
        <v>=41</v>
      </c>
      <c r="AV216" s="1" t="str">
        <f t="shared" si="307"/>
        <v>=15</v>
      </c>
      <c r="AW216" s="1" t="str">
        <f t="shared" si="307"/>
        <v>10</v>
      </c>
      <c r="AX216" s="1" t="str">
        <f t="shared" si="307"/>
        <v>=23</v>
      </c>
      <c r="AY216" s="1" t="str">
        <f t="shared" si="307"/>
        <v>2</v>
      </c>
    </row>
    <row r="217" spans="1:51">
      <c r="A217" s="1" t="str">
        <f t="shared" si="295"/>
        <v>4) PERSONAL SAFETY</v>
      </c>
      <c r="B217" s="1" t="str">
        <f t="shared" ref="B217:AG217" si="308">IF(B158&gt;1,"=","")&amp;B99</f>
        <v>32</v>
      </c>
      <c r="C217" s="1" t="str">
        <f t="shared" si="308"/>
        <v>9</v>
      </c>
      <c r="D217" s="1" t="str">
        <f t="shared" si="308"/>
        <v>26</v>
      </c>
      <c r="E217" s="1" t="str">
        <f t="shared" si="308"/>
        <v>11</v>
      </c>
      <c r="F217" s="1" t="str">
        <f t="shared" si="308"/>
        <v>48</v>
      </c>
      <c r="G217" s="1" t="str">
        <f t="shared" si="308"/>
        <v>41</v>
      </c>
      <c r="H217" s="1" t="str">
        <f t="shared" si="308"/>
        <v>36</v>
      </c>
      <c r="I217" s="1" t="str">
        <f t="shared" si="308"/>
        <v>25</v>
      </c>
      <c r="J217" s="1" t="str">
        <f t="shared" si="308"/>
        <v>22</v>
      </c>
      <c r="K217" s="1" t="str">
        <f t="shared" si="308"/>
        <v>14</v>
      </c>
      <c r="L217" s="1" t="str">
        <f t="shared" si="308"/>
        <v>16</v>
      </c>
      <c r="M217" s="1" t="str">
        <f t="shared" si="308"/>
        <v>44</v>
      </c>
      <c r="N217" s="1" t="str">
        <f t="shared" si="308"/>
        <v>34</v>
      </c>
      <c r="O217" s="1" t="str">
        <f t="shared" si="308"/>
        <v>6</v>
      </c>
      <c r="P217" s="1" t="str">
        <f t="shared" si="308"/>
        <v>18</v>
      </c>
      <c r="Q217" s="1" t="str">
        <f t="shared" si="308"/>
        <v>45</v>
      </c>
      <c r="R217" s="1" t="str">
        <f t="shared" si="308"/>
        <v>39</v>
      </c>
      <c r="S217" s="1" t="str">
        <f t="shared" si="308"/>
        <v>43</v>
      </c>
      <c r="T217" s="1" t="str">
        <f t="shared" si="308"/>
        <v>15</v>
      </c>
      <c r="U217" s="1" t="str">
        <f t="shared" si="308"/>
        <v>12</v>
      </c>
      <c r="V217" s="1" t="str">
        <f t="shared" si="308"/>
        <v>23</v>
      </c>
      <c r="W217" s="1" t="str">
        <f t="shared" si="308"/>
        <v>33</v>
      </c>
      <c r="X217" s="1" t="str">
        <f t="shared" si="308"/>
        <v>8</v>
      </c>
      <c r="Y217" s="1" t="str">
        <f t="shared" si="308"/>
        <v>37</v>
      </c>
      <c r="Z217" s="1" t="str">
        <f t="shared" si="308"/>
        <v>27</v>
      </c>
      <c r="AA217" s="1" t="str">
        <f t="shared" si="308"/>
        <v>29</v>
      </c>
      <c r="AB217" s="1" t="str">
        <f t="shared" si="308"/>
        <v>49</v>
      </c>
      <c r="AC217" s="1" t="str">
        <f t="shared" si="308"/>
        <v>20</v>
      </c>
      <c r="AD217" s="1" t="str">
        <f t="shared" si="308"/>
        <v>28</v>
      </c>
      <c r="AE217" s="1" t="str">
        <f t="shared" si="308"/>
        <v>2</v>
      </c>
      <c r="AF217" s="1" t="str">
        <f t="shared" si="308"/>
        <v>24</v>
      </c>
      <c r="AG217" s="1" t="str">
        <f t="shared" si="308"/>
        <v>31</v>
      </c>
      <c r="AH217" s="1" t="str">
        <f t="shared" ref="AH217:AY217" si="309">IF(AH158&gt;1,"=","")&amp;AH99</f>
        <v>42</v>
      </c>
      <c r="AI217" s="1" t="str">
        <f t="shared" si="309"/>
        <v>40</v>
      </c>
      <c r="AJ217" s="1" t="str">
        <f t="shared" si="309"/>
        <v>21</v>
      </c>
      <c r="AK217" s="1" t="str">
        <f t="shared" si="309"/>
        <v>50</v>
      </c>
      <c r="AL217" s="1" t="str">
        <f t="shared" si="309"/>
        <v>46</v>
      </c>
      <c r="AM217" s="1" t="str">
        <f t="shared" si="309"/>
        <v>19</v>
      </c>
      <c r="AN217" s="1" t="str">
        <f t="shared" si="309"/>
        <v>30</v>
      </c>
      <c r="AO217" s="1" t="str">
        <f t="shared" si="309"/>
        <v>38</v>
      </c>
      <c r="AP217" s="1" t="str">
        <f t="shared" si="309"/>
        <v>1</v>
      </c>
      <c r="AQ217" s="1" t="str">
        <f t="shared" si="309"/>
        <v>4</v>
      </c>
      <c r="AR217" s="1" t="str">
        <f t="shared" si="309"/>
        <v>10</v>
      </c>
      <c r="AS217" s="1" t="str">
        <f t="shared" si="309"/>
        <v>5</v>
      </c>
      <c r="AT217" s="1" t="str">
        <f t="shared" si="309"/>
        <v>47</v>
      </c>
      <c r="AU217" s="1" t="str">
        <f t="shared" si="309"/>
        <v>35</v>
      </c>
      <c r="AV217" s="1" t="str">
        <f t="shared" si="309"/>
        <v>3</v>
      </c>
      <c r="AW217" s="1" t="str">
        <f t="shared" si="309"/>
        <v>7</v>
      </c>
      <c r="AX217" s="1" t="str">
        <f t="shared" si="309"/>
        <v>17</v>
      </c>
      <c r="AY217" s="1" t="str">
        <f t="shared" si="309"/>
        <v>13</v>
      </c>
    </row>
    <row r="218" spans="1:51">
      <c r="A218" s="1" t="str">
        <f t="shared" si="295"/>
        <v>4.1) Personal Safety (Inputs)</v>
      </c>
      <c r="B218" s="1" t="str">
        <f t="shared" ref="B218:AG218" si="310">IF(B159&gt;1,"=","")&amp;B100</f>
        <v>44</v>
      </c>
      <c r="C218" s="1" t="str">
        <f t="shared" si="310"/>
        <v>11</v>
      </c>
      <c r="D218" s="1" t="str">
        <f t="shared" si="310"/>
        <v>24</v>
      </c>
      <c r="E218" s="1" t="str">
        <f t="shared" si="310"/>
        <v>12</v>
      </c>
      <c r="F218" s="1" t="str">
        <f t="shared" si="310"/>
        <v>45</v>
      </c>
      <c r="G218" s="1" t="str">
        <f t="shared" si="310"/>
        <v>46</v>
      </c>
      <c r="H218" s="1" t="str">
        <f t="shared" si="310"/>
        <v>34</v>
      </c>
      <c r="I218" s="1" t="str">
        <f t="shared" si="310"/>
        <v>15</v>
      </c>
      <c r="J218" s="1" t="str">
        <f t="shared" si="310"/>
        <v>=22</v>
      </c>
      <c r="K218" s="1" t="str">
        <f t="shared" si="310"/>
        <v>18</v>
      </c>
      <c r="L218" s="1" t="str">
        <f t="shared" si="310"/>
        <v>21</v>
      </c>
      <c r="M218" s="1" t="str">
        <f t="shared" si="310"/>
        <v>=38</v>
      </c>
      <c r="N218" s="1" t="str">
        <f t="shared" si="310"/>
        <v>37</v>
      </c>
      <c r="O218" s="1" t="str">
        <f t="shared" si="310"/>
        <v>10</v>
      </c>
      <c r="P218" s="1" t="str">
        <f t="shared" si="310"/>
        <v>20</v>
      </c>
      <c r="Q218" s="1" t="str">
        <f t="shared" si="310"/>
        <v>41</v>
      </c>
      <c r="R218" s="1" t="str">
        <f t="shared" si="310"/>
        <v>33</v>
      </c>
      <c r="S218" s="1" t="str">
        <f t="shared" si="310"/>
        <v>50</v>
      </c>
      <c r="T218" s="1" t="str">
        <f t="shared" si="310"/>
        <v>19</v>
      </c>
      <c r="U218" s="1" t="str">
        <f t="shared" si="310"/>
        <v>=8</v>
      </c>
      <c r="V218" s="1" t="str">
        <f t="shared" si="310"/>
        <v>=13</v>
      </c>
      <c r="W218" s="1" t="str">
        <f t="shared" si="310"/>
        <v>31</v>
      </c>
      <c r="X218" s="1" t="str">
        <f t="shared" si="310"/>
        <v>=3</v>
      </c>
      <c r="Y218" s="1" t="str">
        <f t="shared" si="310"/>
        <v>28</v>
      </c>
      <c r="Z218" s="1" t="str">
        <f t="shared" si="310"/>
        <v>26</v>
      </c>
      <c r="AA218" s="1" t="str">
        <f t="shared" si="310"/>
        <v>35</v>
      </c>
      <c r="AB218" s="1" t="str">
        <f t="shared" si="310"/>
        <v>49</v>
      </c>
      <c r="AC218" s="1" t="str">
        <f t="shared" si="310"/>
        <v>=22</v>
      </c>
      <c r="AD218" s="1" t="str">
        <f t="shared" si="310"/>
        <v>16</v>
      </c>
      <c r="AE218" s="1" t="str">
        <f t="shared" si="310"/>
        <v>=1</v>
      </c>
      <c r="AF218" s="1" t="str">
        <f t="shared" si="310"/>
        <v>27</v>
      </c>
      <c r="AG218" s="1" t="str">
        <f t="shared" si="310"/>
        <v>25</v>
      </c>
      <c r="AH218" s="1" t="str">
        <f t="shared" ref="AH218:AY218" si="311">IF(AH159&gt;1,"=","")&amp;AH100</f>
        <v>48</v>
      </c>
      <c r="AI218" s="1" t="str">
        <f t="shared" si="311"/>
        <v>36</v>
      </c>
      <c r="AJ218" s="1" t="str">
        <f t="shared" si="311"/>
        <v>=13</v>
      </c>
      <c r="AK218" s="1" t="str">
        <f t="shared" si="311"/>
        <v>43</v>
      </c>
      <c r="AL218" s="1" t="str">
        <f t="shared" si="311"/>
        <v>42</v>
      </c>
      <c r="AM218" s="1" t="str">
        <f t="shared" si="311"/>
        <v>32</v>
      </c>
      <c r="AN218" s="1" t="str">
        <f t="shared" si="311"/>
        <v>30</v>
      </c>
      <c r="AO218" s="1" t="str">
        <f t="shared" si="311"/>
        <v>=38</v>
      </c>
      <c r="AP218" s="1" t="str">
        <f t="shared" si="311"/>
        <v>6</v>
      </c>
      <c r="AQ218" s="1" t="str">
        <f t="shared" si="311"/>
        <v>17</v>
      </c>
      <c r="AR218" s="1" t="str">
        <f t="shared" si="311"/>
        <v>=3</v>
      </c>
      <c r="AS218" s="1" t="str">
        <f t="shared" si="311"/>
        <v>7</v>
      </c>
      <c r="AT218" s="1" t="str">
        <f t="shared" si="311"/>
        <v>47</v>
      </c>
      <c r="AU218" s="1" t="str">
        <f t="shared" si="311"/>
        <v>=38</v>
      </c>
      <c r="AV218" s="1" t="str">
        <f t="shared" si="311"/>
        <v>=1</v>
      </c>
      <c r="AW218" s="1" t="str">
        <f t="shared" si="311"/>
        <v>=8</v>
      </c>
      <c r="AX218" s="1" t="str">
        <f t="shared" si="311"/>
        <v>=3</v>
      </c>
      <c r="AY218" s="1" t="str">
        <f t="shared" si="311"/>
        <v>29</v>
      </c>
    </row>
    <row r="219" spans="1:51">
      <c r="A219" s="1" t="str">
        <f t="shared" si="295"/>
        <v>4.1.1) Level of police engagement</v>
      </c>
      <c r="B219" s="1" t="str">
        <f t="shared" ref="B219:AG219" si="312">IF(B160&gt;1,"=","")&amp;B101</f>
        <v>=35</v>
      </c>
      <c r="C219" s="1" t="str">
        <f t="shared" si="312"/>
        <v>=1</v>
      </c>
      <c r="D219" s="1" t="str">
        <f t="shared" si="312"/>
        <v>=35</v>
      </c>
      <c r="E219" s="1" t="str">
        <f t="shared" si="312"/>
        <v>=1</v>
      </c>
      <c r="F219" s="1" t="str">
        <f t="shared" si="312"/>
        <v>=1</v>
      </c>
      <c r="G219" s="1" t="str">
        <f t="shared" si="312"/>
        <v>=1</v>
      </c>
      <c r="H219" s="1" t="str">
        <f t="shared" si="312"/>
        <v>=35</v>
      </c>
      <c r="I219" s="1" t="str">
        <f t="shared" si="312"/>
        <v>=1</v>
      </c>
      <c r="J219" s="1" t="str">
        <f t="shared" si="312"/>
        <v>=1</v>
      </c>
      <c r="K219" s="1" t="str">
        <f t="shared" si="312"/>
        <v>=35</v>
      </c>
      <c r="L219" s="1" t="str">
        <f t="shared" si="312"/>
        <v>=1</v>
      </c>
      <c r="M219" s="1" t="str">
        <f t="shared" si="312"/>
        <v>=35</v>
      </c>
      <c r="N219" s="1" t="str">
        <f t="shared" si="312"/>
        <v>=35</v>
      </c>
      <c r="O219" s="1" t="str">
        <f t="shared" si="312"/>
        <v>=1</v>
      </c>
      <c r="P219" s="1" t="str">
        <f t="shared" si="312"/>
        <v>=1</v>
      </c>
      <c r="Q219" s="1" t="str">
        <f t="shared" si="312"/>
        <v>=35</v>
      </c>
      <c r="R219" s="1" t="str">
        <f t="shared" si="312"/>
        <v>=1</v>
      </c>
      <c r="S219" s="1" t="str">
        <f t="shared" si="312"/>
        <v>=1</v>
      </c>
      <c r="T219" s="1" t="str">
        <f t="shared" si="312"/>
        <v>=1</v>
      </c>
      <c r="U219" s="1" t="str">
        <f t="shared" si="312"/>
        <v>=1</v>
      </c>
      <c r="V219" s="1" t="str">
        <f t="shared" si="312"/>
        <v>=1</v>
      </c>
      <c r="W219" s="1" t="str">
        <f t="shared" si="312"/>
        <v>=35</v>
      </c>
      <c r="X219" s="1" t="str">
        <f t="shared" si="312"/>
        <v>=1</v>
      </c>
      <c r="Y219" s="1" t="str">
        <f t="shared" si="312"/>
        <v>=1</v>
      </c>
      <c r="Z219" s="1" t="str">
        <f t="shared" si="312"/>
        <v>=1</v>
      </c>
      <c r="AA219" s="1" t="str">
        <f t="shared" si="312"/>
        <v>=1</v>
      </c>
      <c r="AB219" s="1" t="str">
        <f t="shared" si="312"/>
        <v>=35</v>
      </c>
      <c r="AC219" s="1" t="str">
        <f t="shared" si="312"/>
        <v>=1</v>
      </c>
      <c r="AD219" s="1" t="str">
        <f t="shared" si="312"/>
        <v>=1</v>
      </c>
      <c r="AE219" s="1" t="str">
        <f t="shared" si="312"/>
        <v>=1</v>
      </c>
      <c r="AF219" s="1" t="str">
        <f t="shared" si="312"/>
        <v>=1</v>
      </c>
      <c r="AG219" s="1" t="str">
        <f t="shared" si="312"/>
        <v>=1</v>
      </c>
      <c r="AH219" s="1" t="str">
        <f t="shared" ref="AH219:AY219" si="313">IF(AH160&gt;1,"=","")&amp;AH101</f>
        <v>=1</v>
      </c>
      <c r="AI219" s="1" t="str">
        <f t="shared" si="313"/>
        <v>=1</v>
      </c>
      <c r="AJ219" s="1" t="str">
        <f t="shared" si="313"/>
        <v>=1</v>
      </c>
      <c r="AK219" s="1" t="str">
        <f t="shared" si="313"/>
        <v>=35</v>
      </c>
      <c r="AL219" s="1" t="str">
        <f t="shared" si="313"/>
        <v>=35</v>
      </c>
      <c r="AM219" s="1" t="str">
        <f t="shared" si="313"/>
        <v>=35</v>
      </c>
      <c r="AN219" s="1" t="str">
        <f t="shared" si="313"/>
        <v>=35</v>
      </c>
      <c r="AO219" s="1" t="str">
        <f t="shared" si="313"/>
        <v>=35</v>
      </c>
      <c r="AP219" s="1" t="str">
        <f t="shared" si="313"/>
        <v>=1</v>
      </c>
      <c r="AQ219" s="1" t="str">
        <f t="shared" si="313"/>
        <v>=1</v>
      </c>
      <c r="AR219" s="1" t="str">
        <f t="shared" si="313"/>
        <v>=1</v>
      </c>
      <c r="AS219" s="1" t="str">
        <f t="shared" si="313"/>
        <v>=1</v>
      </c>
      <c r="AT219" s="1" t="str">
        <f t="shared" si="313"/>
        <v>=35</v>
      </c>
      <c r="AU219" s="1" t="str">
        <f t="shared" si="313"/>
        <v>=35</v>
      </c>
      <c r="AV219" s="1" t="str">
        <f t="shared" si="313"/>
        <v>=1</v>
      </c>
      <c r="AW219" s="1" t="str">
        <f t="shared" si="313"/>
        <v>=1</v>
      </c>
      <c r="AX219" s="1" t="str">
        <f t="shared" si="313"/>
        <v>=1</v>
      </c>
      <c r="AY219" s="1" t="str">
        <f t="shared" si="313"/>
        <v>=1</v>
      </c>
    </row>
    <row r="220" spans="1:51">
      <c r="A220" s="1" t="str">
        <f t="shared" si="295"/>
        <v>4.1.2) Community-based patrolling</v>
      </c>
      <c r="B220" s="1" t="str">
        <f t="shared" ref="B220:AG220" si="314">IF(B161&gt;1,"=","")&amp;B102</f>
        <v>=1</v>
      </c>
      <c r="C220" s="1" t="str">
        <f t="shared" si="314"/>
        <v>=1</v>
      </c>
      <c r="D220" s="1" t="str">
        <f t="shared" si="314"/>
        <v>=1</v>
      </c>
      <c r="E220" s="1" t="str">
        <f t="shared" si="314"/>
        <v>=1</v>
      </c>
      <c r="F220" s="1" t="str">
        <f t="shared" si="314"/>
        <v>=1</v>
      </c>
      <c r="G220" s="1" t="str">
        <f t="shared" si="314"/>
        <v>=1</v>
      </c>
      <c r="H220" s="1" t="str">
        <f t="shared" si="314"/>
        <v>=1</v>
      </c>
      <c r="I220" s="1" t="str">
        <f t="shared" si="314"/>
        <v>=1</v>
      </c>
      <c r="J220" s="1" t="str">
        <f t="shared" si="314"/>
        <v>=1</v>
      </c>
      <c r="K220" s="1" t="str">
        <f t="shared" si="314"/>
        <v>=1</v>
      </c>
      <c r="L220" s="1" t="str">
        <f t="shared" si="314"/>
        <v>=1</v>
      </c>
      <c r="M220" s="1" t="str">
        <f t="shared" si="314"/>
        <v>=1</v>
      </c>
      <c r="N220" s="1" t="str">
        <f t="shared" si="314"/>
        <v>=1</v>
      </c>
      <c r="O220" s="1" t="str">
        <f t="shared" si="314"/>
        <v>=1</v>
      </c>
      <c r="P220" s="1" t="str">
        <f t="shared" si="314"/>
        <v>=1</v>
      </c>
      <c r="Q220" s="1" t="str">
        <f t="shared" si="314"/>
        <v>=1</v>
      </c>
      <c r="R220" s="1" t="str">
        <f t="shared" si="314"/>
        <v>=1</v>
      </c>
      <c r="S220" s="1" t="str">
        <f t="shared" si="314"/>
        <v>=48</v>
      </c>
      <c r="T220" s="1" t="str">
        <f t="shared" si="314"/>
        <v>=1</v>
      </c>
      <c r="U220" s="1" t="str">
        <f t="shared" si="314"/>
        <v>=1</v>
      </c>
      <c r="V220" s="1" t="str">
        <f t="shared" si="314"/>
        <v>=1</v>
      </c>
      <c r="W220" s="1" t="str">
        <f t="shared" si="314"/>
        <v>=1</v>
      </c>
      <c r="X220" s="1" t="str">
        <f t="shared" si="314"/>
        <v>=1</v>
      </c>
      <c r="Y220" s="1" t="str">
        <f t="shared" si="314"/>
        <v>=1</v>
      </c>
      <c r="Z220" s="1" t="str">
        <f t="shared" si="314"/>
        <v>=1</v>
      </c>
      <c r="AA220" s="1" t="str">
        <f t="shared" si="314"/>
        <v>=1</v>
      </c>
      <c r="AB220" s="1" t="str">
        <f t="shared" si="314"/>
        <v>=1</v>
      </c>
      <c r="AC220" s="1" t="str">
        <f t="shared" si="314"/>
        <v>=1</v>
      </c>
      <c r="AD220" s="1" t="str">
        <f t="shared" si="314"/>
        <v>=1</v>
      </c>
      <c r="AE220" s="1" t="str">
        <f t="shared" si="314"/>
        <v>=1</v>
      </c>
      <c r="AF220" s="1" t="str">
        <f t="shared" si="314"/>
        <v>=1</v>
      </c>
      <c r="AG220" s="1" t="str">
        <f t="shared" si="314"/>
        <v>=1</v>
      </c>
      <c r="AH220" s="1" t="str">
        <f t="shared" ref="AH220:AY220" si="315">IF(AH161&gt;1,"=","")&amp;AH102</f>
        <v>=48</v>
      </c>
      <c r="AI220" s="1" t="str">
        <f t="shared" si="315"/>
        <v>=1</v>
      </c>
      <c r="AJ220" s="1" t="str">
        <f t="shared" si="315"/>
        <v>=1</v>
      </c>
      <c r="AK220" s="1" t="str">
        <f t="shared" si="315"/>
        <v>=1</v>
      </c>
      <c r="AL220" s="1" t="str">
        <f t="shared" si="315"/>
        <v>=1</v>
      </c>
      <c r="AM220" s="1" t="str">
        <f t="shared" si="315"/>
        <v>=1</v>
      </c>
      <c r="AN220" s="1" t="str">
        <f t="shared" si="315"/>
        <v>=1</v>
      </c>
      <c r="AO220" s="1" t="str">
        <f t="shared" si="315"/>
        <v>=1</v>
      </c>
      <c r="AP220" s="1" t="str">
        <f t="shared" si="315"/>
        <v>=1</v>
      </c>
      <c r="AQ220" s="1" t="str">
        <f t="shared" si="315"/>
        <v>=1</v>
      </c>
      <c r="AR220" s="1" t="str">
        <f t="shared" si="315"/>
        <v>=1</v>
      </c>
      <c r="AS220" s="1" t="str">
        <f t="shared" si="315"/>
        <v>=1</v>
      </c>
      <c r="AT220" s="1" t="str">
        <f t="shared" si="315"/>
        <v>=48</v>
      </c>
      <c r="AU220" s="1" t="str">
        <f t="shared" si="315"/>
        <v>=1</v>
      </c>
      <c r="AV220" s="1" t="str">
        <f t="shared" si="315"/>
        <v>=1</v>
      </c>
      <c r="AW220" s="1" t="str">
        <f t="shared" si="315"/>
        <v>=1</v>
      </c>
      <c r="AX220" s="1" t="str">
        <f t="shared" si="315"/>
        <v>=1</v>
      </c>
      <c r="AY220" s="1" t="str">
        <f t="shared" si="315"/>
        <v>=1</v>
      </c>
    </row>
    <row r="221" spans="1:51">
      <c r="A221" s="1" t="str">
        <f t="shared" si="295"/>
        <v>4.1.3) Availability of street-level crime data</v>
      </c>
      <c r="B221" s="1" t="str">
        <f t="shared" ref="B221:AG221" si="316">IF(B162&gt;1,"=","")&amp;B103</f>
        <v>=1</v>
      </c>
      <c r="C221" s="1" t="str">
        <f t="shared" si="316"/>
        <v>=1</v>
      </c>
      <c r="D221" s="1" t="str">
        <f t="shared" si="316"/>
        <v>=1</v>
      </c>
      <c r="E221" s="1" t="str">
        <f t="shared" si="316"/>
        <v>=1</v>
      </c>
      <c r="F221" s="1" t="str">
        <f t="shared" si="316"/>
        <v>=34</v>
      </c>
      <c r="G221" s="1" t="str">
        <f t="shared" si="316"/>
        <v>=34</v>
      </c>
      <c r="H221" s="1" t="str">
        <f t="shared" si="316"/>
        <v>=34</v>
      </c>
      <c r="I221" s="1" t="str">
        <f t="shared" si="316"/>
        <v>=1</v>
      </c>
      <c r="J221" s="1" t="str">
        <f t="shared" si="316"/>
        <v>=34</v>
      </c>
      <c r="K221" s="1" t="str">
        <f t="shared" si="316"/>
        <v>=1</v>
      </c>
      <c r="L221" s="1" t="str">
        <f t="shared" si="316"/>
        <v>=1</v>
      </c>
      <c r="M221" s="1" t="str">
        <f t="shared" si="316"/>
        <v>=34</v>
      </c>
      <c r="N221" s="1" t="str">
        <f t="shared" si="316"/>
        <v>=34</v>
      </c>
      <c r="O221" s="1" t="str">
        <f t="shared" si="316"/>
        <v>=1</v>
      </c>
      <c r="P221" s="1" t="str">
        <f t="shared" si="316"/>
        <v>=1</v>
      </c>
      <c r="Q221" s="1" t="str">
        <f t="shared" si="316"/>
        <v>=1</v>
      </c>
      <c r="R221" s="1" t="str">
        <f t="shared" si="316"/>
        <v>=1</v>
      </c>
      <c r="S221" s="1" t="str">
        <f t="shared" si="316"/>
        <v>=34</v>
      </c>
      <c r="T221" s="1" t="str">
        <f t="shared" si="316"/>
        <v>=1</v>
      </c>
      <c r="U221" s="1" t="str">
        <f t="shared" si="316"/>
        <v>=1</v>
      </c>
      <c r="V221" s="1" t="str">
        <f t="shared" si="316"/>
        <v>=1</v>
      </c>
      <c r="W221" s="1" t="str">
        <f t="shared" si="316"/>
        <v>=1</v>
      </c>
      <c r="X221" s="1" t="str">
        <f t="shared" si="316"/>
        <v>=1</v>
      </c>
      <c r="Y221" s="1" t="str">
        <f t="shared" si="316"/>
        <v>=34</v>
      </c>
      <c r="Z221" s="1" t="str">
        <f t="shared" si="316"/>
        <v>=1</v>
      </c>
      <c r="AA221" s="1" t="str">
        <f t="shared" si="316"/>
        <v>=1</v>
      </c>
      <c r="AB221" s="1" t="str">
        <f t="shared" si="316"/>
        <v>=34</v>
      </c>
      <c r="AC221" s="1" t="str">
        <f t="shared" si="316"/>
        <v>=1</v>
      </c>
      <c r="AD221" s="1" t="str">
        <f t="shared" si="316"/>
        <v>=1</v>
      </c>
      <c r="AE221" s="1" t="str">
        <f t="shared" si="316"/>
        <v>=1</v>
      </c>
      <c r="AF221" s="1" t="str">
        <f t="shared" si="316"/>
        <v>=1</v>
      </c>
      <c r="AG221" s="1" t="str">
        <f t="shared" si="316"/>
        <v>=1</v>
      </c>
      <c r="AH221" s="1" t="str">
        <f t="shared" ref="AH221:AY221" si="317">IF(AH162&gt;1,"=","")&amp;AH103</f>
        <v>=34</v>
      </c>
      <c r="AI221" s="1" t="str">
        <f t="shared" si="317"/>
        <v>=1</v>
      </c>
      <c r="AJ221" s="1" t="str">
        <f t="shared" si="317"/>
        <v>=1</v>
      </c>
      <c r="AK221" s="1" t="str">
        <f t="shared" si="317"/>
        <v>=34</v>
      </c>
      <c r="AL221" s="1" t="str">
        <f t="shared" si="317"/>
        <v>=34</v>
      </c>
      <c r="AM221" s="1" t="str">
        <f t="shared" si="317"/>
        <v>=34</v>
      </c>
      <c r="AN221" s="1" t="str">
        <f t="shared" si="317"/>
        <v>=34</v>
      </c>
      <c r="AO221" s="1" t="str">
        <f t="shared" si="317"/>
        <v>=34</v>
      </c>
      <c r="AP221" s="1" t="str">
        <f t="shared" si="317"/>
        <v>=1</v>
      </c>
      <c r="AQ221" s="1" t="str">
        <f t="shared" si="317"/>
        <v>=1</v>
      </c>
      <c r="AR221" s="1" t="str">
        <f t="shared" si="317"/>
        <v>=1</v>
      </c>
      <c r="AS221" s="1" t="str">
        <f t="shared" si="317"/>
        <v>=1</v>
      </c>
      <c r="AT221" s="1" t="str">
        <f t="shared" si="317"/>
        <v>=34</v>
      </c>
      <c r="AU221" s="1" t="str">
        <f t="shared" si="317"/>
        <v>=34</v>
      </c>
      <c r="AV221" s="1" t="str">
        <f t="shared" si="317"/>
        <v>=1</v>
      </c>
      <c r="AW221" s="1" t="str">
        <f t="shared" si="317"/>
        <v>=1</v>
      </c>
      <c r="AX221" s="1" t="str">
        <f t="shared" si="317"/>
        <v>=1</v>
      </c>
      <c r="AY221" s="1" t="str">
        <f t="shared" si="317"/>
        <v>=1</v>
      </c>
    </row>
    <row r="222" spans="1:51">
      <c r="A222" s="1" t="str">
        <f t="shared" si="295"/>
        <v>4.1.4) Use of data-driven techniques for crime</v>
      </c>
      <c r="B222" s="1" t="str">
        <f t="shared" ref="B222:AG222" si="318">IF(B163&gt;1,"=","")&amp;B104</f>
        <v>=34</v>
      </c>
      <c r="C222" s="1" t="str">
        <f t="shared" si="318"/>
        <v>=1</v>
      </c>
      <c r="D222" s="1" t="str">
        <f t="shared" si="318"/>
        <v>=1</v>
      </c>
      <c r="E222" s="1" t="str">
        <f t="shared" si="318"/>
        <v>=1</v>
      </c>
      <c r="F222" s="1" t="str">
        <f t="shared" si="318"/>
        <v>=34</v>
      </c>
      <c r="G222" s="1" t="str">
        <f t="shared" si="318"/>
        <v>=34</v>
      </c>
      <c r="H222" s="1" t="str">
        <f t="shared" si="318"/>
        <v>=1</v>
      </c>
      <c r="I222" s="1" t="str">
        <f t="shared" si="318"/>
        <v>=1</v>
      </c>
      <c r="J222" s="1" t="str">
        <f t="shared" si="318"/>
        <v>=1</v>
      </c>
      <c r="K222" s="1" t="str">
        <f t="shared" si="318"/>
        <v>=1</v>
      </c>
      <c r="L222" s="1" t="str">
        <f t="shared" si="318"/>
        <v>=1</v>
      </c>
      <c r="M222" s="1" t="str">
        <f t="shared" si="318"/>
        <v>=34</v>
      </c>
      <c r="N222" s="1" t="str">
        <f t="shared" si="318"/>
        <v>=34</v>
      </c>
      <c r="O222" s="1" t="str">
        <f t="shared" si="318"/>
        <v>=1</v>
      </c>
      <c r="P222" s="1" t="str">
        <f t="shared" si="318"/>
        <v>=1</v>
      </c>
      <c r="Q222" s="1" t="str">
        <f t="shared" si="318"/>
        <v>=34</v>
      </c>
      <c r="R222" s="1" t="str">
        <f t="shared" si="318"/>
        <v>=34</v>
      </c>
      <c r="S222" s="1" t="str">
        <f t="shared" si="318"/>
        <v>=34</v>
      </c>
      <c r="T222" s="1" t="str">
        <f t="shared" si="318"/>
        <v>=1</v>
      </c>
      <c r="U222" s="1" t="str">
        <f t="shared" si="318"/>
        <v>=1</v>
      </c>
      <c r="V222" s="1" t="str">
        <f t="shared" si="318"/>
        <v>=1</v>
      </c>
      <c r="W222" s="1" t="str">
        <f t="shared" si="318"/>
        <v>=34</v>
      </c>
      <c r="X222" s="1" t="str">
        <f t="shared" si="318"/>
        <v>=1</v>
      </c>
      <c r="Y222" s="1" t="str">
        <f t="shared" si="318"/>
        <v>=1</v>
      </c>
      <c r="Z222" s="1" t="str">
        <f t="shared" si="318"/>
        <v>=1</v>
      </c>
      <c r="AA222" s="1" t="str">
        <f t="shared" si="318"/>
        <v>=34</v>
      </c>
      <c r="AB222" s="1" t="str">
        <f t="shared" si="318"/>
        <v>=34</v>
      </c>
      <c r="AC222" s="1" t="str">
        <f t="shared" si="318"/>
        <v>=1</v>
      </c>
      <c r="AD222" s="1" t="str">
        <f t="shared" si="318"/>
        <v>=1</v>
      </c>
      <c r="AE222" s="1" t="str">
        <f t="shared" si="318"/>
        <v>=1</v>
      </c>
      <c r="AF222" s="1" t="str">
        <f t="shared" si="318"/>
        <v>=1</v>
      </c>
      <c r="AG222" s="1" t="str">
        <f t="shared" si="318"/>
        <v>=34</v>
      </c>
      <c r="AH222" s="1" t="str">
        <f t="shared" ref="AH222:AY222" si="319">IF(AH163&gt;1,"=","")&amp;AH104</f>
        <v>=1</v>
      </c>
      <c r="AI222" s="1" t="str">
        <f t="shared" si="319"/>
        <v>=34</v>
      </c>
      <c r="AJ222" s="1" t="str">
        <f t="shared" si="319"/>
        <v>=1</v>
      </c>
      <c r="AK222" s="1" t="str">
        <f t="shared" si="319"/>
        <v>=1</v>
      </c>
      <c r="AL222" s="1" t="str">
        <f t="shared" si="319"/>
        <v>=34</v>
      </c>
      <c r="AM222" s="1" t="str">
        <f t="shared" si="319"/>
        <v>=1</v>
      </c>
      <c r="AN222" s="1" t="str">
        <f t="shared" si="319"/>
        <v>=1</v>
      </c>
      <c r="AO222" s="1" t="str">
        <f t="shared" si="319"/>
        <v>=34</v>
      </c>
      <c r="AP222" s="1" t="str">
        <f t="shared" si="319"/>
        <v>=1</v>
      </c>
      <c r="AQ222" s="1" t="str">
        <f t="shared" si="319"/>
        <v>=1</v>
      </c>
      <c r="AR222" s="1" t="str">
        <f t="shared" si="319"/>
        <v>=1</v>
      </c>
      <c r="AS222" s="1" t="str">
        <f t="shared" si="319"/>
        <v>=1</v>
      </c>
      <c r="AT222" s="1" t="str">
        <f t="shared" si="319"/>
        <v>=1</v>
      </c>
      <c r="AU222" s="1" t="str">
        <f t="shared" si="319"/>
        <v>=34</v>
      </c>
      <c r="AV222" s="1" t="str">
        <f t="shared" si="319"/>
        <v>=1</v>
      </c>
      <c r="AW222" s="1" t="str">
        <f t="shared" si="319"/>
        <v>=1</v>
      </c>
      <c r="AX222" s="1" t="str">
        <f t="shared" si="319"/>
        <v>=1</v>
      </c>
      <c r="AY222" s="1" t="str">
        <f t="shared" si="319"/>
        <v>=34</v>
      </c>
    </row>
    <row r="223" spans="1:51">
      <c r="A223" s="1" t="str">
        <f t="shared" si="295"/>
        <v>4.1.5) Private security measures</v>
      </c>
      <c r="B223" s="1" t="str">
        <f t="shared" ref="B223:AG223" si="320">IF(B164&gt;1,"=","")&amp;B105</f>
        <v>=37</v>
      </c>
      <c r="C223" s="1" t="str">
        <f t="shared" si="320"/>
        <v>=1</v>
      </c>
      <c r="D223" s="1" t="str">
        <f t="shared" si="320"/>
        <v>=1</v>
      </c>
      <c r="E223" s="1" t="str">
        <f t="shared" si="320"/>
        <v>=1</v>
      </c>
      <c r="F223" s="1" t="str">
        <f t="shared" si="320"/>
        <v>=37</v>
      </c>
      <c r="G223" s="1" t="str">
        <f t="shared" si="320"/>
        <v>=37</v>
      </c>
      <c r="H223" s="1" t="str">
        <f t="shared" si="320"/>
        <v>=1</v>
      </c>
      <c r="I223" s="1" t="str">
        <f t="shared" si="320"/>
        <v>=1</v>
      </c>
      <c r="J223" s="1" t="str">
        <f t="shared" si="320"/>
        <v>=1</v>
      </c>
      <c r="K223" s="1" t="str">
        <f t="shared" si="320"/>
        <v>=1</v>
      </c>
      <c r="L223" s="1" t="str">
        <f t="shared" si="320"/>
        <v>=37</v>
      </c>
      <c r="M223" s="1" t="str">
        <f t="shared" si="320"/>
        <v>=1</v>
      </c>
      <c r="N223" s="1" t="str">
        <f t="shared" si="320"/>
        <v>=1</v>
      </c>
      <c r="O223" s="1" t="str">
        <f t="shared" si="320"/>
        <v>=1</v>
      </c>
      <c r="P223" s="1" t="str">
        <f t="shared" si="320"/>
        <v>=1</v>
      </c>
      <c r="Q223" s="1" t="str">
        <f t="shared" si="320"/>
        <v>=37</v>
      </c>
      <c r="R223" s="1" t="str">
        <f t="shared" si="320"/>
        <v>=1</v>
      </c>
      <c r="S223" s="1" t="str">
        <f t="shared" si="320"/>
        <v>=37</v>
      </c>
      <c r="T223" s="1" t="str">
        <f t="shared" si="320"/>
        <v>=1</v>
      </c>
      <c r="U223" s="1" t="str">
        <f t="shared" si="320"/>
        <v>=1</v>
      </c>
      <c r="V223" s="1" t="str">
        <f t="shared" si="320"/>
        <v>=1</v>
      </c>
      <c r="W223" s="1" t="str">
        <f t="shared" si="320"/>
        <v>=1</v>
      </c>
      <c r="X223" s="1" t="str">
        <f t="shared" si="320"/>
        <v>=1</v>
      </c>
      <c r="Y223" s="1" t="str">
        <f t="shared" si="320"/>
        <v>=1</v>
      </c>
      <c r="Z223" s="1" t="str">
        <f t="shared" si="320"/>
        <v>=37</v>
      </c>
      <c r="AA223" s="1" t="str">
        <f t="shared" si="320"/>
        <v>=37</v>
      </c>
      <c r="AB223" s="1" t="str">
        <f t="shared" si="320"/>
        <v>=37</v>
      </c>
      <c r="AC223" s="1" t="str">
        <f t="shared" si="320"/>
        <v>=37</v>
      </c>
      <c r="AD223" s="1" t="str">
        <f t="shared" si="320"/>
        <v>=1</v>
      </c>
      <c r="AE223" s="1" t="str">
        <f t="shared" si="320"/>
        <v>=1</v>
      </c>
      <c r="AF223" s="1" t="str">
        <f t="shared" si="320"/>
        <v>=37</v>
      </c>
      <c r="AG223" s="1" t="str">
        <f t="shared" si="320"/>
        <v>=1</v>
      </c>
      <c r="AH223" s="1" t="str">
        <f t="shared" ref="AH223:AY223" si="321">IF(AH164&gt;1,"=","")&amp;AH105</f>
        <v>=37</v>
      </c>
      <c r="AI223" s="1" t="str">
        <f t="shared" si="321"/>
        <v>=37</v>
      </c>
      <c r="AJ223" s="1" t="str">
        <f t="shared" si="321"/>
        <v>=1</v>
      </c>
      <c r="AK223" s="1" t="str">
        <f t="shared" si="321"/>
        <v>=37</v>
      </c>
      <c r="AL223" s="1" t="str">
        <f t="shared" si="321"/>
        <v>=1</v>
      </c>
      <c r="AM223" s="1" t="str">
        <f t="shared" si="321"/>
        <v>=1</v>
      </c>
      <c r="AN223" s="1" t="str">
        <f t="shared" si="321"/>
        <v>=1</v>
      </c>
      <c r="AO223" s="1" t="str">
        <f t="shared" si="321"/>
        <v>=1</v>
      </c>
      <c r="AP223" s="1" t="str">
        <f t="shared" si="321"/>
        <v>=1</v>
      </c>
      <c r="AQ223" s="1" t="str">
        <f t="shared" si="321"/>
        <v>=1</v>
      </c>
      <c r="AR223" s="1" t="str">
        <f t="shared" si="321"/>
        <v>=1</v>
      </c>
      <c r="AS223" s="1" t="str">
        <f t="shared" si="321"/>
        <v>=1</v>
      </c>
      <c r="AT223" s="1" t="str">
        <f t="shared" si="321"/>
        <v>=1</v>
      </c>
      <c r="AU223" s="1" t="str">
        <f t="shared" si="321"/>
        <v>=1</v>
      </c>
      <c r="AV223" s="1" t="str">
        <f t="shared" si="321"/>
        <v>=1</v>
      </c>
      <c r="AW223" s="1" t="str">
        <f t="shared" si="321"/>
        <v>=1</v>
      </c>
      <c r="AX223" s="1" t="str">
        <f t="shared" si="321"/>
        <v>=1</v>
      </c>
      <c r="AY223" s="1" t="str">
        <f t="shared" si="321"/>
        <v>=1</v>
      </c>
    </row>
    <row r="224" spans="1:51">
      <c r="A224" s="1" t="str">
        <f t="shared" si="295"/>
        <v>4.1.6) Gun regulation and enforcement</v>
      </c>
      <c r="B224" s="1" t="str">
        <f t="shared" ref="B224:AG224" si="322">IF(B165&gt;1,"=","")&amp;B106</f>
        <v>37</v>
      </c>
      <c r="C224" s="1" t="str">
        <f t="shared" si="322"/>
        <v>=19</v>
      </c>
      <c r="D224" s="1" t="str">
        <f t="shared" si="322"/>
        <v>=42</v>
      </c>
      <c r="E224" s="1" t="str">
        <f t="shared" si="322"/>
        <v>=21</v>
      </c>
      <c r="F224" s="1" t="str">
        <f t="shared" si="322"/>
        <v>=1</v>
      </c>
      <c r="G224" s="1" t="str">
        <f t="shared" si="322"/>
        <v>=26</v>
      </c>
      <c r="H224" s="1" t="str">
        <f t="shared" si="322"/>
        <v>=19</v>
      </c>
      <c r="I224" s="1" t="str">
        <f t="shared" si="322"/>
        <v>=42</v>
      </c>
      <c r="J224" s="1" t="str">
        <f t="shared" si="322"/>
        <v>=35</v>
      </c>
      <c r="K224" s="1" t="str">
        <f t="shared" si="322"/>
        <v>=23</v>
      </c>
      <c r="L224" s="1" t="str">
        <f t="shared" si="322"/>
        <v>=28</v>
      </c>
      <c r="M224" s="1" t="str">
        <f t="shared" si="322"/>
        <v>=1</v>
      </c>
      <c r="N224" s="1" t="str">
        <f t="shared" si="322"/>
        <v>=1</v>
      </c>
      <c r="O224" s="1" t="str">
        <f t="shared" si="322"/>
        <v>=9</v>
      </c>
      <c r="P224" s="1" t="str">
        <f t="shared" si="322"/>
        <v>46</v>
      </c>
      <c r="Q224" s="1" t="str">
        <f t="shared" si="322"/>
        <v>18</v>
      </c>
      <c r="R224" s="1" t="str">
        <f t="shared" si="322"/>
        <v>=47</v>
      </c>
      <c r="S224" s="1" t="str">
        <f t="shared" si="322"/>
        <v>7</v>
      </c>
      <c r="T224" s="1" t="str">
        <f t="shared" si="322"/>
        <v>=47</v>
      </c>
      <c r="U224" s="1" t="str">
        <f t="shared" si="322"/>
        <v>=9</v>
      </c>
      <c r="V224" s="1" t="str">
        <f t="shared" si="322"/>
        <v>=38</v>
      </c>
      <c r="W224" s="1" t="str">
        <f t="shared" si="322"/>
        <v>=21</v>
      </c>
      <c r="X224" s="1" t="str">
        <f t="shared" si="322"/>
        <v>=14</v>
      </c>
      <c r="Y224" s="1" t="str">
        <f t="shared" si="322"/>
        <v>=38</v>
      </c>
      <c r="Z224" s="1" t="str">
        <f t="shared" si="322"/>
        <v>=32</v>
      </c>
      <c r="AA224" s="1" t="str">
        <f t="shared" si="322"/>
        <v>=23</v>
      </c>
      <c r="AB224" s="1" t="str">
        <f t="shared" si="322"/>
        <v>=26</v>
      </c>
      <c r="AC224" s="1" t="str">
        <f t="shared" si="322"/>
        <v>=35</v>
      </c>
      <c r="AD224" s="1" t="str">
        <f t="shared" si="322"/>
        <v>44</v>
      </c>
      <c r="AE224" s="1" t="str">
        <f t="shared" si="322"/>
        <v>=9</v>
      </c>
      <c r="AF224" s="1" t="str">
        <f t="shared" si="322"/>
        <v>41</v>
      </c>
      <c r="AG224" s="1" t="str">
        <f t="shared" si="322"/>
        <v>=30</v>
      </c>
      <c r="AH224" s="1" t="str">
        <f t="shared" ref="AH224:AY224" si="323">IF(AH165&gt;1,"=","")&amp;AH106</f>
        <v>50</v>
      </c>
      <c r="AI224" s="1" t="str">
        <f t="shared" si="323"/>
        <v>=32</v>
      </c>
      <c r="AJ224" s="1" t="str">
        <f t="shared" si="323"/>
        <v>=38</v>
      </c>
      <c r="AK224" s="1" t="str">
        <f t="shared" si="323"/>
        <v>45</v>
      </c>
      <c r="AL224" s="1" t="str">
        <f t="shared" si="323"/>
        <v>=30</v>
      </c>
      <c r="AM224" s="1" t="str">
        <f t="shared" si="323"/>
        <v>=14</v>
      </c>
      <c r="AN224" s="1" t="str">
        <f t="shared" si="323"/>
        <v>=1</v>
      </c>
      <c r="AO224" s="1" t="str">
        <f t="shared" si="323"/>
        <v>=1</v>
      </c>
      <c r="AP224" s="1" t="str">
        <f t="shared" si="323"/>
        <v>=9</v>
      </c>
      <c r="AQ224" s="1" t="str">
        <f t="shared" si="323"/>
        <v>=28</v>
      </c>
      <c r="AR224" s="1" t="str">
        <f t="shared" si="323"/>
        <v>=14</v>
      </c>
      <c r="AS224" s="1" t="str">
        <f t="shared" si="323"/>
        <v>8</v>
      </c>
      <c r="AT224" s="1" t="str">
        <f t="shared" si="323"/>
        <v>=32</v>
      </c>
      <c r="AU224" s="1" t="str">
        <f t="shared" si="323"/>
        <v>=1</v>
      </c>
      <c r="AV224" s="1" t="str">
        <f t="shared" si="323"/>
        <v>=9</v>
      </c>
      <c r="AW224" s="1" t="str">
        <f t="shared" si="323"/>
        <v>=23</v>
      </c>
      <c r="AX224" s="1" t="str">
        <f t="shared" si="323"/>
        <v>=14</v>
      </c>
      <c r="AY224" s="1" t="str">
        <f t="shared" si="323"/>
        <v>=47</v>
      </c>
    </row>
    <row r="225" spans="1:51">
      <c r="A225" s="1" t="str">
        <f t="shared" si="295"/>
        <v>4.1.7) Political Stability Risk</v>
      </c>
      <c r="B225" s="1" t="str">
        <f t="shared" ref="B225:AG225" si="324">IF(B166&gt;1,"=","")&amp;B107</f>
        <v>=35</v>
      </c>
      <c r="C225" s="1" t="str">
        <f t="shared" si="324"/>
        <v>=14</v>
      </c>
      <c r="D225" s="1" t="str">
        <f t="shared" si="324"/>
        <v>=47</v>
      </c>
      <c r="E225" s="1" t="str">
        <f t="shared" si="324"/>
        <v>=19</v>
      </c>
      <c r="F225" s="1" t="str">
        <f t="shared" si="324"/>
        <v>=38</v>
      </c>
      <c r="G225" s="1" t="str">
        <f t="shared" si="324"/>
        <v>=19</v>
      </c>
      <c r="H225" s="1" t="str">
        <f t="shared" si="324"/>
        <v>=38</v>
      </c>
      <c r="I225" s="1" t="str">
        <f t="shared" si="324"/>
        <v>=3</v>
      </c>
      <c r="J225" s="1" t="str">
        <f t="shared" si="324"/>
        <v>=14</v>
      </c>
      <c r="K225" s="1" t="str">
        <f t="shared" si="324"/>
        <v>=32</v>
      </c>
      <c r="L225" s="1" t="str">
        <f t="shared" si="324"/>
        <v>13</v>
      </c>
      <c r="M225" s="1" t="str">
        <f t="shared" si="324"/>
        <v>=38</v>
      </c>
      <c r="N225" s="1" t="str">
        <f t="shared" si="324"/>
        <v>37</v>
      </c>
      <c r="O225" s="1" t="str">
        <f t="shared" si="324"/>
        <v>=26</v>
      </c>
      <c r="P225" s="1" t="str">
        <f t="shared" si="324"/>
        <v>=38</v>
      </c>
      <c r="Q225" s="1" t="str">
        <f t="shared" si="324"/>
        <v>=22</v>
      </c>
      <c r="R225" s="1" t="str">
        <f t="shared" si="324"/>
        <v>=26</v>
      </c>
      <c r="S225" s="1" t="str">
        <f t="shared" si="324"/>
        <v>46</v>
      </c>
      <c r="T225" s="1" t="str">
        <f t="shared" si="324"/>
        <v>=35</v>
      </c>
      <c r="U225" s="1" t="str">
        <f t="shared" si="324"/>
        <v>=22</v>
      </c>
      <c r="V225" s="1" t="str">
        <f t="shared" si="324"/>
        <v>=3</v>
      </c>
      <c r="W225" s="1" t="str">
        <f t="shared" si="324"/>
        <v>=19</v>
      </c>
      <c r="X225" s="1" t="str">
        <f t="shared" si="324"/>
        <v>=3</v>
      </c>
      <c r="Y225" s="1" t="str">
        <f t="shared" si="324"/>
        <v>=32</v>
      </c>
      <c r="Z225" s="1" t="str">
        <f t="shared" si="324"/>
        <v>=26</v>
      </c>
      <c r="AA225" s="1" t="str">
        <f t="shared" si="324"/>
        <v>=1</v>
      </c>
      <c r="AB225" s="1" t="str">
        <f t="shared" si="324"/>
        <v>=47</v>
      </c>
      <c r="AC225" s="1" t="str">
        <f t="shared" si="324"/>
        <v>=14</v>
      </c>
      <c r="AD225" s="1" t="str">
        <f t="shared" si="324"/>
        <v>=3</v>
      </c>
      <c r="AE225" s="1" t="str">
        <f t="shared" si="324"/>
        <v>=3</v>
      </c>
      <c r="AF225" s="1" t="str">
        <f t="shared" si="324"/>
        <v>=22</v>
      </c>
      <c r="AG225" s="1" t="str">
        <f t="shared" si="324"/>
        <v>=26</v>
      </c>
      <c r="AH225" s="1" t="str">
        <f t="shared" ref="AH225:AY225" si="325">IF(AH166&gt;1,"=","")&amp;AH107</f>
        <v>=38</v>
      </c>
      <c r="AI225" s="1" t="str">
        <f t="shared" si="325"/>
        <v>=26</v>
      </c>
      <c r="AJ225" s="1" t="str">
        <f t="shared" si="325"/>
        <v>=3</v>
      </c>
      <c r="AK225" s="1" t="str">
        <f t="shared" si="325"/>
        <v>=14</v>
      </c>
      <c r="AL225" s="1" t="str">
        <f t="shared" si="325"/>
        <v>=26</v>
      </c>
      <c r="AM225" s="1" t="str">
        <f t="shared" si="325"/>
        <v>=32</v>
      </c>
      <c r="AN225" s="1" t="str">
        <f t="shared" si="325"/>
        <v>=38</v>
      </c>
      <c r="AO225" s="1" t="str">
        <f t="shared" si="325"/>
        <v>=38</v>
      </c>
      <c r="AP225" s="1" t="str">
        <f t="shared" si="325"/>
        <v>=14</v>
      </c>
      <c r="AQ225" s="1" t="str">
        <f t="shared" si="325"/>
        <v>=47</v>
      </c>
      <c r="AR225" s="1" t="str">
        <f t="shared" si="325"/>
        <v>=3</v>
      </c>
      <c r="AS225" s="1" t="str">
        <f t="shared" si="325"/>
        <v>=22</v>
      </c>
      <c r="AT225" s="1" t="str">
        <f t="shared" si="325"/>
        <v>50</v>
      </c>
      <c r="AU225" s="1" t="str">
        <f t="shared" si="325"/>
        <v>=38</v>
      </c>
      <c r="AV225" s="1" t="str">
        <f t="shared" si="325"/>
        <v>=3</v>
      </c>
      <c r="AW225" s="1" t="str">
        <f t="shared" si="325"/>
        <v>=1</v>
      </c>
      <c r="AX225" s="1" t="str">
        <f t="shared" si="325"/>
        <v>=3</v>
      </c>
      <c r="AY225" s="1" t="str">
        <f t="shared" si="325"/>
        <v>=3</v>
      </c>
    </row>
    <row r="226" spans="1:51">
      <c r="A226" s="1" t="str">
        <f t="shared" si="295"/>
        <v>4.2) Personal Safety (Outputs)</v>
      </c>
      <c r="B226" s="1" t="str">
        <f t="shared" ref="B226:AG226" si="326">IF(B167&gt;1,"=","")&amp;B108</f>
        <v>5</v>
      </c>
      <c r="C226" s="1" t="str">
        <f t="shared" si="326"/>
        <v>16</v>
      </c>
      <c r="D226" s="1" t="str">
        <f t="shared" si="326"/>
        <v>29</v>
      </c>
      <c r="E226" s="1" t="str">
        <f t="shared" si="326"/>
        <v>32</v>
      </c>
      <c r="F226" s="1" t="str">
        <f t="shared" si="326"/>
        <v>38</v>
      </c>
      <c r="G226" s="1" t="str">
        <f t="shared" si="326"/>
        <v>15</v>
      </c>
      <c r="H226" s="1" t="str">
        <f t="shared" si="326"/>
        <v>42</v>
      </c>
      <c r="I226" s="1" t="str">
        <f t="shared" si="326"/>
        <v>48</v>
      </c>
      <c r="J226" s="1" t="str">
        <f t="shared" si="326"/>
        <v>22</v>
      </c>
      <c r="K226" s="1" t="str">
        <f t="shared" si="326"/>
        <v>20</v>
      </c>
      <c r="L226" s="1" t="str">
        <f t="shared" si="326"/>
        <v>=18</v>
      </c>
      <c r="M226" s="1" t="str">
        <f t="shared" si="326"/>
        <v>36</v>
      </c>
      <c r="N226" s="1" t="str">
        <f t="shared" si="326"/>
        <v>14</v>
      </c>
      <c r="O226" s="1" t="str">
        <f t="shared" si="326"/>
        <v>10</v>
      </c>
      <c r="P226" s="1" t="str">
        <f t="shared" si="326"/>
        <v>27</v>
      </c>
      <c r="Q226" s="1" t="str">
        <f t="shared" si="326"/>
        <v>37</v>
      </c>
      <c r="R226" s="1" t="str">
        <f t="shared" si="326"/>
        <v>45</v>
      </c>
      <c r="S226" s="1" t="str">
        <f t="shared" si="326"/>
        <v>4</v>
      </c>
      <c r="T226" s="1" t="str">
        <f t="shared" si="326"/>
        <v>24</v>
      </c>
      <c r="U226" s="1" t="str">
        <f t="shared" si="326"/>
        <v>40</v>
      </c>
      <c r="V226" s="1" t="str">
        <f t="shared" si="326"/>
        <v>47</v>
      </c>
      <c r="W226" s="1" t="str">
        <f t="shared" si="326"/>
        <v>39</v>
      </c>
      <c r="X226" s="1" t="str">
        <f t="shared" si="326"/>
        <v>21</v>
      </c>
      <c r="Y226" s="1" t="str">
        <f t="shared" si="326"/>
        <v>49</v>
      </c>
      <c r="Z226" s="1" t="str">
        <f t="shared" si="326"/>
        <v>26</v>
      </c>
      <c r="AA226" s="1" t="str">
        <f t="shared" si="326"/>
        <v>17</v>
      </c>
      <c r="AB226" s="1" t="str">
        <f t="shared" si="326"/>
        <v>13</v>
      </c>
      <c r="AC226" s="1" t="str">
        <f t="shared" si="326"/>
        <v>=18</v>
      </c>
      <c r="AD226" s="1" t="str">
        <f t="shared" si="326"/>
        <v>50</v>
      </c>
      <c r="AE226" s="1" t="str">
        <f t="shared" si="326"/>
        <v>6</v>
      </c>
      <c r="AF226" s="1" t="str">
        <f t="shared" si="326"/>
        <v>23</v>
      </c>
      <c r="AG226" s="1" t="str">
        <f t="shared" si="326"/>
        <v>41</v>
      </c>
      <c r="AH226" s="1" t="str">
        <f t="shared" ref="AH226:AY226" si="327">IF(AH167&gt;1,"=","")&amp;AH108</f>
        <v>3</v>
      </c>
      <c r="AI226" s="1" t="str">
        <f t="shared" si="327"/>
        <v>35</v>
      </c>
      <c r="AJ226" s="1" t="str">
        <f t="shared" si="327"/>
        <v>44</v>
      </c>
      <c r="AK226" s="1" t="str">
        <f t="shared" si="327"/>
        <v>43</v>
      </c>
      <c r="AL226" s="1" t="str">
        <f t="shared" si="327"/>
        <v>34</v>
      </c>
      <c r="AM226" s="1" t="str">
        <f t="shared" si="327"/>
        <v>9</v>
      </c>
      <c r="AN226" s="1" t="str">
        <f t="shared" si="327"/>
        <v>33</v>
      </c>
      <c r="AO226" s="1" t="str">
        <f t="shared" si="327"/>
        <v>28</v>
      </c>
      <c r="AP226" s="1" t="str">
        <f t="shared" si="327"/>
        <v>2</v>
      </c>
      <c r="AQ226" s="1" t="str">
        <f t="shared" si="327"/>
        <v>1</v>
      </c>
      <c r="AR226" s="1" t="str">
        <f t="shared" si="327"/>
        <v>31</v>
      </c>
      <c r="AS226" s="1" t="str">
        <f t="shared" si="327"/>
        <v>11</v>
      </c>
      <c r="AT226" s="1" t="str">
        <f t="shared" si="327"/>
        <v>30</v>
      </c>
      <c r="AU226" s="1" t="str">
        <f t="shared" si="327"/>
        <v>25</v>
      </c>
      <c r="AV226" s="1" t="str">
        <f t="shared" si="327"/>
        <v>7</v>
      </c>
      <c r="AW226" s="1" t="str">
        <f t="shared" si="327"/>
        <v>12</v>
      </c>
      <c r="AX226" s="1" t="str">
        <f t="shared" si="327"/>
        <v>46</v>
      </c>
      <c r="AY226" s="1" t="str">
        <f t="shared" si="327"/>
        <v>8</v>
      </c>
    </row>
    <row r="227" spans="1:51">
      <c r="A227" s="1" t="str">
        <f t="shared" si="295"/>
        <v>4.2.1) Prevalence of petty crime</v>
      </c>
      <c r="B227" s="1" t="str">
        <f t="shared" ref="B227:AG227" si="328">IF(B168&gt;1,"=","")&amp;B109</f>
        <v>=4</v>
      </c>
      <c r="C227" s="1" t="str">
        <f t="shared" si="328"/>
        <v>=29</v>
      </c>
      <c r="D227" s="1" t="str">
        <f t="shared" si="328"/>
        <v>=29</v>
      </c>
      <c r="E227" s="1" t="str">
        <f t="shared" si="328"/>
        <v>=4</v>
      </c>
      <c r="F227" s="1" t="str">
        <f t="shared" si="328"/>
        <v>=29</v>
      </c>
      <c r="G227" s="1" t="str">
        <f t="shared" si="328"/>
        <v>=4</v>
      </c>
      <c r="H227" s="1" t="str">
        <f t="shared" si="328"/>
        <v>=29</v>
      </c>
      <c r="I227" s="1" t="str">
        <f t="shared" si="328"/>
        <v>=4</v>
      </c>
      <c r="J227" s="1" t="str">
        <f t="shared" si="328"/>
        <v>=29</v>
      </c>
      <c r="K227" s="1" t="str">
        <f t="shared" si="328"/>
        <v>=4</v>
      </c>
      <c r="L227" s="1" t="str">
        <f t="shared" si="328"/>
        <v>=4</v>
      </c>
      <c r="M227" s="1" t="str">
        <f t="shared" si="328"/>
        <v>=29</v>
      </c>
      <c r="N227" s="1" t="str">
        <f t="shared" si="328"/>
        <v>=44</v>
      </c>
      <c r="O227" s="1" t="str">
        <f t="shared" si="328"/>
        <v>=4</v>
      </c>
      <c r="P227" s="1" t="str">
        <f t="shared" si="328"/>
        <v>=29</v>
      </c>
      <c r="Q227" s="1" t="str">
        <f t="shared" si="328"/>
        <v>=44</v>
      </c>
      <c r="R227" s="1" t="str">
        <f t="shared" si="328"/>
        <v>=49</v>
      </c>
      <c r="S227" s="1" t="str">
        <f t="shared" si="328"/>
        <v>=4</v>
      </c>
      <c r="T227" s="1" t="str">
        <f t="shared" si="328"/>
        <v>=29</v>
      </c>
      <c r="U227" s="1" t="str">
        <f t="shared" si="328"/>
        <v>=29</v>
      </c>
      <c r="V227" s="1" t="str">
        <f t="shared" si="328"/>
        <v>=4</v>
      </c>
      <c r="W227" s="1" t="str">
        <f t="shared" si="328"/>
        <v>=4</v>
      </c>
      <c r="X227" s="1" t="str">
        <f t="shared" si="328"/>
        <v>=4</v>
      </c>
      <c r="Y227" s="1" t="str">
        <f t="shared" si="328"/>
        <v>=49</v>
      </c>
      <c r="Z227" s="1" t="str">
        <f t="shared" si="328"/>
        <v>=4</v>
      </c>
      <c r="AA227" s="1" t="str">
        <f t="shared" si="328"/>
        <v>=4</v>
      </c>
      <c r="AB227" s="1" t="str">
        <f t="shared" si="328"/>
        <v>=29</v>
      </c>
      <c r="AC227" s="1" t="str">
        <f t="shared" si="328"/>
        <v>=44</v>
      </c>
      <c r="AD227" s="1" t="str">
        <f t="shared" si="328"/>
        <v>=29</v>
      </c>
      <c r="AE227" s="1" t="str">
        <f t="shared" si="328"/>
        <v>=4</v>
      </c>
      <c r="AF227" s="1" t="str">
        <f t="shared" si="328"/>
        <v>=4</v>
      </c>
      <c r="AG227" s="1" t="str">
        <f t="shared" si="328"/>
        <v>=44</v>
      </c>
      <c r="AH227" s="1" t="str">
        <f t="shared" ref="AH227:AY227" si="329">IF(AH168&gt;1,"=","")&amp;AH109</f>
        <v>=4</v>
      </c>
      <c r="AI227" s="1" t="str">
        <f t="shared" si="329"/>
        <v>=29</v>
      </c>
      <c r="AJ227" s="1" t="str">
        <f t="shared" si="329"/>
        <v>=4</v>
      </c>
      <c r="AK227" s="1" t="str">
        <f t="shared" si="329"/>
        <v>=29</v>
      </c>
      <c r="AL227" s="1" t="str">
        <f t="shared" si="329"/>
        <v>=44</v>
      </c>
      <c r="AM227" s="1" t="str">
        <f t="shared" si="329"/>
        <v>=4</v>
      </c>
      <c r="AN227" s="1" t="str">
        <f t="shared" si="329"/>
        <v>=29</v>
      </c>
      <c r="AO227" s="1" t="str">
        <f t="shared" si="329"/>
        <v>=4</v>
      </c>
      <c r="AP227" s="1" t="str">
        <f t="shared" si="329"/>
        <v>=1</v>
      </c>
      <c r="AQ227" s="1" t="str">
        <f t="shared" si="329"/>
        <v>=1</v>
      </c>
      <c r="AR227" s="1" t="str">
        <f t="shared" si="329"/>
        <v>=4</v>
      </c>
      <c r="AS227" s="1" t="str">
        <f t="shared" si="329"/>
        <v>=4</v>
      </c>
      <c r="AT227" s="1" t="str">
        <f t="shared" si="329"/>
        <v>=29</v>
      </c>
      <c r="AU227" s="1" t="str">
        <f t="shared" si="329"/>
        <v>=4</v>
      </c>
      <c r="AV227" s="1" t="str">
        <f t="shared" si="329"/>
        <v>=4</v>
      </c>
      <c r="AW227" s="1" t="str">
        <f t="shared" si="329"/>
        <v>=1</v>
      </c>
      <c r="AX227" s="1" t="str">
        <f t="shared" si="329"/>
        <v>=4</v>
      </c>
      <c r="AY227" s="1" t="str">
        <f t="shared" si="329"/>
        <v>=4</v>
      </c>
    </row>
    <row r="228" spans="1:51">
      <c r="A228" s="1" t="str">
        <f t="shared" si="295"/>
        <v>4.2.2) Prevalence of violence crime</v>
      </c>
      <c r="B228" s="1" t="str">
        <f t="shared" ref="B228:AG228" si="330">IF(B169&gt;1,"=","")&amp;B110</f>
        <v>=1</v>
      </c>
      <c r="C228" s="1" t="str">
        <f t="shared" si="330"/>
        <v>=16</v>
      </c>
      <c r="D228" s="1" t="str">
        <f t="shared" si="330"/>
        <v>=16</v>
      </c>
      <c r="E228" s="1" t="str">
        <f t="shared" si="330"/>
        <v>=16</v>
      </c>
      <c r="F228" s="1" t="str">
        <f t="shared" si="330"/>
        <v>=16</v>
      </c>
      <c r="G228" s="1" t="str">
        <f t="shared" si="330"/>
        <v>=16</v>
      </c>
      <c r="H228" s="1" t="str">
        <f t="shared" si="330"/>
        <v>=41</v>
      </c>
      <c r="I228" s="1" t="str">
        <f t="shared" si="330"/>
        <v>=16</v>
      </c>
      <c r="J228" s="1" t="str">
        <f t="shared" si="330"/>
        <v>=41</v>
      </c>
      <c r="K228" s="1" t="str">
        <f t="shared" si="330"/>
        <v>=1</v>
      </c>
      <c r="L228" s="1" t="str">
        <f t="shared" si="330"/>
        <v>=16</v>
      </c>
      <c r="M228" s="1" t="str">
        <f t="shared" si="330"/>
        <v>=16</v>
      </c>
      <c r="N228" s="1" t="str">
        <f t="shared" si="330"/>
        <v>=41</v>
      </c>
      <c r="O228" s="1" t="str">
        <f t="shared" si="330"/>
        <v>=1</v>
      </c>
      <c r="P228" s="1" t="str">
        <f t="shared" si="330"/>
        <v>=41</v>
      </c>
      <c r="Q228" s="1" t="str">
        <f t="shared" si="330"/>
        <v>=16</v>
      </c>
      <c r="R228" s="1" t="str">
        <f t="shared" si="330"/>
        <v>=49</v>
      </c>
      <c r="S228" s="1" t="str">
        <f t="shared" si="330"/>
        <v>=1</v>
      </c>
      <c r="T228" s="1" t="str">
        <f t="shared" si="330"/>
        <v>=41</v>
      </c>
      <c r="U228" s="1" t="str">
        <f t="shared" si="330"/>
        <v>=16</v>
      </c>
      <c r="V228" s="1" t="str">
        <f t="shared" si="330"/>
        <v>=16</v>
      </c>
      <c r="W228" s="1" t="str">
        <f t="shared" si="330"/>
        <v>=16</v>
      </c>
      <c r="X228" s="1" t="str">
        <f t="shared" si="330"/>
        <v>=1</v>
      </c>
      <c r="Y228" s="1" t="str">
        <f t="shared" si="330"/>
        <v>=49</v>
      </c>
      <c r="Z228" s="1" t="str">
        <f t="shared" si="330"/>
        <v>=16</v>
      </c>
      <c r="AA228" s="1" t="str">
        <f t="shared" si="330"/>
        <v>=1</v>
      </c>
      <c r="AB228" s="1" t="str">
        <f t="shared" si="330"/>
        <v>=16</v>
      </c>
      <c r="AC228" s="1" t="str">
        <f t="shared" si="330"/>
        <v>=16</v>
      </c>
      <c r="AD228" s="1" t="str">
        <f t="shared" si="330"/>
        <v>=16</v>
      </c>
      <c r="AE228" s="1" t="str">
        <f t="shared" si="330"/>
        <v>=1</v>
      </c>
      <c r="AF228" s="1" t="str">
        <f t="shared" si="330"/>
        <v>=16</v>
      </c>
      <c r="AG228" s="1" t="str">
        <f t="shared" si="330"/>
        <v>=47</v>
      </c>
      <c r="AH228" s="1" t="str">
        <f t="shared" ref="AH228:AY228" si="331">IF(AH169&gt;1,"=","")&amp;AH110</f>
        <v>=1</v>
      </c>
      <c r="AI228" s="1" t="str">
        <f t="shared" si="331"/>
        <v>=16</v>
      </c>
      <c r="AJ228" s="1" t="str">
        <f t="shared" si="331"/>
        <v>=16</v>
      </c>
      <c r="AK228" s="1" t="str">
        <f t="shared" si="331"/>
        <v>=41</v>
      </c>
      <c r="AL228" s="1" t="str">
        <f t="shared" si="331"/>
        <v>=47</v>
      </c>
      <c r="AM228" s="1" t="str">
        <f t="shared" si="331"/>
        <v>=1</v>
      </c>
      <c r="AN228" s="1" t="str">
        <f t="shared" si="331"/>
        <v>=16</v>
      </c>
      <c r="AO228" s="1" t="str">
        <f t="shared" si="331"/>
        <v>=16</v>
      </c>
      <c r="AP228" s="1" t="str">
        <f t="shared" si="331"/>
        <v>=1</v>
      </c>
      <c r="AQ228" s="1" t="str">
        <f t="shared" si="331"/>
        <v>=1</v>
      </c>
      <c r="AR228" s="1" t="str">
        <f t="shared" si="331"/>
        <v>=16</v>
      </c>
      <c r="AS228" s="1" t="str">
        <f t="shared" si="331"/>
        <v>=16</v>
      </c>
      <c r="AT228" s="1" t="str">
        <f t="shared" si="331"/>
        <v>=16</v>
      </c>
      <c r="AU228" s="1" t="str">
        <f t="shared" si="331"/>
        <v>=1</v>
      </c>
      <c r="AV228" s="1" t="str">
        <f t="shared" si="331"/>
        <v>=1</v>
      </c>
      <c r="AW228" s="1" t="str">
        <f t="shared" si="331"/>
        <v>=1</v>
      </c>
      <c r="AX228" s="1" t="str">
        <f t="shared" si="331"/>
        <v>=16</v>
      </c>
      <c r="AY228" s="1" t="str">
        <f t="shared" si="331"/>
        <v>=1</v>
      </c>
    </row>
    <row r="229" spans="1:51">
      <c r="A229" s="1" t="str">
        <f t="shared" si="295"/>
        <v>4.2.3) Criminal gang activity</v>
      </c>
      <c r="B229" s="1" t="str">
        <f t="shared" ref="B229:AG229" si="332">IF(B170&gt;1,"=","")&amp;B111</f>
        <v>=7</v>
      </c>
      <c r="C229" s="1" t="str">
        <f t="shared" si="332"/>
        <v>5</v>
      </c>
      <c r="D229" s="1" t="str">
        <f t="shared" si="332"/>
        <v>17</v>
      </c>
      <c r="E229" s="1" t="str">
        <f t="shared" si="332"/>
        <v>=36</v>
      </c>
      <c r="F229" s="1" t="str">
        <f t="shared" si="332"/>
        <v>=39</v>
      </c>
      <c r="G229" s="1" t="str">
        <f t="shared" si="332"/>
        <v>=1</v>
      </c>
      <c r="H229" s="1" t="str">
        <f t="shared" si="332"/>
        <v>=7</v>
      </c>
      <c r="I229" s="1" t="str">
        <f t="shared" si="332"/>
        <v>=45</v>
      </c>
      <c r="J229" s="1" t="str">
        <f t="shared" si="332"/>
        <v>=28</v>
      </c>
      <c r="K229" s="1" t="str">
        <f t="shared" si="332"/>
        <v>=45</v>
      </c>
      <c r="L229" s="1" t="str">
        <f t="shared" si="332"/>
        <v>25</v>
      </c>
      <c r="M229" s="1" t="str">
        <f t="shared" si="332"/>
        <v>=39</v>
      </c>
      <c r="N229" s="1" t="str">
        <f t="shared" si="332"/>
        <v>6</v>
      </c>
      <c r="O229" s="1" t="str">
        <f t="shared" si="332"/>
        <v>=39</v>
      </c>
      <c r="P229" s="1" t="str">
        <f t="shared" si="332"/>
        <v>22</v>
      </c>
      <c r="Q229" s="1" t="str">
        <f t="shared" si="332"/>
        <v>23</v>
      </c>
      <c r="R229" s="1" t="str">
        <f t="shared" si="332"/>
        <v>11</v>
      </c>
      <c r="S229" s="1" t="str">
        <f t="shared" si="332"/>
        <v>9</v>
      </c>
      <c r="T229" s="1" t="str">
        <f t="shared" si="332"/>
        <v>13</v>
      </c>
      <c r="U229" s="1" t="str">
        <f t="shared" si="332"/>
        <v>27</v>
      </c>
      <c r="V229" s="1" t="str">
        <f t="shared" si="332"/>
        <v>=45</v>
      </c>
      <c r="W229" s="1" t="str">
        <f t="shared" si="332"/>
        <v>=36</v>
      </c>
      <c r="X229" s="1" t="str">
        <f t="shared" si="332"/>
        <v>=18</v>
      </c>
      <c r="Y229" s="1" t="str">
        <f t="shared" si="332"/>
        <v>38</v>
      </c>
      <c r="Z229" s="1" t="str">
        <f t="shared" si="332"/>
        <v>=34</v>
      </c>
      <c r="AA229" s="1" t="str">
        <f t="shared" si="332"/>
        <v>=30</v>
      </c>
      <c r="AB229" s="1" t="str">
        <f t="shared" si="332"/>
        <v>26</v>
      </c>
      <c r="AC229" s="1" t="str">
        <f t="shared" si="332"/>
        <v>=28</v>
      </c>
      <c r="AD229" s="1" t="str">
        <f t="shared" si="332"/>
        <v>=45</v>
      </c>
      <c r="AE229" s="1" t="str">
        <f t="shared" si="332"/>
        <v>=32</v>
      </c>
      <c r="AF229" s="1" t="str">
        <f t="shared" si="332"/>
        <v>14</v>
      </c>
      <c r="AG229" s="1" t="str">
        <f t="shared" si="332"/>
        <v>=20</v>
      </c>
      <c r="AH229" s="1" t="str">
        <f t="shared" ref="AH229:AY229" si="333">IF(AH170&gt;1,"=","")&amp;AH111</f>
        <v>15</v>
      </c>
      <c r="AI229" s="1" t="str">
        <f t="shared" si="333"/>
        <v>=34</v>
      </c>
      <c r="AJ229" s="1" t="str">
        <f t="shared" si="333"/>
        <v>=45</v>
      </c>
      <c r="AK229" s="1" t="str">
        <f t="shared" si="333"/>
        <v>3</v>
      </c>
      <c r="AL229" s="1" t="str">
        <f t="shared" si="333"/>
        <v>=20</v>
      </c>
      <c r="AM229" s="1" t="str">
        <f t="shared" si="333"/>
        <v>24</v>
      </c>
      <c r="AN229" s="1" t="str">
        <f t="shared" si="333"/>
        <v>=39</v>
      </c>
      <c r="AO229" s="1" t="str">
        <f t="shared" si="333"/>
        <v>=39</v>
      </c>
      <c r="AP229" s="1" t="str">
        <f t="shared" si="333"/>
        <v>=1</v>
      </c>
      <c r="AQ229" s="1" t="str">
        <f t="shared" si="333"/>
        <v>4</v>
      </c>
      <c r="AR229" s="1" t="str">
        <f t="shared" si="333"/>
        <v>=18</v>
      </c>
      <c r="AS229" s="1" t="str">
        <f t="shared" si="333"/>
        <v>10</v>
      </c>
      <c r="AT229" s="1" t="str">
        <f t="shared" si="333"/>
        <v>16</v>
      </c>
      <c r="AU229" s="1" t="str">
        <f t="shared" si="333"/>
        <v>=39</v>
      </c>
      <c r="AV229" s="1" t="str">
        <f t="shared" si="333"/>
        <v>=32</v>
      </c>
      <c r="AW229" s="1" t="str">
        <f t="shared" si="333"/>
        <v>=30</v>
      </c>
      <c r="AX229" s="1" t="str">
        <f t="shared" si="333"/>
        <v>=45</v>
      </c>
      <c r="AY229" s="1" t="str">
        <f t="shared" si="333"/>
        <v>12</v>
      </c>
    </row>
    <row r="230" spans="1:51">
      <c r="A230" s="1" t="str">
        <f t="shared" si="295"/>
        <v>4.2.4) Level of corruption in police force</v>
      </c>
      <c r="B230" s="1" t="str">
        <f t="shared" ref="B230:AG230" si="334">IF(B171&gt;1,"=","")&amp;B112</f>
        <v>29</v>
      </c>
      <c r="C230" s="1" t="str">
        <f t="shared" si="334"/>
        <v>47</v>
      </c>
      <c r="D230" s="1" t="str">
        <f t="shared" si="334"/>
        <v>=10</v>
      </c>
      <c r="E230" s="1" t="str">
        <f t="shared" si="334"/>
        <v>=27</v>
      </c>
      <c r="F230" s="1" t="str">
        <f t="shared" si="334"/>
        <v>=10</v>
      </c>
      <c r="G230" s="1" t="str">
        <f t="shared" si="334"/>
        <v>=31</v>
      </c>
      <c r="H230" s="1" t="str">
        <f t="shared" si="334"/>
        <v>6</v>
      </c>
      <c r="I230" s="1" t="str">
        <f t="shared" si="334"/>
        <v>=31</v>
      </c>
      <c r="J230" s="1" t="str">
        <f t="shared" si="334"/>
        <v>=8</v>
      </c>
      <c r="K230" s="1" t="str">
        <f t="shared" si="334"/>
        <v>39</v>
      </c>
      <c r="L230" s="1" t="str">
        <f t="shared" si="334"/>
        <v>42</v>
      </c>
      <c r="M230" s="1" t="str">
        <f t="shared" si="334"/>
        <v>=10</v>
      </c>
      <c r="N230" s="1" t="str">
        <f t="shared" si="334"/>
        <v>4</v>
      </c>
      <c r="O230" s="1" t="str">
        <f t="shared" si="334"/>
        <v>43</v>
      </c>
      <c r="P230" s="1" t="str">
        <f t="shared" si="334"/>
        <v>21</v>
      </c>
      <c r="Q230" s="1" t="str">
        <f t="shared" si="334"/>
        <v>5</v>
      </c>
      <c r="R230" s="1" t="str">
        <f t="shared" si="334"/>
        <v>=22</v>
      </c>
      <c r="S230" s="1" t="str">
        <f t="shared" si="334"/>
        <v>=22</v>
      </c>
      <c r="T230" s="1" t="str">
        <f t="shared" si="334"/>
        <v>=10</v>
      </c>
      <c r="U230" s="1" t="str">
        <f t="shared" si="334"/>
        <v>38</v>
      </c>
      <c r="V230" s="1" t="str">
        <f t="shared" si="334"/>
        <v>=31</v>
      </c>
      <c r="W230" s="1" t="str">
        <f t="shared" si="334"/>
        <v>=27</v>
      </c>
      <c r="X230" s="1" t="str">
        <f t="shared" si="334"/>
        <v>=44</v>
      </c>
      <c r="Y230" s="1" t="str">
        <f t="shared" si="334"/>
        <v>7</v>
      </c>
      <c r="Z230" s="1" t="str">
        <f t="shared" si="334"/>
        <v>=19</v>
      </c>
      <c r="AA230" s="1" t="str">
        <f t="shared" si="334"/>
        <v>=48</v>
      </c>
      <c r="AB230" s="1" t="str">
        <f t="shared" si="334"/>
        <v>2</v>
      </c>
      <c r="AC230" s="1" t="str">
        <f t="shared" si="334"/>
        <v>=8</v>
      </c>
      <c r="AD230" s="1" t="str">
        <f t="shared" si="334"/>
        <v>=31</v>
      </c>
      <c r="AE230" s="1" t="str">
        <f t="shared" si="334"/>
        <v>=40</v>
      </c>
      <c r="AF230" s="1" t="str">
        <f t="shared" si="334"/>
        <v>30</v>
      </c>
      <c r="AG230" s="1" t="str">
        <f t="shared" si="334"/>
        <v>=17</v>
      </c>
      <c r="AH230" s="1" t="str">
        <f t="shared" ref="AH230:AY230" si="335">IF(AH171&gt;1,"=","")&amp;AH112</f>
        <v>24</v>
      </c>
      <c r="AI230" s="1" t="str">
        <f t="shared" si="335"/>
        <v>=19</v>
      </c>
      <c r="AJ230" s="1" t="str">
        <f t="shared" si="335"/>
        <v>=31</v>
      </c>
      <c r="AK230" s="1" t="str">
        <f t="shared" si="335"/>
        <v>37</v>
      </c>
      <c r="AL230" s="1" t="str">
        <f t="shared" si="335"/>
        <v>=17</v>
      </c>
      <c r="AM230" s="1" t="str">
        <f t="shared" si="335"/>
        <v>25</v>
      </c>
      <c r="AN230" s="1" t="str">
        <f t="shared" si="335"/>
        <v>=10</v>
      </c>
      <c r="AO230" s="1" t="str">
        <f t="shared" si="335"/>
        <v>=10</v>
      </c>
      <c r="AP230" s="1" t="str">
        <f t="shared" si="335"/>
        <v>50</v>
      </c>
      <c r="AQ230" s="1" t="str">
        <f t="shared" si="335"/>
        <v>1</v>
      </c>
      <c r="AR230" s="1" t="str">
        <f t="shared" si="335"/>
        <v>=44</v>
      </c>
      <c r="AS230" s="1" t="str">
        <f t="shared" si="335"/>
        <v>26</v>
      </c>
      <c r="AT230" s="1" t="str">
        <f t="shared" si="335"/>
        <v>3</v>
      </c>
      <c r="AU230" s="1" t="str">
        <f t="shared" si="335"/>
        <v>=10</v>
      </c>
      <c r="AV230" s="1" t="str">
        <f t="shared" si="335"/>
        <v>=40</v>
      </c>
      <c r="AW230" s="1" t="str">
        <f t="shared" si="335"/>
        <v>=48</v>
      </c>
      <c r="AX230" s="1" t="str">
        <f t="shared" si="335"/>
        <v>=31</v>
      </c>
      <c r="AY230" s="1" t="str">
        <f t="shared" si="335"/>
        <v>=44</v>
      </c>
    </row>
    <row r="231" spans="1:51">
      <c r="A231" s="1" t="str">
        <f t="shared" si="295"/>
        <v>4.2.5) Rate of drug use</v>
      </c>
      <c r="B231" s="1" t="str">
        <f t="shared" ref="B231:AG231" si="336">IF(B172&gt;1,"=","")&amp;B113</f>
        <v>2</v>
      </c>
      <c r="C231" s="1" t="str">
        <f t="shared" si="336"/>
        <v>=26</v>
      </c>
      <c r="D231" s="1" t="str">
        <f t="shared" si="336"/>
        <v>=7</v>
      </c>
      <c r="E231" s="1" t="str">
        <f t="shared" si="336"/>
        <v>=46</v>
      </c>
      <c r="F231" s="1" t="str">
        <f t="shared" si="336"/>
        <v>=15</v>
      </c>
      <c r="G231" s="1" t="str">
        <f t="shared" si="336"/>
        <v>=31</v>
      </c>
      <c r="H231" s="1" t="str">
        <f t="shared" si="336"/>
        <v>=46</v>
      </c>
      <c r="I231" s="1" t="str">
        <f t="shared" si="336"/>
        <v>=40</v>
      </c>
      <c r="J231" s="1" t="str">
        <f t="shared" si="336"/>
        <v>=21</v>
      </c>
      <c r="K231" s="1" t="str">
        <f t="shared" si="336"/>
        <v>=5</v>
      </c>
      <c r="L231" s="1" t="str">
        <f t="shared" si="336"/>
        <v>=31</v>
      </c>
      <c r="M231" s="1" t="str">
        <f t="shared" si="336"/>
        <v>=15</v>
      </c>
      <c r="N231" s="1" t="str">
        <f t="shared" si="336"/>
        <v>=7</v>
      </c>
      <c r="O231" s="1" t="str">
        <f t="shared" si="336"/>
        <v>20</v>
      </c>
      <c r="P231" s="1" t="str">
        <f t="shared" si="336"/>
        <v>=7</v>
      </c>
      <c r="Q231" s="1" t="str">
        <f t="shared" si="336"/>
        <v>=46</v>
      </c>
      <c r="R231" s="1" t="str">
        <f t="shared" si="336"/>
        <v>30</v>
      </c>
      <c r="S231" s="1" t="str">
        <f t="shared" si="336"/>
        <v>=7</v>
      </c>
      <c r="T231" s="1" t="str">
        <f t="shared" si="336"/>
        <v>=24</v>
      </c>
      <c r="U231" s="1" t="str">
        <f t="shared" si="336"/>
        <v>=35</v>
      </c>
      <c r="V231" s="1" t="str">
        <f t="shared" si="336"/>
        <v>=40</v>
      </c>
      <c r="W231" s="1" t="str">
        <f t="shared" si="336"/>
        <v>=46</v>
      </c>
      <c r="X231" s="1" t="str">
        <f t="shared" si="336"/>
        <v>=35</v>
      </c>
      <c r="Y231" s="1" t="str">
        <f t="shared" si="336"/>
        <v>=21</v>
      </c>
      <c r="Z231" s="1" t="str">
        <f t="shared" si="336"/>
        <v>=38</v>
      </c>
      <c r="AA231" s="1" t="str">
        <f t="shared" si="336"/>
        <v>=33</v>
      </c>
      <c r="AB231" s="1" t="str">
        <f t="shared" si="336"/>
        <v>=13</v>
      </c>
      <c r="AC231" s="1" t="str">
        <f t="shared" si="336"/>
        <v>=21</v>
      </c>
      <c r="AD231" s="1" t="str">
        <f t="shared" si="336"/>
        <v>=40</v>
      </c>
      <c r="AE231" s="1" t="str">
        <f t="shared" si="336"/>
        <v>=3</v>
      </c>
      <c r="AF231" s="1" t="str">
        <f t="shared" si="336"/>
        <v>=26</v>
      </c>
      <c r="AG231" s="1" t="str">
        <f t="shared" si="336"/>
        <v>=28</v>
      </c>
      <c r="AH231" s="1" t="str">
        <f t="shared" ref="AH231:AY231" si="337">IF(AH172&gt;1,"=","")&amp;AH113</f>
        <v>=5</v>
      </c>
      <c r="AI231" s="1" t="str">
        <f t="shared" si="337"/>
        <v>=38</v>
      </c>
      <c r="AJ231" s="1" t="str">
        <f t="shared" si="337"/>
        <v>=40</v>
      </c>
      <c r="AK231" s="1" t="str">
        <f t="shared" si="337"/>
        <v>=40</v>
      </c>
      <c r="AL231" s="1" t="str">
        <f t="shared" si="337"/>
        <v>=28</v>
      </c>
      <c r="AM231" s="1" t="str">
        <f t="shared" si="337"/>
        <v>=7</v>
      </c>
      <c r="AN231" s="1" t="str">
        <f t="shared" si="337"/>
        <v>=15</v>
      </c>
      <c r="AO231" s="1" t="str">
        <f t="shared" si="337"/>
        <v>=15</v>
      </c>
      <c r="AP231" s="1" t="str">
        <f t="shared" si="337"/>
        <v>1</v>
      </c>
      <c r="AQ231" s="1" t="str">
        <f t="shared" si="337"/>
        <v>=24</v>
      </c>
      <c r="AR231" s="1" t="str">
        <f t="shared" si="337"/>
        <v>=35</v>
      </c>
      <c r="AS231" s="1" t="str">
        <f t="shared" si="337"/>
        <v>=7</v>
      </c>
      <c r="AT231" s="1" t="str">
        <f t="shared" si="337"/>
        <v>=46</v>
      </c>
      <c r="AU231" s="1" t="str">
        <f t="shared" si="337"/>
        <v>=15</v>
      </c>
      <c r="AV231" s="1" t="str">
        <f t="shared" si="337"/>
        <v>=3</v>
      </c>
      <c r="AW231" s="1" t="str">
        <f t="shared" si="337"/>
        <v>=33</v>
      </c>
      <c r="AX231" s="1" t="str">
        <f t="shared" si="337"/>
        <v>=40</v>
      </c>
      <c r="AY231" s="1" t="str">
        <f t="shared" si="337"/>
        <v>=13</v>
      </c>
    </row>
    <row r="232" spans="1:51">
      <c r="A232" s="1" t="str">
        <f t="shared" si="295"/>
        <v>4.2.6) Frequency of terrorist attacks</v>
      </c>
      <c r="B232" s="1" t="str">
        <f t="shared" ref="B232:AG232" si="338">IF(B173&gt;1,"=","")&amp;B114</f>
        <v>=1</v>
      </c>
      <c r="C232" s="1" t="str">
        <f t="shared" si="338"/>
        <v>=14</v>
      </c>
      <c r="D232" s="1" t="str">
        <f t="shared" si="338"/>
        <v>50</v>
      </c>
      <c r="E232" s="1" t="str">
        <f t="shared" si="338"/>
        <v>=14</v>
      </c>
      <c r="F232" s="1" t="str">
        <f t="shared" si="338"/>
        <v>=30</v>
      </c>
      <c r="G232" s="1" t="str">
        <f t="shared" si="338"/>
        <v>=25</v>
      </c>
      <c r="H232" s="1" t="str">
        <f t="shared" si="338"/>
        <v>=39</v>
      </c>
      <c r="I232" s="1" t="str">
        <f t="shared" si="338"/>
        <v>=1</v>
      </c>
      <c r="J232" s="1" t="str">
        <f t="shared" si="338"/>
        <v>43</v>
      </c>
      <c r="K232" s="1" t="str">
        <f t="shared" si="338"/>
        <v>=14</v>
      </c>
      <c r="L232" s="1" t="str">
        <f t="shared" si="338"/>
        <v>=25</v>
      </c>
      <c r="M232" s="1" t="str">
        <f t="shared" si="338"/>
        <v>=1</v>
      </c>
      <c r="N232" s="1" t="str">
        <f t="shared" si="338"/>
        <v>=1</v>
      </c>
      <c r="O232" s="1" t="str">
        <f t="shared" si="338"/>
        <v>=14</v>
      </c>
      <c r="P232" s="1" t="str">
        <f t="shared" si="338"/>
        <v>49</v>
      </c>
      <c r="Q232" s="1" t="str">
        <f t="shared" si="338"/>
        <v>=44</v>
      </c>
      <c r="R232" s="1" t="str">
        <f t="shared" si="338"/>
        <v>=14</v>
      </c>
      <c r="S232" s="1" t="str">
        <f t="shared" si="338"/>
        <v>=1</v>
      </c>
      <c r="T232" s="1" t="str">
        <f t="shared" si="338"/>
        <v>=14</v>
      </c>
      <c r="U232" s="1" t="str">
        <f t="shared" si="338"/>
        <v>47</v>
      </c>
      <c r="V232" s="1" t="str">
        <f t="shared" si="338"/>
        <v>=35</v>
      </c>
      <c r="W232" s="1" t="str">
        <f t="shared" si="338"/>
        <v>=44</v>
      </c>
      <c r="X232" s="1" t="str">
        <f t="shared" si="338"/>
        <v>=1</v>
      </c>
      <c r="Y232" s="1" t="str">
        <f t="shared" si="338"/>
        <v>33</v>
      </c>
      <c r="Z232" s="1" t="str">
        <f t="shared" si="338"/>
        <v>34</v>
      </c>
      <c r="AA232" s="1" t="str">
        <f t="shared" si="338"/>
        <v>=25</v>
      </c>
      <c r="AB232" s="1" t="str">
        <f t="shared" si="338"/>
        <v>46</v>
      </c>
      <c r="AC232" s="1" t="str">
        <f t="shared" si="338"/>
        <v>42</v>
      </c>
      <c r="AD232" s="1" t="str">
        <f t="shared" si="338"/>
        <v>=35</v>
      </c>
      <c r="AE232" s="1" t="str">
        <f t="shared" si="338"/>
        <v>=1</v>
      </c>
      <c r="AF232" s="1" t="str">
        <f t="shared" si="338"/>
        <v>38</v>
      </c>
      <c r="AG232" s="1" t="str">
        <f t="shared" si="338"/>
        <v>=1</v>
      </c>
      <c r="AH232" s="1" t="str">
        <f t="shared" ref="AH232:AY232" si="339">IF(AH173&gt;1,"=","")&amp;AH114</f>
        <v>41</v>
      </c>
      <c r="AI232" s="1" t="str">
        <f t="shared" si="339"/>
        <v>37</v>
      </c>
      <c r="AJ232" s="1" t="str">
        <f t="shared" si="339"/>
        <v>=14</v>
      </c>
      <c r="AK232" s="1" t="str">
        <f t="shared" si="339"/>
        <v>48</v>
      </c>
      <c r="AL232" s="1" t="str">
        <f t="shared" si="339"/>
        <v>=25</v>
      </c>
      <c r="AM232" s="1" t="str">
        <f t="shared" si="339"/>
        <v>=14</v>
      </c>
      <c r="AN232" s="1" t="str">
        <f t="shared" si="339"/>
        <v>=1</v>
      </c>
      <c r="AO232" s="1" t="str">
        <f t="shared" si="339"/>
        <v>=14</v>
      </c>
      <c r="AP232" s="1" t="str">
        <f t="shared" si="339"/>
        <v>=1</v>
      </c>
      <c r="AQ232" s="1" t="str">
        <f t="shared" si="339"/>
        <v>32</v>
      </c>
      <c r="AR232" s="1" t="str">
        <f t="shared" si="339"/>
        <v>=1</v>
      </c>
      <c r="AS232" s="1" t="str">
        <f t="shared" si="339"/>
        <v>=25</v>
      </c>
      <c r="AT232" s="1" t="str">
        <f t="shared" si="339"/>
        <v>=39</v>
      </c>
      <c r="AU232" s="1" t="str">
        <f t="shared" si="339"/>
        <v>=1</v>
      </c>
      <c r="AV232" s="1" t="str">
        <f t="shared" si="339"/>
        <v>=1</v>
      </c>
      <c r="AW232" s="1" t="str">
        <f t="shared" si="339"/>
        <v>=14</v>
      </c>
      <c r="AX232" s="1" t="str">
        <f t="shared" si="339"/>
        <v>=30</v>
      </c>
      <c r="AY232" s="1" t="str">
        <f t="shared" si="339"/>
        <v>=14</v>
      </c>
    </row>
    <row r="233" spans="1:51">
      <c r="A233" s="1" t="str">
        <f t="shared" si="295"/>
        <v>4.2.7) Gender safety</v>
      </c>
      <c r="B233" s="1" t="str">
        <f t="shared" ref="B233:AG233" si="340">IF(B174&gt;1,"=","")&amp;B115</f>
        <v>37</v>
      </c>
      <c r="C233" s="1" t="str">
        <f t="shared" si="340"/>
        <v>22</v>
      </c>
      <c r="D233" s="1" t="str">
        <f t="shared" si="340"/>
        <v>33</v>
      </c>
      <c r="E233" s="1" t="str">
        <f t="shared" si="340"/>
        <v>26</v>
      </c>
      <c r="F233" s="1" t="str">
        <f t="shared" si="340"/>
        <v>=46</v>
      </c>
      <c r="G233" s="1" t="str">
        <f t="shared" si="340"/>
        <v>23</v>
      </c>
      <c r="H233" s="1" t="str">
        <f t="shared" si="340"/>
        <v>41</v>
      </c>
      <c r="I233" s="1" t="str">
        <f t="shared" si="340"/>
        <v>28</v>
      </c>
      <c r="J233" s="1" t="str">
        <f t="shared" si="340"/>
        <v>30</v>
      </c>
      <c r="K233" s="1" t="str">
        <f t="shared" si="340"/>
        <v>2</v>
      </c>
      <c r="L233" s="1" t="str">
        <f t="shared" si="340"/>
        <v>40</v>
      </c>
      <c r="M233" s="1" t="str">
        <f t="shared" si="340"/>
        <v>=46</v>
      </c>
      <c r="N233" s="1" t="str">
        <f t="shared" si="340"/>
        <v>25</v>
      </c>
      <c r="O233" s="1" t="str">
        <f t="shared" si="340"/>
        <v>7</v>
      </c>
      <c r="P233" s="1" t="str">
        <f t="shared" si="340"/>
        <v>29</v>
      </c>
      <c r="Q233" s="1" t="str">
        <f t="shared" si="340"/>
        <v>5</v>
      </c>
      <c r="R233" s="1" t="str">
        <f t="shared" si="340"/>
        <v>14</v>
      </c>
      <c r="S233" s="1" t="str">
        <f t="shared" si="340"/>
        <v>=10</v>
      </c>
      <c r="T233" s="1" t="str">
        <f t="shared" si="340"/>
        <v>39</v>
      </c>
      <c r="U233" s="1" t="str">
        <f t="shared" si="340"/>
        <v>1</v>
      </c>
      <c r="V233" s="1" t="str">
        <f t="shared" si="340"/>
        <v>24</v>
      </c>
      <c r="W233" s="1" t="str">
        <f t="shared" si="340"/>
        <v>34</v>
      </c>
      <c r="X233" s="1" t="str">
        <f t="shared" si="340"/>
        <v>32</v>
      </c>
      <c r="Y233" s="1" t="str">
        <f t="shared" si="340"/>
        <v>43</v>
      </c>
      <c r="Z233" s="1" t="str">
        <f t="shared" si="340"/>
        <v>9</v>
      </c>
      <c r="AA233" s="1" t="str">
        <f t="shared" si="340"/>
        <v>=19</v>
      </c>
      <c r="AB233" s="1" t="str">
        <f t="shared" si="340"/>
        <v>16</v>
      </c>
      <c r="AC233" s="1" t="str">
        <f t="shared" si="340"/>
        <v>15</v>
      </c>
      <c r="AD233" s="1" t="str">
        <f t="shared" si="340"/>
        <v>27</v>
      </c>
      <c r="AE233" s="1" t="str">
        <f t="shared" si="340"/>
        <v>=10</v>
      </c>
      <c r="AF233" s="1" t="str">
        <f t="shared" si="340"/>
        <v>42</v>
      </c>
      <c r="AG233" s="1" t="str">
        <f t="shared" si="340"/>
        <v>35</v>
      </c>
      <c r="AH233" s="1" t="str">
        <f t="shared" ref="AH233:AY233" si="341">IF(AH174&gt;1,"=","")&amp;AH115</f>
        <v>3</v>
      </c>
      <c r="AI233" s="1" t="str">
        <f t="shared" si="341"/>
        <v>6</v>
      </c>
      <c r="AJ233" s="1" t="str">
        <f t="shared" si="341"/>
        <v>8</v>
      </c>
      <c r="AK233" s="1" t="str">
        <f t="shared" si="341"/>
        <v>31</v>
      </c>
      <c r="AL233" s="1" t="str">
        <f t="shared" si="341"/>
        <v>21</v>
      </c>
      <c r="AM233" s="1" t="str">
        <f t="shared" si="341"/>
        <v>45</v>
      </c>
      <c r="AN233" s="1" t="str">
        <f t="shared" si="341"/>
        <v>=46</v>
      </c>
      <c r="AO233" s="1" t="str">
        <f t="shared" si="341"/>
        <v>=46</v>
      </c>
      <c r="AP233" s="1" t="str">
        <f t="shared" si="341"/>
        <v>12</v>
      </c>
      <c r="AQ233" s="1" t="str">
        <f t="shared" si="341"/>
        <v>36</v>
      </c>
      <c r="AR233" s="1" t="str">
        <f t="shared" si="341"/>
        <v>38</v>
      </c>
      <c r="AS233" s="1" t="str">
        <f t="shared" si="341"/>
        <v>44</v>
      </c>
      <c r="AT233" s="1" t="str">
        <f t="shared" si="341"/>
        <v>4</v>
      </c>
      <c r="AU233" s="1" t="str">
        <f t="shared" si="341"/>
        <v>=46</v>
      </c>
      <c r="AV233" s="1" t="str">
        <f t="shared" si="341"/>
        <v>13</v>
      </c>
      <c r="AW233" s="1" t="str">
        <f t="shared" si="341"/>
        <v>=19</v>
      </c>
      <c r="AX233" s="1" t="str">
        <f t="shared" si="341"/>
        <v>17</v>
      </c>
      <c r="AY233" s="1" t="str">
        <f t="shared" si="341"/>
        <v>18</v>
      </c>
    </row>
    <row r="234" spans="1:51">
      <c r="A234" s="1" t="str">
        <f t="shared" si="295"/>
        <v>4.2.8) Perceptions of safety</v>
      </c>
      <c r="B234" s="1" t="str">
        <f t="shared" ref="B234:AG234" si="342">IF(B175&gt;1,"=","")&amp;B116</f>
        <v>2</v>
      </c>
      <c r="C234" s="1" t="str">
        <f t="shared" si="342"/>
        <v>16</v>
      </c>
      <c r="D234" s="1" t="str">
        <f t="shared" si="342"/>
        <v>17</v>
      </c>
      <c r="E234" s="1" t="str">
        <f t="shared" si="342"/>
        <v>24</v>
      </c>
      <c r="F234" s="1" t="str">
        <f t="shared" si="342"/>
        <v>25</v>
      </c>
      <c r="G234" s="1" t="str">
        <f t="shared" si="342"/>
        <v>37</v>
      </c>
      <c r="H234" s="1" t="str">
        <f t="shared" si="342"/>
        <v>44</v>
      </c>
      <c r="I234" s="1" t="str">
        <f t="shared" si="342"/>
        <v>43</v>
      </c>
      <c r="J234" s="1" t="str">
        <f t="shared" si="342"/>
        <v>41</v>
      </c>
      <c r="K234" s="1" t="str">
        <f t="shared" si="342"/>
        <v>9</v>
      </c>
      <c r="L234" s="1" t="str">
        <f t="shared" si="342"/>
        <v>14</v>
      </c>
      <c r="M234" s="1" t="str">
        <f t="shared" si="342"/>
        <v>21</v>
      </c>
      <c r="N234" s="1" t="str">
        <f t="shared" si="342"/>
        <v>32</v>
      </c>
      <c r="O234" s="1" t="str">
        <f t="shared" si="342"/>
        <v>3</v>
      </c>
      <c r="P234" s="1" t="str">
        <f t="shared" si="342"/>
        <v>20</v>
      </c>
      <c r="Q234" s="1" t="str">
        <f t="shared" si="342"/>
        <v>33</v>
      </c>
      <c r="R234" s="1" t="str">
        <f t="shared" si="342"/>
        <v>50</v>
      </c>
      <c r="S234" s="1" t="str">
        <f t="shared" si="342"/>
        <v>28</v>
      </c>
      <c r="T234" s="1" t="str">
        <f t="shared" si="342"/>
        <v>46</v>
      </c>
      <c r="U234" s="1" t="str">
        <f t="shared" si="342"/>
        <v>29</v>
      </c>
      <c r="V234" s="1" t="str">
        <f t="shared" si="342"/>
        <v>35</v>
      </c>
      <c r="W234" s="1" t="str">
        <f t="shared" si="342"/>
        <v>18</v>
      </c>
      <c r="X234" s="1" t="str">
        <f t="shared" si="342"/>
        <v>27</v>
      </c>
      <c r="Y234" s="1" t="str">
        <f t="shared" si="342"/>
        <v>45</v>
      </c>
      <c r="Z234" s="1" t="str">
        <f t="shared" si="342"/>
        <v>36</v>
      </c>
      <c r="AA234" s="1" t="str">
        <f t="shared" si="342"/>
        <v>19</v>
      </c>
      <c r="AB234" s="1" t="str">
        <f t="shared" si="342"/>
        <v>38</v>
      </c>
      <c r="AC234" s="1" t="str">
        <f t="shared" si="342"/>
        <v>34</v>
      </c>
      <c r="AD234" s="1" t="str">
        <f t="shared" si="342"/>
        <v>31</v>
      </c>
      <c r="AE234" s="1" t="str">
        <f t="shared" si="342"/>
        <v>1</v>
      </c>
      <c r="AF234" s="1" t="str">
        <f t="shared" si="342"/>
        <v>39</v>
      </c>
      <c r="AG234" s="1" t="str">
        <f t="shared" si="342"/>
        <v>48</v>
      </c>
      <c r="AH234" s="1" t="str">
        <f t="shared" ref="AH234:AY234" si="343">IF(AH175&gt;1,"=","")&amp;AH116</f>
        <v>13</v>
      </c>
      <c r="AI234" s="1" t="str">
        <f t="shared" si="343"/>
        <v>47</v>
      </c>
      <c r="AJ234" s="1" t="str">
        <f t="shared" si="343"/>
        <v>26</v>
      </c>
      <c r="AK234" s="1" t="str">
        <f t="shared" si="343"/>
        <v>30</v>
      </c>
      <c r="AL234" s="1" t="str">
        <f t="shared" si="343"/>
        <v>49</v>
      </c>
      <c r="AM234" s="1" t="str">
        <f t="shared" si="343"/>
        <v>6</v>
      </c>
      <c r="AN234" s="1" t="str">
        <f t="shared" si="343"/>
        <v>11</v>
      </c>
      <c r="AO234" s="1" t="str">
        <f t="shared" si="343"/>
        <v>12</v>
      </c>
      <c r="AP234" s="1" t="str">
        <f t="shared" si="343"/>
        <v>4</v>
      </c>
      <c r="AQ234" s="1" t="str">
        <f t="shared" si="343"/>
        <v>10</v>
      </c>
      <c r="AR234" s="1" t="str">
        <f t="shared" si="343"/>
        <v>23</v>
      </c>
      <c r="AS234" s="1" t="str">
        <f t="shared" si="343"/>
        <v>8</v>
      </c>
      <c r="AT234" s="1" t="str">
        <f t="shared" si="343"/>
        <v>40</v>
      </c>
      <c r="AU234" s="1" t="str">
        <f t="shared" si="343"/>
        <v>22</v>
      </c>
      <c r="AV234" s="1" t="str">
        <f t="shared" si="343"/>
        <v>5</v>
      </c>
      <c r="AW234" s="1" t="str">
        <f t="shared" si="343"/>
        <v>15</v>
      </c>
      <c r="AX234" s="1" t="str">
        <f t="shared" si="343"/>
        <v>42</v>
      </c>
      <c r="AY234" s="1" t="str">
        <f t="shared" si="343"/>
        <v>7</v>
      </c>
    </row>
    <row r="261" spans="1:1">
      <c r="A261" s="1" t="s">
        <v>1018</v>
      </c>
    </row>
    <row r="262" spans="1:51">
      <c r="A262" s="1">
        <v>0</v>
      </c>
      <c r="B262" s="1">
        <f>A262+1</f>
        <v>1</v>
      </c>
      <c r="C262" s="1">
        <f t="shared" ref="C262:AY262" si="344">B262+1</f>
        <v>2</v>
      </c>
      <c r="D262" s="1">
        <f t="shared" si="344"/>
        <v>3</v>
      </c>
      <c r="E262" s="1">
        <f t="shared" si="344"/>
        <v>4</v>
      </c>
      <c r="F262" s="1">
        <f t="shared" si="344"/>
        <v>5</v>
      </c>
      <c r="G262" s="1">
        <f t="shared" si="344"/>
        <v>6</v>
      </c>
      <c r="H262" s="1">
        <f t="shared" si="344"/>
        <v>7</v>
      </c>
      <c r="I262" s="1">
        <f t="shared" si="344"/>
        <v>8</v>
      </c>
      <c r="J262" s="1">
        <f t="shared" si="344"/>
        <v>9</v>
      </c>
      <c r="K262" s="1">
        <f t="shared" si="344"/>
        <v>10</v>
      </c>
      <c r="L262" s="1">
        <f t="shared" si="344"/>
        <v>11</v>
      </c>
      <c r="M262" s="1">
        <f t="shared" si="344"/>
        <v>12</v>
      </c>
      <c r="N262" s="1">
        <f t="shared" si="344"/>
        <v>13</v>
      </c>
      <c r="O262" s="1">
        <f t="shared" si="344"/>
        <v>14</v>
      </c>
      <c r="P262" s="1">
        <f t="shared" si="344"/>
        <v>15</v>
      </c>
      <c r="Q262" s="1">
        <f t="shared" si="344"/>
        <v>16</v>
      </c>
      <c r="R262" s="1">
        <f t="shared" si="344"/>
        <v>17</v>
      </c>
      <c r="S262" s="1">
        <f t="shared" si="344"/>
        <v>18</v>
      </c>
      <c r="T262" s="1">
        <f t="shared" si="344"/>
        <v>19</v>
      </c>
      <c r="U262" s="1">
        <f t="shared" si="344"/>
        <v>20</v>
      </c>
      <c r="V262" s="1">
        <f t="shared" si="344"/>
        <v>21</v>
      </c>
      <c r="W262" s="1">
        <f t="shared" si="344"/>
        <v>22</v>
      </c>
      <c r="X262" s="1">
        <f t="shared" si="344"/>
        <v>23</v>
      </c>
      <c r="Y262" s="1">
        <f t="shared" si="344"/>
        <v>24</v>
      </c>
      <c r="Z262" s="1">
        <f t="shared" si="344"/>
        <v>25</v>
      </c>
      <c r="AA262" s="1">
        <f t="shared" si="344"/>
        <v>26</v>
      </c>
      <c r="AB262" s="1">
        <f t="shared" si="344"/>
        <v>27</v>
      </c>
      <c r="AC262" s="1">
        <f t="shared" si="344"/>
        <v>28</v>
      </c>
      <c r="AD262" s="1">
        <f t="shared" si="344"/>
        <v>29</v>
      </c>
      <c r="AE262" s="1">
        <f t="shared" si="344"/>
        <v>30</v>
      </c>
      <c r="AF262" s="1">
        <f t="shared" si="344"/>
        <v>31</v>
      </c>
      <c r="AG262" s="1">
        <f t="shared" si="344"/>
        <v>32</v>
      </c>
      <c r="AH262" s="1">
        <f t="shared" si="344"/>
        <v>33</v>
      </c>
      <c r="AI262" s="1">
        <f t="shared" si="344"/>
        <v>34</v>
      </c>
      <c r="AJ262" s="1">
        <f t="shared" si="344"/>
        <v>35</v>
      </c>
      <c r="AK262" s="1">
        <f t="shared" si="344"/>
        <v>36</v>
      </c>
      <c r="AL262" s="1">
        <f t="shared" si="344"/>
        <v>37</v>
      </c>
      <c r="AM262" s="1">
        <f t="shared" si="344"/>
        <v>38</v>
      </c>
      <c r="AN262" s="1">
        <f t="shared" si="344"/>
        <v>39</v>
      </c>
      <c r="AO262" s="1">
        <f t="shared" si="344"/>
        <v>40</v>
      </c>
      <c r="AP262" s="1">
        <f t="shared" si="344"/>
        <v>41</v>
      </c>
      <c r="AQ262" s="1">
        <f t="shared" si="344"/>
        <v>42</v>
      </c>
      <c r="AR262" s="1">
        <f t="shared" si="344"/>
        <v>43</v>
      </c>
      <c r="AS262" s="1">
        <f t="shared" si="344"/>
        <v>44</v>
      </c>
      <c r="AT262" s="1">
        <f t="shared" si="344"/>
        <v>45</v>
      </c>
      <c r="AU262" s="1">
        <f t="shared" si="344"/>
        <v>46</v>
      </c>
      <c r="AV262" s="1">
        <f t="shared" si="344"/>
        <v>47</v>
      </c>
      <c r="AW262" s="1">
        <f t="shared" si="344"/>
        <v>48</v>
      </c>
      <c r="AX262" s="1">
        <f t="shared" si="344"/>
        <v>49</v>
      </c>
      <c r="AY262" s="1">
        <f t="shared" si="344"/>
        <v>50</v>
      </c>
    </row>
    <row r="263" spans="1:53">
      <c r="A263" s="1" t="str">
        <f>tblTerritories!S4</f>
        <v>All Regions/Groups</v>
      </c>
      <c r="B263" s="1">
        <f>INDEX(tblTerritories_2014_O!$V$3:$AI$63,B$262,$BA263)</f>
        <v>1</v>
      </c>
      <c r="C263" s="1">
        <f>INDEX(tblTerritories_2014_O!$V$3:$AI$63,C$262,$BA263)</f>
        <v>1</v>
      </c>
      <c r="D263" s="1">
        <f>INDEX(tblTerritories_2014_O!$V$3:$AI$63,D$262,$BA263)</f>
        <v>1</v>
      </c>
      <c r="E263" s="1">
        <f>INDEX(tblTerritories_2014_O!$V$3:$AI$63,E$262,$BA263)</f>
        <v>1</v>
      </c>
      <c r="F263" s="1">
        <f>INDEX(tblTerritories_2014_O!$V$3:$AI$63,F$262,$BA263)</f>
        <v>1</v>
      </c>
      <c r="G263" s="1">
        <f>INDEX(tblTerritories_2014_O!$V$3:$AI$63,G$262,$BA263)</f>
        <v>1</v>
      </c>
      <c r="H263" s="1">
        <f>INDEX(tblTerritories_2014_O!$V$3:$AI$63,H$262,$BA263)</f>
        <v>1</v>
      </c>
      <c r="I263" s="1">
        <f>INDEX(tblTerritories_2014_O!$V$3:$AI$63,I$262,$BA263)</f>
        <v>1</v>
      </c>
      <c r="J263" s="1">
        <f>INDEX(tblTerritories_2014_O!$V$3:$AI$63,J$262,$BA263)</f>
        <v>1</v>
      </c>
      <c r="K263" s="1">
        <f>INDEX(tblTerritories_2014_O!$V$3:$AI$63,K$262,$BA263)</f>
        <v>1</v>
      </c>
      <c r="L263" s="1">
        <f>INDEX(tblTerritories_2014_O!$V$3:$AI$63,L$262,$BA263)</f>
        <v>1</v>
      </c>
      <c r="M263" s="1">
        <f>INDEX(tblTerritories_2014_O!$V$3:$AI$63,M$262,$BA263)</f>
        <v>1</v>
      </c>
      <c r="N263" s="1">
        <f>INDEX(tblTerritories_2014_O!$V$3:$AI$63,N$262,$BA263)</f>
        <v>1</v>
      </c>
      <c r="O263" s="1">
        <f>INDEX(tblTerritories_2014_O!$V$3:$AI$63,O$262,$BA263)</f>
        <v>1</v>
      </c>
      <c r="P263" s="1">
        <f>INDEX(tblTerritories_2014_O!$V$3:$AI$63,P$262,$BA263)</f>
        <v>1</v>
      </c>
      <c r="Q263" s="1">
        <f>INDEX(tblTerritories_2014_O!$V$3:$AI$63,Q$262,$BA263)</f>
        <v>1</v>
      </c>
      <c r="R263" s="1">
        <f>INDEX(tblTerritories_2014_O!$V$3:$AI$63,R$262,$BA263)</f>
        <v>1</v>
      </c>
      <c r="S263" s="1">
        <f>INDEX(tblTerritories_2014_O!$V$3:$AI$63,S$262,$BA263)</f>
        <v>1</v>
      </c>
      <c r="T263" s="1">
        <f>INDEX(tblTerritories_2014_O!$V$3:$AI$63,T$262,$BA263)</f>
        <v>1</v>
      </c>
      <c r="U263" s="1">
        <f>INDEX(tblTerritories_2014_O!$V$3:$AI$63,U$262,$BA263)</f>
        <v>1</v>
      </c>
      <c r="V263" s="1">
        <f>INDEX(tblTerritories_2014_O!$V$3:$AI$63,V$262,$BA263)</f>
        <v>1</v>
      </c>
      <c r="W263" s="1">
        <f>INDEX(tblTerritories_2014_O!$V$3:$AI$63,W$262,$BA263)</f>
        <v>1</v>
      </c>
      <c r="X263" s="1">
        <f>INDEX(tblTerritories_2014_O!$V$3:$AI$63,X$262,$BA263)</f>
        <v>1</v>
      </c>
      <c r="Y263" s="1">
        <f>INDEX(tblTerritories_2014_O!$V$3:$AI$63,Y$262,$BA263)</f>
        <v>1</v>
      </c>
      <c r="Z263" s="1">
        <f>INDEX(tblTerritories_2014_O!$V$3:$AI$63,Z$262,$BA263)</f>
        <v>1</v>
      </c>
      <c r="AA263" s="1">
        <f>INDEX(tblTerritories_2014_O!$V$3:$AI$63,AA$262,$BA263)</f>
        <v>1</v>
      </c>
      <c r="AB263" s="1">
        <f>INDEX(tblTerritories_2014_O!$V$3:$AI$63,AB$262,$BA263)</f>
        <v>1</v>
      </c>
      <c r="AC263" s="1">
        <f>INDEX(tblTerritories_2014_O!$V$3:$AI$63,AC$262,$BA263)</f>
        <v>1</v>
      </c>
      <c r="AD263" s="1">
        <f>INDEX(tblTerritories_2014_O!$V$3:$AI$63,AD$262,$BA263)</f>
        <v>1</v>
      </c>
      <c r="AE263" s="1">
        <f>INDEX(tblTerritories_2014_O!$V$3:$AI$63,AE$262,$BA263)</f>
        <v>1</v>
      </c>
      <c r="AF263" s="1">
        <f>INDEX(tblTerritories_2014_O!$V$3:$AI$63,AF$262,$BA263)</f>
        <v>1</v>
      </c>
      <c r="AG263" s="1">
        <f>INDEX(tblTerritories_2014_O!$V$3:$AI$63,AG$262,$BA263)</f>
        <v>1</v>
      </c>
      <c r="AH263" s="1">
        <f>INDEX(tblTerritories_2014_O!$V$3:$AI$63,AH$262,$BA263)</f>
        <v>1</v>
      </c>
      <c r="AI263" s="1">
        <f>INDEX(tblTerritories_2014_O!$V$3:$AI$63,AI$262,$BA263)</f>
        <v>1</v>
      </c>
      <c r="AJ263" s="1">
        <f>INDEX(tblTerritories_2014_O!$V$3:$AI$63,AJ$262,$BA263)</f>
        <v>1</v>
      </c>
      <c r="AK263" s="1">
        <f>INDEX(tblTerritories_2014_O!$V$3:$AI$63,AK$262,$BA263)</f>
        <v>1</v>
      </c>
      <c r="AL263" s="1">
        <f>INDEX(tblTerritories_2014_O!$V$3:$AI$63,AL$262,$BA263)</f>
        <v>1</v>
      </c>
      <c r="AM263" s="1">
        <f>INDEX(tblTerritories_2014_O!$V$3:$AI$63,AM$262,$BA263)</f>
        <v>1</v>
      </c>
      <c r="AN263" s="1">
        <f>INDEX(tblTerritories_2014_O!$V$3:$AI$63,AN$262,$BA263)</f>
        <v>1</v>
      </c>
      <c r="AO263" s="1">
        <f>INDEX(tblTerritories_2014_O!$V$3:$AI$63,AO$262,$BA263)</f>
        <v>1</v>
      </c>
      <c r="AP263" s="1">
        <f>INDEX(tblTerritories_2014_O!$V$3:$AI$63,AP$262,$BA263)</f>
        <v>1</v>
      </c>
      <c r="AQ263" s="1">
        <f>INDEX(tblTerritories_2014_O!$V$3:$AI$63,AQ$262,$BA263)</f>
        <v>1</v>
      </c>
      <c r="AR263" s="1">
        <f>INDEX(tblTerritories_2014_O!$V$3:$AI$63,AR$262,$BA263)</f>
        <v>1</v>
      </c>
      <c r="AS263" s="1">
        <f>INDEX(tblTerritories_2014_O!$V$3:$AI$63,AS$262,$BA263)</f>
        <v>1</v>
      </c>
      <c r="AT263" s="1">
        <f>INDEX(tblTerritories_2014_O!$V$3:$AI$63,AT$262,$BA263)</f>
        <v>1</v>
      </c>
      <c r="AU263" s="1">
        <f>INDEX(tblTerritories_2014_O!$V$3:$AI$63,AU$262,$BA263)</f>
        <v>1</v>
      </c>
      <c r="AV263" s="1">
        <f>INDEX(tblTerritories_2014_O!$V$3:$AI$63,AV$262,$BA263)</f>
        <v>1</v>
      </c>
      <c r="AW263" s="1">
        <f>INDEX(tblTerritories_2014_O!$V$3:$AI$63,AW$262,$BA263)</f>
        <v>1</v>
      </c>
      <c r="AX263" s="1">
        <f>INDEX(tblTerritories_2014_O!$V$3:$AI$63,AX$262,$BA263)</f>
        <v>1</v>
      </c>
      <c r="AY263" s="1">
        <f>INDEX(tblTerritories_2014_O!$V$3:$AI$63,AY$262,$BA263)</f>
        <v>1</v>
      </c>
      <c r="BA263" s="1">
        <f>BA262+1</f>
        <v>1</v>
      </c>
    </row>
    <row r="264" spans="1:53">
      <c r="A264" s="1" t="str">
        <f>tblTerritories!S5</f>
        <v>Asia Pacific</v>
      </c>
      <c r="B264" s="1">
        <f>INDEX(tblTerritories_2014_O!$V$3:$AI$63,B$262,$BA264)</f>
        <v>0</v>
      </c>
      <c r="C264" s="1">
        <f>INDEX(tblTerritories_2014_O!$V$3:$AI$63,C$262,$BA264)</f>
        <v>0</v>
      </c>
      <c r="D264" s="1">
        <f>INDEX(tblTerritories_2014_O!$V$3:$AI$63,D$262,$BA264)</f>
        <v>1</v>
      </c>
      <c r="E264" s="1">
        <f>INDEX(tblTerritories_2014_O!$V$3:$AI$63,E$262,$BA264)</f>
        <v>0</v>
      </c>
      <c r="F264" s="1">
        <f>INDEX(tblTerritories_2014_O!$V$3:$AI$63,F$262,$BA264)</f>
        <v>1</v>
      </c>
      <c r="G264" s="1">
        <f>INDEX(tblTerritories_2014_O!$V$3:$AI$63,G$262,$BA264)</f>
        <v>0</v>
      </c>
      <c r="H264" s="1">
        <f>INDEX(tblTerritories_2014_O!$V$3:$AI$63,H$262,$BA264)</f>
        <v>0</v>
      </c>
      <c r="I264" s="1">
        <f>INDEX(tblTerritories_2014_O!$V$3:$AI$63,I$262,$BA264)</f>
        <v>0</v>
      </c>
      <c r="J264" s="1">
        <f>INDEX(tblTerritories_2014_O!$V$3:$AI$63,J$262,$BA264)</f>
        <v>1</v>
      </c>
      <c r="K264" s="1">
        <f>INDEX(tblTerritories_2014_O!$V$3:$AI$63,K$262,$BA264)</f>
        <v>0</v>
      </c>
      <c r="L264" s="1">
        <f>INDEX(tblTerritories_2014_O!$V$3:$AI$63,L$262,$BA264)</f>
        <v>0</v>
      </c>
      <c r="M264" s="1">
        <f>INDEX(tblTerritories_2014_O!$V$3:$AI$63,M$262,$BA264)</f>
        <v>1</v>
      </c>
      <c r="N264" s="1">
        <f>INDEX(tblTerritories_2014_O!$V$3:$AI$63,N$262,$BA264)</f>
        <v>1</v>
      </c>
      <c r="O264" s="1">
        <f>INDEX(tblTerritories_2014_O!$V$3:$AI$63,O$262,$BA264)</f>
        <v>1</v>
      </c>
      <c r="P264" s="1">
        <f>INDEX(tblTerritories_2014_O!$V$3:$AI$63,P$262,$BA264)</f>
        <v>0</v>
      </c>
      <c r="Q264" s="1">
        <f>INDEX(tblTerritories_2014_O!$V$3:$AI$63,Q$262,$BA264)</f>
        <v>1</v>
      </c>
      <c r="R264" s="1">
        <f>INDEX(tblTerritories_2014_O!$V$3:$AI$63,R$262,$BA264)</f>
        <v>0</v>
      </c>
      <c r="S264" s="1">
        <f>INDEX(tblTerritories_2014_O!$V$3:$AI$63,S$262,$BA264)</f>
        <v>0</v>
      </c>
      <c r="T264" s="1">
        <f>INDEX(tblTerritories_2014_O!$V$3:$AI$63,T$262,$BA264)</f>
        <v>0</v>
      </c>
      <c r="U264" s="1">
        <f>INDEX(tblTerritories_2014_O!$V$3:$AI$63,U$262,$BA264)</f>
        <v>0</v>
      </c>
      <c r="V264" s="1">
        <f>INDEX(tblTerritories_2014_O!$V$3:$AI$63,V$262,$BA264)</f>
        <v>0</v>
      </c>
      <c r="W264" s="1">
        <f>INDEX(tblTerritories_2014_O!$V$3:$AI$63,W$262,$BA264)</f>
        <v>0</v>
      </c>
      <c r="X264" s="1">
        <f>INDEX(tblTerritories_2014_O!$V$3:$AI$63,X$262,$BA264)</f>
        <v>1</v>
      </c>
      <c r="Y264" s="1">
        <f>INDEX(tblTerritories_2014_O!$V$3:$AI$63,Y$262,$BA264)</f>
        <v>0</v>
      </c>
      <c r="Z264" s="1">
        <f>INDEX(tblTerritories_2014_O!$V$3:$AI$63,Z$262,$BA264)</f>
        <v>0</v>
      </c>
      <c r="AA264" s="1">
        <f>INDEX(tblTerritories_2014_O!$V$3:$AI$63,AA$262,$BA264)</f>
        <v>0</v>
      </c>
      <c r="AB264" s="1">
        <f>INDEX(tblTerritories_2014_O!$V$3:$AI$63,AB$262,$BA264)</f>
        <v>0</v>
      </c>
      <c r="AC264" s="1">
        <f>INDEX(tblTerritories_2014_O!$V$3:$AI$63,AC$262,$BA264)</f>
        <v>1</v>
      </c>
      <c r="AD264" s="1">
        <f>INDEX(tblTerritories_2014_O!$V$3:$AI$63,AD$262,$BA264)</f>
        <v>0</v>
      </c>
      <c r="AE264" s="1">
        <f>INDEX(tblTerritories_2014_O!$V$3:$AI$63,AE$262,$BA264)</f>
        <v>1</v>
      </c>
      <c r="AF264" s="1">
        <f>INDEX(tblTerritories_2014_O!$V$3:$AI$63,AF$262,$BA264)</f>
        <v>0</v>
      </c>
      <c r="AG264" s="1">
        <f>INDEX(tblTerritories_2014_O!$V$3:$AI$63,AG$262,$BA264)</f>
        <v>0</v>
      </c>
      <c r="AH264" s="1">
        <f>INDEX(tblTerritories_2014_O!$V$3:$AI$63,AH$262,$BA264)</f>
        <v>0</v>
      </c>
      <c r="AI264" s="1">
        <f>INDEX(tblTerritories_2014_O!$V$3:$AI$63,AI$262,$BA264)</f>
        <v>0</v>
      </c>
      <c r="AJ264" s="1">
        <f>INDEX(tblTerritories_2014_O!$V$3:$AI$63,AJ$262,$BA264)</f>
        <v>0</v>
      </c>
      <c r="AK264" s="1">
        <f>INDEX(tblTerritories_2014_O!$V$3:$AI$63,AK$262,$BA264)</f>
        <v>0</v>
      </c>
      <c r="AL264" s="1">
        <f>INDEX(tblTerritories_2014_O!$V$3:$AI$63,AL$262,$BA264)</f>
        <v>0</v>
      </c>
      <c r="AM264" s="1">
        <f>INDEX(tblTerritories_2014_O!$V$3:$AI$63,AM$262,$BA264)</f>
        <v>1</v>
      </c>
      <c r="AN264" s="1">
        <f>INDEX(tblTerritories_2014_O!$V$3:$AI$63,AN$262,$BA264)</f>
        <v>1</v>
      </c>
      <c r="AO264" s="1">
        <f>INDEX(tblTerritories_2014_O!$V$3:$AI$63,AO$262,$BA264)</f>
        <v>1</v>
      </c>
      <c r="AP264" s="1">
        <f>INDEX(tblTerritories_2014_O!$V$3:$AI$63,AP$262,$BA264)</f>
        <v>1</v>
      </c>
      <c r="AQ264" s="1">
        <f>INDEX(tblTerritories_2014_O!$V$3:$AI$63,AQ$262,$BA264)</f>
        <v>0</v>
      </c>
      <c r="AR264" s="1">
        <f>INDEX(tblTerritories_2014_O!$V$3:$AI$63,AR$262,$BA264)</f>
        <v>1</v>
      </c>
      <c r="AS264" s="1">
        <f>INDEX(tblTerritories_2014_O!$V$3:$AI$63,AS$262,$BA264)</f>
        <v>1</v>
      </c>
      <c r="AT264" s="1">
        <f>INDEX(tblTerritories_2014_O!$V$3:$AI$63,AT$262,$BA264)</f>
        <v>0</v>
      </c>
      <c r="AU264" s="1">
        <f>INDEX(tblTerritories_2014_O!$V$3:$AI$63,AU$262,$BA264)</f>
        <v>1</v>
      </c>
      <c r="AV264" s="1">
        <f>INDEX(tblTerritories_2014_O!$V$3:$AI$63,AV$262,$BA264)</f>
        <v>1</v>
      </c>
      <c r="AW264" s="1">
        <f>INDEX(tblTerritories_2014_O!$V$3:$AI$63,AW$262,$BA264)</f>
        <v>0</v>
      </c>
      <c r="AX264" s="1">
        <f>INDEX(tblTerritories_2014_O!$V$3:$AI$63,AX$262,$BA264)</f>
        <v>0</v>
      </c>
      <c r="AY264" s="1">
        <f>INDEX(tblTerritories_2014_O!$V$3:$AI$63,AY$262,$BA264)</f>
        <v>0</v>
      </c>
      <c r="BA264" s="1">
        <f t="shared" ref="BA264:BA269" si="345">BA263+1</f>
        <v>2</v>
      </c>
    </row>
    <row r="265" spans="1:53">
      <c r="A265" s="1" t="str">
        <f>tblTerritories!S6</f>
        <v>Europe</v>
      </c>
      <c r="B265" s="1">
        <f>INDEX(tblTerritories_2014_O!$V$3:$AI$63,B$262,$BA265)</f>
        <v>0</v>
      </c>
      <c r="C265" s="1">
        <f>INDEX(tblTerritories_2014_O!$V$3:$AI$63,C$262,$BA265)</f>
        <v>1</v>
      </c>
      <c r="D265" s="1">
        <f>INDEX(tblTerritories_2014_O!$V$3:$AI$63,D$262,$BA265)</f>
        <v>0</v>
      </c>
      <c r="E265" s="1">
        <f>INDEX(tblTerritories_2014_O!$V$3:$AI$63,E$262,$BA265)</f>
        <v>1</v>
      </c>
      <c r="F265" s="1">
        <f>INDEX(tblTerritories_2014_O!$V$3:$AI$63,F$262,$BA265)</f>
        <v>0</v>
      </c>
      <c r="G265" s="1">
        <f>INDEX(tblTerritories_2014_O!$V$3:$AI$63,G$262,$BA265)</f>
        <v>1</v>
      </c>
      <c r="H265" s="1">
        <f>INDEX(tblTerritories_2014_O!$V$3:$AI$63,H$262,$BA265)</f>
        <v>0</v>
      </c>
      <c r="I265" s="1">
        <f>INDEX(tblTerritories_2014_O!$V$3:$AI$63,I$262,$BA265)</f>
        <v>0</v>
      </c>
      <c r="J265" s="1">
        <f>INDEX(tblTerritories_2014_O!$V$3:$AI$63,J$262,$BA265)</f>
        <v>0</v>
      </c>
      <c r="K265" s="1">
        <f>INDEX(tblTerritories_2014_O!$V$3:$AI$63,K$262,$BA265)</f>
        <v>0</v>
      </c>
      <c r="L265" s="1">
        <f>INDEX(tblTerritories_2014_O!$V$3:$AI$63,L$262,$BA265)</f>
        <v>1</v>
      </c>
      <c r="M265" s="1">
        <f>INDEX(tblTerritories_2014_O!$V$3:$AI$63,M$262,$BA265)</f>
        <v>0</v>
      </c>
      <c r="N265" s="1">
        <f>INDEX(tblTerritories_2014_O!$V$3:$AI$63,N$262,$BA265)</f>
        <v>0</v>
      </c>
      <c r="O265" s="1">
        <f>INDEX(tblTerritories_2014_O!$V$3:$AI$63,O$262,$BA265)</f>
        <v>0</v>
      </c>
      <c r="P265" s="1">
        <f>INDEX(tblTerritories_2014_O!$V$3:$AI$63,P$262,$BA265)</f>
        <v>1</v>
      </c>
      <c r="Q265" s="1">
        <f>INDEX(tblTerritories_2014_O!$V$3:$AI$63,Q$262,$BA265)</f>
        <v>0</v>
      </c>
      <c r="R265" s="1">
        <f>INDEX(tblTerritories_2014_O!$V$3:$AI$63,R$262,$BA265)</f>
        <v>0</v>
      </c>
      <c r="S265" s="1">
        <f>INDEX(tblTerritories_2014_O!$V$3:$AI$63,S$262,$BA265)</f>
        <v>0</v>
      </c>
      <c r="T265" s="1">
        <f>INDEX(tblTerritories_2014_O!$V$3:$AI$63,T$262,$BA265)</f>
        <v>0</v>
      </c>
      <c r="U265" s="1">
        <f>INDEX(tblTerritories_2014_O!$V$3:$AI$63,U$262,$BA265)</f>
        <v>1</v>
      </c>
      <c r="V265" s="1">
        <f>INDEX(tblTerritories_2014_O!$V$3:$AI$63,V$262,$BA265)</f>
        <v>0</v>
      </c>
      <c r="W265" s="1">
        <f>INDEX(tblTerritories_2014_O!$V$3:$AI$63,W$262,$BA265)</f>
        <v>1</v>
      </c>
      <c r="X265" s="1">
        <f>INDEX(tblTerritories_2014_O!$V$3:$AI$63,X$262,$BA265)</f>
        <v>0</v>
      </c>
      <c r="Y265" s="1">
        <f>INDEX(tblTerritories_2014_O!$V$3:$AI$63,Y$262,$BA265)</f>
        <v>0</v>
      </c>
      <c r="Z265" s="1">
        <f>INDEX(tblTerritories_2014_O!$V$3:$AI$63,Z$262,$BA265)</f>
        <v>1</v>
      </c>
      <c r="AA265" s="1">
        <f>INDEX(tblTerritories_2014_O!$V$3:$AI$63,AA$262,$BA265)</f>
        <v>0</v>
      </c>
      <c r="AB265" s="1">
        <f>INDEX(tblTerritories_2014_O!$V$3:$AI$63,AB$262,$BA265)</f>
        <v>1</v>
      </c>
      <c r="AC265" s="1">
        <f>INDEX(tblTerritories_2014_O!$V$3:$AI$63,AC$262,$BA265)</f>
        <v>0</v>
      </c>
      <c r="AD265" s="1">
        <f>INDEX(tblTerritories_2014_O!$V$3:$AI$63,AD$262,$BA265)</f>
        <v>0</v>
      </c>
      <c r="AE265" s="1">
        <f>INDEX(tblTerritories_2014_O!$V$3:$AI$63,AE$262,$BA265)</f>
        <v>0</v>
      </c>
      <c r="AF265" s="1">
        <f>INDEX(tblTerritories_2014_O!$V$3:$AI$63,AF$262,$BA265)</f>
        <v>1</v>
      </c>
      <c r="AG265" s="1">
        <f>INDEX(tblTerritories_2014_O!$V$3:$AI$63,AG$262,$BA265)</f>
        <v>0</v>
      </c>
      <c r="AH265" s="1">
        <f>INDEX(tblTerritories_2014_O!$V$3:$AI$63,AH$262,$BA265)</f>
        <v>0</v>
      </c>
      <c r="AI265" s="1">
        <f>INDEX(tblTerritories_2014_O!$V$3:$AI$63,AI$262,$BA265)</f>
        <v>1</v>
      </c>
      <c r="AJ265" s="1">
        <f>INDEX(tblTerritories_2014_O!$V$3:$AI$63,AJ$262,$BA265)</f>
        <v>0</v>
      </c>
      <c r="AK265" s="1">
        <f>INDEX(tblTerritories_2014_O!$V$3:$AI$63,AK$262,$BA265)</f>
        <v>0</v>
      </c>
      <c r="AL265" s="1">
        <f>INDEX(tblTerritories_2014_O!$V$3:$AI$63,AL$262,$BA265)</f>
        <v>0</v>
      </c>
      <c r="AM265" s="1">
        <f>INDEX(tblTerritories_2014_O!$V$3:$AI$63,AM$262,$BA265)</f>
        <v>0</v>
      </c>
      <c r="AN265" s="1">
        <f>INDEX(tblTerritories_2014_O!$V$3:$AI$63,AN$262,$BA265)</f>
        <v>0</v>
      </c>
      <c r="AO265" s="1">
        <f>INDEX(tblTerritories_2014_O!$V$3:$AI$63,AO$262,$BA265)</f>
        <v>0</v>
      </c>
      <c r="AP265" s="1">
        <f>INDEX(tblTerritories_2014_O!$V$3:$AI$63,AP$262,$BA265)</f>
        <v>0</v>
      </c>
      <c r="AQ265" s="1">
        <f>INDEX(tblTerritories_2014_O!$V$3:$AI$63,AQ$262,$BA265)</f>
        <v>1</v>
      </c>
      <c r="AR265" s="1">
        <f>INDEX(tblTerritories_2014_O!$V$3:$AI$63,AR$262,$BA265)</f>
        <v>0</v>
      </c>
      <c r="AS265" s="1">
        <f>INDEX(tblTerritories_2014_O!$V$3:$AI$63,AS$262,$BA265)</f>
        <v>0</v>
      </c>
      <c r="AT265" s="1">
        <f>INDEX(tblTerritories_2014_O!$V$3:$AI$63,AT$262,$BA265)</f>
        <v>0</v>
      </c>
      <c r="AU265" s="1">
        <f>INDEX(tblTerritories_2014_O!$V$3:$AI$63,AU$262,$BA265)</f>
        <v>0</v>
      </c>
      <c r="AV265" s="1">
        <f>INDEX(tblTerritories_2014_O!$V$3:$AI$63,AV$262,$BA265)</f>
        <v>0</v>
      </c>
      <c r="AW265" s="1">
        <f>INDEX(tblTerritories_2014_O!$V$3:$AI$63,AW$262,$BA265)</f>
        <v>0</v>
      </c>
      <c r="AX265" s="1">
        <f>INDEX(tblTerritories_2014_O!$V$3:$AI$63,AX$262,$BA265)</f>
        <v>0</v>
      </c>
      <c r="AY265" s="1">
        <f>INDEX(tblTerritories_2014_O!$V$3:$AI$63,AY$262,$BA265)</f>
        <v>1</v>
      </c>
      <c r="BA265" s="1">
        <f t="shared" si="345"/>
        <v>3</v>
      </c>
    </row>
    <row r="266" spans="1:53">
      <c r="A266" s="1" t="str">
        <f>tblTerritories!S7</f>
        <v>Latin America</v>
      </c>
      <c r="B266" s="1">
        <f>INDEX(tblTerritories_2014_O!$V$3:$AI$63,B$262,$BA266)</f>
        <v>0</v>
      </c>
      <c r="C266" s="1">
        <f>INDEX(tblTerritories_2014_O!$V$3:$AI$63,C$262,$BA266)</f>
        <v>0</v>
      </c>
      <c r="D266" s="1">
        <f>INDEX(tblTerritories_2014_O!$V$3:$AI$63,D$262,$BA266)</f>
        <v>0</v>
      </c>
      <c r="E266" s="1">
        <f>INDEX(tblTerritories_2014_O!$V$3:$AI$63,E$262,$BA266)</f>
        <v>0</v>
      </c>
      <c r="F266" s="1">
        <f>INDEX(tblTerritories_2014_O!$V$3:$AI$63,F$262,$BA266)</f>
        <v>0</v>
      </c>
      <c r="G266" s="1">
        <f>INDEX(tblTerritories_2014_O!$V$3:$AI$63,G$262,$BA266)</f>
        <v>0</v>
      </c>
      <c r="H266" s="1">
        <f>INDEX(tblTerritories_2014_O!$V$3:$AI$63,H$262,$BA266)</f>
        <v>1</v>
      </c>
      <c r="I266" s="1">
        <f>INDEX(tblTerritories_2014_O!$V$3:$AI$63,I$262,$BA266)</f>
        <v>0</v>
      </c>
      <c r="J266" s="1">
        <f>INDEX(tblTerritories_2014_O!$V$3:$AI$63,J$262,$BA266)</f>
        <v>0</v>
      </c>
      <c r="K266" s="1">
        <f>INDEX(tblTerritories_2014_O!$V$3:$AI$63,K$262,$BA266)</f>
        <v>0</v>
      </c>
      <c r="L266" s="1">
        <f>INDEX(tblTerritories_2014_O!$V$3:$AI$63,L$262,$BA266)</f>
        <v>0</v>
      </c>
      <c r="M266" s="1">
        <f>INDEX(tblTerritories_2014_O!$V$3:$AI$63,M$262,$BA266)</f>
        <v>0</v>
      </c>
      <c r="N266" s="1">
        <f>INDEX(tblTerritories_2014_O!$V$3:$AI$63,N$262,$BA266)</f>
        <v>0</v>
      </c>
      <c r="O266" s="1">
        <f>INDEX(tblTerritories_2014_O!$V$3:$AI$63,O$262,$BA266)</f>
        <v>0</v>
      </c>
      <c r="P266" s="1">
        <f>INDEX(tblTerritories_2014_O!$V$3:$AI$63,P$262,$BA266)</f>
        <v>0</v>
      </c>
      <c r="Q266" s="1">
        <f>INDEX(tblTerritories_2014_O!$V$3:$AI$63,Q$262,$BA266)</f>
        <v>0</v>
      </c>
      <c r="R266" s="1">
        <f>INDEX(tblTerritories_2014_O!$V$3:$AI$63,R$262,$BA266)</f>
        <v>0</v>
      </c>
      <c r="S266" s="1">
        <f>INDEX(tblTerritories_2014_O!$V$3:$AI$63,S$262,$BA266)</f>
        <v>0</v>
      </c>
      <c r="T266" s="1">
        <f>INDEX(tblTerritories_2014_O!$V$3:$AI$63,T$262,$BA266)</f>
        <v>1</v>
      </c>
      <c r="U266" s="1">
        <f>INDEX(tblTerritories_2014_O!$V$3:$AI$63,U$262,$BA266)</f>
        <v>0</v>
      </c>
      <c r="V266" s="1">
        <f>INDEX(tblTerritories_2014_O!$V$3:$AI$63,V$262,$BA266)</f>
        <v>0</v>
      </c>
      <c r="W266" s="1">
        <f>INDEX(tblTerritories_2014_O!$V$3:$AI$63,W$262,$BA266)</f>
        <v>0</v>
      </c>
      <c r="X266" s="1">
        <f>INDEX(tblTerritories_2014_O!$V$3:$AI$63,X$262,$BA266)</f>
        <v>0</v>
      </c>
      <c r="Y266" s="1">
        <f>INDEX(tblTerritories_2014_O!$V$3:$AI$63,Y$262,$BA266)</f>
        <v>1</v>
      </c>
      <c r="Z266" s="1">
        <f>INDEX(tblTerritories_2014_O!$V$3:$AI$63,Z$262,$BA266)</f>
        <v>0</v>
      </c>
      <c r="AA266" s="1">
        <f>INDEX(tblTerritories_2014_O!$V$3:$AI$63,AA$262,$BA266)</f>
        <v>0</v>
      </c>
      <c r="AB266" s="1">
        <f>INDEX(tblTerritories_2014_O!$V$3:$AI$63,AB$262,$BA266)</f>
        <v>0</v>
      </c>
      <c r="AC266" s="1">
        <f>INDEX(tblTerritories_2014_O!$V$3:$AI$63,AC$262,$BA266)</f>
        <v>0</v>
      </c>
      <c r="AD266" s="1">
        <f>INDEX(tblTerritories_2014_O!$V$3:$AI$63,AD$262,$BA266)</f>
        <v>0</v>
      </c>
      <c r="AE266" s="1">
        <f>INDEX(tblTerritories_2014_O!$V$3:$AI$63,AE$262,$BA266)</f>
        <v>0</v>
      </c>
      <c r="AF266" s="1">
        <f>INDEX(tblTerritories_2014_O!$V$3:$AI$63,AF$262,$BA266)</f>
        <v>0</v>
      </c>
      <c r="AG266" s="1">
        <f>INDEX(tblTerritories_2014_O!$V$3:$AI$63,AG$262,$BA266)</f>
        <v>1</v>
      </c>
      <c r="AH266" s="1">
        <f>INDEX(tblTerritories_2014_O!$V$3:$AI$63,AH$262,$BA266)</f>
        <v>0</v>
      </c>
      <c r="AI266" s="1">
        <f>INDEX(tblTerritories_2014_O!$V$3:$AI$63,AI$262,$BA266)</f>
        <v>0</v>
      </c>
      <c r="AJ266" s="1">
        <f>INDEX(tblTerritories_2014_O!$V$3:$AI$63,AJ$262,$BA266)</f>
        <v>0</v>
      </c>
      <c r="AK266" s="1">
        <f>INDEX(tblTerritories_2014_O!$V$3:$AI$63,AK$262,$BA266)</f>
        <v>1</v>
      </c>
      <c r="AL266" s="1">
        <f>INDEX(tblTerritories_2014_O!$V$3:$AI$63,AL$262,$BA266)</f>
        <v>1</v>
      </c>
      <c r="AM266" s="1">
        <f>INDEX(tblTerritories_2014_O!$V$3:$AI$63,AM$262,$BA266)</f>
        <v>0</v>
      </c>
      <c r="AN266" s="1">
        <f>INDEX(tblTerritories_2014_O!$V$3:$AI$63,AN$262,$BA266)</f>
        <v>0</v>
      </c>
      <c r="AO266" s="1">
        <f>INDEX(tblTerritories_2014_O!$V$3:$AI$63,AO$262,$BA266)</f>
        <v>0</v>
      </c>
      <c r="AP266" s="1">
        <f>INDEX(tblTerritories_2014_O!$V$3:$AI$63,AP$262,$BA266)</f>
        <v>0</v>
      </c>
      <c r="AQ266" s="1">
        <f>INDEX(tblTerritories_2014_O!$V$3:$AI$63,AQ$262,$BA266)</f>
        <v>0</v>
      </c>
      <c r="AR266" s="1">
        <f>INDEX(tblTerritories_2014_O!$V$3:$AI$63,AR$262,$BA266)</f>
        <v>0</v>
      </c>
      <c r="AS266" s="1">
        <f>INDEX(tblTerritories_2014_O!$V$3:$AI$63,AS$262,$BA266)</f>
        <v>0</v>
      </c>
      <c r="AT266" s="1">
        <f>INDEX(tblTerritories_2014_O!$V$3:$AI$63,AT$262,$BA266)</f>
        <v>0</v>
      </c>
      <c r="AU266" s="1">
        <f>INDEX(tblTerritories_2014_O!$V$3:$AI$63,AU$262,$BA266)</f>
        <v>0</v>
      </c>
      <c r="AV266" s="1">
        <f>INDEX(tblTerritories_2014_O!$V$3:$AI$63,AV$262,$BA266)</f>
        <v>0</v>
      </c>
      <c r="AW266" s="1">
        <f>INDEX(tblTerritories_2014_O!$V$3:$AI$63,AW$262,$BA266)</f>
        <v>0</v>
      </c>
      <c r="AX266" s="1">
        <f>INDEX(tblTerritories_2014_O!$V$3:$AI$63,AX$262,$BA266)</f>
        <v>0</v>
      </c>
      <c r="AY266" s="1">
        <f>INDEX(tblTerritories_2014_O!$V$3:$AI$63,AY$262,$BA266)</f>
        <v>0</v>
      </c>
      <c r="BA266" s="1">
        <f t="shared" si="345"/>
        <v>4</v>
      </c>
    </row>
    <row r="267" spans="1:53">
      <c r="A267" s="1" t="str">
        <f>tblTerritories!S8</f>
        <v>Middle East and Africa</v>
      </c>
      <c r="B267" s="1">
        <f>INDEX(tblTerritories_2014_O!$V$3:$AI$63,B$262,$BA267)</f>
        <v>1</v>
      </c>
      <c r="C267" s="1">
        <f>INDEX(tblTerritories_2014_O!$V$3:$AI$63,C$262,$BA267)</f>
        <v>0</v>
      </c>
      <c r="D267" s="1">
        <f>INDEX(tblTerritories_2014_O!$V$3:$AI$63,D$262,$BA267)</f>
        <v>0</v>
      </c>
      <c r="E267" s="1">
        <f>INDEX(tblTerritories_2014_O!$V$3:$AI$63,E$262,$BA267)</f>
        <v>0</v>
      </c>
      <c r="F267" s="1">
        <f>INDEX(tblTerritories_2014_O!$V$3:$AI$63,F$262,$BA267)</f>
        <v>0</v>
      </c>
      <c r="G267" s="1">
        <f>INDEX(tblTerritories_2014_O!$V$3:$AI$63,G$262,$BA267)</f>
        <v>0</v>
      </c>
      <c r="H267" s="1">
        <f>INDEX(tblTerritories_2014_O!$V$3:$AI$63,H$262,$BA267)</f>
        <v>0</v>
      </c>
      <c r="I267" s="1">
        <f>INDEX(tblTerritories_2014_O!$V$3:$AI$63,I$262,$BA267)</f>
        <v>0</v>
      </c>
      <c r="J267" s="1">
        <f>INDEX(tblTerritories_2014_O!$V$3:$AI$63,J$262,$BA267)</f>
        <v>0</v>
      </c>
      <c r="K267" s="1">
        <f>INDEX(tblTerritories_2014_O!$V$3:$AI$63,K$262,$BA267)</f>
        <v>1</v>
      </c>
      <c r="L267" s="1">
        <f>INDEX(tblTerritories_2014_O!$V$3:$AI$63,L$262,$BA267)</f>
        <v>0</v>
      </c>
      <c r="M267" s="1">
        <f>INDEX(tblTerritories_2014_O!$V$3:$AI$63,M$262,$BA267)</f>
        <v>0</v>
      </c>
      <c r="N267" s="1">
        <f>INDEX(tblTerritories_2014_O!$V$3:$AI$63,N$262,$BA267)</f>
        <v>0</v>
      </c>
      <c r="O267" s="1">
        <f>INDEX(tblTerritories_2014_O!$V$3:$AI$63,O$262,$BA267)</f>
        <v>0</v>
      </c>
      <c r="P267" s="1">
        <f>INDEX(tblTerritories_2014_O!$V$3:$AI$63,P$262,$BA267)</f>
        <v>0</v>
      </c>
      <c r="Q267" s="1">
        <f>INDEX(tblTerritories_2014_O!$V$3:$AI$63,Q$262,$BA267)</f>
        <v>0</v>
      </c>
      <c r="R267" s="1">
        <f>INDEX(tblTerritories_2014_O!$V$3:$AI$63,R$262,$BA267)</f>
        <v>1</v>
      </c>
      <c r="S267" s="1">
        <f>INDEX(tblTerritories_2014_O!$V$3:$AI$63,S$262,$BA267)</f>
        <v>1</v>
      </c>
      <c r="T267" s="1">
        <f>INDEX(tblTerritories_2014_O!$V$3:$AI$63,T$262,$BA267)</f>
        <v>0</v>
      </c>
      <c r="U267" s="1">
        <f>INDEX(tblTerritories_2014_O!$V$3:$AI$63,U$262,$BA267)</f>
        <v>0</v>
      </c>
      <c r="V267" s="1">
        <f>INDEX(tblTerritories_2014_O!$V$3:$AI$63,V$262,$BA267)</f>
        <v>0</v>
      </c>
      <c r="W267" s="1">
        <f>INDEX(tblTerritories_2014_O!$V$3:$AI$63,W$262,$BA267)</f>
        <v>0</v>
      </c>
      <c r="X267" s="1">
        <f>INDEX(tblTerritories_2014_O!$V$3:$AI$63,X$262,$BA267)</f>
        <v>0</v>
      </c>
      <c r="Y267" s="1">
        <f>INDEX(tblTerritories_2014_O!$V$3:$AI$63,Y$262,$BA267)</f>
        <v>0</v>
      </c>
      <c r="Z267" s="1">
        <f>INDEX(tblTerritories_2014_O!$V$3:$AI$63,Z$262,$BA267)</f>
        <v>0</v>
      </c>
      <c r="AA267" s="1">
        <f>INDEX(tblTerritories_2014_O!$V$3:$AI$63,AA$262,$BA267)</f>
        <v>0</v>
      </c>
      <c r="AB267" s="1">
        <f>INDEX(tblTerritories_2014_O!$V$3:$AI$63,AB$262,$BA267)</f>
        <v>0</v>
      </c>
      <c r="AC267" s="1">
        <f>INDEX(tblTerritories_2014_O!$V$3:$AI$63,AC$262,$BA267)</f>
        <v>0</v>
      </c>
      <c r="AD267" s="1">
        <f>INDEX(tblTerritories_2014_O!$V$3:$AI$63,AD$262,$BA267)</f>
        <v>0</v>
      </c>
      <c r="AE267" s="1">
        <f>INDEX(tblTerritories_2014_O!$V$3:$AI$63,AE$262,$BA267)</f>
        <v>0</v>
      </c>
      <c r="AF267" s="1">
        <f>INDEX(tblTerritories_2014_O!$V$3:$AI$63,AF$262,$BA267)</f>
        <v>0</v>
      </c>
      <c r="AG267" s="1">
        <f>INDEX(tblTerritories_2014_O!$V$3:$AI$63,AG$262,$BA267)</f>
        <v>0</v>
      </c>
      <c r="AH267" s="1">
        <f>INDEX(tblTerritories_2014_O!$V$3:$AI$63,AH$262,$BA267)</f>
        <v>1</v>
      </c>
      <c r="AI267" s="1">
        <f>INDEX(tblTerritories_2014_O!$V$3:$AI$63,AI$262,$BA267)</f>
        <v>0</v>
      </c>
      <c r="AJ267" s="1">
        <f>INDEX(tblTerritories_2014_O!$V$3:$AI$63,AJ$262,$BA267)</f>
        <v>0</v>
      </c>
      <c r="AK267" s="1">
        <f>INDEX(tblTerritories_2014_O!$V$3:$AI$63,AK$262,$BA267)</f>
        <v>0</v>
      </c>
      <c r="AL267" s="1">
        <f>INDEX(tblTerritories_2014_O!$V$3:$AI$63,AL$262,$BA267)</f>
        <v>0</v>
      </c>
      <c r="AM267" s="1">
        <f>INDEX(tblTerritories_2014_O!$V$3:$AI$63,AM$262,$BA267)</f>
        <v>0</v>
      </c>
      <c r="AN267" s="1">
        <f>INDEX(tblTerritories_2014_O!$V$3:$AI$63,AN$262,$BA267)</f>
        <v>0</v>
      </c>
      <c r="AO267" s="1">
        <f>INDEX(tblTerritories_2014_O!$V$3:$AI$63,AO$262,$BA267)</f>
        <v>0</v>
      </c>
      <c r="AP267" s="1">
        <f>INDEX(tblTerritories_2014_O!$V$3:$AI$63,AP$262,$BA267)</f>
        <v>0</v>
      </c>
      <c r="AQ267" s="1">
        <f>INDEX(tblTerritories_2014_O!$V$3:$AI$63,AQ$262,$BA267)</f>
        <v>0</v>
      </c>
      <c r="AR267" s="1">
        <f>INDEX(tblTerritories_2014_O!$V$3:$AI$63,AR$262,$BA267)</f>
        <v>0</v>
      </c>
      <c r="AS267" s="1">
        <f>INDEX(tblTerritories_2014_O!$V$3:$AI$63,AS$262,$BA267)</f>
        <v>0</v>
      </c>
      <c r="AT267" s="1">
        <f>INDEX(tblTerritories_2014_O!$V$3:$AI$63,AT$262,$BA267)</f>
        <v>1</v>
      </c>
      <c r="AU267" s="1">
        <f>INDEX(tblTerritories_2014_O!$V$3:$AI$63,AU$262,$BA267)</f>
        <v>0</v>
      </c>
      <c r="AV267" s="1">
        <f>INDEX(tblTerritories_2014_O!$V$3:$AI$63,AV$262,$BA267)</f>
        <v>0</v>
      </c>
      <c r="AW267" s="1">
        <f>INDEX(tblTerritories_2014_O!$V$3:$AI$63,AW$262,$BA267)</f>
        <v>0</v>
      </c>
      <c r="AX267" s="1">
        <f>INDEX(tblTerritories_2014_O!$V$3:$AI$63,AX$262,$BA267)</f>
        <v>0</v>
      </c>
      <c r="AY267" s="1">
        <f>INDEX(tblTerritories_2014_O!$V$3:$AI$63,AY$262,$BA267)</f>
        <v>0</v>
      </c>
      <c r="BA267" s="1">
        <f t="shared" si="345"/>
        <v>5</v>
      </c>
    </row>
    <row r="268" spans="1:53">
      <c r="A268" s="1" t="str">
        <f>tblTerritories!S9</f>
        <v>North America</v>
      </c>
      <c r="B268" s="1">
        <f>INDEX(tblTerritories_2014_O!$V$3:$AI$63,B$262,$BA268)</f>
        <v>0</v>
      </c>
      <c r="C268" s="1">
        <f>INDEX(tblTerritories_2014_O!$V$3:$AI$63,C$262,$BA268)</f>
        <v>0</v>
      </c>
      <c r="D268" s="1">
        <f>INDEX(tblTerritories_2014_O!$V$3:$AI$63,D$262,$BA268)</f>
        <v>0</v>
      </c>
      <c r="E268" s="1">
        <f>INDEX(tblTerritories_2014_O!$V$3:$AI$63,E$262,$BA268)</f>
        <v>0</v>
      </c>
      <c r="F268" s="1">
        <f>INDEX(tblTerritories_2014_O!$V$3:$AI$63,F$262,$BA268)</f>
        <v>0</v>
      </c>
      <c r="G268" s="1">
        <f>INDEX(tblTerritories_2014_O!$V$3:$AI$63,G$262,$BA268)</f>
        <v>0</v>
      </c>
      <c r="H268" s="1">
        <f>INDEX(tblTerritories_2014_O!$V$3:$AI$63,H$262,$BA268)</f>
        <v>0</v>
      </c>
      <c r="I268" s="1">
        <f>INDEX(tblTerritories_2014_O!$V$3:$AI$63,I$262,$BA268)</f>
        <v>1</v>
      </c>
      <c r="J268" s="1">
        <f>INDEX(tblTerritories_2014_O!$V$3:$AI$63,J$262,$BA268)</f>
        <v>0</v>
      </c>
      <c r="K268" s="1">
        <f>INDEX(tblTerritories_2014_O!$V$3:$AI$63,K$262,$BA268)</f>
        <v>0</v>
      </c>
      <c r="L268" s="1">
        <f>INDEX(tblTerritories_2014_O!$V$3:$AI$63,L$262,$BA268)</f>
        <v>0</v>
      </c>
      <c r="M268" s="1">
        <f>INDEX(tblTerritories_2014_O!$V$3:$AI$63,M$262,$BA268)</f>
        <v>0</v>
      </c>
      <c r="N268" s="1">
        <f>INDEX(tblTerritories_2014_O!$V$3:$AI$63,N$262,$BA268)</f>
        <v>0</v>
      </c>
      <c r="O268" s="1">
        <f>INDEX(tblTerritories_2014_O!$V$3:$AI$63,O$262,$BA268)</f>
        <v>0</v>
      </c>
      <c r="P268" s="1">
        <f>INDEX(tblTerritories_2014_O!$V$3:$AI$63,P$262,$BA268)</f>
        <v>0</v>
      </c>
      <c r="Q268" s="1">
        <f>INDEX(tblTerritories_2014_O!$V$3:$AI$63,Q$262,$BA268)</f>
        <v>0</v>
      </c>
      <c r="R268" s="1">
        <f>INDEX(tblTerritories_2014_O!$V$3:$AI$63,R$262,$BA268)</f>
        <v>0</v>
      </c>
      <c r="S268" s="1">
        <f>INDEX(tblTerritories_2014_O!$V$3:$AI$63,S$262,$BA268)</f>
        <v>0</v>
      </c>
      <c r="T268" s="1">
        <f>INDEX(tblTerritories_2014_O!$V$3:$AI$63,T$262,$BA268)</f>
        <v>0</v>
      </c>
      <c r="U268" s="1">
        <f>INDEX(tblTerritories_2014_O!$V$3:$AI$63,U$262,$BA268)</f>
        <v>0</v>
      </c>
      <c r="V268" s="1">
        <f>INDEX(tblTerritories_2014_O!$V$3:$AI$63,V$262,$BA268)</f>
        <v>1</v>
      </c>
      <c r="W268" s="1">
        <f>INDEX(tblTerritories_2014_O!$V$3:$AI$63,W$262,$BA268)</f>
        <v>0</v>
      </c>
      <c r="X268" s="1">
        <f>INDEX(tblTerritories_2014_O!$V$3:$AI$63,X$262,$BA268)</f>
        <v>0</v>
      </c>
      <c r="Y268" s="1">
        <f>INDEX(tblTerritories_2014_O!$V$3:$AI$63,Y$262,$BA268)</f>
        <v>0</v>
      </c>
      <c r="Z268" s="1">
        <f>INDEX(tblTerritories_2014_O!$V$3:$AI$63,Z$262,$BA268)</f>
        <v>0</v>
      </c>
      <c r="AA268" s="1">
        <f>INDEX(tblTerritories_2014_O!$V$3:$AI$63,AA$262,$BA268)</f>
        <v>1</v>
      </c>
      <c r="AB268" s="1">
        <f>INDEX(tblTerritories_2014_O!$V$3:$AI$63,AB$262,$BA268)</f>
        <v>0</v>
      </c>
      <c r="AC268" s="1">
        <f>INDEX(tblTerritories_2014_O!$V$3:$AI$63,AC$262,$BA268)</f>
        <v>0</v>
      </c>
      <c r="AD268" s="1">
        <f>INDEX(tblTerritories_2014_O!$V$3:$AI$63,AD$262,$BA268)</f>
        <v>1</v>
      </c>
      <c r="AE268" s="1">
        <f>INDEX(tblTerritories_2014_O!$V$3:$AI$63,AE$262,$BA268)</f>
        <v>0</v>
      </c>
      <c r="AF268" s="1">
        <f>INDEX(tblTerritories_2014_O!$V$3:$AI$63,AF$262,$BA268)</f>
        <v>0</v>
      </c>
      <c r="AG268" s="1">
        <f>INDEX(tblTerritories_2014_O!$V$3:$AI$63,AG$262,$BA268)</f>
        <v>0</v>
      </c>
      <c r="AH268" s="1">
        <f>INDEX(tblTerritories_2014_O!$V$3:$AI$63,AH$262,$BA268)</f>
        <v>0</v>
      </c>
      <c r="AI268" s="1">
        <f>INDEX(tblTerritories_2014_O!$V$3:$AI$63,AI$262,$BA268)</f>
        <v>0</v>
      </c>
      <c r="AJ268" s="1">
        <f>INDEX(tblTerritories_2014_O!$V$3:$AI$63,AJ$262,$BA268)</f>
        <v>1</v>
      </c>
      <c r="AK268" s="1">
        <f>INDEX(tblTerritories_2014_O!$V$3:$AI$63,AK$262,$BA268)</f>
        <v>0</v>
      </c>
      <c r="AL268" s="1">
        <f>INDEX(tblTerritories_2014_O!$V$3:$AI$63,AL$262,$BA268)</f>
        <v>0</v>
      </c>
      <c r="AM268" s="1">
        <f>INDEX(tblTerritories_2014_O!$V$3:$AI$63,AM$262,$BA268)</f>
        <v>0</v>
      </c>
      <c r="AN268" s="1">
        <f>INDEX(tblTerritories_2014_O!$V$3:$AI$63,AN$262,$BA268)</f>
        <v>0</v>
      </c>
      <c r="AO268" s="1">
        <f>INDEX(tblTerritories_2014_O!$V$3:$AI$63,AO$262,$BA268)</f>
        <v>0</v>
      </c>
      <c r="AP268" s="1">
        <f>INDEX(tblTerritories_2014_O!$V$3:$AI$63,AP$262,$BA268)</f>
        <v>0</v>
      </c>
      <c r="AQ268" s="1">
        <f>INDEX(tblTerritories_2014_O!$V$3:$AI$63,AQ$262,$BA268)</f>
        <v>0</v>
      </c>
      <c r="AR268" s="1">
        <f>INDEX(tblTerritories_2014_O!$V$3:$AI$63,AR$262,$BA268)</f>
        <v>0</v>
      </c>
      <c r="AS268" s="1">
        <f>INDEX(tblTerritories_2014_O!$V$3:$AI$63,AS$262,$BA268)</f>
        <v>0</v>
      </c>
      <c r="AT268" s="1">
        <f>INDEX(tblTerritories_2014_O!$V$3:$AI$63,AT$262,$BA268)</f>
        <v>0</v>
      </c>
      <c r="AU268" s="1">
        <f>INDEX(tblTerritories_2014_O!$V$3:$AI$63,AU$262,$BA268)</f>
        <v>0</v>
      </c>
      <c r="AV268" s="1">
        <f>INDEX(tblTerritories_2014_O!$V$3:$AI$63,AV$262,$BA268)</f>
        <v>0</v>
      </c>
      <c r="AW268" s="1">
        <f>INDEX(tblTerritories_2014_O!$V$3:$AI$63,AW$262,$BA268)</f>
        <v>1</v>
      </c>
      <c r="AX268" s="1">
        <f>INDEX(tblTerritories_2014_O!$V$3:$AI$63,AX$262,$BA268)</f>
        <v>1</v>
      </c>
      <c r="AY268" s="1">
        <f>INDEX(tblTerritories_2014_O!$V$3:$AI$63,AY$262,$BA268)</f>
        <v>0</v>
      </c>
      <c r="BA268" s="1">
        <f t="shared" si="345"/>
        <v>6</v>
      </c>
    </row>
    <row r="269" spans="1:53">
      <c r="A269" s="1" t="str">
        <f>tblTerritories!S10</f>
        <v>High Income</v>
      </c>
      <c r="B269" s="1">
        <f>INDEX(tblTerritories_2014_O!$V$3:$AI$63,B$262,$BA269)</f>
        <v>1</v>
      </c>
      <c r="C269" s="1">
        <f>INDEX(tblTerritories_2014_O!$V$3:$AI$63,C$262,$BA269)</f>
        <v>0</v>
      </c>
      <c r="D269" s="1">
        <f>INDEX(tblTerritories_2014_O!$V$3:$AI$63,D$262,$BA269)</f>
        <v>0</v>
      </c>
      <c r="E269" s="1">
        <f>INDEX(tblTerritories_2014_O!$V$3:$AI$63,E$262,$BA269)</f>
        <v>0</v>
      </c>
      <c r="F269" s="1">
        <f>INDEX(tblTerritories_2014_O!$V$3:$AI$63,F$262,$BA269)</f>
        <v>0</v>
      </c>
      <c r="G269" s="1">
        <f>INDEX(tblTerritories_2014_O!$V$3:$AI$63,G$262,$BA269)</f>
        <v>0</v>
      </c>
      <c r="H269" s="1">
        <f>INDEX(tblTerritories_2014_O!$V$3:$AI$63,H$262,$BA269)</f>
        <v>0</v>
      </c>
      <c r="I269" s="1">
        <f>INDEX(tblTerritories_2014_O!$V$3:$AI$63,I$262,$BA269)</f>
        <v>1</v>
      </c>
      <c r="J269" s="1">
        <f>INDEX(tblTerritories_2014_O!$V$3:$AI$63,J$262,$BA269)</f>
        <v>0</v>
      </c>
      <c r="K269" s="1">
        <f>INDEX(tblTerritories_2014_O!$V$3:$AI$63,K$262,$BA269)</f>
        <v>1</v>
      </c>
      <c r="L269" s="1">
        <f>INDEX(tblTerritories_2014_O!$V$3:$AI$63,L$262,$BA269)</f>
        <v>0</v>
      </c>
      <c r="M269" s="1">
        <f>INDEX(tblTerritories_2014_O!$V$3:$AI$63,M$262,$BA269)</f>
        <v>0</v>
      </c>
      <c r="N269" s="1">
        <f>INDEX(tblTerritories_2014_O!$V$3:$AI$63,N$262,$BA269)</f>
        <v>0</v>
      </c>
      <c r="O269" s="1">
        <f>INDEX(tblTerritories_2014_O!$V$3:$AI$63,O$262,$BA269)</f>
        <v>0</v>
      </c>
      <c r="P269" s="1">
        <f>INDEX(tblTerritories_2014_O!$V$3:$AI$63,P$262,$BA269)</f>
        <v>0</v>
      </c>
      <c r="Q269" s="1">
        <f>INDEX(tblTerritories_2014_O!$V$3:$AI$63,Q$262,$BA269)</f>
        <v>0</v>
      </c>
      <c r="R269" s="1">
        <f>INDEX(tblTerritories_2014_O!$V$3:$AI$63,R$262,$BA269)</f>
        <v>0</v>
      </c>
      <c r="S269" s="1">
        <f>INDEX(tblTerritories_2014_O!$V$3:$AI$63,S$262,$BA269)</f>
        <v>1</v>
      </c>
      <c r="T269" s="1">
        <f>INDEX(tblTerritories_2014_O!$V$3:$AI$63,T$262,$BA269)</f>
        <v>0</v>
      </c>
      <c r="U269" s="1">
        <f>INDEX(tblTerritories_2014_O!$V$3:$AI$63,U$262,$BA269)</f>
        <v>0</v>
      </c>
      <c r="V269" s="1">
        <f>INDEX(tblTerritories_2014_O!$V$3:$AI$63,V$262,$BA269)</f>
        <v>1</v>
      </c>
      <c r="W269" s="1">
        <f>INDEX(tblTerritories_2014_O!$V$3:$AI$63,W$262,$BA269)</f>
        <v>0</v>
      </c>
      <c r="X269" s="1">
        <f>INDEX(tblTerritories_2014_O!$V$3:$AI$63,X$262,$BA269)</f>
        <v>0</v>
      </c>
      <c r="Y269" s="1">
        <f>INDEX(tblTerritories_2014_O!$V$3:$AI$63,Y$262,$BA269)</f>
        <v>0</v>
      </c>
      <c r="Z269" s="1">
        <f>INDEX(tblTerritories_2014_O!$V$3:$AI$63,Z$262,$BA269)</f>
        <v>0</v>
      </c>
      <c r="AA269" s="1">
        <f>INDEX(tblTerritories_2014_O!$V$3:$AI$63,AA$262,$BA269)</f>
        <v>0</v>
      </c>
      <c r="AB269" s="1">
        <f>INDEX(tblTerritories_2014_O!$V$3:$AI$63,AB$262,$BA269)</f>
        <v>0</v>
      </c>
      <c r="AC269" s="1">
        <f>INDEX(tblTerritories_2014_O!$V$3:$AI$63,AC$262,$BA269)</f>
        <v>0</v>
      </c>
      <c r="AD269" s="1">
        <f>INDEX(tblTerritories_2014_O!$V$3:$AI$63,AD$262,$BA269)</f>
        <v>1</v>
      </c>
      <c r="AE269" s="1">
        <f>INDEX(tblTerritories_2014_O!$V$3:$AI$63,AE$262,$BA269)</f>
        <v>0</v>
      </c>
      <c r="AF269" s="1">
        <f>INDEX(tblTerritories_2014_O!$V$3:$AI$63,AF$262,$BA269)</f>
        <v>0</v>
      </c>
      <c r="AG269" s="1">
        <f>INDEX(tblTerritories_2014_O!$V$3:$AI$63,AG$262,$BA269)</f>
        <v>0</v>
      </c>
      <c r="AH269" s="1">
        <f>INDEX(tblTerritories_2014_O!$V$3:$AI$63,AH$262,$BA269)</f>
        <v>1</v>
      </c>
      <c r="AI269" s="1">
        <f>INDEX(tblTerritories_2014_O!$V$3:$AI$63,AI$262,$BA269)</f>
        <v>0</v>
      </c>
      <c r="AJ269" s="1">
        <f>INDEX(tblTerritories_2014_O!$V$3:$AI$63,AJ$262,$BA269)</f>
        <v>1</v>
      </c>
      <c r="AK269" s="1">
        <f>INDEX(tblTerritories_2014_O!$V$3:$AI$63,AK$262,$BA269)</f>
        <v>0</v>
      </c>
      <c r="AL269" s="1">
        <f>INDEX(tblTerritories_2014_O!$V$3:$AI$63,AL$262,$BA269)</f>
        <v>0</v>
      </c>
      <c r="AM269" s="1">
        <f>INDEX(tblTerritories_2014_O!$V$3:$AI$63,AM$262,$BA269)</f>
        <v>0</v>
      </c>
      <c r="AN269" s="1">
        <f>INDEX(tblTerritories_2014_O!$V$3:$AI$63,AN$262,$BA269)</f>
        <v>0</v>
      </c>
      <c r="AO269" s="1">
        <f>INDEX(tblTerritories_2014_O!$V$3:$AI$63,AO$262,$BA269)</f>
        <v>0</v>
      </c>
      <c r="AP269" s="1">
        <f>INDEX(tblTerritories_2014_O!$V$3:$AI$63,AP$262,$BA269)</f>
        <v>1</v>
      </c>
      <c r="AQ269" s="1">
        <f>INDEX(tblTerritories_2014_O!$V$3:$AI$63,AQ$262,$BA269)</f>
        <v>0</v>
      </c>
      <c r="AR269" s="1">
        <f>INDEX(tblTerritories_2014_O!$V$3:$AI$63,AR$262,$BA269)</f>
        <v>0</v>
      </c>
      <c r="AS269" s="1">
        <f>INDEX(tblTerritories_2014_O!$V$3:$AI$63,AS$262,$BA269)</f>
        <v>0</v>
      </c>
      <c r="AT269" s="1">
        <f>INDEX(tblTerritories_2014_O!$V$3:$AI$63,AT$262,$BA269)</f>
        <v>0</v>
      </c>
      <c r="AU269" s="1">
        <f>INDEX(tblTerritories_2014_O!$V$3:$AI$63,AU$262,$BA269)</f>
        <v>0</v>
      </c>
      <c r="AV269" s="1">
        <f>INDEX(tblTerritories_2014_O!$V$3:$AI$63,AV$262,$BA269)</f>
        <v>0</v>
      </c>
      <c r="AW269" s="1">
        <f>INDEX(tblTerritories_2014_O!$V$3:$AI$63,AW$262,$BA269)</f>
        <v>0</v>
      </c>
      <c r="AX269" s="1">
        <f>INDEX(tblTerritories_2014_O!$V$3:$AI$63,AX$262,$BA269)</f>
        <v>1</v>
      </c>
      <c r="AY269" s="1">
        <f>INDEX(tblTerritories_2014_O!$V$3:$AI$63,AY$262,$BA269)</f>
        <v>1</v>
      </c>
      <c r="BA269" s="1">
        <f t="shared" si="345"/>
        <v>7</v>
      </c>
    </row>
    <row r="270" spans="1:53">
      <c r="A270" s="1" t="str">
        <f>tblTerritories!S11</f>
        <v>Upper Middle Income</v>
      </c>
      <c r="B270" s="1">
        <f>INDEX(tblTerritories_2014_O!$V$3:$AI$63,B$262,$BA270)</f>
        <v>0</v>
      </c>
      <c r="C270" s="1">
        <f>INDEX(tblTerritories_2014_O!$V$3:$AI$63,C$262,$BA270)</f>
        <v>1</v>
      </c>
      <c r="D270" s="1">
        <f>INDEX(tblTerritories_2014_O!$V$3:$AI$63,D$262,$BA270)</f>
        <v>0</v>
      </c>
      <c r="E270" s="1">
        <f>INDEX(tblTerritories_2014_O!$V$3:$AI$63,E$262,$BA270)</f>
        <v>1</v>
      </c>
      <c r="F270" s="1">
        <f>INDEX(tblTerritories_2014_O!$V$3:$AI$63,F$262,$BA270)</f>
        <v>0</v>
      </c>
      <c r="G270" s="1">
        <f>INDEX(tblTerritories_2014_O!$V$3:$AI$63,G$262,$BA270)</f>
        <v>1</v>
      </c>
      <c r="H270" s="1">
        <f>INDEX(tblTerritories_2014_O!$V$3:$AI$63,H$262,$BA270)</f>
        <v>0</v>
      </c>
      <c r="I270" s="1">
        <f>INDEX(tblTerritories_2014_O!$V$3:$AI$63,I$262,$BA270)</f>
        <v>0</v>
      </c>
      <c r="J270" s="1">
        <f>INDEX(tblTerritories_2014_O!$V$3:$AI$63,J$262,$BA270)</f>
        <v>0</v>
      </c>
      <c r="K270" s="1">
        <f>INDEX(tblTerritories_2014_O!$V$3:$AI$63,K$262,$BA270)</f>
        <v>0</v>
      </c>
      <c r="L270" s="1">
        <f>INDEX(tblTerritories_2014_O!$V$3:$AI$63,L$262,$BA270)</f>
        <v>1</v>
      </c>
      <c r="M270" s="1">
        <f>INDEX(tblTerritories_2014_O!$V$3:$AI$63,M$262,$BA270)</f>
        <v>0</v>
      </c>
      <c r="N270" s="1">
        <f>INDEX(tblTerritories_2014_O!$V$3:$AI$63,N$262,$BA270)</f>
        <v>0</v>
      </c>
      <c r="O270" s="1">
        <f>INDEX(tblTerritories_2014_O!$V$3:$AI$63,O$262,$BA270)</f>
        <v>1</v>
      </c>
      <c r="P270" s="1">
        <f>INDEX(tblTerritories_2014_O!$V$3:$AI$63,P$262,$BA270)</f>
        <v>0</v>
      </c>
      <c r="Q270" s="1">
        <f>INDEX(tblTerritories_2014_O!$V$3:$AI$63,Q$262,$BA270)</f>
        <v>0</v>
      </c>
      <c r="R270" s="1">
        <f>INDEX(tblTerritories_2014_O!$V$3:$AI$63,R$262,$BA270)</f>
        <v>0</v>
      </c>
      <c r="S270" s="1">
        <f>INDEX(tblTerritories_2014_O!$V$3:$AI$63,S$262,$BA270)</f>
        <v>0</v>
      </c>
      <c r="T270" s="1">
        <f>INDEX(tblTerritories_2014_O!$V$3:$AI$63,T$262,$BA270)</f>
        <v>0</v>
      </c>
      <c r="U270" s="1">
        <f>INDEX(tblTerritories_2014_O!$V$3:$AI$63,U$262,$BA270)</f>
        <v>1</v>
      </c>
      <c r="V270" s="1">
        <f>INDEX(tblTerritories_2014_O!$V$3:$AI$63,V$262,$BA270)</f>
        <v>0</v>
      </c>
      <c r="W270" s="1">
        <f>INDEX(tblTerritories_2014_O!$V$3:$AI$63,W$262,$BA270)</f>
        <v>1</v>
      </c>
      <c r="X270" s="1">
        <f>INDEX(tblTerritories_2014_O!$V$3:$AI$63,X$262,$BA270)</f>
        <v>1</v>
      </c>
      <c r="Y270" s="1">
        <f>INDEX(tblTerritories_2014_O!$V$3:$AI$63,Y$262,$BA270)</f>
        <v>0</v>
      </c>
      <c r="Z270" s="1">
        <f>INDEX(tblTerritories_2014_O!$V$3:$AI$63,Z$262,$BA270)</f>
        <v>1</v>
      </c>
      <c r="AA270" s="1">
        <f>INDEX(tblTerritories_2014_O!$V$3:$AI$63,AA$262,$BA270)</f>
        <v>1</v>
      </c>
      <c r="AB270" s="1">
        <f>INDEX(tblTerritories_2014_O!$V$3:$AI$63,AB$262,$BA270)</f>
        <v>0</v>
      </c>
      <c r="AC270" s="1">
        <f>INDEX(tblTerritories_2014_O!$V$3:$AI$63,AC$262,$BA270)</f>
        <v>0</v>
      </c>
      <c r="AD270" s="1">
        <f>INDEX(tblTerritories_2014_O!$V$3:$AI$63,AD$262,$BA270)</f>
        <v>0</v>
      </c>
      <c r="AE270" s="1">
        <f>INDEX(tblTerritories_2014_O!$V$3:$AI$63,AE$262,$BA270)</f>
        <v>1</v>
      </c>
      <c r="AF270" s="1">
        <f>INDEX(tblTerritories_2014_O!$V$3:$AI$63,AF$262,$BA270)</f>
        <v>1</v>
      </c>
      <c r="AG270" s="1">
        <f>INDEX(tblTerritories_2014_O!$V$3:$AI$63,AG$262,$BA270)</f>
        <v>0</v>
      </c>
      <c r="AH270" s="1">
        <f>INDEX(tblTerritories_2014_O!$V$3:$AI$63,AH$262,$BA270)</f>
        <v>0</v>
      </c>
      <c r="AI270" s="1">
        <f>INDEX(tblTerritories_2014_O!$V$3:$AI$63,AI$262,$BA270)</f>
        <v>1</v>
      </c>
      <c r="AJ270" s="1">
        <f>INDEX(tblTerritories_2014_O!$V$3:$AI$63,AJ$262,$BA270)</f>
        <v>0</v>
      </c>
      <c r="AK270" s="1">
        <f>INDEX(tblTerritories_2014_O!$V$3:$AI$63,AK$262,$BA270)</f>
        <v>0</v>
      </c>
      <c r="AL270" s="1">
        <f>INDEX(tblTerritories_2014_O!$V$3:$AI$63,AL$262,$BA270)</f>
        <v>0</v>
      </c>
      <c r="AM270" s="1">
        <f>INDEX(tblTerritories_2014_O!$V$3:$AI$63,AM$262,$BA270)</f>
        <v>1</v>
      </c>
      <c r="AN270" s="1">
        <f>INDEX(tblTerritories_2014_O!$V$3:$AI$63,AN$262,$BA270)</f>
        <v>0</v>
      </c>
      <c r="AO270" s="1">
        <f>INDEX(tblTerritories_2014_O!$V$3:$AI$63,AO$262,$BA270)</f>
        <v>0</v>
      </c>
      <c r="AP270" s="1">
        <f>INDEX(tblTerritories_2014_O!$V$3:$AI$63,AP$262,$BA270)</f>
        <v>0</v>
      </c>
      <c r="AQ270" s="1">
        <f>INDEX(tblTerritories_2014_O!$V$3:$AI$63,AQ$262,$BA270)</f>
        <v>1</v>
      </c>
      <c r="AR270" s="1">
        <f>INDEX(tblTerritories_2014_O!$V$3:$AI$63,AR$262,$BA270)</f>
        <v>1</v>
      </c>
      <c r="AS270" s="1">
        <f>INDEX(tblTerritories_2014_O!$V$3:$AI$63,AS$262,$BA270)</f>
        <v>1</v>
      </c>
      <c r="AT270" s="1">
        <f>INDEX(tblTerritories_2014_O!$V$3:$AI$63,AT$262,$BA270)</f>
        <v>0</v>
      </c>
      <c r="AU270" s="1">
        <f>INDEX(tblTerritories_2014_O!$V$3:$AI$63,AU$262,$BA270)</f>
        <v>0</v>
      </c>
      <c r="AV270" s="1">
        <f>INDEX(tblTerritories_2014_O!$V$3:$AI$63,AV$262,$BA270)</f>
        <v>1</v>
      </c>
      <c r="AW270" s="1">
        <f>INDEX(tblTerritories_2014_O!$V$3:$AI$63,AW$262,$BA270)</f>
        <v>1</v>
      </c>
      <c r="AX270" s="1">
        <f>INDEX(tblTerritories_2014_O!$V$3:$AI$63,AX$262,$BA270)</f>
        <v>0</v>
      </c>
      <c r="AY270" s="1">
        <f>INDEX(tblTerritories_2014_O!$V$3:$AI$63,AY$262,$BA270)</f>
        <v>0</v>
      </c>
      <c r="BA270" s="1">
        <f t="shared" ref="BA270:BA275" si="346">BA269+1</f>
        <v>8</v>
      </c>
    </row>
    <row r="271" spans="1:53">
      <c r="A271" s="1" t="str">
        <f>tblTerritories!S12</f>
        <v>Lower Middle Income</v>
      </c>
      <c r="B271" s="1">
        <f>INDEX(tblTerritories_2014_O!$V$3:$AI$63,B$262,$BA271)</f>
        <v>0</v>
      </c>
      <c r="C271" s="1">
        <f>INDEX(tblTerritories_2014_O!$V$3:$AI$63,C$262,$BA271)</f>
        <v>0</v>
      </c>
      <c r="D271" s="1">
        <f>INDEX(tblTerritories_2014_O!$V$3:$AI$63,D$262,$BA271)</f>
        <v>1</v>
      </c>
      <c r="E271" s="1">
        <f>INDEX(tblTerritories_2014_O!$V$3:$AI$63,E$262,$BA271)</f>
        <v>0</v>
      </c>
      <c r="F271" s="1">
        <f>INDEX(tblTerritories_2014_O!$V$3:$AI$63,F$262,$BA271)</f>
        <v>1</v>
      </c>
      <c r="G271" s="1">
        <f>INDEX(tblTerritories_2014_O!$V$3:$AI$63,G$262,$BA271)</f>
        <v>0</v>
      </c>
      <c r="H271" s="1">
        <f>INDEX(tblTerritories_2014_O!$V$3:$AI$63,H$262,$BA271)</f>
        <v>1</v>
      </c>
      <c r="I271" s="1">
        <f>INDEX(tblTerritories_2014_O!$V$3:$AI$63,I$262,$BA271)</f>
        <v>0</v>
      </c>
      <c r="J271" s="1">
        <f>INDEX(tblTerritories_2014_O!$V$3:$AI$63,J$262,$BA271)</f>
        <v>0</v>
      </c>
      <c r="K271" s="1">
        <f>INDEX(tblTerritories_2014_O!$V$3:$AI$63,K$262,$BA271)</f>
        <v>0</v>
      </c>
      <c r="L271" s="1">
        <f>INDEX(tblTerritories_2014_O!$V$3:$AI$63,L$262,$BA271)</f>
        <v>0</v>
      </c>
      <c r="M271" s="1">
        <f>INDEX(tblTerritories_2014_O!$V$3:$AI$63,M$262,$BA271)</f>
        <v>1</v>
      </c>
      <c r="N271" s="1">
        <f>INDEX(tblTerritories_2014_O!$V$3:$AI$63,N$262,$BA271)</f>
        <v>0</v>
      </c>
      <c r="O271" s="1">
        <f>INDEX(tblTerritories_2014_O!$V$3:$AI$63,O$262,$BA271)</f>
        <v>0</v>
      </c>
      <c r="P271" s="1">
        <f>INDEX(tblTerritories_2014_O!$V$3:$AI$63,P$262,$BA271)</f>
        <v>1</v>
      </c>
      <c r="Q271" s="1">
        <f>INDEX(tblTerritories_2014_O!$V$3:$AI$63,Q$262,$BA271)</f>
        <v>0</v>
      </c>
      <c r="R271" s="1">
        <f>INDEX(tblTerritories_2014_O!$V$3:$AI$63,R$262,$BA271)</f>
        <v>1</v>
      </c>
      <c r="S271" s="1">
        <f>INDEX(tblTerritories_2014_O!$V$3:$AI$63,S$262,$BA271)</f>
        <v>0</v>
      </c>
      <c r="T271" s="1">
        <f>INDEX(tblTerritories_2014_O!$V$3:$AI$63,T$262,$BA271)</f>
        <v>1</v>
      </c>
      <c r="U271" s="1">
        <f>INDEX(tblTerritories_2014_O!$V$3:$AI$63,U$262,$BA271)</f>
        <v>0</v>
      </c>
      <c r="V271" s="1">
        <f>INDEX(tblTerritories_2014_O!$V$3:$AI$63,V$262,$BA271)</f>
        <v>0</v>
      </c>
      <c r="W271" s="1">
        <f>INDEX(tblTerritories_2014_O!$V$3:$AI$63,W$262,$BA271)</f>
        <v>0</v>
      </c>
      <c r="X271" s="1">
        <f>INDEX(tblTerritories_2014_O!$V$3:$AI$63,X$262,$BA271)</f>
        <v>0</v>
      </c>
      <c r="Y271" s="1">
        <f>INDEX(tblTerritories_2014_O!$V$3:$AI$63,Y$262,$BA271)</f>
        <v>1</v>
      </c>
      <c r="Z271" s="1">
        <f>INDEX(tblTerritories_2014_O!$V$3:$AI$63,Z$262,$BA271)</f>
        <v>0</v>
      </c>
      <c r="AA271" s="1">
        <f>INDEX(tblTerritories_2014_O!$V$3:$AI$63,AA$262,$BA271)</f>
        <v>0</v>
      </c>
      <c r="AB271" s="1">
        <f>INDEX(tblTerritories_2014_O!$V$3:$AI$63,AB$262,$BA271)</f>
        <v>1</v>
      </c>
      <c r="AC271" s="1">
        <f>INDEX(tblTerritories_2014_O!$V$3:$AI$63,AC$262,$BA271)</f>
        <v>0</v>
      </c>
      <c r="AD271" s="1">
        <f>INDEX(tblTerritories_2014_O!$V$3:$AI$63,AD$262,$BA271)</f>
        <v>0</v>
      </c>
      <c r="AE271" s="1">
        <f>INDEX(tblTerritories_2014_O!$V$3:$AI$63,AE$262,$BA271)</f>
        <v>0</v>
      </c>
      <c r="AF271" s="1">
        <f>INDEX(tblTerritories_2014_O!$V$3:$AI$63,AF$262,$BA271)</f>
        <v>0</v>
      </c>
      <c r="AG271" s="1">
        <f>INDEX(tblTerritories_2014_O!$V$3:$AI$63,AG$262,$BA271)</f>
        <v>1</v>
      </c>
      <c r="AH271" s="1">
        <f>INDEX(tblTerritories_2014_O!$V$3:$AI$63,AH$262,$BA271)</f>
        <v>0</v>
      </c>
      <c r="AI271" s="1">
        <f>INDEX(tblTerritories_2014_O!$V$3:$AI$63,AI$262,$BA271)</f>
        <v>0</v>
      </c>
      <c r="AJ271" s="1">
        <f>INDEX(tblTerritories_2014_O!$V$3:$AI$63,AJ$262,$BA271)</f>
        <v>0</v>
      </c>
      <c r="AK271" s="1">
        <f>INDEX(tblTerritories_2014_O!$V$3:$AI$63,AK$262,$BA271)</f>
        <v>1</v>
      </c>
      <c r="AL271" s="1">
        <f>INDEX(tblTerritories_2014_O!$V$3:$AI$63,AL$262,$BA271)</f>
        <v>1</v>
      </c>
      <c r="AM271" s="1">
        <f>INDEX(tblTerritories_2014_O!$V$3:$AI$63,AM$262,$BA271)</f>
        <v>0</v>
      </c>
      <c r="AN271" s="1">
        <f>INDEX(tblTerritories_2014_O!$V$3:$AI$63,AN$262,$BA271)</f>
        <v>1</v>
      </c>
      <c r="AO271" s="1">
        <f>INDEX(tblTerritories_2014_O!$V$3:$AI$63,AO$262,$BA271)</f>
        <v>1</v>
      </c>
      <c r="AP271" s="1">
        <f>INDEX(tblTerritories_2014_O!$V$3:$AI$63,AP$262,$BA271)</f>
        <v>0</v>
      </c>
      <c r="AQ271" s="1">
        <f>INDEX(tblTerritories_2014_O!$V$3:$AI$63,AQ$262,$BA271)</f>
        <v>0</v>
      </c>
      <c r="AR271" s="1">
        <f>INDEX(tblTerritories_2014_O!$V$3:$AI$63,AR$262,$BA271)</f>
        <v>0</v>
      </c>
      <c r="AS271" s="1">
        <f>INDEX(tblTerritories_2014_O!$V$3:$AI$63,AS$262,$BA271)</f>
        <v>0</v>
      </c>
      <c r="AT271" s="1">
        <f>INDEX(tblTerritories_2014_O!$V$3:$AI$63,AT$262,$BA271)</f>
        <v>1</v>
      </c>
      <c r="AU271" s="1">
        <f>INDEX(tblTerritories_2014_O!$V$3:$AI$63,AU$262,$BA271)</f>
        <v>1</v>
      </c>
      <c r="AV271" s="1">
        <f>INDEX(tblTerritories_2014_O!$V$3:$AI$63,AV$262,$BA271)</f>
        <v>0</v>
      </c>
      <c r="AW271" s="1">
        <f>INDEX(tblTerritories_2014_O!$V$3:$AI$63,AW$262,$BA271)</f>
        <v>0</v>
      </c>
      <c r="AX271" s="1">
        <f>INDEX(tblTerritories_2014_O!$V$3:$AI$63,AX$262,$BA271)</f>
        <v>0</v>
      </c>
      <c r="AY271" s="1">
        <f>INDEX(tblTerritories_2014_O!$V$3:$AI$63,AY$262,$BA271)</f>
        <v>0</v>
      </c>
      <c r="BA271" s="1">
        <f t="shared" si="346"/>
        <v>9</v>
      </c>
    </row>
    <row r="272" spans="1:53">
      <c r="A272" s="1" t="str">
        <f>tblTerritories!S13</f>
        <v>Low Income</v>
      </c>
      <c r="B272" s="1">
        <f>INDEX(tblTerritories_2014_O!$V$3:$AI$63,B$262,$BA272)</f>
        <v>0</v>
      </c>
      <c r="C272" s="1">
        <f>INDEX(tblTerritories_2014_O!$V$3:$AI$63,C$262,$BA272)</f>
        <v>0</v>
      </c>
      <c r="D272" s="1">
        <f>INDEX(tblTerritories_2014_O!$V$3:$AI$63,D$262,$BA272)</f>
        <v>0</v>
      </c>
      <c r="E272" s="1">
        <f>INDEX(tblTerritories_2014_O!$V$3:$AI$63,E$262,$BA272)</f>
        <v>0</v>
      </c>
      <c r="F272" s="1">
        <f>INDEX(tblTerritories_2014_O!$V$3:$AI$63,F$262,$BA272)</f>
        <v>0</v>
      </c>
      <c r="G272" s="1">
        <f>INDEX(tblTerritories_2014_O!$V$3:$AI$63,G$262,$BA272)</f>
        <v>0</v>
      </c>
      <c r="H272" s="1">
        <f>INDEX(tblTerritories_2014_O!$V$3:$AI$63,H$262,$BA272)</f>
        <v>0</v>
      </c>
      <c r="I272" s="1">
        <f>INDEX(tblTerritories_2014_O!$V$3:$AI$63,I$262,$BA272)</f>
        <v>0</v>
      </c>
      <c r="J272" s="1">
        <f>INDEX(tblTerritories_2014_O!$V$3:$AI$63,J$262,$BA272)</f>
        <v>1</v>
      </c>
      <c r="K272" s="1">
        <f>INDEX(tblTerritories_2014_O!$V$3:$AI$63,K$262,$BA272)</f>
        <v>0</v>
      </c>
      <c r="L272" s="1">
        <f>INDEX(tblTerritories_2014_O!$V$3:$AI$63,L$262,$BA272)</f>
        <v>0</v>
      </c>
      <c r="M272" s="1">
        <f>INDEX(tblTerritories_2014_O!$V$3:$AI$63,M$262,$BA272)</f>
        <v>0</v>
      </c>
      <c r="N272" s="1">
        <f>INDEX(tblTerritories_2014_O!$V$3:$AI$63,N$262,$BA272)</f>
        <v>1</v>
      </c>
      <c r="O272" s="1">
        <f>INDEX(tblTerritories_2014_O!$V$3:$AI$63,O$262,$BA272)</f>
        <v>0</v>
      </c>
      <c r="P272" s="1">
        <f>INDEX(tblTerritories_2014_O!$V$3:$AI$63,P$262,$BA272)</f>
        <v>0</v>
      </c>
      <c r="Q272" s="1">
        <f>INDEX(tblTerritories_2014_O!$V$3:$AI$63,Q$262,$BA272)</f>
        <v>1</v>
      </c>
      <c r="R272" s="1">
        <f>INDEX(tblTerritories_2014_O!$V$3:$AI$63,R$262,$BA272)</f>
        <v>0</v>
      </c>
      <c r="S272" s="1">
        <f>INDEX(tblTerritories_2014_O!$V$3:$AI$63,S$262,$BA272)</f>
        <v>0</v>
      </c>
      <c r="T272" s="1">
        <f>INDEX(tblTerritories_2014_O!$V$3:$AI$63,T$262,$BA272)</f>
        <v>0</v>
      </c>
      <c r="U272" s="1">
        <f>INDEX(tblTerritories_2014_O!$V$3:$AI$63,U$262,$BA272)</f>
        <v>0</v>
      </c>
      <c r="V272" s="1">
        <f>INDEX(tblTerritories_2014_O!$V$3:$AI$63,V$262,$BA272)</f>
        <v>0</v>
      </c>
      <c r="W272" s="1">
        <f>INDEX(tblTerritories_2014_O!$V$3:$AI$63,W$262,$BA272)</f>
        <v>0</v>
      </c>
      <c r="X272" s="1">
        <f>INDEX(tblTerritories_2014_O!$V$3:$AI$63,X$262,$BA272)</f>
        <v>0</v>
      </c>
      <c r="Y272" s="1">
        <f>INDEX(tblTerritories_2014_O!$V$3:$AI$63,Y$262,$BA272)</f>
        <v>0</v>
      </c>
      <c r="Z272" s="1">
        <f>INDEX(tblTerritories_2014_O!$V$3:$AI$63,Z$262,$BA272)</f>
        <v>0</v>
      </c>
      <c r="AA272" s="1">
        <f>INDEX(tblTerritories_2014_O!$V$3:$AI$63,AA$262,$BA272)</f>
        <v>0</v>
      </c>
      <c r="AB272" s="1">
        <f>INDEX(tblTerritories_2014_O!$V$3:$AI$63,AB$262,$BA272)</f>
        <v>0</v>
      </c>
      <c r="AC272" s="1">
        <f>INDEX(tblTerritories_2014_O!$V$3:$AI$63,AC$262,$BA272)</f>
        <v>1</v>
      </c>
      <c r="AD272" s="1">
        <f>INDEX(tblTerritories_2014_O!$V$3:$AI$63,AD$262,$BA272)</f>
        <v>0</v>
      </c>
      <c r="AE272" s="1">
        <f>INDEX(tblTerritories_2014_O!$V$3:$AI$63,AE$262,$BA272)</f>
        <v>0</v>
      </c>
      <c r="AF272" s="1">
        <f>INDEX(tblTerritories_2014_O!$V$3:$AI$63,AF$262,$BA272)</f>
        <v>0</v>
      </c>
      <c r="AG272" s="1">
        <f>INDEX(tblTerritories_2014_O!$V$3:$AI$63,AG$262,$BA272)</f>
        <v>0</v>
      </c>
      <c r="AH272" s="1">
        <f>INDEX(tblTerritories_2014_O!$V$3:$AI$63,AH$262,$BA272)</f>
        <v>0</v>
      </c>
      <c r="AI272" s="1">
        <f>INDEX(tblTerritories_2014_O!$V$3:$AI$63,AI$262,$BA272)</f>
        <v>0</v>
      </c>
      <c r="AJ272" s="1">
        <f>INDEX(tblTerritories_2014_O!$V$3:$AI$63,AJ$262,$BA272)</f>
        <v>0</v>
      </c>
      <c r="AK272" s="1">
        <f>INDEX(tblTerritories_2014_O!$V$3:$AI$63,AK$262,$BA272)</f>
        <v>0</v>
      </c>
      <c r="AL272" s="1">
        <f>INDEX(tblTerritories_2014_O!$V$3:$AI$63,AL$262,$BA272)</f>
        <v>0</v>
      </c>
      <c r="AM272" s="1">
        <f>INDEX(tblTerritories_2014_O!$V$3:$AI$63,AM$262,$BA272)</f>
        <v>0</v>
      </c>
      <c r="AN272" s="1">
        <f>INDEX(tblTerritories_2014_O!$V$3:$AI$63,AN$262,$BA272)</f>
        <v>0</v>
      </c>
      <c r="AO272" s="1">
        <f>INDEX(tblTerritories_2014_O!$V$3:$AI$63,AO$262,$BA272)</f>
        <v>0</v>
      </c>
      <c r="AP272" s="1">
        <f>INDEX(tblTerritories_2014_O!$V$3:$AI$63,AP$262,$BA272)</f>
        <v>0</v>
      </c>
      <c r="AQ272" s="1">
        <f>INDEX(tblTerritories_2014_O!$V$3:$AI$63,AQ$262,$BA272)</f>
        <v>0</v>
      </c>
      <c r="AR272" s="1">
        <f>INDEX(tblTerritories_2014_O!$V$3:$AI$63,AR$262,$BA272)</f>
        <v>0</v>
      </c>
      <c r="AS272" s="1">
        <f>INDEX(tblTerritories_2014_O!$V$3:$AI$63,AS$262,$BA272)</f>
        <v>0</v>
      </c>
      <c r="AT272" s="1">
        <f>INDEX(tblTerritories_2014_O!$V$3:$AI$63,AT$262,$BA272)</f>
        <v>0</v>
      </c>
      <c r="AU272" s="1">
        <f>INDEX(tblTerritories_2014_O!$V$3:$AI$63,AU$262,$BA272)</f>
        <v>0</v>
      </c>
      <c r="AV272" s="1">
        <f>INDEX(tblTerritories_2014_O!$V$3:$AI$63,AV$262,$BA272)</f>
        <v>0</v>
      </c>
      <c r="AW272" s="1">
        <f>INDEX(tblTerritories_2014_O!$V$3:$AI$63,AW$262,$BA272)</f>
        <v>0</v>
      </c>
      <c r="AX272" s="1">
        <f>INDEX(tblTerritories_2014_O!$V$3:$AI$63,AX$262,$BA272)</f>
        <v>0</v>
      </c>
      <c r="AY272" s="1">
        <f>INDEX(tblTerritories_2014_O!$V$3:$AI$63,AY$262,$BA272)</f>
        <v>0</v>
      </c>
      <c r="BA272" s="1">
        <f t="shared" si="346"/>
        <v>10</v>
      </c>
    </row>
    <row r="273" spans="1:53">
      <c r="A273" s="1" t="str">
        <f>tblTerritories!S14</f>
        <v>Population &lt; 5 million</v>
      </c>
      <c r="B273" s="1">
        <f>INDEX(tblTerritories_2014_O!$V$3:$AI$63,B$262,$BA273)</f>
        <v>1</v>
      </c>
      <c r="C273" s="1">
        <f>INDEX(tblTerritories_2014_O!$V$3:$AI$63,C$262,$BA273)</f>
        <v>1</v>
      </c>
      <c r="D273" s="1">
        <f>INDEX(tblTerritories_2014_O!$V$3:$AI$63,D$262,$BA273)</f>
        <v>0</v>
      </c>
      <c r="E273" s="1">
        <f>INDEX(tblTerritories_2014_O!$V$3:$AI$63,E$262,$BA273)</f>
        <v>0</v>
      </c>
      <c r="F273" s="1">
        <f>INDEX(tblTerritories_2014_O!$V$3:$AI$63,F$262,$BA273)</f>
        <v>0</v>
      </c>
      <c r="G273" s="1">
        <f>INDEX(tblTerritories_2014_O!$V$3:$AI$63,G$262,$BA273)</f>
        <v>1</v>
      </c>
      <c r="H273" s="1">
        <f>INDEX(tblTerritories_2014_O!$V$3:$AI$63,H$262,$BA273)</f>
        <v>0</v>
      </c>
      <c r="I273" s="1">
        <f>INDEX(tblTerritories_2014_O!$V$3:$AI$63,I$262,$BA273)</f>
        <v>0</v>
      </c>
      <c r="J273" s="1">
        <f>INDEX(tblTerritories_2014_O!$V$3:$AI$63,J$262,$BA273)</f>
        <v>0</v>
      </c>
      <c r="K273" s="1">
        <f>INDEX(tblTerritories_2014_O!$V$3:$AI$63,K$262,$BA273)</f>
        <v>1</v>
      </c>
      <c r="L273" s="1">
        <f>INDEX(tblTerritories_2014_O!$V$3:$AI$63,L$262,$BA273)</f>
        <v>1</v>
      </c>
      <c r="M273" s="1">
        <f>INDEX(tblTerritories_2014_O!$V$3:$AI$63,M$262,$BA273)</f>
        <v>0</v>
      </c>
      <c r="N273" s="1">
        <f>INDEX(tblTerritories_2014_O!$V$3:$AI$63,N$262,$BA273)</f>
        <v>0</v>
      </c>
      <c r="O273" s="1">
        <f>INDEX(tblTerritories_2014_O!$V$3:$AI$63,O$262,$BA273)</f>
        <v>0</v>
      </c>
      <c r="P273" s="1">
        <f>INDEX(tblTerritories_2014_O!$V$3:$AI$63,P$262,$BA273)</f>
        <v>0</v>
      </c>
      <c r="Q273" s="1">
        <f>INDEX(tblTerritories_2014_O!$V$3:$AI$63,Q$262,$BA273)</f>
        <v>0</v>
      </c>
      <c r="R273" s="1">
        <f>INDEX(tblTerritories_2014_O!$V$3:$AI$63,R$262,$BA273)</f>
        <v>0</v>
      </c>
      <c r="S273" s="1">
        <f>INDEX(tblTerritories_2014_O!$V$3:$AI$63,S$262,$BA273)</f>
        <v>1</v>
      </c>
      <c r="T273" s="1">
        <f>INDEX(tblTerritories_2014_O!$V$3:$AI$63,T$262,$BA273)</f>
        <v>0</v>
      </c>
      <c r="U273" s="1">
        <f>INDEX(tblTerritories_2014_O!$V$3:$AI$63,U$262,$BA273)</f>
        <v>0</v>
      </c>
      <c r="V273" s="1">
        <f>INDEX(tblTerritories_2014_O!$V$3:$AI$63,V$262,$BA273)</f>
        <v>0</v>
      </c>
      <c r="W273" s="1">
        <f>INDEX(tblTerritories_2014_O!$V$3:$AI$63,W$262,$BA273)</f>
        <v>0</v>
      </c>
      <c r="X273" s="1">
        <f>INDEX(tblTerritories_2014_O!$V$3:$AI$63,X$262,$BA273)</f>
        <v>1</v>
      </c>
      <c r="Y273" s="1">
        <f>INDEX(tblTerritories_2014_O!$V$3:$AI$63,Y$262,$BA273)</f>
        <v>0</v>
      </c>
      <c r="Z273" s="1">
        <f>INDEX(tblTerritories_2014_O!$V$3:$AI$63,Z$262,$BA273)</f>
        <v>1</v>
      </c>
      <c r="AA273" s="1">
        <f>INDEX(tblTerritories_2014_O!$V$3:$AI$63,AA$262,$BA273)</f>
        <v>1</v>
      </c>
      <c r="AB273" s="1">
        <f>INDEX(tblTerritories_2014_O!$V$3:$AI$63,AB$262,$BA273)</f>
        <v>0</v>
      </c>
      <c r="AC273" s="1">
        <f>INDEX(tblTerritories_2014_O!$V$3:$AI$63,AC$262,$BA273)</f>
        <v>0</v>
      </c>
      <c r="AD273" s="1">
        <f>INDEX(tblTerritories_2014_O!$V$3:$AI$63,AD$262,$BA273)</f>
        <v>0</v>
      </c>
      <c r="AE273" s="1">
        <f>INDEX(tblTerritories_2014_O!$V$3:$AI$63,AE$262,$BA273)</f>
        <v>0</v>
      </c>
      <c r="AF273" s="1">
        <f>INDEX(tblTerritories_2014_O!$V$3:$AI$63,AF$262,$BA273)</f>
        <v>0</v>
      </c>
      <c r="AG273" s="1">
        <f>INDEX(tblTerritories_2014_O!$V$3:$AI$63,AG$262,$BA273)</f>
        <v>0</v>
      </c>
      <c r="AH273" s="1">
        <f>INDEX(tblTerritories_2014_O!$V$3:$AI$63,AH$262,$BA273)</f>
        <v>0</v>
      </c>
      <c r="AI273" s="1">
        <f>INDEX(tblTerritories_2014_O!$V$3:$AI$63,AI$262,$BA273)</f>
        <v>1</v>
      </c>
      <c r="AJ273" s="1">
        <f>INDEX(tblTerritories_2014_O!$V$3:$AI$63,AJ$262,$BA273)</f>
        <v>1</v>
      </c>
      <c r="AK273" s="1">
        <f>INDEX(tblTerritories_2014_O!$V$3:$AI$63,AK$262,$BA273)</f>
        <v>0</v>
      </c>
      <c r="AL273" s="1">
        <f>INDEX(tblTerritories_2014_O!$V$3:$AI$63,AL$262,$BA273)</f>
        <v>0</v>
      </c>
      <c r="AM273" s="1">
        <f>INDEX(tblTerritories_2014_O!$V$3:$AI$63,AM$262,$BA273)</f>
        <v>0</v>
      </c>
      <c r="AN273" s="1">
        <f>INDEX(tblTerritories_2014_O!$V$3:$AI$63,AN$262,$BA273)</f>
        <v>0</v>
      </c>
      <c r="AO273" s="1">
        <f>INDEX(tblTerritories_2014_O!$V$3:$AI$63,AO$262,$BA273)</f>
        <v>0</v>
      </c>
      <c r="AP273" s="1">
        <f>INDEX(tblTerritories_2014_O!$V$3:$AI$63,AP$262,$BA273)</f>
        <v>0</v>
      </c>
      <c r="AQ273" s="1">
        <f>INDEX(tblTerritories_2014_O!$V$3:$AI$63,AQ$262,$BA273)</f>
        <v>1</v>
      </c>
      <c r="AR273" s="1">
        <f>INDEX(tblTerritories_2014_O!$V$3:$AI$63,AR$262,$BA273)</f>
        <v>1</v>
      </c>
      <c r="AS273" s="1">
        <f>INDEX(tblTerritories_2014_O!$V$3:$AI$63,AS$262,$BA273)</f>
        <v>0</v>
      </c>
      <c r="AT273" s="1">
        <f>INDEX(tblTerritories_2014_O!$V$3:$AI$63,AT$262,$BA273)</f>
        <v>0</v>
      </c>
      <c r="AU273" s="1">
        <f>INDEX(tblTerritories_2014_O!$V$3:$AI$63,AU$262,$BA273)</f>
        <v>0</v>
      </c>
      <c r="AV273" s="1">
        <f>INDEX(tblTerritories_2014_O!$V$3:$AI$63,AV$262,$BA273)</f>
        <v>0</v>
      </c>
      <c r="AW273" s="1">
        <f>INDEX(tblTerritories_2014_O!$V$3:$AI$63,AW$262,$BA273)</f>
        <v>0</v>
      </c>
      <c r="AX273" s="1">
        <f>INDEX(tblTerritories_2014_O!$V$3:$AI$63,AX$262,$BA273)</f>
        <v>0</v>
      </c>
      <c r="AY273" s="1">
        <f>INDEX(tblTerritories_2014_O!$V$3:$AI$63,AY$262,$BA273)</f>
        <v>1</v>
      </c>
      <c r="BA273" s="1">
        <f t="shared" si="346"/>
        <v>11</v>
      </c>
    </row>
    <row r="274" spans="1:53">
      <c r="A274" s="1" t="str">
        <f>tblTerritories!S15</f>
        <v>Population 5 - 10 million</v>
      </c>
      <c r="B274" s="1">
        <f>INDEX(tblTerritories_2014_O!$V$3:$AI$63,B$262,$BA274)</f>
        <v>0</v>
      </c>
      <c r="C274" s="1">
        <f>INDEX(tblTerritories_2014_O!$V$3:$AI$63,C$262,$BA274)</f>
        <v>0</v>
      </c>
      <c r="D274" s="1">
        <f>INDEX(tblTerritories_2014_O!$V$3:$AI$63,D$262,$BA274)</f>
        <v>0</v>
      </c>
      <c r="E274" s="1">
        <f>INDEX(tblTerritories_2014_O!$V$3:$AI$63,E$262,$BA274)</f>
        <v>1</v>
      </c>
      <c r="F274" s="1">
        <f>INDEX(tblTerritories_2014_O!$V$3:$AI$63,F$262,$BA274)</f>
        <v>0</v>
      </c>
      <c r="G274" s="1">
        <f>INDEX(tblTerritories_2014_O!$V$3:$AI$63,G$262,$BA274)</f>
        <v>0</v>
      </c>
      <c r="H274" s="1">
        <f>INDEX(tblTerritories_2014_O!$V$3:$AI$63,H$262,$BA274)</f>
        <v>0</v>
      </c>
      <c r="I274" s="1">
        <f>INDEX(tblTerritories_2014_O!$V$3:$AI$63,I$262,$BA274)</f>
        <v>1</v>
      </c>
      <c r="J274" s="1">
        <f>INDEX(tblTerritories_2014_O!$V$3:$AI$63,J$262,$BA274)</f>
        <v>0</v>
      </c>
      <c r="K274" s="1">
        <f>INDEX(tblTerritories_2014_O!$V$3:$AI$63,K$262,$BA274)</f>
        <v>0</v>
      </c>
      <c r="L274" s="1">
        <f>INDEX(tblTerritories_2014_O!$V$3:$AI$63,L$262,$BA274)</f>
        <v>0</v>
      </c>
      <c r="M274" s="1">
        <f>INDEX(tblTerritories_2014_O!$V$3:$AI$63,M$262,$BA274)</f>
        <v>0</v>
      </c>
      <c r="N274" s="1">
        <f>INDEX(tblTerritories_2014_O!$V$3:$AI$63,N$262,$BA274)</f>
        <v>0</v>
      </c>
      <c r="O274" s="1">
        <f>INDEX(tblTerritories_2014_O!$V$3:$AI$63,O$262,$BA274)</f>
        <v>1</v>
      </c>
      <c r="P274" s="1">
        <f>INDEX(tblTerritories_2014_O!$V$3:$AI$63,P$262,$BA274)</f>
        <v>0</v>
      </c>
      <c r="Q274" s="1">
        <f>INDEX(tblTerritories_2014_O!$V$3:$AI$63,Q$262,$BA274)</f>
        <v>0</v>
      </c>
      <c r="R274" s="1">
        <f>INDEX(tblTerritories_2014_O!$V$3:$AI$63,R$262,$BA274)</f>
        <v>1</v>
      </c>
      <c r="S274" s="1">
        <f>INDEX(tblTerritories_2014_O!$V$3:$AI$63,S$262,$BA274)</f>
        <v>0</v>
      </c>
      <c r="T274" s="1">
        <f>INDEX(tblTerritories_2014_O!$V$3:$AI$63,T$262,$BA274)</f>
        <v>0</v>
      </c>
      <c r="U274" s="1">
        <f>INDEX(tblTerritories_2014_O!$V$3:$AI$63,U$262,$BA274)</f>
        <v>0</v>
      </c>
      <c r="V274" s="1">
        <f>INDEX(tblTerritories_2014_O!$V$3:$AI$63,V$262,$BA274)</f>
        <v>0</v>
      </c>
      <c r="W274" s="1">
        <f>INDEX(tblTerritories_2014_O!$V$3:$AI$63,W$262,$BA274)</f>
        <v>1</v>
      </c>
      <c r="X274" s="1">
        <f>INDEX(tblTerritories_2014_O!$V$3:$AI$63,X$262,$BA274)</f>
        <v>0</v>
      </c>
      <c r="Y274" s="1">
        <f>INDEX(tblTerritories_2014_O!$V$3:$AI$63,Y$262,$BA274)</f>
        <v>0</v>
      </c>
      <c r="Z274" s="1">
        <f>INDEX(tblTerritories_2014_O!$V$3:$AI$63,Z$262,$BA274)</f>
        <v>0</v>
      </c>
      <c r="AA274" s="1">
        <f>INDEX(tblTerritories_2014_O!$V$3:$AI$63,AA$262,$BA274)</f>
        <v>0</v>
      </c>
      <c r="AB274" s="1">
        <f>INDEX(tblTerritories_2014_O!$V$3:$AI$63,AB$262,$BA274)</f>
        <v>0</v>
      </c>
      <c r="AC274" s="1">
        <f>INDEX(tblTerritories_2014_O!$V$3:$AI$63,AC$262,$BA274)</f>
        <v>0</v>
      </c>
      <c r="AD274" s="1">
        <f>INDEX(tblTerritories_2014_O!$V$3:$AI$63,AD$262,$BA274)</f>
        <v>0</v>
      </c>
      <c r="AE274" s="1">
        <f>INDEX(tblTerritories_2014_O!$V$3:$AI$63,AE$262,$BA274)</f>
        <v>0</v>
      </c>
      <c r="AF274" s="1">
        <f>INDEX(tblTerritories_2014_O!$V$3:$AI$63,AF$262,$BA274)</f>
        <v>0</v>
      </c>
      <c r="AG274" s="1">
        <f>INDEX(tblTerritories_2014_O!$V$3:$AI$63,AG$262,$BA274)</f>
        <v>0</v>
      </c>
      <c r="AH274" s="1">
        <f>INDEX(tblTerritories_2014_O!$V$3:$AI$63,AH$262,$BA274)</f>
        <v>1</v>
      </c>
      <c r="AI274" s="1">
        <f>INDEX(tblTerritories_2014_O!$V$3:$AI$63,AI$262,$BA274)</f>
        <v>0</v>
      </c>
      <c r="AJ274" s="1">
        <f>INDEX(tblTerritories_2014_O!$V$3:$AI$63,AJ$262,$BA274)</f>
        <v>0</v>
      </c>
      <c r="AK274" s="1">
        <f>INDEX(tblTerritories_2014_O!$V$3:$AI$63,AK$262,$BA274)</f>
        <v>1</v>
      </c>
      <c r="AL274" s="1">
        <f>INDEX(tblTerritories_2014_O!$V$3:$AI$63,AL$262,$BA274)</f>
        <v>0</v>
      </c>
      <c r="AM274" s="1">
        <f>INDEX(tblTerritories_2014_O!$V$3:$AI$63,AM$262,$BA274)</f>
        <v>0</v>
      </c>
      <c r="AN274" s="1">
        <f>INDEX(tblTerritories_2014_O!$V$3:$AI$63,AN$262,$BA274)</f>
        <v>0</v>
      </c>
      <c r="AO274" s="1">
        <f>INDEX(tblTerritories_2014_O!$V$3:$AI$63,AO$262,$BA274)</f>
        <v>0</v>
      </c>
      <c r="AP274" s="1">
        <f>INDEX(tblTerritories_2014_O!$V$3:$AI$63,AP$262,$BA274)</f>
        <v>1</v>
      </c>
      <c r="AQ274" s="1">
        <f>INDEX(tblTerritories_2014_O!$V$3:$AI$63,AQ$262,$BA274)</f>
        <v>0</v>
      </c>
      <c r="AR274" s="1">
        <f>INDEX(tblTerritories_2014_O!$V$3:$AI$63,AR$262,$BA274)</f>
        <v>0</v>
      </c>
      <c r="AS274" s="1">
        <f>INDEX(tblTerritories_2014_O!$V$3:$AI$63,AS$262,$BA274)</f>
        <v>1</v>
      </c>
      <c r="AT274" s="1">
        <f>INDEX(tblTerritories_2014_O!$V$3:$AI$63,AT$262,$BA274)</f>
        <v>1</v>
      </c>
      <c r="AU274" s="1">
        <f>INDEX(tblTerritories_2014_O!$V$3:$AI$63,AU$262,$BA274)</f>
        <v>0</v>
      </c>
      <c r="AV274" s="1">
        <f>INDEX(tblTerritories_2014_O!$V$3:$AI$63,AV$262,$BA274)</f>
        <v>0</v>
      </c>
      <c r="AW274" s="1">
        <f>INDEX(tblTerritories_2014_O!$V$3:$AI$63,AW$262,$BA274)</f>
        <v>1</v>
      </c>
      <c r="AX274" s="1">
        <f>INDEX(tblTerritories_2014_O!$V$3:$AI$63,AX$262,$BA274)</f>
        <v>1</v>
      </c>
      <c r="AY274" s="1">
        <f>INDEX(tblTerritories_2014_O!$V$3:$AI$63,AY$262,$BA274)</f>
        <v>0</v>
      </c>
      <c r="BA274" s="1">
        <f t="shared" si="346"/>
        <v>12</v>
      </c>
    </row>
    <row r="275" spans="1:53">
      <c r="A275" s="1" t="str">
        <f>tblTerritories!S17</f>
        <v>Population &gt; 15 million</v>
      </c>
      <c r="B275" s="1">
        <f>INDEX(tblTerritories_2014_O!$V$3:$AI$63,B$262,$BA275)</f>
        <v>0</v>
      </c>
      <c r="C275" s="1">
        <f>INDEX(tblTerritories_2014_O!$V$3:$AI$63,C$262,$BA275)</f>
        <v>0</v>
      </c>
      <c r="D275" s="1">
        <f>INDEX(tblTerritories_2014_O!$V$3:$AI$63,D$262,$BA275)</f>
        <v>1</v>
      </c>
      <c r="E275" s="1">
        <f>INDEX(tblTerritories_2014_O!$V$3:$AI$63,E$262,$BA275)</f>
        <v>0</v>
      </c>
      <c r="F275" s="1">
        <f>INDEX(tblTerritories_2014_O!$V$3:$AI$63,F$262,$BA275)</f>
        <v>0</v>
      </c>
      <c r="G275" s="1">
        <f>INDEX(tblTerritories_2014_O!$V$3:$AI$63,G$262,$BA275)</f>
        <v>0</v>
      </c>
      <c r="H275" s="1">
        <f>INDEX(tblTerritories_2014_O!$V$3:$AI$63,H$262,$BA275)</f>
        <v>0</v>
      </c>
      <c r="I275" s="1">
        <f>INDEX(tblTerritories_2014_O!$V$3:$AI$63,I$262,$BA275)</f>
        <v>0</v>
      </c>
      <c r="J275" s="1">
        <f>INDEX(tblTerritories_2014_O!$V$3:$AI$63,J$262,$BA275)</f>
        <v>0</v>
      </c>
      <c r="K275" s="1">
        <f>INDEX(tblTerritories_2014_O!$V$3:$AI$63,K$262,$BA275)</f>
        <v>0</v>
      </c>
      <c r="L275" s="1">
        <f>INDEX(tblTerritories_2014_O!$V$3:$AI$63,L$262,$BA275)</f>
        <v>0</v>
      </c>
      <c r="M275" s="1">
        <f>INDEX(tblTerritories_2014_O!$V$3:$AI$63,M$262,$BA275)</f>
        <v>1</v>
      </c>
      <c r="N275" s="1">
        <f>INDEX(tblTerritories_2014_O!$V$3:$AI$63,N$262,$BA275)</f>
        <v>0</v>
      </c>
      <c r="O275" s="1">
        <f>INDEX(tblTerritories_2014_O!$V$3:$AI$63,O$262,$BA275)</f>
        <v>0</v>
      </c>
      <c r="P275" s="1">
        <f>INDEX(tblTerritories_2014_O!$V$3:$AI$63,P$262,$BA275)</f>
        <v>1</v>
      </c>
      <c r="Q275" s="1">
        <f>INDEX(tblTerritories_2014_O!$V$3:$AI$63,Q$262,$BA275)</f>
        <v>0</v>
      </c>
      <c r="R275" s="1">
        <f>INDEX(tblTerritories_2014_O!$V$3:$AI$63,R$262,$BA275)</f>
        <v>0</v>
      </c>
      <c r="S275" s="1">
        <f>INDEX(tblTerritories_2014_O!$V$3:$AI$63,S$262,$BA275)</f>
        <v>0</v>
      </c>
      <c r="T275" s="1">
        <f>INDEX(tblTerritories_2014_O!$V$3:$AI$63,T$262,$BA275)</f>
        <v>1</v>
      </c>
      <c r="U275" s="1">
        <f>INDEX(tblTerritories_2014_O!$V$3:$AI$63,U$262,$BA275)</f>
        <v>1</v>
      </c>
      <c r="V275" s="1">
        <f>INDEX(tblTerritories_2014_O!$V$3:$AI$63,V$262,$BA275)</f>
        <v>1</v>
      </c>
      <c r="W275" s="1">
        <f>INDEX(tblTerritories_2014_O!$V$3:$AI$63,W$262,$BA275)</f>
        <v>0</v>
      </c>
      <c r="X275" s="1">
        <f>INDEX(tblTerritories_2014_O!$V$3:$AI$63,X$262,$BA275)</f>
        <v>0</v>
      </c>
      <c r="Y275" s="1">
        <f>INDEX(tblTerritories_2014_O!$V$3:$AI$63,Y$262,$BA275)</f>
        <v>0</v>
      </c>
      <c r="Z275" s="1">
        <f>INDEX(tblTerritories_2014_O!$V$3:$AI$63,Z$262,$BA275)</f>
        <v>0</v>
      </c>
      <c r="AA275" s="1">
        <f>INDEX(tblTerritories_2014_O!$V$3:$AI$63,AA$262,$BA275)</f>
        <v>0</v>
      </c>
      <c r="AB275" s="1">
        <f>INDEX(tblTerritories_2014_O!$V$3:$AI$63,AB$262,$BA275)</f>
        <v>1</v>
      </c>
      <c r="AC275" s="1">
        <f>INDEX(tblTerritories_2014_O!$V$3:$AI$63,AC$262,$BA275)</f>
        <v>0</v>
      </c>
      <c r="AD275" s="1">
        <f>INDEX(tblTerritories_2014_O!$V$3:$AI$63,AD$262,$BA275)</f>
        <v>0</v>
      </c>
      <c r="AE275" s="1">
        <f>INDEX(tblTerritories_2014_O!$V$3:$AI$63,AE$262,$BA275)</f>
        <v>0</v>
      </c>
      <c r="AF275" s="1">
        <f>INDEX(tblTerritories_2014_O!$V$3:$AI$63,AF$262,$BA275)</f>
        <v>1</v>
      </c>
      <c r="AG275" s="1">
        <f>INDEX(tblTerritories_2014_O!$V$3:$AI$63,AG$262,$BA275)</f>
        <v>1</v>
      </c>
      <c r="AH275" s="1">
        <f>INDEX(tblTerritories_2014_O!$V$3:$AI$63,AH$262,$BA275)</f>
        <v>0</v>
      </c>
      <c r="AI275" s="1">
        <f>INDEX(tblTerritories_2014_O!$V$3:$AI$63,AI$262,$BA275)</f>
        <v>0</v>
      </c>
      <c r="AJ275" s="1">
        <f>INDEX(tblTerritories_2014_O!$V$3:$AI$63,AJ$262,$BA275)</f>
        <v>0</v>
      </c>
      <c r="AK275" s="1">
        <f>INDEX(tblTerritories_2014_O!$V$3:$AI$63,AK$262,$BA275)</f>
        <v>0</v>
      </c>
      <c r="AL275" s="1">
        <f>INDEX(tblTerritories_2014_O!$V$3:$AI$63,AL$262,$BA275)</f>
        <v>0</v>
      </c>
      <c r="AM275" s="1">
        <f>INDEX(tblTerritories_2014_O!$V$3:$AI$63,AM$262,$BA275)</f>
        <v>0</v>
      </c>
      <c r="AN275" s="1">
        <f>INDEX(tblTerritories_2014_O!$V$3:$AI$63,AN$262,$BA275)</f>
        <v>0</v>
      </c>
      <c r="AO275" s="1">
        <f>INDEX(tblTerritories_2014_O!$V$3:$AI$63,AO$262,$BA275)</f>
        <v>1</v>
      </c>
      <c r="AP275" s="1">
        <f>INDEX(tblTerritories_2014_O!$V$3:$AI$63,AP$262,$BA275)</f>
        <v>0</v>
      </c>
      <c r="AQ275" s="1">
        <f>INDEX(tblTerritories_2014_O!$V$3:$AI$63,AQ$262,$BA275)</f>
        <v>0</v>
      </c>
      <c r="AR275" s="1">
        <f>INDEX(tblTerritories_2014_O!$V$3:$AI$63,AR$262,$BA275)</f>
        <v>0</v>
      </c>
      <c r="AS275" s="1">
        <f>INDEX(tblTerritories_2014_O!$V$3:$AI$63,AS$262,$BA275)</f>
        <v>0</v>
      </c>
      <c r="AT275" s="1">
        <f>INDEX(tblTerritories_2014_O!$V$3:$AI$63,AT$262,$BA275)</f>
        <v>0</v>
      </c>
      <c r="AU275" s="1">
        <f>INDEX(tblTerritories_2014_O!$V$3:$AI$63,AU$262,$BA275)</f>
        <v>1</v>
      </c>
      <c r="AV275" s="1">
        <f>INDEX(tblTerritories_2014_O!$V$3:$AI$63,AV$262,$BA275)</f>
        <v>0</v>
      </c>
      <c r="AW275" s="1">
        <f>INDEX(tblTerritories_2014_O!$V$3:$AI$63,AW$262,$BA275)</f>
        <v>0</v>
      </c>
      <c r="AX275" s="1">
        <f>INDEX(tblTerritories_2014_O!$V$3:$AI$63,AX$262,$BA275)</f>
        <v>0</v>
      </c>
      <c r="AY275" s="1">
        <f>INDEX(tblTerritories_2014_O!$V$3:$AI$63,AY$262,$BA275)</f>
        <v>0</v>
      </c>
      <c r="BA275" s="1">
        <f t="shared" si="346"/>
        <v>13</v>
      </c>
    </row>
    <row r="277" spans="1:1">
      <c r="A277" s="1" t="s">
        <v>1019</v>
      </c>
    </row>
    <row r="278" spans="1:1">
      <c r="A278" s="1">
        <f>uxb_works!$B$9</f>
        <v>1</v>
      </c>
    </row>
    <row r="280" spans="1:53">
      <c r="A280" s="1" t="str">
        <f>INDEX(A263:A275,$A$278)</f>
        <v>All Regions/Groups</v>
      </c>
      <c r="B280" s="1">
        <f t="shared" ref="B280:J280" si="347">INDEX(B263:B275,$A$278)</f>
        <v>1</v>
      </c>
      <c r="C280" s="1">
        <f t="shared" si="347"/>
        <v>1</v>
      </c>
      <c r="D280" s="1">
        <f t="shared" si="347"/>
        <v>1</v>
      </c>
      <c r="E280" s="1">
        <f t="shared" si="347"/>
        <v>1</v>
      </c>
      <c r="F280" s="1">
        <f t="shared" si="347"/>
        <v>1</v>
      </c>
      <c r="G280" s="1">
        <f t="shared" si="347"/>
        <v>1</v>
      </c>
      <c r="H280" s="1">
        <f t="shared" si="347"/>
        <v>1</v>
      </c>
      <c r="I280" s="1">
        <f t="shared" si="347"/>
        <v>1</v>
      </c>
      <c r="J280" s="1">
        <f t="shared" si="347"/>
        <v>1</v>
      </c>
      <c r="K280" s="1">
        <f t="shared" ref="K280:AY280" si="348">INDEX(K263:K275,$A$278)</f>
        <v>1</v>
      </c>
      <c r="L280" s="1">
        <f t="shared" si="348"/>
        <v>1</v>
      </c>
      <c r="M280" s="1">
        <f t="shared" si="348"/>
        <v>1</v>
      </c>
      <c r="N280" s="1">
        <f t="shared" si="348"/>
        <v>1</v>
      </c>
      <c r="O280" s="1">
        <f t="shared" si="348"/>
        <v>1</v>
      </c>
      <c r="P280" s="1">
        <f t="shared" si="348"/>
        <v>1</v>
      </c>
      <c r="Q280" s="1">
        <f t="shared" si="348"/>
        <v>1</v>
      </c>
      <c r="R280" s="1">
        <f t="shared" si="348"/>
        <v>1</v>
      </c>
      <c r="S280" s="1">
        <f t="shared" si="348"/>
        <v>1</v>
      </c>
      <c r="T280" s="1">
        <f t="shared" si="348"/>
        <v>1</v>
      </c>
      <c r="U280" s="1">
        <f t="shared" si="348"/>
        <v>1</v>
      </c>
      <c r="V280" s="1">
        <f t="shared" si="348"/>
        <v>1</v>
      </c>
      <c r="W280" s="1">
        <f t="shared" si="348"/>
        <v>1</v>
      </c>
      <c r="X280" s="1">
        <f t="shared" si="348"/>
        <v>1</v>
      </c>
      <c r="Y280" s="1">
        <f t="shared" si="348"/>
        <v>1</v>
      </c>
      <c r="Z280" s="1">
        <f t="shared" si="348"/>
        <v>1</v>
      </c>
      <c r="AA280" s="1">
        <f t="shared" si="348"/>
        <v>1</v>
      </c>
      <c r="AB280" s="1">
        <f t="shared" si="348"/>
        <v>1</v>
      </c>
      <c r="AC280" s="1">
        <f t="shared" si="348"/>
        <v>1</v>
      </c>
      <c r="AD280" s="1">
        <f t="shared" si="348"/>
        <v>1</v>
      </c>
      <c r="AE280" s="1">
        <f t="shared" si="348"/>
        <v>1</v>
      </c>
      <c r="AF280" s="1">
        <f t="shared" si="348"/>
        <v>1</v>
      </c>
      <c r="AG280" s="1">
        <f t="shared" si="348"/>
        <v>1</v>
      </c>
      <c r="AH280" s="1">
        <f t="shared" si="348"/>
        <v>1</v>
      </c>
      <c r="AI280" s="1">
        <f t="shared" si="348"/>
        <v>1</v>
      </c>
      <c r="AJ280" s="1">
        <f t="shared" si="348"/>
        <v>1</v>
      </c>
      <c r="AK280" s="1">
        <f t="shared" si="348"/>
        <v>1</v>
      </c>
      <c r="AL280" s="1">
        <f t="shared" si="348"/>
        <v>1</v>
      </c>
      <c r="AM280" s="1">
        <f t="shared" si="348"/>
        <v>1</v>
      </c>
      <c r="AN280" s="1">
        <f t="shared" si="348"/>
        <v>1</v>
      </c>
      <c r="AO280" s="1">
        <f t="shared" si="348"/>
        <v>1</v>
      </c>
      <c r="AP280" s="1">
        <f t="shared" si="348"/>
        <v>1</v>
      </c>
      <c r="AQ280" s="1">
        <f t="shared" si="348"/>
        <v>1</v>
      </c>
      <c r="AR280" s="1">
        <f t="shared" si="348"/>
        <v>1</v>
      </c>
      <c r="AS280" s="1">
        <f t="shared" si="348"/>
        <v>1</v>
      </c>
      <c r="AT280" s="1">
        <f t="shared" si="348"/>
        <v>1</v>
      </c>
      <c r="AU280" s="1">
        <f t="shared" si="348"/>
        <v>1</v>
      </c>
      <c r="AV280" s="1">
        <f t="shared" si="348"/>
        <v>1</v>
      </c>
      <c r="AW280" s="1">
        <f t="shared" si="348"/>
        <v>1</v>
      </c>
      <c r="AX280" s="1">
        <f t="shared" si="348"/>
        <v>1</v>
      </c>
      <c r="AY280" s="1">
        <f t="shared" si="348"/>
        <v>1</v>
      </c>
      <c r="BA280" s="1">
        <f>SUM(B280:AY280)</f>
        <v>50</v>
      </c>
    </row>
  </sheetData>
  <pageMargins left="0.551181102362205" right="0.551181102362205" top="0.590551181102362" bottom="0.78740157480315" header="0.511811023622047" footer="0.511811023622047"/>
  <pageSetup paperSize="9" scale="16" orientation="landscape"/>
  <headerFooter alignWithMargins="0">
    <oddHeader>&amp;RSafe Cities Index : 2017</oddHead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FFC000"/>
    <pageSetUpPr fitToPage="1"/>
  </sheetPr>
  <dimension ref="A1:AW280"/>
  <sheetViews>
    <sheetView showRowColHeaders="0" zoomScale="90" zoomScaleNormal="90" workbookViewId="0">
      <pane xSplit="1" ySplit="3" topLeftCell="B236" activePane="bottomRight" state="frozen"/>
      <selection/>
      <selection pane="topRight"/>
      <selection pane="bottomLeft"/>
      <selection pane="bottomRight" activeCell="A259" sqref="$A259:$XFD259"/>
    </sheetView>
  </sheetViews>
  <sheetFormatPr defaultColWidth="9" defaultRowHeight="11.25"/>
  <cols>
    <col min="1" max="1" width="74.2857142857143" style="1" customWidth="1"/>
    <col min="2" max="16384" width="9.14285714285714" style="1"/>
  </cols>
  <sheetData>
    <row r="1" ht="12" spans="1:47">
      <c r="A1" s="2">
        <v>2</v>
      </c>
      <c r="B1" s="1" t="str">
        <f>Scores_2014_N!P5</f>
        <v>Abu Dhabi</v>
      </c>
      <c r="C1" s="1" t="str">
        <f>Scores_2014_N!Q5</f>
        <v>Amsterdam</v>
      </c>
      <c r="D1" s="1" t="str">
        <f>Scores_2014_N!R5</f>
        <v>Bangkok</v>
      </c>
      <c r="E1" s="1" t="str">
        <f>Scores_2014_N!S5</f>
        <v>Barcelona</v>
      </c>
      <c r="F1" s="1" t="str">
        <f>Scores_2014_N!T5</f>
        <v>Beijing</v>
      </c>
      <c r="G1" s="1" t="str">
        <f>Scores_2014_N!U5</f>
        <v>Brussels</v>
      </c>
      <c r="H1" s="1" t="str">
        <f>Scores_2014_N!V5</f>
        <v>Buenos Aires</v>
      </c>
      <c r="I1" s="1" t="str">
        <f>Scores_2014_N!W5</f>
        <v>Chicago</v>
      </c>
      <c r="J1" s="1" t="str">
        <f>Scores_2014_N!X5</f>
        <v>Delhi</v>
      </c>
      <c r="K1" s="1" t="str">
        <f>Scores_2014_N!Y5</f>
        <v>Doha</v>
      </c>
      <c r="L1" s="1" t="str">
        <f>Scores_2014_N!Z5</f>
        <v>Frankfurt</v>
      </c>
      <c r="M1" s="1" t="str">
        <f>Scores_2014_N!AA5</f>
        <v>Ho Chi Minh City</v>
      </c>
      <c r="N1" s="1" t="str">
        <f>Scores_2014_N!AB5</f>
        <v>Hong Kong</v>
      </c>
      <c r="O1" s="1" t="str">
        <f>Scores_2014_N!AC5</f>
        <v>Istanbul</v>
      </c>
      <c r="P1" s="1" t="str">
        <f>Scores_2014_N!AD5</f>
        <v>Jakarta</v>
      </c>
      <c r="Q1" s="1" t="str">
        <f>Scores_2014_N!AE5</f>
        <v>Johannesburg</v>
      </c>
      <c r="R1" s="1" t="str">
        <f>Scores_2014_N!AF5</f>
        <v>Kuwait City</v>
      </c>
      <c r="S1" s="1" t="str">
        <f>Scores_2014_N!AG5</f>
        <v>Lima</v>
      </c>
      <c r="T1" s="1" t="str">
        <f>Scores_2014_N!AH5</f>
        <v>London</v>
      </c>
      <c r="U1" s="1" t="str">
        <f>Scores_2014_N!AI5</f>
        <v>Los Angeles</v>
      </c>
      <c r="V1" s="1" t="str">
        <f>Scores_2014_N!AJ5</f>
        <v>Madrid</v>
      </c>
      <c r="W1" s="1" t="str">
        <f>Scores_2014_N!AK5</f>
        <v>Melbourne</v>
      </c>
      <c r="X1" s="1" t="str">
        <f>Scores_2014_N!AL5</f>
        <v>Mexico City</v>
      </c>
      <c r="Y1" s="1" t="str">
        <f>Scores_2014_N!AM5</f>
        <v>Milan</v>
      </c>
      <c r="Z1" s="1" t="str">
        <f>Scores_2014_N!AN5</f>
        <v>Moscow</v>
      </c>
      <c r="AA1" s="1" t="str">
        <f>Scores_2014_N!AO5</f>
        <v>Mumbai</v>
      </c>
      <c r="AB1" s="1" t="str">
        <f>Scores_2014_N!AP5</f>
        <v>New York</v>
      </c>
      <c r="AC1" s="1" t="str">
        <f>Scores_2014_N!AQ5</f>
        <v>Osaka</v>
      </c>
      <c r="AD1" s="1" t="str">
        <f>Scores_2014_N!AR5</f>
        <v>Paris</v>
      </c>
      <c r="AE1" s="1" t="str">
        <f>Scores_2014_N!AS5</f>
        <v>Rio de Janeiro</v>
      </c>
      <c r="AF1" s="1" t="str">
        <f>Scores_2014_N!AT5</f>
        <v>Riyadh</v>
      </c>
      <c r="AG1" s="1" t="str">
        <f>Scores_2014_N!AU5</f>
        <v>Rome</v>
      </c>
      <c r="AH1" s="1" t="str">
        <f>Scores_2014_N!AV5</f>
        <v>San Francisco</v>
      </c>
      <c r="AI1" s="1" t="str">
        <f>Scores_2014_N!AW5</f>
        <v>Santiago</v>
      </c>
      <c r="AJ1" s="1" t="str">
        <f>Scores_2014_N!AX5</f>
        <v>Sao Paulo</v>
      </c>
      <c r="AK1" s="1" t="str">
        <f>Scores_2014_N!AY5</f>
        <v>Seoul</v>
      </c>
      <c r="AL1" s="1" t="str">
        <f>Scores_2014_N!AZ5</f>
        <v>Shanghai</v>
      </c>
      <c r="AM1" s="1" t="str">
        <f>Scores_2014_N!BA5</f>
        <v>Singapore</v>
      </c>
      <c r="AN1" s="1" t="str">
        <f>Scores_2014_N!BB5</f>
        <v>Stockholm</v>
      </c>
      <c r="AO1" s="1" t="str">
        <f>Scores_2014_N!BC5</f>
        <v>Sydney</v>
      </c>
      <c r="AP1" s="1" t="str">
        <f>Scores_2014_N!BD5</f>
        <v>Taipei</v>
      </c>
      <c r="AQ1" s="1" t="str">
        <f>Scores_2014_N!BE5</f>
        <v>Tehran</v>
      </c>
      <c r="AR1" s="1" t="str">
        <f>Scores_2014_N!BF5</f>
        <v>Tokyo</v>
      </c>
      <c r="AS1" s="1" t="str">
        <f>Scores_2014_N!BG5</f>
        <v>Toronto</v>
      </c>
      <c r="AT1" s="1" t="str">
        <f>Scores_2014_N!BH5</f>
        <v>Washington DC</v>
      </c>
      <c r="AU1" s="1" t="str">
        <f>Scores_2014_N!BI5</f>
        <v>Zurich</v>
      </c>
    </row>
    <row r="2" spans="1:49">
      <c r="A2" s="1" t="str">
        <f>Scores_2014_N!N6</f>
        <v>OVERALL SCORE</v>
      </c>
      <c r="B2" s="1">
        <f>ROUND(Scores_2014_N!P6,$A$1)</f>
        <v>72.73</v>
      </c>
      <c r="C2" s="1">
        <f>ROUND(Scores_2014_N!Q6,$A$1)</f>
        <v>84.04</v>
      </c>
      <c r="D2" s="1">
        <f>ROUND(Scores_2014_N!R6,$A$1)</f>
        <v>57.48</v>
      </c>
      <c r="E2" s="1">
        <f>ROUND(Scores_2014_N!S6,$A$1)</f>
        <v>77.39</v>
      </c>
      <c r="F2" s="1">
        <f>ROUND(Scores_2014_N!T6,$A$1)</f>
        <v>64.4</v>
      </c>
      <c r="G2" s="1">
        <f>ROUND(Scores_2014_N!U6,$A$1)</f>
        <v>76.18</v>
      </c>
      <c r="H2" s="1">
        <f>ROUND(Scores_2014_N!V6,$A$1)</f>
        <v>70.02</v>
      </c>
      <c r="I2" s="1">
        <f>ROUND(Scores_2014_N!W6,$A$1)</f>
        <v>77.73</v>
      </c>
      <c r="J2" s="1">
        <f>ROUND(Scores_2014_N!X6,$A$1)</f>
        <v>61.43</v>
      </c>
      <c r="K2" s="1">
        <f>ROUND(Scores_2014_N!Y6,$A$1)</f>
        <v>68.81</v>
      </c>
      <c r="L2" s="1">
        <f>ROUND(Scores_2014_N!Z6,$A$1)</f>
        <v>77.01</v>
      </c>
      <c r="M2" s="1">
        <f>ROUND(Scores_2014_N!AA6,$A$1)</f>
        <v>53.07</v>
      </c>
      <c r="N2" s="1">
        <f>ROUND(Scores_2014_N!AB6,$A$1)</f>
        <v>78.53</v>
      </c>
      <c r="O2" s="1">
        <f>ROUND(Scores_2014_N!AC6,$A$1)</f>
        <v>59.81</v>
      </c>
      <c r="P2" s="1">
        <f>ROUND(Scores_2014_N!AD6,$A$1)</f>
        <v>54.5</v>
      </c>
      <c r="Q2" s="1">
        <f>ROUND(Scores_2014_N!AE6,$A$1)</f>
        <v>59.32</v>
      </c>
      <c r="R2" s="1">
        <f>ROUND(Scores_2014_N!AF6,$A$1)</f>
        <v>62.52</v>
      </c>
      <c r="S2" s="1">
        <f>ROUND(Scores_2014_N!AG6,$A$1)</f>
        <v>65.19</v>
      </c>
      <c r="T2" s="1">
        <f>ROUND(Scores_2014_N!AH6,$A$1)</f>
        <v>73.46</v>
      </c>
      <c r="U2" s="1">
        <f>ROUND(Scores_2014_N!AI6,$A$1)</f>
        <v>76.87</v>
      </c>
      <c r="V2" s="1">
        <f>ROUND(Scores_2014_N!AJ6,$A$1)</f>
        <v>72.57</v>
      </c>
      <c r="W2" s="1">
        <f>ROUND(Scores_2014_N!AK6,$A$1)</f>
        <v>81.27</v>
      </c>
      <c r="X2" s="1">
        <f>ROUND(Scores_2014_N!AL6,$A$1)</f>
        <v>62.24</v>
      </c>
      <c r="Y2" s="1">
        <f>ROUND(Scores_2014_N!AM6,$A$1)</f>
        <v>72.58</v>
      </c>
      <c r="Z2" s="1">
        <f>ROUND(Scores_2014_N!AN6,$A$1)</f>
        <v>59.59</v>
      </c>
      <c r="AA2" s="1">
        <f>ROUND(Scores_2014_N!AO6,$A$1)</f>
        <v>59.97</v>
      </c>
      <c r="AB2" s="1">
        <f>ROUND(Scores_2014_N!AP6,$A$1)</f>
        <v>80.28</v>
      </c>
      <c r="AC2" s="1">
        <f>ROUND(Scores_2014_N!AQ6,$A$1)</f>
        <v>83.22</v>
      </c>
      <c r="AD2" s="1">
        <f>ROUND(Scores_2014_N!AR6,$A$1)</f>
        <v>73.21</v>
      </c>
      <c r="AE2" s="1">
        <f>ROUND(Scores_2014_N!AS6,$A$1)</f>
        <v>64.04</v>
      </c>
      <c r="AF2" s="1">
        <f>ROUND(Scores_2014_N!AT6,$A$1)</f>
        <v>55.84</v>
      </c>
      <c r="AG2" s="1">
        <f>ROUND(Scores_2014_N!AU6,$A$1)</f>
        <v>69.98</v>
      </c>
      <c r="AH2" s="1">
        <f>ROUND(Scores_2014_N!AV6,$A$1)</f>
        <v>79.32</v>
      </c>
      <c r="AI2" s="1">
        <f>ROUND(Scores_2014_N!AW6,$A$1)</f>
        <v>67.54</v>
      </c>
      <c r="AJ2" s="1">
        <f>ROUND(Scores_2014_N!AX6,$A$1)</f>
        <v>62.55</v>
      </c>
      <c r="AK2" s="1">
        <f>ROUND(Scores_2014_N!AY6,$A$1)</f>
        <v>73.91</v>
      </c>
      <c r="AL2" s="1">
        <f>ROUND(Scores_2014_N!AZ6,$A$1)</f>
        <v>66.53</v>
      </c>
      <c r="AM2" s="1">
        <f>ROUND(Scores_2014_N!BA6,$A$1)</f>
        <v>85.74</v>
      </c>
      <c r="AN2" s="1">
        <f>ROUND(Scores_2014_N!BB6,$A$1)</f>
        <v>81.06</v>
      </c>
      <c r="AO2" s="1">
        <f>ROUND(Scores_2014_N!BC6,$A$1)</f>
        <v>81.88</v>
      </c>
      <c r="AP2" s="1">
        <f>ROUND(Scores_2014_N!BD6,$A$1)</f>
        <v>77.59</v>
      </c>
      <c r="AQ2" s="1">
        <f>ROUND(Scores_2014_N!BE6,$A$1)</f>
        <v>53.58</v>
      </c>
      <c r="AR2" s="1">
        <f>ROUND(Scores_2014_N!BF6,$A$1)</f>
        <v>86.3</v>
      </c>
      <c r="AS2" s="1">
        <f>ROUND(Scores_2014_N!BG6,$A$1)</f>
        <v>81.37</v>
      </c>
      <c r="AT2" s="1">
        <f>ROUND(Scores_2014_N!BH6,$A$1)</f>
        <v>76.44</v>
      </c>
      <c r="AU2" s="1">
        <f>ROUND(Scores_2014_N!BI6,$A$1)</f>
        <v>80.82</v>
      </c>
      <c r="AW2" s="1">
        <f>AVERAGE(B2:AU2)</f>
        <v>70.8676086956522</v>
      </c>
    </row>
    <row r="3" spans="1:49">
      <c r="A3" s="1" t="str">
        <f>Scores_2014_N!N7</f>
        <v> 1) DIGITAL SECURITY</v>
      </c>
      <c r="B3" s="1">
        <f>ROUND(Scores_2014_N!P7,$A$1)</f>
        <v>79.21</v>
      </c>
      <c r="C3" s="1">
        <f>ROUND(Scores_2014_N!Q7,$A$1)</f>
        <v>78.81</v>
      </c>
      <c r="D3" s="1">
        <f>ROUND(Scores_2014_N!R7,$A$1)</f>
        <v>44.86</v>
      </c>
      <c r="E3" s="1">
        <f>ROUND(Scores_2014_N!S7,$A$1)</f>
        <v>61.29</v>
      </c>
      <c r="F3" s="1">
        <f>ROUND(Scores_2014_N!T7,$A$1)</f>
        <v>48.87</v>
      </c>
      <c r="G3" s="1">
        <f>ROUND(Scores_2014_N!U7,$A$1)</f>
        <v>74.6</v>
      </c>
      <c r="H3" s="1">
        <f>ROUND(Scores_2014_N!V7,$A$1)</f>
        <v>69.58</v>
      </c>
      <c r="I3" s="1">
        <f>ROUND(Scores_2014_N!W7,$A$1)</f>
        <v>69.4</v>
      </c>
      <c r="J3" s="1">
        <f>ROUND(Scores_2014_N!X7,$A$1)</f>
        <v>59.83</v>
      </c>
      <c r="K3" s="1">
        <f>ROUND(Scores_2014_N!Y7,$A$1)</f>
        <v>59.73</v>
      </c>
      <c r="L3" s="1">
        <f>ROUND(Scores_2014_N!Z7,$A$1)</f>
        <v>62.95</v>
      </c>
      <c r="M3" s="1">
        <f>ROUND(Scores_2014_N!AA7,$A$1)</f>
        <v>45.31</v>
      </c>
      <c r="N3" s="1">
        <f>ROUND(Scores_2014_N!AB7,$A$1)</f>
        <v>79.78</v>
      </c>
      <c r="O3" s="1">
        <f>ROUND(Scores_2014_N!AC7,$A$1)</f>
        <v>43.33</v>
      </c>
      <c r="P3" s="1">
        <f>ROUND(Scores_2014_N!AD7,$A$1)</f>
        <v>44.98</v>
      </c>
      <c r="Q3" s="1">
        <f>ROUND(Scores_2014_N!AE7,$A$1)</f>
        <v>58.4</v>
      </c>
      <c r="R3" s="1">
        <f>ROUND(Scores_2014_N!AF7,$A$1)</f>
        <v>60.71</v>
      </c>
      <c r="S3" s="1">
        <f>ROUND(Scores_2014_N!AG7,$A$1)</f>
        <v>51.59</v>
      </c>
      <c r="T3" s="1">
        <f>ROUND(Scores_2014_N!AH7,$A$1)</f>
        <v>70.42</v>
      </c>
      <c r="U3" s="1">
        <f>ROUND(Scores_2014_N!AI7,$A$1)</f>
        <v>71.49</v>
      </c>
      <c r="V3" s="1">
        <f>ROUND(Scores_2014_N!AJ7,$A$1)</f>
        <v>61.78</v>
      </c>
      <c r="W3" s="1">
        <f>ROUND(Scores_2014_N!AK7,$A$1)</f>
        <v>66.42</v>
      </c>
      <c r="X3" s="1">
        <f>ROUND(Scores_2014_N!AL7,$A$1)</f>
        <v>62.69</v>
      </c>
      <c r="Y3" s="1">
        <f>ROUND(Scores_2014_N!AM7,$A$1)</f>
        <v>68.12</v>
      </c>
      <c r="Z3" s="1">
        <f>ROUND(Scores_2014_N!AN7,$A$1)</f>
        <v>48.04</v>
      </c>
      <c r="AA3" s="1">
        <f>ROUND(Scores_2014_N!AO7,$A$1)</f>
        <v>64.57</v>
      </c>
      <c r="AB3" s="1">
        <f>ROUND(Scores_2014_N!AP7,$A$1)</f>
        <v>75.92</v>
      </c>
      <c r="AC3" s="1">
        <f>ROUND(Scores_2014_N!AQ7,$A$1)</f>
        <v>73.5</v>
      </c>
      <c r="AD3" s="1">
        <f>ROUND(Scores_2014_N!AR7,$A$1)</f>
        <v>59.4</v>
      </c>
      <c r="AE3" s="1">
        <f>ROUND(Scores_2014_N!AS7,$A$1)</f>
        <v>51.24</v>
      </c>
      <c r="AF3" s="1">
        <f>ROUND(Scores_2014_N!AT7,$A$1)</f>
        <v>49.76</v>
      </c>
      <c r="AG3" s="1">
        <f>ROUND(Scores_2014_N!AU7,$A$1)</f>
        <v>62.17</v>
      </c>
      <c r="AH3" s="1">
        <f>ROUND(Scores_2014_N!AV7,$A$1)</f>
        <v>70.35</v>
      </c>
      <c r="AI3" s="1">
        <f>ROUND(Scores_2014_N!AW7,$A$1)</f>
        <v>67.01</v>
      </c>
      <c r="AJ3" s="1">
        <f>ROUND(Scores_2014_N!AX7,$A$1)</f>
        <v>51.43</v>
      </c>
      <c r="AK3" s="1">
        <f>ROUND(Scores_2014_N!AY7,$A$1)</f>
        <v>56.96</v>
      </c>
      <c r="AL3" s="1">
        <f>ROUND(Scores_2014_N!AZ7,$A$1)</f>
        <v>48.14</v>
      </c>
      <c r="AM3" s="1">
        <f>ROUND(Scores_2014_N!BA7,$A$1)</f>
        <v>80.35</v>
      </c>
      <c r="AN3" s="1">
        <f>ROUND(Scores_2014_N!BB7,$A$1)</f>
        <v>66.82</v>
      </c>
      <c r="AO3" s="1">
        <f>ROUND(Scores_2014_N!BC7,$A$1)</f>
        <v>71.48</v>
      </c>
      <c r="AP3" s="1">
        <f>ROUND(Scores_2014_N!BD7,$A$1)</f>
        <v>61.61</v>
      </c>
      <c r="AQ3" s="1">
        <f>ROUND(Scores_2014_N!BE7,$A$1)</f>
        <v>38.58</v>
      </c>
      <c r="AR3" s="1">
        <f>ROUND(Scores_2014_N!BF7,$A$1)</f>
        <v>83.68</v>
      </c>
      <c r="AS3" s="1">
        <f>ROUND(Scores_2014_N!BG7,$A$1)</f>
        <v>73.04</v>
      </c>
      <c r="AT3" s="1">
        <f>ROUND(Scores_2014_N!BH7,$A$1)</f>
        <v>66.49</v>
      </c>
      <c r="AU3" s="1">
        <f>ROUND(Scores_2014_N!BI7,$A$1)</f>
        <v>68.04</v>
      </c>
      <c r="AW3" s="1">
        <f t="shared" ref="AW3:AW13" si="0">AVERAGE(B3:AU3)</f>
        <v>62.6680434782609</v>
      </c>
    </row>
    <row r="4" spans="1:49">
      <c r="A4" s="1" t="str">
        <f>Scores_2014_N!N8</f>
        <v>  1.1) Digital security (Inputs)</v>
      </c>
      <c r="B4" s="1">
        <f>ROUND(Scores_2014_N!P8,$A$1)</f>
        <v>78.33</v>
      </c>
      <c r="C4" s="1">
        <f>ROUND(Scores_2014_N!Q8,$A$1)</f>
        <v>66.67</v>
      </c>
      <c r="D4" s="1">
        <f>ROUND(Scores_2014_N!R8,$A$1)</f>
        <v>41.67</v>
      </c>
      <c r="E4" s="1">
        <f>ROUND(Scores_2014_N!S8,$A$1)</f>
        <v>63.33</v>
      </c>
      <c r="F4" s="1">
        <f>ROUND(Scores_2014_N!T8,$A$1)</f>
        <v>41.67</v>
      </c>
      <c r="G4" s="1">
        <f>ROUND(Scores_2014_N!U8,$A$1)</f>
        <v>73.33</v>
      </c>
      <c r="H4" s="1">
        <f>ROUND(Scores_2014_N!V8,$A$1)</f>
        <v>58.33</v>
      </c>
      <c r="I4" s="1">
        <f>ROUND(Scores_2014_N!W8,$A$1)</f>
        <v>68.33</v>
      </c>
      <c r="J4" s="1">
        <f>ROUND(Scores_2014_N!X8,$A$1)</f>
        <v>70</v>
      </c>
      <c r="K4" s="1">
        <f>ROUND(Scores_2014_N!Y8,$A$1)</f>
        <v>41.67</v>
      </c>
      <c r="L4" s="1">
        <f>ROUND(Scores_2014_N!Z8,$A$1)</f>
        <v>61.67</v>
      </c>
      <c r="M4" s="1">
        <f>ROUND(Scores_2014_N!AA8,$A$1)</f>
        <v>41.67</v>
      </c>
      <c r="N4" s="1">
        <f>ROUND(Scores_2014_N!AB8,$A$1)</f>
        <v>83.33</v>
      </c>
      <c r="O4" s="1">
        <f>ROUND(Scores_2014_N!AC8,$A$1)</f>
        <v>36.67</v>
      </c>
      <c r="P4" s="1">
        <f>ROUND(Scores_2014_N!AD8,$A$1)</f>
        <v>43.33</v>
      </c>
      <c r="Q4" s="1">
        <f>ROUND(Scores_2014_N!AE8,$A$1)</f>
        <v>56.67</v>
      </c>
      <c r="R4" s="1">
        <f>ROUND(Scores_2014_N!AF8,$A$1)</f>
        <v>46.67</v>
      </c>
      <c r="S4" s="1">
        <f>ROUND(Scores_2014_N!AG8,$A$1)</f>
        <v>53.33</v>
      </c>
      <c r="T4" s="1">
        <f>ROUND(Scores_2014_N!AH8,$A$1)</f>
        <v>63.33</v>
      </c>
      <c r="U4" s="1">
        <f>ROUND(Scores_2014_N!AI8,$A$1)</f>
        <v>68.33</v>
      </c>
      <c r="V4" s="1">
        <f>ROUND(Scores_2014_N!AJ8,$A$1)</f>
        <v>63.33</v>
      </c>
      <c r="W4" s="1">
        <f>ROUND(Scores_2014_N!AK8,$A$1)</f>
        <v>63.33</v>
      </c>
      <c r="X4" s="1">
        <f>ROUND(Scores_2014_N!AL8,$A$1)</f>
        <v>58.33</v>
      </c>
      <c r="Y4" s="1">
        <f>ROUND(Scores_2014_N!AM8,$A$1)</f>
        <v>65</v>
      </c>
      <c r="Z4" s="1">
        <f>ROUND(Scores_2014_N!AN8,$A$1)</f>
        <v>46.67</v>
      </c>
      <c r="AA4" s="1">
        <f>ROUND(Scores_2014_N!AO8,$A$1)</f>
        <v>80</v>
      </c>
      <c r="AB4" s="1">
        <f>ROUND(Scores_2014_N!AP8,$A$1)</f>
        <v>78.33</v>
      </c>
      <c r="AC4" s="1">
        <f>ROUND(Scores_2014_N!AQ8,$A$1)</f>
        <v>51.67</v>
      </c>
      <c r="AD4" s="1">
        <f>ROUND(Scores_2014_N!AR8,$A$1)</f>
        <v>50</v>
      </c>
      <c r="AE4" s="1">
        <f>ROUND(Scores_2014_N!AS8,$A$1)</f>
        <v>46.67</v>
      </c>
      <c r="AF4" s="1">
        <f>ROUND(Scores_2014_N!AT8,$A$1)</f>
        <v>46.67</v>
      </c>
      <c r="AG4" s="1">
        <f>ROUND(Scores_2014_N!AU8,$A$1)</f>
        <v>55</v>
      </c>
      <c r="AH4" s="1">
        <f>ROUND(Scores_2014_N!AV8,$A$1)</f>
        <v>68.33</v>
      </c>
      <c r="AI4" s="1">
        <f>ROUND(Scores_2014_N!AW8,$A$1)</f>
        <v>53.33</v>
      </c>
      <c r="AJ4" s="1">
        <f>ROUND(Scores_2014_N!AX8,$A$1)</f>
        <v>46.67</v>
      </c>
      <c r="AK4" s="1">
        <f>ROUND(Scores_2014_N!AY8,$A$1)</f>
        <v>68.33</v>
      </c>
      <c r="AL4" s="1">
        <f>ROUND(Scores_2014_N!AZ8,$A$1)</f>
        <v>41.67</v>
      </c>
      <c r="AM4" s="1">
        <f>ROUND(Scores_2014_N!BA8,$A$1)</f>
        <v>78.33</v>
      </c>
      <c r="AN4" s="1">
        <f>ROUND(Scores_2014_N!BB8,$A$1)</f>
        <v>53.33</v>
      </c>
      <c r="AO4" s="1">
        <f>ROUND(Scores_2014_N!BC8,$A$1)</f>
        <v>73.33</v>
      </c>
      <c r="AP4" s="1">
        <f>ROUND(Scores_2014_N!BD8,$A$1)</f>
        <v>41.67</v>
      </c>
      <c r="AQ4" s="1">
        <f>ROUND(Scores_2014_N!BE8,$A$1)</f>
        <v>20</v>
      </c>
      <c r="AR4" s="1">
        <f>ROUND(Scores_2014_N!BF8,$A$1)</f>
        <v>71.67</v>
      </c>
      <c r="AS4" s="1">
        <f>ROUND(Scores_2014_N!BG8,$A$1)</f>
        <v>73.33</v>
      </c>
      <c r="AT4" s="1">
        <f>ROUND(Scores_2014_N!BH8,$A$1)</f>
        <v>58.33</v>
      </c>
      <c r="AU4" s="1">
        <f>ROUND(Scores_2014_N!BI8,$A$1)</f>
        <v>56.67</v>
      </c>
      <c r="AW4" s="1">
        <f t="shared" si="0"/>
        <v>58.0069565217391</v>
      </c>
    </row>
    <row r="5" spans="1:49">
      <c r="A5" s="1" t="str">
        <f>Scores_2014_N!N9</f>
        <v>   1.1.1) Privacy policy</v>
      </c>
      <c r="B5" s="1">
        <f>ROUND(Scores_2014_N!P9,$A$1)</f>
        <v>75</v>
      </c>
      <c r="C5" s="1">
        <f>ROUND(Scores_2014_N!Q9,$A$1)</f>
        <v>100</v>
      </c>
      <c r="D5" s="1">
        <f>ROUND(Scores_2014_N!R9,$A$1)</f>
        <v>0</v>
      </c>
      <c r="E5" s="1">
        <f>ROUND(Scores_2014_N!S9,$A$1)</f>
        <v>50</v>
      </c>
      <c r="F5" s="1">
        <f>ROUND(Scores_2014_N!T9,$A$1)</f>
        <v>0</v>
      </c>
      <c r="G5" s="1">
        <f>ROUND(Scores_2014_N!U9,$A$1)</f>
        <v>100</v>
      </c>
      <c r="H5" s="1">
        <f>ROUND(Scores_2014_N!V9,$A$1)</f>
        <v>100</v>
      </c>
      <c r="I5" s="1">
        <f>ROUND(Scores_2014_N!W9,$A$1)</f>
        <v>25</v>
      </c>
      <c r="J5" s="1">
        <f>ROUND(Scores_2014_N!X9,$A$1)</f>
        <v>25</v>
      </c>
      <c r="K5" s="1">
        <f>ROUND(Scores_2014_N!Y9,$A$1)</f>
        <v>50</v>
      </c>
      <c r="L5" s="1">
        <f>ROUND(Scores_2014_N!Z9,$A$1)</f>
        <v>75</v>
      </c>
      <c r="M5" s="1">
        <f>ROUND(Scores_2014_N!AA9,$A$1)</f>
        <v>0</v>
      </c>
      <c r="N5" s="1">
        <f>ROUND(Scores_2014_N!AB9,$A$1)</f>
        <v>50</v>
      </c>
      <c r="O5" s="1">
        <f>ROUND(Scores_2014_N!AC9,$A$1)</f>
        <v>25</v>
      </c>
      <c r="P5" s="1">
        <f>ROUND(Scores_2014_N!AD9,$A$1)</f>
        <v>25</v>
      </c>
      <c r="Q5" s="1">
        <f>ROUND(Scores_2014_N!AE9,$A$1)</f>
        <v>75</v>
      </c>
      <c r="R5" s="1">
        <f>ROUND(Scores_2014_N!AF9,$A$1)</f>
        <v>25</v>
      </c>
      <c r="S5" s="1">
        <f>ROUND(Scores_2014_N!AG9,$A$1)</f>
        <v>25</v>
      </c>
      <c r="T5" s="1">
        <f>ROUND(Scores_2014_N!AH9,$A$1)</f>
        <v>50</v>
      </c>
      <c r="U5" s="1">
        <f>ROUND(Scores_2014_N!AI9,$A$1)</f>
        <v>25</v>
      </c>
      <c r="V5" s="1">
        <f>ROUND(Scores_2014_N!AJ9,$A$1)</f>
        <v>50</v>
      </c>
      <c r="W5" s="1">
        <f>ROUND(Scores_2014_N!AK9,$A$1)</f>
        <v>50</v>
      </c>
      <c r="X5" s="1">
        <f>ROUND(Scores_2014_N!AL9,$A$1)</f>
        <v>50</v>
      </c>
      <c r="Y5" s="1">
        <f>ROUND(Scores_2014_N!AM9,$A$1)</f>
        <v>75</v>
      </c>
      <c r="Z5" s="1">
        <f>ROUND(Scores_2014_N!AN9,$A$1)</f>
        <v>25</v>
      </c>
      <c r="AA5" s="1">
        <f>ROUND(Scores_2014_N!AO9,$A$1)</f>
        <v>25</v>
      </c>
      <c r="AB5" s="1">
        <f>ROUND(Scores_2014_N!AP9,$A$1)</f>
        <v>25</v>
      </c>
      <c r="AC5" s="1">
        <f>ROUND(Scores_2014_N!AQ9,$A$1)</f>
        <v>25</v>
      </c>
      <c r="AD5" s="1">
        <f>ROUND(Scores_2014_N!AR9,$A$1)</f>
        <v>50</v>
      </c>
      <c r="AE5" s="1">
        <f>ROUND(Scores_2014_N!AS9,$A$1)</f>
        <v>25</v>
      </c>
      <c r="AF5" s="1">
        <f>ROUND(Scores_2014_N!AT9,$A$1)</f>
        <v>25</v>
      </c>
      <c r="AG5" s="1">
        <f>ROUND(Scores_2014_N!AU9,$A$1)</f>
        <v>75</v>
      </c>
      <c r="AH5" s="1">
        <f>ROUND(Scores_2014_N!AV9,$A$1)</f>
        <v>25</v>
      </c>
      <c r="AI5" s="1">
        <f>ROUND(Scores_2014_N!AW9,$A$1)</f>
        <v>25</v>
      </c>
      <c r="AJ5" s="1">
        <f>ROUND(Scores_2014_N!AX9,$A$1)</f>
        <v>25</v>
      </c>
      <c r="AK5" s="1">
        <f>ROUND(Scores_2014_N!AY9,$A$1)</f>
        <v>75</v>
      </c>
      <c r="AL5" s="1">
        <f>ROUND(Scores_2014_N!AZ9,$A$1)</f>
        <v>0</v>
      </c>
      <c r="AM5" s="1">
        <f>ROUND(Scores_2014_N!BA9,$A$1)</f>
        <v>25</v>
      </c>
      <c r="AN5" s="1">
        <f>ROUND(Scores_2014_N!BB9,$A$1)</f>
        <v>0</v>
      </c>
      <c r="AO5" s="1">
        <f>ROUND(Scores_2014_N!BC9,$A$1)</f>
        <v>50</v>
      </c>
      <c r="AP5" s="1">
        <f>ROUND(Scores_2014_N!BD9,$A$1)</f>
        <v>25</v>
      </c>
      <c r="AQ5" s="1">
        <f>ROUND(Scores_2014_N!BE9,$A$1)</f>
        <v>0</v>
      </c>
      <c r="AR5" s="1">
        <f>ROUND(Scores_2014_N!BF9,$A$1)</f>
        <v>25</v>
      </c>
      <c r="AS5" s="1">
        <f>ROUND(Scores_2014_N!BG9,$A$1)</f>
        <v>50</v>
      </c>
      <c r="AT5" s="1">
        <f>ROUND(Scores_2014_N!BH9,$A$1)</f>
        <v>25</v>
      </c>
      <c r="AU5" s="1">
        <f>ROUND(Scores_2014_N!BI9,$A$1)</f>
        <v>50</v>
      </c>
      <c r="AW5" s="1">
        <f t="shared" si="0"/>
        <v>39.1304347826087</v>
      </c>
    </row>
    <row r="6" spans="1:49">
      <c r="A6" s="1" t="str">
        <f>Scores_2014_N!N10</f>
        <v>   1.1.2) Citizen awareness of digital threats</v>
      </c>
      <c r="B6" s="1">
        <f>ROUND(Scores_2014_N!P10,$A$1)</f>
        <v>66.67</v>
      </c>
      <c r="C6" s="1">
        <f>ROUND(Scores_2014_N!Q10,$A$1)</f>
        <v>33.33</v>
      </c>
      <c r="D6" s="1">
        <f>ROUND(Scores_2014_N!R10,$A$1)</f>
        <v>33.33</v>
      </c>
      <c r="E6" s="1">
        <f>ROUND(Scores_2014_N!S10,$A$1)</f>
        <v>66.67</v>
      </c>
      <c r="F6" s="1">
        <f>ROUND(Scores_2014_N!T10,$A$1)</f>
        <v>33.33</v>
      </c>
      <c r="G6" s="1">
        <f>ROUND(Scores_2014_N!U10,$A$1)</f>
        <v>66.67</v>
      </c>
      <c r="H6" s="1">
        <f>ROUND(Scores_2014_N!V10,$A$1)</f>
        <v>66.67</v>
      </c>
      <c r="I6" s="1">
        <f>ROUND(Scores_2014_N!W10,$A$1)</f>
        <v>66.67</v>
      </c>
      <c r="J6" s="1">
        <f>ROUND(Scores_2014_N!X10,$A$1)</f>
        <v>100</v>
      </c>
      <c r="K6" s="1">
        <f>ROUND(Scores_2014_N!Y10,$A$1)</f>
        <v>33.33</v>
      </c>
      <c r="L6" s="1">
        <f>ROUND(Scores_2014_N!Z10,$A$1)</f>
        <v>33.33</v>
      </c>
      <c r="M6" s="1">
        <f>ROUND(Scores_2014_N!AA10,$A$1)</f>
        <v>33.33</v>
      </c>
      <c r="N6" s="1">
        <f>ROUND(Scores_2014_N!AB10,$A$1)</f>
        <v>66.67</v>
      </c>
      <c r="O6" s="1">
        <f>ROUND(Scores_2014_N!AC10,$A$1)</f>
        <v>33.33</v>
      </c>
      <c r="P6" s="1">
        <f>ROUND(Scores_2014_N!AD10,$A$1)</f>
        <v>66.67</v>
      </c>
      <c r="Q6" s="1">
        <f>ROUND(Scores_2014_N!AE10,$A$1)</f>
        <v>33.33</v>
      </c>
      <c r="R6" s="1">
        <f>ROUND(Scores_2014_N!AF10,$A$1)</f>
        <v>33.33</v>
      </c>
      <c r="S6" s="1">
        <f>ROUND(Scores_2014_N!AG10,$A$1)</f>
        <v>66.67</v>
      </c>
      <c r="T6" s="1">
        <f>ROUND(Scores_2014_N!AH10,$A$1)</f>
        <v>66.67</v>
      </c>
      <c r="U6" s="1">
        <f>ROUND(Scores_2014_N!AI10,$A$1)</f>
        <v>66.67</v>
      </c>
      <c r="V6" s="1">
        <f>ROUND(Scores_2014_N!AJ10,$A$1)</f>
        <v>66.67</v>
      </c>
      <c r="W6" s="1">
        <f>ROUND(Scores_2014_N!AK10,$A$1)</f>
        <v>66.67</v>
      </c>
      <c r="X6" s="1">
        <f>ROUND(Scores_2014_N!AL10,$A$1)</f>
        <v>66.67</v>
      </c>
      <c r="Y6" s="1">
        <f>ROUND(Scores_2014_N!AM10,$A$1)</f>
        <v>0</v>
      </c>
      <c r="Z6" s="1">
        <f>ROUND(Scores_2014_N!AN10,$A$1)</f>
        <v>33.33</v>
      </c>
      <c r="AA6" s="1">
        <f>ROUND(Scores_2014_N!AO10,$A$1)</f>
        <v>100</v>
      </c>
      <c r="AB6" s="1">
        <f>ROUND(Scores_2014_N!AP10,$A$1)</f>
        <v>66.67</v>
      </c>
      <c r="AC6" s="1">
        <f>ROUND(Scores_2014_N!AQ10,$A$1)</f>
        <v>33.33</v>
      </c>
      <c r="AD6" s="1">
        <f>ROUND(Scores_2014_N!AR10,$A$1)</f>
        <v>0</v>
      </c>
      <c r="AE6" s="1">
        <f>ROUND(Scores_2014_N!AS10,$A$1)</f>
        <v>33.33</v>
      </c>
      <c r="AF6" s="1">
        <f>ROUND(Scores_2014_N!AT10,$A$1)</f>
        <v>33.33</v>
      </c>
      <c r="AG6" s="1">
        <f>ROUND(Scores_2014_N!AU10,$A$1)</f>
        <v>0</v>
      </c>
      <c r="AH6" s="1">
        <f>ROUND(Scores_2014_N!AV10,$A$1)</f>
        <v>66.67</v>
      </c>
      <c r="AI6" s="1">
        <f>ROUND(Scores_2014_N!AW10,$A$1)</f>
        <v>66.67</v>
      </c>
      <c r="AJ6" s="1">
        <f>ROUND(Scores_2014_N!AX10,$A$1)</f>
        <v>33.33</v>
      </c>
      <c r="AK6" s="1">
        <f>ROUND(Scores_2014_N!AY10,$A$1)</f>
        <v>66.67</v>
      </c>
      <c r="AL6" s="1">
        <f>ROUND(Scores_2014_N!AZ10,$A$1)</f>
        <v>33.33</v>
      </c>
      <c r="AM6" s="1">
        <f>ROUND(Scores_2014_N!BA10,$A$1)</f>
        <v>66.67</v>
      </c>
      <c r="AN6" s="1">
        <f>ROUND(Scores_2014_N!BB10,$A$1)</f>
        <v>66.67</v>
      </c>
      <c r="AO6" s="1">
        <f>ROUND(Scores_2014_N!BC10,$A$1)</f>
        <v>66.67</v>
      </c>
      <c r="AP6" s="1">
        <f>ROUND(Scores_2014_N!BD10,$A$1)</f>
        <v>33.33</v>
      </c>
      <c r="AQ6" s="1">
        <f>ROUND(Scores_2014_N!BE10,$A$1)</f>
        <v>0</v>
      </c>
      <c r="AR6" s="1">
        <f>ROUND(Scores_2014_N!BF10,$A$1)</f>
        <v>33.33</v>
      </c>
      <c r="AS6" s="1">
        <f>ROUND(Scores_2014_N!BG10,$A$1)</f>
        <v>66.67</v>
      </c>
      <c r="AT6" s="1">
        <f>ROUND(Scores_2014_N!BH10,$A$1)</f>
        <v>66.67</v>
      </c>
      <c r="AU6" s="1">
        <f>ROUND(Scores_2014_N!BI10,$A$1)</f>
        <v>33.33</v>
      </c>
      <c r="AW6" s="1">
        <f t="shared" si="0"/>
        <v>49.2756521739131</v>
      </c>
    </row>
    <row r="7" spans="1:49">
      <c r="A7" s="1" t="str">
        <f>Scores_2014_N!N11</f>
        <v>   1.1.3) Public-private partnerships</v>
      </c>
      <c r="B7" s="1">
        <f>ROUND(Scores_2014_N!P11,$A$1)</f>
        <v>50</v>
      </c>
      <c r="C7" s="1">
        <f>ROUND(Scores_2014_N!Q11,$A$1)</f>
        <v>50</v>
      </c>
      <c r="D7" s="1">
        <f>ROUND(Scores_2014_N!R11,$A$1)</f>
        <v>50</v>
      </c>
      <c r="E7" s="1">
        <f>ROUND(Scores_2014_N!S11,$A$1)</f>
        <v>0</v>
      </c>
      <c r="F7" s="1">
        <f>ROUND(Scores_2014_N!T11,$A$1)</f>
        <v>50</v>
      </c>
      <c r="G7" s="1">
        <f>ROUND(Scores_2014_N!U11,$A$1)</f>
        <v>50</v>
      </c>
      <c r="H7" s="1">
        <f>ROUND(Scores_2014_N!V11,$A$1)</f>
        <v>0</v>
      </c>
      <c r="I7" s="1">
        <f>ROUND(Scores_2014_N!W11,$A$1)</f>
        <v>50</v>
      </c>
      <c r="J7" s="1">
        <f>ROUND(Scores_2014_N!X11,$A$1)</f>
        <v>100</v>
      </c>
      <c r="K7" s="1">
        <f>ROUND(Scores_2014_N!Y11,$A$1)</f>
        <v>0</v>
      </c>
      <c r="L7" s="1">
        <f>ROUND(Scores_2014_N!Z11,$A$1)</f>
        <v>50</v>
      </c>
      <c r="M7" s="1">
        <f>ROUND(Scores_2014_N!AA11,$A$1)</f>
        <v>50</v>
      </c>
      <c r="N7" s="1">
        <f>ROUND(Scores_2014_N!AB11,$A$1)</f>
        <v>100</v>
      </c>
      <c r="O7" s="1">
        <f>ROUND(Scores_2014_N!AC11,$A$1)</f>
        <v>0</v>
      </c>
      <c r="P7" s="1">
        <f>ROUND(Scores_2014_N!AD11,$A$1)</f>
        <v>0</v>
      </c>
      <c r="Q7" s="1">
        <f>ROUND(Scores_2014_N!AE11,$A$1)</f>
        <v>50</v>
      </c>
      <c r="R7" s="1">
        <f>ROUND(Scores_2014_N!AF11,$A$1)</f>
        <v>50</v>
      </c>
      <c r="S7" s="1">
        <f>ROUND(Scores_2014_N!AG11,$A$1)</f>
        <v>50</v>
      </c>
      <c r="T7" s="1">
        <f>ROUND(Scores_2014_N!AH11,$A$1)</f>
        <v>50</v>
      </c>
      <c r="U7" s="1">
        <f>ROUND(Scores_2014_N!AI11,$A$1)</f>
        <v>50</v>
      </c>
      <c r="V7" s="1">
        <f>ROUND(Scores_2014_N!AJ11,$A$1)</f>
        <v>50</v>
      </c>
      <c r="W7" s="1">
        <f>ROUND(Scores_2014_N!AK11,$A$1)</f>
        <v>50</v>
      </c>
      <c r="X7" s="1">
        <f>ROUND(Scores_2014_N!AL11,$A$1)</f>
        <v>50</v>
      </c>
      <c r="Y7" s="1">
        <f>ROUND(Scores_2014_N!AM11,$A$1)</f>
        <v>50</v>
      </c>
      <c r="Z7" s="1">
        <f>ROUND(Scores_2014_N!AN11,$A$1)</f>
        <v>50</v>
      </c>
      <c r="AA7" s="1">
        <f>ROUND(Scores_2014_N!AO11,$A$1)</f>
        <v>100</v>
      </c>
      <c r="AB7" s="1">
        <f>ROUND(Scores_2014_N!AP11,$A$1)</f>
        <v>100</v>
      </c>
      <c r="AC7" s="1">
        <f>ROUND(Scores_2014_N!AQ11,$A$1)</f>
        <v>50</v>
      </c>
      <c r="AD7" s="1">
        <f>ROUND(Scores_2014_N!AR11,$A$1)</f>
        <v>50</v>
      </c>
      <c r="AE7" s="1">
        <f>ROUND(Scores_2014_N!AS11,$A$1)</f>
        <v>50</v>
      </c>
      <c r="AF7" s="1">
        <f>ROUND(Scores_2014_N!AT11,$A$1)</f>
        <v>50</v>
      </c>
      <c r="AG7" s="1">
        <f>ROUND(Scores_2014_N!AU11,$A$1)</f>
        <v>50</v>
      </c>
      <c r="AH7" s="1">
        <f>ROUND(Scores_2014_N!AV11,$A$1)</f>
        <v>50</v>
      </c>
      <c r="AI7" s="1">
        <f>ROUND(Scores_2014_N!AW11,$A$1)</f>
        <v>50</v>
      </c>
      <c r="AJ7" s="1">
        <f>ROUND(Scores_2014_N!AX11,$A$1)</f>
        <v>50</v>
      </c>
      <c r="AK7" s="1">
        <f>ROUND(Scores_2014_N!AY11,$A$1)</f>
        <v>50</v>
      </c>
      <c r="AL7" s="1">
        <f>ROUND(Scores_2014_N!AZ11,$A$1)</f>
        <v>50</v>
      </c>
      <c r="AM7" s="1">
        <f>ROUND(Scores_2014_N!BA11,$A$1)</f>
        <v>100</v>
      </c>
      <c r="AN7" s="1">
        <f>ROUND(Scores_2014_N!BB11,$A$1)</f>
        <v>50</v>
      </c>
      <c r="AO7" s="1">
        <f>ROUND(Scores_2014_N!BC11,$A$1)</f>
        <v>50</v>
      </c>
      <c r="AP7" s="1">
        <f>ROUND(Scores_2014_N!BD11,$A$1)</f>
        <v>0</v>
      </c>
      <c r="AQ7" s="1">
        <f>ROUND(Scores_2014_N!BE11,$A$1)</f>
        <v>0</v>
      </c>
      <c r="AR7" s="1">
        <f>ROUND(Scores_2014_N!BF11,$A$1)</f>
        <v>100</v>
      </c>
      <c r="AS7" s="1">
        <f>ROUND(Scores_2014_N!BG11,$A$1)</f>
        <v>50</v>
      </c>
      <c r="AT7" s="1">
        <f>ROUND(Scores_2014_N!BH11,$A$1)</f>
        <v>50</v>
      </c>
      <c r="AU7" s="1">
        <f>ROUND(Scores_2014_N!BI11,$A$1)</f>
        <v>50</v>
      </c>
      <c r="AW7" s="1">
        <f t="shared" si="0"/>
        <v>48.9130434782609</v>
      </c>
    </row>
    <row r="8" spans="1:49">
      <c r="A8" s="1" t="str">
        <f>Scores_2014_N!N12</f>
        <v>   1.1.4) Level of technology employed</v>
      </c>
      <c r="B8" s="1">
        <f>ROUND(Scores_2014_N!P12,$A$1)</f>
        <v>100</v>
      </c>
      <c r="C8" s="1">
        <f>ROUND(Scores_2014_N!Q12,$A$1)</f>
        <v>100</v>
      </c>
      <c r="D8" s="1">
        <f>ROUND(Scores_2014_N!R12,$A$1)</f>
        <v>75</v>
      </c>
      <c r="E8" s="1">
        <f>ROUND(Scores_2014_N!S12,$A$1)</f>
        <v>100</v>
      </c>
      <c r="F8" s="1">
        <f>ROUND(Scores_2014_N!T12,$A$1)</f>
        <v>75</v>
      </c>
      <c r="G8" s="1">
        <f>ROUND(Scores_2014_N!U12,$A$1)</f>
        <v>100</v>
      </c>
      <c r="H8" s="1">
        <f>ROUND(Scores_2014_N!V12,$A$1)</f>
        <v>75</v>
      </c>
      <c r="I8" s="1">
        <f>ROUND(Scores_2014_N!W12,$A$1)</f>
        <v>100</v>
      </c>
      <c r="J8" s="1">
        <f>ROUND(Scores_2014_N!X12,$A$1)</f>
        <v>75</v>
      </c>
      <c r="K8" s="1">
        <f>ROUND(Scores_2014_N!Y12,$A$1)</f>
        <v>75</v>
      </c>
      <c r="L8" s="1">
        <f>ROUND(Scores_2014_N!Z12,$A$1)</f>
        <v>100</v>
      </c>
      <c r="M8" s="1">
        <f>ROUND(Scores_2014_N!AA12,$A$1)</f>
        <v>75</v>
      </c>
      <c r="N8" s="1">
        <f>ROUND(Scores_2014_N!AB12,$A$1)</f>
        <v>100</v>
      </c>
      <c r="O8" s="1">
        <f>ROUND(Scores_2014_N!AC12,$A$1)</f>
        <v>75</v>
      </c>
      <c r="P8" s="1">
        <f>ROUND(Scores_2014_N!AD12,$A$1)</f>
        <v>75</v>
      </c>
      <c r="Q8" s="1">
        <f>ROUND(Scores_2014_N!AE12,$A$1)</f>
        <v>75</v>
      </c>
      <c r="R8" s="1">
        <f>ROUND(Scores_2014_N!AF12,$A$1)</f>
        <v>75</v>
      </c>
      <c r="S8" s="1">
        <f>ROUND(Scores_2014_N!AG12,$A$1)</f>
        <v>75</v>
      </c>
      <c r="T8" s="1">
        <f>ROUND(Scores_2014_N!AH12,$A$1)</f>
        <v>100</v>
      </c>
      <c r="U8" s="1">
        <f>ROUND(Scores_2014_N!AI12,$A$1)</f>
        <v>100</v>
      </c>
      <c r="V8" s="1">
        <f>ROUND(Scores_2014_N!AJ12,$A$1)</f>
        <v>100</v>
      </c>
      <c r="W8" s="1">
        <f>ROUND(Scores_2014_N!AK12,$A$1)</f>
        <v>100</v>
      </c>
      <c r="X8" s="1">
        <f>ROUND(Scores_2014_N!AL12,$A$1)</f>
        <v>75</v>
      </c>
      <c r="Y8" s="1">
        <f>ROUND(Scores_2014_N!AM12,$A$1)</f>
        <v>100</v>
      </c>
      <c r="Z8" s="1">
        <f>ROUND(Scores_2014_N!AN12,$A$1)</f>
        <v>75</v>
      </c>
      <c r="AA8" s="1">
        <f>ROUND(Scores_2014_N!AO12,$A$1)</f>
        <v>75</v>
      </c>
      <c r="AB8" s="1">
        <f>ROUND(Scores_2014_N!AP12,$A$1)</f>
        <v>100</v>
      </c>
      <c r="AC8" s="1">
        <f>ROUND(Scores_2014_N!AQ12,$A$1)</f>
        <v>100</v>
      </c>
      <c r="AD8" s="1">
        <f>ROUND(Scores_2014_N!AR12,$A$1)</f>
        <v>100</v>
      </c>
      <c r="AE8" s="1">
        <f>ROUND(Scores_2014_N!AS12,$A$1)</f>
        <v>75</v>
      </c>
      <c r="AF8" s="1">
        <f>ROUND(Scores_2014_N!AT12,$A$1)</f>
        <v>75</v>
      </c>
      <c r="AG8" s="1">
        <f>ROUND(Scores_2014_N!AU12,$A$1)</f>
        <v>100</v>
      </c>
      <c r="AH8" s="1">
        <f>ROUND(Scores_2014_N!AV12,$A$1)</f>
        <v>100</v>
      </c>
      <c r="AI8" s="1">
        <f>ROUND(Scores_2014_N!AW12,$A$1)</f>
        <v>75</v>
      </c>
      <c r="AJ8" s="1">
        <f>ROUND(Scores_2014_N!AX12,$A$1)</f>
        <v>75</v>
      </c>
      <c r="AK8" s="1">
        <f>ROUND(Scores_2014_N!AY12,$A$1)</f>
        <v>100</v>
      </c>
      <c r="AL8" s="1">
        <f>ROUND(Scores_2014_N!AZ12,$A$1)</f>
        <v>75</v>
      </c>
      <c r="AM8" s="1">
        <f>ROUND(Scores_2014_N!BA12,$A$1)</f>
        <v>100</v>
      </c>
      <c r="AN8" s="1">
        <f>ROUND(Scores_2014_N!BB12,$A$1)</f>
        <v>100</v>
      </c>
      <c r="AO8" s="1">
        <f>ROUND(Scores_2014_N!BC12,$A$1)</f>
        <v>100</v>
      </c>
      <c r="AP8" s="1">
        <f>ROUND(Scores_2014_N!BD12,$A$1)</f>
        <v>100</v>
      </c>
      <c r="AQ8" s="1">
        <f>ROUND(Scores_2014_N!BE12,$A$1)</f>
        <v>50</v>
      </c>
      <c r="AR8" s="1">
        <f>ROUND(Scores_2014_N!BF12,$A$1)</f>
        <v>100</v>
      </c>
      <c r="AS8" s="1">
        <f>ROUND(Scores_2014_N!BG12,$A$1)</f>
        <v>100</v>
      </c>
      <c r="AT8" s="1">
        <f>ROUND(Scores_2014_N!BH12,$A$1)</f>
        <v>100</v>
      </c>
      <c r="AU8" s="1">
        <f>ROUND(Scores_2014_N!BI12,$A$1)</f>
        <v>100</v>
      </c>
      <c r="AW8" s="1">
        <f t="shared" si="0"/>
        <v>88.5869565217391</v>
      </c>
    </row>
    <row r="9" spans="1:49">
      <c r="A9" s="1" t="str">
        <f>Scores_2014_N!N13</f>
        <v>   1.1.5) Dedicated cyber security teams</v>
      </c>
      <c r="B9" s="1">
        <f>ROUND(Scores_2014_N!P13,$A$1)</f>
        <v>100</v>
      </c>
      <c r="C9" s="1">
        <f>ROUND(Scores_2014_N!Q13,$A$1)</f>
        <v>50</v>
      </c>
      <c r="D9" s="1">
        <f>ROUND(Scores_2014_N!R13,$A$1)</f>
        <v>50</v>
      </c>
      <c r="E9" s="1">
        <f>ROUND(Scores_2014_N!S13,$A$1)</f>
        <v>100</v>
      </c>
      <c r="F9" s="1">
        <f>ROUND(Scores_2014_N!T13,$A$1)</f>
        <v>50</v>
      </c>
      <c r="G9" s="1">
        <f>ROUND(Scores_2014_N!U13,$A$1)</f>
        <v>50</v>
      </c>
      <c r="H9" s="1">
        <f>ROUND(Scores_2014_N!V13,$A$1)</f>
        <v>50</v>
      </c>
      <c r="I9" s="1">
        <f>ROUND(Scores_2014_N!W13,$A$1)</f>
        <v>100</v>
      </c>
      <c r="J9" s="1">
        <f>ROUND(Scores_2014_N!X13,$A$1)</f>
        <v>50</v>
      </c>
      <c r="K9" s="1">
        <f>ROUND(Scores_2014_N!Y13,$A$1)</f>
        <v>50</v>
      </c>
      <c r="L9" s="1">
        <f>ROUND(Scores_2014_N!Z13,$A$1)</f>
        <v>50</v>
      </c>
      <c r="M9" s="1">
        <f>ROUND(Scores_2014_N!AA13,$A$1)</f>
        <v>50</v>
      </c>
      <c r="N9" s="1">
        <f>ROUND(Scores_2014_N!AB13,$A$1)</f>
        <v>100</v>
      </c>
      <c r="O9" s="1">
        <f>ROUND(Scores_2014_N!AC13,$A$1)</f>
        <v>50</v>
      </c>
      <c r="P9" s="1">
        <f>ROUND(Scores_2014_N!AD13,$A$1)</f>
        <v>50</v>
      </c>
      <c r="Q9" s="1">
        <f>ROUND(Scores_2014_N!AE13,$A$1)</f>
        <v>50</v>
      </c>
      <c r="R9" s="1">
        <f>ROUND(Scores_2014_N!AF13,$A$1)</f>
        <v>50</v>
      </c>
      <c r="S9" s="1">
        <f>ROUND(Scores_2014_N!AG13,$A$1)</f>
        <v>50</v>
      </c>
      <c r="T9" s="1">
        <f>ROUND(Scores_2014_N!AH13,$A$1)</f>
        <v>50</v>
      </c>
      <c r="U9" s="1">
        <f>ROUND(Scores_2014_N!AI13,$A$1)</f>
        <v>100</v>
      </c>
      <c r="V9" s="1">
        <f>ROUND(Scores_2014_N!AJ13,$A$1)</f>
        <v>50</v>
      </c>
      <c r="W9" s="1">
        <f>ROUND(Scores_2014_N!AK13,$A$1)</f>
        <v>50</v>
      </c>
      <c r="X9" s="1">
        <f>ROUND(Scores_2014_N!AL13,$A$1)</f>
        <v>50</v>
      </c>
      <c r="Y9" s="1">
        <f>ROUND(Scores_2014_N!AM13,$A$1)</f>
        <v>100</v>
      </c>
      <c r="Z9" s="1">
        <f>ROUND(Scores_2014_N!AN13,$A$1)</f>
        <v>50</v>
      </c>
      <c r="AA9" s="1">
        <f>ROUND(Scores_2014_N!AO13,$A$1)</f>
        <v>100</v>
      </c>
      <c r="AB9" s="1">
        <f>ROUND(Scores_2014_N!AP13,$A$1)</f>
        <v>100</v>
      </c>
      <c r="AC9" s="1">
        <f>ROUND(Scores_2014_N!AQ13,$A$1)</f>
        <v>50</v>
      </c>
      <c r="AD9" s="1">
        <f>ROUND(Scores_2014_N!AR13,$A$1)</f>
        <v>50</v>
      </c>
      <c r="AE9" s="1">
        <f>ROUND(Scores_2014_N!AS13,$A$1)</f>
        <v>50</v>
      </c>
      <c r="AF9" s="1">
        <f>ROUND(Scores_2014_N!AT13,$A$1)</f>
        <v>50</v>
      </c>
      <c r="AG9" s="1">
        <f>ROUND(Scores_2014_N!AU13,$A$1)</f>
        <v>50</v>
      </c>
      <c r="AH9" s="1">
        <f>ROUND(Scores_2014_N!AV13,$A$1)</f>
        <v>100</v>
      </c>
      <c r="AI9" s="1">
        <f>ROUND(Scores_2014_N!AW13,$A$1)</f>
        <v>50</v>
      </c>
      <c r="AJ9" s="1">
        <f>ROUND(Scores_2014_N!AX13,$A$1)</f>
        <v>50</v>
      </c>
      <c r="AK9" s="1">
        <f>ROUND(Scores_2014_N!AY13,$A$1)</f>
        <v>50</v>
      </c>
      <c r="AL9" s="1">
        <f>ROUND(Scores_2014_N!AZ13,$A$1)</f>
        <v>50</v>
      </c>
      <c r="AM9" s="1">
        <f>ROUND(Scores_2014_N!BA13,$A$1)</f>
        <v>100</v>
      </c>
      <c r="AN9" s="1">
        <f>ROUND(Scores_2014_N!BB13,$A$1)</f>
        <v>50</v>
      </c>
      <c r="AO9" s="1">
        <f>ROUND(Scores_2014_N!BC13,$A$1)</f>
        <v>100</v>
      </c>
      <c r="AP9" s="1">
        <f>ROUND(Scores_2014_N!BD13,$A$1)</f>
        <v>50</v>
      </c>
      <c r="AQ9" s="1">
        <f>ROUND(Scores_2014_N!BE13,$A$1)</f>
        <v>50</v>
      </c>
      <c r="AR9" s="1">
        <f>ROUND(Scores_2014_N!BF13,$A$1)</f>
        <v>100</v>
      </c>
      <c r="AS9" s="1">
        <f>ROUND(Scores_2014_N!BG13,$A$1)</f>
        <v>100</v>
      </c>
      <c r="AT9" s="1">
        <f>ROUND(Scores_2014_N!BH13,$A$1)</f>
        <v>50</v>
      </c>
      <c r="AU9" s="1">
        <f>ROUND(Scores_2014_N!BI13,$A$1)</f>
        <v>50</v>
      </c>
      <c r="AW9" s="1">
        <f t="shared" si="0"/>
        <v>64.1304347826087</v>
      </c>
    </row>
    <row r="10" spans="1:49">
      <c r="A10" s="1" t="str">
        <f>Scores_2014_N!N14</f>
        <v>  1.2) Digital security (Outputs)</v>
      </c>
      <c r="B10" s="1">
        <f>ROUND(Scores_2014_N!P14,$A$1)</f>
        <v>80.08</v>
      </c>
      <c r="C10" s="1">
        <f>ROUND(Scores_2014_N!Q14,$A$1)</f>
        <v>90.96</v>
      </c>
      <c r="D10" s="1">
        <f>ROUND(Scores_2014_N!R14,$A$1)</f>
        <v>48.06</v>
      </c>
      <c r="E10" s="1">
        <f>ROUND(Scores_2014_N!S14,$A$1)</f>
        <v>59.24</v>
      </c>
      <c r="F10" s="1">
        <f>ROUND(Scores_2014_N!T14,$A$1)</f>
        <v>56.07</v>
      </c>
      <c r="G10" s="1">
        <f>ROUND(Scores_2014_N!U14,$A$1)</f>
        <v>75.86</v>
      </c>
      <c r="H10" s="1">
        <f>ROUND(Scores_2014_N!V14,$A$1)</f>
        <v>80.84</v>
      </c>
      <c r="I10" s="1">
        <f>ROUND(Scores_2014_N!W14,$A$1)</f>
        <v>70.47</v>
      </c>
      <c r="J10" s="1">
        <f>ROUND(Scores_2014_N!X14,$A$1)</f>
        <v>49.66</v>
      </c>
      <c r="K10" s="1">
        <f>ROUND(Scores_2014_N!Y14,$A$1)</f>
        <v>77.8</v>
      </c>
      <c r="L10" s="1">
        <f>ROUND(Scores_2014_N!Z14,$A$1)</f>
        <v>64.22</v>
      </c>
      <c r="M10" s="1">
        <f>ROUND(Scores_2014_N!AA14,$A$1)</f>
        <v>48.95</v>
      </c>
      <c r="N10" s="1">
        <f>ROUND(Scores_2014_N!AB14,$A$1)</f>
        <v>76.24</v>
      </c>
      <c r="O10" s="1">
        <f>ROUND(Scores_2014_N!AC14,$A$1)</f>
        <v>49.99</v>
      </c>
      <c r="P10" s="1">
        <f>ROUND(Scores_2014_N!AD14,$A$1)</f>
        <v>46.63</v>
      </c>
      <c r="Q10" s="1">
        <f>ROUND(Scores_2014_N!AE14,$A$1)</f>
        <v>60.14</v>
      </c>
      <c r="R10" s="1">
        <f>ROUND(Scores_2014_N!AF14,$A$1)</f>
        <v>74.75</v>
      </c>
      <c r="S10" s="1">
        <f>ROUND(Scores_2014_N!AG14,$A$1)</f>
        <v>49.85</v>
      </c>
      <c r="T10" s="1">
        <f>ROUND(Scores_2014_N!AH14,$A$1)</f>
        <v>77.51</v>
      </c>
      <c r="U10" s="1">
        <f>ROUND(Scores_2014_N!AI14,$A$1)</f>
        <v>74.65</v>
      </c>
      <c r="V10" s="1">
        <f>ROUND(Scores_2014_N!AJ14,$A$1)</f>
        <v>60.23</v>
      </c>
      <c r="W10" s="1">
        <f>ROUND(Scores_2014_N!AK14,$A$1)</f>
        <v>69.51</v>
      </c>
      <c r="X10" s="1">
        <f>ROUND(Scores_2014_N!AL14,$A$1)</f>
        <v>67.05</v>
      </c>
      <c r="Y10" s="1">
        <f>ROUND(Scores_2014_N!AM14,$A$1)</f>
        <v>71.23</v>
      </c>
      <c r="Z10" s="1">
        <f>ROUND(Scores_2014_N!AN14,$A$1)</f>
        <v>49.42</v>
      </c>
      <c r="AA10" s="1">
        <f>ROUND(Scores_2014_N!AO14,$A$1)</f>
        <v>49.14</v>
      </c>
      <c r="AB10" s="1">
        <f>ROUND(Scores_2014_N!AP14,$A$1)</f>
        <v>73.51</v>
      </c>
      <c r="AC10" s="1">
        <f>ROUND(Scores_2014_N!AQ14,$A$1)</f>
        <v>95.33</v>
      </c>
      <c r="AD10" s="1">
        <f>ROUND(Scores_2014_N!AR14,$A$1)</f>
        <v>68.8</v>
      </c>
      <c r="AE10" s="1">
        <f>ROUND(Scores_2014_N!AS14,$A$1)</f>
        <v>55.81</v>
      </c>
      <c r="AF10" s="1">
        <f>ROUND(Scores_2014_N!AT14,$A$1)</f>
        <v>52.85</v>
      </c>
      <c r="AG10" s="1">
        <f>ROUND(Scores_2014_N!AU14,$A$1)</f>
        <v>69.33</v>
      </c>
      <c r="AH10" s="1">
        <f>ROUND(Scores_2014_N!AV14,$A$1)</f>
        <v>72.37</v>
      </c>
      <c r="AI10" s="1">
        <f>ROUND(Scores_2014_N!AW14,$A$1)</f>
        <v>80.69</v>
      </c>
      <c r="AJ10" s="1">
        <f>ROUND(Scores_2014_N!AX14,$A$1)</f>
        <v>56.19</v>
      </c>
      <c r="AK10" s="1">
        <f>ROUND(Scores_2014_N!AY14,$A$1)</f>
        <v>45.59</v>
      </c>
      <c r="AL10" s="1">
        <f>ROUND(Scores_2014_N!AZ14,$A$1)</f>
        <v>54.62</v>
      </c>
      <c r="AM10" s="1">
        <f>ROUND(Scores_2014_N!BA14,$A$1)</f>
        <v>82.37</v>
      </c>
      <c r="AN10" s="1">
        <f>ROUND(Scores_2014_N!BB14,$A$1)</f>
        <v>80.31</v>
      </c>
      <c r="AO10" s="1">
        <f>ROUND(Scores_2014_N!BC14,$A$1)</f>
        <v>69.63</v>
      </c>
      <c r="AP10" s="1">
        <f>ROUND(Scores_2014_N!BD14,$A$1)</f>
        <v>81.56</v>
      </c>
      <c r="AQ10" s="1">
        <f>ROUND(Scores_2014_N!BE14,$A$1)</f>
        <v>57.15</v>
      </c>
      <c r="AR10" s="1">
        <f>ROUND(Scores_2014_N!BF14,$A$1)</f>
        <v>95.7</v>
      </c>
      <c r="AS10" s="1">
        <f>ROUND(Scores_2014_N!BG14,$A$1)</f>
        <v>72.75</v>
      </c>
      <c r="AT10" s="1">
        <f>ROUND(Scores_2014_N!BH14,$A$1)</f>
        <v>74.65</v>
      </c>
      <c r="AU10" s="1">
        <f>ROUND(Scores_2014_N!BI14,$A$1)</f>
        <v>79.41</v>
      </c>
      <c r="AW10" s="1">
        <f t="shared" si="0"/>
        <v>67.3297826086956</v>
      </c>
    </row>
    <row r="11" spans="1:49">
      <c r="A11" s="1" t="str">
        <f>Scores_2014_N!N15</f>
        <v>   1.2.1) Frequency of identity theft</v>
      </c>
      <c r="B11" s="1">
        <f>ROUND(Scores_2014_N!P15,$A$1)</f>
        <v>98</v>
      </c>
      <c r="C11" s="1">
        <f>ROUND(Scores_2014_N!Q15,$A$1)</f>
        <v>98.8</v>
      </c>
      <c r="D11" s="1">
        <f>ROUND(Scores_2014_N!R15,$A$1)</f>
        <v>98</v>
      </c>
      <c r="E11" s="1">
        <f>ROUND(Scores_2014_N!S15,$A$1)</f>
        <v>76</v>
      </c>
      <c r="F11" s="1">
        <f>ROUND(Scores_2014_N!T15,$A$1)</f>
        <v>44</v>
      </c>
      <c r="G11" s="1">
        <f>ROUND(Scores_2014_N!U15,$A$1)</f>
        <v>92</v>
      </c>
      <c r="H11" s="1">
        <f>ROUND(Scores_2014_N!V15,$A$1)</f>
        <v>98</v>
      </c>
      <c r="I11" s="1">
        <f>ROUND(Scores_2014_N!W15,$A$1)</f>
        <v>84</v>
      </c>
      <c r="J11" s="1">
        <f>ROUND(Scores_2014_N!X15,$A$1)</f>
        <v>52</v>
      </c>
      <c r="K11" s="1">
        <f>ROUND(Scores_2014_N!Y15,$A$1)</f>
        <v>98</v>
      </c>
      <c r="L11" s="1">
        <f>ROUND(Scores_2014_N!Z15,$A$1)</f>
        <v>80</v>
      </c>
      <c r="M11" s="1">
        <f>ROUND(Scores_2014_N!AA15,$A$1)</f>
        <v>98</v>
      </c>
      <c r="N11" s="1">
        <f>ROUND(Scores_2014_N!AB15,$A$1)</f>
        <v>98</v>
      </c>
      <c r="O11" s="1">
        <f>ROUND(Scores_2014_N!AC15,$A$1)</f>
        <v>80</v>
      </c>
      <c r="P11" s="1">
        <f>ROUND(Scores_2014_N!AD15,$A$1)</f>
        <v>56</v>
      </c>
      <c r="Q11" s="1">
        <f>ROUND(Scores_2014_N!AE15,$A$1)</f>
        <v>52</v>
      </c>
      <c r="R11" s="1">
        <f>ROUND(Scores_2014_N!AF15,$A$1)</f>
        <v>98</v>
      </c>
      <c r="S11" s="1">
        <f>ROUND(Scores_2014_N!AG15,$A$1)</f>
        <v>99.56</v>
      </c>
      <c r="T11" s="1">
        <f>ROUND(Scores_2014_N!AH15,$A$1)</f>
        <v>88</v>
      </c>
      <c r="U11" s="1">
        <f>ROUND(Scores_2014_N!AI15,$A$1)</f>
        <v>84</v>
      </c>
      <c r="V11" s="1">
        <f>ROUND(Scores_2014_N!AJ15,$A$1)</f>
        <v>76</v>
      </c>
      <c r="W11" s="1">
        <f>ROUND(Scores_2014_N!AK15,$A$1)</f>
        <v>80</v>
      </c>
      <c r="X11" s="1">
        <f>ROUND(Scores_2014_N!AL15,$A$1)</f>
        <v>76</v>
      </c>
      <c r="Y11" s="1">
        <f>ROUND(Scores_2014_N!AM15,$A$1)</f>
        <v>100</v>
      </c>
      <c r="Z11" s="1">
        <f>ROUND(Scores_2014_N!AN15,$A$1)</f>
        <v>72</v>
      </c>
      <c r="AA11" s="1">
        <f>ROUND(Scores_2014_N!AO15,$A$1)</f>
        <v>52</v>
      </c>
      <c r="AB11" s="1">
        <f>ROUND(Scores_2014_N!AP15,$A$1)</f>
        <v>84</v>
      </c>
      <c r="AC11" s="1">
        <f>ROUND(Scores_2014_N!AQ15,$A$1)</f>
        <v>96</v>
      </c>
      <c r="AD11" s="1">
        <f>ROUND(Scores_2014_N!AR15,$A$1)</f>
        <v>96</v>
      </c>
      <c r="AE11" s="1">
        <f>ROUND(Scores_2014_N!AS15,$A$1)</f>
        <v>72</v>
      </c>
      <c r="AF11" s="1">
        <f>ROUND(Scores_2014_N!AT15,$A$1)</f>
        <v>80</v>
      </c>
      <c r="AG11" s="1">
        <f>ROUND(Scores_2014_N!AU15,$A$1)</f>
        <v>100</v>
      </c>
      <c r="AH11" s="1">
        <f>ROUND(Scores_2014_N!AV15,$A$1)</f>
        <v>84</v>
      </c>
      <c r="AI11" s="1">
        <f>ROUND(Scores_2014_N!AW15,$A$1)</f>
        <v>98</v>
      </c>
      <c r="AJ11" s="1">
        <f>ROUND(Scores_2014_N!AX15,$A$1)</f>
        <v>72</v>
      </c>
      <c r="AK11" s="1">
        <f>ROUND(Scores_2014_N!AY15,$A$1)</f>
        <v>0</v>
      </c>
      <c r="AL11" s="1">
        <f>ROUND(Scores_2014_N!AZ15,$A$1)</f>
        <v>44</v>
      </c>
      <c r="AM11" s="1">
        <f>ROUND(Scores_2014_N!BA15,$A$1)</f>
        <v>72</v>
      </c>
      <c r="AN11" s="1">
        <f>ROUND(Scores_2014_N!BB15,$A$1)</f>
        <v>90.92</v>
      </c>
      <c r="AO11" s="1">
        <f>ROUND(Scores_2014_N!BC15,$A$1)</f>
        <v>80</v>
      </c>
      <c r="AP11" s="1">
        <f>ROUND(Scores_2014_N!BD15,$A$1)</f>
        <v>98</v>
      </c>
      <c r="AQ11" s="1">
        <f>ROUND(Scores_2014_N!BE15,$A$1)</f>
        <v>100</v>
      </c>
      <c r="AR11" s="1">
        <f>ROUND(Scores_2014_N!BF15,$A$1)</f>
        <v>96</v>
      </c>
      <c r="AS11" s="1">
        <f>ROUND(Scores_2014_N!BG15,$A$1)</f>
        <v>84</v>
      </c>
      <c r="AT11" s="1">
        <f>ROUND(Scores_2014_N!BH15,$A$1)</f>
        <v>84</v>
      </c>
      <c r="AU11" s="1">
        <f>ROUND(Scores_2014_N!BI15,$A$1)</f>
        <v>96</v>
      </c>
      <c r="AW11" s="1">
        <f t="shared" si="0"/>
        <v>81.6365217391304</v>
      </c>
    </row>
    <row r="12" spans="1:49">
      <c r="A12" s="1" t="str">
        <f>Scores_2014_N!N16</f>
        <v>   1.2.2) Percentage of computers infected</v>
      </c>
      <c r="B12" s="1">
        <f>ROUND(Scores_2014_N!P16,$A$1)</f>
        <v>50</v>
      </c>
      <c r="C12" s="1">
        <f>ROUND(Scores_2014_N!Q16,$A$1)</f>
        <v>75</v>
      </c>
      <c r="D12" s="1">
        <f>ROUND(Scores_2014_N!R16,$A$1)</f>
        <v>25</v>
      </c>
      <c r="E12" s="1">
        <f>ROUND(Scores_2014_N!S16,$A$1)</f>
        <v>25</v>
      </c>
      <c r="F12" s="1">
        <f>ROUND(Scores_2014_N!T16,$A$1)</f>
        <v>50</v>
      </c>
      <c r="G12" s="1">
        <f>ROUND(Scores_2014_N!U16,$A$1)</f>
        <v>50</v>
      </c>
      <c r="H12" s="1">
        <f>ROUND(Scores_2014_N!V16,$A$1)</f>
        <v>75</v>
      </c>
      <c r="I12" s="1">
        <f>ROUND(Scores_2014_N!W16,$A$1)</f>
        <v>50</v>
      </c>
      <c r="J12" s="1">
        <f>ROUND(Scores_2014_N!X16,$A$1)</f>
        <v>50</v>
      </c>
      <c r="K12" s="1">
        <f>ROUND(Scores_2014_N!Y16,$A$1)</f>
        <v>50</v>
      </c>
      <c r="L12" s="1">
        <f>ROUND(Scores_2014_N!Z16,$A$1)</f>
        <v>25</v>
      </c>
      <c r="M12" s="1">
        <f>ROUND(Scores_2014_N!AA16,$A$1)</f>
        <v>0</v>
      </c>
      <c r="N12" s="1">
        <f>ROUND(Scores_2014_N!AB16,$A$1)</f>
        <v>50</v>
      </c>
      <c r="O12" s="1">
        <f>ROUND(Scores_2014_N!AC16,$A$1)</f>
        <v>25</v>
      </c>
      <c r="P12" s="1">
        <f>ROUND(Scores_2014_N!AD16,$A$1)</f>
        <v>50</v>
      </c>
      <c r="Q12" s="1">
        <f>ROUND(Scores_2014_N!AE16,$A$1)</f>
        <v>75</v>
      </c>
      <c r="R12" s="1">
        <f>ROUND(Scores_2014_N!AF16,$A$1)</f>
        <v>50</v>
      </c>
      <c r="S12" s="1">
        <f>ROUND(Scores_2014_N!AG16,$A$1)</f>
        <v>50</v>
      </c>
      <c r="T12" s="1">
        <f>ROUND(Scores_2014_N!AH16,$A$1)</f>
        <v>50</v>
      </c>
      <c r="U12" s="1">
        <f>ROUND(Scores_2014_N!AI16,$A$1)</f>
        <v>50</v>
      </c>
      <c r="V12" s="1">
        <f>ROUND(Scores_2014_N!AJ16,$A$1)</f>
        <v>25</v>
      </c>
      <c r="W12" s="1">
        <f>ROUND(Scores_2014_N!AK16,$A$1)</f>
        <v>50</v>
      </c>
      <c r="X12" s="1">
        <f>ROUND(Scores_2014_N!AL16,$A$1)</f>
        <v>75</v>
      </c>
      <c r="Y12" s="1">
        <f>ROUND(Scores_2014_N!AM16,$A$1)</f>
        <v>50</v>
      </c>
      <c r="Z12" s="1">
        <f>ROUND(Scores_2014_N!AN16,$A$1)</f>
        <v>0</v>
      </c>
      <c r="AA12" s="1">
        <f>ROUND(Scores_2014_N!AO16,$A$1)</f>
        <v>50</v>
      </c>
      <c r="AB12" s="1">
        <f>ROUND(Scores_2014_N!AP16,$A$1)</f>
        <v>50</v>
      </c>
      <c r="AC12" s="1">
        <f>ROUND(Scores_2014_N!AQ16,$A$1)</f>
        <v>100</v>
      </c>
      <c r="AD12" s="1">
        <f>ROUND(Scores_2014_N!AR16,$A$1)</f>
        <v>25</v>
      </c>
      <c r="AE12" s="1">
        <f>ROUND(Scores_2014_N!AS16,$A$1)</f>
        <v>50</v>
      </c>
      <c r="AF12" s="1">
        <f>ROUND(Scores_2014_N!AT16,$A$1)</f>
        <v>25</v>
      </c>
      <c r="AG12" s="1">
        <f>ROUND(Scores_2014_N!AU16,$A$1)</f>
        <v>50</v>
      </c>
      <c r="AH12" s="1">
        <f>ROUND(Scores_2014_N!AV16,$A$1)</f>
        <v>50</v>
      </c>
      <c r="AI12" s="1">
        <f>ROUND(Scores_2014_N!AW16,$A$1)</f>
        <v>75</v>
      </c>
      <c r="AJ12" s="1">
        <f>ROUND(Scores_2014_N!AX16,$A$1)</f>
        <v>50</v>
      </c>
      <c r="AK12" s="1">
        <f>ROUND(Scores_2014_N!AY16,$A$1)</f>
        <v>50</v>
      </c>
      <c r="AL12" s="1">
        <f>ROUND(Scores_2014_N!AZ16,$A$1)</f>
        <v>50</v>
      </c>
      <c r="AM12" s="1">
        <f>ROUND(Scores_2014_N!BA16,$A$1)</f>
        <v>100</v>
      </c>
      <c r="AN12" s="1">
        <f>ROUND(Scores_2014_N!BB16,$A$1)</f>
        <v>50</v>
      </c>
      <c r="AO12" s="1">
        <f>ROUND(Scores_2014_N!BC16,$A$1)</f>
        <v>50</v>
      </c>
      <c r="AP12" s="1">
        <f>ROUND(Scores_2014_N!BD16,$A$1)</f>
        <v>75</v>
      </c>
      <c r="AQ12" s="1">
        <f>ROUND(Scores_2014_N!BE16,$A$1)</f>
        <v>50</v>
      </c>
      <c r="AR12" s="1">
        <f>ROUND(Scores_2014_N!BF16,$A$1)</f>
        <v>100</v>
      </c>
      <c r="AS12" s="1">
        <f>ROUND(Scores_2014_N!BG16,$A$1)</f>
        <v>50</v>
      </c>
      <c r="AT12" s="1">
        <f>ROUND(Scores_2014_N!BH16,$A$1)</f>
        <v>50</v>
      </c>
      <c r="AU12" s="1">
        <f>ROUND(Scores_2014_N!BI16,$A$1)</f>
        <v>50</v>
      </c>
      <c r="AW12" s="1">
        <f t="shared" si="0"/>
        <v>50.5434782608696</v>
      </c>
    </row>
    <row r="13" spans="1:49">
      <c r="A13" s="1" t="str">
        <f>Scores_2014_N!N17</f>
        <v>   1.2.3) Percentage with Internet access</v>
      </c>
      <c r="B13" s="1">
        <f>ROUND(Scores_2014_N!P17,$A$1)</f>
        <v>92.24</v>
      </c>
      <c r="C13" s="1">
        <f>ROUND(Scores_2014_N!Q17,$A$1)</f>
        <v>99.09</v>
      </c>
      <c r="D13" s="1">
        <f>ROUND(Scores_2014_N!R17,$A$1)</f>
        <v>21.19</v>
      </c>
      <c r="E13" s="1">
        <f>ROUND(Scores_2014_N!S17,$A$1)</f>
        <v>76.71</v>
      </c>
      <c r="F13" s="1">
        <f>ROUND(Scores_2014_N!T17,$A$1)</f>
        <v>74.2</v>
      </c>
      <c r="G13" s="1">
        <f>ROUND(Scores_2014_N!U17,$A$1)</f>
        <v>85.58</v>
      </c>
      <c r="H13" s="1">
        <f>ROUND(Scores_2014_N!V17,$A$1)</f>
        <v>69.51</v>
      </c>
      <c r="I13" s="1">
        <f>ROUND(Scores_2014_N!W17,$A$1)</f>
        <v>77.4</v>
      </c>
      <c r="J13" s="1">
        <f>ROUND(Scores_2014_N!X17,$A$1)</f>
        <v>46.97</v>
      </c>
      <c r="K13" s="1">
        <f>ROUND(Scores_2014_N!Y17,$A$1)</f>
        <v>85.39</v>
      </c>
      <c r="L13" s="1">
        <f>ROUND(Scores_2014_N!Z17,$A$1)</f>
        <v>87.67</v>
      </c>
      <c r="M13" s="1">
        <f>ROUND(Scores_2014_N!AA17,$A$1)</f>
        <v>48.86</v>
      </c>
      <c r="N13" s="1">
        <f>ROUND(Scores_2014_N!AB17,$A$1)</f>
        <v>80.71</v>
      </c>
      <c r="O13" s="1">
        <f>ROUND(Scores_2014_N!AC17,$A$1)</f>
        <v>44.98</v>
      </c>
      <c r="P13" s="1">
        <f>ROUND(Scores_2014_N!AD17,$A$1)</f>
        <v>33.9</v>
      </c>
      <c r="Q13" s="1">
        <f>ROUND(Scores_2014_N!AE17,$A$1)</f>
        <v>53.42</v>
      </c>
      <c r="R13" s="1">
        <f>ROUND(Scores_2014_N!AF17,$A$1)</f>
        <v>76.26</v>
      </c>
      <c r="S13" s="1">
        <f>ROUND(Scores_2014_N!AG17,$A$1)</f>
        <v>0</v>
      </c>
      <c r="T13" s="1">
        <f>ROUND(Scores_2014_N!AH17,$A$1)</f>
        <v>94.52</v>
      </c>
      <c r="U13" s="1">
        <f>ROUND(Scores_2014_N!AI17,$A$1)</f>
        <v>89.95</v>
      </c>
      <c r="V13" s="1">
        <f>ROUND(Scores_2014_N!AJ17,$A$1)</f>
        <v>79.68</v>
      </c>
      <c r="W13" s="1">
        <f>ROUND(Scores_2014_N!AK17,$A$1)</f>
        <v>78.54</v>
      </c>
      <c r="X13" s="1">
        <f>ROUND(Scores_2014_N!AL17,$A$1)</f>
        <v>50.15</v>
      </c>
      <c r="Y13" s="1">
        <f>ROUND(Scores_2014_N!AM17,$A$1)</f>
        <v>63.7</v>
      </c>
      <c r="Z13" s="1">
        <f>ROUND(Scores_2014_N!AN17,$A$1)</f>
        <v>76.26</v>
      </c>
      <c r="AA13" s="1">
        <f>ROUND(Scores_2014_N!AO17,$A$1)</f>
        <v>45.43</v>
      </c>
      <c r="AB13" s="1">
        <f>ROUND(Scores_2014_N!AP17,$A$1)</f>
        <v>86.53</v>
      </c>
      <c r="AC13" s="1">
        <f>ROUND(Scores_2014_N!AQ17,$A$1)</f>
        <v>89.99</v>
      </c>
      <c r="AD13" s="1">
        <f>ROUND(Scores_2014_N!AR17,$A$1)</f>
        <v>85.39</v>
      </c>
      <c r="AE13" s="1">
        <f>ROUND(Scores_2014_N!AS17,$A$1)</f>
        <v>45.43</v>
      </c>
      <c r="AF13" s="1">
        <f>ROUND(Scores_2014_N!AT17,$A$1)</f>
        <v>53.54</v>
      </c>
      <c r="AG13" s="1">
        <f>ROUND(Scores_2014_N!AU17,$A$1)</f>
        <v>57.99</v>
      </c>
      <c r="AH13" s="1">
        <f>ROUND(Scores_2014_N!AV17,$A$1)</f>
        <v>83.11</v>
      </c>
      <c r="AI13" s="1">
        <f>ROUND(Scores_2014_N!AW17,$A$1)</f>
        <v>69.06</v>
      </c>
      <c r="AJ13" s="1">
        <f>ROUND(Scores_2014_N!AX17,$A$1)</f>
        <v>46.58</v>
      </c>
      <c r="AK13" s="1">
        <f>ROUND(Scores_2014_N!AY17,$A$1)</f>
        <v>86.76</v>
      </c>
      <c r="AL13" s="1">
        <f>ROUND(Scores_2014_N!AZ17,$A$1)</f>
        <v>69.86</v>
      </c>
      <c r="AM13" s="1">
        <f>ROUND(Scores_2014_N!BA17,$A$1)</f>
        <v>75.11</v>
      </c>
      <c r="AN13" s="1">
        <f>ROUND(Scores_2014_N!BB17,$A$1)</f>
        <v>100</v>
      </c>
      <c r="AO13" s="1">
        <f>ROUND(Scores_2014_N!BC17,$A$1)</f>
        <v>78.88</v>
      </c>
      <c r="AP13" s="1">
        <f>ROUND(Scores_2014_N!BD17,$A$1)</f>
        <v>71.69</v>
      </c>
      <c r="AQ13" s="1">
        <f>ROUND(Scores_2014_N!BE17,$A$1)</f>
        <v>21.46</v>
      </c>
      <c r="AR13" s="1">
        <f>ROUND(Scores_2014_N!BF17,$A$1)</f>
        <v>91.1</v>
      </c>
      <c r="AS13" s="1">
        <f>ROUND(Scores_2014_N!BG17,$A$1)</f>
        <v>84.25</v>
      </c>
      <c r="AT13" s="1">
        <f>ROUND(Scores_2014_N!BH17,$A$1)</f>
        <v>89.95</v>
      </c>
      <c r="AU13" s="1">
        <f>ROUND(Scores_2014_N!BI17,$A$1)</f>
        <v>92.24</v>
      </c>
      <c r="AW13" s="1">
        <f t="shared" si="0"/>
        <v>69.809347826087</v>
      </c>
    </row>
    <row r="14" spans="1:49">
      <c r="A14" s="1" t="str">
        <f>Scores_2014_N!N18</f>
        <v> 2) HEALTH SECURITY</v>
      </c>
      <c r="B14" s="1">
        <f>ROUND(Scores_2014_N!P18,$A$1)</f>
        <v>55.55</v>
      </c>
      <c r="C14" s="1">
        <f>ROUND(Scores_2014_N!Q18,$A$1)</f>
        <v>76.04</v>
      </c>
      <c r="D14" s="1">
        <f>ROUND(Scores_2014_N!R18,$A$1)</f>
        <v>64.4</v>
      </c>
      <c r="E14" s="1">
        <f>ROUND(Scores_2014_N!S18,$A$1)</f>
        <v>77.5</v>
      </c>
      <c r="F14" s="1">
        <f>ROUND(Scores_2014_N!T18,$A$1)</f>
        <v>68.07</v>
      </c>
      <c r="G14" s="1">
        <f>ROUND(Scores_2014_N!U18,$A$1)</f>
        <v>79.39</v>
      </c>
      <c r="H14" s="1">
        <f>ROUND(Scores_2014_N!V18,$A$1)</f>
        <v>67.72</v>
      </c>
      <c r="I14" s="1">
        <f>ROUND(Scores_2014_N!W18,$A$1)</f>
        <v>71.95</v>
      </c>
      <c r="J14" s="1">
        <f>ROUND(Scores_2014_N!X18,$A$1)</f>
        <v>58.89</v>
      </c>
      <c r="K14" s="1">
        <f>ROUND(Scores_2014_N!Y18,$A$1)</f>
        <v>57.35</v>
      </c>
      <c r="L14" s="1">
        <f>ROUND(Scores_2014_N!Z18,$A$1)</f>
        <v>78.63</v>
      </c>
      <c r="M14" s="1">
        <f>ROUND(Scores_2014_N!AA18,$A$1)</f>
        <v>53.01</v>
      </c>
      <c r="N14" s="1">
        <f>ROUND(Scores_2014_N!AB18,$A$1)</f>
        <v>67.42</v>
      </c>
      <c r="O14" s="1">
        <f>ROUND(Scores_2014_N!AC18,$A$1)</f>
        <v>53.65</v>
      </c>
      <c r="P14" s="1">
        <f>ROUND(Scores_2014_N!AD18,$A$1)</f>
        <v>58.09</v>
      </c>
      <c r="Q14" s="1">
        <f>ROUND(Scores_2014_N!AE18,$A$1)</f>
        <v>55.73</v>
      </c>
      <c r="R14" s="1">
        <f>ROUND(Scores_2014_N!AF18,$A$1)</f>
        <v>59.87</v>
      </c>
      <c r="S14" s="1">
        <f>ROUND(Scores_2014_N!AG18,$A$1)</f>
        <v>59.41</v>
      </c>
      <c r="T14" s="1">
        <f>ROUND(Scores_2014_N!AH18,$A$1)</f>
        <v>72.49</v>
      </c>
      <c r="U14" s="1">
        <f>ROUND(Scores_2014_N!AI18,$A$1)</f>
        <v>69.38</v>
      </c>
      <c r="V14" s="1">
        <f>ROUND(Scores_2014_N!AJ18,$A$1)</f>
        <v>76.98</v>
      </c>
      <c r="W14" s="1">
        <f>ROUND(Scores_2014_N!AK18,$A$1)</f>
        <v>75.71</v>
      </c>
      <c r="X14" s="1">
        <f>ROUND(Scores_2014_N!AL18,$A$1)</f>
        <v>65.32</v>
      </c>
      <c r="Y14" s="1">
        <f>ROUND(Scores_2014_N!AM18,$A$1)</f>
        <v>68.35</v>
      </c>
      <c r="Z14" s="1">
        <f>ROUND(Scores_2014_N!AN18,$A$1)</f>
        <v>71.07</v>
      </c>
      <c r="AA14" s="1">
        <f>ROUND(Scores_2014_N!AO18,$A$1)</f>
        <v>51.78</v>
      </c>
      <c r="AB14" s="1">
        <f>ROUND(Scores_2014_N!AP18,$A$1)</f>
        <v>79.6</v>
      </c>
      <c r="AC14" s="1">
        <f>ROUND(Scores_2014_N!AQ18,$A$1)</f>
        <v>78.54</v>
      </c>
      <c r="AD14" s="1">
        <f>ROUND(Scores_2014_N!AR18,$A$1)</f>
        <v>78.53</v>
      </c>
      <c r="AE14" s="1">
        <f>ROUND(Scores_2014_N!AS18,$A$1)</f>
        <v>61.54</v>
      </c>
      <c r="AF14" s="1">
        <f>ROUND(Scores_2014_N!AT18,$A$1)</f>
        <v>56.83</v>
      </c>
      <c r="AG14" s="1">
        <f>ROUND(Scores_2014_N!AU18,$A$1)</f>
        <v>69.33</v>
      </c>
      <c r="AH14" s="1">
        <f>ROUND(Scores_2014_N!AV18,$A$1)</f>
        <v>75.23</v>
      </c>
      <c r="AI14" s="1">
        <f>ROUND(Scores_2014_N!AW18,$A$1)</f>
        <v>67.44</v>
      </c>
      <c r="AJ14" s="1">
        <f>ROUND(Scores_2014_N!AX18,$A$1)</f>
        <v>63.92</v>
      </c>
      <c r="AK14" s="1">
        <f>ROUND(Scores_2014_N!AY18,$A$1)</f>
        <v>75.62</v>
      </c>
      <c r="AL14" s="1">
        <f>ROUND(Scores_2014_N!AZ18,$A$1)</f>
        <v>66.29</v>
      </c>
      <c r="AM14" s="1">
        <f>ROUND(Scores_2014_N!BA18,$A$1)</f>
        <v>76.96</v>
      </c>
      <c r="AN14" s="1">
        <f>ROUND(Scores_2014_N!BB18,$A$1)</f>
        <v>85</v>
      </c>
      <c r="AO14" s="1">
        <f>ROUND(Scores_2014_N!BC18,$A$1)</f>
        <v>74.76</v>
      </c>
      <c r="AP14" s="1">
        <f>ROUND(Scores_2014_N!BD18,$A$1)</f>
        <v>78.75</v>
      </c>
      <c r="AQ14" s="1">
        <f>ROUND(Scores_2014_N!BE18,$A$1)</f>
        <v>52.95</v>
      </c>
      <c r="AR14" s="1">
        <f>ROUND(Scores_2014_N!BF18,$A$1)</f>
        <v>78.02</v>
      </c>
      <c r="AS14" s="1">
        <f>ROUND(Scores_2014_N!BG18,$A$1)</f>
        <v>72.33</v>
      </c>
      <c r="AT14" s="1">
        <f>ROUND(Scores_2014_N!BH18,$A$1)</f>
        <v>75.12</v>
      </c>
      <c r="AU14" s="1">
        <f>ROUND(Scores_2014_N!BI18,$A$1)</f>
        <v>80.08</v>
      </c>
      <c r="AW14" s="1">
        <f t="shared" ref="AW14:AW63" si="1">AVERAGE(B14:AU14)</f>
        <v>68.7084782608696</v>
      </c>
    </row>
    <row r="15" spans="1:49">
      <c r="A15" s="1" t="str">
        <f>Scores_2014_N!N19</f>
        <v>  2.1) Health security (Inputs)</v>
      </c>
      <c r="B15" s="1">
        <f>ROUND(Scores_2014_N!P19,$A$1)</f>
        <v>52.98</v>
      </c>
      <c r="C15" s="1">
        <f>ROUND(Scores_2014_N!Q19,$A$1)</f>
        <v>70.51</v>
      </c>
      <c r="D15" s="1">
        <f>ROUND(Scores_2014_N!R19,$A$1)</f>
        <v>56.98</v>
      </c>
      <c r="E15" s="1">
        <f>ROUND(Scores_2014_N!S19,$A$1)</f>
        <v>67.44</v>
      </c>
      <c r="F15" s="1">
        <f>ROUND(Scores_2014_N!T19,$A$1)</f>
        <v>58.81</v>
      </c>
      <c r="G15" s="1">
        <f>ROUND(Scores_2014_N!U19,$A$1)</f>
        <v>77.13</v>
      </c>
      <c r="H15" s="1">
        <f>ROUND(Scores_2014_N!V19,$A$1)</f>
        <v>61.41</v>
      </c>
      <c r="I15" s="1">
        <f>ROUND(Scores_2014_N!W19,$A$1)</f>
        <v>64.43</v>
      </c>
      <c r="J15" s="1">
        <f>ROUND(Scores_2014_N!X19,$A$1)</f>
        <v>54.81</v>
      </c>
      <c r="K15" s="1">
        <f>ROUND(Scores_2014_N!Y19,$A$1)</f>
        <v>51.1</v>
      </c>
      <c r="L15" s="1">
        <f>ROUND(Scores_2014_N!Z19,$A$1)</f>
        <v>70.46</v>
      </c>
      <c r="M15" s="1">
        <f>ROUND(Scores_2014_N!AA19,$A$1)</f>
        <v>39.28</v>
      </c>
      <c r="N15" s="1">
        <f>ROUND(Scores_2014_N!AB19,$A$1)</f>
        <v>66.83</v>
      </c>
      <c r="O15" s="1">
        <f>ROUND(Scores_2014_N!AC19,$A$1)</f>
        <v>35.82</v>
      </c>
      <c r="P15" s="1">
        <f>ROUND(Scores_2014_N!AD19,$A$1)</f>
        <v>45.54</v>
      </c>
      <c r="Q15" s="1">
        <f>ROUND(Scores_2014_N!AE19,$A$1)</f>
        <v>47.85</v>
      </c>
      <c r="R15" s="1">
        <f>ROUND(Scores_2014_N!AF19,$A$1)</f>
        <v>46.92</v>
      </c>
      <c r="S15" s="1">
        <f>ROUND(Scores_2014_N!AG19,$A$1)</f>
        <v>47.21</v>
      </c>
      <c r="T15" s="1">
        <f>ROUND(Scores_2014_N!AH19,$A$1)</f>
        <v>61.39</v>
      </c>
      <c r="U15" s="1">
        <f>ROUND(Scores_2014_N!AI19,$A$1)</f>
        <v>64.91</v>
      </c>
      <c r="V15" s="1">
        <f>ROUND(Scores_2014_N!AJ19,$A$1)</f>
        <v>65.59</v>
      </c>
      <c r="W15" s="1">
        <f>ROUND(Scores_2014_N!AK19,$A$1)</f>
        <v>66.47</v>
      </c>
      <c r="X15" s="1">
        <f>ROUND(Scores_2014_N!AL19,$A$1)</f>
        <v>56.45</v>
      </c>
      <c r="Y15" s="1">
        <f>ROUND(Scores_2014_N!AM19,$A$1)</f>
        <v>55.76</v>
      </c>
      <c r="Z15" s="1">
        <f>ROUND(Scores_2014_N!AN19,$A$1)</f>
        <v>65.69</v>
      </c>
      <c r="AA15" s="1">
        <f>ROUND(Scores_2014_N!AO19,$A$1)</f>
        <v>43.75</v>
      </c>
      <c r="AB15" s="1">
        <f>ROUND(Scores_2014_N!AP19,$A$1)</f>
        <v>68.27</v>
      </c>
      <c r="AC15" s="1">
        <f>ROUND(Scores_2014_N!AQ19,$A$1)</f>
        <v>77.57</v>
      </c>
      <c r="AD15" s="1">
        <f>ROUND(Scores_2014_N!AR19,$A$1)</f>
        <v>73.46</v>
      </c>
      <c r="AE15" s="1">
        <f>ROUND(Scores_2014_N!AS19,$A$1)</f>
        <v>57.51</v>
      </c>
      <c r="AF15" s="1">
        <f>ROUND(Scores_2014_N!AT19,$A$1)</f>
        <v>42.51</v>
      </c>
      <c r="AG15" s="1">
        <f>ROUND(Scores_2014_N!AU19,$A$1)</f>
        <v>57.51</v>
      </c>
      <c r="AH15" s="1">
        <f>ROUND(Scores_2014_N!AV19,$A$1)</f>
        <v>65.72</v>
      </c>
      <c r="AI15" s="1">
        <f>ROUND(Scores_2014_N!AW19,$A$1)</f>
        <v>51.66</v>
      </c>
      <c r="AJ15" s="1">
        <f>ROUND(Scores_2014_N!AX19,$A$1)</f>
        <v>54.12</v>
      </c>
      <c r="AK15" s="1">
        <f>ROUND(Scores_2014_N!AY19,$A$1)</f>
        <v>67.77</v>
      </c>
      <c r="AL15" s="1">
        <f>ROUND(Scores_2014_N!AZ19,$A$1)</f>
        <v>55.87</v>
      </c>
      <c r="AM15" s="1">
        <f>ROUND(Scores_2014_N!BA19,$A$1)</f>
        <v>67.37</v>
      </c>
      <c r="AN15" s="1">
        <f>ROUND(Scores_2014_N!BB19,$A$1)</f>
        <v>86.01</v>
      </c>
      <c r="AO15" s="1">
        <f>ROUND(Scores_2014_N!BC19,$A$1)</f>
        <v>64.35</v>
      </c>
      <c r="AP15" s="1">
        <f>ROUND(Scores_2014_N!BD19,$A$1)</f>
        <v>81.75</v>
      </c>
      <c r="AQ15" s="1">
        <f>ROUND(Scores_2014_N!BE19,$A$1)</f>
        <v>45.83</v>
      </c>
      <c r="AR15" s="1">
        <f>ROUND(Scores_2014_N!BF19,$A$1)</f>
        <v>74.36</v>
      </c>
      <c r="AS15" s="1">
        <f>ROUND(Scores_2014_N!BG19,$A$1)</f>
        <v>60.39</v>
      </c>
      <c r="AT15" s="1">
        <f>ROUND(Scores_2014_N!BH19,$A$1)</f>
        <v>74.2</v>
      </c>
      <c r="AU15" s="1">
        <f>ROUND(Scores_2014_N!BI19,$A$1)</f>
        <v>71.27</v>
      </c>
      <c r="AW15" s="1">
        <f t="shared" si="1"/>
        <v>60.7178260869565</v>
      </c>
    </row>
    <row r="16" spans="1:49">
      <c r="A16" s="1" t="str">
        <f>Scores_2014_N!N20</f>
        <v>   2.1.1) Environmental policies</v>
      </c>
      <c r="B16" s="1">
        <f>ROUND(Scores_2014_N!P20,$A$1)</f>
        <v>53.85</v>
      </c>
      <c r="C16" s="1">
        <f>ROUND(Scores_2014_N!Q20,$A$1)</f>
        <v>88.59</v>
      </c>
      <c r="D16" s="1">
        <f>ROUND(Scores_2014_N!R20,$A$1)</f>
        <v>91.15</v>
      </c>
      <c r="E16" s="1">
        <f>ROUND(Scores_2014_N!S20,$A$1)</f>
        <v>74.36</v>
      </c>
      <c r="F16" s="1">
        <f>ROUND(Scores_2014_N!T20,$A$1)</f>
        <v>73.59</v>
      </c>
      <c r="G16" s="1">
        <f>ROUND(Scores_2014_N!U20,$A$1)</f>
        <v>100</v>
      </c>
      <c r="H16" s="1">
        <f>ROUND(Scores_2014_N!V20,$A$1)</f>
        <v>67.56</v>
      </c>
      <c r="I16" s="1">
        <f>ROUND(Scores_2014_N!W20,$A$1)</f>
        <v>84.36</v>
      </c>
      <c r="J16" s="1">
        <f>ROUND(Scores_2014_N!X20,$A$1)</f>
        <v>84.87</v>
      </c>
      <c r="K16" s="1">
        <f>ROUND(Scores_2014_N!Y20,$A$1)</f>
        <v>17.95</v>
      </c>
      <c r="L16" s="1">
        <f>ROUND(Scores_2014_N!Z20,$A$1)</f>
        <v>68.72</v>
      </c>
      <c r="M16" s="1">
        <f>ROUND(Scores_2014_N!AA20,$A$1)</f>
        <v>28.08</v>
      </c>
      <c r="N16" s="1">
        <f>ROUND(Scores_2014_N!AB20,$A$1)</f>
        <v>97.82</v>
      </c>
      <c r="O16" s="1">
        <f>ROUND(Scores_2014_N!AC20,$A$1)</f>
        <v>11.67</v>
      </c>
      <c r="P16" s="1">
        <f>ROUND(Scores_2014_N!AD20,$A$1)</f>
        <v>86.67</v>
      </c>
      <c r="Q16" s="1">
        <f>ROUND(Scores_2014_N!AE20,$A$1)</f>
        <v>60.77</v>
      </c>
      <c r="R16" s="1">
        <f>ROUND(Scores_2014_N!AF20,$A$1)</f>
        <v>0</v>
      </c>
      <c r="S16" s="1">
        <f>ROUND(Scores_2014_N!AG20,$A$1)</f>
        <v>50.64</v>
      </c>
      <c r="T16" s="1">
        <f>ROUND(Scores_2014_N!AH20,$A$1)</f>
        <v>70.13</v>
      </c>
      <c r="U16" s="1">
        <f>ROUND(Scores_2014_N!AI20,$A$1)</f>
        <v>92.82</v>
      </c>
      <c r="V16" s="1">
        <f>ROUND(Scores_2014_N!AJ20,$A$1)</f>
        <v>74.36</v>
      </c>
      <c r="W16" s="1">
        <f>ROUND(Scores_2014_N!AK20,$A$1)</f>
        <v>71.79</v>
      </c>
      <c r="X16" s="1">
        <f>ROUND(Scores_2014_N!AL20,$A$1)</f>
        <v>92.18</v>
      </c>
      <c r="Y16" s="1">
        <f>ROUND(Scores_2014_N!AM20,$A$1)</f>
        <v>38.72</v>
      </c>
      <c r="Z16" s="1">
        <f>ROUND(Scores_2014_N!AN20,$A$1)</f>
        <v>85.9</v>
      </c>
      <c r="AA16" s="1">
        <f>ROUND(Scores_2014_N!AO20,$A$1)</f>
        <v>51.28</v>
      </c>
      <c r="AB16" s="1">
        <f>ROUND(Scores_2014_N!AP20,$A$1)</f>
        <v>100</v>
      </c>
      <c r="AC16" s="1">
        <f>ROUND(Scores_2014_N!AQ20,$A$1)</f>
        <v>95.51</v>
      </c>
      <c r="AD16" s="1">
        <f>ROUND(Scores_2014_N!AR20,$A$1)</f>
        <v>92.82</v>
      </c>
      <c r="AE16" s="1">
        <f>ROUND(Scores_2014_N!AS20,$A$1)</f>
        <v>91.15</v>
      </c>
      <c r="AF16" s="1">
        <f>ROUND(Scores_2014_N!AT20,$A$1)</f>
        <v>0</v>
      </c>
      <c r="AG16" s="1">
        <f>ROUND(Scores_2014_N!AU20,$A$1)</f>
        <v>38.72</v>
      </c>
      <c r="AH16" s="1">
        <f>ROUND(Scores_2014_N!AV20,$A$1)</f>
        <v>91.41</v>
      </c>
      <c r="AI16" s="1">
        <f>ROUND(Scores_2014_N!AW20,$A$1)</f>
        <v>60.77</v>
      </c>
      <c r="AJ16" s="1">
        <f>ROUND(Scores_2014_N!AX20,$A$1)</f>
        <v>57.31</v>
      </c>
      <c r="AK16" s="1">
        <f>ROUND(Scores_2014_N!AY20,$A$1)</f>
        <v>91.15</v>
      </c>
      <c r="AL16" s="1">
        <f>ROUND(Scores_2014_N!AZ20,$A$1)</f>
        <v>80.77</v>
      </c>
      <c r="AM16" s="1">
        <f>ROUND(Scores_2014_N!BA20,$A$1)</f>
        <v>96.79</v>
      </c>
      <c r="AN16" s="1">
        <f>ROUND(Scores_2014_N!BB20,$A$1)</f>
        <v>100</v>
      </c>
      <c r="AO16" s="1">
        <f>ROUND(Scores_2014_N!BC20,$A$1)</f>
        <v>57.69</v>
      </c>
      <c r="AP16" s="1">
        <f>ROUND(Scores_2014_N!BD20,$A$1)</f>
        <v>91.15</v>
      </c>
      <c r="AQ16" s="1">
        <f>ROUND(Scores_2014_N!BE20,$A$1)</f>
        <v>62.82</v>
      </c>
      <c r="AR16" s="1">
        <f>ROUND(Scores_2014_N!BF20,$A$1)</f>
        <v>95.51</v>
      </c>
      <c r="AS16" s="1">
        <f>ROUND(Scores_2014_N!BG20,$A$1)</f>
        <v>48.72</v>
      </c>
      <c r="AT16" s="1">
        <f>ROUND(Scores_2014_N!BH20,$A$1)</f>
        <v>100</v>
      </c>
      <c r="AU16" s="1">
        <f>ROUND(Scores_2014_N!BI20,$A$1)</f>
        <v>84.36</v>
      </c>
      <c r="AW16" s="1">
        <f t="shared" si="1"/>
        <v>70.7495652173913</v>
      </c>
    </row>
    <row r="17" spans="1:49">
      <c r="A17" s="1" t="str">
        <f>Scores_2014_N!N21</f>
        <v>   2.1.2) Access to healthcare</v>
      </c>
      <c r="B17" s="1">
        <f>ROUND(Scores_2014_N!P21,$A$1)</f>
        <v>66.67</v>
      </c>
      <c r="C17" s="1">
        <f>ROUND(Scores_2014_N!Q21,$A$1)</f>
        <v>100</v>
      </c>
      <c r="D17" s="1">
        <f>ROUND(Scores_2014_N!R21,$A$1)</f>
        <v>75</v>
      </c>
      <c r="E17" s="1">
        <f>ROUND(Scores_2014_N!S21,$A$1)</f>
        <v>91.67</v>
      </c>
      <c r="F17" s="1">
        <f>ROUND(Scores_2014_N!T21,$A$1)</f>
        <v>83.33</v>
      </c>
      <c r="G17" s="1">
        <f>ROUND(Scores_2014_N!U21,$A$1)</f>
        <v>100</v>
      </c>
      <c r="H17" s="1">
        <f>ROUND(Scores_2014_N!V21,$A$1)</f>
        <v>91.67</v>
      </c>
      <c r="I17" s="1">
        <f>ROUND(Scores_2014_N!W21,$A$1)</f>
        <v>91.67</v>
      </c>
      <c r="J17" s="1">
        <f>ROUND(Scores_2014_N!X21,$A$1)</f>
        <v>75</v>
      </c>
      <c r="K17" s="1">
        <f>ROUND(Scores_2014_N!Y21,$A$1)</f>
        <v>75</v>
      </c>
      <c r="L17" s="1">
        <f>ROUND(Scores_2014_N!Z21,$A$1)</f>
        <v>100</v>
      </c>
      <c r="M17" s="1">
        <f>ROUND(Scores_2014_N!AA21,$A$1)</f>
        <v>66.67</v>
      </c>
      <c r="N17" s="1">
        <f>ROUND(Scores_2014_N!AB21,$A$1)</f>
        <v>91.67</v>
      </c>
      <c r="O17" s="1">
        <f>ROUND(Scores_2014_N!AC21,$A$1)</f>
        <v>50</v>
      </c>
      <c r="P17" s="1">
        <f>ROUND(Scores_2014_N!AD21,$A$1)</f>
        <v>66.67</v>
      </c>
      <c r="Q17" s="1">
        <f>ROUND(Scores_2014_N!AE21,$A$1)</f>
        <v>75</v>
      </c>
      <c r="R17" s="1">
        <f>ROUND(Scores_2014_N!AF21,$A$1)</f>
        <v>75</v>
      </c>
      <c r="S17" s="1">
        <f>ROUND(Scores_2014_N!AG21,$A$1)</f>
        <v>83.33</v>
      </c>
      <c r="T17" s="1">
        <f>ROUND(Scores_2014_N!AH21,$A$1)</f>
        <v>83.33</v>
      </c>
      <c r="U17" s="1">
        <f>ROUND(Scores_2014_N!AI21,$A$1)</f>
        <v>91.67</v>
      </c>
      <c r="V17" s="1">
        <f>ROUND(Scores_2014_N!AJ21,$A$1)</f>
        <v>91.67</v>
      </c>
      <c r="W17" s="1">
        <f>ROUND(Scores_2014_N!AK21,$A$1)</f>
        <v>100</v>
      </c>
      <c r="X17" s="1">
        <f>ROUND(Scores_2014_N!AL21,$A$1)</f>
        <v>83.33</v>
      </c>
      <c r="Y17" s="1">
        <f>ROUND(Scores_2014_N!AM21,$A$1)</f>
        <v>91.67</v>
      </c>
      <c r="Z17" s="1">
        <f>ROUND(Scores_2014_N!AN21,$A$1)</f>
        <v>75</v>
      </c>
      <c r="AA17" s="1">
        <f>ROUND(Scores_2014_N!AO21,$A$1)</f>
        <v>83.33</v>
      </c>
      <c r="AB17" s="1">
        <f>ROUND(Scores_2014_N!AP21,$A$1)</f>
        <v>91.67</v>
      </c>
      <c r="AC17" s="1">
        <f>ROUND(Scores_2014_N!AQ21,$A$1)</f>
        <v>100</v>
      </c>
      <c r="AD17" s="1">
        <f>ROUND(Scores_2014_N!AR21,$A$1)</f>
        <v>100</v>
      </c>
      <c r="AE17" s="1">
        <f>ROUND(Scores_2014_N!AS21,$A$1)</f>
        <v>66.67</v>
      </c>
      <c r="AF17" s="1">
        <f>ROUND(Scores_2014_N!AT21,$A$1)</f>
        <v>75</v>
      </c>
      <c r="AG17" s="1">
        <f>ROUND(Scores_2014_N!AU21,$A$1)</f>
        <v>91.67</v>
      </c>
      <c r="AH17" s="1">
        <f>ROUND(Scores_2014_N!AV21,$A$1)</f>
        <v>91.67</v>
      </c>
      <c r="AI17" s="1">
        <f>ROUND(Scores_2014_N!AW21,$A$1)</f>
        <v>75</v>
      </c>
      <c r="AJ17" s="1">
        <f>ROUND(Scores_2014_N!AX21,$A$1)</f>
        <v>75</v>
      </c>
      <c r="AK17" s="1">
        <f>ROUND(Scores_2014_N!AY21,$A$1)</f>
        <v>91.67</v>
      </c>
      <c r="AL17" s="1">
        <f>ROUND(Scores_2014_N!AZ21,$A$1)</f>
        <v>66.67</v>
      </c>
      <c r="AM17" s="1">
        <f>ROUND(Scores_2014_N!BA21,$A$1)</f>
        <v>91.67</v>
      </c>
      <c r="AN17" s="1">
        <f>ROUND(Scores_2014_N!BB21,$A$1)</f>
        <v>91.67</v>
      </c>
      <c r="AO17" s="1">
        <f>ROUND(Scores_2014_N!BC21,$A$1)</f>
        <v>100</v>
      </c>
      <c r="AP17" s="1">
        <f>ROUND(Scores_2014_N!BD21,$A$1)</f>
        <v>83.33</v>
      </c>
      <c r="AQ17" s="1">
        <f>ROUND(Scores_2014_N!BE21,$A$1)</f>
        <v>58.33</v>
      </c>
      <c r="AR17" s="1">
        <f>ROUND(Scores_2014_N!BF21,$A$1)</f>
        <v>100</v>
      </c>
      <c r="AS17" s="1">
        <f>ROUND(Scores_2014_N!BG21,$A$1)</f>
        <v>100</v>
      </c>
      <c r="AT17" s="1">
        <f>ROUND(Scores_2014_N!BH21,$A$1)</f>
        <v>91.67</v>
      </c>
      <c r="AU17" s="1">
        <f>ROUND(Scores_2014_N!BI21,$A$1)</f>
        <v>100</v>
      </c>
      <c r="AW17" s="1">
        <f t="shared" si="1"/>
        <v>84.7834782608696</v>
      </c>
    </row>
    <row r="18" spans="1:49">
      <c r="A18" s="1" t="str">
        <f>Scores_2014_N!N22</f>
        <v>   2.1.3) No. of beds per 1,000</v>
      </c>
      <c r="B18" s="1">
        <f>ROUND(Scores_2014_N!P22,$A$1)</f>
        <v>11.19</v>
      </c>
      <c r="C18" s="1">
        <f>ROUND(Scores_2014_N!Q22,$A$1)</f>
        <v>19.53</v>
      </c>
      <c r="D18" s="1">
        <f>ROUND(Scores_2014_N!R22,$A$1)</f>
        <v>15.61</v>
      </c>
      <c r="E18" s="1">
        <f>ROUND(Scores_2014_N!S22,$A$1)</f>
        <v>13.36</v>
      </c>
      <c r="F18" s="1">
        <f>ROUND(Scores_2014_N!T22,$A$1)</f>
        <v>20.11</v>
      </c>
      <c r="G18" s="1">
        <f>ROUND(Scores_2014_N!U22,$A$1)</f>
        <v>31.74</v>
      </c>
      <c r="H18" s="1">
        <f>ROUND(Scores_2014_N!V22,$A$1)</f>
        <v>18.69</v>
      </c>
      <c r="I18" s="1">
        <f>ROUND(Scores_2014_N!W22,$A$1)</f>
        <v>10.35</v>
      </c>
      <c r="J18" s="1">
        <f>ROUND(Scores_2014_N!X22,$A$1)</f>
        <v>9.31</v>
      </c>
      <c r="K18" s="1">
        <f>ROUND(Scores_2014_N!Y22,$A$1)</f>
        <v>4.93</v>
      </c>
      <c r="L18" s="1">
        <f>ROUND(Scores_2014_N!Z22,$A$1)</f>
        <v>34.54</v>
      </c>
      <c r="M18" s="1">
        <f>ROUND(Scores_2014_N!AA22,$A$1)</f>
        <v>15.77</v>
      </c>
      <c r="N18" s="1">
        <f>ROUND(Scores_2014_N!AB22,$A$1)</f>
        <v>20.74</v>
      </c>
      <c r="O18" s="1">
        <f>ROUND(Scores_2014_N!AC22,$A$1)</f>
        <v>0</v>
      </c>
      <c r="P18" s="1">
        <f>ROUND(Scores_2014_N!AD22,$A$1)</f>
        <v>6.6</v>
      </c>
      <c r="Q18" s="1">
        <f>ROUND(Scores_2014_N!AE22,$A$1)</f>
        <v>6.18</v>
      </c>
      <c r="R18" s="1">
        <f>ROUND(Scores_2014_N!AF22,$A$1)</f>
        <v>9.1</v>
      </c>
      <c r="S18" s="1">
        <f>ROUND(Scores_2014_N!AG22,$A$1)</f>
        <v>6.6</v>
      </c>
      <c r="T18" s="1">
        <f>ROUND(Scores_2014_N!AH22,$A$1)</f>
        <v>9.1</v>
      </c>
      <c r="U18" s="1">
        <f>ROUND(Scores_2014_N!AI22,$A$1)</f>
        <v>5.06</v>
      </c>
      <c r="V18" s="1">
        <f>ROUND(Scores_2014_N!AJ22,$A$1)</f>
        <v>12.6</v>
      </c>
      <c r="W18" s="1">
        <f>ROUND(Scores_2014_N!AK22,$A$1)</f>
        <v>9.6</v>
      </c>
      <c r="X18" s="1">
        <f>ROUND(Scores_2014_N!AL22,$A$1)</f>
        <v>4.52</v>
      </c>
      <c r="Y18" s="1">
        <f>ROUND(Scores_2014_N!AM22,$A$1)</f>
        <v>23.28</v>
      </c>
      <c r="Z18" s="1">
        <f>ROUND(Scores_2014_N!AN22,$A$1)</f>
        <v>40.37</v>
      </c>
      <c r="AA18" s="1">
        <f>ROUND(Scores_2014_N!AO22,$A$1)</f>
        <v>7.93</v>
      </c>
      <c r="AB18" s="1">
        <f>ROUND(Scores_2014_N!AP22,$A$1)</f>
        <v>12.85</v>
      </c>
      <c r="AC18" s="1">
        <f>ROUND(Scores_2014_N!AQ22,$A$1)</f>
        <v>42.88</v>
      </c>
      <c r="AD18" s="1">
        <f>ROUND(Scores_2014_N!AR22,$A$1)</f>
        <v>29.58</v>
      </c>
      <c r="AE18" s="1">
        <f>ROUND(Scores_2014_N!AS22,$A$1)</f>
        <v>7.85</v>
      </c>
      <c r="AF18" s="1">
        <f>ROUND(Scores_2014_N!AT22,$A$1)</f>
        <v>9.14</v>
      </c>
      <c r="AG18" s="1">
        <f>ROUND(Scores_2014_N!AU22,$A$1)</f>
        <v>17.86</v>
      </c>
      <c r="AH18" s="1">
        <f>ROUND(Scores_2014_N!AV22,$A$1)</f>
        <v>12.44</v>
      </c>
      <c r="AI18" s="1">
        <f>ROUND(Scores_2014_N!AW22,$A$1)</f>
        <v>8.69</v>
      </c>
      <c r="AJ18" s="1">
        <f>ROUND(Scores_2014_N!AX22,$A$1)</f>
        <v>10.77</v>
      </c>
      <c r="AK18" s="1">
        <f>ROUND(Scores_2014_N!AY22,$A$1)</f>
        <v>19.94</v>
      </c>
      <c r="AL18" s="1">
        <f>ROUND(Scores_2014_N!AZ22,$A$1)</f>
        <v>19.15</v>
      </c>
      <c r="AM18" s="1">
        <f>ROUND(Scores_2014_N!BA22,$A$1)</f>
        <v>8.27</v>
      </c>
      <c r="AN18" s="1">
        <f>ROUND(Scores_2014_N!BB22,$A$1)</f>
        <v>100</v>
      </c>
      <c r="AO18" s="1">
        <f>ROUND(Scores_2014_N!BC22,$A$1)</f>
        <v>12.4</v>
      </c>
      <c r="AP18" s="1">
        <f>ROUND(Scores_2014_N!BD22,$A$1)</f>
        <v>34.12</v>
      </c>
      <c r="AQ18" s="1">
        <f>ROUND(Scores_2014_N!BE22,$A$1)</f>
        <v>0.35</v>
      </c>
      <c r="AR18" s="1">
        <f>ROUND(Scores_2014_N!BF22,$A$1)</f>
        <v>34.87</v>
      </c>
      <c r="AS18" s="1">
        <f>ROUND(Scores_2014_N!BG22,$A$1)</f>
        <v>10.35</v>
      </c>
      <c r="AT18" s="1">
        <f>ROUND(Scores_2014_N!BH22,$A$1)</f>
        <v>24.53</v>
      </c>
      <c r="AU18" s="1">
        <f>ROUND(Scores_2014_N!BI22,$A$1)</f>
        <v>18.28</v>
      </c>
      <c r="AW18" s="1">
        <f t="shared" si="1"/>
        <v>17.4158695652174</v>
      </c>
    </row>
    <row r="19" spans="1:49">
      <c r="A19" s="1" t="str">
        <f>Scores_2014_N!N23</f>
        <v>   2.1.4) No. of doctors per 1,000</v>
      </c>
      <c r="B19" s="1">
        <f>ROUND(Scores_2014_N!P23,$A$1)</f>
        <v>11.49</v>
      </c>
      <c r="C19" s="1">
        <f>ROUND(Scores_2014_N!Q23,$A$1)</f>
        <v>14.94</v>
      </c>
      <c r="D19" s="1">
        <f>ROUND(Scores_2014_N!R23,$A$1)</f>
        <v>0</v>
      </c>
      <c r="E19" s="1">
        <f>ROUND(Scores_2014_N!S23,$A$1)</f>
        <v>25.29</v>
      </c>
      <c r="F19" s="1">
        <f>ROUND(Scores_2014_N!T23,$A$1)</f>
        <v>18.91</v>
      </c>
      <c r="G19" s="1">
        <f>ROUND(Scores_2014_N!U23,$A$1)</f>
        <v>31.03</v>
      </c>
      <c r="H19" s="1">
        <f>ROUND(Scores_2014_N!V23,$A$1)</f>
        <v>16.67</v>
      </c>
      <c r="I19" s="1">
        <f>ROUND(Scores_2014_N!W23,$A$1)</f>
        <v>13.39</v>
      </c>
      <c r="J19" s="1">
        <f>ROUND(Scores_2014_N!X23,$A$1)</f>
        <v>16.09</v>
      </c>
      <c r="K19" s="1">
        <f>ROUND(Scores_2014_N!Y23,$A$1)</f>
        <v>46.21</v>
      </c>
      <c r="L19" s="1">
        <f>ROUND(Scores_2014_N!Z23,$A$1)</f>
        <v>19.48</v>
      </c>
      <c r="M19" s="1">
        <f>ROUND(Scores_2014_N!AA23,$A$1)</f>
        <v>5.29</v>
      </c>
      <c r="N19" s="1">
        <f>ROUND(Scores_2014_N!AB23,$A$1)</f>
        <v>8.85</v>
      </c>
      <c r="O19" s="1">
        <f>ROUND(Scores_2014_N!AC23,$A$1)</f>
        <v>3.68</v>
      </c>
      <c r="P19" s="1">
        <f>ROUND(Scores_2014_N!AD23,$A$1)</f>
        <v>0</v>
      </c>
      <c r="Q19" s="1">
        <f>ROUND(Scores_2014_N!AE23,$A$1)</f>
        <v>1.72</v>
      </c>
      <c r="R19" s="1">
        <f>ROUND(Scores_2014_N!AF23,$A$1)</f>
        <v>10.75</v>
      </c>
      <c r="S19" s="1">
        <f>ROUND(Scores_2014_N!AG23,$A$1)</f>
        <v>4.6</v>
      </c>
      <c r="T19" s="1">
        <f>ROUND(Scores_2014_N!AH23,$A$1)</f>
        <v>18.28</v>
      </c>
      <c r="U19" s="1">
        <f>ROUND(Scores_2014_N!AI23,$A$1)</f>
        <v>13.1</v>
      </c>
      <c r="V19" s="1">
        <f>ROUND(Scores_2014_N!AJ23,$A$1)</f>
        <v>27.41</v>
      </c>
      <c r="W19" s="1">
        <f>ROUND(Scores_2014_N!AK23,$A$1)</f>
        <v>17.41</v>
      </c>
      <c r="X19" s="1">
        <f>ROUND(Scores_2014_N!AL23,$A$1)</f>
        <v>12.64</v>
      </c>
      <c r="Y19" s="1">
        <f>ROUND(Scores_2014_N!AM23,$A$1)</f>
        <v>5.92</v>
      </c>
      <c r="Z19" s="1">
        <f>ROUND(Scores_2014_N!AN23,$A$1)</f>
        <v>20.69</v>
      </c>
      <c r="AA19" s="1">
        <f>ROUND(Scores_2014_N!AO23,$A$1)</f>
        <v>1.38</v>
      </c>
      <c r="AB19" s="1">
        <f>ROUND(Scores_2014_N!AP23,$A$1)</f>
        <v>18.28</v>
      </c>
      <c r="AC19" s="1">
        <f>ROUND(Scores_2014_N!AQ23,$A$1)</f>
        <v>27.01</v>
      </c>
      <c r="AD19" s="1">
        <f>ROUND(Scores_2014_N!AR23,$A$1)</f>
        <v>18.39</v>
      </c>
      <c r="AE19" s="1">
        <f>ROUND(Scores_2014_N!AS23,$A$1)</f>
        <v>18.97</v>
      </c>
      <c r="AF19" s="1">
        <f>ROUND(Scores_2014_N!AT23,$A$1)</f>
        <v>10.92</v>
      </c>
      <c r="AG19" s="1">
        <f>ROUND(Scores_2014_N!AU23,$A$1)</f>
        <v>21.84</v>
      </c>
      <c r="AH19" s="1">
        <f>ROUND(Scores_2014_N!AV23,$A$1)</f>
        <v>12.01</v>
      </c>
      <c r="AI19" s="1">
        <f>ROUND(Scores_2014_N!AW23,$A$1)</f>
        <v>4.08</v>
      </c>
      <c r="AJ19" s="1">
        <f>ROUND(Scores_2014_N!AX23,$A$1)</f>
        <v>21.26</v>
      </c>
      <c r="AK19" s="1">
        <f>ROUND(Scores_2014_N!AY23,$A$1)</f>
        <v>18.33</v>
      </c>
      <c r="AL19" s="1">
        <f>ROUND(Scores_2014_N!AZ23,$A$1)</f>
        <v>11.72</v>
      </c>
      <c r="AM19" s="1">
        <f>ROUND(Scores_2014_N!BA23,$A$1)</f>
        <v>7.47</v>
      </c>
      <c r="AN19" s="1">
        <f>ROUND(Scores_2014_N!BB23,$A$1)</f>
        <v>24.37</v>
      </c>
      <c r="AO19" s="1">
        <f>ROUND(Scores_2014_N!BC23,$A$1)</f>
        <v>16.03</v>
      </c>
      <c r="AP19" s="1">
        <f>ROUND(Scores_2014_N!BD23,$A$1)</f>
        <v>100</v>
      </c>
      <c r="AQ19" s="1">
        <f>ROUND(Scores_2014_N!BE23,$A$1)</f>
        <v>3.39</v>
      </c>
      <c r="AR19" s="1">
        <f>ROUND(Scores_2014_N!BF23,$A$1)</f>
        <v>15.75</v>
      </c>
      <c r="AS19" s="1">
        <f>ROUND(Scores_2014_N!BG23,$A$1)</f>
        <v>3.45</v>
      </c>
      <c r="AT19" s="1">
        <f>ROUND(Scores_2014_N!BH23,$A$1)</f>
        <v>42.18</v>
      </c>
      <c r="AU19" s="1">
        <f>ROUND(Scores_2014_N!BI23,$A$1)</f>
        <v>25</v>
      </c>
      <c r="AW19" s="1">
        <f t="shared" si="1"/>
        <v>17.0797826086957</v>
      </c>
    </row>
    <row r="20" spans="1:49">
      <c r="A20" s="1" t="str">
        <f>Scores_2014_N!N24</f>
        <v>   2.1.5) Access to safe and quality food</v>
      </c>
      <c r="B20" s="1">
        <f>ROUND(Scores_2014_N!P24,$A$1)</f>
        <v>99.7</v>
      </c>
      <c r="C20" s="1">
        <f>ROUND(Scores_2014_N!Q24,$A$1)</f>
        <v>100</v>
      </c>
      <c r="D20" s="1">
        <f>ROUND(Scores_2014_N!R24,$A$1)</f>
        <v>97.6</v>
      </c>
      <c r="E20" s="1">
        <f>ROUND(Scores_2014_N!S24,$A$1)</f>
        <v>100</v>
      </c>
      <c r="F20" s="1">
        <f>ROUND(Scores_2014_N!T24,$A$1)</f>
        <v>94.4</v>
      </c>
      <c r="G20" s="1">
        <f>ROUND(Scores_2014_N!U24,$A$1)</f>
        <v>100</v>
      </c>
      <c r="H20" s="1">
        <f>ROUND(Scores_2014_N!V24,$A$1)</f>
        <v>98.9</v>
      </c>
      <c r="I20" s="1">
        <f>ROUND(Scores_2014_N!W24,$A$1)</f>
        <v>99.3</v>
      </c>
      <c r="J20" s="1">
        <f>ROUND(Scores_2014_N!X24,$A$1)</f>
        <v>81.1</v>
      </c>
      <c r="K20" s="1">
        <f>ROUND(Scores_2014_N!Y24,$A$1)</f>
        <v>87.5</v>
      </c>
      <c r="L20" s="1">
        <f>ROUND(Scores_2014_N!Z24,$A$1)</f>
        <v>100</v>
      </c>
      <c r="M20" s="1">
        <f>ROUND(Scores_2014_N!AA24,$A$1)</f>
        <v>82.4</v>
      </c>
      <c r="N20" s="1">
        <f>ROUND(Scores_2014_N!AB24,$A$1)</f>
        <v>94.4</v>
      </c>
      <c r="O20" s="1">
        <f>ROUND(Scores_2014_N!AC24,$A$1)</f>
        <v>99.6</v>
      </c>
      <c r="P20" s="1">
        <f>ROUND(Scores_2014_N!AD24,$A$1)</f>
        <v>75.8</v>
      </c>
      <c r="Q20" s="1">
        <f>ROUND(Scores_2014_N!AE24,$A$1)</f>
        <v>93.4</v>
      </c>
      <c r="R20" s="1">
        <f>ROUND(Scores_2014_N!AF24,$A$1)</f>
        <v>99.2</v>
      </c>
      <c r="S20" s="1">
        <f>ROUND(Scores_2014_N!AG24,$A$1)</f>
        <v>75.6</v>
      </c>
      <c r="T20" s="1">
        <f>ROUND(Scores_2014_N!AH24,$A$1)</f>
        <v>100</v>
      </c>
      <c r="U20" s="1">
        <f>ROUND(Scores_2014_N!AI24,$A$1)</f>
        <v>99.3</v>
      </c>
      <c r="V20" s="1">
        <f>ROUND(Scores_2014_N!AJ24,$A$1)</f>
        <v>100</v>
      </c>
      <c r="W20" s="1">
        <f>ROUND(Scores_2014_N!AK24,$A$1)</f>
        <v>100</v>
      </c>
      <c r="X20" s="1">
        <f>ROUND(Scores_2014_N!AL24,$A$1)</f>
        <v>96</v>
      </c>
      <c r="Y20" s="1">
        <f>ROUND(Scores_2014_N!AM24,$A$1)</f>
        <v>100</v>
      </c>
      <c r="Z20" s="1">
        <f>ROUND(Scores_2014_N!AN24,$A$1)</f>
        <v>97.2</v>
      </c>
      <c r="AA20" s="1">
        <f>ROUND(Scores_2014_N!AO24,$A$1)</f>
        <v>81.1</v>
      </c>
      <c r="AB20" s="1">
        <f>ROUND(Scores_2014_N!AP24,$A$1)</f>
        <v>99.3</v>
      </c>
      <c r="AC20" s="1">
        <f>ROUND(Scores_2014_N!AQ24,$A$1)</f>
        <v>100</v>
      </c>
      <c r="AD20" s="1">
        <f>ROUND(Scores_2014_N!AR24,$A$1)</f>
        <v>100</v>
      </c>
      <c r="AE20" s="1">
        <f>ROUND(Scores_2014_N!AS24,$A$1)</f>
        <v>97.9</v>
      </c>
      <c r="AF20" s="1">
        <f>ROUND(Scores_2014_N!AT24,$A$1)</f>
        <v>97.5</v>
      </c>
      <c r="AG20" s="1">
        <f>ROUND(Scores_2014_N!AU24,$A$1)</f>
        <v>100</v>
      </c>
      <c r="AH20" s="1">
        <f>ROUND(Scores_2014_N!AV24,$A$1)</f>
        <v>99.3</v>
      </c>
      <c r="AI20" s="1">
        <f>ROUND(Scores_2014_N!AW24,$A$1)</f>
        <v>98.9</v>
      </c>
      <c r="AJ20" s="1">
        <f>ROUND(Scores_2014_N!AX24,$A$1)</f>
        <v>97.9</v>
      </c>
      <c r="AK20" s="1">
        <f>ROUND(Scores_2014_N!AY24,$A$1)</f>
        <v>98</v>
      </c>
      <c r="AL20" s="1">
        <f>ROUND(Scores_2014_N!AZ24,$A$1)</f>
        <v>94.4</v>
      </c>
      <c r="AM20" s="1">
        <f>ROUND(Scores_2014_N!BA24,$A$1)</f>
        <v>100</v>
      </c>
      <c r="AN20" s="1">
        <f>ROUND(Scores_2014_N!BB24,$A$1)</f>
        <v>100</v>
      </c>
      <c r="AO20" s="1">
        <f>ROUND(Scores_2014_N!BC24,$A$1)</f>
        <v>100</v>
      </c>
      <c r="AP20" s="1">
        <f>ROUND(Scores_2014_N!BD24,$A$1)</f>
        <v>94.4</v>
      </c>
      <c r="AQ20" s="1">
        <f>ROUND(Scores_2014_N!BE24,$A$1)</f>
        <v>87.6</v>
      </c>
      <c r="AR20" s="1">
        <f>ROUND(Scores_2014_N!BF24,$A$1)</f>
        <v>100</v>
      </c>
      <c r="AS20" s="1">
        <f>ROUND(Scores_2014_N!BG24,$A$1)</f>
        <v>99.8</v>
      </c>
      <c r="AT20" s="1">
        <f>ROUND(Scores_2014_N!BH24,$A$1)</f>
        <v>99.3</v>
      </c>
      <c r="AU20" s="1">
        <f>ROUND(Scores_2014_N!BI24,$A$1)</f>
        <v>100</v>
      </c>
      <c r="AW20" s="1">
        <f t="shared" si="1"/>
        <v>96.0173913043479</v>
      </c>
    </row>
    <row r="21" spans="1:49">
      <c r="A21" s="1" t="str">
        <f>Scores_2014_N!N25</f>
        <v>   2.1.6) Quality of health services</v>
      </c>
      <c r="B21" s="1">
        <f>ROUND(Scores_2014_N!P25,$A$1)</f>
        <v>75</v>
      </c>
      <c r="C21" s="1">
        <f>ROUND(Scores_2014_N!Q25,$A$1)</f>
        <v>100</v>
      </c>
      <c r="D21" s="1">
        <f>ROUND(Scores_2014_N!R25,$A$1)</f>
        <v>62.5</v>
      </c>
      <c r="E21" s="1">
        <f>ROUND(Scores_2014_N!S25,$A$1)</f>
        <v>100</v>
      </c>
      <c r="F21" s="1">
        <f>ROUND(Scores_2014_N!T25,$A$1)</f>
        <v>62.5</v>
      </c>
      <c r="G21" s="1">
        <f>ROUND(Scores_2014_N!U25,$A$1)</f>
        <v>100</v>
      </c>
      <c r="H21" s="1">
        <f>ROUND(Scores_2014_N!V25,$A$1)</f>
        <v>75</v>
      </c>
      <c r="I21" s="1">
        <f>ROUND(Scores_2014_N!W25,$A$1)</f>
        <v>87.5</v>
      </c>
      <c r="J21" s="1">
        <f>ROUND(Scores_2014_N!X25,$A$1)</f>
        <v>62.5</v>
      </c>
      <c r="K21" s="1">
        <f>ROUND(Scores_2014_N!Y25,$A$1)</f>
        <v>75</v>
      </c>
      <c r="L21" s="1">
        <f>ROUND(Scores_2014_N!Z25,$A$1)</f>
        <v>100</v>
      </c>
      <c r="M21" s="1">
        <f>ROUND(Scores_2014_N!AA25,$A$1)</f>
        <v>37.5</v>
      </c>
      <c r="N21" s="1">
        <f>ROUND(Scores_2014_N!AB25,$A$1)</f>
        <v>87.5</v>
      </c>
      <c r="O21" s="1">
        <f>ROUND(Scores_2014_N!AC25,$A$1)</f>
        <v>50</v>
      </c>
      <c r="P21" s="1">
        <f>ROUND(Scores_2014_N!AD25,$A$1)</f>
        <v>37.5</v>
      </c>
      <c r="Q21" s="1">
        <f>ROUND(Scores_2014_N!AE25,$A$1)</f>
        <v>50</v>
      </c>
      <c r="R21" s="1">
        <f>ROUND(Scores_2014_N!AF25,$A$1)</f>
        <v>87.5</v>
      </c>
      <c r="S21" s="1">
        <f>ROUND(Scores_2014_N!AG25,$A$1)</f>
        <v>62.5</v>
      </c>
      <c r="T21" s="1">
        <f>ROUND(Scores_2014_N!AH25,$A$1)</f>
        <v>87.5</v>
      </c>
      <c r="U21" s="1">
        <f>ROUND(Scores_2014_N!AI25,$A$1)</f>
        <v>87.5</v>
      </c>
      <c r="V21" s="1">
        <f>ROUND(Scores_2014_N!AJ25,$A$1)</f>
        <v>87.5</v>
      </c>
      <c r="W21" s="1">
        <f>ROUND(Scores_2014_N!AK25,$A$1)</f>
        <v>100</v>
      </c>
      <c r="X21" s="1">
        <f>ROUND(Scores_2014_N!AL25,$A$1)</f>
        <v>50</v>
      </c>
      <c r="Y21" s="1">
        <f>ROUND(Scores_2014_N!AM25,$A$1)</f>
        <v>75</v>
      </c>
      <c r="Z21" s="1">
        <f>ROUND(Scores_2014_N!AN25,$A$1)</f>
        <v>75</v>
      </c>
      <c r="AA21" s="1">
        <f>ROUND(Scores_2014_N!AO25,$A$1)</f>
        <v>37.5</v>
      </c>
      <c r="AB21" s="1">
        <f>ROUND(Scores_2014_N!AP25,$A$1)</f>
        <v>87.5</v>
      </c>
      <c r="AC21" s="1">
        <f>ROUND(Scores_2014_N!AQ25,$A$1)</f>
        <v>100</v>
      </c>
      <c r="AD21" s="1">
        <f>ROUND(Scores_2014_N!AR25,$A$1)</f>
        <v>100</v>
      </c>
      <c r="AE21" s="1">
        <f>ROUND(Scores_2014_N!AS25,$A$1)</f>
        <v>62.5</v>
      </c>
      <c r="AF21" s="1">
        <f>ROUND(Scores_2014_N!AT25,$A$1)</f>
        <v>62.5</v>
      </c>
      <c r="AG21" s="1">
        <f>ROUND(Scores_2014_N!AU25,$A$1)</f>
        <v>75</v>
      </c>
      <c r="AH21" s="1">
        <f>ROUND(Scores_2014_N!AV25,$A$1)</f>
        <v>87.5</v>
      </c>
      <c r="AI21" s="1">
        <f>ROUND(Scores_2014_N!AW25,$A$1)</f>
        <v>62.5</v>
      </c>
      <c r="AJ21" s="1">
        <f>ROUND(Scores_2014_N!AX25,$A$1)</f>
        <v>62.5</v>
      </c>
      <c r="AK21" s="1">
        <f>ROUND(Scores_2014_N!AY25,$A$1)</f>
        <v>87.5</v>
      </c>
      <c r="AL21" s="1">
        <f>ROUND(Scores_2014_N!AZ25,$A$1)</f>
        <v>62.5</v>
      </c>
      <c r="AM21" s="1">
        <f>ROUND(Scores_2014_N!BA25,$A$1)</f>
        <v>100</v>
      </c>
      <c r="AN21" s="1">
        <f>ROUND(Scores_2014_N!BB25,$A$1)</f>
        <v>100</v>
      </c>
      <c r="AO21" s="1">
        <f>ROUND(Scores_2014_N!BC25,$A$1)</f>
        <v>100</v>
      </c>
      <c r="AP21" s="1">
        <f>ROUND(Scores_2014_N!BD25,$A$1)</f>
        <v>87.5</v>
      </c>
      <c r="AQ21" s="1">
        <f>ROUND(Scores_2014_N!BE25,$A$1)</f>
        <v>62.5</v>
      </c>
      <c r="AR21" s="1">
        <f>ROUND(Scores_2014_N!BF25,$A$1)</f>
        <v>100</v>
      </c>
      <c r="AS21" s="1">
        <f>ROUND(Scores_2014_N!BG25,$A$1)</f>
        <v>100</v>
      </c>
      <c r="AT21" s="1">
        <f>ROUND(Scores_2014_N!BH25,$A$1)</f>
        <v>87.5</v>
      </c>
      <c r="AU21" s="1">
        <f>ROUND(Scores_2014_N!BI25,$A$1)</f>
        <v>100</v>
      </c>
      <c r="AW21" s="1">
        <f t="shared" si="1"/>
        <v>78.2608695652174</v>
      </c>
    </row>
    <row r="22" spans="1:49">
      <c r="A22" s="1" t="str">
        <f>Scores_2014_N!N26</f>
        <v>  2.2) Health security (Outputs)</v>
      </c>
      <c r="B22" s="1">
        <f>ROUND(Scores_2014_N!P26,$A$1)</f>
        <v>58.13</v>
      </c>
      <c r="C22" s="1">
        <f>ROUND(Scores_2014_N!Q26,$A$1)</f>
        <v>81.58</v>
      </c>
      <c r="D22" s="1">
        <f>ROUND(Scores_2014_N!R26,$A$1)</f>
        <v>71.82</v>
      </c>
      <c r="E22" s="1">
        <f>ROUND(Scores_2014_N!S26,$A$1)</f>
        <v>87.56</v>
      </c>
      <c r="F22" s="1">
        <f>ROUND(Scores_2014_N!T26,$A$1)</f>
        <v>77.32</v>
      </c>
      <c r="G22" s="1">
        <f>ROUND(Scores_2014_N!U26,$A$1)</f>
        <v>81.65</v>
      </c>
      <c r="H22" s="1">
        <f>ROUND(Scores_2014_N!V26,$A$1)</f>
        <v>74.02</v>
      </c>
      <c r="I22" s="1">
        <f>ROUND(Scores_2014_N!W26,$A$1)</f>
        <v>79.46</v>
      </c>
      <c r="J22" s="1">
        <f>ROUND(Scores_2014_N!X26,$A$1)</f>
        <v>62.97</v>
      </c>
      <c r="K22" s="1">
        <f>ROUND(Scores_2014_N!Y26,$A$1)</f>
        <v>63.59</v>
      </c>
      <c r="L22" s="1">
        <f>ROUND(Scores_2014_N!Z26,$A$1)</f>
        <v>86.8</v>
      </c>
      <c r="M22" s="1">
        <f>ROUND(Scores_2014_N!AA26,$A$1)</f>
        <v>66.74</v>
      </c>
      <c r="N22" s="1">
        <f>ROUND(Scores_2014_N!AB26,$A$1)</f>
        <v>68.01</v>
      </c>
      <c r="O22" s="1">
        <f>ROUND(Scores_2014_N!AC26,$A$1)</f>
        <v>71.47</v>
      </c>
      <c r="P22" s="1">
        <f>ROUND(Scores_2014_N!AD26,$A$1)</f>
        <v>70.63</v>
      </c>
      <c r="Q22" s="1">
        <f>ROUND(Scores_2014_N!AE26,$A$1)</f>
        <v>63.61</v>
      </c>
      <c r="R22" s="1">
        <f>ROUND(Scores_2014_N!AF26,$A$1)</f>
        <v>72.82</v>
      </c>
      <c r="S22" s="1">
        <f>ROUND(Scores_2014_N!AG26,$A$1)</f>
        <v>71.61</v>
      </c>
      <c r="T22" s="1">
        <f>ROUND(Scores_2014_N!AH26,$A$1)</f>
        <v>83.59</v>
      </c>
      <c r="U22" s="1">
        <f>ROUND(Scores_2014_N!AI26,$A$1)</f>
        <v>73.84</v>
      </c>
      <c r="V22" s="1">
        <f>ROUND(Scores_2014_N!AJ26,$A$1)</f>
        <v>88.36</v>
      </c>
      <c r="W22" s="1">
        <f>ROUND(Scores_2014_N!AK26,$A$1)</f>
        <v>84.95</v>
      </c>
      <c r="X22" s="1">
        <f>ROUND(Scores_2014_N!AL26,$A$1)</f>
        <v>74.19</v>
      </c>
      <c r="Y22" s="1">
        <f>ROUND(Scores_2014_N!AM26,$A$1)</f>
        <v>80.93</v>
      </c>
      <c r="Z22" s="1">
        <f>ROUND(Scores_2014_N!AN26,$A$1)</f>
        <v>76.45</v>
      </c>
      <c r="AA22" s="1">
        <f>ROUND(Scores_2014_N!AO26,$A$1)</f>
        <v>59.8</v>
      </c>
      <c r="AB22" s="1">
        <f>ROUND(Scores_2014_N!AP26,$A$1)</f>
        <v>90.93</v>
      </c>
      <c r="AC22" s="1">
        <f>ROUND(Scores_2014_N!AQ26,$A$1)</f>
        <v>79.51</v>
      </c>
      <c r="AD22" s="1">
        <f>ROUND(Scores_2014_N!AR26,$A$1)</f>
        <v>83.59</v>
      </c>
      <c r="AE22" s="1">
        <f>ROUND(Scores_2014_N!AS26,$A$1)</f>
        <v>65.57</v>
      </c>
      <c r="AF22" s="1">
        <f>ROUND(Scores_2014_N!AT26,$A$1)</f>
        <v>71.15</v>
      </c>
      <c r="AG22" s="1">
        <f>ROUND(Scores_2014_N!AU26,$A$1)</f>
        <v>81.14</v>
      </c>
      <c r="AH22" s="1">
        <f>ROUND(Scores_2014_N!AV26,$A$1)</f>
        <v>84.74</v>
      </c>
      <c r="AI22" s="1">
        <f>ROUND(Scores_2014_N!AW26,$A$1)</f>
        <v>83.22</v>
      </c>
      <c r="AJ22" s="1">
        <f>ROUND(Scores_2014_N!AX26,$A$1)</f>
        <v>73.72</v>
      </c>
      <c r="AK22" s="1">
        <f>ROUND(Scores_2014_N!AY26,$A$1)</f>
        <v>83.47</v>
      </c>
      <c r="AL22" s="1">
        <f>ROUND(Scores_2014_N!AZ26,$A$1)</f>
        <v>76.71</v>
      </c>
      <c r="AM22" s="1">
        <f>ROUND(Scores_2014_N!BA26,$A$1)</f>
        <v>86.54</v>
      </c>
      <c r="AN22" s="1">
        <f>ROUND(Scores_2014_N!BB26,$A$1)</f>
        <v>83.99</v>
      </c>
      <c r="AO22" s="1">
        <f>ROUND(Scores_2014_N!BC26,$A$1)</f>
        <v>85.16</v>
      </c>
      <c r="AP22" s="1">
        <f>ROUND(Scores_2014_N!BD26,$A$1)</f>
        <v>75.75</v>
      </c>
      <c r="AQ22" s="1">
        <f>ROUND(Scores_2014_N!BE26,$A$1)</f>
        <v>60.07</v>
      </c>
      <c r="AR22" s="1">
        <f>ROUND(Scores_2014_N!BF26,$A$1)</f>
        <v>81.69</v>
      </c>
      <c r="AS22" s="1">
        <f>ROUND(Scores_2014_N!BG26,$A$1)</f>
        <v>84.28</v>
      </c>
      <c r="AT22" s="1">
        <f>ROUND(Scores_2014_N!BH26,$A$1)</f>
        <v>76.04</v>
      </c>
      <c r="AU22" s="1">
        <f>ROUND(Scores_2014_N!BI26,$A$1)</f>
        <v>88.89</v>
      </c>
      <c r="AW22" s="1">
        <f t="shared" si="1"/>
        <v>76.6969565217391</v>
      </c>
    </row>
    <row r="23" spans="1:49">
      <c r="A23" s="1" t="str">
        <f>Scores_2014_N!N27</f>
        <v>   2.2.1) Air quality (PM 2.5 levels)</v>
      </c>
      <c r="B23" s="1">
        <f>ROUND(Scores_2014_N!P27,$A$1)</f>
        <v>36</v>
      </c>
      <c r="C23" s="1">
        <f>ROUND(Scores_2014_N!Q27,$A$1)</f>
        <v>82</v>
      </c>
      <c r="D23" s="1">
        <f>ROUND(Scores_2014_N!R27,$A$1)</f>
        <v>80</v>
      </c>
      <c r="E23" s="1">
        <f>ROUND(Scores_2014_N!S27,$A$1)</f>
        <v>84</v>
      </c>
      <c r="F23" s="1">
        <f>ROUND(Scores_2014_N!T27,$A$1)</f>
        <v>44</v>
      </c>
      <c r="G23" s="1">
        <f>ROUND(Scores_2014_N!U27,$A$1)</f>
        <v>82</v>
      </c>
      <c r="H23" s="1">
        <f>ROUND(Scores_2014_N!V27,$A$1)</f>
        <v>84</v>
      </c>
      <c r="I23" s="1">
        <f>ROUND(Scores_2014_N!W27,$A$1)</f>
        <v>87</v>
      </c>
      <c r="J23" s="1">
        <f>ROUND(Scores_2014_N!X27,$A$1)</f>
        <v>53</v>
      </c>
      <c r="K23" s="1">
        <f>ROUND(Scores_2014_N!Y27,$A$1)</f>
        <v>7</v>
      </c>
      <c r="L23" s="1">
        <f>ROUND(Scores_2014_N!Z27,$A$1)</f>
        <v>82</v>
      </c>
      <c r="M23" s="1">
        <f>ROUND(Scores_2014_N!AA27,$A$1)</f>
        <v>73</v>
      </c>
      <c r="N23" s="1">
        <f>ROUND(Scores_2014_N!AB27,$A$1)</f>
        <v>79</v>
      </c>
      <c r="O23" s="1">
        <f>ROUND(Scores_2014_N!AC27,$A$1)</f>
        <v>68</v>
      </c>
      <c r="P23" s="1">
        <f>ROUND(Scores_2014_N!AD27,$A$1)</f>
        <v>79</v>
      </c>
      <c r="Q23" s="1">
        <f>ROUND(Scores_2014_N!AE27,$A$1)</f>
        <v>49</v>
      </c>
      <c r="R23" s="1">
        <f>ROUND(Scores_2014_N!AF27,$A$1)</f>
        <v>40</v>
      </c>
      <c r="S23" s="1">
        <f>ROUND(Scores_2014_N!AG27,$A$1)</f>
        <v>62</v>
      </c>
      <c r="T23" s="1">
        <f>ROUND(Scores_2014_N!AH27,$A$1)</f>
        <v>84</v>
      </c>
      <c r="U23" s="1">
        <f>ROUND(Scores_2014_N!AI27,$A$1)</f>
        <v>80</v>
      </c>
      <c r="V23" s="1">
        <f>ROUND(Scores_2014_N!AJ27,$A$1)</f>
        <v>89</v>
      </c>
      <c r="W23" s="1">
        <f>ROUND(Scores_2014_N!AK27,$A$1)</f>
        <v>95</v>
      </c>
      <c r="X23" s="1">
        <f>ROUND(Scores_2014_N!AL27,$A$1)</f>
        <v>75</v>
      </c>
      <c r="Y23" s="1">
        <f>ROUND(Scores_2014_N!AM27,$A$1)</f>
        <v>67</v>
      </c>
      <c r="Z23" s="1">
        <f>ROUND(Scores_2014_N!AN27,$A$1)</f>
        <v>78</v>
      </c>
      <c r="AA23" s="1">
        <f>ROUND(Scores_2014_N!AO27,$A$1)</f>
        <v>55</v>
      </c>
      <c r="AB23" s="1">
        <f>ROUND(Scores_2014_N!AP27,$A$1)</f>
        <v>86</v>
      </c>
      <c r="AC23" s="1">
        <f>ROUND(Scores_2014_N!AQ27,$A$1)</f>
        <v>91</v>
      </c>
      <c r="AD23" s="1">
        <f>ROUND(Scores_2014_N!AR27,$A$1)</f>
        <v>83</v>
      </c>
      <c r="AE23" s="1">
        <f>ROUND(Scores_2014_N!AS27,$A$1)</f>
        <v>64</v>
      </c>
      <c r="AF23" s="1">
        <f>ROUND(Scores_2014_N!AT27,$A$1)</f>
        <v>72</v>
      </c>
      <c r="AG23" s="1">
        <f>ROUND(Scores_2014_N!AU27,$A$1)</f>
        <v>79</v>
      </c>
      <c r="AH23" s="1">
        <f>ROUND(Scores_2014_N!AV27,$A$1)</f>
        <v>90</v>
      </c>
      <c r="AI23" s="1">
        <f>ROUND(Scores_2014_N!AW27,$A$1)</f>
        <v>74</v>
      </c>
      <c r="AJ23" s="1">
        <f>ROUND(Scores_2014_N!AX27,$A$1)</f>
        <v>81</v>
      </c>
      <c r="AK23" s="1">
        <f>ROUND(Scores_2014_N!AY27,$A$1)</f>
        <v>78</v>
      </c>
      <c r="AL23" s="1">
        <f>ROUND(Scores_2014_N!AZ27,$A$1)</f>
        <v>64</v>
      </c>
      <c r="AM23" s="1">
        <f>ROUND(Scores_2014_N!BA27,$A$1)</f>
        <v>83</v>
      </c>
      <c r="AN23" s="1">
        <f>ROUND(Scores_2014_N!BB27,$A$1)</f>
        <v>93</v>
      </c>
      <c r="AO23" s="1">
        <f>ROUND(Scores_2014_N!BC27,$A$1)</f>
        <v>95</v>
      </c>
      <c r="AP23" s="1">
        <f>ROUND(Scores_2014_N!BD27,$A$1)</f>
        <v>59</v>
      </c>
      <c r="AQ23" s="1">
        <f>ROUND(Scores_2014_N!BE27,$A$1)</f>
        <v>70</v>
      </c>
      <c r="AR23" s="1">
        <f>ROUND(Scores_2014_N!BF27,$A$1)</f>
        <v>90</v>
      </c>
      <c r="AS23" s="1">
        <f>ROUND(Scores_2014_N!BG27,$A$1)</f>
        <v>92</v>
      </c>
      <c r="AT23" s="1">
        <f>ROUND(Scores_2014_N!BH27,$A$1)</f>
        <v>88</v>
      </c>
      <c r="AU23" s="1">
        <f>ROUND(Scores_2014_N!BI27,$A$1)</f>
        <v>86</v>
      </c>
      <c r="AW23" s="1">
        <f t="shared" si="1"/>
        <v>74.1739130434783</v>
      </c>
    </row>
    <row r="24" spans="1:49">
      <c r="A24" s="1" t="str">
        <f>Scores_2014_N!N28</f>
        <v>   2.2.2) Water quality</v>
      </c>
      <c r="B24" s="1">
        <f>ROUND(Scores_2014_N!P28,$A$1)</f>
        <v>61</v>
      </c>
      <c r="C24" s="1">
        <f>ROUND(Scores_2014_N!Q28,$A$1)</f>
        <v>92.1</v>
      </c>
      <c r="D24" s="1">
        <f>ROUND(Scores_2014_N!R28,$A$1)</f>
        <v>48.5</v>
      </c>
      <c r="E24" s="1">
        <f>ROUND(Scores_2014_N!S28,$A$1)</f>
        <v>85.9</v>
      </c>
      <c r="F24" s="1">
        <f>ROUND(Scores_2014_N!T28,$A$1)</f>
        <v>72.4</v>
      </c>
      <c r="G24" s="1">
        <f>ROUND(Scores_2014_N!U28,$A$1)</f>
        <v>90.5</v>
      </c>
      <c r="H24" s="1">
        <f>ROUND(Scores_2014_N!V28,$A$1)</f>
        <v>43.4</v>
      </c>
      <c r="I24" s="1">
        <f>ROUND(Scores_2014_N!W28,$A$1)</f>
        <v>82.2</v>
      </c>
      <c r="J24" s="1">
        <f>ROUND(Scores_2014_N!X28,$A$1)</f>
        <v>56.3</v>
      </c>
      <c r="K24" s="1">
        <f>ROUND(Scores_2014_N!Y28,$A$1)</f>
        <v>35</v>
      </c>
      <c r="L24" s="1">
        <f>ROUND(Scores_2014_N!Z28,$A$1)</f>
        <v>88.6</v>
      </c>
      <c r="M24" s="1">
        <f>ROUND(Scores_2014_N!AA28,$A$1)</f>
        <v>55.2</v>
      </c>
      <c r="N24" s="1">
        <f>ROUND(Scores_2014_N!AB28,$A$1)</f>
        <v>64.5</v>
      </c>
      <c r="O24" s="1">
        <f>ROUND(Scores_2014_N!AC28,$A$1)</f>
        <v>55.9</v>
      </c>
      <c r="P24" s="1">
        <f>ROUND(Scores_2014_N!AD28,$A$1)</f>
        <v>49.2</v>
      </c>
      <c r="Q24" s="1">
        <f>ROUND(Scores_2014_N!AE28,$A$1)</f>
        <v>59.9</v>
      </c>
      <c r="R24" s="1">
        <f>ROUND(Scores_2014_N!AF28,$A$1)</f>
        <v>59</v>
      </c>
      <c r="S24" s="1">
        <f>ROUND(Scores_2014_N!AG28,$A$1)</f>
        <v>59</v>
      </c>
      <c r="T24" s="1">
        <f>ROUND(Scores_2014_N!AH28,$A$1)</f>
        <v>85.8</v>
      </c>
      <c r="U24" s="1">
        <f>ROUND(Scores_2014_N!AI28,$A$1)</f>
        <v>81.7</v>
      </c>
      <c r="V24" s="1">
        <f>ROUND(Scores_2014_N!AJ28,$A$1)</f>
        <v>85.9</v>
      </c>
      <c r="W24" s="1">
        <f>ROUND(Scores_2014_N!AK28,$A$1)</f>
        <v>67.6</v>
      </c>
      <c r="X24" s="1">
        <f>ROUND(Scores_2014_N!AL28,$A$1)</f>
        <v>66</v>
      </c>
      <c r="Y24" s="1">
        <f>ROUND(Scores_2014_N!AM28,$A$1)</f>
        <v>68.8</v>
      </c>
      <c r="Z24" s="1">
        <f>ROUND(Scores_2014_N!AN28,$A$1)</f>
        <v>67.42</v>
      </c>
      <c r="AA24" s="1">
        <f>ROUND(Scores_2014_N!AO28,$A$1)</f>
        <v>64.5</v>
      </c>
      <c r="AB24" s="1">
        <f>ROUND(Scores_2014_N!AP28,$A$1)</f>
        <v>88.8</v>
      </c>
      <c r="AC24" s="1">
        <f>ROUND(Scores_2014_N!AQ28,$A$1)</f>
        <v>71.3</v>
      </c>
      <c r="AD24" s="1">
        <f>ROUND(Scores_2014_N!AR28,$A$1)</f>
        <v>85.5</v>
      </c>
      <c r="AE24" s="1">
        <f>ROUND(Scores_2014_N!AS28,$A$1)</f>
        <v>54.6</v>
      </c>
      <c r="AF24" s="1">
        <f>ROUND(Scores_2014_N!AT28,$A$1)</f>
        <v>48</v>
      </c>
      <c r="AG24" s="1">
        <f>ROUND(Scores_2014_N!AU28,$A$1)</f>
        <v>68.8</v>
      </c>
      <c r="AH24" s="1">
        <f>ROUND(Scores_2014_N!AV28,$A$1)</f>
        <v>87.4</v>
      </c>
      <c r="AI24" s="1">
        <f>ROUND(Scores_2014_N!AW28,$A$1)</f>
        <v>70.2</v>
      </c>
      <c r="AJ24" s="1">
        <f>ROUND(Scores_2014_N!AX28,$A$1)</f>
        <v>73.6</v>
      </c>
      <c r="AK24" s="1">
        <f>ROUND(Scores_2014_N!AY28,$A$1)</f>
        <v>73.2</v>
      </c>
      <c r="AL24" s="1">
        <f>ROUND(Scores_2014_N!AZ28,$A$1)</f>
        <v>63</v>
      </c>
      <c r="AM24" s="1">
        <f>ROUND(Scores_2014_N!BA28,$A$1)</f>
        <v>78.8</v>
      </c>
      <c r="AN24" s="1">
        <f>ROUND(Scores_2014_N!BB28,$A$1)</f>
        <v>71.4</v>
      </c>
      <c r="AO24" s="1">
        <f>ROUND(Scores_2014_N!BC28,$A$1)</f>
        <v>82</v>
      </c>
      <c r="AP24" s="1">
        <f>ROUND(Scores_2014_N!BD28,$A$1)</f>
        <v>62.9</v>
      </c>
      <c r="AQ24" s="1">
        <f>ROUND(Scores_2014_N!BE28,$A$1)</f>
        <v>46</v>
      </c>
      <c r="AR24" s="1">
        <f>ROUND(Scores_2014_N!BF28,$A$1)</f>
        <v>79.5</v>
      </c>
      <c r="AS24" s="1">
        <f>ROUND(Scores_2014_N!BG28,$A$1)</f>
        <v>83.5</v>
      </c>
      <c r="AT24" s="1">
        <f>ROUND(Scores_2014_N!BH28,$A$1)</f>
        <v>67.3</v>
      </c>
      <c r="AU24" s="1">
        <f>ROUND(Scores_2014_N!BI28,$A$1)</f>
        <v>88.8</v>
      </c>
      <c r="AW24" s="1">
        <f t="shared" si="1"/>
        <v>69.3678260869565</v>
      </c>
    </row>
    <row r="25" spans="1:49">
      <c r="A25" s="1" t="str">
        <f>Scores_2014_N!N29</f>
        <v>   2.2.3) Life expectancy years</v>
      </c>
      <c r="B25" s="1">
        <f>ROUND(Scores_2014_N!P29,$A$1)</f>
        <v>66.16</v>
      </c>
      <c r="C25" s="1">
        <f>ROUND(Scores_2014_N!Q29,$A$1)</f>
        <v>73.16</v>
      </c>
      <c r="D25" s="1">
        <f>ROUND(Scores_2014_N!R29,$A$1)</f>
        <v>54.37</v>
      </c>
      <c r="E25" s="1">
        <f>ROUND(Scores_2014_N!S29,$A$1)</f>
        <v>85.93</v>
      </c>
      <c r="F25" s="1">
        <f>ROUND(Scores_2014_N!T29,$A$1)</f>
        <v>82.7</v>
      </c>
      <c r="G25" s="1">
        <f>ROUND(Scores_2014_N!U29,$A$1)</f>
        <v>79.47</v>
      </c>
      <c r="H25" s="1">
        <f>ROUND(Scores_2014_N!V29,$A$1)</f>
        <v>63.88</v>
      </c>
      <c r="I25" s="1">
        <f>ROUND(Scores_2014_N!W29,$A$1)</f>
        <v>69.2</v>
      </c>
      <c r="J25" s="1">
        <f>ROUND(Scores_2014_N!X29,$A$1)</f>
        <v>38.02</v>
      </c>
      <c r="K25" s="1">
        <f>ROUND(Scores_2014_N!Y29,$A$1)</f>
        <v>71.03</v>
      </c>
      <c r="L25" s="1">
        <f>ROUND(Scores_2014_N!Z29,$A$1)</f>
        <v>74.75</v>
      </c>
      <c r="M25" s="1">
        <f>ROUND(Scores_2014_N!AA29,$A$1)</f>
        <v>49.62</v>
      </c>
      <c r="N25" s="1">
        <f>ROUND(Scores_2014_N!AB29,$A$1)</f>
        <v>92.62</v>
      </c>
      <c r="O25" s="1">
        <f>ROUND(Scores_2014_N!AC29,$A$1)</f>
        <v>48.67</v>
      </c>
      <c r="P25" s="1">
        <f>ROUND(Scores_2014_N!AD29,$A$1)</f>
        <v>51.83</v>
      </c>
      <c r="Q25" s="1">
        <f>ROUND(Scores_2014_N!AE29,$A$1)</f>
        <v>0</v>
      </c>
      <c r="R25" s="1">
        <f>ROUND(Scores_2014_N!AF29,$A$1)</f>
        <v>68.59</v>
      </c>
      <c r="S25" s="1">
        <f>ROUND(Scores_2014_N!AG29,$A$1)</f>
        <v>55.13</v>
      </c>
      <c r="T25" s="1">
        <f>ROUND(Scores_2014_N!AH29,$A$1)</f>
        <v>83.69</v>
      </c>
      <c r="U25" s="1">
        <f>ROUND(Scores_2014_N!AI29,$A$1)</f>
        <v>78.71</v>
      </c>
      <c r="V25" s="1">
        <f>ROUND(Scores_2014_N!AJ29,$A$1)</f>
        <v>85.93</v>
      </c>
      <c r="W25" s="1">
        <f>ROUND(Scores_2014_N!AK29,$A$1)</f>
        <v>100</v>
      </c>
      <c r="X25" s="1">
        <f>ROUND(Scores_2014_N!AL29,$A$1)</f>
        <v>65.78</v>
      </c>
      <c r="Y25" s="1">
        <f>ROUND(Scores_2014_N!AM29,$A$1)</f>
        <v>88.21</v>
      </c>
      <c r="Z25" s="1">
        <f>ROUND(Scores_2014_N!AN29,$A$1)</f>
        <v>60.46</v>
      </c>
      <c r="AA25" s="1">
        <f>ROUND(Scores_2014_N!AO29,$A$1)</f>
        <v>43.35</v>
      </c>
      <c r="AB25" s="1">
        <f>ROUND(Scores_2014_N!AP29,$A$1)</f>
        <v>80.99</v>
      </c>
      <c r="AC25" s="1">
        <f>ROUND(Scores_2014_N!AQ29,$A$1)</f>
        <v>89.73</v>
      </c>
      <c r="AD25" s="1">
        <f>ROUND(Scores_2014_N!AR29,$A$1)</f>
        <v>83.12</v>
      </c>
      <c r="AE25" s="1">
        <f>ROUND(Scores_2014_N!AS29,$A$1)</f>
        <v>50</v>
      </c>
      <c r="AF25" s="1">
        <f>ROUND(Scores_2014_N!AT29,$A$1)</f>
        <v>58.56</v>
      </c>
      <c r="AG25" s="1">
        <f>ROUND(Scores_2014_N!AU29,$A$1)</f>
        <v>86.69</v>
      </c>
      <c r="AH25" s="1">
        <f>ROUND(Scores_2014_N!AV29,$A$1)</f>
        <v>77.19</v>
      </c>
      <c r="AI25" s="1">
        <f>ROUND(Scores_2014_N!AW29,$A$1)</f>
        <v>71.63</v>
      </c>
      <c r="AJ25" s="1">
        <f>ROUND(Scores_2014_N!AX29,$A$1)</f>
        <v>43.35</v>
      </c>
      <c r="AK25" s="1">
        <f>ROUND(Scores_2014_N!AY29,$A$1)</f>
        <v>89.2</v>
      </c>
      <c r="AL25" s="1">
        <f>ROUND(Scores_2014_N!AZ29,$A$1)</f>
        <v>78.56</v>
      </c>
      <c r="AM25" s="1">
        <f>ROUND(Scores_2014_N!BA29,$A$1)</f>
        <v>84.41</v>
      </c>
      <c r="AN25" s="1">
        <f>ROUND(Scores_2014_N!BB29,$A$1)</f>
        <v>86.69</v>
      </c>
      <c r="AO25" s="1">
        <f>ROUND(Scores_2014_N!BC29,$A$1)</f>
        <v>82.89</v>
      </c>
      <c r="AP25" s="1">
        <f>ROUND(Scores_2014_N!BD29,$A$1)</f>
        <v>87.68</v>
      </c>
      <c r="AQ25" s="1">
        <f>ROUND(Scores_2014_N!BE29,$A$1)</f>
        <v>64.26</v>
      </c>
      <c r="AR25" s="1">
        <f>ROUND(Scores_2014_N!BF29,$A$1)</f>
        <v>86.92</v>
      </c>
      <c r="AS25" s="1">
        <f>ROUND(Scores_2014_N!BG29,$A$1)</f>
        <v>79.85</v>
      </c>
      <c r="AT25" s="1">
        <f>ROUND(Scores_2014_N!BH29,$A$1)</f>
        <v>60.87</v>
      </c>
      <c r="AU25" s="1">
        <f>ROUND(Scores_2014_N!BI29,$A$1)</f>
        <v>90.95</v>
      </c>
      <c r="AW25" s="1">
        <f t="shared" si="1"/>
        <v>70.9739130434782</v>
      </c>
    </row>
    <row r="26" spans="1:49">
      <c r="A26" s="1" t="str">
        <f>Scores_2014_N!N30</f>
        <v>   2.2.4) Infant mortality</v>
      </c>
      <c r="B26" s="1">
        <f>ROUND(Scores_2014_N!P30,$A$1)</f>
        <v>85.6</v>
      </c>
      <c r="C26" s="1">
        <f>ROUND(Scores_2014_N!Q30,$A$1)</f>
        <v>91.1</v>
      </c>
      <c r="D26" s="1">
        <f>ROUND(Scores_2014_N!R30,$A$1)</f>
        <v>83.51</v>
      </c>
      <c r="E26" s="1">
        <f>ROUND(Scores_2014_N!S30,$A$1)</f>
        <v>93.38</v>
      </c>
      <c r="F26" s="1">
        <f>ROUND(Scores_2014_N!T30,$A$1)</f>
        <v>94.66</v>
      </c>
      <c r="G26" s="1">
        <f>ROUND(Scores_2014_N!U30,$A$1)</f>
        <v>94.76</v>
      </c>
      <c r="H26" s="1">
        <f>ROUND(Scores_2014_N!V30,$A$1)</f>
        <v>80.89</v>
      </c>
      <c r="I26" s="1">
        <f>ROUND(Scores_2014_N!W30,$A$1)</f>
        <v>84.29</v>
      </c>
      <c r="J26" s="1">
        <f>ROUND(Scores_2014_N!X30,$A$1)</f>
        <v>39.45</v>
      </c>
      <c r="K26" s="1">
        <f>ROUND(Scores_2014_N!Y30,$A$1)</f>
        <v>85.29</v>
      </c>
      <c r="L26" s="1">
        <f>ROUND(Scores_2014_N!Z30,$A$1)</f>
        <v>100</v>
      </c>
      <c r="M26" s="1">
        <f>ROUND(Scores_2014_N!AA30,$A$1)</f>
        <v>49.11</v>
      </c>
      <c r="N26" s="1">
        <f>ROUND(Scores_2014_N!AB30,$A$1)</f>
        <v>98.69</v>
      </c>
      <c r="O26" s="1">
        <f>ROUND(Scores_2014_N!AC30,$A$1)</f>
        <v>87.7</v>
      </c>
      <c r="P26" s="1">
        <f>ROUND(Scores_2014_N!AD30,$A$1)</f>
        <v>65.45</v>
      </c>
      <c r="Q26" s="1">
        <f>ROUND(Scores_2014_N!AE30,$A$1)</f>
        <v>89.01</v>
      </c>
      <c r="R26" s="1">
        <f>ROUND(Scores_2014_N!AF30,$A$1)</f>
        <v>82.43</v>
      </c>
      <c r="S26" s="1">
        <f>ROUND(Scores_2014_N!AG30,$A$1)</f>
        <v>75.92</v>
      </c>
      <c r="T26" s="1">
        <f>ROUND(Scores_2014_N!AH30,$A$1)</f>
        <v>90.05</v>
      </c>
      <c r="U26" s="1">
        <f>ROUND(Scores_2014_N!AI30,$A$1)</f>
        <v>89.79</v>
      </c>
      <c r="V26" s="1">
        <f>ROUND(Scores_2014_N!AJ30,$A$1)</f>
        <v>93.19</v>
      </c>
      <c r="W26" s="1">
        <f>ROUND(Scores_2014_N!AK30,$A$1)</f>
        <v>93.46</v>
      </c>
      <c r="X26" s="1">
        <f>ROUND(Scores_2014_N!AL30,$A$1)</f>
        <v>54.97</v>
      </c>
      <c r="Y26" s="1">
        <f>ROUND(Scores_2014_N!AM30,$A$1)</f>
        <v>95</v>
      </c>
      <c r="Z26" s="1">
        <f>ROUND(Scores_2014_N!AN30,$A$1)</f>
        <v>82.72</v>
      </c>
      <c r="AA26" s="1">
        <f>ROUND(Scores_2014_N!AO30,$A$1)</f>
        <v>11.52</v>
      </c>
      <c r="AB26" s="1">
        <f>ROUND(Scores_2014_N!AP30,$A$1)</f>
        <v>89.79</v>
      </c>
      <c r="AC26" s="1">
        <f>ROUND(Scores_2014_N!AQ30,$A$1)</f>
        <v>96.6</v>
      </c>
      <c r="AD26" s="1">
        <f>ROUND(Scores_2014_N!AR30,$A$1)</f>
        <v>93.27</v>
      </c>
      <c r="AE26" s="1">
        <f>ROUND(Scores_2014_N!AS30,$A$1)</f>
        <v>50.05</v>
      </c>
      <c r="AF26" s="1">
        <f>ROUND(Scores_2014_N!AT30,$A$1)</f>
        <v>61.23</v>
      </c>
      <c r="AG26" s="1">
        <f>ROUND(Scores_2014_N!AU30,$A$1)</f>
        <v>85.08</v>
      </c>
      <c r="AH26" s="1">
        <f>ROUND(Scores_2014_N!AV30,$A$1)</f>
        <v>94.5</v>
      </c>
      <c r="AI26" s="1">
        <f>ROUND(Scores_2014_N!AW30,$A$1)</f>
        <v>83.51</v>
      </c>
      <c r="AJ26" s="1">
        <f>ROUND(Scores_2014_N!AX30,$A$1)</f>
        <v>69.63</v>
      </c>
      <c r="AK26" s="1">
        <f>ROUND(Scores_2014_N!AY30,$A$1)</f>
        <v>89.61</v>
      </c>
      <c r="AL26" s="1">
        <f>ROUND(Scores_2014_N!AZ30,$A$1)</f>
        <v>87.17</v>
      </c>
      <c r="AM26" s="1">
        <f>ROUND(Scores_2014_N!BA30,$A$1)</f>
        <v>95.03</v>
      </c>
      <c r="AN26" s="1">
        <f>ROUND(Scores_2014_N!BB30,$A$1)</f>
        <v>96.86</v>
      </c>
      <c r="AO26" s="1">
        <f>ROUND(Scores_2014_N!BC30,$A$1)</f>
        <v>93.72</v>
      </c>
      <c r="AP26" s="1">
        <f>ROUND(Scores_2014_N!BD30,$A$1)</f>
        <v>92.23</v>
      </c>
      <c r="AQ26" s="1">
        <f>ROUND(Scores_2014_N!BE30,$A$1)</f>
        <v>0</v>
      </c>
      <c r="AR26" s="1">
        <f>ROUND(Scores_2014_N!BF30,$A$1)</f>
        <v>96.34</v>
      </c>
      <c r="AS26" s="1">
        <f>ROUND(Scores_2014_N!BG30,$A$1)</f>
        <v>85.34</v>
      </c>
      <c r="AT26" s="1">
        <f>ROUND(Scores_2014_N!BH30,$A$1)</f>
        <v>88.74</v>
      </c>
      <c r="AU26" s="1">
        <f>ROUND(Scores_2014_N!BI30,$A$1)</f>
        <v>90.05</v>
      </c>
      <c r="AW26" s="1">
        <f t="shared" si="1"/>
        <v>81.1019565217392</v>
      </c>
    </row>
    <row r="27" spans="1:49">
      <c r="A27" s="1" t="str">
        <f>Scores_2014_N!N31</f>
        <v>   2.2.5) Cancer mortality rate</v>
      </c>
      <c r="B27" s="1">
        <f>ROUND(Scores_2014_N!P31,$A$1)</f>
        <v>0</v>
      </c>
      <c r="C27" s="1">
        <f>ROUND(Scores_2014_N!Q31,$A$1)</f>
        <v>51.1</v>
      </c>
      <c r="D27" s="1">
        <f>ROUND(Scores_2014_N!R31,$A$1)</f>
        <v>64.52</v>
      </c>
      <c r="E27" s="1">
        <f>ROUND(Scores_2014_N!S31,$A$1)</f>
        <v>76.15</v>
      </c>
      <c r="F27" s="1">
        <f>ROUND(Scores_2014_N!T31,$A$1)</f>
        <v>70.19</v>
      </c>
      <c r="G27" s="1">
        <f>ROUND(Scores_2014_N!U31,$A$1)</f>
        <v>43.15</v>
      </c>
      <c r="H27" s="1">
        <f>ROUND(Scores_2014_N!V31,$A$1)</f>
        <v>71.93</v>
      </c>
      <c r="I27" s="1">
        <f>ROUND(Scores_2014_N!W31,$A$1)</f>
        <v>54.08</v>
      </c>
      <c r="J27" s="1">
        <f>ROUND(Scores_2014_N!X31,$A$1)</f>
        <v>91.05</v>
      </c>
      <c r="K27" s="1">
        <f>ROUND(Scores_2014_N!Y31,$A$1)</f>
        <v>83.24</v>
      </c>
      <c r="L27" s="1">
        <f>ROUND(Scores_2014_N!Z31,$A$1)</f>
        <v>75.47</v>
      </c>
      <c r="M27" s="1">
        <f>ROUND(Scores_2014_N!AA31,$A$1)</f>
        <v>73.53</v>
      </c>
      <c r="N27" s="1">
        <f>ROUND(Scores_2014_N!AB31,$A$1)</f>
        <v>73.27</v>
      </c>
      <c r="O27" s="1">
        <f>ROUND(Scores_2014_N!AC31,$A$1)</f>
        <v>68.54</v>
      </c>
      <c r="P27" s="1">
        <f>ROUND(Scores_2014_N!AD31,$A$1)</f>
        <v>78.32</v>
      </c>
      <c r="Q27" s="1">
        <f>ROUND(Scores_2014_N!AE31,$A$1)</f>
        <v>83.78</v>
      </c>
      <c r="R27" s="1">
        <f>ROUND(Scores_2014_N!AF31,$A$1)</f>
        <v>86.86</v>
      </c>
      <c r="S27" s="1">
        <f>ROUND(Scores_2014_N!AG31,$A$1)</f>
        <v>77.63</v>
      </c>
      <c r="T27" s="1">
        <f>ROUND(Scores_2014_N!AH31,$A$1)</f>
        <v>58.01</v>
      </c>
      <c r="U27" s="1">
        <f>ROUND(Scores_2014_N!AI31,$A$1)</f>
        <v>12.86</v>
      </c>
      <c r="V27" s="1">
        <f>ROUND(Scores_2014_N!AJ31,$A$1)</f>
        <v>76.15</v>
      </c>
      <c r="W27" s="1">
        <f>ROUND(Scores_2014_N!AK31,$A$1)</f>
        <v>53.66</v>
      </c>
      <c r="X27" s="1">
        <f>ROUND(Scores_2014_N!AL31,$A$1)</f>
        <v>83.36</v>
      </c>
      <c r="Y27" s="1">
        <f>ROUND(Scores_2014_N!AM31,$A$1)</f>
        <v>66.56</v>
      </c>
      <c r="Z27" s="1">
        <f>ROUND(Scores_2014_N!AN31,$A$1)</f>
        <v>70.1</v>
      </c>
      <c r="AA27" s="1">
        <f>ROUND(Scores_2014_N!AO31,$A$1)</f>
        <v>84.45</v>
      </c>
      <c r="AB27" s="1">
        <f>ROUND(Scores_2014_N!AP31,$A$1)</f>
        <v>100</v>
      </c>
      <c r="AC27" s="1">
        <f>ROUND(Scores_2014_N!AQ31,$A$1)</f>
        <v>28.44</v>
      </c>
      <c r="AD27" s="1">
        <f>ROUND(Scores_2014_N!AR31,$A$1)</f>
        <v>56.63</v>
      </c>
      <c r="AE27" s="1">
        <f>ROUND(Scores_2014_N!AS31,$A$1)</f>
        <v>74.75</v>
      </c>
      <c r="AF27" s="1">
        <f>ROUND(Scores_2014_N!AT31,$A$1)</f>
        <v>87.09</v>
      </c>
      <c r="AG27" s="1">
        <f>ROUND(Scores_2014_N!AU31,$A$1)</f>
        <v>67.26</v>
      </c>
      <c r="AH27" s="1">
        <f>ROUND(Scores_2014_N!AV31,$A$1)</f>
        <v>59.34</v>
      </c>
      <c r="AI27" s="1">
        <f>ROUND(Scores_2014_N!AW31,$A$1)</f>
        <v>99.97</v>
      </c>
      <c r="AJ27" s="1">
        <f>ROUND(Scores_2014_N!AX31,$A$1)</f>
        <v>74.75</v>
      </c>
      <c r="AK27" s="1">
        <f>ROUND(Scores_2014_N!AY31,$A$1)</f>
        <v>70.83</v>
      </c>
      <c r="AL27" s="1">
        <f>ROUND(Scores_2014_N!AZ31,$A$1)</f>
        <v>67.51</v>
      </c>
      <c r="AM27" s="1">
        <f>ROUND(Scores_2014_N!BA31,$A$1)</f>
        <v>78.02</v>
      </c>
      <c r="AN27" s="1">
        <f>ROUND(Scores_2014_N!BB31,$A$1)</f>
        <v>56.01</v>
      </c>
      <c r="AO27" s="1">
        <f>ROUND(Scores_2014_N!BC31,$A$1)</f>
        <v>57.37</v>
      </c>
      <c r="AP27" s="1">
        <f>ROUND(Scores_2014_N!BD31,$A$1)</f>
        <v>52.67</v>
      </c>
      <c r="AQ27" s="1">
        <f>ROUND(Scores_2014_N!BE31,$A$1)</f>
        <v>80.15</v>
      </c>
      <c r="AR27" s="1">
        <f>ROUND(Scores_2014_N!BF31,$A$1)</f>
        <v>37.37</v>
      </c>
      <c r="AS27" s="1">
        <f>ROUND(Scores_2014_N!BG31,$A$1)</f>
        <v>64.99</v>
      </c>
      <c r="AT27" s="1">
        <f>ROUND(Scores_2014_N!BH31,$A$1)</f>
        <v>51.34</v>
      </c>
      <c r="AU27" s="1">
        <f>ROUND(Scores_2014_N!BI31,$A$1)</f>
        <v>77.53</v>
      </c>
      <c r="AW27" s="1">
        <f t="shared" si="1"/>
        <v>66.7386956521739</v>
      </c>
    </row>
    <row r="28" spans="1:49">
      <c r="A28" s="1" t="str">
        <f>Scores_2014_N!N32</f>
        <v>   2.2.6) Number of attacks using biological, chemical and/or radiological weapons</v>
      </c>
      <c r="B28" s="1">
        <f>ROUND(Scores_2014_N!P32,$A$1)</f>
        <v>100</v>
      </c>
      <c r="C28" s="1">
        <f>ROUND(Scores_2014_N!Q32,$A$1)</f>
        <v>100</v>
      </c>
      <c r="D28" s="1">
        <f>ROUND(Scores_2014_N!R32,$A$1)</f>
        <v>100</v>
      </c>
      <c r="E28" s="1">
        <f>ROUND(Scores_2014_N!S32,$A$1)</f>
        <v>100</v>
      </c>
      <c r="F28" s="1">
        <f>ROUND(Scores_2014_N!T32,$A$1)</f>
        <v>100</v>
      </c>
      <c r="G28" s="1">
        <f>ROUND(Scores_2014_N!U32,$A$1)</f>
        <v>100</v>
      </c>
      <c r="H28" s="1">
        <f>ROUND(Scores_2014_N!V32,$A$1)</f>
        <v>100</v>
      </c>
      <c r="I28" s="1">
        <f>ROUND(Scores_2014_N!W32,$A$1)</f>
        <v>100</v>
      </c>
      <c r="J28" s="1">
        <f>ROUND(Scores_2014_N!X32,$A$1)</f>
        <v>100</v>
      </c>
      <c r="K28" s="1">
        <f>ROUND(Scores_2014_N!Y32,$A$1)</f>
        <v>100</v>
      </c>
      <c r="L28" s="1">
        <f>ROUND(Scores_2014_N!Z32,$A$1)</f>
        <v>100</v>
      </c>
      <c r="M28" s="1">
        <f>ROUND(Scores_2014_N!AA32,$A$1)</f>
        <v>100</v>
      </c>
      <c r="N28" s="1">
        <f>ROUND(Scores_2014_N!AB32,$A$1)</f>
        <v>0</v>
      </c>
      <c r="O28" s="1">
        <f>ROUND(Scores_2014_N!AC32,$A$1)</f>
        <v>100</v>
      </c>
      <c r="P28" s="1">
        <f>ROUND(Scores_2014_N!AD32,$A$1)</f>
        <v>100</v>
      </c>
      <c r="Q28" s="1">
        <f>ROUND(Scores_2014_N!AE32,$A$1)</f>
        <v>100</v>
      </c>
      <c r="R28" s="1">
        <f>ROUND(Scores_2014_N!AF32,$A$1)</f>
        <v>100</v>
      </c>
      <c r="S28" s="1">
        <f>ROUND(Scores_2014_N!AG32,$A$1)</f>
        <v>100</v>
      </c>
      <c r="T28" s="1">
        <f>ROUND(Scores_2014_N!AH32,$A$1)</f>
        <v>100</v>
      </c>
      <c r="U28" s="1">
        <f>ROUND(Scores_2014_N!AI32,$A$1)</f>
        <v>100</v>
      </c>
      <c r="V28" s="1">
        <f>ROUND(Scores_2014_N!AJ32,$A$1)</f>
        <v>100</v>
      </c>
      <c r="W28" s="1">
        <f>ROUND(Scores_2014_N!AK32,$A$1)</f>
        <v>100</v>
      </c>
      <c r="X28" s="1">
        <f>ROUND(Scores_2014_N!AL32,$A$1)</f>
        <v>100</v>
      </c>
      <c r="Y28" s="1">
        <f>ROUND(Scores_2014_N!AM32,$A$1)</f>
        <v>100</v>
      </c>
      <c r="Z28" s="1">
        <f>ROUND(Scores_2014_N!AN32,$A$1)</f>
        <v>100</v>
      </c>
      <c r="AA28" s="1">
        <f>ROUND(Scores_2014_N!AO32,$A$1)</f>
        <v>100</v>
      </c>
      <c r="AB28" s="1">
        <f>ROUND(Scores_2014_N!AP32,$A$1)</f>
        <v>100</v>
      </c>
      <c r="AC28" s="1">
        <f>ROUND(Scores_2014_N!AQ32,$A$1)</f>
        <v>100</v>
      </c>
      <c r="AD28" s="1">
        <f>ROUND(Scores_2014_N!AR32,$A$1)</f>
        <v>100</v>
      </c>
      <c r="AE28" s="1">
        <f>ROUND(Scores_2014_N!AS32,$A$1)</f>
        <v>100</v>
      </c>
      <c r="AF28" s="1">
        <f>ROUND(Scores_2014_N!AT32,$A$1)</f>
        <v>100</v>
      </c>
      <c r="AG28" s="1">
        <f>ROUND(Scores_2014_N!AU32,$A$1)</f>
        <v>100</v>
      </c>
      <c r="AH28" s="1">
        <f>ROUND(Scores_2014_N!AV32,$A$1)</f>
        <v>100</v>
      </c>
      <c r="AI28" s="1">
        <f>ROUND(Scores_2014_N!AW32,$A$1)</f>
        <v>100</v>
      </c>
      <c r="AJ28" s="1">
        <f>ROUND(Scores_2014_N!AX32,$A$1)</f>
        <v>100</v>
      </c>
      <c r="AK28" s="1">
        <f>ROUND(Scores_2014_N!AY32,$A$1)</f>
        <v>100</v>
      </c>
      <c r="AL28" s="1">
        <f>ROUND(Scores_2014_N!AZ32,$A$1)</f>
        <v>100</v>
      </c>
      <c r="AM28" s="1">
        <f>ROUND(Scores_2014_N!BA32,$A$1)</f>
        <v>100</v>
      </c>
      <c r="AN28" s="1">
        <f>ROUND(Scores_2014_N!BB32,$A$1)</f>
        <v>100</v>
      </c>
      <c r="AO28" s="1">
        <f>ROUND(Scores_2014_N!BC32,$A$1)</f>
        <v>100</v>
      </c>
      <c r="AP28" s="1">
        <f>ROUND(Scores_2014_N!BD32,$A$1)</f>
        <v>100</v>
      </c>
      <c r="AQ28" s="1">
        <f>ROUND(Scores_2014_N!BE32,$A$1)</f>
        <v>100</v>
      </c>
      <c r="AR28" s="1">
        <f>ROUND(Scores_2014_N!BF32,$A$1)</f>
        <v>100</v>
      </c>
      <c r="AS28" s="1">
        <f>ROUND(Scores_2014_N!BG32,$A$1)</f>
        <v>100</v>
      </c>
      <c r="AT28" s="1">
        <f>ROUND(Scores_2014_N!BH32,$A$1)</f>
        <v>100</v>
      </c>
      <c r="AU28" s="1">
        <f>ROUND(Scores_2014_N!BI32,$A$1)</f>
        <v>100</v>
      </c>
      <c r="AW28" s="1">
        <f t="shared" si="1"/>
        <v>97.8260869565217</v>
      </c>
    </row>
    <row r="29" spans="1:49">
      <c r="A29" s="1" t="str">
        <f>Scores_2014_N!N33</f>
        <v> 3) INFRASTRUCTURE SECURITY</v>
      </c>
      <c r="B29" s="1">
        <f>ROUND(Scores_2014_N!P33,$A$1)</f>
        <v>87.59</v>
      </c>
      <c r="C29" s="1">
        <f>ROUND(Scores_2014_N!Q33,$A$1)</f>
        <v>92.44</v>
      </c>
      <c r="D29" s="1">
        <f>ROUND(Scores_2014_N!R33,$A$1)</f>
        <v>56.17</v>
      </c>
      <c r="E29" s="1">
        <f>ROUND(Scores_2014_N!S33,$A$1)</f>
        <v>87.99</v>
      </c>
      <c r="F29" s="1">
        <f>ROUND(Scores_2014_N!T33,$A$1)</f>
        <v>78.6</v>
      </c>
      <c r="G29" s="1">
        <f>ROUND(Scores_2014_N!U33,$A$1)</f>
        <v>86.19</v>
      </c>
      <c r="H29" s="1">
        <f>ROUND(Scores_2014_N!V33,$A$1)</f>
        <v>78.66</v>
      </c>
      <c r="I29" s="1">
        <f>ROUND(Scores_2014_N!W33,$A$1)</f>
        <v>87.57</v>
      </c>
      <c r="J29" s="1">
        <f>ROUND(Scores_2014_N!X33,$A$1)</f>
        <v>58.69</v>
      </c>
      <c r="K29" s="1">
        <f>ROUND(Scores_2014_N!Y33,$A$1)</f>
        <v>75.49</v>
      </c>
      <c r="L29" s="1">
        <f>ROUND(Scores_2014_N!Z33,$A$1)</f>
        <v>85.8</v>
      </c>
      <c r="M29" s="1">
        <f>ROUND(Scores_2014_N!AA33,$A$1)</f>
        <v>52.44</v>
      </c>
      <c r="N29" s="1">
        <f>ROUND(Scores_2014_N!AB33,$A$1)</f>
        <v>75.17</v>
      </c>
      <c r="O29" s="1">
        <f>ROUND(Scores_2014_N!AC33,$A$1)</f>
        <v>71.45</v>
      </c>
      <c r="P29" s="1">
        <f>ROUND(Scores_2014_N!AD33,$A$1)</f>
        <v>58.65</v>
      </c>
      <c r="Q29" s="1">
        <f>ROUND(Scores_2014_N!AE33,$A$1)</f>
        <v>64.15</v>
      </c>
      <c r="R29" s="1">
        <f>ROUND(Scores_2014_N!AF33,$A$1)</f>
        <v>72.33</v>
      </c>
      <c r="S29" s="1">
        <f>ROUND(Scores_2014_N!AG33,$A$1)</f>
        <v>78.92</v>
      </c>
      <c r="T29" s="1">
        <f>ROUND(Scores_2014_N!AH33,$A$1)</f>
        <v>70.62</v>
      </c>
      <c r="U29" s="1">
        <f>ROUND(Scores_2014_N!AI33,$A$1)</f>
        <v>84.66</v>
      </c>
      <c r="V29" s="1">
        <f>ROUND(Scores_2014_N!AJ33,$A$1)</f>
        <v>84.3</v>
      </c>
      <c r="W29" s="1">
        <f>ROUND(Scores_2014_N!AK33,$A$1)</f>
        <v>93.39</v>
      </c>
      <c r="X29" s="1">
        <f>ROUND(Scores_2014_N!AL33,$A$1)</f>
        <v>58.84</v>
      </c>
      <c r="Y29" s="1">
        <f>ROUND(Scores_2014_N!AM33,$A$1)</f>
        <v>81.99</v>
      </c>
      <c r="Z29" s="1">
        <f>ROUND(Scores_2014_N!AN33,$A$1)</f>
        <v>72.57</v>
      </c>
      <c r="AA29" s="1">
        <f>ROUND(Scores_2014_N!AO33,$A$1)</f>
        <v>55.9</v>
      </c>
      <c r="AB29" s="1">
        <f>ROUND(Scores_2014_N!AP33,$A$1)</f>
        <v>86.13</v>
      </c>
      <c r="AC29" s="1">
        <f>ROUND(Scores_2014_N!AQ33,$A$1)</f>
        <v>88.14</v>
      </c>
      <c r="AD29" s="1">
        <f>ROUND(Scores_2014_N!AR33,$A$1)</f>
        <v>77.84</v>
      </c>
      <c r="AE29" s="1">
        <f>ROUND(Scores_2014_N!AS33,$A$1)</f>
        <v>76.79</v>
      </c>
      <c r="AF29" s="1">
        <f>ROUND(Scores_2014_N!AT33,$A$1)</f>
        <v>62.09</v>
      </c>
      <c r="AG29" s="1">
        <f>ROUND(Scores_2014_N!AU33,$A$1)</f>
        <v>85.55</v>
      </c>
      <c r="AH29" s="1">
        <f>ROUND(Scores_2014_N!AV33,$A$1)</f>
        <v>87.95</v>
      </c>
      <c r="AI29" s="1">
        <f>ROUND(Scores_2014_N!AW33,$A$1)</f>
        <v>75.18</v>
      </c>
      <c r="AJ29" s="1">
        <f>ROUND(Scores_2014_N!AX33,$A$1)</f>
        <v>78.06</v>
      </c>
      <c r="AK29" s="1">
        <f>ROUND(Scores_2014_N!AY33,$A$1)</f>
        <v>86.98</v>
      </c>
      <c r="AL29" s="1">
        <f>ROUND(Scores_2014_N!AZ33,$A$1)</f>
        <v>77.84</v>
      </c>
      <c r="AM29" s="1">
        <f>ROUND(Scores_2014_N!BA33,$A$1)</f>
        <v>90.75</v>
      </c>
      <c r="AN29" s="1">
        <f>ROUND(Scores_2014_N!BB33,$A$1)</f>
        <v>82.81</v>
      </c>
      <c r="AO29" s="1">
        <f>ROUND(Scores_2014_N!BC33,$A$1)</f>
        <v>92.69</v>
      </c>
      <c r="AP29" s="1">
        <f>ROUND(Scores_2014_N!BD33,$A$1)</f>
        <v>79.92</v>
      </c>
      <c r="AQ29" s="1">
        <f>ROUND(Scores_2014_N!BE33,$A$1)</f>
        <v>65.96</v>
      </c>
      <c r="AR29" s="1">
        <f>ROUND(Scores_2014_N!BF33,$A$1)</f>
        <v>91.4</v>
      </c>
      <c r="AS29" s="1">
        <f>ROUND(Scores_2014_N!BG33,$A$1)</f>
        <v>89.07</v>
      </c>
      <c r="AT29" s="1">
        <f>ROUND(Scores_2014_N!BH33,$A$1)</f>
        <v>80.62</v>
      </c>
      <c r="AU29" s="1">
        <f>ROUND(Scores_2014_N!BI33,$A$1)</f>
        <v>93.52</v>
      </c>
      <c r="AW29" s="1">
        <f t="shared" si="1"/>
        <v>78.2578260869565</v>
      </c>
    </row>
    <row r="30" spans="1:49">
      <c r="A30" s="1" t="str">
        <f>Scores_2014_N!N34</f>
        <v>  3.1) Infrastructure security (Inputs)</v>
      </c>
      <c r="B30" s="1">
        <f>ROUND(Scores_2014_N!P34,$A$1)</f>
        <v>86.5</v>
      </c>
      <c r="C30" s="1">
        <f>ROUND(Scores_2014_N!Q34,$A$1)</f>
        <v>94</v>
      </c>
      <c r="D30" s="1">
        <f>ROUND(Scores_2014_N!R34,$A$1)</f>
        <v>50</v>
      </c>
      <c r="E30" s="1">
        <f>ROUND(Scores_2014_N!S34,$A$1)</f>
        <v>94.5</v>
      </c>
      <c r="F30" s="1">
        <f>ROUND(Scores_2014_N!T34,$A$1)</f>
        <v>73.5</v>
      </c>
      <c r="G30" s="1">
        <f>ROUND(Scores_2014_N!U34,$A$1)</f>
        <v>87</v>
      </c>
      <c r="H30" s="1">
        <f>ROUND(Scores_2014_N!V34,$A$1)</f>
        <v>87</v>
      </c>
      <c r="I30" s="1">
        <f>ROUND(Scores_2014_N!W34,$A$1)</f>
        <v>90</v>
      </c>
      <c r="J30" s="1">
        <f>ROUND(Scores_2014_N!X34,$A$1)</f>
        <v>40</v>
      </c>
      <c r="K30" s="1">
        <f>ROUND(Scores_2014_N!Y34,$A$1)</f>
        <v>64</v>
      </c>
      <c r="L30" s="1">
        <f>ROUND(Scores_2014_N!Z34,$A$1)</f>
        <v>95.5</v>
      </c>
      <c r="M30" s="1">
        <f>ROUND(Scores_2014_N!AA34,$A$1)</f>
        <v>25</v>
      </c>
      <c r="N30" s="1">
        <f>ROUND(Scores_2014_N!AB34,$A$1)</f>
        <v>80</v>
      </c>
      <c r="O30" s="1">
        <f>ROUND(Scores_2014_N!AC34,$A$1)</f>
        <v>76</v>
      </c>
      <c r="P30" s="1">
        <f>ROUND(Scores_2014_N!AD34,$A$1)</f>
        <v>52.5</v>
      </c>
      <c r="Q30" s="1">
        <f>ROUND(Scores_2014_N!AE34,$A$1)</f>
        <v>56</v>
      </c>
      <c r="R30" s="1">
        <f>ROUND(Scores_2014_N!AF34,$A$1)</f>
        <v>56</v>
      </c>
      <c r="S30" s="1">
        <f>ROUND(Scores_2014_N!AG34,$A$1)</f>
        <v>83.5</v>
      </c>
      <c r="T30" s="1">
        <f>ROUND(Scores_2014_N!AH34,$A$1)</f>
        <v>70.75</v>
      </c>
      <c r="U30" s="1">
        <f>ROUND(Scores_2014_N!AI34,$A$1)</f>
        <v>85</v>
      </c>
      <c r="V30" s="1">
        <f>ROUND(Scores_2014_N!AJ34,$A$1)</f>
        <v>94.5</v>
      </c>
      <c r="W30" s="1">
        <f>ROUND(Scores_2014_N!AK34,$A$1)</f>
        <v>95.5</v>
      </c>
      <c r="X30" s="1">
        <f>ROUND(Scores_2014_N!AL34,$A$1)</f>
        <v>65</v>
      </c>
      <c r="Y30" s="1">
        <f>ROUND(Scores_2014_N!AM34,$A$1)</f>
        <v>88.5</v>
      </c>
      <c r="Z30" s="1">
        <f>ROUND(Scores_2014_N!AN34,$A$1)</f>
        <v>77</v>
      </c>
      <c r="AA30" s="1">
        <f>ROUND(Scores_2014_N!AO34,$A$1)</f>
        <v>35</v>
      </c>
      <c r="AB30" s="1">
        <f>ROUND(Scores_2014_N!AP34,$A$1)</f>
        <v>90</v>
      </c>
      <c r="AC30" s="1">
        <f>ROUND(Scores_2014_N!AQ34,$A$1)</f>
        <v>95.5</v>
      </c>
      <c r="AD30" s="1">
        <f>ROUND(Scores_2014_N!AR34,$A$1)</f>
        <v>72.5</v>
      </c>
      <c r="AE30" s="1">
        <f>ROUND(Scores_2014_N!AS34,$A$1)</f>
        <v>72.5</v>
      </c>
      <c r="AF30" s="1">
        <f>ROUND(Scores_2014_N!AT34,$A$1)</f>
        <v>48.5</v>
      </c>
      <c r="AG30" s="1">
        <f>ROUND(Scores_2014_N!AU34,$A$1)</f>
        <v>93.5</v>
      </c>
      <c r="AH30" s="1">
        <f>ROUND(Scores_2014_N!AV34,$A$1)</f>
        <v>90</v>
      </c>
      <c r="AI30" s="1">
        <f>ROUND(Scores_2014_N!AW34,$A$1)</f>
        <v>66</v>
      </c>
      <c r="AJ30" s="1">
        <f>ROUND(Scores_2014_N!AX34,$A$1)</f>
        <v>77.5</v>
      </c>
      <c r="AK30" s="1">
        <f>ROUND(Scores_2014_N!AY34,$A$1)</f>
        <v>84.5</v>
      </c>
      <c r="AL30" s="1">
        <f>ROUND(Scores_2014_N!AZ34,$A$1)</f>
        <v>73.5</v>
      </c>
      <c r="AM30" s="1">
        <f>ROUND(Scores_2014_N!BA34,$A$1)</f>
        <v>96.5</v>
      </c>
      <c r="AN30" s="1">
        <f>ROUND(Scores_2014_N!BB34,$A$1)</f>
        <v>72.52</v>
      </c>
      <c r="AO30" s="1">
        <f>ROUND(Scores_2014_N!BC34,$A$1)</f>
        <v>95.5</v>
      </c>
      <c r="AP30" s="1">
        <f>ROUND(Scores_2014_N!BD34,$A$1)</f>
        <v>65</v>
      </c>
      <c r="AQ30" s="1">
        <f>ROUND(Scores_2014_N!BE34,$A$1)</f>
        <v>46</v>
      </c>
      <c r="AR30" s="1">
        <f>ROUND(Scores_2014_N!BF34,$A$1)</f>
        <v>95.5</v>
      </c>
      <c r="AS30" s="1">
        <f>ROUND(Scores_2014_N!BG34,$A$1)</f>
        <v>90</v>
      </c>
      <c r="AT30" s="1">
        <f>ROUND(Scores_2014_N!BH34,$A$1)</f>
        <v>90</v>
      </c>
      <c r="AU30" s="1">
        <f>ROUND(Scores_2014_N!BI34,$A$1)</f>
        <v>94</v>
      </c>
      <c r="AW30" s="1">
        <f t="shared" si="1"/>
        <v>76.3319565217391</v>
      </c>
    </row>
    <row r="31" spans="1:49">
      <c r="A31" s="1" t="str">
        <f>Scores_2014_N!N35</f>
        <v>   3.1.1) Enforcement of transport safety</v>
      </c>
      <c r="B31" s="1">
        <f>ROUND(Scores_2014_N!P35,$A$1)</f>
        <v>82.5</v>
      </c>
      <c r="C31" s="1">
        <f>ROUND(Scores_2014_N!Q35,$A$1)</f>
        <v>70</v>
      </c>
      <c r="D31" s="1">
        <f>ROUND(Scores_2014_N!R35,$A$1)</f>
        <v>50</v>
      </c>
      <c r="E31" s="1">
        <f>ROUND(Scores_2014_N!S35,$A$1)</f>
        <v>72.5</v>
      </c>
      <c r="F31" s="1">
        <f>ROUND(Scores_2014_N!T35,$A$1)</f>
        <v>42.5</v>
      </c>
      <c r="G31" s="1">
        <f>ROUND(Scores_2014_N!U35,$A$1)</f>
        <v>60</v>
      </c>
      <c r="H31" s="1">
        <f>ROUND(Scores_2014_N!V35,$A$1)</f>
        <v>60</v>
      </c>
      <c r="I31" s="1">
        <f>ROUND(Scores_2014_N!W35,$A$1)</f>
        <v>75</v>
      </c>
      <c r="J31" s="1">
        <f>ROUND(Scores_2014_N!X35,$A$1)</f>
        <v>25</v>
      </c>
      <c r="K31" s="1">
        <f>ROUND(Scores_2014_N!Y35,$A$1)</f>
        <v>70</v>
      </c>
      <c r="L31" s="1">
        <f>ROUND(Scores_2014_N!Z35,$A$1)</f>
        <v>77.5</v>
      </c>
      <c r="M31" s="1">
        <f>ROUND(Scores_2014_N!AA35,$A$1)</f>
        <v>0</v>
      </c>
      <c r="N31" s="1">
        <f>ROUND(Scores_2014_N!AB35,$A$1)</f>
        <v>0</v>
      </c>
      <c r="O31" s="1">
        <f>ROUND(Scores_2014_N!AC35,$A$1)</f>
        <v>80</v>
      </c>
      <c r="P31" s="1">
        <f>ROUND(Scores_2014_N!AD35,$A$1)</f>
        <v>62.5</v>
      </c>
      <c r="Q31" s="1">
        <f>ROUND(Scores_2014_N!AE35,$A$1)</f>
        <v>30</v>
      </c>
      <c r="R31" s="1">
        <f>ROUND(Scores_2014_N!AF35,$A$1)</f>
        <v>30</v>
      </c>
      <c r="S31" s="1">
        <f>ROUND(Scores_2014_N!AG35,$A$1)</f>
        <v>42.5</v>
      </c>
      <c r="T31" s="1">
        <f>ROUND(Scores_2014_N!AH35,$A$1)</f>
        <v>78.75</v>
      </c>
      <c r="U31" s="1">
        <f>ROUND(Scores_2014_N!AI35,$A$1)</f>
        <v>75</v>
      </c>
      <c r="V31" s="1">
        <f>ROUND(Scores_2014_N!AJ35,$A$1)</f>
        <v>72.5</v>
      </c>
      <c r="W31" s="1">
        <f>ROUND(Scores_2014_N!AK35,$A$1)</f>
        <v>77.5</v>
      </c>
      <c r="X31" s="1">
        <f>ROUND(Scores_2014_N!AL35,$A$1)</f>
        <v>50</v>
      </c>
      <c r="Y31" s="1">
        <f>ROUND(Scores_2014_N!AM35,$A$1)</f>
        <v>67.5</v>
      </c>
      <c r="Z31" s="1">
        <f>ROUND(Scores_2014_N!AN35,$A$1)</f>
        <v>60</v>
      </c>
      <c r="AA31" s="1">
        <f>ROUND(Scores_2014_N!AO35,$A$1)</f>
        <v>25</v>
      </c>
      <c r="AB31" s="1">
        <f>ROUND(Scores_2014_N!AP35,$A$1)</f>
        <v>75</v>
      </c>
      <c r="AC31" s="1">
        <f>ROUND(Scores_2014_N!AQ35,$A$1)</f>
        <v>77.5</v>
      </c>
      <c r="AD31" s="1">
        <f>ROUND(Scores_2014_N!AR35,$A$1)</f>
        <v>87.5</v>
      </c>
      <c r="AE31" s="1">
        <f>ROUND(Scores_2014_N!AS35,$A$1)</f>
        <v>62.5</v>
      </c>
      <c r="AF31" s="1">
        <f>ROUND(Scores_2014_N!AT35,$A$1)</f>
        <v>67.5</v>
      </c>
      <c r="AG31" s="1">
        <f>ROUND(Scores_2014_N!AU35,$A$1)</f>
        <v>67.5</v>
      </c>
      <c r="AH31" s="1">
        <f>ROUND(Scores_2014_N!AV35,$A$1)</f>
        <v>75</v>
      </c>
      <c r="AI31" s="1">
        <f>ROUND(Scores_2014_N!AW35,$A$1)</f>
        <v>55</v>
      </c>
      <c r="AJ31" s="1">
        <f>ROUND(Scores_2014_N!AX35,$A$1)</f>
        <v>62.5</v>
      </c>
      <c r="AK31" s="1">
        <f>ROUND(Scores_2014_N!AY35,$A$1)</f>
        <v>72.5</v>
      </c>
      <c r="AL31" s="1">
        <f>ROUND(Scores_2014_N!AZ35,$A$1)</f>
        <v>42.5</v>
      </c>
      <c r="AM31" s="1">
        <f>ROUND(Scores_2014_N!BA35,$A$1)</f>
        <v>82.5</v>
      </c>
      <c r="AN31" s="1">
        <f>ROUND(Scores_2014_N!BB35,$A$1)</f>
        <v>62.6</v>
      </c>
      <c r="AO31" s="1">
        <f>ROUND(Scores_2014_N!BC35,$A$1)</f>
        <v>77.5</v>
      </c>
      <c r="AP31" s="1">
        <f>ROUND(Scores_2014_N!BD35,$A$1)</f>
        <v>0</v>
      </c>
      <c r="AQ31" s="1">
        <f>ROUND(Scores_2014_N!BE35,$A$1)</f>
        <v>55</v>
      </c>
      <c r="AR31" s="1">
        <f>ROUND(Scores_2014_N!BF35,$A$1)</f>
        <v>77.5</v>
      </c>
      <c r="AS31" s="1">
        <f>ROUND(Scores_2014_N!BG35,$A$1)</f>
        <v>75</v>
      </c>
      <c r="AT31" s="1">
        <f>ROUND(Scores_2014_N!BH35,$A$1)</f>
        <v>75</v>
      </c>
      <c r="AU31" s="1">
        <f>ROUND(Scores_2014_N!BI35,$A$1)</f>
        <v>70</v>
      </c>
      <c r="AW31" s="1">
        <f t="shared" si="1"/>
        <v>59.920652173913</v>
      </c>
    </row>
    <row r="32" spans="1:49">
      <c r="A32" s="1" t="str">
        <f>Scores_2014_N!N36</f>
        <v>   3.1.2) Pedestrian friendliness</v>
      </c>
      <c r="B32" s="1">
        <f>ROUND(Scores_2014_N!P36,$A$1)</f>
        <v>100</v>
      </c>
      <c r="C32" s="1">
        <f>ROUND(Scores_2014_N!Q36,$A$1)</f>
        <v>100</v>
      </c>
      <c r="D32" s="1">
        <f>ROUND(Scores_2014_N!R36,$A$1)</f>
        <v>0</v>
      </c>
      <c r="E32" s="1">
        <f>ROUND(Scores_2014_N!S36,$A$1)</f>
        <v>100</v>
      </c>
      <c r="F32" s="1">
        <f>ROUND(Scores_2014_N!T36,$A$1)</f>
        <v>100</v>
      </c>
      <c r="G32" s="1">
        <f>ROUND(Scores_2014_N!U36,$A$1)</f>
        <v>100</v>
      </c>
      <c r="H32" s="1">
        <f>ROUND(Scores_2014_N!V36,$A$1)</f>
        <v>100</v>
      </c>
      <c r="I32" s="1">
        <f>ROUND(Scores_2014_N!W36,$A$1)</f>
        <v>100</v>
      </c>
      <c r="J32" s="1">
        <f>ROUND(Scores_2014_N!X36,$A$1)</f>
        <v>50</v>
      </c>
      <c r="K32" s="1">
        <f>ROUND(Scores_2014_N!Y36,$A$1)</f>
        <v>0</v>
      </c>
      <c r="L32" s="1">
        <f>ROUND(Scores_2014_N!Z36,$A$1)</f>
        <v>100</v>
      </c>
      <c r="M32" s="1">
        <f>ROUND(Scores_2014_N!AA36,$A$1)</f>
        <v>0</v>
      </c>
      <c r="N32" s="1">
        <f>ROUND(Scores_2014_N!AB36,$A$1)</f>
        <v>100</v>
      </c>
      <c r="O32" s="1">
        <f>ROUND(Scores_2014_N!AC36,$A$1)</f>
        <v>100</v>
      </c>
      <c r="P32" s="1">
        <f>ROUND(Scores_2014_N!AD36,$A$1)</f>
        <v>50</v>
      </c>
      <c r="Q32" s="1">
        <f>ROUND(Scores_2014_N!AE36,$A$1)</f>
        <v>100</v>
      </c>
      <c r="R32" s="1">
        <f>ROUND(Scores_2014_N!AF36,$A$1)</f>
        <v>0</v>
      </c>
      <c r="S32" s="1">
        <f>ROUND(Scores_2014_N!AG36,$A$1)</f>
        <v>100</v>
      </c>
      <c r="T32" s="1">
        <f>ROUND(Scores_2014_N!AH36,$A$1)</f>
        <v>0</v>
      </c>
      <c r="U32" s="1">
        <f>ROUND(Scores_2014_N!AI36,$A$1)</f>
        <v>100</v>
      </c>
      <c r="V32" s="1">
        <f>ROUND(Scores_2014_N!AJ36,$A$1)</f>
        <v>100</v>
      </c>
      <c r="W32" s="1">
        <f>ROUND(Scores_2014_N!AK36,$A$1)</f>
        <v>100</v>
      </c>
      <c r="X32" s="1">
        <f>ROUND(Scores_2014_N!AL36,$A$1)</f>
        <v>100</v>
      </c>
      <c r="Y32" s="1">
        <f>ROUND(Scores_2014_N!AM36,$A$1)</f>
        <v>100</v>
      </c>
      <c r="Z32" s="1">
        <f>ROUND(Scores_2014_N!AN36,$A$1)</f>
        <v>100</v>
      </c>
      <c r="AA32" s="1">
        <f>ROUND(Scores_2014_N!AO36,$A$1)</f>
        <v>50</v>
      </c>
      <c r="AB32" s="1">
        <f>ROUND(Scores_2014_N!AP36,$A$1)</f>
        <v>100</v>
      </c>
      <c r="AC32" s="1">
        <f>ROUND(Scores_2014_N!AQ36,$A$1)</f>
        <v>100</v>
      </c>
      <c r="AD32" s="1">
        <f>ROUND(Scores_2014_N!AR36,$A$1)</f>
        <v>0</v>
      </c>
      <c r="AE32" s="1">
        <f>ROUND(Scores_2014_N!AS36,$A$1)</f>
        <v>100</v>
      </c>
      <c r="AF32" s="1">
        <f>ROUND(Scores_2014_N!AT36,$A$1)</f>
        <v>0</v>
      </c>
      <c r="AG32" s="1">
        <f>ROUND(Scores_2014_N!AU36,$A$1)</f>
        <v>100</v>
      </c>
      <c r="AH32" s="1">
        <f>ROUND(Scores_2014_N!AV36,$A$1)</f>
        <v>100</v>
      </c>
      <c r="AI32" s="1">
        <f>ROUND(Scores_2014_N!AW36,$A$1)</f>
        <v>0</v>
      </c>
      <c r="AJ32" s="1">
        <f>ROUND(Scores_2014_N!AX36,$A$1)</f>
        <v>100</v>
      </c>
      <c r="AK32" s="1">
        <f>ROUND(Scores_2014_N!AY36,$A$1)</f>
        <v>100</v>
      </c>
      <c r="AL32" s="1">
        <f>ROUND(Scores_2014_N!AZ36,$A$1)</f>
        <v>100</v>
      </c>
      <c r="AM32" s="1">
        <f>ROUND(Scores_2014_N!BA36,$A$1)</f>
        <v>100</v>
      </c>
      <c r="AN32" s="1">
        <f>ROUND(Scores_2014_N!BB36,$A$1)</f>
        <v>100</v>
      </c>
      <c r="AO32" s="1">
        <f>ROUND(Scores_2014_N!BC36,$A$1)</f>
        <v>100</v>
      </c>
      <c r="AP32" s="1">
        <f>ROUND(Scores_2014_N!BD36,$A$1)</f>
        <v>100</v>
      </c>
      <c r="AQ32" s="1">
        <f>ROUND(Scores_2014_N!BE36,$A$1)</f>
        <v>50</v>
      </c>
      <c r="AR32" s="1">
        <f>ROUND(Scores_2014_N!BF36,$A$1)</f>
        <v>100</v>
      </c>
      <c r="AS32" s="1">
        <f>ROUND(Scores_2014_N!BG36,$A$1)</f>
        <v>100</v>
      </c>
      <c r="AT32" s="1">
        <f>ROUND(Scores_2014_N!BH36,$A$1)</f>
        <v>100</v>
      </c>
      <c r="AU32" s="1">
        <f>ROUND(Scores_2014_N!BI36,$A$1)</f>
        <v>100</v>
      </c>
      <c r="AW32" s="1">
        <f t="shared" si="1"/>
        <v>78.2608695652174</v>
      </c>
    </row>
    <row r="33" spans="1:49">
      <c r="A33" s="1" t="str">
        <f>Scores_2014_N!N37</f>
        <v>   3.1.3) Quality of road infrastructure</v>
      </c>
      <c r="B33" s="1">
        <f>ROUND(Scores_2014_N!P37,$A$1)</f>
        <v>100</v>
      </c>
      <c r="C33" s="1">
        <f>ROUND(Scores_2014_N!Q37,$A$1)</f>
        <v>100</v>
      </c>
      <c r="D33" s="1">
        <f>ROUND(Scores_2014_N!R37,$A$1)</f>
        <v>25</v>
      </c>
      <c r="E33" s="1">
        <f>ROUND(Scores_2014_N!S37,$A$1)</f>
        <v>100</v>
      </c>
      <c r="F33" s="1">
        <f>ROUND(Scores_2014_N!T37,$A$1)</f>
        <v>75</v>
      </c>
      <c r="G33" s="1">
        <f>ROUND(Scores_2014_N!U37,$A$1)</f>
        <v>75</v>
      </c>
      <c r="H33" s="1">
        <f>ROUND(Scores_2014_N!V37,$A$1)</f>
        <v>75</v>
      </c>
      <c r="I33" s="1">
        <f>ROUND(Scores_2014_N!W37,$A$1)</f>
        <v>75</v>
      </c>
      <c r="J33" s="1">
        <f>ROUND(Scores_2014_N!X37,$A$1)</f>
        <v>50</v>
      </c>
      <c r="K33" s="1">
        <f>ROUND(Scores_2014_N!Y37,$A$1)</f>
        <v>75</v>
      </c>
      <c r="L33" s="1">
        <f>ROUND(Scores_2014_N!Z37,$A$1)</f>
        <v>100</v>
      </c>
      <c r="M33" s="1">
        <f>ROUND(Scores_2014_N!AA37,$A$1)</f>
        <v>25</v>
      </c>
      <c r="N33" s="1">
        <f>ROUND(Scores_2014_N!AB37,$A$1)</f>
        <v>100</v>
      </c>
      <c r="O33" s="1">
        <f>ROUND(Scores_2014_N!AC37,$A$1)</f>
        <v>50</v>
      </c>
      <c r="P33" s="1">
        <f>ROUND(Scores_2014_N!AD37,$A$1)</f>
        <v>50</v>
      </c>
      <c r="Q33" s="1">
        <f>ROUND(Scores_2014_N!AE37,$A$1)</f>
        <v>50</v>
      </c>
      <c r="R33" s="1">
        <f>ROUND(Scores_2014_N!AF37,$A$1)</f>
        <v>75</v>
      </c>
      <c r="S33" s="1">
        <f>ROUND(Scores_2014_N!AG37,$A$1)</f>
        <v>75</v>
      </c>
      <c r="T33" s="1">
        <f>ROUND(Scores_2014_N!AH37,$A$1)</f>
        <v>75</v>
      </c>
      <c r="U33" s="1">
        <f>ROUND(Scores_2014_N!AI37,$A$1)</f>
        <v>75</v>
      </c>
      <c r="V33" s="1">
        <f>ROUND(Scores_2014_N!AJ37,$A$1)</f>
        <v>100</v>
      </c>
      <c r="W33" s="1">
        <f>ROUND(Scores_2014_N!AK37,$A$1)</f>
        <v>100</v>
      </c>
      <c r="X33" s="1">
        <f>ROUND(Scores_2014_N!AL37,$A$1)</f>
        <v>50</v>
      </c>
      <c r="Y33" s="1">
        <f>ROUND(Scores_2014_N!AM37,$A$1)</f>
        <v>75</v>
      </c>
      <c r="Z33" s="1">
        <f>ROUND(Scores_2014_N!AN37,$A$1)</f>
        <v>75</v>
      </c>
      <c r="AA33" s="1">
        <f>ROUND(Scores_2014_N!AO37,$A$1)</f>
        <v>0</v>
      </c>
      <c r="AB33" s="1">
        <f>ROUND(Scores_2014_N!AP37,$A$1)</f>
        <v>75</v>
      </c>
      <c r="AC33" s="1">
        <f>ROUND(Scores_2014_N!AQ37,$A$1)</f>
        <v>100</v>
      </c>
      <c r="AD33" s="1">
        <f>ROUND(Scores_2014_N!AR37,$A$1)</f>
        <v>75</v>
      </c>
      <c r="AE33" s="1">
        <f>ROUND(Scores_2014_N!AS37,$A$1)</f>
        <v>50</v>
      </c>
      <c r="AF33" s="1">
        <f>ROUND(Scores_2014_N!AT37,$A$1)</f>
        <v>50</v>
      </c>
      <c r="AG33" s="1">
        <f>ROUND(Scores_2014_N!AU37,$A$1)</f>
        <v>100</v>
      </c>
      <c r="AH33" s="1">
        <f>ROUND(Scores_2014_N!AV37,$A$1)</f>
        <v>75</v>
      </c>
      <c r="AI33" s="1">
        <f>ROUND(Scores_2014_N!AW37,$A$1)</f>
        <v>75</v>
      </c>
      <c r="AJ33" s="1">
        <f>ROUND(Scores_2014_N!AX37,$A$1)</f>
        <v>75</v>
      </c>
      <c r="AK33" s="1">
        <f>ROUND(Scores_2014_N!AY37,$A$1)</f>
        <v>75</v>
      </c>
      <c r="AL33" s="1">
        <f>ROUND(Scores_2014_N!AZ37,$A$1)</f>
        <v>75</v>
      </c>
      <c r="AM33" s="1">
        <f>ROUND(Scores_2014_N!BA37,$A$1)</f>
        <v>100</v>
      </c>
      <c r="AN33" s="1">
        <f>ROUND(Scores_2014_N!BB37,$A$1)</f>
        <v>25</v>
      </c>
      <c r="AO33" s="1">
        <f>ROUND(Scores_2014_N!BC37,$A$1)</f>
        <v>100</v>
      </c>
      <c r="AP33" s="1">
        <f>ROUND(Scores_2014_N!BD37,$A$1)</f>
        <v>75</v>
      </c>
      <c r="AQ33" s="1">
        <f>ROUND(Scores_2014_N!BE37,$A$1)</f>
        <v>50</v>
      </c>
      <c r="AR33" s="1">
        <f>ROUND(Scores_2014_N!BF37,$A$1)</f>
        <v>100</v>
      </c>
      <c r="AS33" s="1">
        <f>ROUND(Scores_2014_N!BG37,$A$1)</f>
        <v>75</v>
      </c>
      <c r="AT33" s="1">
        <f>ROUND(Scores_2014_N!BH37,$A$1)</f>
        <v>75</v>
      </c>
      <c r="AU33" s="1">
        <f>ROUND(Scores_2014_N!BI37,$A$1)</f>
        <v>100</v>
      </c>
      <c r="AW33" s="1">
        <f t="shared" si="1"/>
        <v>72.8260869565217</v>
      </c>
    </row>
    <row r="34" spans="1:49">
      <c r="A34" s="1" t="str">
        <f>Scores_2014_N!N38</f>
        <v>   3.1.4) Quality of electricity infrastructure</v>
      </c>
      <c r="B34" s="1">
        <f>ROUND(Scores_2014_N!P38,$A$1)</f>
        <v>75</v>
      </c>
      <c r="C34" s="1">
        <f>ROUND(Scores_2014_N!Q38,$A$1)</f>
        <v>100</v>
      </c>
      <c r="D34" s="1">
        <f>ROUND(Scores_2014_N!R38,$A$1)</f>
        <v>100</v>
      </c>
      <c r="E34" s="1">
        <f>ROUND(Scores_2014_N!S38,$A$1)</f>
        <v>100</v>
      </c>
      <c r="F34" s="1">
        <f>ROUND(Scores_2014_N!T38,$A$1)</f>
        <v>100</v>
      </c>
      <c r="G34" s="1">
        <f>ROUND(Scores_2014_N!U38,$A$1)</f>
        <v>100</v>
      </c>
      <c r="H34" s="1">
        <f>ROUND(Scores_2014_N!V38,$A$1)</f>
        <v>100</v>
      </c>
      <c r="I34" s="1">
        <f>ROUND(Scores_2014_N!W38,$A$1)</f>
        <v>100</v>
      </c>
      <c r="J34" s="1">
        <f>ROUND(Scores_2014_N!X38,$A$1)</f>
        <v>50</v>
      </c>
      <c r="K34" s="1">
        <f>ROUND(Scores_2014_N!Y38,$A$1)</f>
        <v>75</v>
      </c>
      <c r="L34" s="1">
        <f>ROUND(Scores_2014_N!Z38,$A$1)</f>
        <v>100</v>
      </c>
      <c r="M34" s="1">
        <f>ROUND(Scores_2014_N!AA38,$A$1)</f>
        <v>50</v>
      </c>
      <c r="N34" s="1">
        <f>ROUND(Scores_2014_N!AB38,$A$1)</f>
        <v>100</v>
      </c>
      <c r="O34" s="1">
        <f>ROUND(Scores_2014_N!AC38,$A$1)</f>
        <v>75</v>
      </c>
      <c r="P34" s="1">
        <f>ROUND(Scores_2014_N!AD38,$A$1)</f>
        <v>50</v>
      </c>
      <c r="Q34" s="1">
        <f>ROUND(Scores_2014_N!AE38,$A$1)</f>
        <v>50</v>
      </c>
      <c r="R34" s="1">
        <f>ROUND(Scores_2014_N!AF38,$A$1)</f>
        <v>100</v>
      </c>
      <c r="S34" s="1">
        <f>ROUND(Scores_2014_N!AG38,$A$1)</f>
        <v>100</v>
      </c>
      <c r="T34" s="1">
        <f>ROUND(Scores_2014_N!AH38,$A$1)</f>
        <v>100</v>
      </c>
      <c r="U34" s="1">
        <f>ROUND(Scores_2014_N!AI38,$A$1)</f>
        <v>100</v>
      </c>
      <c r="V34" s="1">
        <f>ROUND(Scores_2014_N!AJ38,$A$1)</f>
        <v>100</v>
      </c>
      <c r="W34" s="1">
        <f>ROUND(Scores_2014_N!AK38,$A$1)</f>
        <v>100</v>
      </c>
      <c r="X34" s="1">
        <f>ROUND(Scores_2014_N!AL38,$A$1)</f>
        <v>50</v>
      </c>
      <c r="Y34" s="1">
        <f>ROUND(Scores_2014_N!AM38,$A$1)</f>
        <v>100</v>
      </c>
      <c r="Z34" s="1">
        <f>ROUND(Scores_2014_N!AN38,$A$1)</f>
        <v>100</v>
      </c>
      <c r="AA34" s="1">
        <f>ROUND(Scores_2014_N!AO38,$A$1)</f>
        <v>75</v>
      </c>
      <c r="AB34" s="1">
        <f>ROUND(Scores_2014_N!AP38,$A$1)</f>
        <v>100</v>
      </c>
      <c r="AC34" s="1">
        <f>ROUND(Scores_2014_N!AQ38,$A$1)</f>
        <v>100</v>
      </c>
      <c r="AD34" s="1">
        <f>ROUND(Scores_2014_N!AR38,$A$1)</f>
        <v>100</v>
      </c>
      <c r="AE34" s="1">
        <f>ROUND(Scores_2014_N!AS38,$A$1)</f>
        <v>100</v>
      </c>
      <c r="AF34" s="1">
        <f>ROUND(Scores_2014_N!AT38,$A$1)</f>
        <v>75</v>
      </c>
      <c r="AG34" s="1">
        <f>ROUND(Scores_2014_N!AU38,$A$1)</f>
        <v>100</v>
      </c>
      <c r="AH34" s="1">
        <f>ROUND(Scores_2014_N!AV38,$A$1)</f>
        <v>100</v>
      </c>
      <c r="AI34" s="1">
        <f>ROUND(Scores_2014_N!AW38,$A$1)</f>
        <v>100</v>
      </c>
      <c r="AJ34" s="1">
        <f>ROUND(Scores_2014_N!AX38,$A$1)</f>
        <v>75</v>
      </c>
      <c r="AK34" s="1">
        <f>ROUND(Scores_2014_N!AY38,$A$1)</f>
        <v>100</v>
      </c>
      <c r="AL34" s="1">
        <f>ROUND(Scores_2014_N!AZ38,$A$1)</f>
        <v>100</v>
      </c>
      <c r="AM34" s="1">
        <f>ROUND(Scores_2014_N!BA38,$A$1)</f>
        <v>100</v>
      </c>
      <c r="AN34" s="1">
        <f>ROUND(Scores_2014_N!BB38,$A$1)</f>
        <v>75</v>
      </c>
      <c r="AO34" s="1">
        <f>ROUND(Scores_2014_N!BC38,$A$1)</f>
        <v>100</v>
      </c>
      <c r="AP34" s="1">
        <f>ROUND(Scores_2014_N!BD38,$A$1)</f>
        <v>75</v>
      </c>
      <c r="AQ34" s="1">
        <f>ROUND(Scores_2014_N!BE38,$A$1)</f>
        <v>25</v>
      </c>
      <c r="AR34" s="1">
        <f>ROUND(Scores_2014_N!BF38,$A$1)</f>
        <v>100</v>
      </c>
      <c r="AS34" s="1">
        <f>ROUND(Scores_2014_N!BG38,$A$1)</f>
        <v>100</v>
      </c>
      <c r="AT34" s="1">
        <f>ROUND(Scores_2014_N!BH38,$A$1)</f>
        <v>100</v>
      </c>
      <c r="AU34" s="1">
        <f>ROUND(Scores_2014_N!BI38,$A$1)</f>
        <v>100</v>
      </c>
      <c r="AW34" s="1">
        <f t="shared" si="1"/>
        <v>88.5869565217391</v>
      </c>
    </row>
    <row r="35" spans="1:49">
      <c r="A35" s="1" t="str">
        <f>Scores_2014_N!N39</f>
        <v>   3.1.5) Disaster management/business continuity plan</v>
      </c>
      <c r="B35" s="1">
        <f>ROUND(Scores_2014_N!P39,$A$1)</f>
        <v>75</v>
      </c>
      <c r="C35" s="1">
        <f>ROUND(Scores_2014_N!Q39,$A$1)</f>
        <v>100</v>
      </c>
      <c r="D35" s="1">
        <f>ROUND(Scores_2014_N!R39,$A$1)</f>
        <v>75</v>
      </c>
      <c r="E35" s="1">
        <f>ROUND(Scores_2014_N!S39,$A$1)</f>
        <v>100</v>
      </c>
      <c r="F35" s="1">
        <f>ROUND(Scores_2014_N!T39,$A$1)</f>
        <v>50</v>
      </c>
      <c r="G35" s="1">
        <f>ROUND(Scores_2014_N!U39,$A$1)</f>
        <v>100</v>
      </c>
      <c r="H35" s="1">
        <f>ROUND(Scores_2014_N!V39,$A$1)</f>
        <v>100</v>
      </c>
      <c r="I35" s="1">
        <f>ROUND(Scores_2014_N!W39,$A$1)</f>
        <v>100</v>
      </c>
      <c r="J35" s="1">
        <f>ROUND(Scores_2014_N!X39,$A$1)</f>
        <v>25</v>
      </c>
      <c r="K35" s="1">
        <f>ROUND(Scores_2014_N!Y39,$A$1)</f>
        <v>100</v>
      </c>
      <c r="L35" s="1">
        <f>ROUND(Scores_2014_N!Z39,$A$1)</f>
        <v>100</v>
      </c>
      <c r="M35" s="1">
        <f>ROUND(Scores_2014_N!AA39,$A$1)</f>
        <v>50</v>
      </c>
      <c r="N35" s="1">
        <f>ROUND(Scores_2014_N!AB39,$A$1)</f>
        <v>100</v>
      </c>
      <c r="O35" s="1">
        <f>ROUND(Scores_2014_N!AC39,$A$1)</f>
        <v>75</v>
      </c>
      <c r="P35" s="1">
        <f>ROUND(Scores_2014_N!AD39,$A$1)</f>
        <v>50</v>
      </c>
      <c r="Q35" s="1">
        <f>ROUND(Scores_2014_N!AE39,$A$1)</f>
        <v>50</v>
      </c>
      <c r="R35" s="1">
        <f>ROUND(Scores_2014_N!AF39,$A$1)</f>
        <v>75</v>
      </c>
      <c r="S35" s="1">
        <f>ROUND(Scores_2014_N!AG39,$A$1)</f>
        <v>100</v>
      </c>
      <c r="T35" s="1">
        <f>ROUND(Scores_2014_N!AH39,$A$1)</f>
        <v>100</v>
      </c>
      <c r="U35" s="1">
        <f>ROUND(Scores_2014_N!AI39,$A$1)</f>
        <v>75</v>
      </c>
      <c r="V35" s="1">
        <f>ROUND(Scores_2014_N!AJ39,$A$1)</f>
        <v>100</v>
      </c>
      <c r="W35" s="1">
        <f>ROUND(Scores_2014_N!AK39,$A$1)</f>
        <v>100</v>
      </c>
      <c r="X35" s="1">
        <f>ROUND(Scores_2014_N!AL39,$A$1)</f>
        <v>75</v>
      </c>
      <c r="Y35" s="1">
        <f>ROUND(Scores_2014_N!AM39,$A$1)</f>
        <v>100</v>
      </c>
      <c r="Z35" s="1">
        <f>ROUND(Scores_2014_N!AN39,$A$1)</f>
        <v>50</v>
      </c>
      <c r="AA35" s="1">
        <f>ROUND(Scores_2014_N!AO39,$A$1)</f>
        <v>25</v>
      </c>
      <c r="AB35" s="1">
        <f>ROUND(Scores_2014_N!AP39,$A$1)</f>
        <v>100</v>
      </c>
      <c r="AC35" s="1">
        <f>ROUND(Scores_2014_N!AQ39,$A$1)</f>
        <v>100</v>
      </c>
      <c r="AD35" s="1">
        <f>ROUND(Scores_2014_N!AR39,$A$1)</f>
        <v>100</v>
      </c>
      <c r="AE35" s="1">
        <f>ROUND(Scores_2014_N!AS39,$A$1)</f>
        <v>50</v>
      </c>
      <c r="AF35" s="1">
        <f>ROUND(Scores_2014_N!AT39,$A$1)</f>
        <v>50</v>
      </c>
      <c r="AG35" s="1">
        <f>ROUND(Scores_2014_N!AU39,$A$1)</f>
        <v>100</v>
      </c>
      <c r="AH35" s="1">
        <f>ROUND(Scores_2014_N!AV39,$A$1)</f>
        <v>100</v>
      </c>
      <c r="AI35" s="1">
        <f>ROUND(Scores_2014_N!AW39,$A$1)</f>
        <v>100</v>
      </c>
      <c r="AJ35" s="1">
        <f>ROUND(Scores_2014_N!AX39,$A$1)</f>
        <v>75</v>
      </c>
      <c r="AK35" s="1">
        <f>ROUND(Scores_2014_N!AY39,$A$1)</f>
        <v>75</v>
      </c>
      <c r="AL35" s="1">
        <f>ROUND(Scores_2014_N!AZ39,$A$1)</f>
        <v>50</v>
      </c>
      <c r="AM35" s="1">
        <f>ROUND(Scores_2014_N!BA39,$A$1)</f>
        <v>100</v>
      </c>
      <c r="AN35" s="1">
        <f>ROUND(Scores_2014_N!BB39,$A$1)</f>
        <v>100</v>
      </c>
      <c r="AO35" s="1">
        <f>ROUND(Scores_2014_N!BC39,$A$1)</f>
        <v>100</v>
      </c>
      <c r="AP35" s="1">
        <f>ROUND(Scores_2014_N!BD39,$A$1)</f>
        <v>75</v>
      </c>
      <c r="AQ35" s="1">
        <f>ROUND(Scores_2014_N!BE39,$A$1)</f>
        <v>50</v>
      </c>
      <c r="AR35" s="1">
        <f>ROUND(Scores_2014_N!BF39,$A$1)</f>
        <v>100</v>
      </c>
      <c r="AS35" s="1">
        <f>ROUND(Scores_2014_N!BG39,$A$1)</f>
        <v>100</v>
      </c>
      <c r="AT35" s="1">
        <f>ROUND(Scores_2014_N!BH39,$A$1)</f>
        <v>100</v>
      </c>
      <c r="AU35" s="1">
        <f>ROUND(Scores_2014_N!BI39,$A$1)</f>
        <v>100</v>
      </c>
      <c r="AW35" s="1">
        <f t="shared" si="1"/>
        <v>82.0652173913043</v>
      </c>
    </row>
    <row r="36" spans="1:49">
      <c r="A36" s="1" t="str">
        <f>Scores_2014_N!N40</f>
        <v>  3.2) Infrastructure security (Outputs)</v>
      </c>
      <c r="B36" s="1">
        <f>ROUND(Scores_2014_N!P40,$A$1)</f>
        <v>88.69</v>
      </c>
      <c r="C36" s="1">
        <f>ROUND(Scores_2014_N!Q40,$A$1)</f>
        <v>90.87</v>
      </c>
      <c r="D36" s="1">
        <f>ROUND(Scores_2014_N!R40,$A$1)</f>
        <v>62.35</v>
      </c>
      <c r="E36" s="1">
        <f>ROUND(Scores_2014_N!S40,$A$1)</f>
        <v>81.47</v>
      </c>
      <c r="F36" s="1">
        <f>ROUND(Scores_2014_N!T40,$A$1)</f>
        <v>83.69</v>
      </c>
      <c r="G36" s="1">
        <f>ROUND(Scores_2014_N!U40,$A$1)</f>
        <v>85.39</v>
      </c>
      <c r="H36" s="1">
        <f>ROUND(Scores_2014_N!V40,$A$1)</f>
        <v>70.33</v>
      </c>
      <c r="I36" s="1">
        <f>ROUND(Scores_2014_N!W40,$A$1)</f>
        <v>85.14</v>
      </c>
      <c r="J36" s="1">
        <f>ROUND(Scores_2014_N!X40,$A$1)</f>
        <v>77.37</v>
      </c>
      <c r="K36" s="1">
        <f>ROUND(Scores_2014_N!Y40,$A$1)</f>
        <v>86.97</v>
      </c>
      <c r="L36" s="1">
        <f>ROUND(Scores_2014_N!Z40,$A$1)</f>
        <v>76.11</v>
      </c>
      <c r="M36" s="1">
        <f>ROUND(Scores_2014_N!AA40,$A$1)</f>
        <v>79.89</v>
      </c>
      <c r="N36" s="1">
        <f>ROUND(Scores_2014_N!AB40,$A$1)</f>
        <v>70.34</v>
      </c>
      <c r="O36" s="1">
        <f>ROUND(Scores_2014_N!AC40,$A$1)</f>
        <v>66.91</v>
      </c>
      <c r="P36" s="1">
        <f>ROUND(Scores_2014_N!AD40,$A$1)</f>
        <v>64.8</v>
      </c>
      <c r="Q36" s="1">
        <f>ROUND(Scores_2014_N!AE40,$A$1)</f>
        <v>72.3</v>
      </c>
      <c r="R36" s="1">
        <f>ROUND(Scores_2014_N!AF40,$A$1)</f>
        <v>88.67</v>
      </c>
      <c r="S36" s="1">
        <f>ROUND(Scores_2014_N!AG40,$A$1)</f>
        <v>74.33</v>
      </c>
      <c r="T36" s="1">
        <f>ROUND(Scores_2014_N!AH40,$A$1)</f>
        <v>70.48</v>
      </c>
      <c r="U36" s="1">
        <f>ROUND(Scores_2014_N!AI40,$A$1)</f>
        <v>84.32</v>
      </c>
      <c r="V36" s="1">
        <f>ROUND(Scores_2014_N!AJ40,$A$1)</f>
        <v>74.09</v>
      </c>
      <c r="W36" s="1">
        <f>ROUND(Scores_2014_N!AK40,$A$1)</f>
        <v>91.29</v>
      </c>
      <c r="X36" s="1">
        <f>ROUND(Scores_2014_N!AL40,$A$1)</f>
        <v>52.69</v>
      </c>
      <c r="Y36" s="1">
        <f>ROUND(Scores_2014_N!AM40,$A$1)</f>
        <v>75.48</v>
      </c>
      <c r="Z36" s="1">
        <f>ROUND(Scores_2014_N!AN40,$A$1)</f>
        <v>68.14</v>
      </c>
      <c r="AA36" s="1">
        <f>ROUND(Scores_2014_N!AO40,$A$1)</f>
        <v>76.79</v>
      </c>
      <c r="AB36" s="1">
        <f>ROUND(Scores_2014_N!AP40,$A$1)</f>
        <v>82.26</v>
      </c>
      <c r="AC36" s="1">
        <f>ROUND(Scores_2014_N!AQ40,$A$1)</f>
        <v>80.77</v>
      </c>
      <c r="AD36" s="1">
        <f>ROUND(Scores_2014_N!AR40,$A$1)</f>
        <v>83.19</v>
      </c>
      <c r="AE36" s="1">
        <f>ROUND(Scores_2014_N!AS40,$A$1)</f>
        <v>81.07</v>
      </c>
      <c r="AF36" s="1">
        <f>ROUND(Scores_2014_N!AT40,$A$1)</f>
        <v>75.68</v>
      </c>
      <c r="AG36" s="1">
        <f>ROUND(Scores_2014_N!AU40,$A$1)</f>
        <v>77.61</v>
      </c>
      <c r="AH36" s="1">
        <f>ROUND(Scores_2014_N!AV40,$A$1)</f>
        <v>85.9</v>
      </c>
      <c r="AI36" s="1">
        <f>ROUND(Scores_2014_N!AW40,$A$1)</f>
        <v>84.36</v>
      </c>
      <c r="AJ36" s="1">
        <f>ROUND(Scores_2014_N!AX40,$A$1)</f>
        <v>78.62</v>
      </c>
      <c r="AK36" s="1">
        <f>ROUND(Scores_2014_N!AY40,$A$1)</f>
        <v>89.46</v>
      </c>
      <c r="AL36" s="1">
        <f>ROUND(Scores_2014_N!AZ40,$A$1)</f>
        <v>82.18</v>
      </c>
      <c r="AM36" s="1">
        <f>ROUND(Scores_2014_N!BA40,$A$1)</f>
        <v>85.01</v>
      </c>
      <c r="AN36" s="1">
        <f>ROUND(Scores_2014_N!BB40,$A$1)</f>
        <v>93.1</v>
      </c>
      <c r="AO36" s="1">
        <f>ROUND(Scores_2014_N!BC40,$A$1)</f>
        <v>89.87</v>
      </c>
      <c r="AP36" s="1">
        <f>ROUND(Scores_2014_N!BD40,$A$1)</f>
        <v>94.83</v>
      </c>
      <c r="AQ36" s="1">
        <f>ROUND(Scores_2014_N!BE40,$A$1)</f>
        <v>85.93</v>
      </c>
      <c r="AR36" s="1">
        <f>ROUND(Scores_2014_N!BF40,$A$1)</f>
        <v>87.3</v>
      </c>
      <c r="AS36" s="1">
        <f>ROUND(Scores_2014_N!BG40,$A$1)</f>
        <v>88.14</v>
      </c>
      <c r="AT36" s="1">
        <f>ROUND(Scores_2014_N!BH40,$A$1)</f>
        <v>71.24</v>
      </c>
      <c r="AU36" s="1">
        <f>ROUND(Scores_2014_N!BI40,$A$1)</f>
        <v>93.05</v>
      </c>
      <c r="AW36" s="1">
        <f t="shared" si="1"/>
        <v>80.1841304347826</v>
      </c>
    </row>
    <row r="37" spans="1:49">
      <c r="A37" s="1" t="str">
        <f>Scores_2014_N!N41</f>
        <v>   3.2.1) Deaths from natural disaster</v>
      </c>
      <c r="B37" s="1">
        <f>ROUND(Scores_2014_N!P41,$A$1)</f>
        <v>100</v>
      </c>
      <c r="C37" s="1">
        <f>ROUND(Scores_2014_N!Q41,$A$1)</f>
        <v>94.03</v>
      </c>
      <c r="D37" s="1">
        <f>ROUND(Scores_2014_N!R41,$A$1)</f>
        <v>96.58</v>
      </c>
      <c r="E37" s="1">
        <f>ROUND(Scores_2014_N!S41,$A$1)</f>
        <v>99.59</v>
      </c>
      <c r="F37" s="1">
        <f>ROUND(Scores_2014_N!T41,$A$1)</f>
        <v>99.83</v>
      </c>
      <c r="G37" s="1">
        <f>ROUND(Scores_2014_N!U41,$A$1)</f>
        <v>95.88</v>
      </c>
      <c r="H37" s="1">
        <f>ROUND(Scores_2014_N!V41,$A$1)</f>
        <v>99.71</v>
      </c>
      <c r="I37" s="1">
        <f>ROUND(Scores_2014_N!W41,$A$1)</f>
        <v>99.32</v>
      </c>
      <c r="J37" s="1">
        <f>ROUND(Scores_2014_N!X41,$A$1)</f>
        <v>97.34</v>
      </c>
      <c r="K37" s="1">
        <f>ROUND(Scores_2014_N!Y41,$A$1)</f>
        <v>100</v>
      </c>
      <c r="L37" s="1">
        <f>ROUND(Scores_2014_N!Z41,$A$1)</f>
        <v>99.21</v>
      </c>
      <c r="M37" s="1">
        <f>ROUND(Scores_2014_N!AA41,$A$1)</f>
        <v>98.48</v>
      </c>
      <c r="N37" s="1">
        <f>ROUND(Scores_2014_N!AB41,$A$1)</f>
        <v>100</v>
      </c>
      <c r="O37" s="1">
        <f>ROUND(Scores_2014_N!AC41,$A$1)</f>
        <v>99.63</v>
      </c>
      <c r="P37" s="1">
        <f>ROUND(Scores_2014_N!AD41,$A$1)</f>
        <v>0</v>
      </c>
      <c r="Q37" s="1">
        <f>ROUND(Scores_2014_N!AE41,$A$1)</f>
        <v>99.66</v>
      </c>
      <c r="R37" s="1">
        <f>ROUND(Scores_2014_N!AF41,$A$1)</f>
        <v>100</v>
      </c>
      <c r="S37" s="1">
        <f>ROUND(Scores_2014_N!AG41,$A$1)</f>
        <v>98.69</v>
      </c>
      <c r="T37" s="1">
        <f>ROUND(Scores_2014_N!AH41,$A$1)</f>
        <v>99.53</v>
      </c>
      <c r="U37" s="1">
        <f>ROUND(Scores_2014_N!AI41,$A$1)</f>
        <v>99.83</v>
      </c>
      <c r="V37" s="1">
        <f>ROUND(Scores_2014_N!AJ41,$A$1)</f>
        <v>99.79</v>
      </c>
      <c r="W37" s="1">
        <f>ROUND(Scores_2014_N!AK41,$A$1)</f>
        <v>98.25</v>
      </c>
      <c r="X37" s="1">
        <f>ROUND(Scores_2014_N!AL41,$A$1)</f>
        <v>99.79</v>
      </c>
      <c r="Y37" s="1">
        <f>ROUND(Scores_2014_N!AM41,$A$1)</f>
        <v>98.18</v>
      </c>
      <c r="Z37" s="1">
        <f>ROUND(Scores_2014_N!AN41,$A$1)</f>
        <v>77.74</v>
      </c>
      <c r="AA37" s="1">
        <f>ROUND(Scores_2014_N!AO41,$A$1)</f>
        <v>100</v>
      </c>
      <c r="AB37" s="1">
        <f>ROUND(Scores_2014_N!AP41,$A$1)</f>
        <v>99.88</v>
      </c>
      <c r="AC37" s="1">
        <f>ROUND(Scores_2014_N!AQ41,$A$1)</f>
        <v>62.3</v>
      </c>
      <c r="AD37" s="1">
        <f>ROUND(Scores_2014_N!AR41,$A$1)</f>
        <v>99.27</v>
      </c>
      <c r="AE37" s="1">
        <f>ROUND(Scores_2014_N!AS41,$A$1)</f>
        <v>98.36</v>
      </c>
      <c r="AF37" s="1">
        <f>ROUND(Scores_2014_N!AT41,$A$1)</f>
        <v>99.97</v>
      </c>
      <c r="AG37" s="1">
        <f>ROUND(Scores_2014_N!AU41,$A$1)</f>
        <v>99.09</v>
      </c>
      <c r="AH37" s="1">
        <f>ROUND(Scores_2014_N!AV41,$A$1)</f>
        <v>99.17</v>
      </c>
      <c r="AI37" s="1">
        <f>ROUND(Scores_2014_N!AW41,$A$1)</f>
        <v>99.54</v>
      </c>
      <c r="AJ37" s="1">
        <f>ROUND(Scores_2014_N!AX41,$A$1)</f>
        <v>91.33</v>
      </c>
      <c r="AK37" s="1">
        <f>ROUND(Scores_2014_N!AY41,$A$1)</f>
        <v>99.87</v>
      </c>
      <c r="AL37" s="1">
        <f>ROUND(Scores_2014_N!AZ41,$A$1)</f>
        <v>99.99</v>
      </c>
      <c r="AM37" s="1">
        <f>ROUND(Scores_2014_N!BA41,$A$1)</f>
        <v>99.68</v>
      </c>
      <c r="AN37" s="1">
        <f>ROUND(Scores_2014_N!BB41,$A$1)</f>
        <v>99.93</v>
      </c>
      <c r="AO37" s="1">
        <f>ROUND(Scores_2014_N!BC41,$A$1)</f>
        <v>98.25</v>
      </c>
      <c r="AP37" s="1">
        <f>ROUND(Scores_2014_N!BD41,$A$1)</f>
        <v>98.38</v>
      </c>
      <c r="AQ37" s="1">
        <f>ROUND(Scores_2014_N!BE41,$A$1)</f>
        <v>99.47</v>
      </c>
      <c r="AR37" s="1">
        <f>ROUND(Scores_2014_N!BF41,$A$1)</f>
        <v>89.95</v>
      </c>
      <c r="AS37" s="1">
        <f>ROUND(Scores_2014_N!BG41,$A$1)</f>
        <v>99.93</v>
      </c>
      <c r="AT37" s="1">
        <f>ROUND(Scores_2014_N!BH41,$A$1)</f>
        <v>99.97</v>
      </c>
      <c r="AU37" s="1">
        <f>ROUND(Scores_2014_N!BI41,$A$1)</f>
        <v>99.76</v>
      </c>
      <c r="AW37" s="1">
        <f t="shared" si="1"/>
        <v>95.3293478260869</v>
      </c>
    </row>
    <row r="38" spans="1:49">
      <c r="A38" s="1" t="str">
        <f>Scores_2014_N!N42</f>
        <v>   3.2.2) Frequency of vehicular accidents</v>
      </c>
      <c r="B38" s="1">
        <f>ROUND(Scores_2014_N!P42,$A$1)</f>
        <v>97.75</v>
      </c>
      <c r="C38" s="1">
        <f>ROUND(Scores_2014_N!Q42,$A$1)</f>
        <v>98.64</v>
      </c>
      <c r="D38" s="1">
        <f>ROUND(Scores_2014_N!R42,$A$1)</f>
        <v>90.63</v>
      </c>
      <c r="E38" s="1">
        <f>ROUND(Scores_2014_N!S42,$A$1)</f>
        <v>82.71</v>
      </c>
      <c r="F38" s="1">
        <f>ROUND(Scores_2014_N!T42,$A$1)</f>
        <v>99.79</v>
      </c>
      <c r="G38" s="1">
        <f>ROUND(Scores_2014_N!U42,$A$1)</f>
        <v>89.83</v>
      </c>
      <c r="H38" s="1">
        <f>ROUND(Scores_2014_N!V42,$A$1)</f>
        <v>93.06</v>
      </c>
      <c r="I38" s="1">
        <f>ROUND(Scores_2014_N!W42,$A$1)</f>
        <v>81.98</v>
      </c>
      <c r="J38" s="1">
        <f>ROUND(Scores_2014_N!X42,$A$1)</f>
        <v>99.19</v>
      </c>
      <c r="K38" s="1">
        <f>ROUND(Scores_2014_N!Y42,$A$1)</f>
        <v>93.48</v>
      </c>
      <c r="L38" s="1">
        <f>ROUND(Scores_2014_N!Z42,$A$1)</f>
        <v>33.5</v>
      </c>
      <c r="M38" s="1">
        <f>ROUND(Scores_2014_N!AA42,$A$1)</f>
        <v>99.29</v>
      </c>
      <c r="N38" s="1">
        <f>ROUND(Scores_2014_N!AB42,$A$1)</f>
        <v>93.39</v>
      </c>
      <c r="O38" s="1">
        <f>ROUND(Scores_2014_N!AC42,$A$1)</f>
        <v>52</v>
      </c>
      <c r="P38" s="1">
        <f>ROUND(Scores_2014_N!AD42,$A$1)</f>
        <v>98.39</v>
      </c>
      <c r="Q38" s="1">
        <f>ROUND(Scores_2014_N!AE42,$A$1)</f>
        <v>40.44</v>
      </c>
      <c r="R38" s="1">
        <f>ROUND(Scores_2014_N!AF42,$A$1)</f>
        <v>68.6</v>
      </c>
      <c r="S38" s="1">
        <f>ROUND(Scores_2014_N!AG42,$A$1)</f>
        <v>81.58</v>
      </c>
      <c r="T38" s="1">
        <f>ROUND(Scores_2014_N!AH42,$A$1)</f>
        <v>93.63</v>
      </c>
      <c r="U38" s="1">
        <f>ROUND(Scores_2014_N!AI42,$A$1)</f>
        <v>87.19</v>
      </c>
      <c r="V38" s="1">
        <f>ROUND(Scores_2014_N!AJ42,$A$1)</f>
        <v>94.86</v>
      </c>
      <c r="W38" s="1">
        <f>ROUND(Scores_2014_N!AK42,$A$1)</f>
        <v>89.83</v>
      </c>
      <c r="X38" s="1">
        <f>ROUND(Scores_2014_N!AL42,$A$1)</f>
        <v>0</v>
      </c>
      <c r="Y38" s="1">
        <f>ROUND(Scores_2014_N!AM42,$A$1)</f>
        <v>60.96</v>
      </c>
      <c r="Z38" s="1">
        <f>ROUND(Scores_2014_N!AN42,$A$1)</f>
        <v>97.1</v>
      </c>
      <c r="AA38" s="1">
        <f>ROUND(Scores_2014_N!AO42,$A$1)</f>
        <v>99.71</v>
      </c>
      <c r="AB38" s="1">
        <f>ROUND(Scores_2014_N!AP42,$A$1)</f>
        <v>74.98</v>
      </c>
      <c r="AC38" s="1">
        <f>ROUND(Scores_2014_N!AQ42,$A$1)</f>
        <v>83.6</v>
      </c>
      <c r="AD38" s="1">
        <f>ROUND(Scores_2014_N!AR42,$A$1)</f>
        <v>67.74</v>
      </c>
      <c r="AE38" s="1">
        <f>ROUND(Scores_2014_N!AS42,$A$1)</f>
        <v>89.74</v>
      </c>
      <c r="AF38" s="1">
        <f>ROUND(Scores_2014_N!AT42,$A$1)</f>
        <v>30</v>
      </c>
      <c r="AG38" s="1">
        <f>ROUND(Scores_2014_N!AU42,$A$1)</f>
        <v>78.63</v>
      </c>
      <c r="AH38" s="1">
        <f>ROUND(Scores_2014_N!AV42,$A$1)</f>
        <v>86.27</v>
      </c>
      <c r="AI38" s="1">
        <f>ROUND(Scores_2014_N!AW42,$A$1)</f>
        <v>89.09</v>
      </c>
      <c r="AJ38" s="1">
        <f>ROUND(Scores_2014_N!AX42,$A$1)</f>
        <v>93.05</v>
      </c>
      <c r="AK38" s="1">
        <f>ROUND(Scores_2014_N!AY42,$A$1)</f>
        <v>88.01</v>
      </c>
      <c r="AL38" s="1">
        <f>ROUND(Scores_2014_N!AZ42,$A$1)</f>
        <v>100</v>
      </c>
      <c r="AM38" s="1">
        <f>ROUND(Scores_2014_N!BA42,$A$1)</f>
        <v>96.67</v>
      </c>
      <c r="AN38" s="1">
        <f>ROUND(Scores_2014_N!BB42,$A$1)</f>
        <v>95.54</v>
      </c>
      <c r="AO38" s="1">
        <f>ROUND(Scores_2014_N!BC42,$A$1)</f>
        <v>82.96</v>
      </c>
      <c r="AP38" s="1">
        <f>ROUND(Scores_2014_N!BD42,$A$1)</f>
        <v>76.9</v>
      </c>
      <c r="AQ38" s="1">
        <f>ROUND(Scores_2014_N!BE42,$A$1)</f>
        <v>95.51</v>
      </c>
      <c r="AR38" s="1">
        <f>ROUND(Scores_2014_N!BF42,$A$1)</f>
        <v>89.34</v>
      </c>
      <c r="AS38" s="1">
        <f>ROUND(Scores_2014_N!BG42,$A$1)</f>
        <v>73.82</v>
      </c>
      <c r="AT38" s="1">
        <f>ROUND(Scores_2014_N!BH42,$A$1)</f>
        <v>10.89</v>
      </c>
      <c r="AU38" s="1">
        <f>ROUND(Scores_2014_N!BI42,$A$1)</f>
        <v>73.05</v>
      </c>
      <c r="AW38" s="1">
        <f t="shared" si="1"/>
        <v>80.2895652173913</v>
      </c>
    </row>
    <row r="39" spans="1:49">
      <c r="A39" s="1" t="str">
        <f>Scores_2014_N!N43</f>
        <v>   3.2.3) Frequency of pedestrian deaths</v>
      </c>
      <c r="B39" s="1">
        <f>ROUND(Scores_2014_N!P43,$A$1)</f>
        <v>97.01</v>
      </c>
      <c r="C39" s="1">
        <f>ROUND(Scores_2014_N!Q43,$A$1)</f>
        <v>99.81</v>
      </c>
      <c r="D39" s="1">
        <f>ROUND(Scores_2014_N!R43,$A$1)</f>
        <v>97.85</v>
      </c>
      <c r="E39" s="1">
        <f>ROUND(Scores_2014_N!S43,$A$1)</f>
        <v>99.25</v>
      </c>
      <c r="F39" s="1">
        <f>ROUND(Scores_2014_N!T43,$A$1)</f>
        <v>98.32</v>
      </c>
      <c r="G39" s="1">
        <f>ROUND(Scores_2014_N!U43,$A$1)</f>
        <v>98.69</v>
      </c>
      <c r="H39" s="1">
        <f>ROUND(Scores_2014_N!V43,$A$1)</f>
        <v>30.65</v>
      </c>
      <c r="I39" s="1">
        <f>ROUND(Scores_2014_N!W43,$A$1)</f>
        <v>97.2</v>
      </c>
      <c r="J39" s="1">
        <f>ROUND(Scores_2014_N!X43,$A$1)</f>
        <v>95.7</v>
      </c>
      <c r="K39" s="1">
        <f>ROUND(Scores_2014_N!Y43,$A$1)</f>
        <v>92.71</v>
      </c>
      <c r="L39" s="1">
        <f>ROUND(Scores_2014_N!Z43,$A$1)</f>
        <v>99.44</v>
      </c>
      <c r="M39" s="1">
        <f>ROUND(Scores_2014_N!AA43,$A$1)</f>
        <v>99.03</v>
      </c>
      <c r="N39" s="1">
        <f>ROUND(Scores_2014_N!AB43,$A$1)</f>
        <v>5.23</v>
      </c>
      <c r="O39" s="1">
        <f>ROUND(Scores_2014_N!AC43,$A$1)</f>
        <v>98.5</v>
      </c>
      <c r="P39" s="1">
        <f>ROUND(Scores_2014_N!AD43,$A$1)</f>
        <v>95.51</v>
      </c>
      <c r="Q39" s="1">
        <f>ROUND(Scores_2014_N!AE43,$A$1)</f>
        <v>82.99</v>
      </c>
      <c r="R39" s="1">
        <f>ROUND(Scores_2014_N!AF43,$A$1)</f>
        <v>83.55</v>
      </c>
      <c r="S39" s="1">
        <f>ROUND(Scores_2014_N!AG43,$A$1)</f>
        <v>91.4</v>
      </c>
      <c r="T39" s="1">
        <f>ROUND(Scores_2014_N!AH43,$A$1)</f>
        <v>99.07</v>
      </c>
      <c r="U39" s="1">
        <f>ROUND(Scores_2014_N!AI43,$A$1)</f>
        <v>95.7</v>
      </c>
      <c r="V39" s="1">
        <f>ROUND(Scores_2014_N!AJ43,$A$1)</f>
        <v>100</v>
      </c>
      <c r="W39" s="1">
        <f>ROUND(Scores_2014_N!AK43,$A$1)</f>
        <v>99.44</v>
      </c>
      <c r="X39" s="1">
        <f>ROUND(Scores_2014_N!AL43,$A$1)</f>
        <v>0</v>
      </c>
      <c r="Y39" s="1">
        <f>ROUND(Scores_2014_N!AM43,$A$1)</f>
        <v>95.7</v>
      </c>
      <c r="Z39" s="1">
        <f>ROUND(Scores_2014_N!AN43,$A$1)</f>
        <v>82.24</v>
      </c>
      <c r="AA39" s="1">
        <f>ROUND(Scores_2014_N!AO43,$A$1)</f>
        <v>97.94</v>
      </c>
      <c r="AB39" s="1">
        <f>ROUND(Scores_2014_N!AP43,$A$1)</f>
        <v>97.57</v>
      </c>
      <c r="AC39" s="1">
        <f>ROUND(Scores_2014_N!AQ43,$A$1)</f>
        <v>98.13</v>
      </c>
      <c r="AD39" s="1">
        <f>ROUND(Scores_2014_N!AR43,$A$1)</f>
        <v>99.07</v>
      </c>
      <c r="AE39" s="1">
        <f>ROUND(Scores_2014_N!AS43,$A$1)</f>
        <v>90.28</v>
      </c>
      <c r="AF39" s="1">
        <f>ROUND(Scores_2014_N!AT43,$A$1)</f>
        <v>95.33</v>
      </c>
      <c r="AG39" s="1">
        <f>ROUND(Scores_2014_N!AU43,$A$1)</f>
        <v>96.07</v>
      </c>
      <c r="AH39" s="1">
        <f>ROUND(Scores_2014_N!AV43,$A$1)</f>
        <v>96.82</v>
      </c>
      <c r="AI39" s="1">
        <f>ROUND(Scores_2014_N!AW43,$A$1)</f>
        <v>78.69</v>
      </c>
      <c r="AJ39" s="1">
        <f>ROUND(Scores_2014_N!AX43,$A$1)</f>
        <v>90.09</v>
      </c>
      <c r="AK39" s="1">
        <f>ROUND(Scores_2014_N!AY43,$A$1)</f>
        <v>97.57</v>
      </c>
      <c r="AL39" s="1">
        <f>ROUND(Scores_2014_N!AZ43,$A$1)</f>
        <v>98.69</v>
      </c>
      <c r="AM39" s="1">
        <f>ROUND(Scores_2014_N!BA43,$A$1)</f>
        <v>99.07</v>
      </c>
      <c r="AN39" s="1">
        <f>ROUND(Scores_2014_N!BB43,$A$1)</f>
        <v>99.63</v>
      </c>
      <c r="AO39" s="1">
        <f>ROUND(Scores_2014_N!BC43,$A$1)</f>
        <v>99.25</v>
      </c>
      <c r="AP39" s="1">
        <f>ROUND(Scores_2014_N!BD43,$A$1)</f>
        <v>98.88</v>
      </c>
      <c r="AQ39" s="1">
        <f>ROUND(Scores_2014_N!BE43,$A$1)</f>
        <v>81.12</v>
      </c>
      <c r="AR39" s="1">
        <f>ROUND(Scores_2014_N!BF43,$A$1)</f>
        <v>97.38</v>
      </c>
      <c r="AS39" s="1">
        <f>ROUND(Scores_2014_N!BG43,$A$1)</f>
        <v>99.81</v>
      </c>
      <c r="AT39" s="1">
        <f>ROUND(Scores_2014_N!BH43,$A$1)</f>
        <v>98.13</v>
      </c>
      <c r="AU39" s="1">
        <f>ROUND(Scores_2014_N!BI43,$A$1)</f>
        <v>98.88</v>
      </c>
      <c r="AW39" s="1">
        <f t="shared" si="1"/>
        <v>90.0736956521739</v>
      </c>
    </row>
    <row r="40" spans="1:49">
      <c r="A40" s="1" t="str">
        <f>Scores_2014_N!N44</f>
        <v>   3.2.4) Percentage living in slums</v>
      </c>
      <c r="B40" s="1">
        <f>ROUND(Scores_2014_N!P44,$A$1)</f>
        <v>48.68</v>
      </c>
      <c r="C40" s="1">
        <f>ROUND(Scores_2014_N!Q44,$A$1)</f>
        <v>61.88</v>
      </c>
      <c r="D40" s="1">
        <f>ROUND(Scores_2014_N!R44,$A$1)</f>
        <v>26.69</v>
      </c>
      <c r="E40" s="1">
        <f>ROUND(Scores_2014_N!S44,$A$1)</f>
        <v>25.81</v>
      </c>
      <c r="F40" s="1">
        <f>ROUND(Scores_2014_N!T44,$A$1)</f>
        <v>20.53</v>
      </c>
      <c r="G40" s="1">
        <f>ROUND(Scores_2014_N!U44,$A$1)</f>
        <v>42.52</v>
      </c>
      <c r="H40" s="1">
        <f>ROUND(Scores_2014_N!V44,$A$1)</f>
        <v>44.87</v>
      </c>
      <c r="I40" s="1">
        <f>ROUND(Scores_2014_N!W44,$A$1)</f>
        <v>47.21</v>
      </c>
      <c r="J40" s="1">
        <f>ROUND(Scores_2014_N!X44,$A$1)</f>
        <v>19.65</v>
      </c>
      <c r="K40" s="1">
        <f>ROUND(Scores_2014_N!Y44,$A$1)</f>
        <v>48.68</v>
      </c>
      <c r="L40" s="1">
        <f>ROUND(Scores_2014_N!Z44,$A$1)</f>
        <v>48.39</v>
      </c>
      <c r="M40" s="1">
        <f>ROUND(Scores_2014_N!AA44,$A$1)</f>
        <v>2.64</v>
      </c>
      <c r="N40" s="1">
        <f>ROUND(Scores_2014_N!AB44,$A$1)</f>
        <v>53.08</v>
      </c>
      <c r="O40" s="1">
        <f>ROUND(Scores_2014_N!AC44,$A$1)</f>
        <v>67.74</v>
      </c>
      <c r="P40" s="1">
        <f>ROUND(Scores_2014_N!AD44,$A$1)</f>
        <v>38.42</v>
      </c>
      <c r="Q40" s="1">
        <f>ROUND(Scores_2014_N!AE44,$A$1)</f>
        <v>38.42</v>
      </c>
      <c r="R40" s="1">
        <f>ROUND(Scores_2014_N!AF44,$A$1)</f>
        <v>91.2</v>
      </c>
      <c r="S40" s="1">
        <f>ROUND(Scores_2014_N!AG44,$A$1)</f>
        <v>0</v>
      </c>
      <c r="T40" s="1">
        <f>ROUND(Scores_2014_N!AH44,$A$1)</f>
        <v>35.19</v>
      </c>
      <c r="U40" s="1">
        <f>ROUND(Scores_2014_N!AI44,$A$1)</f>
        <v>47.21</v>
      </c>
      <c r="V40" s="1">
        <f>ROUND(Scores_2014_N!AJ44,$A$1)</f>
        <v>25.81</v>
      </c>
      <c r="W40" s="1">
        <f>ROUND(Scores_2014_N!AK44,$A$1)</f>
        <v>68.91</v>
      </c>
      <c r="X40" s="1">
        <f>ROUND(Scores_2014_N!AL44,$A$1)</f>
        <v>63.64</v>
      </c>
      <c r="Y40" s="1">
        <f>ROUND(Scores_2014_N!AM44,$A$1)</f>
        <v>22.58</v>
      </c>
      <c r="Z40" s="1">
        <f>ROUND(Scores_2014_N!AN44,$A$1)</f>
        <v>0.29</v>
      </c>
      <c r="AA40" s="1">
        <f>ROUND(Scores_2014_N!AO44,$A$1)</f>
        <v>19.65</v>
      </c>
      <c r="AB40" s="1">
        <f>ROUND(Scores_2014_N!AP44,$A$1)</f>
        <v>47.21</v>
      </c>
      <c r="AC40" s="1">
        <f>ROUND(Scores_2014_N!AQ44,$A$1)</f>
        <v>59.82</v>
      </c>
      <c r="AD40" s="1">
        <f>ROUND(Scores_2014_N!AR44,$A$1)</f>
        <v>49.85</v>
      </c>
      <c r="AE40" s="1">
        <f>ROUND(Scores_2014_N!AS44,$A$1)</f>
        <v>26.98</v>
      </c>
      <c r="AF40" s="1">
        <f>ROUND(Scores_2014_N!AT44,$A$1)</f>
        <v>53.08</v>
      </c>
      <c r="AG40" s="1">
        <f>ROUND(Scores_2014_N!AU44,$A$1)</f>
        <v>22.58</v>
      </c>
      <c r="AH40" s="1">
        <f>ROUND(Scores_2014_N!AV44,$A$1)</f>
        <v>47.21</v>
      </c>
      <c r="AI40" s="1">
        <f>ROUND(Scores_2014_N!AW44,$A$1)</f>
        <v>79.47</v>
      </c>
      <c r="AJ40" s="1">
        <f>ROUND(Scores_2014_N!AX44,$A$1)</f>
        <v>26.98</v>
      </c>
      <c r="AK40" s="1">
        <f>ROUND(Scores_2014_N!AY44,$A$1)</f>
        <v>61.88</v>
      </c>
      <c r="AL40" s="1">
        <f>ROUND(Scores_2014_N!AZ44,$A$1)</f>
        <v>20.53</v>
      </c>
      <c r="AM40" s="1">
        <f>ROUND(Scores_2014_N!BA44,$A$1)</f>
        <v>29.62</v>
      </c>
      <c r="AN40" s="1">
        <f>ROUND(Scores_2014_N!BB44,$A$1)</f>
        <v>70.38</v>
      </c>
      <c r="AO40" s="1">
        <f>ROUND(Scores_2014_N!BC44,$A$1)</f>
        <v>68.91</v>
      </c>
      <c r="AP40" s="1">
        <f>ROUND(Scores_2014_N!BD44,$A$1)</f>
        <v>100</v>
      </c>
      <c r="AQ40" s="1">
        <f>ROUND(Scores_2014_N!BE44,$A$1)</f>
        <v>61.88</v>
      </c>
      <c r="AR40" s="1">
        <f>ROUND(Scores_2014_N!BF44,$A$1)</f>
        <v>59.82</v>
      </c>
      <c r="AS40" s="1">
        <f>ROUND(Scores_2014_N!BG44,$A$1)</f>
        <v>67.16</v>
      </c>
      <c r="AT40" s="1">
        <f>ROUND(Scores_2014_N!BH44,$A$1)</f>
        <v>47.21</v>
      </c>
      <c r="AU40" s="1">
        <f>ROUND(Scores_2014_N!BI44,$A$1)</f>
        <v>93.55</v>
      </c>
      <c r="AW40" s="1">
        <f t="shared" si="1"/>
        <v>45.735</v>
      </c>
    </row>
    <row r="41" spans="1:49">
      <c r="A41" s="1" t="str">
        <f>Scores_2014_N!N45</f>
        <v>   3.2.5) Number of attacks on facilities/infrastructure</v>
      </c>
      <c r="B41" s="1">
        <f>ROUND(Scores_2014_N!P45,$A$1)</f>
        <v>100</v>
      </c>
      <c r="C41" s="1">
        <f>ROUND(Scores_2014_N!Q45,$A$1)</f>
        <v>100</v>
      </c>
      <c r="D41" s="1">
        <f>ROUND(Scores_2014_N!R45,$A$1)</f>
        <v>0</v>
      </c>
      <c r="E41" s="1">
        <f>ROUND(Scores_2014_N!S45,$A$1)</f>
        <v>100</v>
      </c>
      <c r="F41" s="1">
        <f>ROUND(Scores_2014_N!T45,$A$1)</f>
        <v>100</v>
      </c>
      <c r="G41" s="1">
        <f>ROUND(Scores_2014_N!U45,$A$1)</f>
        <v>100</v>
      </c>
      <c r="H41" s="1">
        <f>ROUND(Scores_2014_N!V45,$A$1)</f>
        <v>83.33</v>
      </c>
      <c r="I41" s="1">
        <f>ROUND(Scores_2014_N!W45,$A$1)</f>
        <v>100</v>
      </c>
      <c r="J41" s="1">
        <f>ROUND(Scores_2014_N!X45,$A$1)</f>
        <v>75</v>
      </c>
      <c r="K41" s="1">
        <f>ROUND(Scores_2014_N!Y45,$A$1)</f>
        <v>100</v>
      </c>
      <c r="L41" s="1">
        <f>ROUND(Scores_2014_N!Z45,$A$1)</f>
        <v>100</v>
      </c>
      <c r="M41" s="1">
        <f>ROUND(Scores_2014_N!AA45,$A$1)</f>
        <v>100</v>
      </c>
      <c r="N41" s="1">
        <f>ROUND(Scores_2014_N!AB45,$A$1)</f>
        <v>100</v>
      </c>
      <c r="O41" s="1">
        <f>ROUND(Scores_2014_N!AC45,$A$1)</f>
        <v>16.67</v>
      </c>
      <c r="P41" s="1">
        <f>ROUND(Scores_2014_N!AD45,$A$1)</f>
        <v>91.67</v>
      </c>
      <c r="Q41" s="1">
        <f>ROUND(Scores_2014_N!AE45,$A$1)</f>
        <v>100</v>
      </c>
      <c r="R41" s="1">
        <f>ROUND(Scores_2014_N!AF45,$A$1)</f>
        <v>100</v>
      </c>
      <c r="S41" s="1">
        <f>ROUND(Scores_2014_N!AG45,$A$1)</f>
        <v>100</v>
      </c>
      <c r="T41" s="1">
        <f>ROUND(Scores_2014_N!AH45,$A$1)</f>
        <v>25</v>
      </c>
      <c r="U41" s="1">
        <f>ROUND(Scores_2014_N!AI45,$A$1)</f>
        <v>91.67</v>
      </c>
      <c r="V41" s="1">
        <f>ROUND(Scores_2014_N!AJ45,$A$1)</f>
        <v>50</v>
      </c>
      <c r="W41" s="1">
        <f>ROUND(Scores_2014_N!AK45,$A$1)</f>
        <v>100</v>
      </c>
      <c r="X41" s="1">
        <f>ROUND(Scores_2014_N!AL45,$A$1)</f>
        <v>100</v>
      </c>
      <c r="Y41" s="1">
        <f>ROUND(Scores_2014_N!AM45,$A$1)</f>
        <v>100</v>
      </c>
      <c r="Z41" s="1">
        <f>ROUND(Scores_2014_N!AN45,$A$1)</f>
        <v>83.33</v>
      </c>
      <c r="AA41" s="1">
        <f>ROUND(Scores_2014_N!AO45,$A$1)</f>
        <v>66.67</v>
      </c>
      <c r="AB41" s="1">
        <f>ROUND(Scores_2014_N!AP45,$A$1)</f>
        <v>91.67</v>
      </c>
      <c r="AC41" s="1">
        <f>ROUND(Scores_2014_N!AQ45,$A$1)</f>
        <v>100</v>
      </c>
      <c r="AD41" s="1">
        <f>ROUND(Scores_2014_N!AR45,$A$1)</f>
        <v>100</v>
      </c>
      <c r="AE41" s="1">
        <f>ROUND(Scores_2014_N!AS45,$A$1)</f>
        <v>100</v>
      </c>
      <c r="AF41" s="1">
        <f>ROUND(Scores_2014_N!AT45,$A$1)</f>
        <v>100</v>
      </c>
      <c r="AG41" s="1">
        <f>ROUND(Scores_2014_N!AU45,$A$1)</f>
        <v>91.67</v>
      </c>
      <c r="AH41" s="1">
        <f>ROUND(Scores_2014_N!AV45,$A$1)</f>
        <v>100</v>
      </c>
      <c r="AI41" s="1">
        <f>ROUND(Scores_2014_N!AW45,$A$1)</f>
        <v>75</v>
      </c>
      <c r="AJ41" s="1">
        <f>ROUND(Scores_2014_N!AX45,$A$1)</f>
        <v>91.67</v>
      </c>
      <c r="AK41" s="1">
        <f>ROUND(Scores_2014_N!AY45,$A$1)</f>
        <v>100</v>
      </c>
      <c r="AL41" s="1">
        <f>ROUND(Scores_2014_N!AZ45,$A$1)</f>
        <v>91.67</v>
      </c>
      <c r="AM41" s="1">
        <f>ROUND(Scores_2014_N!BA45,$A$1)</f>
        <v>100</v>
      </c>
      <c r="AN41" s="1">
        <f>ROUND(Scores_2014_N!BB45,$A$1)</f>
        <v>100</v>
      </c>
      <c r="AO41" s="1">
        <f>ROUND(Scores_2014_N!BC45,$A$1)</f>
        <v>100</v>
      </c>
      <c r="AP41" s="1">
        <f>ROUND(Scores_2014_N!BD45,$A$1)</f>
        <v>100</v>
      </c>
      <c r="AQ41" s="1">
        <f>ROUND(Scores_2014_N!BE45,$A$1)</f>
        <v>91.67</v>
      </c>
      <c r="AR41" s="1">
        <f>ROUND(Scores_2014_N!BF45,$A$1)</f>
        <v>100</v>
      </c>
      <c r="AS41" s="1">
        <f>ROUND(Scores_2014_N!BG45,$A$1)</f>
        <v>100</v>
      </c>
      <c r="AT41" s="1">
        <f>ROUND(Scores_2014_N!BH45,$A$1)</f>
        <v>100</v>
      </c>
      <c r="AU41" s="1">
        <f>ROUND(Scores_2014_N!BI45,$A$1)</f>
        <v>100</v>
      </c>
      <c r="AW41" s="1">
        <f t="shared" si="1"/>
        <v>89.4932608695652</v>
      </c>
    </row>
    <row r="42" spans="1:49">
      <c r="A42" s="1" t="str">
        <f>Scores_2014_N!N46</f>
        <v> 4) PERSONAL SECURITY</v>
      </c>
      <c r="B42" s="1">
        <f>ROUND(Scores_2014_N!P46,$A$1)</f>
        <v>68.58</v>
      </c>
      <c r="C42" s="1">
        <f>ROUND(Scores_2014_N!Q46,$A$1)</f>
        <v>88.88</v>
      </c>
      <c r="D42" s="1">
        <f>ROUND(Scores_2014_N!R46,$A$1)</f>
        <v>64.48</v>
      </c>
      <c r="E42" s="1">
        <f>ROUND(Scores_2014_N!S46,$A$1)</f>
        <v>82.81</v>
      </c>
      <c r="F42" s="1">
        <f>ROUND(Scores_2014_N!T46,$A$1)</f>
        <v>62.08</v>
      </c>
      <c r="G42" s="1">
        <f>ROUND(Scores_2014_N!U46,$A$1)</f>
        <v>64.55</v>
      </c>
      <c r="H42" s="1">
        <f>ROUND(Scores_2014_N!V46,$A$1)</f>
        <v>64.11</v>
      </c>
      <c r="I42" s="1">
        <f>ROUND(Scores_2014_N!W46,$A$1)</f>
        <v>81.99</v>
      </c>
      <c r="J42" s="1">
        <f>ROUND(Scores_2014_N!X46,$A$1)</f>
        <v>68.31</v>
      </c>
      <c r="K42" s="1">
        <f>ROUND(Scores_2014_N!Y46,$A$1)</f>
        <v>82.66</v>
      </c>
      <c r="L42" s="1">
        <f>ROUND(Scores_2014_N!Z46,$A$1)</f>
        <v>80.67</v>
      </c>
      <c r="M42" s="1">
        <f>ROUND(Scores_2014_N!AA46,$A$1)</f>
        <v>61.5</v>
      </c>
      <c r="N42" s="1">
        <f>ROUND(Scores_2014_N!AB46,$A$1)</f>
        <v>91.75</v>
      </c>
      <c r="O42" s="1">
        <f>ROUND(Scores_2014_N!AC46,$A$1)</f>
        <v>70.81</v>
      </c>
      <c r="P42" s="1">
        <f>ROUND(Scores_2014_N!AD46,$A$1)</f>
        <v>56.28</v>
      </c>
      <c r="Q42" s="1">
        <f>ROUND(Scores_2014_N!AE46,$A$1)</f>
        <v>59.01</v>
      </c>
      <c r="R42" s="1">
        <f>ROUND(Scores_2014_N!AF46,$A$1)</f>
        <v>57.15</v>
      </c>
      <c r="S42" s="1">
        <f>ROUND(Scores_2014_N!AG46,$A$1)</f>
        <v>70.85</v>
      </c>
      <c r="T42" s="1">
        <f>ROUND(Scores_2014_N!AH46,$A$1)</f>
        <v>80.3</v>
      </c>
      <c r="U42" s="1">
        <f>ROUND(Scores_2014_N!AI46,$A$1)</f>
        <v>81.94</v>
      </c>
      <c r="V42" s="1">
        <f>ROUND(Scores_2014_N!AJ46,$A$1)</f>
        <v>67.24</v>
      </c>
      <c r="W42" s="1">
        <f>ROUND(Scores_2014_N!AK46,$A$1)</f>
        <v>89.57</v>
      </c>
      <c r="X42" s="1">
        <f>ROUND(Scores_2014_N!AL46,$A$1)</f>
        <v>62.11</v>
      </c>
      <c r="Y42" s="1">
        <f>ROUND(Scores_2014_N!AM46,$A$1)</f>
        <v>71.88</v>
      </c>
      <c r="Z42" s="1">
        <f>ROUND(Scores_2014_N!AN46,$A$1)</f>
        <v>46.68</v>
      </c>
      <c r="AA42" s="1">
        <f>ROUND(Scores_2014_N!AO46,$A$1)</f>
        <v>67.65</v>
      </c>
      <c r="AB42" s="1">
        <f>ROUND(Scores_2014_N!AP46,$A$1)</f>
        <v>79.47</v>
      </c>
      <c r="AC42" s="1">
        <f>ROUND(Scores_2014_N!AQ46,$A$1)</f>
        <v>92.69</v>
      </c>
      <c r="AD42" s="1">
        <f>ROUND(Scores_2014_N!AR46,$A$1)</f>
        <v>77.09</v>
      </c>
      <c r="AE42" s="1">
        <f>ROUND(Scores_2014_N!AS46,$A$1)</f>
        <v>66.61</v>
      </c>
      <c r="AF42" s="1">
        <f>ROUND(Scores_2014_N!AT46,$A$1)</f>
        <v>54.7</v>
      </c>
      <c r="AG42" s="1">
        <f>ROUND(Scores_2014_N!AU46,$A$1)</f>
        <v>62.88</v>
      </c>
      <c r="AH42" s="1">
        <f>ROUND(Scores_2014_N!AV46,$A$1)</f>
        <v>83.75</v>
      </c>
      <c r="AI42" s="1">
        <f>ROUND(Scores_2014_N!AW46,$A$1)</f>
        <v>60.52</v>
      </c>
      <c r="AJ42" s="1">
        <f>ROUND(Scores_2014_N!AX46,$A$1)</f>
        <v>56.8</v>
      </c>
      <c r="AK42" s="1">
        <f>ROUND(Scores_2014_N!AY46,$A$1)</f>
        <v>76.07</v>
      </c>
      <c r="AL42" s="1">
        <f>ROUND(Scores_2014_N!AZ46,$A$1)</f>
        <v>73.86</v>
      </c>
      <c r="AM42" s="1">
        <f>ROUND(Scores_2014_N!BA46,$A$1)</f>
        <v>94.88</v>
      </c>
      <c r="AN42" s="1">
        <f>ROUND(Scores_2014_N!BB46,$A$1)</f>
        <v>89.61</v>
      </c>
      <c r="AO42" s="1">
        <f>ROUND(Scores_2014_N!BC46,$A$1)</f>
        <v>88.58</v>
      </c>
      <c r="AP42" s="1">
        <f>ROUND(Scores_2014_N!BD46,$A$1)</f>
        <v>90.1</v>
      </c>
      <c r="AQ42" s="1">
        <f>ROUND(Scores_2014_N!BE46,$A$1)</f>
        <v>56.84</v>
      </c>
      <c r="AR42" s="1">
        <f>ROUND(Scores_2014_N!BF46,$A$1)</f>
        <v>92.1</v>
      </c>
      <c r="AS42" s="1">
        <f>ROUND(Scores_2014_N!BG46,$A$1)</f>
        <v>91.03</v>
      </c>
      <c r="AT42" s="1">
        <f>ROUND(Scores_2014_N!BH46,$A$1)</f>
        <v>83.54</v>
      </c>
      <c r="AU42" s="1">
        <f>ROUND(Scores_2014_N!BI46,$A$1)</f>
        <v>81.64</v>
      </c>
      <c r="AW42" s="1">
        <f t="shared" si="1"/>
        <v>73.8391304347826</v>
      </c>
    </row>
    <row r="43" spans="1:49">
      <c r="A43" s="1" t="str">
        <f>Scores_2014_N!N47</f>
        <v>  4.1) Personal security (Inputs)</v>
      </c>
      <c r="B43" s="1">
        <f>ROUND(Scores_2014_N!P47,$A$1)</f>
        <v>50</v>
      </c>
      <c r="C43" s="1">
        <f>ROUND(Scores_2014_N!Q47,$A$1)</f>
        <v>92.38</v>
      </c>
      <c r="D43" s="1">
        <f>ROUND(Scores_2014_N!R47,$A$1)</f>
        <v>74.76</v>
      </c>
      <c r="E43" s="1">
        <f>ROUND(Scores_2014_N!S47,$A$1)</f>
        <v>91.43</v>
      </c>
      <c r="F43" s="1">
        <f>ROUND(Scores_2014_N!T47,$A$1)</f>
        <v>49.29</v>
      </c>
      <c r="G43" s="1">
        <f>ROUND(Scores_2014_N!U47,$A$1)</f>
        <v>47.38</v>
      </c>
      <c r="H43" s="1">
        <f>ROUND(Scores_2014_N!V47,$A$1)</f>
        <v>65.95</v>
      </c>
      <c r="I43" s="1">
        <f>ROUND(Scores_2014_N!W47,$A$1)</f>
        <v>89.76</v>
      </c>
      <c r="J43" s="1">
        <f>ROUND(Scores_2014_N!X47,$A$1)</f>
        <v>75.24</v>
      </c>
      <c r="K43" s="1">
        <f>ROUND(Scores_2014_N!Y47,$A$1)</f>
        <v>81.19</v>
      </c>
      <c r="L43" s="1">
        <f>ROUND(Scores_2014_N!Z47,$A$1)</f>
        <v>77.14</v>
      </c>
      <c r="M43" s="1">
        <f>ROUND(Scores_2014_N!AA47,$A$1)</f>
        <v>57.14</v>
      </c>
      <c r="N43" s="1">
        <f>ROUND(Scores_2014_N!AB47,$A$1)</f>
        <v>92.62</v>
      </c>
      <c r="O43" s="1">
        <f>ROUND(Scores_2014_N!AC47,$A$1)</f>
        <v>79.76</v>
      </c>
      <c r="P43" s="1">
        <f>ROUND(Scores_2014_N!AD47,$A$1)</f>
        <v>51.67</v>
      </c>
      <c r="Q43" s="1">
        <f>ROUND(Scores_2014_N!AE47,$A$1)</f>
        <v>67.62</v>
      </c>
      <c r="R43" s="1">
        <f>ROUND(Scores_2014_N!AF47,$A$1)</f>
        <v>33.57</v>
      </c>
      <c r="S43" s="1">
        <f>ROUND(Scores_2014_N!AG47,$A$1)</f>
        <v>80.48</v>
      </c>
      <c r="T43" s="1">
        <f>ROUND(Scores_2014_N!AH47,$A$1)</f>
        <v>93.33</v>
      </c>
      <c r="U43" s="1">
        <f>ROUND(Scores_2014_N!AI47,$A$1)</f>
        <v>90.48</v>
      </c>
      <c r="V43" s="1">
        <f>ROUND(Scores_2014_N!AJ47,$A$1)</f>
        <v>70</v>
      </c>
      <c r="W43" s="1">
        <f>ROUND(Scores_2014_N!AK47,$A$1)</f>
        <v>95</v>
      </c>
      <c r="X43" s="1">
        <f>ROUND(Scores_2014_N!AL47,$A$1)</f>
        <v>71.9</v>
      </c>
      <c r="Y43" s="1">
        <f>ROUND(Scores_2014_N!AM47,$A$1)</f>
        <v>73.33</v>
      </c>
      <c r="Z43" s="1">
        <f>ROUND(Scores_2014_N!AN47,$A$1)</f>
        <v>34.52</v>
      </c>
      <c r="AA43" s="1">
        <f>ROUND(Scores_2014_N!AO47,$A$1)</f>
        <v>75.24</v>
      </c>
      <c r="AB43" s="1">
        <f>ROUND(Scores_2014_N!AP47,$A$1)</f>
        <v>88.81</v>
      </c>
      <c r="AC43" s="1">
        <f>ROUND(Scores_2014_N!AQ47,$A$1)</f>
        <v>96.19</v>
      </c>
      <c r="AD43" s="1">
        <f>ROUND(Scores_2014_N!AR47,$A$1)</f>
        <v>73.1</v>
      </c>
      <c r="AE43" s="1">
        <f>ROUND(Scores_2014_N!AS47,$A$1)</f>
        <v>73.57</v>
      </c>
      <c r="AF43" s="1">
        <f>ROUND(Scores_2014_N!AT47,$A$1)</f>
        <v>35</v>
      </c>
      <c r="AG43" s="1">
        <f>ROUND(Scores_2014_N!AU47,$A$1)</f>
        <v>59.05</v>
      </c>
      <c r="AH43" s="1">
        <f>ROUND(Scores_2014_N!AV47,$A$1)</f>
        <v>90.48</v>
      </c>
      <c r="AI43" s="1">
        <f>ROUND(Scores_2014_N!AW47,$A$1)</f>
        <v>51.43</v>
      </c>
      <c r="AJ43" s="1">
        <f>ROUND(Scores_2014_N!AX47,$A$1)</f>
        <v>52.14</v>
      </c>
      <c r="AK43" s="1">
        <f>ROUND(Scores_2014_N!AY47,$A$1)</f>
        <v>69.29</v>
      </c>
      <c r="AL43" s="1">
        <f>ROUND(Scores_2014_N!AZ47,$A$1)</f>
        <v>70.71</v>
      </c>
      <c r="AM43" s="1">
        <f>ROUND(Scores_2014_N!BA47,$A$1)</f>
        <v>94.76</v>
      </c>
      <c r="AN43" s="1">
        <f>ROUND(Scores_2014_N!BB47,$A$1)</f>
        <v>84.29</v>
      </c>
      <c r="AO43" s="1">
        <f>ROUND(Scores_2014_N!BC47,$A$1)</f>
        <v>95</v>
      </c>
      <c r="AP43" s="1">
        <f>ROUND(Scores_2014_N!BD47,$A$1)</f>
        <v>94.52</v>
      </c>
      <c r="AQ43" s="1">
        <f>ROUND(Scores_2014_N!BE47,$A$1)</f>
        <v>46.19</v>
      </c>
      <c r="AR43" s="1">
        <f>ROUND(Scores_2014_N!BF47,$A$1)</f>
        <v>96.19</v>
      </c>
      <c r="AS43" s="1">
        <f>ROUND(Scores_2014_N!BG47,$A$1)</f>
        <v>93.33</v>
      </c>
      <c r="AT43" s="1">
        <f>ROUND(Scores_2014_N!BH47,$A$1)</f>
        <v>95</v>
      </c>
      <c r="AU43" s="1">
        <f>ROUND(Scores_2014_N!BI47,$A$1)</f>
        <v>71.19</v>
      </c>
      <c r="AW43" s="1">
        <f t="shared" si="1"/>
        <v>73.7265217391304</v>
      </c>
    </row>
    <row r="44" spans="1:49">
      <c r="A44" s="1" t="str">
        <f>Scores_2014_N!N48</f>
        <v>   4.1.1) Level of police engagement</v>
      </c>
      <c r="B44" s="1">
        <f>ROUND(Scores_2014_N!P48,$A$1)</f>
        <v>50</v>
      </c>
      <c r="C44" s="1">
        <f>ROUND(Scores_2014_N!Q48,$A$1)</f>
        <v>100</v>
      </c>
      <c r="D44" s="1">
        <f>ROUND(Scores_2014_N!R48,$A$1)</f>
        <v>50</v>
      </c>
      <c r="E44" s="1">
        <f>ROUND(Scores_2014_N!S48,$A$1)</f>
        <v>100</v>
      </c>
      <c r="F44" s="1">
        <f>ROUND(Scores_2014_N!T48,$A$1)</f>
        <v>100</v>
      </c>
      <c r="G44" s="1">
        <f>ROUND(Scores_2014_N!U48,$A$1)</f>
        <v>100</v>
      </c>
      <c r="H44" s="1">
        <f>ROUND(Scores_2014_N!V48,$A$1)</f>
        <v>50</v>
      </c>
      <c r="I44" s="1">
        <f>ROUND(Scores_2014_N!W48,$A$1)</f>
        <v>100</v>
      </c>
      <c r="J44" s="1">
        <f>ROUND(Scores_2014_N!X48,$A$1)</f>
        <v>100</v>
      </c>
      <c r="K44" s="1">
        <f>ROUND(Scores_2014_N!Y48,$A$1)</f>
        <v>50</v>
      </c>
      <c r="L44" s="1">
        <f>ROUND(Scores_2014_N!Z48,$A$1)</f>
        <v>100</v>
      </c>
      <c r="M44" s="1">
        <f>ROUND(Scores_2014_N!AA48,$A$1)</f>
        <v>50</v>
      </c>
      <c r="N44" s="1">
        <f>ROUND(Scores_2014_N!AB48,$A$1)</f>
        <v>100</v>
      </c>
      <c r="O44" s="1">
        <f>ROUND(Scores_2014_N!AC48,$A$1)</f>
        <v>100</v>
      </c>
      <c r="P44" s="1">
        <f>ROUND(Scores_2014_N!AD48,$A$1)</f>
        <v>50</v>
      </c>
      <c r="Q44" s="1">
        <f>ROUND(Scores_2014_N!AE48,$A$1)</f>
        <v>100</v>
      </c>
      <c r="R44" s="1">
        <f>ROUND(Scores_2014_N!AF48,$A$1)</f>
        <v>100</v>
      </c>
      <c r="S44" s="1">
        <f>ROUND(Scores_2014_N!AG48,$A$1)</f>
        <v>100</v>
      </c>
      <c r="T44" s="1">
        <f>ROUND(Scores_2014_N!AH48,$A$1)</f>
        <v>100</v>
      </c>
      <c r="U44" s="1">
        <f>ROUND(Scores_2014_N!AI48,$A$1)</f>
        <v>100</v>
      </c>
      <c r="V44" s="1">
        <f>ROUND(Scores_2014_N!AJ48,$A$1)</f>
        <v>50</v>
      </c>
      <c r="W44" s="1">
        <f>ROUND(Scores_2014_N!AK48,$A$1)</f>
        <v>100</v>
      </c>
      <c r="X44" s="1">
        <f>ROUND(Scores_2014_N!AL48,$A$1)</f>
        <v>100</v>
      </c>
      <c r="Y44" s="1">
        <f>ROUND(Scores_2014_N!AM48,$A$1)</f>
        <v>100</v>
      </c>
      <c r="Z44" s="1">
        <f>ROUND(Scores_2014_N!AN48,$A$1)</f>
        <v>50</v>
      </c>
      <c r="AA44" s="1">
        <f>ROUND(Scores_2014_N!AO48,$A$1)</f>
        <v>100</v>
      </c>
      <c r="AB44" s="1">
        <f>ROUND(Scores_2014_N!AP48,$A$1)</f>
        <v>100</v>
      </c>
      <c r="AC44" s="1">
        <f>ROUND(Scores_2014_N!AQ48,$A$1)</f>
        <v>100</v>
      </c>
      <c r="AD44" s="1">
        <f>ROUND(Scores_2014_N!AR48,$A$1)</f>
        <v>100</v>
      </c>
      <c r="AE44" s="1">
        <f>ROUND(Scores_2014_N!AS48,$A$1)</f>
        <v>100</v>
      </c>
      <c r="AF44" s="1">
        <f>ROUND(Scores_2014_N!AT48,$A$1)</f>
        <v>100</v>
      </c>
      <c r="AG44" s="1">
        <f>ROUND(Scores_2014_N!AU48,$A$1)</f>
        <v>100</v>
      </c>
      <c r="AH44" s="1">
        <f>ROUND(Scores_2014_N!AV48,$A$1)</f>
        <v>100</v>
      </c>
      <c r="AI44" s="1">
        <f>ROUND(Scores_2014_N!AW48,$A$1)</f>
        <v>50</v>
      </c>
      <c r="AJ44" s="1">
        <f>ROUND(Scores_2014_N!AX48,$A$1)</f>
        <v>50</v>
      </c>
      <c r="AK44" s="1">
        <f>ROUND(Scores_2014_N!AY48,$A$1)</f>
        <v>50</v>
      </c>
      <c r="AL44" s="1">
        <f>ROUND(Scores_2014_N!AZ48,$A$1)</f>
        <v>50</v>
      </c>
      <c r="AM44" s="1">
        <f>ROUND(Scores_2014_N!BA48,$A$1)</f>
        <v>100</v>
      </c>
      <c r="AN44" s="1">
        <f>ROUND(Scores_2014_N!BB48,$A$1)</f>
        <v>100</v>
      </c>
      <c r="AO44" s="1">
        <f>ROUND(Scores_2014_N!BC48,$A$1)</f>
        <v>100</v>
      </c>
      <c r="AP44" s="1">
        <f>ROUND(Scores_2014_N!BD48,$A$1)</f>
        <v>100</v>
      </c>
      <c r="AQ44" s="1">
        <f>ROUND(Scores_2014_N!BE48,$A$1)</f>
        <v>50</v>
      </c>
      <c r="AR44" s="1">
        <f>ROUND(Scores_2014_N!BF48,$A$1)</f>
        <v>100</v>
      </c>
      <c r="AS44" s="1">
        <f>ROUND(Scores_2014_N!BG48,$A$1)</f>
        <v>100</v>
      </c>
      <c r="AT44" s="1">
        <f>ROUND(Scores_2014_N!BH48,$A$1)</f>
        <v>100</v>
      </c>
      <c r="AU44" s="1">
        <f>ROUND(Scores_2014_N!BI48,$A$1)</f>
        <v>100</v>
      </c>
      <c r="AW44" s="1">
        <f t="shared" si="1"/>
        <v>85.8695652173913</v>
      </c>
    </row>
    <row r="45" spans="1:49">
      <c r="A45" s="1" t="str">
        <f>Scores_2014_N!N49</f>
        <v>   4.1.2) Community-based patrolling</v>
      </c>
      <c r="B45" s="1">
        <f>ROUND(Scores_2014_N!P49,$A$1)</f>
        <v>100</v>
      </c>
      <c r="C45" s="1">
        <f>ROUND(Scores_2014_N!Q49,$A$1)</f>
        <v>100</v>
      </c>
      <c r="D45" s="1">
        <f>ROUND(Scores_2014_N!R49,$A$1)</f>
        <v>100</v>
      </c>
      <c r="E45" s="1">
        <f>ROUND(Scores_2014_N!S49,$A$1)</f>
        <v>100</v>
      </c>
      <c r="F45" s="1">
        <f>ROUND(Scores_2014_N!T49,$A$1)</f>
        <v>100</v>
      </c>
      <c r="G45" s="1">
        <f>ROUND(Scores_2014_N!U49,$A$1)</f>
        <v>100</v>
      </c>
      <c r="H45" s="1">
        <f>ROUND(Scores_2014_N!V49,$A$1)</f>
        <v>100</v>
      </c>
      <c r="I45" s="1">
        <f>ROUND(Scores_2014_N!W49,$A$1)</f>
        <v>100</v>
      </c>
      <c r="J45" s="1">
        <f>ROUND(Scores_2014_N!X49,$A$1)</f>
        <v>100</v>
      </c>
      <c r="K45" s="1">
        <f>ROUND(Scores_2014_N!Y49,$A$1)</f>
        <v>100</v>
      </c>
      <c r="L45" s="1">
        <f>ROUND(Scores_2014_N!Z49,$A$1)</f>
        <v>100</v>
      </c>
      <c r="M45" s="1">
        <f>ROUND(Scores_2014_N!AA49,$A$1)</f>
        <v>100</v>
      </c>
      <c r="N45" s="1">
        <f>ROUND(Scores_2014_N!AB49,$A$1)</f>
        <v>100</v>
      </c>
      <c r="O45" s="1">
        <f>ROUND(Scores_2014_N!AC49,$A$1)</f>
        <v>100</v>
      </c>
      <c r="P45" s="1">
        <f>ROUND(Scores_2014_N!AD49,$A$1)</f>
        <v>100</v>
      </c>
      <c r="Q45" s="1">
        <f>ROUND(Scores_2014_N!AE49,$A$1)</f>
        <v>100</v>
      </c>
      <c r="R45" s="1">
        <f>ROUND(Scores_2014_N!AF49,$A$1)</f>
        <v>0</v>
      </c>
      <c r="S45" s="1">
        <f>ROUND(Scores_2014_N!AG49,$A$1)</f>
        <v>100</v>
      </c>
      <c r="T45" s="1">
        <f>ROUND(Scores_2014_N!AH49,$A$1)</f>
        <v>100</v>
      </c>
      <c r="U45" s="1">
        <f>ROUND(Scores_2014_N!AI49,$A$1)</f>
        <v>100</v>
      </c>
      <c r="V45" s="1">
        <f>ROUND(Scores_2014_N!AJ49,$A$1)</f>
        <v>100</v>
      </c>
      <c r="W45" s="1">
        <f>ROUND(Scores_2014_N!AK49,$A$1)</f>
        <v>100</v>
      </c>
      <c r="X45" s="1">
        <f>ROUND(Scores_2014_N!AL49,$A$1)</f>
        <v>100</v>
      </c>
      <c r="Y45" s="1">
        <f>ROUND(Scores_2014_N!AM49,$A$1)</f>
        <v>100</v>
      </c>
      <c r="Z45" s="1">
        <f>ROUND(Scores_2014_N!AN49,$A$1)</f>
        <v>100</v>
      </c>
      <c r="AA45" s="1">
        <f>ROUND(Scores_2014_N!AO49,$A$1)</f>
        <v>100</v>
      </c>
      <c r="AB45" s="1">
        <f>ROUND(Scores_2014_N!AP49,$A$1)</f>
        <v>100</v>
      </c>
      <c r="AC45" s="1">
        <f>ROUND(Scores_2014_N!AQ49,$A$1)</f>
        <v>100</v>
      </c>
      <c r="AD45" s="1">
        <f>ROUND(Scores_2014_N!AR49,$A$1)</f>
        <v>100</v>
      </c>
      <c r="AE45" s="1">
        <f>ROUND(Scores_2014_N!AS49,$A$1)</f>
        <v>100</v>
      </c>
      <c r="AF45" s="1">
        <f>ROUND(Scores_2014_N!AT49,$A$1)</f>
        <v>0</v>
      </c>
      <c r="AG45" s="1">
        <f>ROUND(Scores_2014_N!AU49,$A$1)</f>
        <v>100</v>
      </c>
      <c r="AH45" s="1">
        <f>ROUND(Scores_2014_N!AV49,$A$1)</f>
        <v>100</v>
      </c>
      <c r="AI45" s="1">
        <f>ROUND(Scores_2014_N!AW49,$A$1)</f>
        <v>100</v>
      </c>
      <c r="AJ45" s="1">
        <f>ROUND(Scores_2014_N!AX49,$A$1)</f>
        <v>100</v>
      </c>
      <c r="AK45" s="1">
        <f>ROUND(Scores_2014_N!AY49,$A$1)</f>
        <v>100</v>
      </c>
      <c r="AL45" s="1">
        <f>ROUND(Scores_2014_N!AZ49,$A$1)</f>
        <v>100</v>
      </c>
      <c r="AM45" s="1">
        <f>ROUND(Scores_2014_N!BA49,$A$1)</f>
        <v>100</v>
      </c>
      <c r="AN45" s="1">
        <f>ROUND(Scores_2014_N!BB49,$A$1)</f>
        <v>100</v>
      </c>
      <c r="AO45" s="1">
        <f>ROUND(Scores_2014_N!BC49,$A$1)</f>
        <v>100</v>
      </c>
      <c r="AP45" s="1">
        <f>ROUND(Scores_2014_N!BD49,$A$1)</f>
        <v>100</v>
      </c>
      <c r="AQ45" s="1">
        <f>ROUND(Scores_2014_N!BE49,$A$1)</f>
        <v>0</v>
      </c>
      <c r="AR45" s="1">
        <f>ROUND(Scores_2014_N!BF49,$A$1)</f>
        <v>100</v>
      </c>
      <c r="AS45" s="1">
        <f>ROUND(Scores_2014_N!BG49,$A$1)</f>
        <v>100</v>
      </c>
      <c r="AT45" s="1">
        <f>ROUND(Scores_2014_N!BH49,$A$1)</f>
        <v>100</v>
      </c>
      <c r="AU45" s="1">
        <f>ROUND(Scores_2014_N!BI49,$A$1)</f>
        <v>100</v>
      </c>
      <c r="AW45" s="1">
        <f t="shared" si="1"/>
        <v>93.4782608695652</v>
      </c>
    </row>
    <row r="46" spans="1:49">
      <c r="A46" s="1" t="str">
        <f>Scores_2014_N!N50</f>
        <v>   4.1.3) Available street-level crime data</v>
      </c>
      <c r="B46" s="1">
        <f>ROUND(Scores_2014_N!P50,$A$1)</f>
        <v>100</v>
      </c>
      <c r="C46" s="1">
        <f>ROUND(Scores_2014_N!Q50,$A$1)</f>
        <v>100</v>
      </c>
      <c r="D46" s="1">
        <f>ROUND(Scores_2014_N!R50,$A$1)</f>
        <v>100</v>
      </c>
      <c r="E46" s="1">
        <f>ROUND(Scores_2014_N!S50,$A$1)</f>
        <v>100</v>
      </c>
      <c r="F46" s="1">
        <f>ROUND(Scores_2014_N!T50,$A$1)</f>
        <v>0</v>
      </c>
      <c r="G46" s="1">
        <f>ROUND(Scores_2014_N!U50,$A$1)</f>
        <v>0</v>
      </c>
      <c r="H46" s="1">
        <f>ROUND(Scores_2014_N!V50,$A$1)</f>
        <v>0</v>
      </c>
      <c r="I46" s="1">
        <f>ROUND(Scores_2014_N!W50,$A$1)</f>
        <v>100</v>
      </c>
      <c r="J46" s="1">
        <f>ROUND(Scores_2014_N!X50,$A$1)</f>
        <v>0</v>
      </c>
      <c r="K46" s="1">
        <f>ROUND(Scores_2014_N!Y50,$A$1)</f>
        <v>100</v>
      </c>
      <c r="L46" s="1">
        <f>ROUND(Scores_2014_N!Z50,$A$1)</f>
        <v>100</v>
      </c>
      <c r="M46" s="1">
        <f>ROUND(Scores_2014_N!AA50,$A$1)</f>
        <v>0</v>
      </c>
      <c r="N46" s="1">
        <f>ROUND(Scores_2014_N!AB50,$A$1)</f>
        <v>100</v>
      </c>
      <c r="O46" s="1">
        <f>ROUND(Scores_2014_N!AC50,$A$1)</f>
        <v>100</v>
      </c>
      <c r="P46" s="1">
        <f>ROUND(Scores_2014_N!AD50,$A$1)</f>
        <v>100</v>
      </c>
      <c r="Q46" s="1">
        <f>ROUND(Scores_2014_N!AE50,$A$1)</f>
        <v>100</v>
      </c>
      <c r="R46" s="1">
        <f>ROUND(Scores_2014_N!AF50,$A$1)</f>
        <v>0</v>
      </c>
      <c r="S46" s="1">
        <f>ROUND(Scores_2014_N!AG50,$A$1)</f>
        <v>100</v>
      </c>
      <c r="T46" s="1">
        <f>ROUND(Scores_2014_N!AH50,$A$1)</f>
        <v>100</v>
      </c>
      <c r="U46" s="1">
        <f>ROUND(Scores_2014_N!AI50,$A$1)</f>
        <v>100</v>
      </c>
      <c r="V46" s="1">
        <f>ROUND(Scores_2014_N!AJ50,$A$1)</f>
        <v>100</v>
      </c>
      <c r="W46" s="1">
        <f>ROUND(Scores_2014_N!AK50,$A$1)</f>
        <v>100</v>
      </c>
      <c r="X46" s="1">
        <f>ROUND(Scores_2014_N!AL50,$A$1)</f>
        <v>0</v>
      </c>
      <c r="Y46" s="1">
        <f>ROUND(Scores_2014_N!AM50,$A$1)</f>
        <v>100</v>
      </c>
      <c r="Z46" s="1">
        <f>ROUND(Scores_2014_N!AN50,$A$1)</f>
        <v>0</v>
      </c>
      <c r="AA46" s="1">
        <f>ROUND(Scores_2014_N!AO50,$A$1)</f>
        <v>100</v>
      </c>
      <c r="AB46" s="1">
        <f>ROUND(Scores_2014_N!AP50,$A$1)</f>
        <v>100</v>
      </c>
      <c r="AC46" s="1">
        <f>ROUND(Scores_2014_N!AQ50,$A$1)</f>
        <v>100</v>
      </c>
      <c r="AD46" s="1">
        <f>ROUND(Scores_2014_N!AR50,$A$1)</f>
        <v>100</v>
      </c>
      <c r="AE46" s="1">
        <f>ROUND(Scores_2014_N!AS50,$A$1)</f>
        <v>100</v>
      </c>
      <c r="AF46" s="1">
        <f>ROUND(Scores_2014_N!AT50,$A$1)</f>
        <v>0</v>
      </c>
      <c r="AG46" s="1">
        <f>ROUND(Scores_2014_N!AU50,$A$1)</f>
        <v>100</v>
      </c>
      <c r="AH46" s="1">
        <f>ROUND(Scores_2014_N!AV50,$A$1)</f>
        <v>100</v>
      </c>
      <c r="AI46" s="1">
        <f>ROUND(Scores_2014_N!AW50,$A$1)</f>
        <v>0</v>
      </c>
      <c r="AJ46" s="1">
        <f>ROUND(Scores_2014_N!AX50,$A$1)</f>
        <v>0</v>
      </c>
      <c r="AK46" s="1">
        <f>ROUND(Scores_2014_N!AY50,$A$1)</f>
        <v>0</v>
      </c>
      <c r="AL46" s="1">
        <f>ROUND(Scores_2014_N!AZ50,$A$1)</f>
        <v>0</v>
      </c>
      <c r="AM46" s="1">
        <f>ROUND(Scores_2014_N!BA50,$A$1)</f>
        <v>100</v>
      </c>
      <c r="AN46" s="1">
        <f>ROUND(Scores_2014_N!BB50,$A$1)</f>
        <v>100</v>
      </c>
      <c r="AO46" s="1">
        <f>ROUND(Scores_2014_N!BC50,$A$1)</f>
        <v>100</v>
      </c>
      <c r="AP46" s="1">
        <f>ROUND(Scores_2014_N!BD50,$A$1)</f>
        <v>100</v>
      </c>
      <c r="AQ46" s="1">
        <f>ROUND(Scores_2014_N!BE50,$A$1)</f>
        <v>0</v>
      </c>
      <c r="AR46" s="1">
        <f>ROUND(Scores_2014_N!BF50,$A$1)</f>
        <v>100</v>
      </c>
      <c r="AS46" s="1">
        <f>ROUND(Scores_2014_N!BG50,$A$1)</f>
        <v>100</v>
      </c>
      <c r="AT46" s="1">
        <f>ROUND(Scores_2014_N!BH50,$A$1)</f>
        <v>100</v>
      </c>
      <c r="AU46" s="1">
        <f>ROUND(Scores_2014_N!BI50,$A$1)</f>
        <v>100</v>
      </c>
      <c r="AW46" s="1">
        <f t="shared" si="1"/>
        <v>69.5652173913043</v>
      </c>
    </row>
    <row r="47" spans="1:49">
      <c r="A47" s="1" t="str">
        <f>Scores_2014_N!N51</f>
        <v>   4.1.4) Use of data-driven techniques for crime</v>
      </c>
      <c r="B47" s="1">
        <f>ROUND(Scores_2014_N!P51,$A$1)</f>
        <v>0</v>
      </c>
      <c r="C47" s="1">
        <f>ROUND(Scores_2014_N!Q51,$A$1)</f>
        <v>100</v>
      </c>
      <c r="D47" s="1">
        <f>ROUND(Scores_2014_N!R51,$A$1)</f>
        <v>100</v>
      </c>
      <c r="E47" s="1">
        <f>ROUND(Scores_2014_N!S51,$A$1)</f>
        <v>100</v>
      </c>
      <c r="F47" s="1">
        <f>ROUND(Scores_2014_N!T51,$A$1)</f>
        <v>0</v>
      </c>
      <c r="G47" s="1">
        <f>ROUND(Scores_2014_N!U51,$A$1)</f>
        <v>0</v>
      </c>
      <c r="H47" s="1">
        <f>ROUND(Scores_2014_N!V51,$A$1)</f>
        <v>100</v>
      </c>
      <c r="I47" s="1">
        <f>ROUND(Scores_2014_N!W51,$A$1)</f>
        <v>100</v>
      </c>
      <c r="J47" s="1">
        <f>ROUND(Scores_2014_N!X51,$A$1)</f>
        <v>100</v>
      </c>
      <c r="K47" s="1">
        <f>ROUND(Scores_2014_N!Y51,$A$1)</f>
        <v>100</v>
      </c>
      <c r="L47" s="1">
        <f>ROUND(Scores_2014_N!Z51,$A$1)</f>
        <v>100</v>
      </c>
      <c r="M47" s="1">
        <f>ROUND(Scores_2014_N!AA51,$A$1)</f>
        <v>0</v>
      </c>
      <c r="N47" s="1">
        <f>ROUND(Scores_2014_N!AB51,$A$1)</f>
        <v>100</v>
      </c>
      <c r="O47" s="1">
        <f>ROUND(Scores_2014_N!AC51,$A$1)</f>
        <v>100</v>
      </c>
      <c r="P47" s="1">
        <f>ROUND(Scores_2014_N!AD51,$A$1)</f>
        <v>0</v>
      </c>
      <c r="Q47" s="1">
        <f>ROUND(Scores_2014_N!AE51,$A$1)</f>
        <v>0</v>
      </c>
      <c r="R47" s="1">
        <f>ROUND(Scores_2014_N!AF51,$A$1)</f>
        <v>0</v>
      </c>
      <c r="S47" s="1">
        <f>ROUND(Scores_2014_N!AG51,$A$1)</f>
        <v>100</v>
      </c>
      <c r="T47" s="1">
        <f>ROUND(Scores_2014_N!AH51,$A$1)</f>
        <v>100</v>
      </c>
      <c r="U47" s="1">
        <f>ROUND(Scores_2014_N!AI51,$A$1)</f>
        <v>100</v>
      </c>
      <c r="V47" s="1">
        <f>ROUND(Scores_2014_N!AJ51,$A$1)</f>
        <v>0</v>
      </c>
      <c r="W47" s="1">
        <f>ROUND(Scores_2014_N!AK51,$A$1)</f>
        <v>100</v>
      </c>
      <c r="X47" s="1">
        <f>ROUND(Scores_2014_N!AL51,$A$1)</f>
        <v>100</v>
      </c>
      <c r="Y47" s="1">
        <f>ROUND(Scores_2014_N!AM51,$A$1)</f>
        <v>100</v>
      </c>
      <c r="Z47" s="1">
        <f>ROUND(Scores_2014_N!AN51,$A$1)</f>
        <v>0</v>
      </c>
      <c r="AA47" s="1">
        <f>ROUND(Scores_2014_N!AO51,$A$1)</f>
        <v>100</v>
      </c>
      <c r="AB47" s="1">
        <f>ROUND(Scores_2014_N!AP51,$A$1)</f>
        <v>100</v>
      </c>
      <c r="AC47" s="1">
        <f>ROUND(Scores_2014_N!AQ51,$A$1)</f>
        <v>100</v>
      </c>
      <c r="AD47" s="1">
        <f>ROUND(Scores_2014_N!AR51,$A$1)</f>
        <v>100</v>
      </c>
      <c r="AE47" s="1">
        <f>ROUND(Scores_2014_N!AS51,$A$1)</f>
        <v>0</v>
      </c>
      <c r="AF47" s="1">
        <f>ROUND(Scores_2014_N!AT51,$A$1)</f>
        <v>100</v>
      </c>
      <c r="AG47" s="1">
        <f>ROUND(Scores_2014_N!AU51,$A$1)</f>
        <v>0</v>
      </c>
      <c r="AH47" s="1">
        <f>ROUND(Scores_2014_N!AV51,$A$1)</f>
        <v>100</v>
      </c>
      <c r="AI47" s="1">
        <f>ROUND(Scores_2014_N!AW51,$A$1)</f>
        <v>100</v>
      </c>
      <c r="AJ47" s="1">
        <f>ROUND(Scores_2014_N!AX51,$A$1)</f>
        <v>0</v>
      </c>
      <c r="AK47" s="1">
        <f>ROUND(Scores_2014_N!AY51,$A$1)</f>
        <v>100</v>
      </c>
      <c r="AL47" s="1">
        <f>ROUND(Scores_2014_N!AZ51,$A$1)</f>
        <v>100</v>
      </c>
      <c r="AM47" s="1">
        <f>ROUND(Scores_2014_N!BA51,$A$1)</f>
        <v>100</v>
      </c>
      <c r="AN47" s="1">
        <f>ROUND(Scores_2014_N!BB51,$A$1)</f>
        <v>100</v>
      </c>
      <c r="AO47" s="1">
        <f>ROUND(Scores_2014_N!BC51,$A$1)</f>
        <v>100</v>
      </c>
      <c r="AP47" s="1">
        <f>ROUND(Scores_2014_N!BD51,$A$1)</f>
        <v>100</v>
      </c>
      <c r="AQ47" s="1">
        <f>ROUND(Scores_2014_N!BE51,$A$1)</f>
        <v>100</v>
      </c>
      <c r="AR47" s="1">
        <f>ROUND(Scores_2014_N!BF51,$A$1)</f>
        <v>100</v>
      </c>
      <c r="AS47" s="1">
        <f>ROUND(Scores_2014_N!BG51,$A$1)</f>
        <v>100</v>
      </c>
      <c r="AT47" s="1">
        <f>ROUND(Scores_2014_N!BH51,$A$1)</f>
        <v>100</v>
      </c>
      <c r="AU47" s="1">
        <f>ROUND(Scores_2014_N!BI51,$A$1)</f>
        <v>0</v>
      </c>
      <c r="AW47" s="1">
        <f t="shared" si="1"/>
        <v>71.7391304347826</v>
      </c>
    </row>
    <row r="48" spans="1:49">
      <c r="A48" s="1" t="str">
        <f>Scores_2014_N!N52</f>
        <v>   4.1.5) Private security measures</v>
      </c>
      <c r="B48" s="1">
        <f>ROUND(Scores_2014_N!P52,$A$1)</f>
        <v>0</v>
      </c>
      <c r="C48" s="1">
        <f>ROUND(Scores_2014_N!Q52,$A$1)</f>
        <v>100</v>
      </c>
      <c r="D48" s="1">
        <f>ROUND(Scores_2014_N!R52,$A$1)</f>
        <v>100</v>
      </c>
      <c r="E48" s="1">
        <f>ROUND(Scores_2014_N!S52,$A$1)</f>
        <v>100</v>
      </c>
      <c r="F48" s="1">
        <f>ROUND(Scores_2014_N!T52,$A$1)</f>
        <v>0</v>
      </c>
      <c r="G48" s="1">
        <f>ROUND(Scores_2014_N!U52,$A$1)</f>
        <v>0</v>
      </c>
      <c r="H48" s="1">
        <f>ROUND(Scores_2014_N!V52,$A$1)</f>
        <v>100</v>
      </c>
      <c r="I48" s="1">
        <f>ROUND(Scores_2014_N!W52,$A$1)</f>
        <v>100</v>
      </c>
      <c r="J48" s="1">
        <f>ROUND(Scores_2014_N!X52,$A$1)</f>
        <v>100</v>
      </c>
      <c r="K48" s="1">
        <f>ROUND(Scores_2014_N!Y52,$A$1)</f>
        <v>100</v>
      </c>
      <c r="L48" s="1">
        <f>ROUND(Scores_2014_N!Z52,$A$1)</f>
        <v>0</v>
      </c>
      <c r="M48" s="1">
        <f>ROUND(Scores_2014_N!AA52,$A$1)</f>
        <v>100</v>
      </c>
      <c r="N48" s="1">
        <f>ROUND(Scores_2014_N!AB52,$A$1)</f>
        <v>100</v>
      </c>
      <c r="O48" s="1">
        <f>ROUND(Scores_2014_N!AC52,$A$1)</f>
        <v>100</v>
      </c>
      <c r="P48" s="1">
        <f>ROUND(Scores_2014_N!AD52,$A$1)</f>
        <v>0</v>
      </c>
      <c r="Q48" s="1">
        <f>ROUND(Scores_2014_N!AE52,$A$1)</f>
        <v>100</v>
      </c>
      <c r="R48" s="1">
        <f>ROUND(Scores_2014_N!AF52,$A$1)</f>
        <v>0</v>
      </c>
      <c r="S48" s="1">
        <f>ROUND(Scores_2014_N!AG52,$A$1)</f>
        <v>100</v>
      </c>
      <c r="T48" s="1">
        <f>ROUND(Scores_2014_N!AH52,$A$1)</f>
        <v>100</v>
      </c>
      <c r="U48" s="1">
        <f>ROUND(Scores_2014_N!AI52,$A$1)</f>
        <v>100</v>
      </c>
      <c r="V48" s="1">
        <f>ROUND(Scores_2014_N!AJ52,$A$1)</f>
        <v>100</v>
      </c>
      <c r="W48" s="1">
        <f>ROUND(Scores_2014_N!AK52,$A$1)</f>
        <v>100</v>
      </c>
      <c r="X48" s="1">
        <f>ROUND(Scores_2014_N!AL52,$A$1)</f>
        <v>100</v>
      </c>
      <c r="Y48" s="1">
        <f>ROUND(Scores_2014_N!AM52,$A$1)</f>
        <v>0</v>
      </c>
      <c r="Z48" s="1">
        <f>ROUND(Scores_2014_N!AN52,$A$1)</f>
        <v>0</v>
      </c>
      <c r="AA48" s="1">
        <f>ROUND(Scores_2014_N!AO52,$A$1)</f>
        <v>0</v>
      </c>
      <c r="AB48" s="1">
        <f>ROUND(Scores_2014_N!AP52,$A$1)</f>
        <v>100</v>
      </c>
      <c r="AC48" s="1">
        <f>ROUND(Scores_2014_N!AQ52,$A$1)</f>
        <v>100</v>
      </c>
      <c r="AD48" s="1">
        <f>ROUND(Scores_2014_N!AR52,$A$1)</f>
        <v>0</v>
      </c>
      <c r="AE48" s="1">
        <f>ROUND(Scores_2014_N!AS52,$A$1)</f>
        <v>100</v>
      </c>
      <c r="AF48" s="1">
        <f>ROUND(Scores_2014_N!AT52,$A$1)</f>
        <v>0</v>
      </c>
      <c r="AG48" s="1">
        <f>ROUND(Scores_2014_N!AU52,$A$1)</f>
        <v>0</v>
      </c>
      <c r="AH48" s="1">
        <f>ROUND(Scores_2014_N!AV52,$A$1)</f>
        <v>100</v>
      </c>
      <c r="AI48" s="1">
        <f>ROUND(Scores_2014_N!AW52,$A$1)</f>
        <v>0</v>
      </c>
      <c r="AJ48" s="1">
        <f>ROUND(Scores_2014_N!AX52,$A$1)</f>
        <v>100</v>
      </c>
      <c r="AK48" s="1">
        <f>ROUND(Scores_2014_N!AY52,$A$1)</f>
        <v>100</v>
      </c>
      <c r="AL48" s="1">
        <f>ROUND(Scores_2014_N!AZ52,$A$1)</f>
        <v>100</v>
      </c>
      <c r="AM48" s="1">
        <f>ROUND(Scores_2014_N!BA52,$A$1)</f>
        <v>100</v>
      </c>
      <c r="AN48" s="1">
        <f>ROUND(Scores_2014_N!BB52,$A$1)</f>
        <v>100</v>
      </c>
      <c r="AO48" s="1">
        <f>ROUND(Scores_2014_N!BC52,$A$1)</f>
        <v>100</v>
      </c>
      <c r="AP48" s="1">
        <f>ROUND(Scores_2014_N!BD52,$A$1)</f>
        <v>100</v>
      </c>
      <c r="AQ48" s="1">
        <f>ROUND(Scores_2014_N!BE52,$A$1)</f>
        <v>100</v>
      </c>
      <c r="AR48" s="1">
        <f>ROUND(Scores_2014_N!BF52,$A$1)</f>
        <v>100</v>
      </c>
      <c r="AS48" s="1">
        <f>ROUND(Scores_2014_N!BG52,$A$1)</f>
        <v>100</v>
      </c>
      <c r="AT48" s="1">
        <f>ROUND(Scores_2014_N!BH52,$A$1)</f>
        <v>100</v>
      </c>
      <c r="AU48" s="1">
        <f>ROUND(Scores_2014_N!BI52,$A$1)</f>
        <v>100</v>
      </c>
      <c r="AW48" s="1">
        <f t="shared" si="1"/>
        <v>71.7391304347826</v>
      </c>
    </row>
    <row r="49" spans="1:49">
      <c r="A49" s="1" t="str">
        <f>Scores_2014_N!N53</f>
        <v>   4.1.6) Gun regulation and enforcement</v>
      </c>
      <c r="B49" s="1">
        <f>ROUND(Scores_2014_N!P53,$A$1)</f>
        <v>45</v>
      </c>
      <c r="C49" s="1">
        <f>ROUND(Scores_2014_N!Q53,$A$1)</f>
        <v>66.67</v>
      </c>
      <c r="D49" s="1">
        <f>ROUND(Scores_2014_N!R53,$A$1)</f>
        <v>38.33</v>
      </c>
      <c r="E49" s="1">
        <f>ROUND(Scores_2014_N!S53,$A$1)</f>
        <v>65</v>
      </c>
      <c r="F49" s="1">
        <f>ROUND(Scores_2014_N!T53,$A$1)</f>
        <v>100</v>
      </c>
      <c r="G49" s="1">
        <f>ROUND(Scores_2014_N!U53,$A$1)</f>
        <v>56.67</v>
      </c>
      <c r="H49" s="1">
        <f>ROUND(Scores_2014_N!V53,$A$1)</f>
        <v>66.67</v>
      </c>
      <c r="I49" s="1">
        <f>ROUND(Scores_2014_N!W53,$A$1)</f>
        <v>38.33</v>
      </c>
      <c r="J49" s="1">
        <f>ROUND(Scores_2014_N!X53,$A$1)</f>
        <v>46.67</v>
      </c>
      <c r="K49" s="1">
        <f>ROUND(Scores_2014_N!Y53,$A$1)</f>
        <v>58.33</v>
      </c>
      <c r="L49" s="1">
        <f>ROUND(Scores_2014_N!Z53,$A$1)</f>
        <v>55</v>
      </c>
      <c r="M49" s="1">
        <f>ROUND(Scores_2014_N!AA53,$A$1)</f>
        <v>100</v>
      </c>
      <c r="N49" s="1">
        <f>ROUND(Scores_2014_N!AB53,$A$1)</f>
        <v>83.33</v>
      </c>
      <c r="O49" s="1">
        <f>ROUND(Scores_2014_N!AC53,$A$1)</f>
        <v>13.33</v>
      </c>
      <c r="P49" s="1">
        <f>ROUND(Scores_2014_N!AD53,$A$1)</f>
        <v>41.67</v>
      </c>
      <c r="Q49" s="1">
        <f>ROUND(Scores_2014_N!AE53,$A$1)</f>
        <v>8.33</v>
      </c>
      <c r="R49" s="1">
        <f>ROUND(Scores_2014_N!AF53,$A$1)</f>
        <v>95</v>
      </c>
      <c r="S49" s="1">
        <f>ROUND(Scores_2014_N!AG53,$A$1)</f>
        <v>8.33</v>
      </c>
      <c r="T49" s="1">
        <f>ROUND(Scores_2014_N!AH53,$A$1)</f>
        <v>83.33</v>
      </c>
      <c r="U49" s="1">
        <f>ROUND(Scores_2014_N!AI53,$A$1)</f>
        <v>43.33</v>
      </c>
      <c r="V49" s="1">
        <f>ROUND(Scores_2014_N!AJ53,$A$1)</f>
        <v>65</v>
      </c>
      <c r="W49" s="1">
        <f>ROUND(Scores_2014_N!AK53,$A$1)</f>
        <v>75</v>
      </c>
      <c r="X49" s="1">
        <f>ROUND(Scores_2014_N!AL53,$A$1)</f>
        <v>43.33</v>
      </c>
      <c r="Y49" s="1">
        <f>ROUND(Scores_2014_N!AM53,$A$1)</f>
        <v>48.33</v>
      </c>
      <c r="Z49" s="1">
        <f>ROUND(Scores_2014_N!AN53,$A$1)</f>
        <v>56.67</v>
      </c>
      <c r="AA49" s="1">
        <f>ROUND(Scores_2014_N!AO53,$A$1)</f>
        <v>46.67</v>
      </c>
      <c r="AB49" s="1">
        <f>ROUND(Scores_2014_N!AP53,$A$1)</f>
        <v>31.67</v>
      </c>
      <c r="AC49" s="1">
        <f>ROUND(Scores_2014_N!AQ53,$A$1)</f>
        <v>83.33</v>
      </c>
      <c r="AD49" s="1">
        <f>ROUND(Scores_2014_N!AR53,$A$1)</f>
        <v>41.67</v>
      </c>
      <c r="AE49" s="1">
        <f>ROUND(Scores_2014_N!AS53,$A$1)</f>
        <v>50</v>
      </c>
      <c r="AF49" s="1">
        <f>ROUND(Scores_2014_N!AT53,$A$1)</f>
        <v>0</v>
      </c>
      <c r="AG49" s="1">
        <f>ROUND(Scores_2014_N!AU53,$A$1)</f>
        <v>48.33</v>
      </c>
      <c r="AH49" s="1">
        <f>ROUND(Scores_2014_N!AV53,$A$1)</f>
        <v>43.33</v>
      </c>
      <c r="AI49" s="1">
        <f>ROUND(Scores_2014_N!AW53,$A$1)</f>
        <v>30</v>
      </c>
      <c r="AJ49" s="1">
        <f>ROUND(Scores_2014_N!AX53,$A$1)</f>
        <v>50</v>
      </c>
      <c r="AK49" s="1">
        <f>ROUND(Scores_2014_N!AY53,$A$1)</f>
        <v>75</v>
      </c>
      <c r="AL49" s="1">
        <f>ROUND(Scores_2014_N!AZ53,$A$1)</f>
        <v>100</v>
      </c>
      <c r="AM49" s="1">
        <f>ROUND(Scores_2014_N!BA53,$A$1)</f>
        <v>83.33</v>
      </c>
      <c r="AN49" s="1">
        <f>ROUND(Scores_2014_N!BB53,$A$1)</f>
        <v>55</v>
      </c>
      <c r="AO49" s="1">
        <f>ROUND(Scores_2014_N!BC53,$A$1)</f>
        <v>75</v>
      </c>
      <c r="AP49" s="1">
        <f>ROUND(Scores_2014_N!BD53,$A$1)</f>
        <v>91.67</v>
      </c>
      <c r="AQ49" s="1">
        <f>ROUND(Scores_2014_N!BE53,$A$1)</f>
        <v>48.33</v>
      </c>
      <c r="AR49" s="1">
        <f>ROUND(Scores_2014_N!BF53,$A$1)</f>
        <v>83.33</v>
      </c>
      <c r="AS49" s="1">
        <f>ROUND(Scores_2014_N!BG53,$A$1)</f>
        <v>58.33</v>
      </c>
      <c r="AT49" s="1">
        <f>ROUND(Scores_2014_N!BH53,$A$1)</f>
        <v>75</v>
      </c>
      <c r="AU49" s="1">
        <f>ROUND(Scores_2014_N!BI53,$A$1)</f>
        <v>8.33</v>
      </c>
      <c r="AW49" s="1">
        <f t="shared" si="1"/>
        <v>56.0863043478261</v>
      </c>
    </row>
    <row r="50" spans="1:49">
      <c r="A50" s="1" t="str">
        <f>Scores_2014_N!N54</f>
        <v>   4.1.7) Political stability risk</v>
      </c>
      <c r="B50" s="1">
        <f>ROUND(Scores_2014_N!P54,$A$1)</f>
        <v>55</v>
      </c>
      <c r="C50" s="1">
        <f>ROUND(Scores_2014_N!Q54,$A$1)</f>
        <v>80</v>
      </c>
      <c r="D50" s="1">
        <f>ROUND(Scores_2014_N!R54,$A$1)</f>
        <v>35</v>
      </c>
      <c r="E50" s="1">
        <f>ROUND(Scores_2014_N!S54,$A$1)</f>
        <v>75</v>
      </c>
      <c r="F50" s="1">
        <f>ROUND(Scores_2014_N!T54,$A$1)</f>
        <v>45</v>
      </c>
      <c r="G50" s="1">
        <f>ROUND(Scores_2014_N!U54,$A$1)</f>
        <v>75</v>
      </c>
      <c r="H50" s="1">
        <f>ROUND(Scores_2014_N!V54,$A$1)</f>
        <v>45</v>
      </c>
      <c r="I50" s="1">
        <f>ROUND(Scores_2014_N!W54,$A$1)</f>
        <v>90</v>
      </c>
      <c r="J50" s="1">
        <f>ROUND(Scores_2014_N!X54,$A$1)</f>
        <v>80</v>
      </c>
      <c r="K50" s="1">
        <f>ROUND(Scores_2014_N!Y54,$A$1)</f>
        <v>60</v>
      </c>
      <c r="L50" s="1">
        <f>ROUND(Scores_2014_N!Z54,$A$1)</f>
        <v>85</v>
      </c>
      <c r="M50" s="1">
        <f>ROUND(Scores_2014_N!AA54,$A$1)</f>
        <v>50</v>
      </c>
      <c r="N50" s="1">
        <f>ROUND(Scores_2014_N!AB54,$A$1)</f>
        <v>65</v>
      </c>
      <c r="O50" s="1">
        <f>ROUND(Scores_2014_N!AC54,$A$1)</f>
        <v>45</v>
      </c>
      <c r="P50" s="1">
        <f>ROUND(Scores_2014_N!AD54,$A$1)</f>
        <v>70</v>
      </c>
      <c r="Q50" s="1">
        <f>ROUND(Scores_2014_N!AE54,$A$1)</f>
        <v>65</v>
      </c>
      <c r="R50" s="1">
        <f>ROUND(Scores_2014_N!AF54,$A$1)</f>
        <v>40</v>
      </c>
      <c r="S50" s="1">
        <f>ROUND(Scores_2014_N!AG54,$A$1)</f>
        <v>55</v>
      </c>
      <c r="T50" s="1">
        <f>ROUND(Scores_2014_N!AH54,$A$1)</f>
        <v>70</v>
      </c>
      <c r="U50" s="1">
        <f>ROUND(Scores_2014_N!AI54,$A$1)</f>
        <v>90</v>
      </c>
      <c r="V50" s="1">
        <f>ROUND(Scores_2014_N!AJ54,$A$1)</f>
        <v>75</v>
      </c>
      <c r="W50" s="1">
        <f>ROUND(Scores_2014_N!AK54,$A$1)</f>
        <v>90</v>
      </c>
      <c r="X50" s="1">
        <f>ROUND(Scores_2014_N!AL54,$A$1)</f>
        <v>60</v>
      </c>
      <c r="Y50" s="1">
        <f>ROUND(Scores_2014_N!AM54,$A$1)</f>
        <v>65</v>
      </c>
      <c r="Z50" s="1">
        <f>ROUND(Scores_2014_N!AN54,$A$1)</f>
        <v>35</v>
      </c>
      <c r="AA50" s="1">
        <f>ROUND(Scores_2014_N!AO54,$A$1)</f>
        <v>80</v>
      </c>
      <c r="AB50" s="1">
        <f>ROUND(Scores_2014_N!AP54,$A$1)</f>
        <v>90</v>
      </c>
      <c r="AC50" s="1">
        <f>ROUND(Scores_2014_N!AQ54,$A$1)</f>
        <v>90</v>
      </c>
      <c r="AD50" s="1">
        <f>ROUND(Scores_2014_N!AR54,$A$1)</f>
        <v>70</v>
      </c>
      <c r="AE50" s="1">
        <f>ROUND(Scores_2014_N!AS54,$A$1)</f>
        <v>65</v>
      </c>
      <c r="AF50" s="1">
        <f>ROUND(Scores_2014_N!AT54,$A$1)</f>
        <v>45</v>
      </c>
      <c r="AG50" s="1">
        <f>ROUND(Scores_2014_N!AU54,$A$1)</f>
        <v>65</v>
      </c>
      <c r="AH50" s="1">
        <f>ROUND(Scores_2014_N!AV54,$A$1)</f>
        <v>90</v>
      </c>
      <c r="AI50" s="1">
        <f>ROUND(Scores_2014_N!AW54,$A$1)</f>
        <v>80</v>
      </c>
      <c r="AJ50" s="1">
        <f>ROUND(Scores_2014_N!AX54,$A$1)</f>
        <v>65</v>
      </c>
      <c r="AK50" s="1">
        <f>ROUND(Scores_2014_N!AY54,$A$1)</f>
        <v>60</v>
      </c>
      <c r="AL50" s="1">
        <f>ROUND(Scores_2014_N!AZ54,$A$1)</f>
        <v>45</v>
      </c>
      <c r="AM50" s="1">
        <f>ROUND(Scores_2014_N!BA54,$A$1)</f>
        <v>80</v>
      </c>
      <c r="AN50" s="1">
        <f>ROUND(Scores_2014_N!BB54,$A$1)</f>
        <v>35</v>
      </c>
      <c r="AO50" s="1">
        <f>ROUND(Scores_2014_N!BC54,$A$1)</f>
        <v>90</v>
      </c>
      <c r="AP50" s="1">
        <f>ROUND(Scores_2014_N!BD54,$A$1)</f>
        <v>70</v>
      </c>
      <c r="AQ50" s="1">
        <f>ROUND(Scores_2014_N!BE54,$A$1)</f>
        <v>25</v>
      </c>
      <c r="AR50" s="1">
        <f>ROUND(Scores_2014_N!BF54,$A$1)</f>
        <v>90</v>
      </c>
      <c r="AS50" s="1">
        <f>ROUND(Scores_2014_N!BG54,$A$1)</f>
        <v>95</v>
      </c>
      <c r="AT50" s="1">
        <f>ROUND(Scores_2014_N!BH54,$A$1)</f>
        <v>90</v>
      </c>
      <c r="AU50" s="1">
        <f>ROUND(Scores_2014_N!BI54,$A$1)</f>
        <v>90</v>
      </c>
      <c r="AW50" s="1">
        <f t="shared" si="1"/>
        <v>67.6086956521739</v>
      </c>
    </row>
    <row r="51" spans="1:49">
      <c r="A51" s="1" t="str">
        <f>Scores_2014_N!N55</f>
        <v>  4.2) Personal security (Outputs)</v>
      </c>
      <c r="B51" s="1">
        <f>ROUND(Scores_2014_N!P55,$A$1)</f>
        <v>87.17</v>
      </c>
      <c r="C51" s="1">
        <f>ROUND(Scores_2014_N!Q55,$A$1)</f>
        <v>85.37</v>
      </c>
      <c r="D51" s="1">
        <f>ROUND(Scores_2014_N!R55,$A$1)</f>
        <v>54.2</v>
      </c>
      <c r="E51" s="1">
        <f>ROUND(Scores_2014_N!S55,$A$1)</f>
        <v>74.18</v>
      </c>
      <c r="F51" s="1">
        <f>ROUND(Scores_2014_N!T55,$A$1)</f>
        <v>74.87</v>
      </c>
      <c r="G51" s="1">
        <f>ROUND(Scores_2014_N!U55,$A$1)</f>
        <v>81.72</v>
      </c>
      <c r="H51" s="1">
        <f>ROUND(Scores_2014_N!V55,$A$1)</f>
        <v>62.26</v>
      </c>
      <c r="I51" s="1">
        <f>ROUND(Scores_2014_N!W55,$A$1)</f>
        <v>74.22</v>
      </c>
      <c r="J51" s="1">
        <f>ROUND(Scores_2014_N!X55,$A$1)</f>
        <v>61.38</v>
      </c>
      <c r="K51" s="1">
        <f>ROUND(Scores_2014_N!Y55,$A$1)</f>
        <v>84.14</v>
      </c>
      <c r="L51" s="1">
        <f>ROUND(Scores_2014_N!Z55,$A$1)</f>
        <v>84.2</v>
      </c>
      <c r="M51" s="1">
        <f>ROUND(Scores_2014_N!AA55,$A$1)</f>
        <v>65.86</v>
      </c>
      <c r="N51" s="1">
        <f>ROUND(Scores_2014_N!AB55,$A$1)</f>
        <v>90.88</v>
      </c>
      <c r="O51" s="1">
        <f>ROUND(Scores_2014_N!AC55,$A$1)</f>
        <v>61.86</v>
      </c>
      <c r="P51" s="1">
        <f>ROUND(Scores_2014_N!AD55,$A$1)</f>
        <v>60.89</v>
      </c>
      <c r="Q51" s="1">
        <f>ROUND(Scores_2014_N!AE55,$A$1)</f>
        <v>50.4</v>
      </c>
      <c r="R51" s="1">
        <f>ROUND(Scores_2014_N!AF55,$A$1)</f>
        <v>80.72</v>
      </c>
      <c r="S51" s="1">
        <f>ROUND(Scores_2014_N!AG55,$A$1)</f>
        <v>61.22</v>
      </c>
      <c r="T51" s="1">
        <f>ROUND(Scores_2014_N!AH55,$A$1)</f>
        <v>67.26</v>
      </c>
      <c r="U51" s="1">
        <f>ROUND(Scores_2014_N!AI55,$A$1)</f>
        <v>73.41</v>
      </c>
      <c r="V51" s="1">
        <f>ROUND(Scores_2014_N!AJ55,$A$1)</f>
        <v>64.49</v>
      </c>
      <c r="W51" s="1">
        <f>ROUND(Scores_2014_N!AK55,$A$1)</f>
        <v>84.14</v>
      </c>
      <c r="X51" s="1">
        <f>ROUND(Scores_2014_N!AL55,$A$1)</f>
        <v>52.31</v>
      </c>
      <c r="Y51" s="1">
        <f>ROUND(Scores_2014_N!AM55,$A$1)</f>
        <v>70.43</v>
      </c>
      <c r="Z51" s="1">
        <f>ROUND(Scores_2014_N!AN55,$A$1)</f>
        <v>58.84</v>
      </c>
      <c r="AA51" s="1">
        <f>ROUND(Scores_2014_N!AO55,$A$1)</f>
        <v>60.06</v>
      </c>
      <c r="AB51" s="1">
        <f>ROUND(Scores_2014_N!AP55,$A$1)</f>
        <v>70.13</v>
      </c>
      <c r="AC51" s="1">
        <f>ROUND(Scores_2014_N!AQ55,$A$1)</f>
        <v>89.19</v>
      </c>
      <c r="AD51" s="1">
        <f>ROUND(Scores_2014_N!AR55,$A$1)</f>
        <v>81.08</v>
      </c>
      <c r="AE51" s="1">
        <f>ROUND(Scores_2014_N!AS55,$A$1)</f>
        <v>59.64</v>
      </c>
      <c r="AF51" s="1">
        <f>ROUND(Scores_2014_N!AT55,$A$1)</f>
        <v>74.4</v>
      </c>
      <c r="AG51" s="1">
        <f>ROUND(Scores_2014_N!AU55,$A$1)</f>
        <v>66.7</v>
      </c>
      <c r="AH51" s="1">
        <f>ROUND(Scores_2014_N!AV55,$A$1)</f>
        <v>77.03</v>
      </c>
      <c r="AI51" s="1">
        <f>ROUND(Scores_2014_N!AW55,$A$1)</f>
        <v>69.61</v>
      </c>
      <c r="AJ51" s="1">
        <f>ROUND(Scores_2014_N!AX55,$A$1)</f>
        <v>61.45</v>
      </c>
      <c r="AK51" s="1">
        <f>ROUND(Scores_2014_N!AY55,$A$1)</f>
        <v>82.86</v>
      </c>
      <c r="AL51" s="1">
        <f>ROUND(Scores_2014_N!AZ55,$A$1)</f>
        <v>77</v>
      </c>
      <c r="AM51" s="1">
        <f>ROUND(Scores_2014_N!BA55,$A$1)</f>
        <v>95</v>
      </c>
      <c r="AN51" s="1">
        <f>ROUND(Scores_2014_N!BB55,$A$1)</f>
        <v>94.94</v>
      </c>
      <c r="AO51" s="1">
        <f>ROUND(Scores_2014_N!BC55,$A$1)</f>
        <v>82.16</v>
      </c>
      <c r="AP51" s="1">
        <f>ROUND(Scores_2014_N!BD55,$A$1)</f>
        <v>85.68</v>
      </c>
      <c r="AQ51" s="1">
        <f>ROUND(Scores_2014_N!BE55,$A$1)</f>
        <v>67.49</v>
      </c>
      <c r="AR51" s="1">
        <f>ROUND(Scores_2014_N!BF55,$A$1)</f>
        <v>88.01</v>
      </c>
      <c r="AS51" s="1">
        <f>ROUND(Scores_2014_N!BG55,$A$1)</f>
        <v>88.74</v>
      </c>
      <c r="AT51" s="1">
        <f>ROUND(Scores_2014_N!BH55,$A$1)</f>
        <v>72.09</v>
      </c>
      <c r="AU51" s="1">
        <f>ROUND(Scores_2014_N!BI55,$A$1)</f>
        <v>92.08</v>
      </c>
      <c r="AW51" s="1">
        <f t="shared" si="1"/>
        <v>73.9513043478261</v>
      </c>
    </row>
    <row r="52" spans="1:49">
      <c r="A52" s="1" t="str">
        <f>Scores_2014_N!N56</f>
        <v>   4.2.1) Prevalence of petty crime</v>
      </c>
      <c r="B52" s="1">
        <f>ROUND(Scores_2014_N!P56,$A$1)</f>
        <v>75</v>
      </c>
      <c r="C52" s="1">
        <f>ROUND(Scores_2014_N!Q56,$A$1)</f>
        <v>50</v>
      </c>
      <c r="D52" s="1">
        <f>ROUND(Scores_2014_N!R56,$A$1)</f>
        <v>50</v>
      </c>
      <c r="E52" s="1">
        <f>ROUND(Scores_2014_N!S56,$A$1)</f>
        <v>75</v>
      </c>
      <c r="F52" s="1">
        <f>ROUND(Scores_2014_N!T56,$A$1)</f>
        <v>50</v>
      </c>
      <c r="G52" s="1">
        <f>ROUND(Scores_2014_N!U56,$A$1)</f>
        <v>75</v>
      </c>
      <c r="H52" s="1">
        <f>ROUND(Scores_2014_N!V56,$A$1)</f>
        <v>50</v>
      </c>
      <c r="I52" s="1">
        <f>ROUND(Scores_2014_N!W56,$A$1)</f>
        <v>75</v>
      </c>
      <c r="J52" s="1">
        <f>ROUND(Scores_2014_N!X56,$A$1)</f>
        <v>50</v>
      </c>
      <c r="K52" s="1">
        <f>ROUND(Scores_2014_N!Y56,$A$1)</f>
        <v>75</v>
      </c>
      <c r="L52" s="1">
        <f>ROUND(Scores_2014_N!Z56,$A$1)</f>
        <v>75</v>
      </c>
      <c r="M52" s="1">
        <f>ROUND(Scores_2014_N!AA56,$A$1)</f>
        <v>25</v>
      </c>
      <c r="N52" s="1">
        <f>ROUND(Scores_2014_N!AB56,$A$1)</f>
        <v>75</v>
      </c>
      <c r="O52" s="1">
        <f>ROUND(Scores_2014_N!AC56,$A$1)</f>
        <v>50</v>
      </c>
      <c r="P52" s="1">
        <f>ROUND(Scores_2014_N!AD56,$A$1)</f>
        <v>25</v>
      </c>
      <c r="Q52" s="1">
        <f>ROUND(Scores_2014_N!AE56,$A$1)</f>
        <v>0</v>
      </c>
      <c r="R52" s="1">
        <f>ROUND(Scores_2014_N!AF56,$A$1)</f>
        <v>75</v>
      </c>
      <c r="S52" s="1">
        <f>ROUND(Scores_2014_N!AG56,$A$1)</f>
        <v>50</v>
      </c>
      <c r="T52" s="1">
        <f>ROUND(Scores_2014_N!AH56,$A$1)</f>
        <v>50</v>
      </c>
      <c r="U52" s="1">
        <f>ROUND(Scores_2014_N!AI56,$A$1)</f>
        <v>75</v>
      </c>
      <c r="V52" s="1">
        <f>ROUND(Scores_2014_N!AJ56,$A$1)</f>
        <v>75</v>
      </c>
      <c r="W52" s="1">
        <f>ROUND(Scores_2014_N!AK56,$A$1)</f>
        <v>75</v>
      </c>
      <c r="X52" s="1">
        <f>ROUND(Scores_2014_N!AL56,$A$1)</f>
        <v>0</v>
      </c>
      <c r="Y52" s="1">
        <f>ROUND(Scores_2014_N!AM56,$A$1)</f>
        <v>75</v>
      </c>
      <c r="Z52" s="1">
        <f>ROUND(Scores_2014_N!AN56,$A$1)</f>
        <v>50</v>
      </c>
      <c r="AA52" s="1">
        <f>ROUND(Scores_2014_N!AO56,$A$1)</f>
        <v>25</v>
      </c>
      <c r="AB52" s="1">
        <f>ROUND(Scores_2014_N!AP56,$A$1)</f>
        <v>50</v>
      </c>
      <c r="AC52" s="1">
        <f>ROUND(Scores_2014_N!AQ56,$A$1)</f>
        <v>75</v>
      </c>
      <c r="AD52" s="1">
        <f>ROUND(Scores_2014_N!AR56,$A$1)</f>
        <v>75</v>
      </c>
      <c r="AE52" s="1">
        <f>ROUND(Scores_2014_N!AS56,$A$1)</f>
        <v>25</v>
      </c>
      <c r="AF52" s="1">
        <f>ROUND(Scores_2014_N!AT56,$A$1)</f>
        <v>75</v>
      </c>
      <c r="AG52" s="1">
        <f>ROUND(Scores_2014_N!AU56,$A$1)</f>
        <v>50</v>
      </c>
      <c r="AH52" s="1">
        <f>ROUND(Scores_2014_N!AV56,$A$1)</f>
        <v>75</v>
      </c>
      <c r="AI52" s="1">
        <f>ROUND(Scores_2014_N!AW56,$A$1)</f>
        <v>50</v>
      </c>
      <c r="AJ52" s="1">
        <f>ROUND(Scores_2014_N!AX56,$A$1)</f>
        <v>25</v>
      </c>
      <c r="AK52" s="1">
        <f>ROUND(Scores_2014_N!AY56,$A$1)</f>
        <v>75</v>
      </c>
      <c r="AL52" s="1">
        <f>ROUND(Scores_2014_N!AZ56,$A$1)</f>
        <v>50</v>
      </c>
      <c r="AM52" s="1">
        <f>ROUND(Scores_2014_N!BA56,$A$1)</f>
        <v>100</v>
      </c>
      <c r="AN52" s="1">
        <f>ROUND(Scores_2014_N!BB56,$A$1)</f>
        <v>100</v>
      </c>
      <c r="AO52" s="1">
        <f>ROUND(Scores_2014_N!BC56,$A$1)</f>
        <v>75</v>
      </c>
      <c r="AP52" s="1">
        <f>ROUND(Scores_2014_N!BD56,$A$1)</f>
        <v>75</v>
      </c>
      <c r="AQ52" s="1">
        <f>ROUND(Scores_2014_N!BE56,$A$1)</f>
        <v>50</v>
      </c>
      <c r="AR52" s="1">
        <f>ROUND(Scores_2014_N!BF56,$A$1)</f>
        <v>75</v>
      </c>
      <c r="AS52" s="1">
        <f>ROUND(Scores_2014_N!BG56,$A$1)</f>
        <v>100</v>
      </c>
      <c r="AT52" s="1">
        <f>ROUND(Scores_2014_N!BH56,$A$1)</f>
        <v>75</v>
      </c>
      <c r="AU52" s="1">
        <f>ROUND(Scores_2014_N!BI56,$A$1)</f>
        <v>75</v>
      </c>
      <c r="AW52" s="1">
        <f t="shared" si="1"/>
        <v>60.3260869565217</v>
      </c>
    </row>
    <row r="53" spans="1:49">
      <c r="A53" s="1" t="str">
        <f>Scores_2014_N!N57</f>
        <v>   4.2.2) Prevalence of violent crime</v>
      </c>
      <c r="B53" s="1">
        <f>ROUND(Scores_2014_N!P57,$A$1)</f>
        <v>100</v>
      </c>
      <c r="C53" s="1">
        <f>ROUND(Scores_2014_N!Q57,$A$1)</f>
        <v>75</v>
      </c>
      <c r="D53" s="1">
        <f>ROUND(Scores_2014_N!R57,$A$1)</f>
        <v>75</v>
      </c>
      <c r="E53" s="1">
        <f>ROUND(Scores_2014_N!S57,$A$1)</f>
        <v>75</v>
      </c>
      <c r="F53" s="1">
        <f>ROUND(Scores_2014_N!T57,$A$1)</f>
        <v>75</v>
      </c>
      <c r="G53" s="1">
        <f>ROUND(Scores_2014_N!U57,$A$1)</f>
        <v>75</v>
      </c>
      <c r="H53" s="1">
        <f>ROUND(Scores_2014_N!V57,$A$1)</f>
        <v>50</v>
      </c>
      <c r="I53" s="1">
        <f>ROUND(Scores_2014_N!W57,$A$1)</f>
        <v>75</v>
      </c>
      <c r="J53" s="1">
        <f>ROUND(Scores_2014_N!X57,$A$1)</f>
        <v>50</v>
      </c>
      <c r="K53" s="1">
        <f>ROUND(Scores_2014_N!Y57,$A$1)</f>
        <v>100</v>
      </c>
      <c r="L53" s="1">
        <f>ROUND(Scores_2014_N!Z57,$A$1)</f>
        <v>75</v>
      </c>
      <c r="M53" s="1">
        <f>ROUND(Scores_2014_N!AA57,$A$1)</f>
        <v>50</v>
      </c>
      <c r="N53" s="1">
        <f>ROUND(Scores_2014_N!AB57,$A$1)</f>
        <v>100</v>
      </c>
      <c r="O53" s="1">
        <f>ROUND(Scores_2014_N!AC57,$A$1)</f>
        <v>50</v>
      </c>
      <c r="P53" s="1">
        <f>ROUND(Scores_2014_N!AD57,$A$1)</f>
        <v>75</v>
      </c>
      <c r="Q53" s="1">
        <f>ROUND(Scores_2014_N!AE57,$A$1)</f>
        <v>0</v>
      </c>
      <c r="R53" s="1">
        <f>ROUND(Scores_2014_N!AF57,$A$1)</f>
        <v>100</v>
      </c>
      <c r="S53" s="1">
        <f>ROUND(Scores_2014_N!AG57,$A$1)</f>
        <v>50</v>
      </c>
      <c r="T53" s="1">
        <f>ROUND(Scores_2014_N!AH57,$A$1)</f>
        <v>75</v>
      </c>
      <c r="U53" s="1">
        <f>ROUND(Scores_2014_N!AI57,$A$1)</f>
        <v>75</v>
      </c>
      <c r="V53" s="1">
        <f>ROUND(Scores_2014_N!AJ57,$A$1)</f>
        <v>75</v>
      </c>
      <c r="W53" s="1">
        <f>ROUND(Scores_2014_N!AK57,$A$1)</f>
        <v>100</v>
      </c>
      <c r="X53" s="1">
        <f>ROUND(Scores_2014_N!AL57,$A$1)</f>
        <v>0</v>
      </c>
      <c r="Y53" s="1">
        <f>ROUND(Scores_2014_N!AM57,$A$1)</f>
        <v>75</v>
      </c>
      <c r="Z53" s="1">
        <f>ROUND(Scores_2014_N!AN57,$A$1)</f>
        <v>75</v>
      </c>
      <c r="AA53" s="1">
        <f>ROUND(Scores_2014_N!AO57,$A$1)</f>
        <v>75</v>
      </c>
      <c r="AB53" s="1">
        <f>ROUND(Scores_2014_N!AP57,$A$1)</f>
        <v>75</v>
      </c>
      <c r="AC53" s="1">
        <f>ROUND(Scores_2014_N!AQ57,$A$1)</f>
        <v>100</v>
      </c>
      <c r="AD53" s="1">
        <f>ROUND(Scores_2014_N!AR57,$A$1)</f>
        <v>75</v>
      </c>
      <c r="AE53" s="1">
        <f>ROUND(Scores_2014_N!AS57,$A$1)</f>
        <v>25</v>
      </c>
      <c r="AF53" s="1">
        <f>ROUND(Scores_2014_N!AT57,$A$1)</f>
        <v>100</v>
      </c>
      <c r="AG53" s="1">
        <f>ROUND(Scores_2014_N!AU57,$A$1)</f>
        <v>75</v>
      </c>
      <c r="AH53" s="1">
        <f>ROUND(Scores_2014_N!AV57,$A$1)</f>
        <v>75</v>
      </c>
      <c r="AI53" s="1">
        <f>ROUND(Scores_2014_N!AW57,$A$1)</f>
        <v>50</v>
      </c>
      <c r="AJ53" s="1">
        <f>ROUND(Scores_2014_N!AX57,$A$1)</f>
        <v>25</v>
      </c>
      <c r="AK53" s="1">
        <f>ROUND(Scores_2014_N!AY57,$A$1)</f>
        <v>100</v>
      </c>
      <c r="AL53" s="1">
        <f>ROUND(Scores_2014_N!AZ57,$A$1)</f>
        <v>75</v>
      </c>
      <c r="AM53" s="1">
        <f>ROUND(Scores_2014_N!BA57,$A$1)</f>
        <v>100</v>
      </c>
      <c r="AN53" s="1">
        <f>ROUND(Scores_2014_N!BB57,$A$1)</f>
        <v>100</v>
      </c>
      <c r="AO53" s="1">
        <f>ROUND(Scores_2014_N!BC57,$A$1)</f>
        <v>75</v>
      </c>
      <c r="AP53" s="1">
        <f>ROUND(Scores_2014_N!BD57,$A$1)</f>
        <v>75</v>
      </c>
      <c r="AQ53" s="1">
        <f>ROUND(Scores_2014_N!BE57,$A$1)</f>
        <v>75</v>
      </c>
      <c r="AR53" s="1">
        <f>ROUND(Scores_2014_N!BF57,$A$1)</f>
        <v>100</v>
      </c>
      <c r="AS53" s="1">
        <f>ROUND(Scores_2014_N!BG57,$A$1)</f>
        <v>100</v>
      </c>
      <c r="AT53" s="1">
        <f>ROUND(Scores_2014_N!BH57,$A$1)</f>
        <v>75</v>
      </c>
      <c r="AU53" s="1">
        <f>ROUND(Scores_2014_N!BI57,$A$1)</f>
        <v>100</v>
      </c>
      <c r="AW53" s="1">
        <f t="shared" si="1"/>
        <v>73.3695652173913</v>
      </c>
    </row>
    <row r="54" spans="1:49">
      <c r="A54" s="1" t="str">
        <f>Scores_2014_N!N58</f>
        <v>   4.2.3) Organised crime</v>
      </c>
      <c r="B54" s="1">
        <f>ROUND(Scores_2014_N!P58,$A$1)</f>
        <v>75</v>
      </c>
      <c r="C54" s="1">
        <f>ROUND(Scores_2014_N!Q58,$A$1)</f>
        <v>100</v>
      </c>
      <c r="D54" s="1">
        <f>ROUND(Scores_2014_N!R58,$A$1)</f>
        <v>50</v>
      </c>
      <c r="E54" s="1">
        <f>ROUND(Scores_2014_N!S58,$A$1)</f>
        <v>75</v>
      </c>
      <c r="F54" s="1">
        <f>ROUND(Scores_2014_N!T58,$A$1)</f>
        <v>50</v>
      </c>
      <c r="G54" s="1">
        <f>ROUND(Scores_2014_N!U58,$A$1)</f>
        <v>75</v>
      </c>
      <c r="H54" s="1">
        <f>ROUND(Scores_2014_N!V58,$A$1)</f>
        <v>50</v>
      </c>
      <c r="I54" s="1">
        <f>ROUND(Scores_2014_N!W58,$A$1)</f>
        <v>75</v>
      </c>
      <c r="J54" s="1">
        <f>ROUND(Scores_2014_N!X58,$A$1)</f>
        <v>50</v>
      </c>
      <c r="K54" s="1">
        <f>ROUND(Scores_2014_N!Y58,$A$1)</f>
        <v>100</v>
      </c>
      <c r="L54" s="1">
        <f>ROUND(Scores_2014_N!Z58,$A$1)</f>
        <v>75</v>
      </c>
      <c r="M54" s="1">
        <f>ROUND(Scores_2014_N!AA58,$A$1)</f>
        <v>50</v>
      </c>
      <c r="N54" s="1">
        <f>ROUND(Scores_2014_N!AB58,$A$1)</f>
        <v>75</v>
      </c>
      <c r="O54" s="1">
        <f>ROUND(Scores_2014_N!AC58,$A$1)</f>
        <v>50</v>
      </c>
      <c r="P54" s="1">
        <f>ROUND(Scores_2014_N!AD58,$A$1)</f>
        <v>50</v>
      </c>
      <c r="Q54" s="1">
        <f>ROUND(Scores_2014_N!AE58,$A$1)</f>
        <v>25</v>
      </c>
      <c r="R54" s="1">
        <f>ROUND(Scores_2014_N!AF58,$A$1)</f>
        <v>75</v>
      </c>
      <c r="S54" s="1">
        <f>ROUND(Scores_2014_N!AG58,$A$1)</f>
        <v>25</v>
      </c>
      <c r="T54" s="1">
        <f>ROUND(Scores_2014_N!AH58,$A$1)</f>
        <v>75</v>
      </c>
      <c r="U54" s="1">
        <f>ROUND(Scores_2014_N!AI58,$A$1)</f>
        <v>75</v>
      </c>
      <c r="V54" s="1">
        <f>ROUND(Scores_2014_N!AJ58,$A$1)</f>
        <v>75</v>
      </c>
      <c r="W54" s="1">
        <f>ROUND(Scores_2014_N!AK58,$A$1)</f>
        <v>75</v>
      </c>
      <c r="X54" s="1">
        <f>ROUND(Scores_2014_N!AL58,$A$1)</f>
        <v>0</v>
      </c>
      <c r="Y54" s="1">
        <f>ROUND(Scores_2014_N!AM58,$A$1)</f>
        <v>25</v>
      </c>
      <c r="Z54" s="1">
        <f>ROUND(Scores_2014_N!AN58,$A$1)</f>
        <v>25</v>
      </c>
      <c r="AA54" s="1">
        <f>ROUND(Scores_2014_N!AO58,$A$1)</f>
        <v>50</v>
      </c>
      <c r="AB54" s="1">
        <f>ROUND(Scores_2014_N!AP58,$A$1)</f>
        <v>75</v>
      </c>
      <c r="AC54" s="1">
        <f>ROUND(Scores_2014_N!AQ58,$A$1)</f>
        <v>50</v>
      </c>
      <c r="AD54" s="1">
        <f>ROUND(Scores_2014_N!AR58,$A$1)</f>
        <v>75</v>
      </c>
      <c r="AE54" s="1">
        <f>ROUND(Scores_2014_N!AS58,$A$1)</f>
        <v>50</v>
      </c>
      <c r="AF54" s="1">
        <f>ROUND(Scores_2014_N!AT58,$A$1)</f>
        <v>75</v>
      </c>
      <c r="AG54" s="1">
        <f>ROUND(Scores_2014_N!AU58,$A$1)</f>
        <v>25</v>
      </c>
      <c r="AH54" s="1">
        <f>ROUND(Scores_2014_N!AV58,$A$1)</f>
        <v>75</v>
      </c>
      <c r="AI54" s="1">
        <f>ROUND(Scores_2014_N!AW58,$A$1)</f>
        <v>75</v>
      </c>
      <c r="AJ54" s="1">
        <f>ROUND(Scores_2014_N!AX58,$A$1)</f>
        <v>50</v>
      </c>
      <c r="AK54" s="1">
        <f>ROUND(Scores_2014_N!AY58,$A$1)</f>
        <v>75</v>
      </c>
      <c r="AL54" s="1">
        <f>ROUND(Scores_2014_N!AZ58,$A$1)</f>
        <v>50</v>
      </c>
      <c r="AM54" s="1">
        <f>ROUND(Scores_2014_N!BA58,$A$1)</f>
        <v>100</v>
      </c>
      <c r="AN54" s="1">
        <f>ROUND(Scores_2014_N!BB58,$A$1)</f>
        <v>100</v>
      </c>
      <c r="AO54" s="1">
        <f>ROUND(Scores_2014_N!BC58,$A$1)</f>
        <v>75</v>
      </c>
      <c r="AP54" s="1">
        <f>ROUND(Scores_2014_N!BD58,$A$1)</f>
        <v>75</v>
      </c>
      <c r="AQ54" s="1">
        <f>ROUND(Scores_2014_N!BE58,$A$1)</f>
        <v>75</v>
      </c>
      <c r="AR54" s="1">
        <f>ROUND(Scores_2014_N!BF58,$A$1)</f>
        <v>50</v>
      </c>
      <c r="AS54" s="1">
        <f>ROUND(Scores_2014_N!BG58,$A$1)</f>
        <v>75</v>
      </c>
      <c r="AT54" s="1">
        <f>ROUND(Scores_2014_N!BH58,$A$1)</f>
        <v>75</v>
      </c>
      <c r="AU54" s="1">
        <f>ROUND(Scores_2014_N!BI58,$A$1)</f>
        <v>75</v>
      </c>
      <c r="AW54" s="1">
        <f t="shared" si="1"/>
        <v>63.0434782608696</v>
      </c>
    </row>
    <row r="55" spans="1:49">
      <c r="A55" s="1" t="str">
        <f>Scores_2014_N!N59</f>
        <v>   4.2.4) Level of corruption</v>
      </c>
      <c r="B55" s="1">
        <f>ROUND(Scores_2014_N!P59,$A$1)</f>
        <v>70</v>
      </c>
      <c r="C55" s="1">
        <f>ROUND(Scores_2014_N!Q59,$A$1)</f>
        <v>83</v>
      </c>
      <c r="D55" s="1">
        <f>ROUND(Scores_2014_N!R59,$A$1)</f>
        <v>38</v>
      </c>
      <c r="E55" s="1">
        <f>ROUND(Scores_2014_N!S59,$A$1)</f>
        <v>60</v>
      </c>
      <c r="F55" s="1">
        <f>ROUND(Scores_2014_N!T59,$A$1)</f>
        <v>36</v>
      </c>
      <c r="G55" s="1">
        <f>ROUND(Scores_2014_N!U59,$A$1)</f>
        <v>76</v>
      </c>
      <c r="H55" s="1">
        <f>ROUND(Scores_2014_N!V59,$A$1)</f>
        <v>34</v>
      </c>
      <c r="I55" s="1">
        <f>ROUND(Scores_2014_N!W59,$A$1)</f>
        <v>74</v>
      </c>
      <c r="J55" s="1">
        <f>ROUND(Scores_2014_N!X59,$A$1)</f>
        <v>38</v>
      </c>
      <c r="K55" s="1">
        <f>ROUND(Scores_2014_N!Y59,$A$1)</f>
        <v>69</v>
      </c>
      <c r="L55" s="1">
        <f>ROUND(Scores_2014_N!Z59,$A$1)</f>
        <v>79</v>
      </c>
      <c r="M55" s="1">
        <f>ROUND(Scores_2014_N!AA59,$A$1)</f>
        <v>31</v>
      </c>
      <c r="N55" s="1">
        <f>ROUND(Scores_2014_N!AB59,$A$1)</f>
        <v>74</v>
      </c>
      <c r="O55" s="1">
        <f>ROUND(Scores_2014_N!AC59,$A$1)</f>
        <v>45</v>
      </c>
      <c r="P55" s="1">
        <f>ROUND(Scores_2014_N!AD59,$A$1)</f>
        <v>34</v>
      </c>
      <c r="Q55" s="1">
        <f>ROUND(Scores_2014_N!AE59,$A$1)</f>
        <v>44</v>
      </c>
      <c r="R55" s="1">
        <f>ROUND(Scores_2014_N!AF59,$A$1)</f>
        <v>44</v>
      </c>
      <c r="S55" s="1">
        <f>ROUND(Scores_2014_N!AG59,$A$1)</f>
        <v>38</v>
      </c>
      <c r="T55" s="1">
        <f>ROUND(Scores_2014_N!AH59,$A$1)</f>
        <v>78</v>
      </c>
      <c r="U55" s="1">
        <f>ROUND(Scores_2014_N!AI59,$A$1)</f>
        <v>74</v>
      </c>
      <c r="V55" s="1">
        <f>ROUND(Scores_2014_N!AJ59,$A$1)</f>
        <v>60</v>
      </c>
      <c r="W55" s="1">
        <f>ROUND(Scores_2014_N!AK59,$A$1)</f>
        <v>80</v>
      </c>
      <c r="X55" s="1">
        <f>ROUND(Scores_2014_N!AL59,$A$1)</f>
        <v>35</v>
      </c>
      <c r="Y55" s="1">
        <f>ROUND(Scores_2014_N!AM59,$A$1)</f>
        <v>43</v>
      </c>
      <c r="Z55" s="1">
        <f>ROUND(Scores_2014_N!AN59,$A$1)</f>
        <v>27</v>
      </c>
      <c r="AA55" s="1">
        <f>ROUND(Scores_2014_N!AO59,$A$1)</f>
        <v>38</v>
      </c>
      <c r="AB55" s="1">
        <f>ROUND(Scores_2014_N!AP59,$A$1)</f>
        <v>74</v>
      </c>
      <c r="AC55" s="1">
        <f>ROUND(Scores_2014_N!AQ59,$A$1)</f>
        <v>76</v>
      </c>
      <c r="AD55" s="1">
        <f>ROUND(Scores_2014_N!AR59,$A$1)</f>
        <v>69</v>
      </c>
      <c r="AE55" s="1">
        <f>ROUND(Scores_2014_N!AS59,$A$1)</f>
        <v>43</v>
      </c>
      <c r="AF55" s="1">
        <f>ROUND(Scores_2014_N!AT59,$A$1)</f>
        <v>49</v>
      </c>
      <c r="AG55" s="1">
        <f>ROUND(Scores_2014_N!AU59,$A$1)</f>
        <v>43</v>
      </c>
      <c r="AH55" s="1">
        <f>ROUND(Scores_2014_N!AV59,$A$1)</f>
        <v>74</v>
      </c>
      <c r="AI55" s="1">
        <f>ROUND(Scores_2014_N!AW59,$A$1)</f>
        <v>73</v>
      </c>
      <c r="AJ55" s="1">
        <f>ROUND(Scores_2014_N!AX59,$A$1)</f>
        <v>43</v>
      </c>
      <c r="AK55" s="1">
        <f>ROUND(Scores_2014_N!AY59,$A$1)</f>
        <v>55</v>
      </c>
      <c r="AL55" s="1">
        <f>ROUND(Scores_2014_N!AZ59,$A$1)</f>
        <v>36</v>
      </c>
      <c r="AM55" s="1">
        <f>ROUND(Scores_2014_N!BA59,$A$1)</f>
        <v>84</v>
      </c>
      <c r="AN55" s="1">
        <f>ROUND(Scores_2014_N!BB59,$A$1)</f>
        <v>87</v>
      </c>
      <c r="AO55" s="1">
        <f>ROUND(Scores_2014_N!BC59,$A$1)</f>
        <v>80</v>
      </c>
      <c r="AP55" s="1">
        <f>ROUND(Scores_2014_N!BD59,$A$1)</f>
        <v>61</v>
      </c>
      <c r="AQ55" s="1">
        <f>ROUND(Scores_2014_N!BE59,$A$1)</f>
        <v>27</v>
      </c>
      <c r="AR55" s="1">
        <f>ROUND(Scores_2014_N!BF59,$A$1)</f>
        <v>76</v>
      </c>
      <c r="AS55" s="1">
        <f>ROUND(Scores_2014_N!BG59,$A$1)</f>
        <v>81</v>
      </c>
      <c r="AT55" s="1">
        <f>ROUND(Scores_2014_N!BH59,$A$1)</f>
        <v>74</v>
      </c>
      <c r="AU55" s="1">
        <f>ROUND(Scores_2014_N!BI59,$A$1)</f>
        <v>86</v>
      </c>
      <c r="AW55" s="1">
        <f t="shared" si="1"/>
        <v>58.5434782608696</v>
      </c>
    </row>
    <row r="56" spans="1:49">
      <c r="A56" s="1" t="str">
        <f>Scores_2014_N!N60</f>
        <v>   4.2.5) Rate of drug use </v>
      </c>
      <c r="B56" s="1">
        <f>ROUND(Scores_2014_N!P60,$A$1)</f>
        <v>99.61</v>
      </c>
      <c r="C56" s="1">
        <f>ROUND(Scores_2014_N!Q60,$A$1)</f>
        <v>77.22</v>
      </c>
      <c r="D56" s="1">
        <f>ROUND(Scores_2014_N!R60,$A$1)</f>
        <v>96.53</v>
      </c>
      <c r="E56" s="1">
        <f>ROUND(Scores_2014_N!S60,$A$1)</f>
        <v>0</v>
      </c>
      <c r="F56" s="1">
        <f>ROUND(Scores_2014_N!T60,$A$1)</f>
        <v>90.73</v>
      </c>
      <c r="G56" s="1">
        <f>ROUND(Scores_2014_N!U60,$A$1)</f>
        <v>65.64</v>
      </c>
      <c r="H56" s="1">
        <f>ROUND(Scores_2014_N!V60,$A$1)</f>
        <v>0</v>
      </c>
      <c r="I56" s="1">
        <f>ROUND(Scores_2014_N!W60,$A$1)</f>
        <v>7.72</v>
      </c>
      <c r="J56" s="1">
        <f>ROUND(Scores_2014_N!X60,$A$1)</f>
        <v>84.94</v>
      </c>
      <c r="K56" s="1">
        <f>ROUND(Scores_2014_N!Y60,$A$1)</f>
        <v>98.07</v>
      </c>
      <c r="L56" s="1">
        <f>ROUND(Scores_2014_N!Z60,$A$1)</f>
        <v>65.64</v>
      </c>
      <c r="M56" s="1">
        <f>ROUND(Scores_2014_N!AA60,$A$1)</f>
        <v>96.53</v>
      </c>
      <c r="N56" s="1">
        <f>ROUND(Scores_2014_N!AB60,$A$1)</f>
        <v>88.8</v>
      </c>
      <c r="O56" s="1">
        <f>ROUND(Scores_2014_N!AC60,$A$1)</f>
        <v>96.53</v>
      </c>
      <c r="P56" s="1">
        <f>ROUND(Scores_2014_N!AD60,$A$1)</f>
        <v>96.53</v>
      </c>
      <c r="Q56" s="1">
        <f>ROUND(Scores_2014_N!AE60,$A$1)</f>
        <v>69.5</v>
      </c>
      <c r="R56" s="1">
        <f>ROUND(Scores_2014_N!AF60,$A$1)</f>
        <v>96.53</v>
      </c>
      <c r="S56" s="1">
        <f>ROUND(Scores_2014_N!AG60,$A$1)</f>
        <v>81.08</v>
      </c>
      <c r="T56" s="1">
        <f>ROUND(Scores_2014_N!AH60,$A$1)</f>
        <v>27.03</v>
      </c>
      <c r="U56" s="1">
        <f>ROUND(Scores_2014_N!AI60,$A$1)</f>
        <v>7.72</v>
      </c>
      <c r="V56" s="1">
        <f>ROUND(Scores_2014_N!AJ60,$A$1)</f>
        <v>0</v>
      </c>
      <c r="W56" s="1">
        <f>ROUND(Scores_2014_N!AK60,$A$1)</f>
        <v>27.03</v>
      </c>
      <c r="X56" s="1">
        <f>ROUND(Scores_2014_N!AL60,$A$1)</f>
        <v>84.94</v>
      </c>
      <c r="Y56" s="1">
        <f>ROUND(Scores_2014_N!AM60,$A$1)</f>
        <v>15.44</v>
      </c>
      <c r="Z56" s="1">
        <f>ROUND(Scores_2014_N!AN60,$A$1)</f>
        <v>92.66</v>
      </c>
      <c r="AA56" s="1">
        <f>ROUND(Scores_2014_N!AO60,$A$1)</f>
        <v>84.94</v>
      </c>
      <c r="AB56" s="1">
        <f>ROUND(Scores_2014_N!AP60,$A$1)</f>
        <v>7.72</v>
      </c>
      <c r="AC56" s="1">
        <f>ROUND(Scores_2014_N!AQ60,$A$1)</f>
        <v>99.23</v>
      </c>
      <c r="AD56" s="1">
        <f>ROUND(Scores_2014_N!AR60,$A$1)</f>
        <v>77.22</v>
      </c>
      <c r="AE56" s="1">
        <f>ROUND(Scores_2014_N!AS60,$A$1)</f>
        <v>73.36</v>
      </c>
      <c r="AF56" s="1">
        <f>ROUND(Scores_2014_N!AT60,$A$1)</f>
        <v>98.07</v>
      </c>
      <c r="AG56" s="1">
        <f>ROUND(Scores_2014_N!AU60,$A$1)</f>
        <v>15.44</v>
      </c>
      <c r="AH56" s="1">
        <f>ROUND(Scores_2014_N!AV60,$A$1)</f>
        <v>7.72</v>
      </c>
      <c r="AI56" s="1">
        <f>ROUND(Scores_2014_N!AW60,$A$1)</f>
        <v>7.72</v>
      </c>
      <c r="AJ56" s="1">
        <f>ROUND(Scores_2014_N!AX60,$A$1)</f>
        <v>73.36</v>
      </c>
      <c r="AK56" s="1">
        <f>ROUND(Scores_2014_N!AY60,$A$1)</f>
        <v>96.53</v>
      </c>
      <c r="AL56" s="1">
        <f>ROUND(Scores_2014_N!AZ60,$A$1)</f>
        <v>90.73</v>
      </c>
      <c r="AM56" s="1">
        <f>ROUND(Scores_2014_N!BA60,$A$1)</f>
        <v>100</v>
      </c>
      <c r="AN56" s="1">
        <f>ROUND(Scores_2014_N!BB60,$A$1)</f>
        <v>81.08</v>
      </c>
      <c r="AO56" s="1">
        <f>ROUND(Scores_2014_N!BC60,$A$1)</f>
        <v>27.03</v>
      </c>
      <c r="AP56" s="1">
        <f>ROUND(Scores_2014_N!BD60,$A$1)</f>
        <v>96.53</v>
      </c>
      <c r="AQ56" s="1">
        <f>ROUND(Scores_2014_N!BE60,$A$1)</f>
        <v>96.53</v>
      </c>
      <c r="AR56" s="1">
        <f>ROUND(Scores_2014_N!BF60,$A$1)</f>
        <v>99.23</v>
      </c>
      <c r="AS56" s="1">
        <f>ROUND(Scores_2014_N!BG60,$A$1)</f>
        <v>46.33</v>
      </c>
      <c r="AT56" s="1">
        <f>ROUND(Scores_2014_N!BH60,$A$1)</f>
        <v>7.72</v>
      </c>
      <c r="AU56" s="1">
        <f>ROUND(Scores_2014_N!BI60,$A$1)</f>
        <v>92.66</v>
      </c>
      <c r="AW56" s="1">
        <f t="shared" si="1"/>
        <v>64.0341304347826</v>
      </c>
    </row>
    <row r="57" spans="1:49">
      <c r="A57" s="1" t="str">
        <f>Scores_2014_N!N61</f>
        <v>   4.2.6) Frequency of terrorist attacks </v>
      </c>
      <c r="B57" s="1">
        <f>ROUND(Scores_2014_N!P61,$A$1)</f>
        <v>100</v>
      </c>
      <c r="C57" s="1">
        <f>ROUND(Scores_2014_N!Q61,$A$1)</f>
        <v>98.84</v>
      </c>
      <c r="D57" s="1">
        <f>ROUND(Scores_2014_N!R61,$A$1)</f>
        <v>0</v>
      </c>
      <c r="E57" s="1">
        <f>ROUND(Scores_2014_N!S61,$A$1)</f>
        <v>98.84</v>
      </c>
      <c r="F57" s="1">
        <f>ROUND(Scores_2014_N!T61,$A$1)</f>
        <v>96.51</v>
      </c>
      <c r="G57" s="1">
        <f>ROUND(Scores_2014_N!U61,$A$1)</f>
        <v>97.67</v>
      </c>
      <c r="H57" s="1">
        <f>ROUND(Scores_2014_N!V61,$A$1)</f>
        <v>87.21</v>
      </c>
      <c r="I57" s="1">
        <f>ROUND(Scores_2014_N!W61,$A$1)</f>
        <v>100</v>
      </c>
      <c r="J57" s="1">
        <f>ROUND(Scores_2014_N!X61,$A$1)</f>
        <v>83.72</v>
      </c>
      <c r="K57" s="1">
        <f>ROUND(Scores_2014_N!Y61,$A$1)</f>
        <v>98.84</v>
      </c>
      <c r="L57" s="1">
        <f>ROUND(Scores_2014_N!Z61,$A$1)</f>
        <v>97.67</v>
      </c>
      <c r="M57" s="1">
        <f>ROUND(Scores_2014_N!AA61,$A$1)</f>
        <v>100</v>
      </c>
      <c r="N57" s="1">
        <f>ROUND(Scores_2014_N!AB61,$A$1)</f>
        <v>98.84</v>
      </c>
      <c r="O57" s="1">
        <f>ROUND(Scores_2014_N!AC61,$A$1)</f>
        <v>36.05</v>
      </c>
      <c r="P57" s="1">
        <f>ROUND(Scores_2014_N!AD61,$A$1)</f>
        <v>77.91</v>
      </c>
      <c r="Q57" s="1">
        <f>ROUND(Scores_2014_N!AE61,$A$1)</f>
        <v>98.84</v>
      </c>
      <c r="R57" s="1">
        <f>ROUND(Scores_2014_N!AF61,$A$1)</f>
        <v>100</v>
      </c>
      <c r="S57" s="1">
        <f>ROUND(Scores_2014_N!AG61,$A$1)</f>
        <v>98.84</v>
      </c>
      <c r="T57" s="1">
        <f>ROUND(Scores_2014_N!AH61,$A$1)</f>
        <v>72.09</v>
      </c>
      <c r="U57" s="1">
        <f>ROUND(Scores_2014_N!AI61,$A$1)</f>
        <v>90.7</v>
      </c>
      <c r="V57" s="1">
        <f>ROUND(Scores_2014_N!AJ61,$A$1)</f>
        <v>77.91</v>
      </c>
      <c r="W57" s="1">
        <f>ROUND(Scores_2014_N!AK61,$A$1)</f>
        <v>100</v>
      </c>
      <c r="X57" s="1">
        <f>ROUND(Scores_2014_N!AL61,$A$1)</f>
        <v>93.02</v>
      </c>
      <c r="Y57" s="1">
        <f>ROUND(Scores_2014_N!AM61,$A$1)</f>
        <v>91.86</v>
      </c>
      <c r="Z57" s="1">
        <f>ROUND(Scores_2014_N!AN61,$A$1)</f>
        <v>74.42</v>
      </c>
      <c r="AA57" s="1">
        <f>ROUND(Scores_2014_N!AO61,$A$1)</f>
        <v>84.88</v>
      </c>
      <c r="AB57" s="1">
        <f>ROUND(Scores_2014_N!AP61,$A$1)</f>
        <v>90.7</v>
      </c>
      <c r="AC57" s="1">
        <f>ROUND(Scores_2014_N!AQ61,$A$1)</f>
        <v>100</v>
      </c>
      <c r="AD57" s="1">
        <f>ROUND(Scores_2014_N!AR61,$A$1)</f>
        <v>88.37</v>
      </c>
      <c r="AE57" s="1">
        <f>ROUND(Scores_2014_N!AS61,$A$1)</f>
        <v>100</v>
      </c>
      <c r="AF57" s="1">
        <f>ROUND(Scores_2014_N!AT61,$A$1)</f>
        <v>86.05</v>
      </c>
      <c r="AG57" s="1">
        <f>ROUND(Scores_2014_N!AU61,$A$1)</f>
        <v>89.53</v>
      </c>
      <c r="AH57" s="1">
        <f>ROUND(Scores_2014_N!AV61,$A$1)</f>
        <v>98.84</v>
      </c>
      <c r="AI57" s="1">
        <f>ROUND(Scores_2014_N!AW61,$A$1)</f>
        <v>62.79</v>
      </c>
      <c r="AJ57" s="1">
        <f>ROUND(Scores_2014_N!AX61,$A$1)</f>
        <v>97.67</v>
      </c>
      <c r="AK57" s="1">
        <f>ROUND(Scores_2014_N!AY61,$A$1)</f>
        <v>98.84</v>
      </c>
      <c r="AL57" s="1">
        <f>ROUND(Scores_2014_N!AZ61,$A$1)</f>
        <v>100</v>
      </c>
      <c r="AM57" s="1">
        <f>ROUND(Scores_2014_N!BA61,$A$1)</f>
        <v>100</v>
      </c>
      <c r="AN57" s="1">
        <f>ROUND(Scores_2014_N!BB61,$A$1)</f>
        <v>95.35</v>
      </c>
      <c r="AO57" s="1">
        <f>ROUND(Scores_2014_N!BC61,$A$1)</f>
        <v>100</v>
      </c>
      <c r="AP57" s="1">
        <f>ROUND(Scores_2014_N!BD61,$A$1)</f>
        <v>97.67</v>
      </c>
      <c r="AQ57" s="1">
        <f>ROUND(Scores_2014_N!BE61,$A$1)</f>
        <v>87.21</v>
      </c>
      <c r="AR57" s="1">
        <f>ROUND(Scores_2014_N!BF61,$A$1)</f>
        <v>100</v>
      </c>
      <c r="AS57" s="1">
        <f>ROUND(Scores_2014_N!BG61,$A$1)</f>
        <v>98.84</v>
      </c>
      <c r="AT57" s="1">
        <f>ROUND(Scores_2014_N!BH61,$A$1)</f>
        <v>96.51</v>
      </c>
      <c r="AU57" s="1">
        <f>ROUND(Scores_2014_N!BI61,$A$1)</f>
        <v>98.84</v>
      </c>
      <c r="AW57" s="1">
        <f t="shared" si="1"/>
        <v>90.0406521739131</v>
      </c>
    </row>
    <row r="58" spans="1:49">
      <c r="A58" s="1" t="str">
        <f>Scores_2014_N!N62</f>
        <v>   4.2.7) Severity of terrorist attacks</v>
      </c>
      <c r="B58" s="1">
        <f>ROUND(Scores_2014_N!P62,$A$1)</f>
        <v>100</v>
      </c>
      <c r="C58" s="1">
        <f>ROUND(Scores_2014_N!Q62,$A$1)</f>
        <v>99.86</v>
      </c>
      <c r="D58" s="1">
        <f>ROUND(Scores_2014_N!R62,$A$1)</f>
        <v>86.6</v>
      </c>
      <c r="E58" s="1">
        <f>ROUND(Scores_2014_N!S62,$A$1)</f>
        <v>99.95</v>
      </c>
      <c r="F58" s="1">
        <f>ROUND(Scores_2014_N!T62,$A$1)</f>
        <v>96.74</v>
      </c>
      <c r="G58" s="1">
        <f>ROUND(Scores_2014_N!U62,$A$1)</f>
        <v>99.9</v>
      </c>
      <c r="H58" s="1">
        <f>ROUND(Scores_2014_N!V62,$A$1)</f>
        <v>99.9</v>
      </c>
      <c r="I58" s="1">
        <f>ROUND(Scores_2014_N!W62,$A$1)</f>
        <v>100</v>
      </c>
      <c r="J58" s="1">
        <f>ROUND(Scores_2014_N!X62,$A$1)</f>
        <v>75.06</v>
      </c>
      <c r="K58" s="1">
        <f>ROUND(Scores_2014_N!Y62,$A$1)</f>
        <v>99.33</v>
      </c>
      <c r="L58" s="1">
        <f>ROUND(Scores_2014_N!Z62,$A$1)</f>
        <v>99.81</v>
      </c>
      <c r="M58" s="1">
        <f>ROUND(Scores_2014_N!AA62,$A$1)</f>
        <v>100</v>
      </c>
      <c r="N58" s="1">
        <f>ROUND(Scores_2014_N!AB62,$A$1)</f>
        <v>95.17</v>
      </c>
      <c r="O58" s="1">
        <f>ROUND(Scores_2014_N!AC62,$A$1)</f>
        <v>83.72</v>
      </c>
      <c r="P58" s="1">
        <f>ROUND(Scores_2014_N!AD62,$A$1)</f>
        <v>87.41</v>
      </c>
      <c r="Q58" s="1">
        <f>ROUND(Scores_2014_N!AE62,$A$1)</f>
        <v>100</v>
      </c>
      <c r="R58" s="1">
        <f>ROUND(Scores_2014_N!AF62,$A$1)</f>
        <v>100</v>
      </c>
      <c r="S58" s="1">
        <f>ROUND(Scores_2014_N!AG62,$A$1)</f>
        <v>99.81</v>
      </c>
      <c r="T58" s="1">
        <f>ROUND(Scores_2014_N!AH62,$A$1)</f>
        <v>59.07</v>
      </c>
      <c r="U58" s="1">
        <f>ROUND(Scores_2014_N!AI62,$A$1)</f>
        <v>99.76</v>
      </c>
      <c r="V58" s="1">
        <f>ROUND(Scores_2014_N!AJ62,$A$1)</f>
        <v>0</v>
      </c>
      <c r="W58" s="1">
        <f>ROUND(Scores_2014_N!AK62,$A$1)</f>
        <v>100</v>
      </c>
      <c r="X58" s="1">
        <f>ROUND(Scores_2014_N!AL62,$A$1)</f>
        <v>93.11</v>
      </c>
      <c r="Y58" s="1">
        <f>ROUND(Scores_2014_N!AM62,$A$1)</f>
        <v>99.86</v>
      </c>
      <c r="Z58" s="1">
        <f>ROUND(Scores_2014_N!AN62,$A$1)</f>
        <v>95.79</v>
      </c>
      <c r="AA58" s="1">
        <f>ROUND(Scores_2014_N!AO62,$A$1)</f>
        <v>23.36</v>
      </c>
      <c r="AB58" s="1">
        <f>ROUND(Scores_2014_N!AP62,$A$1)</f>
        <v>100</v>
      </c>
      <c r="AC58" s="1">
        <f>ROUND(Scores_2014_N!AQ62,$A$1)</f>
        <v>100</v>
      </c>
      <c r="AD58" s="1">
        <f>ROUND(Scores_2014_N!AR62,$A$1)</f>
        <v>99.28</v>
      </c>
      <c r="AE58" s="1">
        <f>ROUND(Scores_2014_N!AS62,$A$1)</f>
        <v>100</v>
      </c>
      <c r="AF58" s="1">
        <f>ROUND(Scores_2014_N!AT62,$A$1)</f>
        <v>87.79</v>
      </c>
      <c r="AG58" s="1">
        <f>ROUND(Scores_2014_N!AU62,$A$1)</f>
        <v>99.71</v>
      </c>
      <c r="AH58" s="1">
        <f>ROUND(Scores_2014_N!AV62,$A$1)</f>
        <v>100</v>
      </c>
      <c r="AI58" s="1">
        <f>ROUND(Scores_2014_N!AW62,$A$1)</f>
        <v>99.81</v>
      </c>
      <c r="AJ58" s="1">
        <f>ROUND(Scores_2014_N!AX62,$A$1)</f>
        <v>99.47</v>
      </c>
      <c r="AK58" s="1">
        <f>ROUND(Scores_2014_N!AY62,$A$1)</f>
        <v>99.95</v>
      </c>
      <c r="AL58" s="1">
        <f>ROUND(Scores_2014_N!AZ62,$A$1)</f>
        <v>99.28</v>
      </c>
      <c r="AM58" s="1">
        <f>ROUND(Scores_2014_N!BA62,$A$1)</f>
        <v>100</v>
      </c>
      <c r="AN58" s="1">
        <f>ROUND(Scores_2014_N!BB62,$A$1)</f>
        <v>99.86</v>
      </c>
      <c r="AO58" s="1">
        <f>ROUND(Scores_2014_N!BC62,$A$1)</f>
        <v>100</v>
      </c>
      <c r="AP58" s="1">
        <f>ROUND(Scores_2014_N!BD62,$A$1)</f>
        <v>99.95</v>
      </c>
      <c r="AQ58" s="1">
        <f>ROUND(Scores_2014_N!BE62,$A$1)</f>
        <v>94.83</v>
      </c>
      <c r="AR58" s="1">
        <f>ROUND(Scores_2014_N!BF62,$A$1)</f>
        <v>100</v>
      </c>
      <c r="AS58" s="1">
        <f>ROUND(Scores_2014_N!BG62,$A$1)</f>
        <v>100</v>
      </c>
      <c r="AT58" s="1">
        <f>ROUND(Scores_2014_N!BH62,$A$1)</f>
        <v>99.9</v>
      </c>
      <c r="AU58" s="1">
        <f>ROUND(Scores_2014_N!BI62,$A$1)</f>
        <v>100</v>
      </c>
      <c r="AW58" s="1">
        <f t="shared" si="1"/>
        <v>92.9139130434783</v>
      </c>
    </row>
    <row r="59" spans="1:49">
      <c r="A59" s="1" t="str">
        <f>Scores_2014_N!N63</f>
        <v>   4.2.8) Gender safety</v>
      </c>
      <c r="B59" s="1">
        <f>ROUND(Scores_2014_N!P63,$A$1)</f>
        <v>90.38</v>
      </c>
      <c r="C59" s="1">
        <f>ROUND(Scores_2014_N!Q63,$A$1)</f>
        <v>97.12</v>
      </c>
      <c r="D59" s="1">
        <f>ROUND(Scores_2014_N!R63,$A$1)</f>
        <v>90.38</v>
      </c>
      <c r="E59" s="1">
        <f>ROUND(Scores_2014_N!S63,$A$1)</f>
        <v>98.08</v>
      </c>
      <c r="F59" s="1">
        <f>ROUND(Scores_2014_N!T63,$A$1)</f>
        <v>95.19</v>
      </c>
      <c r="G59" s="1">
        <f>ROUND(Scores_2014_N!U63,$A$1)</f>
        <v>95.19</v>
      </c>
      <c r="H59" s="1">
        <f>ROUND(Scores_2014_N!V63,$A$1)</f>
        <v>87.5</v>
      </c>
      <c r="I59" s="1">
        <f>ROUND(Scores_2014_N!W63,$A$1)</f>
        <v>68.92</v>
      </c>
      <c r="J59" s="1">
        <f>ROUND(Scores_2014_N!X63,$A$1)</f>
        <v>88.46</v>
      </c>
      <c r="K59" s="1">
        <f>ROUND(Scores_2014_N!Y63,$A$1)</f>
        <v>66.35</v>
      </c>
      <c r="L59" s="1">
        <f>ROUND(Scores_2014_N!Z63,$A$1)</f>
        <v>95.19</v>
      </c>
      <c r="M59" s="1">
        <f>ROUND(Scores_2014_N!AA63,$A$1)</f>
        <v>85.58</v>
      </c>
      <c r="N59" s="1">
        <f>ROUND(Scores_2014_N!AB63,$A$1)</f>
        <v>99.86</v>
      </c>
      <c r="O59" s="1">
        <f>ROUND(Scores_2014_N!AC63,$A$1)</f>
        <v>96.15</v>
      </c>
      <c r="P59" s="1">
        <f>ROUND(Scores_2014_N!AD63,$A$1)</f>
        <v>82.69</v>
      </c>
      <c r="Q59" s="1">
        <f>ROUND(Scores_2014_N!AE63,$A$1)</f>
        <v>0</v>
      </c>
      <c r="R59" s="1">
        <f>ROUND(Scores_2014_N!AF63,$A$1)</f>
        <v>96.15</v>
      </c>
      <c r="S59" s="1">
        <f>ROUND(Scores_2014_N!AG63,$A$1)</f>
        <v>61.54</v>
      </c>
      <c r="T59" s="1">
        <f>ROUND(Scores_2014_N!AH63,$A$1)</f>
        <v>93.27</v>
      </c>
      <c r="U59" s="1">
        <f>ROUND(Scores_2014_N!AI63,$A$1)</f>
        <v>85.51</v>
      </c>
      <c r="V59" s="1">
        <f>ROUND(Scores_2014_N!AJ63,$A$1)</f>
        <v>98.08</v>
      </c>
      <c r="W59" s="1">
        <f>ROUND(Scores_2014_N!AK63,$A$1)</f>
        <v>95.19</v>
      </c>
      <c r="X59" s="1">
        <f>ROUND(Scores_2014_N!AL63,$A$1)</f>
        <v>58.65</v>
      </c>
      <c r="Y59" s="1">
        <f>ROUND(Scores_2014_N!AM63,$A$1)</f>
        <v>98.08</v>
      </c>
      <c r="Z59" s="1">
        <f>ROUND(Scores_2014_N!AN63,$A$1)</f>
        <v>45.19</v>
      </c>
      <c r="AA59" s="1">
        <f>ROUND(Scores_2014_N!AO63,$A$1)</f>
        <v>88.46</v>
      </c>
      <c r="AB59" s="1">
        <f>ROUND(Scores_2014_N!AP63,$A$1)</f>
        <v>91.56</v>
      </c>
      <c r="AC59" s="1">
        <f>ROUND(Scores_2014_N!AQ63,$A$1)</f>
        <v>100</v>
      </c>
      <c r="AD59" s="1">
        <f>ROUND(Scores_2014_N!AR63,$A$1)</f>
        <v>95.19</v>
      </c>
      <c r="AE59" s="1">
        <f>ROUND(Scores_2014_N!AS63,$A$1)</f>
        <v>49.04</v>
      </c>
      <c r="AF59" s="1">
        <f>ROUND(Scores_2014_N!AT63,$A$1)</f>
        <v>48.08</v>
      </c>
      <c r="AG59" s="1">
        <f>ROUND(Scores_2014_N!AU63,$A$1)</f>
        <v>98.08</v>
      </c>
      <c r="AH59" s="1">
        <f>ROUND(Scores_2014_N!AV63,$A$1)</f>
        <v>85.51</v>
      </c>
      <c r="AI59" s="1">
        <f>ROUND(Scores_2014_N!AW63,$A$1)</f>
        <v>89.42</v>
      </c>
      <c r="AJ59" s="1">
        <f>ROUND(Scores_2014_N!AX63,$A$1)</f>
        <v>49.04</v>
      </c>
      <c r="AK59" s="1">
        <f>ROUND(Scores_2014_N!AY63,$A$1)</f>
        <v>88.46</v>
      </c>
      <c r="AL59" s="1">
        <f>ROUND(Scores_2014_N!AZ63,$A$1)</f>
        <v>95.19</v>
      </c>
      <c r="AM59" s="1">
        <f>ROUND(Scores_2014_N!BA63,$A$1)</f>
        <v>99.04</v>
      </c>
      <c r="AN59" s="1">
        <f>ROUND(Scores_2014_N!BB63,$A$1)</f>
        <v>98.08</v>
      </c>
      <c r="AO59" s="1">
        <f>ROUND(Scores_2014_N!BC63,$A$1)</f>
        <v>95.19</v>
      </c>
      <c r="AP59" s="1">
        <f>ROUND(Scores_2014_N!BD63,$A$1)</f>
        <v>93.85</v>
      </c>
      <c r="AQ59" s="1">
        <f>ROUND(Scores_2014_N!BE63,$A$1)</f>
        <v>85.58</v>
      </c>
      <c r="AR59" s="1">
        <f>ROUND(Scores_2014_N!BF63,$A$1)</f>
        <v>100</v>
      </c>
      <c r="AS59" s="1">
        <f>ROUND(Scores_2014_N!BG63,$A$1)</f>
        <v>95.19</v>
      </c>
      <c r="AT59" s="1">
        <f>ROUND(Scores_2014_N!BH63,$A$1)</f>
        <v>70.83</v>
      </c>
      <c r="AU59" s="1">
        <f>ROUND(Scores_2014_N!BI63,$A$1)</f>
        <v>98.08</v>
      </c>
      <c r="AW59" s="1">
        <f t="shared" si="1"/>
        <v>84.4036956521739</v>
      </c>
    </row>
    <row r="60" spans="1:49">
      <c r="A60" s="1" t="str">
        <f>Scores_2014_N!N64</f>
        <v>   4.2.9) Perceptions of safety</v>
      </c>
      <c r="B60" s="1">
        <f>ROUND(Scores_2014_N!P64,$A$1)</f>
        <v>86.02</v>
      </c>
      <c r="C60" s="1">
        <f>ROUND(Scores_2014_N!Q64,$A$1)</f>
        <v>68.41</v>
      </c>
      <c r="D60" s="1">
        <f>ROUND(Scores_2014_N!R64,$A$1)</f>
        <v>63.85</v>
      </c>
      <c r="E60" s="1">
        <f>ROUND(Scores_2014_N!S64,$A$1)</f>
        <v>58.33</v>
      </c>
      <c r="F60" s="1">
        <f>ROUND(Scores_2014_N!T64,$A$1)</f>
        <v>58.3</v>
      </c>
      <c r="G60" s="1">
        <f>ROUND(Scores_2014_N!U64,$A$1)</f>
        <v>46.19</v>
      </c>
      <c r="H60" s="1">
        <f>ROUND(Scores_2014_N!V64,$A$1)</f>
        <v>38.49</v>
      </c>
      <c r="I60" s="1">
        <f>ROUND(Scores_2014_N!W64,$A$1)</f>
        <v>39.99</v>
      </c>
      <c r="J60" s="1">
        <f>ROUND(Scores_2014_N!X64,$A$1)</f>
        <v>41.41</v>
      </c>
      <c r="K60" s="1">
        <f>ROUND(Scores_2014_N!Y64,$A$1)</f>
        <v>78.09</v>
      </c>
      <c r="L60" s="1">
        <f>ROUND(Scores_2014_N!Z64,$A$1)</f>
        <v>73.06</v>
      </c>
      <c r="M60" s="1">
        <f>ROUND(Scores_2014_N!AA64,$A$1)</f>
        <v>52.23</v>
      </c>
      <c r="N60" s="1">
        <f>ROUND(Scores_2014_N!AB64,$A$1)</f>
        <v>83.88</v>
      </c>
      <c r="O60" s="1">
        <f>ROUND(Scores_2014_N!AC64,$A$1)</f>
        <v>59.86</v>
      </c>
      <c r="P60" s="1">
        <f>ROUND(Scores_2014_N!AD64,$A$1)</f>
        <v>52.19</v>
      </c>
      <c r="Q60" s="1">
        <f>ROUND(Scores_2014_N!AE64,$A$1)</f>
        <v>17.44</v>
      </c>
      <c r="R60" s="1">
        <f>ROUND(Scores_2014_N!AF64,$A$1)</f>
        <v>57.02</v>
      </c>
      <c r="S60" s="1">
        <f>ROUND(Scores_2014_N!AG64,$A$1)</f>
        <v>30.42</v>
      </c>
      <c r="T60" s="1">
        <f>ROUND(Scores_2014_N!AH64,$A$1)</f>
        <v>52.62</v>
      </c>
      <c r="U60" s="1">
        <f>ROUND(Scores_2014_N!AI64,$A$1)</f>
        <v>48.22</v>
      </c>
      <c r="V60" s="1">
        <f>ROUND(Scores_2014_N!AJ64,$A$1)</f>
        <v>62.89</v>
      </c>
      <c r="W60" s="1">
        <f>ROUND(Scores_2014_N!AK64,$A$1)</f>
        <v>57.47</v>
      </c>
      <c r="X60" s="1">
        <f>ROUND(Scores_2014_N!AL64,$A$1)</f>
        <v>37.99</v>
      </c>
      <c r="Y60" s="1">
        <f>ROUND(Scores_2014_N!AM64,$A$1)</f>
        <v>46.95</v>
      </c>
      <c r="Z60" s="1">
        <f>ROUND(Scores_2014_N!AN64,$A$1)</f>
        <v>46.01</v>
      </c>
      <c r="AA60" s="1">
        <f>ROUND(Scores_2014_N!AO64,$A$1)</f>
        <v>51.04</v>
      </c>
      <c r="AB60" s="1">
        <f>ROUND(Scores_2014_N!AP64,$A$1)</f>
        <v>52.53</v>
      </c>
      <c r="AC60" s="1">
        <f>ROUND(Scores_2014_N!AQ64,$A$1)</f>
        <v>95.03</v>
      </c>
      <c r="AD60" s="1">
        <f>ROUND(Scores_2014_N!AR64,$A$1)</f>
        <v>43.88</v>
      </c>
      <c r="AE60" s="1">
        <f>ROUND(Scores_2014_N!AS64,$A$1)</f>
        <v>25.32</v>
      </c>
      <c r="AF60" s="1">
        <f>ROUND(Scores_2014_N!AT64,$A$1)</f>
        <v>73.83</v>
      </c>
      <c r="AG60" s="1">
        <f>ROUND(Scores_2014_N!AU64,$A$1)</f>
        <v>29.69</v>
      </c>
      <c r="AH60" s="1">
        <f>ROUND(Scores_2014_N!AV64,$A$1)</f>
        <v>58.25</v>
      </c>
      <c r="AI60" s="1">
        <f>ROUND(Scores_2014_N!AW64,$A$1)</f>
        <v>52.54</v>
      </c>
      <c r="AJ60" s="1">
        <f>ROUND(Scores_2014_N!AX64,$A$1)</f>
        <v>24.86</v>
      </c>
      <c r="AK60" s="1">
        <f>ROUND(Scores_2014_N!AY64,$A$1)</f>
        <v>80.5</v>
      </c>
      <c r="AL60" s="1">
        <f>ROUND(Scores_2014_N!AZ64,$A$1)</f>
        <v>77.75</v>
      </c>
      <c r="AM60" s="1">
        <f>ROUND(Scores_2014_N!BA64,$A$1)</f>
        <v>81.98</v>
      </c>
      <c r="AN60" s="1">
        <f>ROUND(Scores_2014_N!BB64,$A$1)</f>
        <v>77.9</v>
      </c>
      <c r="AO60" s="1">
        <f>ROUND(Scores_2014_N!BC64,$A$1)</f>
        <v>58.72</v>
      </c>
      <c r="AP60" s="1">
        <f>ROUND(Scores_2014_N!BD64,$A$1)</f>
        <v>79.1</v>
      </c>
      <c r="AQ60" s="1">
        <f>ROUND(Scores_2014_N!BE64,$A$1)</f>
        <v>43.73</v>
      </c>
      <c r="AR60" s="1">
        <f>ROUND(Scores_2014_N!BF64,$A$1)</f>
        <v>80.92</v>
      </c>
      <c r="AS60" s="1">
        <f>ROUND(Scores_2014_N!BG64,$A$1)</f>
        <v>68.46</v>
      </c>
      <c r="AT60" s="1">
        <f>ROUND(Scores_2014_N!BH64,$A$1)</f>
        <v>41.1</v>
      </c>
      <c r="AU60" s="1">
        <f>ROUND(Scores_2014_N!BI64,$A$1)</f>
        <v>79.39</v>
      </c>
      <c r="AW60" s="1">
        <f t="shared" si="1"/>
        <v>57.2576086956522</v>
      </c>
    </row>
    <row r="61" spans="1:49">
      <c r="A61" s="1" t="str">
        <f>Scores_2014_N!N65</f>
        <v>   4.2.10) Threat of terrorism</v>
      </c>
      <c r="B61" s="1">
        <f>ROUND(Scores_2014_N!P65,$A$1)</f>
        <v>75</v>
      </c>
      <c r="C61" s="1">
        <f>ROUND(Scores_2014_N!Q65,$A$1)</f>
        <v>75</v>
      </c>
      <c r="D61" s="1">
        <f>ROUND(Scores_2014_N!R65,$A$1)</f>
        <v>50</v>
      </c>
      <c r="E61" s="1">
        <f>ROUND(Scores_2014_N!S65,$A$1)</f>
        <v>75</v>
      </c>
      <c r="F61" s="1">
        <f>ROUND(Scores_2014_N!T65,$A$1)</f>
        <v>100</v>
      </c>
      <c r="G61" s="1">
        <f>ROUND(Scores_2014_N!U65,$A$1)</f>
        <v>75</v>
      </c>
      <c r="H61" s="1">
        <f>ROUND(Scores_2014_N!V65,$A$1)</f>
        <v>75</v>
      </c>
      <c r="I61" s="1">
        <f>ROUND(Scores_2014_N!W65,$A$1)</f>
        <v>75</v>
      </c>
      <c r="J61" s="1">
        <f>ROUND(Scores_2014_N!X65,$A$1)</f>
        <v>50</v>
      </c>
      <c r="K61" s="1">
        <f>ROUND(Scores_2014_N!Y65,$A$1)</f>
        <v>75</v>
      </c>
      <c r="L61" s="1">
        <f>ROUND(Scores_2014_N!Z65,$A$1)</f>
        <v>75</v>
      </c>
      <c r="M61" s="1">
        <f>ROUND(Scores_2014_N!AA65,$A$1)</f>
        <v>75</v>
      </c>
      <c r="N61" s="1">
        <f>ROUND(Scores_2014_N!AB65,$A$1)</f>
        <v>100</v>
      </c>
      <c r="O61" s="1">
        <f>ROUND(Scores_2014_N!AC65,$A$1)</f>
        <v>50</v>
      </c>
      <c r="P61" s="1">
        <f>ROUND(Scores_2014_N!AD65,$A$1)</f>
        <v>25</v>
      </c>
      <c r="Q61" s="1">
        <f>ROUND(Scores_2014_N!AE65,$A$1)</f>
        <v>75</v>
      </c>
      <c r="R61" s="1">
        <f>ROUND(Scores_2014_N!AF65,$A$1)</f>
        <v>75</v>
      </c>
      <c r="S61" s="1">
        <f>ROUND(Scores_2014_N!AG65,$A$1)</f>
        <v>75</v>
      </c>
      <c r="T61" s="1">
        <f>ROUND(Scores_2014_N!AH65,$A$1)</f>
        <v>50</v>
      </c>
      <c r="U61" s="1">
        <f>ROUND(Scores_2014_N!AI65,$A$1)</f>
        <v>75</v>
      </c>
      <c r="V61" s="1">
        <f>ROUND(Scores_2014_N!AJ65,$A$1)</f>
        <v>75</v>
      </c>
      <c r="W61" s="1">
        <f>ROUND(Scores_2014_N!AK65,$A$1)</f>
        <v>100</v>
      </c>
      <c r="X61" s="1">
        <f>ROUND(Scores_2014_N!AL65,$A$1)</f>
        <v>50</v>
      </c>
      <c r="Y61" s="1">
        <f>ROUND(Scores_2014_N!AM65,$A$1)</f>
        <v>100</v>
      </c>
      <c r="Z61" s="1">
        <f>ROUND(Scores_2014_N!AN65,$A$1)</f>
        <v>50</v>
      </c>
      <c r="AA61" s="1">
        <f>ROUND(Scores_2014_N!AO65,$A$1)</f>
        <v>50</v>
      </c>
      <c r="AB61" s="1">
        <f>ROUND(Scores_2014_N!AP65,$A$1)</f>
        <v>50</v>
      </c>
      <c r="AC61" s="1">
        <f>ROUND(Scores_2014_N!AQ65,$A$1)</f>
        <v>75</v>
      </c>
      <c r="AD61" s="1">
        <f>ROUND(Scores_2014_N!AR65,$A$1)</f>
        <v>100</v>
      </c>
      <c r="AE61" s="1">
        <f>ROUND(Scores_2014_N!AS65,$A$1)</f>
        <v>75</v>
      </c>
      <c r="AF61" s="1">
        <f>ROUND(Scores_2014_N!AT65,$A$1)</f>
        <v>50</v>
      </c>
      <c r="AG61" s="1">
        <f>ROUND(Scores_2014_N!AU65,$A$1)</f>
        <v>100</v>
      </c>
      <c r="AH61" s="1">
        <f>ROUND(Scores_2014_N!AV65,$A$1)</f>
        <v>75</v>
      </c>
      <c r="AI61" s="1">
        <f>ROUND(Scores_2014_N!AW65,$A$1)</f>
        <v>100</v>
      </c>
      <c r="AJ61" s="1">
        <f>ROUND(Scores_2014_N!AX65,$A$1)</f>
        <v>75</v>
      </c>
      <c r="AK61" s="1">
        <f>ROUND(Scores_2014_N!AY65,$A$1)</f>
        <v>75</v>
      </c>
      <c r="AL61" s="1">
        <f>ROUND(Scores_2014_N!AZ65,$A$1)</f>
        <v>100</v>
      </c>
      <c r="AM61" s="1">
        <f>ROUND(Scores_2014_N!BA65,$A$1)</f>
        <v>75</v>
      </c>
      <c r="AN61" s="1">
        <f>ROUND(Scores_2014_N!BB65,$A$1)</f>
        <v>100</v>
      </c>
      <c r="AO61" s="1">
        <f>ROUND(Scores_2014_N!BC65,$A$1)</f>
        <v>100</v>
      </c>
      <c r="AP61" s="1">
        <f>ROUND(Scores_2014_N!BD65,$A$1)</f>
        <v>100</v>
      </c>
      <c r="AQ61" s="1">
        <f>ROUND(Scores_2014_N!BE65,$A$1)</f>
        <v>50</v>
      </c>
      <c r="AR61" s="1">
        <f>ROUND(Scores_2014_N!BF65,$A$1)</f>
        <v>75</v>
      </c>
      <c r="AS61" s="1">
        <f>ROUND(Scores_2014_N!BG65,$A$1)</f>
        <v>100</v>
      </c>
      <c r="AT61" s="1">
        <f>ROUND(Scores_2014_N!BH65,$A$1)</f>
        <v>75</v>
      </c>
      <c r="AU61" s="1">
        <f>ROUND(Scores_2014_N!BI65,$A$1)</f>
        <v>100</v>
      </c>
      <c r="AW61" s="1">
        <f t="shared" si="1"/>
        <v>75.5434782608696</v>
      </c>
    </row>
    <row r="62" spans="1:49">
      <c r="A62" s="1" t="str">
        <f>Scores_2014_N!N66</f>
        <v>   4.2.11) Threat of military conflict</v>
      </c>
      <c r="B62" s="1">
        <f>ROUND(Scores_2014_N!P66,$A$1)</f>
        <v>100</v>
      </c>
      <c r="C62" s="1">
        <f>ROUND(Scores_2014_N!Q66,$A$1)</f>
        <v>100</v>
      </c>
      <c r="D62" s="1">
        <f>ROUND(Scores_2014_N!R66,$A$1)</f>
        <v>50</v>
      </c>
      <c r="E62" s="1">
        <f>ROUND(Scores_2014_N!S66,$A$1)</f>
        <v>100</v>
      </c>
      <c r="F62" s="1">
        <f>ROUND(Scores_2014_N!T66,$A$1)</f>
        <v>100</v>
      </c>
      <c r="G62" s="1">
        <f>ROUND(Scores_2014_N!U66,$A$1)</f>
        <v>100</v>
      </c>
      <c r="H62" s="1">
        <f>ROUND(Scores_2014_N!V66,$A$1)</f>
        <v>100</v>
      </c>
      <c r="I62" s="1">
        <f>ROUND(Scores_2014_N!W66,$A$1)</f>
        <v>100</v>
      </c>
      <c r="J62" s="1">
        <f>ROUND(Scores_2014_N!X66,$A$1)</f>
        <v>75</v>
      </c>
      <c r="K62" s="1">
        <f>ROUND(Scores_2014_N!Y66,$A$1)</f>
        <v>75</v>
      </c>
      <c r="L62" s="1">
        <f>ROUND(Scores_2014_N!Z66,$A$1)</f>
        <v>100</v>
      </c>
      <c r="M62" s="1">
        <f>ROUND(Scores_2014_N!AA66,$A$1)</f>
        <v>75</v>
      </c>
      <c r="N62" s="1">
        <f>ROUND(Scores_2014_N!AB66,$A$1)</f>
        <v>100</v>
      </c>
      <c r="O62" s="1">
        <f>ROUND(Scores_2014_N!AC66,$A$1)</f>
        <v>75</v>
      </c>
      <c r="P62" s="1">
        <f>ROUND(Scores_2014_N!AD66,$A$1)</f>
        <v>100</v>
      </c>
      <c r="Q62" s="1">
        <f>ROUND(Scores_2014_N!AE66,$A$1)</f>
        <v>100</v>
      </c>
      <c r="R62" s="1">
        <f>ROUND(Scores_2014_N!AF66,$A$1)</f>
        <v>75</v>
      </c>
      <c r="S62" s="1">
        <f>ROUND(Scores_2014_N!AG66,$A$1)</f>
        <v>75</v>
      </c>
      <c r="T62" s="1">
        <f>ROUND(Scores_2014_N!AH66,$A$1)</f>
        <v>100</v>
      </c>
      <c r="U62" s="1">
        <f>ROUND(Scores_2014_N!AI66,$A$1)</f>
        <v>100</v>
      </c>
      <c r="V62" s="1">
        <f>ROUND(Scores_2014_N!AJ66,$A$1)</f>
        <v>100</v>
      </c>
      <c r="W62" s="1">
        <f>ROUND(Scores_2014_N!AK66,$A$1)</f>
        <v>100</v>
      </c>
      <c r="X62" s="1">
        <f>ROUND(Scores_2014_N!AL66,$A$1)</f>
        <v>100</v>
      </c>
      <c r="Y62" s="1">
        <f>ROUND(Scores_2014_N!AM66,$A$1)</f>
        <v>100</v>
      </c>
      <c r="Z62" s="1">
        <f>ROUND(Scores_2014_N!AN66,$A$1)</f>
        <v>50</v>
      </c>
      <c r="AA62" s="1">
        <f>ROUND(Scores_2014_N!AO66,$A$1)</f>
        <v>75</v>
      </c>
      <c r="AB62" s="1">
        <f>ROUND(Scores_2014_N!AP66,$A$1)</f>
        <v>100</v>
      </c>
      <c r="AC62" s="1">
        <f>ROUND(Scores_2014_N!AQ66,$A$1)</f>
        <v>100</v>
      </c>
      <c r="AD62" s="1">
        <f>ROUND(Scores_2014_N!AR66,$A$1)</f>
        <v>100</v>
      </c>
      <c r="AE62" s="1">
        <f>ROUND(Scores_2014_N!AS66,$A$1)</f>
        <v>100</v>
      </c>
      <c r="AF62" s="1">
        <f>ROUND(Scores_2014_N!AT66,$A$1)</f>
        <v>75</v>
      </c>
      <c r="AG62" s="1">
        <f>ROUND(Scores_2014_N!AU66,$A$1)</f>
        <v>100</v>
      </c>
      <c r="AH62" s="1">
        <f>ROUND(Scores_2014_N!AV66,$A$1)</f>
        <v>100</v>
      </c>
      <c r="AI62" s="1">
        <f>ROUND(Scores_2014_N!AW66,$A$1)</f>
        <v>100</v>
      </c>
      <c r="AJ62" s="1">
        <f>ROUND(Scores_2014_N!AX66,$A$1)</f>
        <v>100</v>
      </c>
      <c r="AK62" s="1">
        <f>ROUND(Scores_2014_N!AY66,$A$1)</f>
        <v>50</v>
      </c>
      <c r="AL62" s="1">
        <f>ROUND(Scores_2014_N!AZ66,$A$1)</f>
        <v>100</v>
      </c>
      <c r="AM62" s="1">
        <f>ROUND(Scores_2014_N!BA66,$A$1)</f>
        <v>100</v>
      </c>
      <c r="AN62" s="1">
        <f>ROUND(Scores_2014_N!BB66,$A$1)</f>
        <v>100</v>
      </c>
      <c r="AO62" s="1">
        <f>ROUND(Scores_2014_N!BC66,$A$1)</f>
        <v>100</v>
      </c>
      <c r="AP62" s="1">
        <f>ROUND(Scores_2014_N!BD66,$A$1)</f>
        <v>100</v>
      </c>
      <c r="AQ62" s="1">
        <f>ROUND(Scores_2014_N!BE66,$A$1)</f>
        <v>75</v>
      </c>
      <c r="AR62" s="1">
        <f>ROUND(Scores_2014_N!BF66,$A$1)</f>
        <v>100</v>
      </c>
      <c r="AS62" s="1">
        <f>ROUND(Scores_2014_N!BG66,$A$1)</f>
        <v>100</v>
      </c>
      <c r="AT62" s="1">
        <f>ROUND(Scores_2014_N!BH66,$A$1)</f>
        <v>100</v>
      </c>
      <c r="AU62" s="1">
        <f>ROUND(Scores_2014_N!BI66,$A$1)</f>
        <v>100</v>
      </c>
      <c r="AW62" s="1">
        <f t="shared" si="1"/>
        <v>91.8478260869565</v>
      </c>
    </row>
    <row r="63" spans="1:49">
      <c r="A63" s="1" t="str">
        <f>Scores_2014_N!N67</f>
        <v>   4.2.12) Threat of civil unrest</v>
      </c>
      <c r="B63" s="1">
        <f>ROUND(Scores_2014_N!P67,$A$1)</f>
        <v>75</v>
      </c>
      <c r="C63" s="1">
        <f>ROUND(Scores_2014_N!Q67,$A$1)</f>
        <v>100</v>
      </c>
      <c r="D63" s="1">
        <f>ROUND(Scores_2014_N!R67,$A$1)</f>
        <v>0</v>
      </c>
      <c r="E63" s="1">
        <f>ROUND(Scores_2014_N!S67,$A$1)</f>
        <v>75</v>
      </c>
      <c r="F63" s="1">
        <f>ROUND(Scores_2014_N!T67,$A$1)</f>
        <v>50</v>
      </c>
      <c r="G63" s="1">
        <f>ROUND(Scores_2014_N!U67,$A$1)</f>
        <v>100</v>
      </c>
      <c r="H63" s="1">
        <f>ROUND(Scores_2014_N!V67,$A$1)</f>
        <v>75</v>
      </c>
      <c r="I63" s="1">
        <f>ROUND(Scores_2014_N!W67,$A$1)</f>
        <v>100</v>
      </c>
      <c r="J63" s="1">
        <f>ROUND(Scores_2014_N!X67,$A$1)</f>
        <v>50</v>
      </c>
      <c r="K63" s="1">
        <f>ROUND(Scores_2014_N!Y67,$A$1)</f>
        <v>75</v>
      </c>
      <c r="L63" s="1">
        <f>ROUND(Scores_2014_N!Z67,$A$1)</f>
        <v>100</v>
      </c>
      <c r="M63" s="1">
        <f>ROUND(Scores_2014_N!AA67,$A$1)</f>
        <v>50</v>
      </c>
      <c r="N63" s="1">
        <f>ROUND(Scores_2014_N!AB67,$A$1)</f>
        <v>100</v>
      </c>
      <c r="O63" s="1">
        <f>ROUND(Scores_2014_N!AC67,$A$1)</f>
        <v>50</v>
      </c>
      <c r="P63" s="1">
        <f>ROUND(Scores_2014_N!AD67,$A$1)</f>
        <v>25</v>
      </c>
      <c r="Q63" s="1">
        <f>ROUND(Scores_2014_N!AE67,$A$1)</f>
        <v>75</v>
      </c>
      <c r="R63" s="1">
        <f>ROUND(Scores_2014_N!AF67,$A$1)</f>
        <v>75</v>
      </c>
      <c r="S63" s="1">
        <f>ROUND(Scores_2014_N!AG67,$A$1)</f>
        <v>50</v>
      </c>
      <c r="T63" s="1">
        <f>ROUND(Scores_2014_N!AH67,$A$1)</f>
        <v>75</v>
      </c>
      <c r="U63" s="1">
        <f>ROUND(Scores_2014_N!AI67,$A$1)</f>
        <v>75</v>
      </c>
      <c r="V63" s="1">
        <f>ROUND(Scores_2014_N!AJ67,$A$1)</f>
        <v>75</v>
      </c>
      <c r="W63" s="1">
        <f>ROUND(Scores_2014_N!AK67,$A$1)</f>
        <v>100</v>
      </c>
      <c r="X63" s="1">
        <f>ROUND(Scores_2014_N!AL67,$A$1)</f>
        <v>75</v>
      </c>
      <c r="Y63" s="1">
        <f>ROUND(Scores_2014_N!AM67,$A$1)</f>
        <v>75</v>
      </c>
      <c r="Z63" s="1">
        <f>ROUND(Scores_2014_N!AN67,$A$1)</f>
        <v>75</v>
      </c>
      <c r="AA63" s="1">
        <f>ROUND(Scores_2014_N!AO67,$A$1)</f>
        <v>75</v>
      </c>
      <c r="AB63" s="1">
        <f>ROUND(Scores_2014_N!AP67,$A$1)</f>
        <v>75</v>
      </c>
      <c r="AC63" s="1">
        <f>ROUND(Scores_2014_N!AQ67,$A$1)</f>
        <v>100</v>
      </c>
      <c r="AD63" s="1">
        <f>ROUND(Scores_2014_N!AR67,$A$1)</f>
        <v>75</v>
      </c>
      <c r="AE63" s="1">
        <f>ROUND(Scores_2014_N!AS67,$A$1)</f>
        <v>50</v>
      </c>
      <c r="AF63" s="1">
        <f>ROUND(Scores_2014_N!AT67,$A$1)</f>
        <v>75</v>
      </c>
      <c r="AG63" s="1">
        <f>ROUND(Scores_2014_N!AU67,$A$1)</f>
        <v>75</v>
      </c>
      <c r="AH63" s="1">
        <f>ROUND(Scores_2014_N!AV67,$A$1)</f>
        <v>100</v>
      </c>
      <c r="AI63" s="1">
        <f>ROUND(Scores_2014_N!AW67,$A$1)</f>
        <v>75</v>
      </c>
      <c r="AJ63" s="1">
        <f>ROUND(Scores_2014_N!AX67,$A$1)</f>
        <v>75</v>
      </c>
      <c r="AK63" s="1">
        <f>ROUND(Scores_2014_N!AY67,$A$1)</f>
        <v>100</v>
      </c>
      <c r="AL63" s="1">
        <f>ROUND(Scores_2014_N!AZ67,$A$1)</f>
        <v>50</v>
      </c>
      <c r="AM63" s="1">
        <f>ROUND(Scores_2014_N!BA67,$A$1)</f>
        <v>100</v>
      </c>
      <c r="AN63" s="1">
        <f>ROUND(Scores_2014_N!BB67,$A$1)</f>
        <v>100</v>
      </c>
      <c r="AO63" s="1">
        <f>ROUND(Scores_2014_N!BC67,$A$1)</f>
        <v>100</v>
      </c>
      <c r="AP63" s="1">
        <f>ROUND(Scores_2014_N!BD67,$A$1)</f>
        <v>75</v>
      </c>
      <c r="AQ63" s="1">
        <f>ROUND(Scores_2014_N!BE67,$A$1)</f>
        <v>50</v>
      </c>
      <c r="AR63" s="1">
        <f>ROUND(Scores_2014_N!BF67,$A$1)</f>
        <v>100</v>
      </c>
      <c r="AS63" s="1">
        <f>ROUND(Scores_2014_N!BG67,$A$1)</f>
        <v>100</v>
      </c>
      <c r="AT63" s="1">
        <f>ROUND(Scores_2014_N!BH67,$A$1)</f>
        <v>75</v>
      </c>
      <c r="AU63" s="1">
        <f>ROUND(Scores_2014_N!BI67,$A$1)</f>
        <v>100</v>
      </c>
      <c r="AW63" s="1">
        <f t="shared" si="1"/>
        <v>76.0869565217391</v>
      </c>
    </row>
    <row r="65" spans="1:1">
      <c r="A65" s="1" t="s">
        <v>1017</v>
      </c>
    </row>
    <row r="67" spans="1:47">
      <c r="A67" s="1" t="str">
        <f>A2</f>
        <v>OVERALL SCORE</v>
      </c>
      <c r="B67" s="1">
        <f t="shared" ref="B67:AU67" si="2">RANK(B2,$B2:$AU2,0)</f>
        <v>23</v>
      </c>
      <c r="C67" s="1">
        <f t="shared" si="2"/>
        <v>3</v>
      </c>
      <c r="D67" s="1">
        <f t="shared" si="2"/>
        <v>42</v>
      </c>
      <c r="E67" s="1">
        <f t="shared" si="2"/>
        <v>15</v>
      </c>
      <c r="F67" s="1">
        <f t="shared" si="2"/>
        <v>32</v>
      </c>
      <c r="G67" s="1">
        <f t="shared" si="2"/>
        <v>19</v>
      </c>
      <c r="H67" s="1">
        <f t="shared" si="2"/>
        <v>26</v>
      </c>
      <c r="I67" s="1">
        <f t="shared" si="2"/>
        <v>13</v>
      </c>
      <c r="J67" s="1">
        <f t="shared" si="2"/>
        <v>37</v>
      </c>
      <c r="K67" s="1">
        <f t="shared" si="2"/>
        <v>28</v>
      </c>
      <c r="L67" s="1">
        <f t="shared" si="2"/>
        <v>16</v>
      </c>
      <c r="M67" s="1">
        <f t="shared" si="2"/>
        <v>46</v>
      </c>
      <c r="N67" s="1">
        <f t="shared" si="2"/>
        <v>12</v>
      </c>
      <c r="O67" s="1">
        <f t="shared" si="2"/>
        <v>39</v>
      </c>
      <c r="P67" s="1">
        <f t="shared" si="2"/>
        <v>44</v>
      </c>
      <c r="Q67" s="1">
        <f t="shared" si="2"/>
        <v>41</v>
      </c>
      <c r="R67" s="1">
        <f t="shared" si="2"/>
        <v>35</v>
      </c>
      <c r="S67" s="1">
        <f t="shared" si="2"/>
        <v>31</v>
      </c>
      <c r="T67" s="1">
        <f t="shared" si="2"/>
        <v>21</v>
      </c>
      <c r="U67" s="1">
        <f t="shared" si="2"/>
        <v>17</v>
      </c>
      <c r="V67" s="1">
        <f t="shared" si="2"/>
        <v>25</v>
      </c>
      <c r="W67" s="1">
        <f t="shared" si="2"/>
        <v>7</v>
      </c>
      <c r="X67" s="1">
        <f t="shared" si="2"/>
        <v>36</v>
      </c>
      <c r="Y67" s="1">
        <f t="shared" si="2"/>
        <v>24</v>
      </c>
      <c r="Z67" s="1">
        <f t="shared" si="2"/>
        <v>40</v>
      </c>
      <c r="AA67" s="1">
        <f t="shared" si="2"/>
        <v>38</v>
      </c>
      <c r="AB67" s="1">
        <f t="shared" si="2"/>
        <v>10</v>
      </c>
      <c r="AC67" s="1">
        <f t="shared" si="2"/>
        <v>4</v>
      </c>
      <c r="AD67" s="1">
        <f t="shared" si="2"/>
        <v>22</v>
      </c>
      <c r="AE67" s="1">
        <f t="shared" si="2"/>
        <v>33</v>
      </c>
      <c r="AF67" s="1">
        <f t="shared" si="2"/>
        <v>43</v>
      </c>
      <c r="AG67" s="1">
        <f t="shared" si="2"/>
        <v>27</v>
      </c>
      <c r="AH67" s="1">
        <f t="shared" si="2"/>
        <v>11</v>
      </c>
      <c r="AI67" s="1">
        <f t="shared" si="2"/>
        <v>29</v>
      </c>
      <c r="AJ67" s="1">
        <f t="shared" si="2"/>
        <v>34</v>
      </c>
      <c r="AK67" s="1">
        <f t="shared" si="2"/>
        <v>20</v>
      </c>
      <c r="AL67" s="1">
        <f t="shared" si="2"/>
        <v>30</v>
      </c>
      <c r="AM67" s="1">
        <f t="shared" si="2"/>
        <v>2</v>
      </c>
      <c r="AN67" s="1">
        <f t="shared" si="2"/>
        <v>8</v>
      </c>
      <c r="AO67" s="1">
        <f t="shared" si="2"/>
        <v>5</v>
      </c>
      <c r="AP67" s="1">
        <f t="shared" si="2"/>
        <v>14</v>
      </c>
      <c r="AQ67" s="1">
        <f t="shared" si="2"/>
        <v>45</v>
      </c>
      <c r="AR67" s="1">
        <f t="shared" si="2"/>
        <v>1</v>
      </c>
      <c r="AS67" s="1">
        <f t="shared" si="2"/>
        <v>6</v>
      </c>
      <c r="AT67" s="1">
        <f t="shared" si="2"/>
        <v>18</v>
      </c>
      <c r="AU67" s="1">
        <f t="shared" si="2"/>
        <v>9</v>
      </c>
    </row>
    <row r="68" spans="1:47">
      <c r="A68" s="1" t="str">
        <f>A3</f>
        <v> 1) DIGITAL SECURITY</v>
      </c>
      <c r="B68" s="1">
        <f t="shared" ref="B68:AU68" si="3">RANK(B3,$B3:$AU3,0)</f>
        <v>4</v>
      </c>
      <c r="C68" s="1">
        <f t="shared" si="3"/>
        <v>5</v>
      </c>
      <c r="D68" s="1">
        <f t="shared" si="3"/>
        <v>44</v>
      </c>
      <c r="E68" s="1">
        <f t="shared" si="3"/>
        <v>28</v>
      </c>
      <c r="F68" s="1">
        <f t="shared" si="3"/>
        <v>39</v>
      </c>
      <c r="G68" s="1">
        <f t="shared" si="3"/>
        <v>7</v>
      </c>
      <c r="H68" s="1">
        <f t="shared" si="3"/>
        <v>14</v>
      </c>
      <c r="I68" s="1">
        <f t="shared" si="3"/>
        <v>15</v>
      </c>
      <c r="J68" s="1">
        <f t="shared" si="3"/>
        <v>30</v>
      </c>
      <c r="K68" s="1">
        <f t="shared" si="3"/>
        <v>31</v>
      </c>
      <c r="L68" s="1">
        <f t="shared" si="3"/>
        <v>23</v>
      </c>
      <c r="M68" s="1">
        <f t="shared" si="3"/>
        <v>42</v>
      </c>
      <c r="N68" s="1">
        <f t="shared" si="3"/>
        <v>3</v>
      </c>
      <c r="O68" s="1">
        <f t="shared" si="3"/>
        <v>45</v>
      </c>
      <c r="P68" s="1">
        <f t="shared" si="3"/>
        <v>43</v>
      </c>
      <c r="Q68" s="1">
        <f t="shared" si="3"/>
        <v>33</v>
      </c>
      <c r="R68" s="1">
        <f t="shared" si="3"/>
        <v>29</v>
      </c>
      <c r="S68" s="1">
        <f t="shared" si="3"/>
        <v>35</v>
      </c>
      <c r="T68" s="1">
        <f t="shared" si="3"/>
        <v>12</v>
      </c>
      <c r="U68" s="1">
        <f t="shared" si="3"/>
        <v>10</v>
      </c>
      <c r="V68" s="1">
        <f t="shared" si="3"/>
        <v>26</v>
      </c>
      <c r="W68" s="1">
        <f t="shared" si="3"/>
        <v>21</v>
      </c>
      <c r="X68" s="1">
        <f t="shared" si="3"/>
        <v>24</v>
      </c>
      <c r="Y68" s="1">
        <f t="shared" si="3"/>
        <v>16</v>
      </c>
      <c r="Z68" s="1">
        <f t="shared" si="3"/>
        <v>41</v>
      </c>
      <c r="AA68" s="1">
        <f t="shared" si="3"/>
        <v>22</v>
      </c>
      <c r="AB68" s="1">
        <f t="shared" si="3"/>
        <v>6</v>
      </c>
      <c r="AC68" s="1">
        <f t="shared" si="3"/>
        <v>8</v>
      </c>
      <c r="AD68" s="1">
        <f t="shared" si="3"/>
        <v>32</v>
      </c>
      <c r="AE68" s="1">
        <f t="shared" si="3"/>
        <v>37</v>
      </c>
      <c r="AF68" s="1">
        <f t="shared" si="3"/>
        <v>38</v>
      </c>
      <c r="AG68" s="1">
        <f t="shared" si="3"/>
        <v>25</v>
      </c>
      <c r="AH68" s="1">
        <f t="shared" si="3"/>
        <v>13</v>
      </c>
      <c r="AI68" s="1">
        <f t="shared" si="3"/>
        <v>18</v>
      </c>
      <c r="AJ68" s="1">
        <f t="shared" si="3"/>
        <v>36</v>
      </c>
      <c r="AK68" s="1">
        <f t="shared" si="3"/>
        <v>34</v>
      </c>
      <c r="AL68" s="1">
        <f t="shared" si="3"/>
        <v>40</v>
      </c>
      <c r="AM68" s="1">
        <f t="shared" si="3"/>
        <v>2</v>
      </c>
      <c r="AN68" s="1">
        <f t="shared" si="3"/>
        <v>19</v>
      </c>
      <c r="AO68" s="1">
        <f t="shared" si="3"/>
        <v>11</v>
      </c>
      <c r="AP68" s="1">
        <f t="shared" si="3"/>
        <v>27</v>
      </c>
      <c r="AQ68" s="1">
        <f t="shared" si="3"/>
        <v>46</v>
      </c>
      <c r="AR68" s="1">
        <f t="shared" si="3"/>
        <v>1</v>
      </c>
      <c r="AS68" s="1">
        <f t="shared" si="3"/>
        <v>9</v>
      </c>
      <c r="AT68" s="1">
        <f t="shared" si="3"/>
        <v>20</v>
      </c>
      <c r="AU68" s="1">
        <f t="shared" si="3"/>
        <v>17</v>
      </c>
    </row>
    <row r="69" spans="1:47">
      <c r="A69" s="1" t="str">
        <f>A4</f>
        <v>  1.1) Digital security (Inputs)</v>
      </c>
      <c r="B69" s="1">
        <f t="shared" ref="B69:AU69" si="4">RANK(B4,$B4:$AU4,0)</f>
        <v>3</v>
      </c>
      <c r="C69" s="1">
        <f t="shared" si="4"/>
        <v>15</v>
      </c>
      <c r="D69" s="1">
        <f t="shared" si="4"/>
        <v>39</v>
      </c>
      <c r="E69" s="1">
        <f t="shared" si="4"/>
        <v>17</v>
      </c>
      <c r="F69" s="1">
        <f t="shared" si="4"/>
        <v>39</v>
      </c>
      <c r="G69" s="1">
        <f t="shared" si="4"/>
        <v>6</v>
      </c>
      <c r="H69" s="1">
        <f t="shared" si="4"/>
        <v>22</v>
      </c>
      <c r="I69" s="1">
        <f t="shared" si="4"/>
        <v>11</v>
      </c>
      <c r="J69" s="1">
        <f t="shared" si="4"/>
        <v>10</v>
      </c>
      <c r="K69" s="1">
        <f t="shared" si="4"/>
        <v>39</v>
      </c>
      <c r="L69" s="1">
        <f t="shared" si="4"/>
        <v>21</v>
      </c>
      <c r="M69" s="1">
        <f t="shared" si="4"/>
        <v>39</v>
      </c>
      <c r="N69" s="1">
        <f t="shared" si="4"/>
        <v>1</v>
      </c>
      <c r="O69" s="1">
        <f t="shared" si="4"/>
        <v>45</v>
      </c>
      <c r="P69" s="1">
        <f t="shared" si="4"/>
        <v>38</v>
      </c>
      <c r="Q69" s="1">
        <f t="shared" si="4"/>
        <v>25</v>
      </c>
      <c r="R69" s="1">
        <f t="shared" si="4"/>
        <v>33</v>
      </c>
      <c r="S69" s="1">
        <f t="shared" si="4"/>
        <v>28</v>
      </c>
      <c r="T69" s="1">
        <f t="shared" si="4"/>
        <v>17</v>
      </c>
      <c r="U69" s="1">
        <f t="shared" si="4"/>
        <v>11</v>
      </c>
      <c r="V69" s="1">
        <f t="shared" si="4"/>
        <v>17</v>
      </c>
      <c r="W69" s="1">
        <f t="shared" si="4"/>
        <v>17</v>
      </c>
      <c r="X69" s="1">
        <f t="shared" si="4"/>
        <v>22</v>
      </c>
      <c r="Y69" s="1">
        <f t="shared" si="4"/>
        <v>16</v>
      </c>
      <c r="Z69" s="1">
        <f t="shared" si="4"/>
        <v>33</v>
      </c>
      <c r="AA69" s="1">
        <f t="shared" si="4"/>
        <v>2</v>
      </c>
      <c r="AB69" s="1">
        <f t="shared" si="4"/>
        <v>3</v>
      </c>
      <c r="AC69" s="1">
        <f t="shared" si="4"/>
        <v>31</v>
      </c>
      <c r="AD69" s="1">
        <f t="shared" si="4"/>
        <v>32</v>
      </c>
      <c r="AE69" s="1">
        <f t="shared" si="4"/>
        <v>33</v>
      </c>
      <c r="AF69" s="1">
        <f t="shared" si="4"/>
        <v>33</v>
      </c>
      <c r="AG69" s="1">
        <f t="shared" si="4"/>
        <v>27</v>
      </c>
      <c r="AH69" s="1">
        <f t="shared" si="4"/>
        <v>11</v>
      </c>
      <c r="AI69" s="1">
        <f t="shared" si="4"/>
        <v>28</v>
      </c>
      <c r="AJ69" s="1">
        <f t="shared" si="4"/>
        <v>33</v>
      </c>
      <c r="AK69" s="1">
        <f t="shared" si="4"/>
        <v>11</v>
      </c>
      <c r="AL69" s="1">
        <f t="shared" si="4"/>
        <v>39</v>
      </c>
      <c r="AM69" s="1">
        <f t="shared" si="4"/>
        <v>3</v>
      </c>
      <c r="AN69" s="1">
        <f t="shared" si="4"/>
        <v>28</v>
      </c>
      <c r="AO69" s="1">
        <f t="shared" si="4"/>
        <v>6</v>
      </c>
      <c r="AP69" s="1">
        <f t="shared" si="4"/>
        <v>39</v>
      </c>
      <c r="AQ69" s="1">
        <f t="shared" si="4"/>
        <v>46</v>
      </c>
      <c r="AR69" s="1">
        <f t="shared" si="4"/>
        <v>9</v>
      </c>
      <c r="AS69" s="1">
        <f t="shared" si="4"/>
        <v>6</v>
      </c>
      <c r="AT69" s="1">
        <f t="shared" si="4"/>
        <v>22</v>
      </c>
      <c r="AU69" s="1">
        <f t="shared" si="4"/>
        <v>25</v>
      </c>
    </row>
    <row r="70" spans="1:47">
      <c r="A70" s="1" t="str">
        <f>A5</f>
        <v>   1.1.1) Privacy policy</v>
      </c>
      <c r="B70" s="1">
        <f t="shared" ref="B70:AU70" si="5">RANK(B5,$B5:$AU5,0)</f>
        <v>4</v>
      </c>
      <c r="C70" s="1">
        <f t="shared" si="5"/>
        <v>1</v>
      </c>
      <c r="D70" s="1">
        <f t="shared" si="5"/>
        <v>41</v>
      </c>
      <c r="E70" s="1">
        <f t="shared" si="5"/>
        <v>10</v>
      </c>
      <c r="F70" s="1">
        <f t="shared" si="5"/>
        <v>41</v>
      </c>
      <c r="G70" s="1">
        <f t="shared" si="5"/>
        <v>1</v>
      </c>
      <c r="H70" s="1">
        <f t="shared" si="5"/>
        <v>1</v>
      </c>
      <c r="I70" s="1">
        <f t="shared" si="5"/>
        <v>21</v>
      </c>
      <c r="J70" s="1">
        <f t="shared" si="5"/>
        <v>21</v>
      </c>
      <c r="K70" s="1">
        <f t="shared" si="5"/>
        <v>10</v>
      </c>
      <c r="L70" s="1">
        <f t="shared" si="5"/>
        <v>4</v>
      </c>
      <c r="M70" s="1">
        <f t="shared" si="5"/>
        <v>41</v>
      </c>
      <c r="N70" s="1">
        <f t="shared" si="5"/>
        <v>10</v>
      </c>
      <c r="O70" s="1">
        <f t="shared" si="5"/>
        <v>21</v>
      </c>
      <c r="P70" s="1">
        <f t="shared" si="5"/>
        <v>21</v>
      </c>
      <c r="Q70" s="1">
        <f t="shared" si="5"/>
        <v>4</v>
      </c>
      <c r="R70" s="1">
        <f t="shared" si="5"/>
        <v>21</v>
      </c>
      <c r="S70" s="1">
        <f t="shared" si="5"/>
        <v>21</v>
      </c>
      <c r="T70" s="1">
        <f t="shared" si="5"/>
        <v>10</v>
      </c>
      <c r="U70" s="1">
        <f t="shared" si="5"/>
        <v>21</v>
      </c>
      <c r="V70" s="1">
        <f t="shared" si="5"/>
        <v>10</v>
      </c>
      <c r="W70" s="1">
        <f t="shared" si="5"/>
        <v>10</v>
      </c>
      <c r="X70" s="1">
        <f t="shared" si="5"/>
        <v>10</v>
      </c>
      <c r="Y70" s="1">
        <f t="shared" si="5"/>
        <v>4</v>
      </c>
      <c r="Z70" s="1">
        <f t="shared" si="5"/>
        <v>21</v>
      </c>
      <c r="AA70" s="1">
        <f t="shared" si="5"/>
        <v>21</v>
      </c>
      <c r="AB70" s="1">
        <f t="shared" si="5"/>
        <v>21</v>
      </c>
      <c r="AC70" s="1">
        <f t="shared" si="5"/>
        <v>21</v>
      </c>
      <c r="AD70" s="1">
        <f t="shared" si="5"/>
        <v>10</v>
      </c>
      <c r="AE70" s="1">
        <f t="shared" si="5"/>
        <v>21</v>
      </c>
      <c r="AF70" s="1">
        <f t="shared" si="5"/>
        <v>21</v>
      </c>
      <c r="AG70" s="1">
        <f t="shared" si="5"/>
        <v>4</v>
      </c>
      <c r="AH70" s="1">
        <f t="shared" si="5"/>
        <v>21</v>
      </c>
      <c r="AI70" s="1">
        <f t="shared" si="5"/>
        <v>21</v>
      </c>
      <c r="AJ70" s="1">
        <f t="shared" si="5"/>
        <v>21</v>
      </c>
      <c r="AK70" s="1">
        <f t="shared" si="5"/>
        <v>4</v>
      </c>
      <c r="AL70" s="1">
        <f t="shared" si="5"/>
        <v>41</v>
      </c>
      <c r="AM70" s="1">
        <f t="shared" si="5"/>
        <v>21</v>
      </c>
      <c r="AN70" s="1">
        <f t="shared" si="5"/>
        <v>41</v>
      </c>
      <c r="AO70" s="1">
        <f t="shared" si="5"/>
        <v>10</v>
      </c>
      <c r="AP70" s="1">
        <f t="shared" si="5"/>
        <v>21</v>
      </c>
      <c r="AQ70" s="1">
        <f t="shared" si="5"/>
        <v>41</v>
      </c>
      <c r="AR70" s="1">
        <f t="shared" si="5"/>
        <v>21</v>
      </c>
      <c r="AS70" s="1">
        <f t="shared" si="5"/>
        <v>10</v>
      </c>
      <c r="AT70" s="1">
        <f t="shared" si="5"/>
        <v>21</v>
      </c>
      <c r="AU70" s="1">
        <f t="shared" si="5"/>
        <v>10</v>
      </c>
    </row>
    <row r="71" spans="1:47">
      <c r="A71" s="1" t="str">
        <f t="shared" ref="A71:A128" si="6">A6</f>
        <v>   1.1.2) Citizen awareness of digital threats</v>
      </c>
      <c r="B71" s="1">
        <f t="shared" ref="B71:AU71" si="7">RANK(B6,$B6:$AU6,0)</f>
        <v>3</v>
      </c>
      <c r="C71" s="1">
        <f t="shared" si="7"/>
        <v>25</v>
      </c>
      <c r="D71" s="1">
        <f t="shared" si="7"/>
        <v>25</v>
      </c>
      <c r="E71" s="1">
        <f t="shared" si="7"/>
        <v>3</v>
      </c>
      <c r="F71" s="1">
        <f t="shared" si="7"/>
        <v>25</v>
      </c>
      <c r="G71" s="1">
        <f t="shared" si="7"/>
        <v>3</v>
      </c>
      <c r="H71" s="1">
        <f t="shared" si="7"/>
        <v>3</v>
      </c>
      <c r="I71" s="1">
        <f t="shared" si="7"/>
        <v>3</v>
      </c>
      <c r="J71" s="1">
        <f t="shared" si="7"/>
        <v>1</v>
      </c>
      <c r="K71" s="1">
        <f t="shared" si="7"/>
        <v>25</v>
      </c>
      <c r="L71" s="1">
        <f t="shared" si="7"/>
        <v>25</v>
      </c>
      <c r="M71" s="1">
        <f t="shared" si="7"/>
        <v>25</v>
      </c>
      <c r="N71" s="1">
        <f t="shared" si="7"/>
        <v>3</v>
      </c>
      <c r="O71" s="1">
        <f t="shared" si="7"/>
        <v>25</v>
      </c>
      <c r="P71" s="1">
        <f t="shared" si="7"/>
        <v>3</v>
      </c>
      <c r="Q71" s="1">
        <f t="shared" si="7"/>
        <v>25</v>
      </c>
      <c r="R71" s="1">
        <f t="shared" si="7"/>
        <v>25</v>
      </c>
      <c r="S71" s="1">
        <f t="shared" si="7"/>
        <v>3</v>
      </c>
      <c r="T71" s="1">
        <f t="shared" si="7"/>
        <v>3</v>
      </c>
      <c r="U71" s="1">
        <f t="shared" si="7"/>
        <v>3</v>
      </c>
      <c r="V71" s="1">
        <f t="shared" si="7"/>
        <v>3</v>
      </c>
      <c r="W71" s="1">
        <f t="shared" si="7"/>
        <v>3</v>
      </c>
      <c r="X71" s="1">
        <f t="shared" si="7"/>
        <v>3</v>
      </c>
      <c r="Y71" s="1">
        <f t="shared" si="7"/>
        <v>43</v>
      </c>
      <c r="Z71" s="1">
        <f t="shared" si="7"/>
        <v>25</v>
      </c>
      <c r="AA71" s="1">
        <f t="shared" si="7"/>
        <v>1</v>
      </c>
      <c r="AB71" s="1">
        <f t="shared" si="7"/>
        <v>3</v>
      </c>
      <c r="AC71" s="1">
        <f t="shared" si="7"/>
        <v>25</v>
      </c>
      <c r="AD71" s="1">
        <f t="shared" si="7"/>
        <v>43</v>
      </c>
      <c r="AE71" s="1">
        <f t="shared" si="7"/>
        <v>25</v>
      </c>
      <c r="AF71" s="1">
        <f t="shared" si="7"/>
        <v>25</v>
      </c>
      <c r="AG71" s="1">
        <f t="shared" si="7"/>
        <v>43</v>
      </c>
      <c r="AH71" s="1">
        <f t="shared" si="7"/>
        <v>3</v>
      </c>
      <c r="AI71" s="1">
        <f t="shared" si="7"/>
        <v>3</v>
      </c>
      <c r="AJ71" s="1">
        <f t="shared" si="7"/>
        <v>25</v>
      </c>
      <c r="AK71" s="1">
        <f t="shared" si="7"/>
        <v>3</v>
      </c>
      <c r="AL71" s="1">
        <f t="shared" si="7"/>
        <v>25</v>
      </c>
      <c r="AM71" s="1">
        <f t="shared" si="7"/>
        <v>3</v>
      </c>
      <c r="AN71" s="1">
        <f t="shared" si="7"/>
        <v>3</v>
      </c>
      <c r="AO71" s="1">
        <f t="shared" si="7"/>
        <v>3</v>
      </c>
      <c r="AP71" s="1">
        <f t="shared" si="7"/>
        <v>25</v>
      </c>
      <c r="AQ71" s="1">
        <f t="shared" si="7"/>
        <v>43</v>
      </c>
      <c r="AR71" s="1">
        <f t="shared" si="7"/>
        <v>25</v>
      </c>
      <c r="AS71" s="1">
        <f t="shared" si="7"/>
        <v>3</v>
      </c>
      <c r="AT71" s="1">
        <f t="shared" si="7"/>
        <v>3</v>
      </c>
      <c r="AU71" s="1">
        <f t="shared" si="7"/>
        <v>25</v>
      </c>
    </row>
    <row r="72" spans="1:47">
      <c r="A72" s="1" t="str">
        <f t="shared" si="6"/>
        <v>   1.1.3) Public-private partnerships</v>
      </c>
      <c r="B72" s="1">
        <f t="shared" ref="B72:AU72" si="8">RANK(B7,$B7:$AU7,0)</f>
        <v>7</v>
      </c>
      <c r="C72" s="1">
        <f t="shared" si="8"/>
        <v>7</v>
      </c>
      <c r="D72" s="1">
        <f t="shared" si="8"/>
        <v>7</v>
      </c>
      <c r="E72" s="1">
        <f t="shared" si="8"/>
        <v>40</v>
      </c>
      <c r="F72" s="1">
        <f t="shared" si="8"/>
        <v>7</v>
      </c>
      <c r="G72" s="1">
        <f t="shared" si="8"/>
        <v>7</v>
      </c>
      <c r="H72" s="1">
        <f t="shared" si="8"/>
        <v>40</v>
      </c>
      <c r="I72" s="1">
        <f t="shared" si="8"/>
        <v>7</v>
      </c>
      <c r="J72" s="1">
        <f t="shared" si="8"/>
        <v>1</v>
      </c>
      <c r="K72" s="1">
        <f t="shared" si="8"/>
        <v>40</v>
      </c>
      <c r="L72" s="1">
        <f t="shared" si="8"/>
        <v>7</v>
      </c>
      <c r="M72" s="1">
        <f t="shared" si="8"/>
        <v>7</v>
      </c>
      <c r="N72" s="1">
        <f t="shared" si="8"/>
        <v>1</v>
      </c>
      <c r="O72" s="1">
        <f t="shared" si="8"/>
        <v>40</v>
      </c>
      <c r="P72" s="1">
        <f t="shared" si="8"/>
        <v>40</v>
      </c>
      <c r="Q72" s="1">
        <f t="shared" si="8"/>
        <v>7</v>
      </c>
      <c r="R72" s="1">
        <f t="shared" si="8"/>
        <v>7</v>
      </c>
      <c r="S72" s="1">
        <f t="shared" si="8"/>
        <v>7</v>
      </c>
      <c r="T72" s="1">
        <f t="shared" si="8"/>
        <v>7</v>
      </c>
      <c r="U72" s="1">
        <f t="shared" si="8"/>
        <v>7</v>
      </c>
      <c r="V72" s="1">
        <f t="shared" si="8"/>
        <v>7</v>
      </c>
      <c r="W72" s="1">
        <f t="shared" si="8"/>
        <v>7</v>
      </c>
      <c r="X72" s="1">
        <f t="shared" si="8"/>
        <v>7</v>
      </c>
      <c r="Y72" s="1">
        <f t="shared" si="8"/>
        <v>7</v>
      </c>
      <c r="Z72" s="1">
        <f t="shared" si="8"/>
        <v>7</v>
      </c>
      <c r="AA72" s="1">
        <f t="shared" si="8"/>
        <v>1</v>
      </c>
      <c r="AB72" s="1">
        <f t="shared" si="8"/>
        <v>1</v>
      </c>
      <c r="AC72" s="1">
        <f t="shared" si="8"/>
        <v>7</v>
      </c>
      <c r="AD72" s="1">
        <f t="shared" si="8"/>
        <v>7</v>
      </c>
      <c r="AE72" s="1">
        <f t="shared" si="8"/>
        <v>7</v>
      </c>
      <c r="AF72" s="1">
        <f t="shared" si="8"/>
        <v>7</v>
      </c>
      <c r="AG72" s="1">
        <f t="shared" si="8"/>
        <v>7</v>
      </c>
      <c r="AH72" s="1">
        <f t="shared" si="8"/>
        <v>7</v>
      </c>
      <c r="AI72" s="1">
        <f t="shared" si="8"/>
        <v>7</v>
      </c>
      <c r="AJ72" s="1">
        <f t="shared" si="8"/>
        <v>7</v>
      </c>
      <c r="AK72" s="1">
        <f t="shared" si="8"/>
        <v>7</v>
      </c>
      <c r="AL72" s="1">
        <f t="shared" si="8"/>
        <v>7</v>
      </c>
      <c r="AM72" s="1">
        <f t="shared" si="8"/>
        <v>1</v>
      </c>
      <c r="AN72" s="1">
        <f t="shared" si="8"/>
        <v>7</v>
      </c>
      <c r="AO72" s="1">
        <f t="shared" si="8"/>
        <v>7</v>
      </c>
      <c r="AP72" s="1">
        <f t="shared" si="8"/>
        <v>40</v>
      </c>
      <c r="AQ72" s="1">
        <f t="shared" si="8"/>
        <v>40</v>
      </c>
      <c r="AR72" s="1">
        <f t="shared" si="8"/>
        <v>1</v>
      </c>
      <c r="AS72" s="1">
        <f t="shared" si="8"/>
        <v>7</v>
      </c>
      <c r="AT72" s="1">
        <f t="shared" si="8"/>
        <v>7</v>
      </c>
      <c r="AU72" s="1">
        <f t="shared" si="8"/>
        <v>7</v>
      </c>
    </row>
    <row r="73" spans="1:47">
      <c r="A73" s="1" t="str">
        <f t="shared" si="6"/>
        <v>   1.1.4) Level of technology employed</v>
      </c>
      <c r="B73" s="1">
        <f t="shared" ref="B73:AU73" si="9">RANK(B8,$B8:$AU8,0)</f>
        <v>1</v>
      </c>
      <c r="C73" s="1">
        <f t="shared" si="9"/>
        <v>1</v>
      </c>
      <c r="D73" s="1">
        <f t="shared" si="9"/>
        <v>27</v>
      </c>
      <c r="E73" s="1">
        <f t="shared" si="9"/>
        <v>1</v>
      </c>
      <c r="F73" s="1">
        <f t="shared" si="9"/>
        <v>27</v>
      </c>
      <c r="G73" s="1">
        <f t="shared" si="9"/>
        <v>1</v>
      </c>
      <c r="H73" s="1">
        <f t="shared" si="9"/>
        <v>27</v>
      </c>
      <c r="I73" s="1">
        <f t="shared" si="9"/>
        <v>1</v>
      </c>
      <c r="J73" s="1">
        <f t="shared" si="9"/>
        <v>27</v>
      </c>
      <c r="K73" s="1">
        <f t="shared" si="9"/>
        <v>27</v>
      </c>
      <c r="L73" s="1">
        <f t="shared" si="9"/>
        <v>1</v>
      </c>
      <c r="M73" s="1">
        <f t="shared" si="9"/>
        <v>27</v>
      </c>
      <c r="N73" s="1">
        <f t="shared" si="9"/>
        <v>1</v>
      </c>
      <c r="O73" s="1">
        <f t="shared" si="9"/>
        <v>27</v>
      </c>
      <c r="P73" s="1">
        <f t="shared" si="9"/>
        <v>27</v>
      </c>
      <c r="Q73" s="1">
        <f t="shared" si="9"/>
        <v>27</v>
      </c>
      <c r="R73" s="1">
        <f t="shared" si="9"/>
        <v>27</v>
      </c>
      <c r="S73" s="1">
        <f t="shared" si="9"/>
        <v>27</v>
      </c>
      <c r="T73" s="1">
        <f t="shared" si="9"/>
        <v>1</v>
      </c>
      <c r="U73" s="1">
        <f t="shared" si="9"/>
        <v>1</v>
      </c>
      <c r="V73" s="1">
        <f t="shared" si="9"/>
        <v>1</v>
      </c>
      <c r="W73" s="1">
        <f t="shared" si="9"/>
        <v>1</v>
      </c>
      <c r="X73" s="1">
        <f t="shared" si="9"/>
        <v>27</v>
      </c>
      <c r="Y73" s="1">
        <f t="shared" si="9"/>
        <v>1</v>
      </c>
      <c r="Z73" s="1">
        <f t="shared" si="9"/>
        <v>27</v>
      </c>
      <c r="AA73" s="1">
        <f t="shared" si="9"/>
        <v>27</v>
      </c>
      <c r="AB73" s="1">
        <f t="shared" si="9"/>
        <v>1</v>
      </c>
      <c r="AC73" s="1">
        <f t="shared" si="9"/>
        <v>1</v>
      </c>
      <c r="AD73" s="1">
        <f t="shared" si="9"/>
        <v>1</v>
      </c>
      <c r="AE73" s="1">
        <f t="shared" si="9"/>
        <v>27</v>
      </c>
      <c r="AF73" s="1">
        <f t="shared" si="9"/>
        <v>27</v>
      </c>
      <c r="AG73" s="1">
        <f t="shared" si="9"/>
        <v>1</v>
      </c>
      <c r="AH73" s="1">
        <f t="shared" si="9"/>
        <v>1</v>
      </c>
      <c r="AI73" s="1">
        <f t="shared" si="9"/>
        <v>27</v>
      </c>
      <c r="AJ73" s="1">
        <f t="shared" si="9"/>
        <v>27</v>
      </c>
      <c r="AK73" s="1">
        <f t="shared" si="9"/>
        <v>1</v>
      </c>
      <c r="AL73" s="1">
        <f t="shared" si="9"/>
        <v>27</v>
      </c>
      <c r="AM73" s="1">
        <f t="shared" si="9"/>
        <v>1</v>
      </c>
      <c r="AN73" s="1">
        <f t="shared" si="9"/>
        <v>1</v>
      </c>
      <c r="AO73" s="1">
        <f t="shared" si="9"/>
        <v>1</v>
      </c>
      <c r="AP73" s="1">
        <f t="shared" si="9"/>
        <v>1</v>
      </c>
      <c r="AQ73" s="1">
        <f t="shared" si="9"/>
        <v>46</v>
      </c>
      <c r="AR73" s="1">
        <f t="shared" si="9"/>
        <v>1</v>
      </c>
      <c r="AS73" s="1">
        <f t="shared" si="9"/>
        <v>1</v>
      </c>
      <c r="AT73" s="1">
        <f t="shared" si="9"/>
        <v>1</v>
      </c>
      <c r="AU73" s="1">
        <f t="shared" si="9"/>
        <v>1</v>
      </c>
    </row>
    <row r="74" spans="1:47">
      <c r="A74" s="1" t="str">
        <f t="shared" si="6"/>
        <v>   1.1.5) Dedicated cyber security teams</v>
      </c>
      <c r="B74" s="1">
        <f t="shared" ref="B74:AU74" si="10">RANK(B9,$B9:$AU9,0)</f>
        <v>1</v>
      </c>
      <c r="C74" s="1">
        <f t="shared" si="10"/>
        <v>14</v>
      </c>
      <c r="D74" s="1">
        <f t="shared" si="10"/>
        <v>14</v>
      </c>
      <c r="E74" s="1">
        <f t="shared" si="10"/>
        <v>1</v>
      </c>
      <c r="F74" s="1">
        <f t="shared" si="10"/>
        <v>14</v>
      </c>
      <c r="G74" s="1">
        <f t="shared" si="10"/>
        <v>14</v>
      </c>
      <c r="H74" s="1">
        <f t="shared" si="10"/>
        <v>14</v>
      </c>
      <c r="I74" s="1">
        <f t="shared" si="10"/>
        <v>1</v>
      </c>
      <c r="J74" s="1">
        <f t="shared" si="10"/>
        <v>14</v>
      </c>
      <c r="K74" s="1">
        <f t="shared" si="10"/>
        <v>14</v>
      </c>
      <c r="L74" s="1">
        <f t="shared" si="10"/>
        <v>14</v>
      </c>
      <c r="M74" s="1">
        <f t="shared" si="10"/>
        <v>14</v>
      </c>
      <c r="N74" s="1">
        <f t="shared" si="10"/>
        <v>1</v>
      </c>
      <c r="O74" s="1">
        <f t="shared" si="10"/>
        <v>14</v>
      </c>
      <c r="P74" s="1">
        <f t="shared" si="10"/>
        <v>14</v>
      </c>
      <c r="Q74" s="1">
        <f t="shared" si="10"/>
        <v>14</v>
      </c>
      <c r="R74" s="1">
        <f t="shared" si="10"/>
        <v>14</v>
      </c>
      <c r="S74" s="1">
        <f t="shared" si="10"/>
        <v>14</v>
      </c>
      <c r="T74" s="1">
        <f t="shared" si="10"/>
        <v>14</v>
      </c>
      <c r="U74" s="1">
        <f t="shared" si="10"/>
        <v>1</v>
      </c>
      <c r="V74" s="1">
        <f t="shared" si="10"/>
        <v>14</v>
      </c>
      <c r="W74" s="1">
        <f t="shared" si="10"/>
        <v>14</v>
      </c>
      <c r="X74" s="1">
        <f t="shared" si="10"/>
        <v>14</v>
      </c>
      <c r="Y74" s="1">
        <f t="shared" si="10"/>
        <v>1</v>
      </c>
      <c r="Z74" s="1">
        <f t="shared" si="10"/>
        <v>14</v>
      </c>
      <c r="AA74" s="1">
        <f t="shared" si="10"/>
        <v>1</v>
      </c>
      <c r="AB74" s="1">
        <f t="shared" si="10"/>
        <v>1</v>
      </c>
      <c r="AC74" s="1">
        <f t="shared" si="10"/>
        <v>14</v>
      </c>
      <c r="AD74" s="1">
        <f t="shared" si="10"/>
        <v>14</v>
      </c>
      <c r="AE74" s="1">
        <f t="shared" si="10"/>
        <v>14</v>
      </c>
      <c r="AF74" s="1">
        <f t="shared" si="10"/>
        <v>14</v>
      </c>
      <c r="AG74" s="1">
        <f t="shared" si="10"/>
        <v>14</v>
      </c>
      <c r="AH74" s="1">
        <f t="shared" si="10"/>
        <v>1</v>
      </c>
      <c r="AI74" s="1">
        <f t="shared" si="10"/>
        <v>14</v>
      </c>
      <c r="AJ74" s="1">
        <f t="shared" si="10"/>
        <v>14</v>
      </c>
      <c r="AK74" s="1">
        <f t="shared" si="10"/>
        <v>14</v>
      </c>
      <c r="AL74" s="1">
        <f t="shared" si="10"/>
        <v>14</v>
      </c>
      <c r="AM74" s="1">
        <f t="shared" si="10"/>
        <v>1</v>
      </c>
      <c r="AN74" s="1">
        <f t="shared" si="10"/>
        <v>14</v>
      </c>
      <c r="AO74" s="1">
        <f t="shared" si="10"/>
        <v>1</v>
      </c>
      <c r="AP74" s="1">
        <f t="shared" si="10"/>
        <v>14</v>
      </c>
      <c r="AQ74" s="1">
        <f t="shared" si="10"/>
        <v>14</v>
      </c>
      <c r="AR74" s="1">
        <f t="shared" si="10"/>
        <v>1</v>
      </c>
      <c r="AS74" s="1">
        <f t="shared" si="10"/>
        <v>1</v>
      </c>
      <c r="AT74" s="1">
        <f t="shared" si="10"/>
        <v>14</v>
      </c>
      <c r="AU74" s="1">
        <f t="shared" si="10"/>
        <v>14</v>
      </c>
    </row>
    <row r="75" spans="1:47">
      <c r="A75" s="1" t="str">
        <f t="shared" si="6"/>
        <v>  1.2) Digital security (Outputs)</v>
      </c>
      <c r="B75" s="1">
        <f t="shared" ref="B75:AU75" si="11">RANK(B10,$B10:$AU10,0)</f>
        <v>9</v>
      </c>
      <c r="C75" s="1">
        <f t="shared" si="11"/>
        <v>3</v>
      </c>
      <c r="D75" s="1">
        <f t="shared" si="11"/>
        <v>44</v>
      </c>
      <c r="E75" s="1">
        <f t="shared" si="11"/>
        <v>31</v>
      </c>
      <c r="F75" s="1">
        <f t="shared" si="11"/>
        <v>34</v>
      </c>
      <c r="G75" s="1">
        <f t="shared" si="11"/>
        <v>14</v>
      </c>
      <c r="H75" s="1">
        <f t="shared" si="11"/>
        <v>6</v>
      </c>
      <c r="I75" s="1">
        <f t="shared" si="11"/>
        <v>22</v>
      </c>
      <c r="J75" s="1">
        <f t="shared" si="11"/>
        <v>40</v>
      </c>
      <c r="K75" s="1">
        <f t="shared" si="11"/>
        <v>11</v>
      </c>
      <c r="L75" s="1">
        <f t="shared" si="11"/>
        <v>28</v>
      </c>
      <c r="M75" s="1">
        <f t="shared" si="11"/>
        <v>43</v>
      </c>
      <c r="N75" s="1">
        <f t="shared" si="11"/>
        <v>13</v>
      </c>
      <c r="O75" s="1">
        <f t="shared" si="11"/>
        <v>38</v>
      </c>
      <c r="P75" s="1">
        <f t="shared" si="11"/>
        <v>45</v>
      </c>
      <c r="Q75" s="1">
        <f t="shared" si="11"/>
        <v>30</v>
      </c>
      <c r="R75" s="1">
        <f t="shared" si="11"/>
        <v>15</v>
      </c>
      <c r="S75" s="1">
        <f t="shared" si="11"/>
        <v>39</v>
      </c>
      <c r="T75" s="1">
        <f t="shared" si="11"/>
        <v>12</v>
      </c>
      <c r="U75" s="1">
        <f t="shared" si="11"/>
        <v>16</v>
      </c>
      <c r="V75" s="1">
        <f t="shared" si="11"/>
        <v>29</v>
      </c>
      <c r="W75" s="1">
        <f t="shared" si="11"/>
        <v>24</v>
      </c>
      <c r="X75" s="1">
        <f t="shared" si="11"/>
        <v>27</v>
      </c>
      <c r="Y75" s="1">
        <f t="shared" si="11"/>
        <v>21</v>
      </c>
      <c r="Z75" s="1">
        <f t="shared" si="11"/>
        <v>41</v>
      </c>
      <c r="AA75" s="1">
        <f t="shared" si="11"/>
        <v>42</v>
      </c>
      <c r="AB75" s="1">
        <f t="shared" si="11"/>
        <v>18</v>
      </c>
      <c r="AC75" s="1">
        <f t="shared" si="11"/>
        <v>2</v>
      </c>
      <c r="AD75" s="1">
        <f t="shared" si="11"/>
        <v>26</v>
      </c>
      <c r="AE75" s="1">
        <f t="shared" si="11"/>
        <v>35</v>
      </c>
      <c r="AF75" s="1">
        <f t="shared" si="11"/>
        <v>37</v>
      </c>
      <c r="AG75" s="1">
        <f t="shared" si="11"/>
        <v>25</v>
      </c>
      <c r="AH75" s="1">
        <f t="shared" si="11"/>
        <v>20</v>
      </c>
      <c r="AI75" s="1">
        <f t="shared" si="11"/>
        <v>7</v>
      </c>
      <c r="AJ75" s="1">
        <f t="shared" si="11"/>
        <v>33</v>
      </c>
      <c r="AK75" s="1">
        <f t="shared" si="11"/>
        <v>46</v>
      </c>
      <c r="AL75" s="1">
        <f t="shared" si="11"/>
        <v>36</v>
      </c>
      <c r="AM75" s="1">
        <f t="shared" si="11"/>
        <v>4</v>
      </c>
      <c r="AN75" s="1">
        <f t="shared" si="11"/>
        <v>8</v>
      </c>
      <c r="AO75" s="1">
        <f t="shared" si="11"/>
        <v>23</v>
      </c>
      <c r="AP75" s="1">
        <f t="shared" si="11"/>
        <v>5</v>
      </c>
      <c r="AQ75" s="1">
        <f t="shared" si="11"/>
        <v>32</v>
      </c>
      <c r="AR75" s="1">
        <f t="shared" si="11"/>
        <v>1</v>
      </c>
      <c r="AS75" s="1">
        <f t="shared" si="11"/>
        <v>19</v>
      </c>
      <c r="AT75" s="1">
        <f t="shared" si="11"/>
        <v>16</v>
      </c>
      <c r="AU75" s="1">
        <f t="shared" si="11"/>
        <v>10</v>
      </c>
    </row>
    <row r="76" spans="1:47">
      <c r="A76" s="1" t="str">
        <f t="shared" si="6"/>
        <v>   1.2.1) Frequency of identity theft</v>
      </c>
      <c r="B76" s="1">
        <f t="shared" ref="B76:AU76" si="12">RANK(B11,$B11:$AU11,0)</f>
        <v>6</v>
      </c>
      <c r="C76" s="1">
        <f t="shared" si="12"/>
        <v>5</v>
      </c>
      <c r="D76" s="1">
        <f t="shared" si="12"/>
        <v>6</v>
      </c>
      <c r="E76" s="1">
        <f t="shared" si="12"/>
        <v>33</v>
      </c>
      <c r="F76" s="1">
        <f t="shared" si="12"/>
        <v>44</v>
      </c>
      <c r="G76" s="1">
        <f t="shared" si="12"/>
        <v>19</v>
      </c>
      <c r="H76" s="1">
        <f t="shared" si="12"/>
        <v>6</v>
      </c>
      <c r="I76" s="1">
        <f t="shared" si="12"/>
        <v>22</v>
      </c>
      <c r="J76" s="1">
        <f t="shared" si="12"/>
        <v>41</v>
      </c>
      <c r="K76" s="1">
        <f t="shared" si="12"/>
        <v>6</v>
      </c>
      <c r="L76" s="1">
        <f t="shared" si="12"/>
        <v>28</v>
      </c>
      <c r="M76" s="1">
        <f t="shared" si="12"/>
        <v>6</v>
      </c>
      <c r="N76" s="1">
        <f t="shared" si="12"/>
        <v>6</v>
      </c>
      <c r="O76" s="1">
        <f t="shared" si="12"/>
        <v>28</v>
      </c>
      <c r="P76" s="1">
        <f t="shared" si="12"/>
        <v>40</v>
      </c>
      <c r="Q76" s="1">
        <f t="shared" si="12"/>
        <v>41</v>
      </c>
      <c r="R76" s="1">
        <f t="shared" si="12"/>
        <v>6</v>
      </c>
      <c r="S76" s="1">
        <f t="shared" si="12"/>
        <v>4</v>
      </c>
      <c r="T76" s="1">
        <f t="shared" si="12"/>
        <v>21</v>
      </c>
      <c r="U76" s="1">
        <f t="shared" si="12"/>
        <v>22</v>
      </c>
      <c r="V76" s="1">
        <f t="shared" si="12"/>
        <v>33</v>
      </c>
      <c r="W76" s="1">
        <f t="shared" si="12"/>
        <v>28</v>
      </c>
      <c r="X76" s="1">
        <f t="shared" si="12"/>
        <v>33</v>
      </c>
      <c r="Y76" s="1">
        <f t="shared" si="12"/>
        <v>1</v>
      </c>
      <c r="Z76" s="1">
        <f t="shared" si="12"/>
        <v>36</v>
      </c>
      <c r="AA76" s="1">
        <f t="shared" si="12"/>
        <v>41</v>
      </c>
      <c r="AB76" s="1">
        <f t="shared" si="12"/>
        <v>22</v>
      </c>
      <c r="AC76" s="1">
        <f t="shared" si="12"/>
        <v>15</v>
      </c>
      <c r="AD76" s="1">
        <f t="shared" si="12"/>
        <v>15</v>
      </c>
      <c r="AE76" s="1">
        <f t="shared" si="12"/>
        <v>36</v>
      </c>
      <c r="AF76" s="1">
        <f t="shared" si="12"/>
        <v>28</v>
      </c>
      <c r="AG76" s="1">
        <f t="shared" si="12"/>
        <v>1</v>
      </c>
      <c r="AH76" s="1">
        <f t="shared" si="12"/>
        <v>22</v>
      </c>
      <c r="AI76" s="1">
        <f t="shared" si="12"/>
        <v>6</v>
      </c>
      <c r="AJ76" s="1">
        <f t="shared" si="12"/>
        <v>36</v>
      </c>
      <c r="AK76" s="1">
        <f t="shared" si="12"/>
        <v>46</v>
      </c>
      <c r="AL76" s="1">
        <f t="shared" si="12"/>
        <v>44</v>
      </c>
      <c r="AM76" s="1">
        <f t="shared" si="12"/>
        <v>36</v>
      </c>
      <c r="AN76" s="1">
        <f t="shared" si="12"/>
        <v>20</v>
      </c>
      <c r="AO76" s="1">
        <f t="shared" si="12"/>
        <v>28</v>
      </c>
      <c r="AP76" s="1">
        <f t="shared" si="12"/>
        <v>6</v>
      </c>
      <c r="AQ76" s="1">
        <f t="shared" si="12"/>
        <v>1</v>
      </c>
      <c r="AR76" s="1">
        <f t="shared" si="12"/>
        <v>15</v>
      </c>
      <c r="AS76" s="1">
        <f t="shared" si="12"/>
        <v>22</v>
      </c>
      <c r="AT76" s="1">
        <f t="shared" si="12"/>
        <v>22</v>
      </c>
      <c r="AU76" s="1">
        <f t="shared" si="12"/>
        <v>15</v>
      </c>
    </row>
    <row r="77" spans="1:47">
      <c r="A77" s="1" t="str">
        <f t="shared" si="6"/>
        <v>   1.2.2) Percentage of computers infected</v>
      </c>
      <c r="B77" s="1">
        <f t="shared" ref="B77:AU77" si="13">RANK(B12,$B12:$AU12,0)</f>
        <v>10</v>
      </c>
      <c r="C77" s="1">
        <f t="shared" si="13"/>
        <v>4</v>
      </c>
      <c r="D77" s="1">
        <f t="shared" si="13"/>
        <v>38</v>
      </c>
      <c r="E77" s="1">
        <f t="shared" si="13"/>
        <v>38</v>
      </c>
      <c r="F77" s="1">
        <f t="shared" si="13"/>
        <v>10</v>
      </c>
      <c r="G77" s="1">
        <f t="shared" si="13"/>
        <v>10</v>
      </c>
      <c r="H77" s="1">
        <f t="shared" si="13"/>
        <v>4</v>
      </c>
      <c r="I77" s="1">
        <f t="shared" si="13"/>
        <v>10</v>
      </c>
      <c r="J77" s="1">
        <f t="shared" si="13"/>
        <v>10</v>
      </c>
      <c r="K77" s="1">
        <f t="shared" si="13"/>
        <v>10</v>
      </c>
      <c r="L77" s="1">
        <f t="shared" si="13"/>
        <v>38</v>
      </c>
      <c r="M77" s="1">
        <f t="shared" si="13"/>
        <v>45</v>
      </c>
      <c r="N77" s="1">
        <f t="shared" si="13"/>
        <v>10</v>
      </c>
      <c r="O77" s="1">
        <f t="shared" si="13"/>
        <v>38</v>
      </c>
      <c r="P77" s="1">
        <f t="shared" si="13"/>
        <v>10</v>
      </c>
      <c r="Q77" s="1">
        <f t="shared" si="13"/>
        <v>4</v>
      </c>
      <c r="R77" s="1">
        <f t="shared" si="13"/>
        <v>10</v>
      </c>
      <c r="S77" s="1">
        <f t="shared" si="13"/>
        <v>10</v>
      </c>
      <c r="T77" s="1">
        <f t="shared" si="13"/>
        <v>10</v>
      </c>
      <c r="U77" s="1">
        <f t="shared" si="13"/>
        <v>10</v>
      </c>
      <c r="V77" s="1">
        <f t="shared" si="13"/>
        <v>38</v>
      </c>
      <c r="W77" s="1">
        <f t="shared" si="13"/>
        <v>10</v>
      </c>
      <c r="X77" s="1">
        <f t="shared" si="13"/>
        <v>4</v>
      </c>
      <c r="Y77" s="1">
        <f t="shared" si="13"/>
        <v>10</v>
      </c>
      <c r="Z77" s="1">
        <f t="shared" si="13"/>
        <v>45</v>
      </c>
      <c r="AA77" s="1">
        <f t="shared" si="13"/>
        <v>10</v>
      </c>
      <c r="AB77" s="1">
        <f t="shared" si="13"/>
        <v>10</v>
      </c>
      <c r="AC77" s="1">
        <f t="shared" si="13"/>
        <v>1</v>
      </c>
      <c r="AD77" s="1">
        <f t="shared" si="13"/>
        <v>38</v>
      </c>
      <c r="AE77" s="1">
        <f t="shared" si="13"/>
        <v>10</v>
      </c>
      <c r="AF77" s="1">
        <f t="shared" si="13"/>
        <v>38</v>
      </c>
      <c r="AG77" s="1">
        <f t="shared" si="13"/>
        <v>10</v>
      </c>
      <c r="AH77" s="1">
        <f t="shared" si="13"/>
        <v>10</v>
      </c>
      <c r="AI77" s="1">
        <f t="shared" si="13"/>
        <v>4</v>
      </c>
      <c r="AJ77" s="1">
        <f t="shared" si="13"/>
        <v>10</v>
      </c>
      <c r="AK77" s="1">
        <f t="shared" si="13"/>
        <v>10</v>
      </c>
      <c r="AL77" s="1">
        <f t="shared" si="13"/>
        <v>10</v>
      </c>
      <c r="AM77" s="1">
        <f t="shared" si="13"/>
        <v>1</v>
      </c>
      <c r="AN77" s="1">
        <f t="shared" si="13"/>
        <v>10</v>
      </c>
      <c r="AO77" s="1">
        <f t="shared" si="13"/>
        <v>10</v>
      </c>
      <c r="AP77" s="1">
        <f t="shared" si="13"/>
        <v>4</v>
      </c>
      <c r="AQ77" s="1">
        <f t="shared" si="13"/>
        <v>10</v>
      </c>
      <c r="AR77" s="1">
        <f t="shared" si="13"/>
        <v>1</v>
      </c>
      <c r="AS77" s="1">
        <f t="shared" si="13"/>
        <v>10</v>
      </c>
      <c r="AT77" s="1">
        <f t="shared" si="13"/>
        <v>10</v>
      </c>
      <c r="AU77" s="1">
        <f t="shared" si="13"/>
        <v>10</v>
      </c>
    </row>
    <row r="78" spans="1:47">
      <c r="A78" s="1" t="str">
        <f t="shared" si="6"/>
        <v>   1.2.3) Percentage with Internet access</v>
      </c>
      <c r="B78" s="1">
        <f t="shared" ref="B78:AU78" si="14">RANK(B13,$B13:$AU13,0)</f>
        <v>4</v>
      </c>
      <c r="C78" s="1">
        <f t="shared" si="14"/>
        <v>2</v>
      </c>
      <c r="D78" s="1">
        <f t="shared" si="14"/>
        <v>45</v>
      </c>
      <c r="E78" s="1">
        <f t="shared" si="14"/>
        <v>23</v>
      </c>
      <c r="F78" s="1">
        <f t="shared" si="14"/>
        <v>27</v>
      </c>
      <c r="G78" s="1">
        <f t="shared" si="14"/>
        <v>13</v>
      </c>
      <c r="H78" s="1">
        <f t="shared" si="14"/>
        <v>30</v>
      </c>
      <c r="I78" s="1">
        <f t="shared" si="14"/>
        <v>22</v>
      </c>
      <c r="J78" s="1">
        <f t="shared" si="14"/>
        <v>38</v>
      </c>
      <c r="K78" s="1">
        <f t="shared" si="14"/>
        <v>14</v>
      </c>
      <c r="L78" s="1">
        <f t="shared" si="14"/>
        <v>10</v>
      </c>
      <c r="M78" s="1">
        <f t="shared" si="14"/>
        <v>37</v>
      </c>
      <c r="N78" s="1">
        <f t="shared" si="14"/>
        <v>18</v>
      </c>
      <c r="O78" s="1">
        <f t="shared" si="14"/>
        <v>42</v>
      </c>
      <c r="P78" s="1">
        <f t="shared" si="14"/>
        <v>43</v>
      </c>
      <c r="Q78" s="1">
        <f t="shared" si="14"/>
        <v>35</v>
      </c>
      <c r="R78" s="1">
        <f t="shared" si="14"/>
        <v>24</v>
      </c>
      <c r="S78" s="1">
        <f t="shared" si="14"/>
        <v>46</v>
      </c>
      <c r="T78" s="1">
        <f t="shared" si="14"/>
        <v>3</v>
      </c>
      <c r="U78" s="1">
        <f t="shared" si="14"/>
        <v>8</v>
      </c>
      <c r="V78" s="1">
        <f t="shared" si="14"/>
        <v>19</v>
      </c>
      <c r="W78" s="1">
        <f t="shared" si="14"/>
        <v>21</v>
      </c>
      <c r="X78" s="1">
        <f t="shared" si="14"/>
        <v>36</v>
      </c>
      <c r="Y78" s="1">
        <f t="shared" si="14"/>
        <v>32</v>
      </c>
      <c r="Z78" s="1">
        <f t="shared" si="14"/>
        <v>24</v>
      </c>
      <c r="AA78" s="1">
        <f t="shared" si="14"/>
        <v>40</v>
      </c>
      <c r="AB78" s="1">
        <f t="shared" si="14"/>
        <v>12</v>
      </c>
      <c r="AC78" s="1">
        <f t="shared" si="14"/>
        <v>7</v>
      </c>
      <c r="AD78" s="1">
        <f t="shared" si="14"/>
        <v>14</v>
      </c>
      <c r="AE78" s="1">
        <f t="shared" si="14"/>
        <v>40</v>
      </c>
      <c r="AF78" s="1">
        <f t="shared" si="14"/>
        <v>34</v>
      </c>
      <c r="AG78" s="1">
        <f t="shared" si="14"/>
        <v>33</v>
      </c>
      <c r="AH78" s="1">
        <f t="shared" si="14"/>
        <v>17</v>
      </c>
      <c r="AI78" s="1">
        <f t="shared" si="14"/>
        <v>31</v>
      </c>
      <c r="AJ78" s="1">
        <f t="shared" si="14"/>
        <v>39</v>
      </c>
      <c r="AK78" s="1">
        <f t="shared" si="14"/>
        <v>11</v>
      </c>
      <c r="AL78" s="1">
        <f t="shared" si="14"/>
        <v>29</v>
      </c>
      <c r="AM78" s="1">
        <f t="shared" si="14"/>
        <v>26</v>
      </c>
      <c r="AN78" s="1">
        <f t="shared" si="14"/>
        <v>1</v>
      </c>
      <c r="AO78" s="1">
        <f t="shared" si="14"/>
        <v>20</v>
      </c>
      <c r="AP78" s="1">
        <f t="shared" si="14"/>
        <v>28</v>
      </c>
      <c r="AQ78" s="1">
        <f t="shared" si="14"/>
        <v>44</v>
      </c>
      <c r="AR78" s="1">
        <f t="shared" si="14"/>
        <v>6</v>
      </c>
      <c r="AS78" s="1">
        <f t="shared" si="14"/>
        <v>16</v>
      </c>
      <c r="AT78" s="1">
        <f t="shared" si="14"/>
        <v>8</v>
      </c>
      <c r="AU78" s="1">
        <f t="shared" si="14"/>
        <v>4</v>
      </c>
    </row>
    <row r="79" spans="1:47">
      <c r="A79" s="1" t="str">
        <f t="shared" si="6"/>
        <v> 2) HEALTH SECURITY</v>
      </c>
      <c r="B79" s="1">
        <f t="shared" ref="B79:AU79" si="15">RANK(B14,$B14:$AU14,0)</f>
        <v>42</v>
      </c>
      <c r="C79" s="1">
        <f t="shared" si="15"/>
        <v>13</v>
      </c>
      <c r="D79" s="1">
        <f t="shared" si="15"/>
        <v>32</v>
      </c>
      <c r="E79" s="1">
        <f t="shared" si="15"/>
        <v>10</v>
      </c>
      <c r="F79" s="1">
        <f t="shared" si="15"/>
        <v>26</v>
      </c>
      <c r="G79" s="1">
        <f t="shared" si="15"/>
        <v>4</v>
      </c>
      <c r="H79" s="1">
        <f t="shared" si="15"/>
        <v>27</v>
      </c>
      <c r="I79" s="1">
        <f t="shared" si="15"/>
        <v>21</v>
      </c>
      <c r="J79" s="1">
        <f t="shared" si="15"/>
        <v>37</v>
      </c>
      <c r="K79" s="1">
        <f t="shared" si="15"/>
        <v>39</v>
      </c>
      <c r="L79" s="1">
        <f t="shared" si="15"/>
        <v>6</v>
      </c>
      <c r="M79" s="1">
        <f t="shared" si="15"/>
        <v>44</v>
      </c>
      <c r="N79" s="1">
        <f t="shared" si="15"/>
        <v>29</v>
      </c>
      <c r="O79" s="1">
        <f t="shared" si="15"/>
        <v>43</v>
      </c>
      <c r="P79" s="1">
        <f t="shared" si="15"/>
        <v>38</v>
      </c>
      <c r="Q79" s="1">
        <f t="shared" si="15"/>
        <v>41</v>
      </c>
      <c r="R79" s="1">
        <f t="shared" si="15"/>
        <v>35</v>
      </c>
      <c r="S79" s="1">
        <f t="shared" si="15"/>
        <v>36</v>
      </c>
      <c r="T79" s="1">
        <f t="shared" si="15"/>
        <v>19</v>
      </c>
      <c r="U79" s="1">
        <f t="shared" si="15"/>
        <v>23</v>
      </c>
      <c r="V79" s="1">
        <f t="shared" si="15"/>
        <v>11</v>
      </c>
      <c r="W79" s="1">
        <f t="shared" si="15"/>
        <v>14</v>
      </c>
      <c r="X79" s="1">
        <f t="shared" si="15"/>
        <v>31</v>
      </c>
      <c r="Y79" s="1">
        <f t="shared" si="15"/>
        <v>25</v>
      </c>
      <c r="Z79" s="1">
        <f t="shared" si="15"/>
        <v>22</v>
      </c>
      <c r="AA79" s="1">
        <f t="shared" si="15"/>
        <v>46</v>
      </c>
      <c r="AB79" s="1">
        <f t="shared" si="15"/>
        <v>3</v>
      </c>
      <c r="AC79" s="1">
        <f t="shared" si="15"/>
        <v>7</v>
      </c>
      <c r="AD79" s="1">
        <f t="shared" si="15"/>
        <v>8</v>
      </c>
      <c r="AE79" s="1">
        <f t="shared" si="15"/>
        <v>34</v>
      </c>
      <c r="AF79" s="1">
        <f t="shared" si="15"/>
        <v>40</v>
      </c>
      <c r="AG79" s="1">
        <f t="shared" si="15"/>
        <v>24</v>
      </c>
      <c r="AH79" s="1">
        <f t="shared" si="15"/>
        <v>16</v>
      </c>
      <c r="AI79" s="1">
        <f t="shared" si="15"/>
        <v>28</v>
      </c>
      <c r="AJ79" s="1">
        <f t="shared" si="15"/>
        <v>33</v>
      </c>
      <c r="AK79" s="1">
        <f t="shared" si="15"/>
        <v>15</v>
      </c>
      <c r="AL79" s="1">
        <f t="shared" si="15"/>
        <v>30</v>
      </c>
      <c r="AM79" s="1">
        <f t="shared" si="15"/>
        <v>12</v>
      </c>
      <c r="AN79" s="1">
        <f t="shared" si="15"/>
        <v>1</v>
      </c>
      <c r="AO79" s="1">
        <f t="shared" si="15"/>
        <v>18</v>
      </c>
      <c r="AP79" s="1">
        <f t="shared" si="15"/>
        <v>5</v>
      </c>
      <c r="AQ79" s="1">
        <f t="shared" si="15"/>
        <v>45</v>
      </c>
      <c r="AR79" s="1">
        <f t="shared" si="15"/>
        <v>9</v>
      </c>
      <c r="AS79" s="1">
        <f t="shared" si="15"/>
        <v>20</v>
      </c>
      <c r="AT79" s="1">
        <f t="shared" si="15"/>
        <v>17</v>
      </c>
      <c r="AU79" s="1">
        <f t="shared" si="15"/>
        <v>2</v>
      </c>
    </row>
    <row r="80" spans="1:47">
      <c r="A80" s="1" t="str">
        <f t="shared" si="6"/>
        <v>  2.1) Health security (Inputs)</v>
      </c>
      <c r="B80" s="1">
        <f t="shared" ref="B80:AU80" si="16">RANK(B15,$B15:$AU15,0)</f>
        <v>35</v>
      </c>
      <c r="C80" s="1">
        <f t="shared" si="16"/>
        <v>9</v>
      </c>
      <c r="D80" s="1">
        <f t="shared" si="16"/>
        <v>29</v>
      </c>
      <c r="E80" s="1">
        <f t="shared" si="16"/>
        <v>13</v>
      </c>
      <c r="F80" s="1">
        <f t="shared" si="16"/>
        <v>26</v>
      </c>
      <c r="G80" s="1">
        <f t="shared" si="16"/>
        <v>4</v>
      </c>
      <c r="H80" s="1">
        <f t="shared" si="16"/>
        <v>23</v>
      </c>
      <c r="I80" s="1">
        <f t="shared" si="16"/>
        <v>21</v>
      </c>
      <c r="J80" s="1">
        <f t="shared" si="16"/>
        <v>33</v>
      </c>
      <c r="K80" s="1">
        <f t="shared" si="16"/>
        <v>37</v>
      </c>
      <c r="L80" s="1">
        <f t="shared" si="16"/>
        <v>10</v>
      </c>
      <c r="M80" s="1">
        <f t="shared" si="16"/>
        <v>45</v>
      </c>
      <c r="N80" s="1">
        <f t="shared" si="16"/>
        <v>15</v>
      </c>
      <c r="O80" s="1">
        <f t="shared" si="16"/>
        <v>46</v>
      </c>
      <c r="P80" s="1">
        <f t="shared" si="16"/>
        <v>42</v>
      </c>
      <c r="Q80" s="1">
        <f t="shared" si="16"/>
        <v>38</v>
      </c>
      <c r="R80" s="1">
        <f t="shared" si="16"/>
        <v>40</v>
      </c>
      <c r="S80" s="1">
        <f t="shared" si="16"/>
        <v>39</v>
      </c>
      <c r="T80" s="1">
        <f t="shared" si="16"/>
        <v>24</v>
      </c>
      <c r="U80" s="1">
        <f t="shared" si="16"/>
        <v>20</v>
      </c>
      <c r="V80" s="1">
        <f t="shared" si="16"/>
        <v>19</v>
      </c>
      <c r="W80" s="1">
        <f t="shared" si="16"/>
        <v>16</v>
      </c>
      <c r="X80" s="1">
        <f t="shared" si="16"/>
        <v>30</v>
      </c>
      <c r="Y80" s="1">
        <f t="shared" si="16"/>
        <v>32</v>
      </c>
      <c r="Z80" s="1">
        <f t="shared" si="16"/>
        <v>18</v>
      </c>
      <c r="AA80" s="1">
        <f t="shared" si="16"/>
        <v>43</v>
      </c>
      <c r="AB80" s="1">
        <f t="shared" si="16"/>
        <v>11</v>
      </c>
      <c r="AC80" s="1">
        <f t="shared" si="16"/>
        <v>3</v>
      </c>
      <c r="AD80" s="1">
        <f t="shared" si="16"/>
        <v>7</v>
      </c>
      <c r="AE80" s="1">
        <f t="shared" si="16"/>
        <v>27</v>
      </c>
      <c r="AF80" s="1">
        <f t="shared" si="16"/>
        <v>44</v>
      </c>
      <c r="AG80" s="1">
        <f t="shared" si="16"/>
        <v>27</v>
      </c>
      <c r="AH80" s="1">
        <f t="shared" si="16"/>
        <v>17</v>
      </c>
      <c r="AI80" s="1">
        <f t="shared" si="16"/>
        <v>36</v>
      </c>
      <c r="AJ80" s="1">
        <f t="shared" si="16"/>
        <v>34</v>
      </c>
      <c r="AK80" s="1">
        <f t="shared" si="16"/>
        <v>12</v>
      </c>
      <c r="AL80" s="1">
        <f t="shared" si="16"/>
        <v>31</v>
      </c>
      <c r="AM80" s="1">
        <f t="shared" si="16"/>
        <v>14</v>
      </c>
      <c r="AN80" s="1">
        <f t="shared" si="16"/>
        <v>1</v>
      </c>
      <c r="AO80" s="1">
        <f t="shared" si="16"/>
        <v>22</v>
      </c>
      <c r="AP80" s="1">
        <f t="shared" si="16"/>
        <v>2</v>
      </c>
      <c r="AQ80" s="1">
        <f t="shared" si="16"/>
        <v>41</v>
      </c>
      <c r="AR80" s="1">
        <f t="shared" si="16"/>
        <v>5</v>
      </c>
      <c r="AS80" s="1">
        <f t="shared" si="16"/>
        <v>25</v>
      </c>
      <c r="AT80" s="1">
        <f t="shared" si="16"/>
        <v>6</v>
      </c>
      <c r="AU80" s="1">
        <f t="shared" si="16"/>
        <v>8</v>
      </c>
    </row>
    <row r="81" spans="1:47">
      <c r="A81" s="1" t="str">
        <f t="shared" si="6"/>
        <v>   2.1.1) Environmental policies</v>
      </c>
      <c r="B81" s="1">
        <f t="shared" ref="B81:AU81" si="17">RANK(B16,$B16:$AU16,0)</f>
        <v>36</v>
      </c>
      <c r="C81" s="1">
        <f t="shared" si="17"/>
        <v>17</v>
      </c>
      <c r="D81" s="1">
        <f t="shared" si="17"/>
        <v>13</v>
      </c>
      <c r="E81" s="1">
        <f t="shared" si="17"/>
        <v>24</v>
      </c>
      <c r="F81" s="1">
        <f t="shared" si="17"/>
        <v>26</v>
      </c>
      <c r="G81" s="1">
        <f t="shared" si="17"/>
        <v>1</v>
      </c>
      <c r="H81" s="1">
        <f t="shared" si="17"/>
        <v>30</v>
      </c>
      <c r="I81" s="1">
        <f t="shared" si="17"/>
        <v>21</v>
      </c>
      <c r="J81" s="1">
        <f t="shared" si="17"/>
        <v>20</v>
      </c>
      <c r="K81" s="1">
        <f t="shared" si="17"/>
        <v>43</v>
      </c>
      <c r="L81" s="1">
        <f t="shared" si="17"/>
        <v>29</v>
      </c>
      <c r="M81" s="1">
        <f t="shared" si="17"/>
        <v>42</v>
      </c>
      <c r="N81" s="1">
        <f t="shared" si="17"/>
        <v>5</v>
      </c>
      <c r="O81" s="1">
        <f t="shared" si="17"/>
        <v>44</v>
      </c>
      <c r="P81" s="1">
        <f t="shared" si="17"/>
        <v>18</v>
      </c>
      <c r="Q81" s="1">
        <f t="shared" si="17"/>
        <v>32</v>
      </c>
      <c r="R81" s="1">
        <f t="shared" si="17"/>
        <v>45</v>
      </c>
      <c r="S81" s="1">
        <f t="shared" si="17"/>
        <v>38</v>
      </c>
      <c r="T81" s="1">
        <f t="shared" si="17"/>
        <v>28</v>
      </c>
      <c r="U81" s="1">
        <f t="shared" si="17"/>
        <v>9</v>
      </c>
      <c r="V81" s="1">
        <f t="shared" si="17"/>
        <v>24</v>
      </c>
      <c r="W81" s="1">
        <f t="shared" si="17"/>
        <v>27</v>
      </c>
      <c r="X81" s="1">
        <f t="shared" si="17"/>
        <v>11</v>
      </c>
      <c r="Y81" s="1">
        <f t="shared" si="17"/>
        <v>40</v>
      </c>
      <c r="Z81" s="1">
        <f t="shared" si="17"/>
        <v>19</v>
      </c>
      <c r="AA81" s="1">
        <f t="shared" si="17"/>
        <v>37</v>
      </c>
      <c r="AB81" s="1">
        <f t="shared" si="17"/>
        <v>1</v>
      </c>
      <c r="AC81" s="1">
        <f t="shared" si="17"/>
        <v>7</v>
      </c>
      <c r="AD81" s="1">
        <f t="shared" si="17"/>
        <v>9</v>
      </c>
      <c r="AE81" s="1">
        <f t="shared" si="17"/>
        <v>13</v>
      </c>
      <c r="AF81" s="1">
        <f t="shared" si="17"/>
        <v>45</v>
      </c>
      <c r="AG81" s="1">
        <f t="shared" si="17"/>
        <v>40</v>
      </c>
      <c r="AH81" s="1">
        <f t="shared" si="17"/>
        <v>12</v>
      </c>
      <c r="AI81" s="1">
        <f t="shared" si="17"/>
        <v>32</v>
      </c>
      <c r="AJ81" s="1">
        <f t="shared" si="17"/>
        <v>35</v>
      </c>
      <c r="AK81" s="1">
        <f t="shared" si="17"/>
        <v>13</v>
      </c>
      <c r="AL81" s="1">
        <f t="shared" si="17"/>
        <v>23</v>
      </c>
      <c r="AM81" s="1">
        <f t="shared" si="17"/>
        <v>6</v>
      </c>
      <c r="AN81" s="1">
        <f t="shared" si="17"/>
        <v>1</v>
      </c>
      <c r="AO81" s="1">
        <f t="shared" si="17"/>
        <v>34</v>
      </c>
      <c r="AP81" s="1">
        <f t="shared" si="17"/>
        <v>13</v>
      </c>
      <c r="AQ81" s="1">
        <f t="shared" si="17"/>
        <v>31</v>
      </c>
      <c r="AR81" s="1">
        <f t="shared" si="17"/>
        <v>7</v>
      </c>
      <c r="AS81" s="1">
        <f t="shared" si="17"/>
        <v>39</v>
      </c>
      <c r="AT81" s="1">
        <f t="shared" si="17"/>
        <v>1</v>
      </c>
      <c r="AU81" s="1">
        <f t="shared" si="17"/>
        <v>21</v>
      </c>
    </row>
    <row r="82" spans="1:47">
      <c r="A82" s="1" t="str">
        <f t="shared" si="6"/>
        <v>   2.1.2) Access to healthcare</v>
      </c>
      <c r="B82" s="1">
        <f t="shared" ref="B82:AU82" si="18">RANK(B17,$B17:$AU17,0)</f>
        <v>40</v>
      </c>
      <c r="C82" s="1">
        <f t="shared" si="18"/>
        <v>1</v>
      </c>
      <c r="D82" s="1">
        <f t="shared" si="18"/>
        <v>31</v>
      </c>
      <c r="E82" s="1">
        <f t="shared" si="18"/>
        <v>11</v>
      </c>
      <c r="F82" s="1">
        <f t="shared" si="18"/>
        <v>25</v>
      </c>
      <c r="G82" s="1">
        <f t="shared" si="18"/>
        <v>1</v>
      </c>
      <c r="H82" s="1">
        <f t="shared" si="18"/>
        <v>11</v>
      </c>
      <c r="I82" s="1">
        <f t="shared" si="18"/>
        <v>11</v>
      </c>
      <c r="J82" s="1">
        <f t="shared" si="18"/>
        <v>31</v>
      </c>
      <c r="K82" s="1">
        <f t="shared" si="18"/>
        <v>31</v>
      </c>
      <c r="L82" s="1">
        <f t="shared" si="18"/>
        <v>1</v>
      </c>
      <c r="M82" s="1">
        <f t="shared" si="18"/>
        <v>40</v>
      </c>
      <c r="N82" s="1">
        <f t="shared" si="18"/>
        <v>11</v>
      </c>
      <c r="O82" s="1">
        <f t="shared" si="18"/>
        <v>46</v>
      </c>
      <c r="P82" s="1">
        <f t="shared" si="18"/>
        <v>40</v>
      </c>
      <c r="Q82" s="1">
        <f t="shared" si="18"/>
        <v>31</v>
      </c>
      <c r="R82" s="1">
        <f t="shared" si="18"/>
        <v>31</v>
      </c>
      <c r="S82" s="1">
        <f t="shared" si="18"/>
        <v>25</v>
      </c>
      <c r="T82" s="1">
        <f t="shared" si="18"/>
        <v>25</v>
      </c>
      <c r="U82" s="1">
        <f t="shared" si="18"/>
        <v>11</v>
      </c>
      <c r="V82" s="1">
        <f t="shared" si="18"/>
        <v>11</v>
      </c>
      <c r="W82" s="1">
        <f t="shared" si="18"/>
        <v>1</v>
      </c>
      <c r="X82" s="1">
        <f t="shared" si="18"/>
        <v>25</v>
      </c>
      <c r="Y82" s="1">
        <f t="shared" si="18"/>
        <v>11</v>
      </c>
      <c r="Z82" s="1">
        <f t="shared" si="18"/>
        <v>31</v>
      </c>
      <c r="AA82" s="1">
        <f t="shared" si="18"/>
        <v>25</v>
      </c>
      <c r="AB82" s="1">
        <f t="shared" si="18"/>
        <v>11</v>
      </c>
      <c r="AC82" s="1">
        <f t="shared" si="18"/>
        <v>1</v>
      </c>
      <c r="AD82" s="1">
        <f t="shared" si="18"/>
        <v>1</v>
      </c>
      <c r="AE82" s="1">
        <f t="shared" si="18"/>
        <v>40</v>
      </c>
      <c r="AF82" s="1">
        <f t="shared" si="18"/>
        <v>31</v>
      </c>
      <c r="AG82" s="1">
        <f t="shared" si="18"/>
        <v>11</v>
      </c>
      <c r="AH82" s="1">
        <f t="shared" si="18"/>
        <v>11</v>
      </c>
      <c r="AI82" s="1">
        <f t="shared" si="18"/>
        <v>31</v>
      </c>
      <c r="AJ82" s="1">
        <f t="shared" si="18"/>
        <v>31</v>
      </c>
      <c r="AK82" s="1">
        <f t="shared" si="18"/>
        <v>11</v>
      </c>
      <c r="AL82" s="1">
        <f t="shared" si="18"/>
        <v>40</v>
      </c>
      <c r="AM82" s="1">
        <f t="shared" si="18"/>
        <v>11</v>
      </c>
      <c r="AN82" s="1">
        <f t="shared" si="18"/>
        <v>11</v>
      </c>
      <c r="AO82" s="1">
        <f t="shared" si="18"/>
        <v>1</v>
      </c>
      <c r="AP82" s="1">
        <f t="shared" si="18"/>
        <v>25</v>
      </c>
      <c r="AQ82" s="1">
        <f t="shared" si="18"/>
        <v>45</v>
      </c>
      <c r="AR82" s="1">
        <f t="shared" si="18"/>
        <v>1</v>
      </c>
      <c r="AS82" s="1">
        <f t="shared" si="18"/>
        <v>1</v>
      </c>
      <c r="AT82" s="1">
        <f t="shared" si="18"/>
        <v>11</v>
      </c>
      <c r="AU82" s="1">
        <f t="shared" si="18"/>
        <v>1</v>
      </c>
    </row>
    <row r="83" spans="1:47">
      <c r="A83" s="1" t="str">
        <f t="shared" si="6"/>
        <v>   2.1.3) No. of beds per 1,000</v>
      </c>
      <c r="B83" s="1">
        <f t="shared" ref="B83:AU83" si="19">RANK(B18,$B18:$AU18,0)</f>
        <v>26</v>
      </c>
      <c r="C83" s="1">
        <f t="shared" si="19"/>
        <v>14</v>
      </c>
      <c r="D83" s="1">
        <f t="shared" si="19"/>
        <v>20</v>
      </c>
      <c r="E83" s="1">
        <f t="shared" si="19"/>
        <v>21</v>
      </c>
      <c r="F83" s="1">
        <f t="shared" si="19"/>
        <v>12</v>
      </c>
      <c r="G83" s="1">
        <f t="shared" si="19"/>
        <v>7</v>
      </c>
      <c r="H83" s="1">
        <f t="shared" si="19"/>
        <v>16</v>
      </c>
      <c r="I83" s="1">
        <f t="shared" si="19"/>
        <v>28</v>
      </c>
      <c r="J83" s="1">
        <f t="shared" si="19"/>
        <v>31</v>
      </c>
      <c r="K83" s="1">
        <f t="shared" si="19"/>
        <v>43</v>
      </c>
      <c r="L83" s="1">
        <f t="shared" si="19"/>
        <v>5</v>
      </c>
      <c r="M83" s="1">
        <f t="shared" si="19"/>
        <v>19</v>
      </c>
      <c r="N83" s="1">
        <f t="shared" si="19"/>
        <v>11</v>
      </c>
      <c r="O83" s="1">
        <f t="shared" si="19"/>
        <v>46</v>
      </c>
      <c r="P83" s="1">
        <f t="shared" si="19"/>
        <v>39</v>
      </c>
      <c r="Q83" s="1">
        <f t="shared" si="19"/>
        <v>41</v>
      </c>
      <c r="R83" s="1">
        <f t="shared" si="19"/>
        <v>33</v>
      </c>
      <c r="S83" s="1">
        <f t="shared" si="19"/>
        <v>39</v>
      </c>
      <c r="T83" s="1">
        <f t="shared" si="19"/>
        <v>33</v>
      </c>
      <c r="U83" s="1">
        <f t="shared" si="19"/>
        <v>42</v>
      </c>
      <c r="V83" s="1">
        <f t="shared" si="19"/>
        <v>23</v>
      </c>
      <c r="W83" s="1">
        <f t="shared" si="19"/>
        <v>30</v>
      </c>
      <c r="X83" s="1">
        <f t="shared" si="19"/>
        <v>44</v>
      </c>
      <c r="Y83" s="1">
        <f t="shared" si="19"/>
        <v>10</v>
      </c>
      <c r="Z83" s="1">
        <f t="shared" si="19"/>
        <v>3</v>
      </c>
      <c r="AA83" s="1">
        <f t="shared" si="19"/>
        <v>37</v>
      </c>
      <c r="AB83" s="1">
        <f t="shared" si="19"/>
        <v>22</v>
      </c>
      <c r="AC83" s="1">
        <f t="shared" si="19"/>
        <v>2</v>
      </c>
      <c r="AD83" s="1">
        <f t="shared" si="19"/>
        <v>8</v>
      </c>
      <c r="AE83" s="1">
        <f t="shared" si="19"/>
        <v>38</v>
      </c>
      <c r="AF83" s="1">
        <f t="shared" si="19"/>
        <v>32</v>
      </c>
      <c r="AG83" s="1">
        <f t="shared" si="19"/>
        <v>18</v>
      </c>
      <c r="AH83" s="1">
        <f t="shared" si="19"/>
        <v>24</v>
      </c>
      <c r="AI83" s="1">
        <f t="shared" si="19"/>
        <v>35</v>
      </c>
      <c r="AJ83" s="1">
        <f t="shared" si="19"/>
        <v>27</v>
      </c>
      <c r="AK83" s="1">
        <f t="shared" si="19"/>
        <v>13</v>
      </c>
      <c r="AL83" s="1">
        <f t="shared" si="19"/>
        <v>15</v>
      </c>
      <c r="AM83" s="1">
        <f t="shared" si="19"/>
        <v>36</v>
      </c>
      <c r="AN83" s="1">
        <f t="shared" si="19"/>
        <v>1</v>
      </c>
      <c r="AO83" s="1">
        <f t="shared" si="19"/>
        <v>25</v>
      </c>
      <c r="AP83" s="1">
        <f t="shared" si="19"/>
        <v>6</v>
      </c>
      <c r="AQ83" s="1">
        <f t="shared" si="19"/>
        <v>45</v>
      </c>
      <c r="AR83" s="1">
        <f t="shared" si="19"/>
        <v>4</v>
      </c>
      <c r="AS83" s="1">
        <f t="shared" si="19"/>
        <v>28</v>
      </c>
      <c r="AT83" s="1">
        <f t="shared" si="19"/>
        <v>9</v>
      </c>
      <c r="AU83" s="1">
        <f t="shared" si="19"/>
        <v>17</v>
      </c>
    </row>
    <row r="84" spans="1:47">
      <c r="A84" s="1" t="str">
        <f t="shared" si="6"/>
        <v>   2.1.4) No. of doctors per 1,000</v>
      </c>
      <c r="B84" s="1">
        <f t="shared" ref="B84:AU84" si="20">RANK(B19,$B19:$AU19,0)</f>
        <v>31</v>
      </c>
      <c r="C84" s="1">
        <f t="shared" si="20"/>
        <v>25</v>
      </c>
      <c r="D84" s="1">
        <f t="shared" si="20"/>
        <v>45</v>
      </c>
      <c r="E84" s="1">
        <f t="shared" si="20"/>
        <v>7</v>
      </c>
      <c r="F84" s="1">
        <f t="shared" si="20"/>
        <v>15</v>
      </c>
      <c r="G84" s="1">
        <f t="shared" si="20"/>
        <v>4</v>
      </c>
      <c r="H84" s="1">
        <f t="shared" si="20"/>
        <v>21</v>
      </c>
      <c r="I84" s="1">
        <f t="shared" si="20"/>
        <v>26</v>
      </c>
      <c r="J84" s="1">
        <f t="shared" si="20"/>
        <v>22</v>
      </c>
      <c r="K84" s="1">
        <f t="shared" si="20"/>
        <v>2</v>
      </c>
      <c r="L84" s="1">
        <f t="shared" si="20"/>
        <v>13</v>
      </c>
      <c r="M84" s="1">
        <f t="shared" si="20"/>
        <v>37</v>
      </c>
      <c r="N84" s="1">
        <f t="shared" si="20"/>
        <v>34</v>
      </c>
      <c r="O84" s="1">
        <f t="shared" si="20"/>
        <v>40</v>
      </c>
      <c r="P84" s="1">
        <f t="shared" si="20"/>
        <v>45</v>
      </c>
      <c r="Q84" s="1">
        <f t="shared" si="20"/>
        <v>43</v>
      </c>
      <c r="R84" s="1">
        <f t="shared" si="20"/>
        <v>33</v>
      </c>
      <c r="S84" s="1">
        <f t="shared" si="20"/>
        <v>38</v>
      </c>
      <c r="T84" s="1">
        <f t="shared" si="20"/>
        <v>18</v>
      </c>
      <c r="U84" s="1">
        <f t="shared" si="20"/>
        <v>27</v>
      </c>
      <c r="V84" s="1">
        <f t="shared" si="20"/>
        <v>5</v>
      </c>
      <c r="W84" s="1">
        <f t="shared" si="20"/>
        <v>20</v>
      </c>
      <c r="X84" s="1">
        <f t="shared" si="20"/>
        <v>28</v>
      </c>
      <c r="Y84" s="1">
        <f t="shared" si="20"/>
        <v>36</v>
      </c>
      <c r="Z84" s="1">
        <f t="shared" si="20"/>
        <v>12</v>
      </c>
      <c r="AA84" s="1">
        <f t="shared" si="20"/>
        <v>44</v>
      </c>
      <c r="AB84" s="1">
        <f t="shared" si="20"/>
        <v>18</v>
      </c>
      <c r="AC84" s="1">
        <f t="shared" si="20"/>
        <v>6</v>
      </c>
      <c r="AD84" s="1">
        <f t="shared" si="20"/>
        <v>16</v>
      </c>
      <c r="AE84" s="1">
        <f t="shared" si="20"/>
        <v>14</v>
      </c>
      <c r="AF84" s="1">
        <f t="shared" si="20"/>
        <v>32</v>
      </c>
      <c r="AG84" s="1">
        <f t="shared" si="20"/>
        <v>10</v>
      </c>
      <c r="AH84" s="1">
        <f t="shared" si="20"/>
        <v>29</v>
      </c>
      <c r="AI84" s="1">
        <f t="shared" si="20"/>
        <v>39</v>
      </c>
      <c r="AJ84" s="1">
        <f t="shared" si="20"/>
        <v>11</v>
      </c>
      <c r="AK84" s="1">
        <f t="shared" si="20"/>
        <v>17</v>
      </c>
      <c r="AL84" s="1">
        <f t="shared" si="20"/>
        <v>30</v>
      </c>
      <c r="AM84" s="1">
        <f t="shared" si="20"/>
        <v>35</v>
      </c>
      <c r="AN84" s="1">
        <f t="shared" si="20"/>
        <v>9</v>
      </c>
      <c r="AO84" s="1">
        <f t="shared" si="20"/>
        <v>23</v>
      </c>
      <c r="AP84" s="1">
        <f t="shared" si="20"/>
        <v>1</v>
      </c>
      <c r="AQ84" s="1">
        <f t="shared" si="20"/>
        <v>42</v>
      </c>
      <c r="AR84" s="1">
        <f t="shared" si="20"/>
        <v>24</v>
      </c>
      <c r="AS84" s="1">
        <f t="shared" si="20"/>
        <v>41</v>
      </c>
      <c r="AT84" s="1">
        <f t="shared" si="20"/>
        <v>3</v>
      </c>
      <c r="AU84" s="1">
        <f t="shared" si="20"/>
        <v>8</v>
      </c>
    </row>
    <row r="85" spans="1:47">
      <c r="A85" s="1" t="str">
        <f t="shared" si="6"/>
        <v>   2.1.5) Access to safe and quality food</v>
      </c>
      <c r="B85" s="1">
        <f t="shared" ref="B85:AU85" si="21">RANK(B20,$B20:$AU20,0)</f>
        <v>18</v>
      </c>
      <c r="C85" s="1">
        <f t="shared" si="21"/>
        <v>1</v>
      </c>
      <c r="D85" s="1">
        <f t="shared" si="21"/>
        <v>31</v>
      </c>
      <c r="E85" s="1">
        <f t="shared" si="21"/>
        <v>1</v>
      </c>
      <c r="F85" s="1">
        <f t="shared" si="21"/>
        <v>35</v>
      </c>
      <c r="G85" s="1">
        <f t="shared" si="21"/>
        <v>1</v>
      </c>
      <c r="H85" s="1">
        <f t="shared" si="21"/>
        <v>26</v>
      </c>
      <c r="I85" s="1">
        <f t="shared" si="21"/>
        <v>20</v>
      </c>
      <c r="J85" s="1">
        <f t="shared" si="21"/>
        <v>43</v>
      </c>
      <c r="K85" s="1">
        <f t="shared" si="21"/>
        <v>41</v>
      </c>
      <c r="L85" s="1">
        <f t="shared" si="21"/>
        <v>1</v>
      </c>
      <c r="M85" s="1">
        <f t="shared" si="21"/>
        <v>42</v>
      </c>
      <c r="N85" s="1">
        <f t="shared" si="21"/>
        <v>35</v>
      </c>
      <c r="O85" s="1">
        <f t="shared" si="21"/>
        <v>19</v>
      </c>
      <c r="P85" s="1">
        <f t="shared" si="21"/>
        <v>45</v>
      </c>
      <c r="Q85" s="1">
        <f t="shared" si="21"/>
        <v>39</v>
      </c>
      <c r="R85" s="1">
        <f t="shared" si="21"/>
        <v>25</v>
      </c>
      <c r="S85" s="1">
        <f t="shared" si="21"/>
        <v>46</v>
      </c>
      <c r="T85" s="1">
        <f t="shared" si="21"/>
        <v>1</v>
      </c>
      <c r="U85" s="1">
        <f t="shared" si="21"/>
        <v>20</v>
      </c>
      <c r="V85" s="1">
        <f t="shared" si="21"/>
        <v>1</v>
      </c>
      <c r="W85" s="1">
        <f t="shared" si="21"/>
        <v>1</v>
      </c>
      <c r="X85" s="1">
        <f t="shared" si="21"/>
        <v>34</v>
      </c>
      <c r="Y85" s="1">
        <f t="shared" si="21"/>
        <v>1</v>
      </c>
      <c r="Z85" s="1">
        <f t="shared" si="21"/>
        <v>33</v>
      </c>
      <c r="AA85" s="1">
        <f t="shared" si="21"/>
        <v>43</v>
      </c>
      <c r="AB85" s="1">
        <f t="shared" si="21"/>
        <v>20</v>
      </c>
      <c r="AC85" s="1">
        <f t="shared" si="21"/>
        <v>1</v>
      </c>
      <c r="AD85" s="1">
        <f t="shared" si="21"/>
        <v>1</v>
      </c>
      <c r="AE85" s="1">
        <f t="shared" si="21"/>
        <v>29</v>
      </c>
      <c r="AF85" s="1">
        <f t="shared" si="21"/>
        <v>32</v>
      </c>
      <c r="AG85" s="1">
        <f t="shared" si="21"/>
        <v>1</v>
      </c>
      <c r="AH85" s="1">
        <f t="shared" si="21"/>
        <v>20</v>
      </c>
      <c r="AI85" s="1">
        <f t="shared" si="21"/>
        <v>26</v>
      </c>
      <c r="AJ85" s="1">
        <f t="shared" si="21"/>
        <v>29</v>
      </c>
      <c r="AK85" s="1">
        <f t="shared" si="21"/>
        <v>28</v>
      </c>
      <c r="AL85" s="1">
        <f t="shared" si="21"/>
        <v>35</v>
      </c>
      <c r="AM85" s="1">
        <f t="shared" si="21"/>
        <v>1</v>
      </c>
      <c r="AN85" s="1">
        <f t="shared" si="21"/>
        <v>1</v>
      </c>
      <c r="AO85" s="1">
        <f t="shared" si="21"/>
        <v>1</v>
      </c>
      <c r="AP85" s="1">
        <f t="shared" si="21"/>
        <v>35</v>
      </c>
      <c r="AQ85" s="1">
        <f t="shared" si="21"/>
        <v>40</v>
      </c>
      <c r="AR85" s="1">
        <f t="shared" si="21"/>
        <v>1</v>
      </c>
      <c r="AS85" s="1">
        <f t="shared" si="21"/>
        <v>17</v>
      </c>
      <c r="AT85" s="1">
        <f t="shared" si="21"/>
        <v>20</v>
      </c>
      <c r="AU85" s="1">
        <f t="shared" si="21"/>
        <v>1</v>
      </c>
    </row>
    <row r="86" spans="1:47">
      <c r="A86" s="1" t="str">
        <f t="shared" si="6"/>
        <v>   2.1.6) Quality of health services</v>
      </c>
      <c r="B86" s="1">
        <f t="shared" ref="B86:AU86" si="22">RANK(B21,$B21:$AU21,0)</f>
        <v>25</v>
      </c>
      <c r="C86" s="1">
        <f t="shared" si="22"/>
        <v>1</v>
      </c>
      <c r="D86" s="1">
        <f t="shared" si="22"/>
        <v>31</v>
      </c>
      <c r="E86" s="1">
        <f t="shared" si="22"/>
        <v>1</v>
      </c>
      <c r="F86" s="1">
        <f t="shared" si="22"/>
        <v>31</v>
      </c>
      <c r="G86" s="1">
        <f t="shared" si="22"/>
        <v>1</v>
      </c>
      <c r="H86" s="1">
        <f t="shared" si="22"/>
        <v>25</v>
      </c>
      <c r="I86" s="1">
        <f t="shared" si="22"/>
        <v>14</v>
      </c>
      <c r="J86" s="1">
        <f t="shared" si="22"/>
        <v>31</v>
      </c>
      <c r="K86" s="1">
        <f t="shared" si="22"/>
        <v>25</v>
      </c>
      <c r="L86" s="1">
        <f t="shared" si="22"/>
        <v>1</v>
      </c>
      <c r="M86" s="1">
        <f t="shared" si="22"/>
        <v>44</v>
      </c>
      <c r="N86" s="1">
        <f t="shared" si="22"/>
        <v>14</v>
      </c>
      <c r="O86" s="1">
        <f t="shared" si="22"/>
        <v>41</v>
      </c>
      <c r="P86" s="1">
        <f t="shared" si="22"/>
        <v>44</v>
      </c>
      <c r="Q86" s="1">
        <f t="shared" si="22"/>
        <v>41</v>
      </c>
      <c r="R86" s="1">
        <f t="shared" si="22"/>
        <v>14</v>
      </c>
      <c r="S86" s="1">
        <f t="shared" si="22"/>
        <v>31</v>
      </c>
      <c r="T86" s="1">
        <f t="shared" si="22"/>
        <v>14</v>
      </c>
      <c r="U86" s="1">
        <f t="shared" si="22"/>
        <v>14</v>
      </c>
      <c r="V86" s="1">
        <f t="shared" si="22"/>
        <v>14</v>
      </c>
      <c r="W86" s="1">
        <f t="shared" si="22"/>
        <v>1</v>
      </c>
      <c r="X86" s="1">
        <f t="shared" si="22"/>
        <v>41</v>
      </c>
      <c r="Y86" s="1">
        <f t="shared" si="22"/>
        <v>25</v>
      </c>
      <c r="Z86" s="1">
        <f t="shared" si="22"/>
        <v>25</v>
      </c>
      <c r="AA86" s="1">
        <f t="shared" si="22"/>
        <v>44</v>
      </c>
      <c r="AB86" s="1">
        <f t="shared" si="22"/>
        <v>14</v>
      </c>
      <c r="AC86" s="1">
        <f t="shared" si="22"/>
        <v>1</v>
      </c>
      <c r="AD86" s="1">
        <f t="shared" si="22"/>
        <v>1</v>
      </c>
      <c r="AE86" s="1">
        <f t="shared" si="22"/>
        <v>31</v>
      </c>
      <c r="AF86" s="1">
        <f t="shared" si="22"/>
        <v>31</v>
      </c>
      <c r="AG86" s="1">
        <f t="shared" si="22"/>
        <v>25</v>
      </c>
      <c r="AH86" s="1">
        <f t="shared" si="22"/>
        <v>14</v>
      </c>
      <c r="AI86" s="1">
        <f t="shared" si="22"/>
        <v>31</v>
      </c>
      <c r="AJ86" s="1">
        <f t="shared" si="22"/>
        <v>31</v>
      </c>
      <c r="AK86" s="1">
        <f t="shared" si="22"/>
        <v>14</v>
      </c>
      <c r="AL86" s="1">
        <f t="shared" si="22"/>
        <v>31</v>
      </c>
      <c r="AM86" s="1">
        <f t="shared" si="22"/>
        <v>1</v>
      </c>
      <c r="AN86" s="1">
        <f t="shared" si="22"/>
        <v>1</v>
      </c>
      <c r="AO86" s="1">
        <f t="shared" si="22"/>
        <v>1</v>
      </c>
      <c r="AP86" s="1">
        <f t="shared" si="22"/>
        <v>14</v>
      </c>
      <c r="AQ86" s="1">
        <f t="shared" si="22"/>
        <v>31</v>
      </c>
      <c r="AR86" s="1">
        <f t="shared" si="22"/>
        <v>1</v>
      </c>
      <c r="AS86" s="1">
        <f t="shared" si="22"/>
        <v>1</v>
      </c>
      <c r="AT86" s="1">
        <f t="shared" si="22"/>
        <v>14</v>
      </c>
      <c r="AU86" s="1">
        <f t="shared" si="22"/>
        <v>1</v>
      </c>
    </row>
    <row r="87" spans="1:47">
      <c r="A87" s="1" t="str">
        <f t="shared" si="6"/>
        <v>  2.2) Health security (Outputs)</v>
      </c>
      <c r="B87" s="1">
        <f t="shared" ref="B87:AU87" si="23">RANK(B22,$B22:$AU22,0)</f>
        <v>46</v>
      </c>
      <c r="C87" s="1">
        <f t="shared" si="23"/>
        <v>18</v>
      </c>
      <c r="D87" s="1">
        <f t="shared" si="23"/>
        <v>33</v>
      </c>
      <c r="E87" s="1">
        <f t="shared" si="23"/>
        <v>4</v>
      </c>
      <c r="F87" s="1">
        <f t="shared" si="23"/>
        <v>23</v>
      </c>
      <c r="G87" s="1">
        <f t="shared" si="23"/>
        <v>17</v>
      </c>
      <c r="H87" s="1">
        <f t="shared" si="23"/>
        <v>29</v>
      </c>
      <c r="I87" s="1">
        <f t="shared" si="23"/>
        <v>22</v>
      </c>
      <c r="J87" s="1">
        <f t="shared" si="23"/>
        <v>43</v>
      </c>
      <c r="K87" s="1">
        <f t="shared" si="23"/>
        <v>42</v>
      </c>
      <c r="L87" s="1">
        <f t="shared" si="23"/>
        <v>5</v>
      </c>
      <c r="M87" s="1">
        <f t="shared" si="23"/>
        <v>39</v>
      </c>
      <c r="N87" s="1">
        <f t="shared" si="23"/>
        <v>38</v>
      </c>
      <c r="O87" s="1">
        <f t="shared" si="23"/>
        <v>35</v>
      </c>
      <c r="P87" s="1">
        <f t="shared" si="23"/>
        <v>37</v>
      </c>
      <c r="Q87" s="1">
        <f t="shared" si="23"/>
        <v>41</v>
      </c>
      <c r="R87" s="1">
        <f t="shared" si="23"/>
        <v>32</v>
      </c>
      <c r="S87" s="1">
        <f t="shared" si="23"/>
        <v>34</v>
      </c>
      <c r="T87" s="1">
        <f t="shared" si="23"/>
        <v>12</v>
      </c>
      <c r="U87" s="1">
        <f t="shared" si="23"/>
        <v>30</v>
      </c>
      <c r="V87" s="1">
        <f t="shared" si="23"/>
        <v>3</v>
      </c>
      <c r="W87" s="1">
        <f t="shared" si="23"/>
        <v>8</v>
      </c>
      <c r="X87" s="1">
        <f t="shared" si="23"/>
        <v>28</v>
      </c>
      <c r="Y87" s="1">
        <f t="shared" si="23"/>
        <v>20</v>
      </c>
      <c r="Z87" s="1">
        <f t="shared" si="23"/>
        <v>25</v>
      </c>
      <c r="AA87" s="1">
        <f t="shared" si="23"/>
        <v>45</v>
      </c>
      <c r="AB87" s="1">
        <f t="shared" si="23"/>
        <v>1</v>
      </c>
      <c r="AC87" s="1">
        <f t="shared" si="23"/>
        <v>21</v>
      </c>
      <c r="AD87" s="1">
        <f t="shared" si="23"/>
        <v>12</v>
      </c>
      <c r="AE87" s="1">
        <f t="shared" si="23"/>
        <v>40</v>
      </c>
      <c r="AF87" s="1">
        <f t="shared" si="23"/>
        <v>36</v>
      </c>
      <c r="AG87" s="1">
        <f t="shared" si="23"/>
        <v>19</v>
      </c>
      <c r="AH87" s="1">
        <f t="shared" si="23"/>
        <v>9</v>
      </c>
      <c r="AI87" s="1">
        <f t="shared" si="23"/>
        <v>15</v>
      </c>
      <c r="AJ87" s="1">
        <f t="shared" si="23"/>
        <v>31</v>
      </c>
      <c r="AK87" s="1">
        <f t="shared" si="23"/>
        <v>14</v>
      </c>
      <c r="AL87" s="1">
        <f t="shared" si="23"/>
        <v>24</v>
      </c>
      <c r="AM87" s="1">
        <f t="shared" si="23"/>
        <v>6</v>
      </c>
      <c r="AN87" s="1">
        <f t="shared" si="23"/>
        <v>11</v>
      </c>
      <c r="AO87" s="1">
        <f t="shared" si="23"/>
        <v>7</v>
      </c>
      <c r="AP87" s="1">
        <f t="shared" si="23"/>
        <v>27</v>
      </c>
      <c r="AQ87" s="1">
        <f t="shared" si="23"/>
        <v>44</v>
      </c>
      <c r="AR87" s="1">
        <f t="shared" si="23"/>
        <v>16</v>
      </c>
      <c r="AS87" s="1">
        <f t="shared" si="23"/>
        <v>10</v>
      </c>
      <c r="AT87" s="1">
        <f t="shared" si="23"/>
        <v>26</v>
      </c>
      <c r="AU87" s="1">
        <f t="shared" si="23"/>
        <v>2</v>
      </c>
    </row>
    <row r="88" spans="1:47">
      <c r="A88" s="1" t="str">
        <f t="shared" si="6"/>
        <v>   2.2.1) Air quality (PM 2.5 levels)</v>
      </c>
      <c r="B88" s="1">
        <f t="shared" ref="B88:AU88" si="24">RANK(B23,$B23:$AU23,0)</f>
        <v>45</v>
      </c>
      <c r="C88" s="1">
        <f t="shared" si="24"/>
        <v>18</v>
      </c>
      <c r="D88" s="1">
        <f t="shared" si="24"/>
        <v>22</v>
      </c>
      <c r="E88" s="1">
        <f t="shared" si="24"/>
        <v>13</v>
      </c>
      <c r="F88" s="1">
        <f t="shared" si="24"/>
        <v>43</v>
      </c>
      <c r="G88" s="1">
        <f t="shared" si="24"/>
        <v>18</v>
      </c>
      <c r="H88" s="1">
        <f t="shared" si="24"/>
        <v>13</v>
      </c>
      <c r="I88" s="1">
        <f t="shared" si="24"/>
        <v>10</v>
      </c>
      <c r="J88" s="1">
        <f t="shared" si="24"/>
        <v>41</v>
      </c>
      <c r="K88" s="1">
        <f t="shared" si="24"/>
        <v>46</v>
      </c>
      <c r="L88" s="1">
        <f t="shared" si="24"/>
        <v>18</v>
      </c>
      <c r="M88" s="1">
        <f t="shared" si="24"/>
        <v>31</v>
      </c>
      <c r="N88" s="1">
        <f t="shared" si="24"/>
        <v>24</v>
      </c>
      <c r="O88" s="1">
        <f t="shared" si="24"/>
        <v>34</v>
      </c>
      <c r="P88" s="1">
        <f t="shared" si="24"/>
        <v>24</v>
      </c>
      <c r="Q88" s="1">
        <f t="shared" si="24"/>
        <v>42</v>
      </c>
      <c r="R88" s="1">
        <f t="shared" si="24"/>
        <v>44</v>
      </c>
      <c r="S88" s="1">
        <f t="shared" si="24"/>
        <v>38</v>
      </c>
      <c r="T88" s="1">
        <f t="shared" si="24"/>
        <v>13</v>
      </c>
      <c r="U88" s="1">
        <f t="shared" si="24"/>
        <v>22</v>
      </c>
      <c r="V88" s="1">
        <f t="shared" si="24"/>
        <v>8</v>
      </c>
      <c r="W88" s="1">
        <f t="shared" si="24"/>
        <v>1</v>
      </c>
      <c r="X88" s="1">
        <f t="shared" si="24"/>
        <v>29</v>
      </c>
      <c r="Y88" s="1">
        <f t="shared" si="24"/>
        <v>35</v>
      </c>
      <c r="Z88" s="1">
        <f t="shared" si="24"/>
        <v>27</v>
      </c>
      <c r="AA88" s="1">
        <f t="shared" si="24"/>
        <v>40</v>
      </c>
      <c r="AB88" s="1">
        <f t="shared" si="24"/>
        <v>11</v>
      </c>
      <c r="AC88" s="1">
        <f t="shared" si="24"/>
        <v>5</v>
      </c>
      <c r="AD88" s="1">
        <f t="shared" si="24"/>
        <v>16</v>
      </c>
      <c r="AE88" s="1">
        <f t="shared" si="24"/>
        <v>36</v>
      </c>
      <c r="AF88" s="1">
        <f t="shared" si="24"/>
        <v>32</v>
      </c>
      <c r="AG88" s="1">
        <f t="shared" si="24"/>
        <v>24</v>
      </c>
      <c r="AH88" s="1">
        <f t="shared" si="24"/>
        <v>6</v>
      </c>
      <c r="AI88" s="1">
        <f t="shared" si="24"/>
        <v>30</v>
      </c>
      <c r="AJ88" s="1">
        <f t="shared" si="24"/>
        <v>21</v>
      </c>
      <c r="AK88" s="1">
        <f t="shared" si="24"/>
        <v>27</v>
      </c>
      <c r="AL88" s="1">
        <f t="shared" si="24"/>
        <v>36</v>
      </c>
      <c r="AM88" s="1">
        <f t="shared" si="24"/>
        <v>16</v>
      </c>
      <c r="AN88" s="1">
        <f t="shared" si="24"/>
        <v>3</v>
      </c>
      <c r="AO88" s="1">
        <f t="shared" si="24"/>
        <v>1</v>
      </c>
      <c r="AP88" s="1">
        <f t="shared" si="24"/>
        <v>39</v>
      </c>
      <c r="AQ88" s="1">
        <f t="shared" si="24"/>
        <v>33</v>
      </c>
      <c r="AR88" s="1">
        <f t="shared" si="24"/>
        <v>6</v>
      </c>
      <c r="AS88" s="1">
        <f t="shared" si="24"/>
        <v>4</v>
      </c>
      <c r="AT88" s="1">
        <f t="shared" si="24"/>
        <v>9</v>
      </c>
      <c r="AU88" s="1">
        <f t="shared" si="24"/>
        <v>11</v>
      </c>
    </row>
    <row r="89" spans="1:47">
      <c r="A89" s="1" t="str">
        <f t="shared" si="6"/>
        <v>   2.2.2) Water quality</v>
      </c>
      <c r="B89" s="1">
        <f t="shared" ref="B89:AU89" si="25">RANK(B24,$B24:$AU24,0)</f>
        <v>33</v>
      </c>
      <c r="C89" s="1">
        <f t="shared" si="25"/>
        <v>1</v>
      </c>
      <c r="D89" s="1">
        <f t="shared" si="25"/>
        <v>42</v>
      </c>
      <c r="E89" s="1">
        <f t="shared" si="25"/>
        <v>7</v>
      </c>
      <c r="F89" s="1">
        <f t="shared" si="25"/>
        <v>19</v>
      </c>
      <c r="G89" s="1">
        <f t="shared" si="25"/>
        <v>2</v>
      </c>
      <c r="H89" s="1">
        <f t="shared" si="25"/>
        <v>45</v>
      </c>
      <c r="I89" s="1">
        <f t="shared" si="25"/>
        <v>12</v>
      </c>
      <c r="J89" s="1">
        <f t="shared" si="25"/>
        <v>37</v>
      </c>
      <c r="K89" s="1">
        <f t="shared" si="25"/>
        <v>46</v>
      </c>
      <c r="L89" s="1">
        <f t="shared" si="25"/>
        <v>5</v>
      </c>
      <c r="M89" s="1">
        <f t="shared" si="25"/>
        <v>39</v>
      </c>
      <c r="N89" s="1">
        <f t="shared" si="25"/>
        <v>29</v>
      </c>
      <c r="O89" s="1">
        <f t="shared" si="25"/>
        <v>38</v>
      </c>
      <c r="P89" s="1">
        <f t="shared" si="25"/>
        <v>41</v>
      </c>
      <c r="Q89" s="1">
        <f t="shared" si="25"/>
        <v>34</v>
      </c>
      <c r="R89" s="1">
        <f t="shared" si="25"/>
        <v>35</v>
      </c>
      <c r="S89" s="1">
        <f t="shared" si="25"/>
        <v>35</v>
      </c>
      <c r="T89" s="1">
        <f t="shared" si="25"/>
        <v>9</v>
      </c>
      <c r="U89" s="1">
        <f t="shared" si="25"/>
        <v>14</v>
      </c>
      <c r="V89" s="1">
        <f t="shared" si="25"/>
        <v>7</v>
      </c>
      <c r="W89" s="1">
        <f t="shared" si="25"/>
        <v>25</v>
      </c>
      <c r="X89" s="1">
        <f t="shared" si="25"/>
        <v>28</v>
      </c>
      <c r="Y89" s="1">
        <f t="shared" si="25"/>
        <v>23</v>
      </c>
      <c r="Z89" s="1">
        <f t="shared" si="25"/>
        <v>26</v>
      </c>
      <c r="AA89" s="1">
        <f t="shared" si="25"/>
        <v>29</v>
      </c>
      <c r="AB89" s="1">
        <f t="shared" si="25"/>
        <v>3</v>
      </c>
      <c r="AC89" s="1">
        <f t="shared" si="25"/>
        <v>21</v>
      </c>
      <c r="AD89" s="1">
        <f t="shared" si="25"/>
        <v>10</v>
      </c>
      <c r="AE89" s="1">
        <f t="shared" si="25"/>
        <v>40</v>
      </c>
      <c r="AF89" s="1">
        <f t="shared" si="25"/>
        <v>43</v>
      </c>
      <c r="AG89" s="1">
        <f t="shared" si="25"/>
        <v>23</v>
      </c>
      <c r="AH89" s="1">
        <f t="shared" si="25"/>
        <v>6</v>
      </c>
      <c r="AI89" s="1">
        <f t="shared" si="25"/>
        <v>22</v>
      </c>
      <c r="AJ89" s="1">
        <f t="shared" si="25"/>
        <v>17</v>
      </c>
      <c r="AK89" s="1">
        <f t="shared" si="25"/>
        <v>18</v>
      </c>
      <c r="AL89" s="1">
        <f t="shared" si="25"/>
        <v>31</v>
      </c>
      <c r="AM89" s="1">
        <f t="shared" si="25"/>
        <v>16</v>
      </c>
      <c r="AN89" s="1">
        <f t="shared" si="25"/>
        <v>20</v>
      </c>
      <c r="AO89" s="1">
        <f t="shared" si="25"/>
        <v>13</v>
      </c>
      <c r="AP89" s="1">
        <f t="shared" si="25"/>
        <v>32</v>
      </c>
      <c r="AQ89" s="1">
        <f t="shared" si="25"/>
        <v>44</v>
      </c>
      <c r="AR89" s="1">
        <f t="shared" si="25"/>
        <v>15</v>
      </c>
      <c r="AS89" s="1">
        <f t="shared" si="25"/>
        <v>11</v>
      </c>
      <c r="AT89" s="1">
        <f t="shared" si="25"/>
        <v>27</v>
      </c>
      <c r="AU89" s="1">
        <f t="shared" si="25"/>
        <v>3</v>
      </c>
    </row>
    <row r="90" spans="1:47">
      <c r="A90" s="1" t="str">
        <f t="shared" si="6"/>
        <v>   2.2.3) Life expectancy years</v>
      </c>
      <c r="B90" s="1">
        <f t="shared" ref="B90:AU90" si="26">RANK(B25,$B25:$AU25,0)</f>
        <v>30</v>
      </c>
      <c r="C90" s="1">
        <f t="shared" si="26"/>
        <v>25</v>
      </c>
      <c r="D90" s="1">
        <f t="shared" si="26"/>
        <v>38</v>
      </c>
      <c r="E90" s="1">
        <f t="shared" si="26"/>
        <v>11</v>
      </c>
      <c r="F90" s="1">
        <f t="shared" si="26"/>
        <v>17</v>
      </c>
      <c r="G90" s="1">
        <f t="shared" si="26"/>
        <v>20</v>
      </c>
      <c r="H90" s="1">
        <f t="shared" si="26"/>
        <v>33</v>
      </c>
      <c r="I90" s="1">
        <f t="shared" si="26"/>
        <v>28</v>
      </c>
      <c r="J90" s="1">
        <f t="shared" si="26"/>
        <v>45</v>
      </c>
      <c r="K90" s="1">
        <f t="shared" si="26"/>
        <v>27</v>
      </c>
      <c r="L90" s="1">
        <f t="shared" si="26"/>
        <v>24</v>
      </c>
      <c r="M90" s="1">
        <f t="shared" si="26"/>
        <v>41</v>
      </c>
      <c r="N90" s="1">
        <f t="shared" si="26"/>
        <v>2</v>
      </c>
      <c r="O90" s="1">
        <f t="shared" si="26"/>
        <v>42</v>
      </c>
      <c r="P90" s="1">
        <f t="shared" si="26"/>
        <v>39</v>
      </c>
      <c r="Q90" s="1">
        <f t="shared" si="26"/>
        <v>46</v>
      </c>
      <c r="R90" s="1">
        <f t="shared" si="26"/>
        <v>29</v>
      </c>
      <c r="S90" s="1">
        <f t="shared" si="26"/>
        <v>37</v>
      </c>
      <c r="T90" s="1">
        <f t="shared" si="26"/>
        <v>14</v>
      </c>
      <c r="U90" s="1">
        <f t="shared" si="26"/>
        <v>21</v>
      </c>
      <c r="V90" s="1">
        <f t="shared" si="26"/>
        <v>11</v>
      </c>
      <c r="W90" s="1">
        <f t="shared" si="26"/>
        <v>1</v>
      </c>
      <c r="X90" s="1">
        <f t="shared" si="26"/>
        <v>31</v>
      </c>
      <c r="Y90" s="1">
        <f t="shared" si="26"/>
        <v>6</v>
      </c>
      <c r="Z90" s="1">
        <f t="shared" si="26"/>
        <v>35</v>
      </c>
      <c r="AA90" s="1">
        <f t="shared" si="26"/>
        <v>43</v>
      </c>
      <c r="AB90" s="1">
        <f t="shared" si="26"/>
        <v>18</v>
      </c>
      <c r="AC90" s="1">
        <f t="shared" si="26"/>
        <v>4</v>
      </c>
      <c r="AD90" s="1">
        <f t="shared" si="26"/>
        <v>15</v>
      </c>
      <c r="AE90" s="1">
        <f t="shared" si="26"/>
        <v>40</v>
      </c>
      <c r="AF90" s="1">
        <f t="shared" si="26"/>
        <v>36</v>
      </c>
      <c r="AG90" s="1">
        <f t="shared" si="26"/>
        <v>9</v>
      </c>
      <c r="AH90" s="1">
        <f t="shared" si="26"/>
        <v>23</v>
      </c>
      <c r="AI90" s="1">
        <f t="shared" si="26"/>
        <v>26</v>
      </c>
      <c r="AJ90" s="1">
        <f t="shared" si="26"/>
        <v>43</v>
      </c>
      <c r="AK90" s="1">
        <f t="shared" si="26"/>
        <v>5</v>
      </c>
      <c r="AL90" s="1">
        <f t="shared" si="26"/>
        <v>22</v>
      </c>
      <c r="AM90" s="1">
        <f t="shared" si="26"/>
        <v>13</v>
      </c>
      <c r="AN90" s="1">
        <f t="shared" si="26"/>
        <v>9</v>
      </c>
      <c r="AO90" s="1">
        <f t="shared" si="26"/>
        <v>16</v>
      </c>
      <c r="AP90" s="1">
        <f t="shared" si="26"/>
        <v>7</v>
      </c>
      <c r="AQ90" s="1">
        <f t="shared" si="26"/>
        <v>32</v>
      </c>
      <c r="AR90" s="1">
        <f t="shared" si="26"/>
        <v>8</v>
      </c>
      <c r="AS90" s="1">
        <f t="shared" si="26"/>
        <v>19</v>
      </c>
      <c r="AT90" s="1">
        <f t="shared" si="26"/>
        <v>34</v>
      </c>
      <c r="AU90" s="1">
        <f t="shared" si="26"/>
        <v>3</v>
      </c>
    </row>
    <row r="91" spans="1:47">
      <c r="A91" s="1" t="str">
        <f t="shared" si="6"/>
        <v>   2.2.4) Infant mortality</v>
      </c>
      <c r="B91" s="1">
        <f t="shared" ref="B91:AU91" si="27">RANK(B26,$B26:$AU26,0)</f>
        <v>27</v>
      </c>
      <c r="C91" s="1">
        <f t="shared" si="27"/>
        <v>17</v>
      </c>
      <c r="D91" s="1">
        <f t="shared" si="27"/>
        <v>32</v>
      </c>
      <c r="E91" s="1">
        <f t="shared" si="27"/>
        <v>13</v>
      </c>
      <c r="F91" s="1">
        <f t="shared" si="27"/>
        <v>9</v>
      </c>
      <c r="G91" s="1">
        <f t="shared" si="27"/>
        <v>8</v>
      </c>
      <c r="H91" s="1">
        <f t="shared" si="27"/>
        <v>36</v>
      </c>
      <c r="I91" s="1">
        <f t="shared" si="27"/>
        <v>31</v>
      </c>
      <c r="J91" s="1">
        <f t="shared" si="27"/>
        <v>44</v>
      </c>
      <c r="K91" s="1">
        <f t="shared" si="27"/>
        <v>29</v>
      </c>
      <c r="L91" s="1">
        <f t="shared" si="27"/>
        <v>1</v>
      </c>
      <c r="M91" s="1">
        <f t="shared" si="27"/>
        <v>43</v>
      </c>
      <c r="N91" s="1">
        <f t="shared" si="27"/>
        <v>2</v>
      </c>
      <c r="O91" s="1">
        <f t="shared" si="27"/>
        <v>25</v>
      </c>
      <c r="P91" s="1">
        <f t="shared" si="27"/>
        <v>39</v>
      </c>
      <c r="Q91" s="1">
        <f t="shared" si="27"/>
        <v>23</v>
      </c>
      <c r="R91" s="1">
        <f t="shared" si="27"/>
        <v>35</v>
      </c>
      <c r="S91" s="1">
        <f t="shared" si="27"/>
        <v>37</v>
      </c>
      <c r="T91" s="1">
        <f t="shared" si="27"/>
        <v>18</v>
      </c>
      <c r="U91" s="1">
        <f t="shared" si="27"/>
        <v>20</v>
      </c>
      <c r="V91" s="1">
        <f t="shared" si="27"/>
        <v>15</v>
      </c>
      <c r="W91" s="1">
        <f t="shared" si="27"/>
        <v>12</v>
      </c>
      <c r="X91" s="1">
        <f t="shared" si="27"/>
        <v>41</v>
      </c>
      <c r="Y91" s="1">
        <f t="shared" si="27"/>
        <v>7</v>
      </c>
      <c r="Z91" s="1">
        <f t="shared" si="27"/>
        <v>34</v>
      </c>
      <c r="AA91" s="1">
        <f t="shared" si="27"/>
        <v>45</v>
      </c>
      <c r="AB91" s="1">
        <f t="shared" si="27"/>
        <v>20</v>
      </c>
      <c r="AC91" s="1">
        <f t="shared" si="27"/>
        <v>4</v>
      </c>
      <c r="AD91" s="1">
        <f t="shared" si="27"/>
        <v>14</v>
      </c>
      <c r="AE91" s="1">
        <f t="shared" si="27"/>
        <v>42</v>
      </c>
      <c r="AF91" s="1">
        <f t="shared" si="27"/>
        <v>40</v>
      </c>
      <c r="AG91" s="1">
        <f t="shared" si="27"/>
        <v>30</v>
      </c>
      <c r="AH91" s="1">
        <f t="shared" si="27"/>
        <v>10</v>
      </c>
      <c r="AI91" s="1">
        <f t="shared" si="27"/>
        <v>32</v>
      </c>
      <c r="AJ91" s="1">
        <f t="shared" si="27"/>
        <v>38</v>
      </c>
      <c r="AK91" s="1">
        <f t="shared" si="27"/>
        <v>22</v>
      </c>
      <c r="AL91" s="1">
        <f t="shared" si="27"/>
        <v>26</v>
      </c>
      <c r="AM91" s="1">
        <f t="shared" si="27"/>
        <v>6</v>
      </c>
      <c r="AN91" s="1">
        <f t="shared" si="27"/>
        <v>3</v>
      </c>
      <c r="AO91" s="1">
        <f t="shared" si="27"/>
        <v>11</v>
      </c>
      <c r="AP91" s="1">
        <f t="shared" si="27"/>
        <v>16</v>
      </c>
      <c r="AQ91" s="1">
        <f t="shared" si="27"/>
        <v>46</v>
      </c>
      <c r="AR91" s="1">
        <f t="shared" si="27"/>
        <v>5</v>
      </c>
      <c r="AS91" s="1">
        <f t="shared" si="27"/>
        <v>28</v>
      </c>
      <c r="AT91" s="1">
        <f t="shared" si="27"/>
        <v>24</v>
      </c>
      <c r="AU91" s="1">
        <f t="shared" si="27"/>
        <v>18</v>
      </c>
    </row>
    <row r="92" spans="1:47">
      <c r="A92" s="1" t="str">
        <f t="shared" si="6"/>
        <v>   2.2.5) Cancer mortality rate</v>
      </c>
      <c r="B92" s="1">
        <f t="shared" ref="B92:AU92" si="28">RANK(B27,$B27:$AU27,0)</f>
        <v>46</v>
      </c>
      <c r="C92" s="1">
        <f t="shared" si="28"/>
        <v>41</v>
      </c>
      <c r="D92" s="1">
        <f t="shared" si="28"/>
        <v>31</v>
      </c>
      <c r="E92" s="1">
        <f t="shared" si="28"/>
        <v>15</v>
      </c>
      <c r="F92" s="1">
        <f t="shared" si="28"/>
        <v>24</v>
      </c>
      <c r="G92" s="1">
        <f t="shared" si="28"/>
        <v>42</v>
      </c>
      <c r="H92" s="1">
        <f t="shared" si="28"/>
        <v>22</v>
      </c>
      <c r="I92" s="1">
        <f t="shared" si="28"/>
        <v>37</v>
      </c>
      <c r="J92" s="1">
        <f t="shared" si="28"/>
        <v>3</v>
      </c>
      <c r="K92" s="1">
        <f t="shared" si="28"/>
        <v>9</v>
      </c>
      <c r="L92" s="1">
        <f t="shared" si="28"/>
        <v>17</v>
      </c>
      <c r="M92" s="1">
        <f t="shared" si="28"/>
        <v>20</v>
      </c>
      <c r="N92" s="1">
        <f t="shared" si="28"/>
        <v>21</v>
      </c>
      <c r="O92" s="1">
        <f t="shared" si="28"/>
        <v>26</v>
      </c>
      <c r="P92" s="1">
        <f t="shared" si="28"/>
        <v>11</v>
      </c>
      <c r="Q92" s="1">
        <f t="shared" si="28"/>
        <v>7</v>
      </c>
      <c r="R92" s="1">
        <f t="shared" si="28"/>
        <v>5</v>
      </c>
      <c r="S92" s="1">
        <f t="shared" si="28"/>
        <v>13</v>
      </c>
      <c r="T92" s="1">
        <f t="shared" si="28"/>
        <v>33</v>
      </c>
      <c r="U92" s="1">
        <f t="shared" si="28"/>
        <v>45</v>
      </c>
      <c r="V92" s="1">
        <f t="shared" si="28"/>
        <v>15</v>
      </c>
      <c r="W92" s="1">
        <f t="shared" si="28"/>
        <v>38</v>
      </c>
      <c r="X92" s="1">
        <f t="shared" si="28"/>
        <v>8</v>
      </c>
      <c r="Y92" s="1">
        <f t="shared" si="28"/>
        <v>29</v>
      </c>
      <c r="Z92" s="1">
        <f t="shared" si="28"/>
        <v>25</v>
      </c>
      <c r="AA92" s="1">
        <f t="shared" si="28"/>
        <v>6</v>
      </c>
      <c r="AB92" s="1">
        <f t="shared" si="28"/>
        <v>1</v>
      </c>
      <c r="AC92" s="1">
        <f t="shared" si="28"/>
        <v>44</v>
      </c>
      <c r="AD92" s="1">
        <f t="shared" si="28"/>
        <v>35</v>
      </c>
      <c r="AE92" s="1">
        <f t="shared" si="28"/>
        <v>18</v>
      </c>
      <c r="AF92" s="1">
        <f t="shared" si="28"/>
        <v>4</v>
      </c>
      <c r="AG92" s="1">
        <f t="shared" si="28"/>
        <v>28</v>
      </c>
      <c r="AH92" s="1">
        <f t="shared" si="28"/>
        <v>32</v>
      </c>
      <c r="AI92" s="1">
        <f t="shared" si="28"/>
        <v>2</v>
      </c>
      <c r="AJ92" s="1">
        <f t="shared" si="28"/>
        <v>18</v>
      </c>
      <c r="AK92" s="1">
        <f t="shared" si="28"/>
        <v>23</v>
      </c>
      <c r="AL92" s="1">
        <f t="shared" si="28"/>
        <v>27</v>
      </c>
      <c r="AM92" s="1">
        <f t="shared" si="28"/>
        <v>12</v>
      </c>
      <c r="AN92" s="1">
        <f t="shared" si="28"/>
        <v>36</v>
      </c>
      <c r="AO92" s="1">
        <f t="shared" si="28"/>
        <v>34</v>
      </c>
      <c r="AP92" s="1">
        <f t="shared" si="28"/>
        <v>39</v>
      </c>
      <c r="AQ92" s="1">
        <f t="shared" si="28"/>
        <v>10</v>
      </c>
      <c r="AR92" s="1">
        <f t="shared" si="28"/>
        <v>43</v>
      </c>
      <c r="AS92" s="1">
        <f t="shared" si="28"/>
        <v>30</v>
      </c>
      <c r="AT92" s="1">
        <f t="shared" si="28"/>
        <v>40</v>
      </c>
      <c r="AU92" s="1">
        <f t="shared" si="28"/>
        <v>14</v>
      </c>
    </row>
    <row r="93" spans="1:47">
      <c r="A93" s="1" t="str">
        <f t="shared" si="6"/>
        <v>   2.2.6) Number of attacks using biological, chemical and/or radiological weapons</v>
      </c>
      <c r="B93" s="1">
        <f t="shared" ref="B93:AU93" si="29">RANK(B28,$B28:$AU28,0)</f>
        <v>1</v>
      </c>
      <c r="C93" s="1">
        <f t="shared" si="29"/>
        <v>1</v>
      </c>
      <c r="D93" s="1">
        <f t="shared" si="29"/>
        <v>1</v>
      </c>
      <c r="E93" s="1">
        <f t="shared" si="29"/>
        <v>1</v>
      </c>
      <c r="F93" s="1">
        <f t="shared" si="29"/>
        <v>1</v>
      </c>
      <c r="G93" s="1">
        <f t="shared" si="29"/>
        <v>1</v>
      </c>
      <c r="H93" s="1">
        <f t="shared" si="29"/>
        <v>1</v>
      </c>
      <c r="I93" s="1">
        <f t="shared" si="29"/>
        <v>1</v>
      </c>
      <c r="J93" s="1">
        <f t="shared" si="29"/>
        <v>1</v>
      </c>
      <c r="K93" s="1">
        <f t="shared" si="29"/>
        <v>1</v>
      </c>
      <c r="L93" s="1">
        <f t="shared" si="29"/>
        <v>1</v>
      </c>
      <c r="M93" s="1">
        <f t="shared" si="29"/>
        <v>1</v>
      </c>
      <c r="N93" s="1">
        <f t="shared" si="29"/>
        <v>46</v>
      </c>
      <c r="O93" s="1">
        <f t="shared" si="29"/>
        <v>1</v>
      </c>
      <c r="P93" s="1">
        <f t="shared" si="29"/>
        <v>1</v>
      </c>
      <c r="Q93" s="1">
        <f t="shared" si="29"/>
        <v>1</v>
      </c>
      <c r="R93" s="1">
        <f t="shared" si="29"/>
        <v>1</v>
      </c>
      <c r="S93" s="1">
        <f t="shared" si="29"/>
        <v>1</v>
      </c>
      <c r="T93" s="1">
        <f t="shared" si="29"/>
        <v>1</v>
      </c>
      <c r="U93" s="1">
        <f t="shared" si="29"/>
        <v>1</v>
      </c>
      <c r="V93" s="1">
        <f t="shared" si="29"/>
        <v>1</v>
      </c>
      <c r="W93" s="1">
        <f t="shared" si="29"/>
        <v>1</v>
      </c>
      <c r="X93" s="1">
        <f t="shared" si="29"/>
        <v>1</v>
      </c>
      <c r="Y93" s="1">
        <f t="shared" si="29"/>
        <v>1</v>
      </c>
      <c r="Z93" s="1">
        <f t="shared" si="29"/>
        <v>1</v>
      </c>
      <c r="AA93" s="1">
        <f t="shared" si="29"/>
        <v>1</v>
      </c>
      <c r="AB93" s="1">
        <f t="shared" si="29"/>
        <v>1</v>
      </c>
      <c r="AC93" s="1">
        <f t="shared" si="29"/>
        <v>1</v>
      </c>
      <c r="AD93" s="1">
        <f t="shared" si="29"/>
        <v>1</v>
      </c>
      <c r="AE93" s="1">
        <f t="shared" si="29"/>
        <v>1</v>
      </c>
      <c r="AF93" s="1">
        <f t="shared" si="29"/>
        <v>1</v>
      </c>
      <c r="AG93" s="1">
        <f t="shared" si="29"/>
        <v>1</v>
      </c>
      <c r="AH93" s="1">
        <f t="shared" si="29"/>
        <v>1</v>
      </c>
      <c r="AI93" s="1">
        <f t="shared" si="29"/>
        <v>1</v>
      </c>
      <c r="AJ93" s="1">
        <f t="shared" si="29"/>
        <v>1</v>
      </c>
      <c r="AK93" s="1">
        <f t="shared" si="29"/>
        <v>1</v>
      </c>
      <c r="AL93" s="1">
        <f t="shared" si="29"/>
        <v>1</v>
      </c>
      <c r="AM93" s="1">
        <f t="shared" si="29"/>
        <v>1</v>
      </c>
      <c r="AN93" s="1">
        <f t="shared" si="29"/>
        <v>1</v>
      </c>
      <c r="AO93" s="1">
        <f t="shared" si="29"/>
        <v>1</v>
      </c>
      <c r="AP93" s="1">
        <f t="shared" si="29"/>
        <v>1</v>
      </c>
      <c r="AQ93" s="1">
        <f t="shared" si="29"/>
        <v>1</v>
      </c>
      <c r="AR93" s="1">
        <f t="shared" si="29"/>
        <v>1</v>
      </c>
      <c r="AS93" s="1">
        <f t="shared" si="29"/>
        <v>1</v>
      </c>
      <c r="AT93" s="1">
        <f t="shared" si="29"/>
        <v>1</v>
      </c>
      <c r="AU93" s="1">
        <f t="shared" si="29"/>
        <v>1</v>
      </c>
    </row>
    <row r="94" spans="1:47">
      <c r="A94" s="1" t="str">
        <f t="shared" si="6"/>
        <v> 3) INFRASTRUCTURE SECURITY</v>
      </c>
      <c r="B94" s="1">
        <f t="shared" ref="B94:AU94" si="30">RANK(B29,$B29:$AU29,0)</f>
        <v>11</v>
      </c>
      <c r="C94" s="1">
        <f t="shared" si="30"/>
        <v>4</v>
      </c>
      <c r="D94" s="1">
        <f t="shared" si="30"/>
        <v>44</v>
      </c>
      <c r="E94" s="1">
        <f t="shared" si="30"/>
        <v>9</v>
      </c>
      <c r="F94" s="1">
        <f t="shared" si="30"/>
        <v>26</v>
      </c>
      <c r="G94" s="1">
        <f t="shared" si="30"/>
        <v>14</v>
      </c>
      <c r="H94" s="1">
        <f t="shared" si="30"/>
        <v>25</v>
      </c>
      <c r="I94" s="1">
        <f t="shared" si="30"/>
        <v>12</v>
      </c>
      <c r="J94" s="1">
        <f t="shared" si="30"/>
        <v>42</v>
      </c>
      <c r="K94" s="1">
        <f t="shared" si="30"/>
        <v>31</v>
      </c>
      <c r="L94" s="1">
        <f t="shared" si="30"/>
        <v>16</v>
      </c>
      <c r="M94" s="1">
        <f t="shared" si="30"/>
        <v>46</v>
      </c>
      <c r="N94" s="1">
        <f t="shared" si="30"/>
        <v>33</v>
      </c>
      <c r="O94" s="1">
        <f t="shared" si="30"/>
        <v>36</v>
      </c>
      <c r="P94" s="1">
        <f t="shared" si="30"/>
        <v>43</v>
      </c>
      <c r="Q94" s="1">
        <f t="shared" si="30"/>
        <v>39</v>
      </c>
      <c r="R94" s="1">
        <f t="shared" si="30"/>
        <v>35</v>
      </c>
      <c r="S94" s="1">
        <f t="shared" si="30"/>
        <v>24</v>
      </c>
      <c r="T94" s="1">
        <f t="shared" si="30"/>
        <v>37</v>
      </c>
      <c r="U94" s="1">
        <f t="shared" si="30"/>
        <v>18</v>
      </c>
      <c r="V94" s="1">
        <f t="shared" si="30"/>
        <v>19</v>
      </c>
      <c r="W94" s="1">
        <f t="shared" si="30"/>
        <v>2</v>
      </c>
      <c r="X94" s="1">
        <f t="shared" si="30"/>
        <v>41</v>
      </c>
      <c r="Y94" s="1">
        <f t="shared" si="30"/>
        <v>21</v>
      </c>
      <c r="Z94" s="1">
        <f t="shared" si="30"/>
        <v>34</v>
      </c>
      <c r="AA94" s="1">
        <f t="shared" si="30"/>
        <v>45</v>
      </c>
      <c r="AB94" s="1">
        <f t="shared" si="30"/>
        <v>15</v>
      </c>
      <c r="AC94" s="1">
        <f t="shared" si="30"/>
        <v>8</v>
      </c>
      <c r="AD94" s="1">
        <f t="shared" si="30"/>
        <v>28</v>
      </c>
      <c r="AE94" s="1">
        <f t="shared" si="30"/>
        <v>30</v>
      </c>
      <c r="AF94" s="1">
        <f t="shared" si="30"/>
        <v>40</v>
      </c>
      <c r="AG94" s="1">
        <f t="shared" si="30"/>
        <v>17</v>
      </c>
      <c r="AH94" s="1">
        <f t="shared" si="30"/>
        <v>10</v>
      </c>
      <c r="AI94" s="1">
        <f t="shared" si="30"/>
        <v>32</v>
      </c>
      <c r="AJ94" s="1">
        <f t="shared" si="30"/>
        <v>27</v>
      </c>
      <c r="AK94" s="1">
        <f t="shared" si="30"/>
        <v>13</v>
      </c>
      <c r="AL94" s="1">
        <f t="shared" si="30"/>
        <v>28</v>
      </c>
      <c r="AM94" s="1">
        <f t="shared" si="30"/>
        <v>6</v>
      </c>
      <c r="AN94" s="1">
        <f t="shared" si="30"/>
        <v>20</v>
      </c>
      <c r="AO94" s="1">
        <f t="shared" si="30"/>
        <v>3</v>
      </c>
      <c r="AP94" s="1">
        <f t="shared" si="30"/>
        <v>23</v>
      </c>
      <c r="AQ94" s="1">
        <f t="shared" si="30"/>
        <v>38</v>
      </c>
      <c r="AR94" s="1">
        <f t="shared" si="30"/>
        <v>5</v>
      </c>
      <c r="AS94" s="1">
        <f t="shared" si="30"/>
        <v>7</v>
      </c>
      <c r="AT94" s="1">
        <f t="shared" si="30"/>
        <v>22</v>
      </c>
      <c r="AU94" s="1">
        <f t="shared" si="30"/>
        <v>1</v>
      </c>
    </row>
    <row r="95" spans="1:47">
      <c r="A95" s="1" t="str">
        <f t="shared" si="6"/>
        <v>  3.1) Infrastructure security (Inputs)</v>
      </c>
      <c r="B95" s="1">
        <f t="shared" ref="B95:AU95" si="31">RANK(B30,$B30:$AU30,0)</f>
        <v>20</v>
      </c>
      <c r="C95" s="1">
        <f t="shared" si="31"/>
        <v>9</v>
      </c>
      <c r="D95" s="1">
        <f t="shared" si="31"/>
        <v>41</v>
      </c>
      <c r="E95" s="1">
        <f t="shared" si="31"/>
        <v>7</v>
      </c>
      <c r="F95" s="1">
        <f t="shared" si="31"/>
        <v>28</v>
      </c>
      <c r="G95" s="1">
        <f t="shared" si="31"/>
        <v>18</v>
      </c>
      <c r="H95" s="1">
        <f t="shared" si="31"/>
        <v>18</v>
      </c>
      <c r="I95" s="1">
        <f t="shared" si="31"/>
        <v>12</v>
      </c>
      <c r="J95" s="1">
        <f t="shared" si="31"/>
        <v>44</v>
      </c>
      <c r="K95" s="1">
        <f t="shared" si="31"/>
        <v>37</v>
      </c>
      <c r="L95" s="1">
        <f t="shared" si="31"/>
        <v>2</v>
      </c>
      <c r="M95" s="1">
        <f t="shared" si="31"/>
        <v>46</v>
      </c>
      <c r="N95" s="1">
        <f t="shared" si="31"/>
        <v>24</v>
      </c>
      <c r="O95" s="1">
        <f t="shared" si="31"/>
        <v>27</v>
      </c>
      <c r="P95" s="1">
        <f t="shared" si="31"/>
        <v>40</v>
      </c>
      <c r="Q95" s="1">
        <f t="shared" si="31"/>
        <v>38</v>
      </c>
      <c r="R95" s="1">
        <f t="shared" si="31"/>
        <v>38</v>
      </c>
      <c r="S95" s="1">
        <f t="shared" si="31"/>
        <v>23</v>
      </c>
      <c r="T95" s="1">
        <f t="shared" si="31"/>
        <v>33</v>
      </c>
      <c r="U95" s="1">
        <f t="shared" si="31"/>
        <v>21</v>
      </c>
      <c r="V95" s="1">
        <f t="shared" si="31"/>
        <v>7</v>
      </c>
      <c r="W95" s="1">
        <f t="shared" si="31"/>
        <v>2</v>
      </c>
      <c r="X95" s="1">
        <f t="shared" si="31"/>
        <v>35</v>
      </c>
      <c r="Y95" s="1">
        <f t="shared" si="31"/>
        <v>17</v>
      </c>
      <c r="Z95" s="1">
        <f t="shared" si="31"/>
        <v>26</v>
      </c>
      <c r="AA95" s="1">
        <f t="shared" si="31"/>
        <v>45</v>
      </c>
      <c r="AB95" s="1">
        <f t="shared" si="31"/>
        <v>12</v>
      </c>
      <c r="AC95" s="1">
        <f t="shared" si="31"/>
        <v>2</v>
      </c>
      <c r="AD95" s="1">
        <f t="shared" si="31"/>
        <v>31</v>
      </c>
      <c r="AE95" s="1">
        <f t="shared" si="31"/>
        <v>31</v>
      </c>
      <c r="AF95" s="1">
        <f t="shared" si="31"/>
        <v>42</v>
      </c>
      <c r="AG95" s="1">
        <f t="shared" si="31"/>
        <v>11</v>
      </c>
      <c r="AH95" s="1">
        <f t="shared" si="31"/>
        <v>12</v>
      </c>
      <c r="AI95" s="1">
        <f t="shared" si="31"/>
        <v>34</v>
      </c>
      <c r="AJ95" s="1">
        <f t="shared" si="31"/>
        <v>25</v>
      </c>
      <c r="AK95" s="1">
        <f t="shared" si="31"/>
        <v>22</v>
      </c>
      <c r="AL95" s="1">
        <f t="shared" si="31"/>
        <v>28</v>
      </c>
      <c r="AM95" s="1">
        <f t="shared" si="31"/>
        <v>1</v>
      </c>
      <c r="AN95" s="1">
        <f t="shared" si="31"/>
        <v>30</v>
      </c>
      <c r="AO95" s="1">
        <f t="shared" si="31"/>
        <v>2</v>
      </c>
      <c r="AP95" s="1">
        <f t="shared" si="31"/>
        <v>35</v>
      </c>
      <c r="AQ95" s="1">
        <f t="shared" si="31"/>
        <v>43</v>
      </c>
      <c r="AR95" s="1">
        <f t="shared" si="31"/>
        <v>2</v>
      </c>
      <c r="AS95" s="1">
        <f t="shared" si="31"/>
        <v>12</v>
      </c>
      <c r="AT95" s="1">
        <f t="shared" si="31"/>
        <v>12</v>
      </c>
      <c r="AU95" s="1">
        <f t="shared" si="31"/>
        <v>9</v>
      </c>
    </row>
    <row r="96" spans="1:47">
      <c r="A96" s="1" t="str">
        <f t="shared" si="6"/>
        <v>   3.1.1) Enforcement of transport safety</v>
      </c>
      <c r="B96" s="1">
        <f t="shared" ref="B96:AU96" si="32">RANK(B31,$B31:$AU31,0)</f>
        <v>2</v>
      </c>
      <c r="C96" s="1">
        <f t="shared" si="32"/>
        <v>20</v>
      </c>
      <c r="D96" s="1">
        <f t="shared" si="32"/>
        <v>35</v>
      </c>
      <c r="E96" s="1">
        <f t="shared" si="32"/>
        <v>17</v>
      </c>
      <c r="F96" s="1">
        <f t="shared" si="32"/>
        <v>37</v>
      </c>
      <c r="G96" s="1">
        <f t="shared" si="32"/>
        <v>30</v>
      </c>
      <c r="H96" s="1">
        <f t="shared" si="32"/>
        <v>30</v>
      </c>
      <c r="I96" s="1">
        <f t="shared" si="32"/>
        <v>11</v>
      </c>
      <c r="J96" s="1">
        <f t="shared" si="32"/>
        <v>42</v>
      </c>
      <c r="K96" s="1">
        <f t="shared" si="32"/>
        <v>20</v>
      </c>
      <c r="L96" s="1">
        <f t="shared" si="32"/>
        <v>6</v>
      </c>
      <c r="M96" s="1">
        <f t="shared" si="32"/>
        <v>44</v>
      </c>
      <c r="N96" s="1">
        <f t="shared" si="32"/>
        <v>44</v>
      </c>
      <c r="O96" s="1">
        <f t="shared" si="32"/>
        <v>4</v>
      </c>
      <c r="P96" s="1">
        <f t="shared" si="32"/>
        <v>27</v>
      </c>
      <c r="Q96" s="1">
        <f t="shared" si="32"/>
        <v>40</v>
      </c>
      <c r="R96" s="1">
        <f t="shared" si="32"/>
        <v>40</v>
      </c>
      <c r="S96" s="1">
        <f t="shared" si="32"/>
        <v>37</v>
      </c>
      <c r="T96" s="1">
        <f t="shared" si="32"/>
        <v>5</v>
      </c>
      <c r="U96" s="1">
        <f t="shared" si="32"/>
        <v>11</v>
      </c>
      <c r="V96" s="1">
        <f t="shared" si="32"/>
        <v>17</v>
      </c>
      <c r="W96" s="1">
        <f t="shared" si="32"/>
        <v>6</v>
      </c>
      <c r="X96" s="1">
        <f t="shared" si="32"/>
        <v>35</v>
      </c>
      <c r="Y96" s="1">
        <f t="shared" si="32"/>
        <v>23</v>
      </c>
      <c r="Z96" s="1">
        <f t="shared" si="32"/>
        <v>30</v>
      </c>
      <c r="AA96" s="1">
        <f t="shared" si="32"/>
        <v>42</v>
      </c>
      <c r="AB96" s="1">
        <f t="shared" si="32"/>
        <v>11</v>
      </c>
      <c r="AC96" s="1">
        <f t="shared" si="32"/>
        <v>6</v>
      </c>
      <c r="AD96" s="1">
        <f t="shared" si="32"/>
        <v>1</v>
      </c>
      <c r="AE96" s="1">
        <f t="shared" si="32"/>
        <v>27</v>
      </c>
      <c r="AF96" s="1">
        <f t="shared" si="32"/>
        <v>23</v>
      </c>
      <c r="AG96" s="1">
        <f t="shared" si="32"/>
        <v>23</v>
      </c>
      <c r="AH96" s="1">
        <f t="shared" si="32"/>
        <v>11</v>
      </c>
      <c r="AI96" s="1">
        <f t="shared" si="32"/>
        <v>33</v>
      </c>
      <c r="AJ96" s="1">
        <f t="shared" si="32"/>
        <v>27</v>
      </c>
      <c r="AK96" s="1">
        <f t="shared" si="32"/>
        <v>17</v>
      </c>
      <c r="AL96" s="1">
        <f t="shared" si="32"/>
        <v>37</v>
      </c>
      <c r="AM96" s="1">
        <f t="shared" si="32"/>
        <v>2</v>
      </c>
      <c r="AN96" s="1">
        <f t="shared" si="32"/>
        <v>26</v>
      </c>
      <c r="AO96" s="1">
        <f t="shared" si="32"/>
        <v>6</v>
      </c>
      <c r="AP96" s="1">
        <f t="shared" si="32"/>
        <v>44</v>
      </c>
      <c r="AQ96" s="1">
        <f t="shared" si="32"/>
        <v>33</v>
      </c>
      <c r="AR96" s="1">
        <f t="shared" si="32"/>
        <v>6</v>
      </c>
      <c r="AS96" s="1">
        <f t="shared" si="32"/>
        <v>11</v>
      </c>
      <c r="AT96" s="1">
        <f t="shared" si="32"/>
        <v>11</v>
      </c>
      <c r="AU96" s="1">
        <f t="shared" si="32"/>
        <v>20</v>
      </c>
    </row>
    <row r="97" spans="1:47">
      <c r="A97" s="1" t="str">
        <f t="shared" si="6"/>
        <v>   3.1.2) Pedestrian friendliness</v>
      </c>
      <c r="B97" s="1">
        <f t="shared" ref="B97:AU97" si="33">RANK(B32,$B32:$AU32,0)</f>
        <v>1</v>
      </c>
      <c r="C97" s="1">
        <f t="shared" si="33"/>
        <v>1</v>
      </c>
      <c r="D97" s="1">
        <f t="shared" si="33"/>
        <v>39</v>
      </c>
      <c r="E97" s="1">
        <f t="shared" si="33"/>
        <v>1</v>
      </c>
      <c r="F97" s="1">
        <f t="shared" si="33"/>
        <v>1</v>
      </c>
      <c r="G97" s="1">
        <f t="shared" si="33"/>
        <v>1</v>
      </c>
      <c r="H97" s="1">
        <f t="shared" si="33"/>
        <v>1</v>
      </c>
      <c r="I97" s="1">
        <f t="shared" si="33"/>
        <v>1</v>
      </c>
      <c r="J97" s="1">
        <f t="shared" si="33"/>
        <v>35</v>
      </c>
      <c r="K97" s="1">
        <f t="shared" si="33"/>
        <v>39</v>
      </c>
      <c r="L97" s="1">
        <f t="shared" si="33"/>
        <v>1</v>
      </c>
      <c r="M97" s="1">
        <f t="shared" si="33"/>
        <v>39</v>
      </c>
      <c r="N97" s="1">
        <f t="shared" si="33"/>
        <v>1</v>
      </c>
      <c r="O97" s="1">
        <f t="shared" si="33"/>
        <v>1</v>
      </c>
      <c r="P97" s="1">
        <f t="shared" si="33"/>
        <v>35</v>
      </c>
      <c r="Q97" s="1">
        <f t="shared" si="33"/>
        <v>1</v>
      </c>
      <c r="R97" s="1">
        <f t="shared" si="33"/>
        <v>39</v>
      </c>
      <c r="S97" s="1">
        <f t="shared" si="33"/>
        <v>1</v>
      </c>
      <c r="T97" s="1">
        <f t="shared" si="33"/>
        <v>39</v>
      </c>
      <c r="U97" s="1">
        <f t="shared" si="33"/>
        <v>1</v>
      </c>
      <c r="V97" s="1">
        <f t="shared" si="33"/>
        <v>1</v>
      </c>
      <c r="W97" s="1">
        <f t="shared" si="33"/>
        <v>1</v>
      </c>
      <c r="X97" s="1">
        <f t="shared" si="33"/>
        <v>1</v>
      </c>
      <c r="Y97" s="1">
        <f t="shared" si="33"/>
        <v>1</v>
      </c>
      <c r="Z97" s="1">
        <f t="shared" si="33"/>
        <v>1</v>
      </c>
      <c r="AA97" s="1">
        <f t="shared" si="33"/>
        <v>35</v>
      </c>
      <c r="AB97" s="1">
        <f t="shared" si="33"/>
        <v>1</v>
      </c>
      <c r="AC97" s="1">
        <f t="shared" si="33"/>
        <v>1</v>
      </c>
      <c r="AD97" s="1">
        <f t="shared" si="33"/>
        <v>39</v>
      </c>
      <c r="AE97" s="1">
        <f t="shared" si="33"/>
        <v>1</v>
      </c>
      <c r="AF97" s="1">
        <f t="shared" si="33"/>
        <v>39</v>
      </c>
      <c r="AG97" s="1">
        <f t="shared" si="33"/>
        <v>1</v>
      </c>
      <c r="AH97" s="1">
        <f t="shared" si="33"/>
        <v>1</v>
      </c>
      <c r="AI97" s="1">
        <f t="shared" si="33"/>
        <v>39</v>
      </c>
      <c r="AJ97" s="1">
        <f t="shared" si="33"/>
        <v>1</v>
      </c>
      <c r="AK97" s="1">
        <f t="shared" si="33"/>
        <v>1</v>
      </c>
      <c r="AL97" s="1">
        <f t="shared" si="33"/>
        <v>1</v>
      </c>
      <c r="AM97" s="1">
        <f t="shared" si="33"/>
        <v>1</v>
      </c>
      <c r="AN97" s="1">
        <f t="shared" si="33"/>
        <v>1</v>
      </c>
      <c r="AO97" s="1">
        <f t="shared" si="33"/>
        <v>1</v>
      </c>
      <c r="AP97" s="1">
        <f t="shared" si="33"/>
        <v>1</v>
      </c>
      <c r="AQ97" s="1">
        <f t="shared" si="33"/>
        <v>35</v>
      </c>
      <c r="AR97" s="1">
        <f t="shared" si="33"/>
        <v>1</v>
      </c>
      <c r="AS97" s="1">
        <f t="shared" si="33"/>
        <v>1</v>
      </c>
      <c r="AT97" s="1">
        <f t="shared" si="33"/>
        <v>1</v>
      </c>
      <c r="AU97" s="1">
        <f t="shared" si="33"/>
        <v>1</v>
      </c>
    </row>
    <row r="98" spans="1:47">
      <c r="A98" s="1" t="str">
        <f t="shared" si="6"/>
        <v>   3.1.3) Quality of road infrastructure</v>
      </c>
      <c r="B98" s="1">
        <f t="shared" ref="B98:AU98" si="34">RANK(B33,$B33:$AU33,0)</f>
        <v>1</v>
      </c>
      <c r="C98" s="1">
        <f t="shared" si="34"/>
        <v>1</v>
      </c>
      <c r="D98" s="1">
        <f t="shared" si="34"/>
        <v>43</v>
      </c>
      <c r="E98" s="1">
        <f t="shared" si="34"/>
        <v>1</v>
      </c>
      <c r="F98" s="1">
        <f t="shared" si="34"/>
        <v>14</v>
      </c>
      <c r="G98" s="1">
        <f t="shared" si="34"/>
        <v>14</v>
      </c>
      <c r="H98" s="1">
        <f t="shared" si="34"/>
        <v>14</v>
      </c>
      <c r="I98" s="1">
        <f t="shared" si="34"/>
        <v>14</v>
      </c>
      <c r="J98" s="1">
        <f t="shared" si="34"/>
        <v>35</v>
      </c>
      <c r="K98" s="1">
        <f t="shared" si="34"/>
        <v>14</v>
      </c>
      <c r="L98" s="1">
        <f t="shared" si="34"/>
        <v>1</v>
      </c>
      <c r="M98" s="1">
        <f t="shared" si="34"/>
        <v>43</v>
      </c>
      <c r="N98" s="1">
        <f t="shared" si="34"/>
        <v>1</v>
      </c>
      <c r="O98" s="1">
        <f t="shared" si="34"/>
        <v>35</v>
      </c>
      <c r="P98" s="1">
        <f t="shared" si="34"/>
        <v>35</v>
      </c>
      <c r="Q98" s="1">
        <f t="shared" si="34"/>
        <v>35</v>
      </c>
      <c r="R98" s="1">
        <f t="shared" si="34"/>
        <v>14</v>
      </c>
      <c r="S98" s="1">
        <f t="shared" si="34"/>
        <v>14</v>
      </c>
      <c r="T98" s="1">
        <f t="shared" si="34"/>
        <v>14</v>
      </c>
      <c r="U98" s="1">
        <f t="shared" si="34"/>
        <v>14</v>
      </c>
      <c r="V98" s="1">
        <f t="shared" si="34"/>
        <v>1</v>
      </c>
      <c r="W98" s="1">
        <f t="shared" si="34"/>
        <v>1</v>
      </c>
      <c r="X98" s="1">
        <f t="shared" si="34"/>
        <v>35</v>
      </c>
      <c r="Y98" s="1">
        <f t="shared" si="34"/>
        <v>14</v>
      </c>
      <c r="Z98" s="1">
        <f t="shared" si="34"/>
        <v>14</v>
      </c>
      <c r="AA98" s="1">
        <f t="shared" si="34"/>
        <v>46</v>
      </c>
      <c r="AB98" s="1">
        <f t="shared" si="34"/>
        <v>14</v>
      </c>
      <c r="AC98" s="1">
        <f t="shared" si="34"/>
        <v>1</v>
      </c>
      <c r="AD98" s="1">
        <f t="shared" si="34"/>
        <v>14</v>
      </c>
      <c r="AE98" s="1">
        <f t="shared" si="34"/>
        <v>35</v>
      </c>
      <c r="AF98" s="1">
        <f t="shared" si="34"/>
        <v>35</v>
      </c>
      <c r="AG98" s="1">
        <f t="shared" si="34"/>
        <v>1</v>
      </c>
      <c r="AH98" s="1">
        <f t="shared" si="34"/>
        <v>14</v>
      </c>
      <c r="AI98" s="1">
        <f t="shared" si="34"/>
        <v>14</v>
      </c>
      <c r="AJ98" s="1">
        <f t="shared" si="34"/>
        <v>14</v>
      </c>
      <c r="AK98" s="1">
        <f t="shared" si="34"/>
        <v>14</v>
      </c>
      <c r="AL98" s="1">
        <f t="shared" si="34"/>
        <v>14</v>
      </c>
      <c r="AM98" s="1">
        <f t="shared" si="34"/>
        <v>1</v>
      </c>
      <c r="AN98" s="1">
        <f t="shared" si="34"/>
        <v>43</v>
      </c>
      <c r="AO98" s="1">
        <f t="shared" si="34"/>
        <v>1</v>
      </c>
      <c r="AP98" s="1">
        <f t="shared" si="34"/>
        <v>14</v>
      </c>
      <c r="AQ98" s="1">
        <f t="shared" si="34"/>
        <v>35</v>
      </c>
      <c r="AR98" s="1">
        <f t="shared" si="34"/>
        <v>1</v>
      </c>
      <c r="AS98" s="1">
        <f t="shared" si="34"/>
        <v>14</v>
      </c>
      <c r="AT98" s="1">
        <f t="shared" si="34"/>
        <v>14</v>
      </c>
      <c r="AU98" s="1">
        <f t="shared" si="34"/>
        <v>1</v>
      </c>
    </row>
    <row r="99" spans="1:47">
      <c r="A99" s="1" t="str">
        <f t="shared" si="6"/>
        <v>   3.1.4) Quality of electricity infrastructure</v>
      </c>
      <c r="B99" s="1">
        <f t="shared" ref="B99:AU99" si="35">RANK(B34,$B34:$AU34,0)</f>
        <v>33</v>
      </c>
      <c r="C99" s="1">
        <f t="shared" si="35"/>
        <v>1</v>
      </c>
      <c r="D99" s="1">
        <f t="shared" si="35"/>
        <v>1</v>
      </c>
      <c r="E99" s="1">
        <f t="shared" si="35"/>
        <v>1</v>
      </c>
      <c r="F99" s="1">
        <f t="shared" si="35"/>
        <v>1</v>
      </c>
      <c r="G99" s="1">
        <f t="shared" si="35"/>
        <v>1</v>
      </c>
      <c r="H99" s="1">
        <f t="shared" si="35"/>
        <v>1</v>
      </c>
      <c r="I99" s="1">
        <f t="shared" si="35"/>
        <v>1</v>
      </c>
      <c r="J99" s="1">
        <f t="shared" si="35"/>
        <v>41</v>
      </c>
      <c r="K99" s="1">
        <f t="shared" si="35"/>
        <v>33</v>
      </c>
      <c r="L99" s="1">
        <f t="shared" si="35"/>
        <v>1</v>
      </c>
      <c r="M99" s="1">
        <f t="shared" si="35"/>
        <v>41</v>
      </c>
      <c r="N99" s="1">
        <f t="shared" si="35"/>
        <v>1</v>
      </c>
      <c r="O99" s="1">
        <f t="shared" si="35"/>
        <v>33</v>
      </c>
      <c r="P99" s="1">
        <f t="shared" si="35"/>
        <v>41</v>
      </c>
      <c r="Q99" s="1">
        <f t="shared" si="35"/>
        <v>41</v>
      </c>
      <c r="R99" s="1">
        <f t="shared" si="35"/>
        <v>1</v>
      </c>
      <c r="S99" s="1">
        <f t="shared" si="35"/>
        <v>1</v>
      </c>
      <c r="T99" s="1">
        <f t="shared" si="35"/>
        <v>1</v>
      </c>
      <c r="U99" s="1">
        <f t="shared" si="35"/>
        <v>1</v>
      </c>
      <c r="V99" s="1">
        <f t="shared" si="35"/>
        <v>1</v>
      </c>
      <c r="W99" s="1">
        <f t="shared" si="35"/>
        <v>1</v>
      </c>
      <c r="X99" s="1">
        <f t="shared" si="35"/>
        <v>41</v>
      </c>
      <c r="Y99" s="1">
        <f t="shared" si="35"/>
        <v>1</v>
      </c>
      <c r="Z99" s="1">
        <f t="shared" si="35"/>
        <v>1</v>
      </c>
      <c r="AA99" s="1">
        <f t="shared" si="35"/>
        <v>33</v>
      </c>
      <c r="AB99" s="1">
        <f t="shared" si="35"/>
        <v>1</v>
      </c>
      <c r="AC99" s="1">
        <f t="shared" si="35"/>
        <v>1</v>
      </c>
      <c r="AD99" s="1">
        <f t="shared" si="35"/>
        <v>1</v>
      </c>
      <c r="AE99" s="1">
        <f t="shared" si="35"/>
        <v>1</v>
      </c>
      <c r="AF99" s="1">
        <f t="shared" si="35"/>
        <v>33</v>
      </c>
      <c r="AG99" s="1">
        <f t="shared" si="35"/>
        <v>1</v>
      </c>
      <c r="AH99" s="1">
        <f t="shared" si="35"/>
        <v>1</v>
      </c>
      <c r="AI99" s="1">
        <f t="shared" si="35"/>
        <v>1</v>
      </c>
      <c r="AJ99" s="1">
        <f t="shared" si="35"/>
        <v>33</v>
      </c>
      <c r="AK99" s="1">
        <f t="shared" si="35"/>
        <v>1</v>
      </c>
      <c r="AL99" s="1">
        <f t="shared" si="35"/>
        <v>1</v>
      </c>
      <c r="AM99" s="1">
        <f t="shared" si="35"/>
        <v>1</v>
      </c>
      <c r="AN99" s="1">
        <f t="shared" si="35"/>
        <v>33</v>
      </c>
      <c r="AO99" s="1">
        <f t="shared" si="35"/>
        <v>1</v>
      </c>
      <c r="AP99" s="1">
        <f t="shared" si="35"/>
        <v>33</v>
      </c>
      <c r="AQ99" s="1">
        <f t="shared" si="35"/>
        <v>46</v>
      </c>
      <c r="AR99" s="1">
        <f t="shared" si="35"/>
        <v>1</v>
      </c>
      <c r="AS99" s="1">
        <f t="shared" si="35"/>
        <v>1</v>
      </c>
      <c r="AT99" s="1">
        <f t="shared" si="35"/>
        <v>1</v>
      </c>
      <c r="AU99" s="1">
        <f t="shared" si="35"/>
        <v>1</v>
      </c>
    </row>
    <row r="100" spans="1:47">
      <c r="A100" s="1" t="str">
        <f t="shared" si="6"/>
        <v>   3.1.5) Disaster management/business continuity plan</v>
      </c>
      <c r="B100" s="1">
        <f t="shared" ref="B100:AU100" si="36">RANK(B35,$B35:$AU35,0)</f>
        <v>27</v>
      </c>
      <c r="C100" s="1">
        <f t="shared" si="36"/>
        <v>1</v>
      </c>
      <c r="D100" s="1">
        <f t="shared" si="36"/>
        <v>27</v>
      </c>
      <c r="E100" s="1">
        <f t="shared" si="36"/>
        <v>1</v>
      </c>
      <c r="F100" s="1">
        <f t="shared" si="36"/>
        <v>36</v>
      </c>
      <c r="G100" s="1">
        <f t="shared" si="36"/>
        <v>1</v>
      </c>
      <c r="H100" s="1">
        <f t="shared" si="36"/>
        <v>1</v>
      </c>
      <c r="I100" s="1">
        <f t="shared" si="36"/>
        <v>1</v>
      </c>
      <c r="J100" s="1">
        <f t="shared" si="36"/>
        <v>45</v>
      </c>
      <c r="K100" s="1">
        <f t="shared" si="36"/>
        <v>1</v>
      </c>
      <c r="L100" s="1">
        <f t="shared" si="36"/>
        <v>1</v>
      </c>
      <c r="M100" s="1">
        <f t="shared" si="36"/>
        <v>36</v>
      </c>
      <c r="N100" s="1">
        <f t="shared" si="36"/>
        <v>1</v>
      </c>
      <c r="O100" s="1">
        <f t="shared" si="36"/>
        <v>27</v>
      </c>
      <c r="P100" s="1">
        <f t="shared" si="36"/>
        <v>36</v>
      </c>
      <c r="Q100" s="1">
        <f t="shared" si="36"/>
        <v>36</v>
      </c>
      <c r="R100" s="1">
        <f t="shared" si="36"/>
        <v>27</v>
      </c>
      <c r="S100" s="1">
        <f t="shared" si="36"/>
        <v>1</v>
      </c>
      <c r="T100" s="1">
        <f t="shared" si="36"/>
        <v>1</v>
      </c>
      <c r="U100" s="1">
        <f t="shared" si="36"/>
        <v>27</v>
      </c>
      <c r="V100" s="1">
        <f t="shared" si="36"/>
        <v>1</v>
      </c>
      <c r="W100" s="1">
        <f t="shared" si="36"/>
        <v>1</v>
      </c>
      <c r="X100" s="1">
        <f t="shared" si="36"/>
        <v>27</v>
      </c>
      <c r="Y100" s="1">
        <f t="shared" si="36"/>
        <v>1</v>
      </c>
      <c r="Z100" s="1">
        <f t="shared" si="36"/>
        <v>36</v>
      </c>
      <c r="AA100" s="1">
        <f t="shared" si="36"/>
        <v>45</v>
      </c>
      <c r="AB100" s="1">
        <f t="shared" si="36"/>
        <v>1</v>
      </c>
      <c r="AC100" s="1">
        <f t="shared" si="36"/>
        <v>1</v>
      </c>
      <c r="AD100" s="1">
        <f t="shared" si="36"/>
        <v>1</v>
      </c>
      <c r="AE100" s="1">
        <f t="shared" si="36"/>
        <v>36</v>
      </c>
      <c r="AF100" s="1">
        <f t="shared" si="36"/>
        <v>36</v>
      </c>
      <c r="AG100" s="1">
        <f t="shared" si="36"/>
        <v>1</v>
      </c>
      <c r="AH100" s="1">
        <f t="shared" si="36"/>
        <v>1</v>
      </c>
      <c r="AI100" s="1">
        <f t="shared" si="36"/>
        <v>1</v>
      </c>
      <c r="AJ100" s="1">
        <f t="shared" si="36"/>
        <v>27</v>
      </c>
      <c r="AK100" s="1">
        <f t="shared" si="36"/>
        <v>27</v>
      </c>
      <c r="AL100" s="1">
        <f t="shared" si="36"/>
        <v>36</v>
      </c>
      <c r="AM100" s="1">
        <f t="shared" si="36"/>
        <v>1</v>
      </c>
      <c r="AN100" s="1">
        <f t="shared" si="36"/>
        <v>1</v>
      </c>
      <c r="AO100" s="1">
        <f t="shared" si="36"/>
        <v>1</v>
      </c>
      <c r="AP100" s="1">
        <f t="shared" si="36"/>
        <v>27</v>
      </c>
      <c r="AQ100" s="1">
        <f t="shared" si="36"/>
        <v>36</v>
      </c>
      <c r="AR100" s="1">
        <f t="shared" si="36"/>
        <v>1</v>
      </c>
      <c r="AS100" s="1">
        <f t="shared" si="36"/>
        <v>1</v>
      </c>
      <c r="AT100" s="1">
        <f t="shared" si="36"/>
        <v>1</v>
      </c>
      <c r="AU100" s="1">
        <f t="shared" si="36"/>
        <v>1</v>
      </c>
    </row>
    <row r="101" spans="1:47">
      <c r="A101" s="1" t="str">
        <f t="shared" si="6"/>
        <v>  3.2) Infrastructure security (Outputs)</v>
      </c>
      <c r="B101" s="1">
        <f t="shared" ref="B101:AU101" si="37">RANK(B36,$B36:$AU36,0)</f>
        <v>8</v>
      </c>
      <c r="C101" s="1">
        <f t="shared" si="37"/>
        <v>5</v>
      </c>
      <c r="D101" s="1">
        <f t="shared" si="37"/>
        <v>45</v>
      </c>
      <c r="E101" s="1">
        <f t="shared" si="37"/>
        <v>24</v>
      </c>
      <c r="F101" s="1">
        <f t="shared" si="37"/>
        <v>20</v>
      </c>
      <c r="G101" s="1">
        <f t="shared" si="37"/>
        <v>15</v>
      </c>
      <c r="H101" s="1">
        <f t="shared" si="37"/>
        <v>41</v>
      </c>
      <c r="I101" s="1">
        <f t="shared" si="37"/>
        <v>16</v>
      </c>
      <c r="J101" s="1">
        <f t="shared" si="37"/>
        <v>30</v>
      </c>
      <c r="K101" s="1">
        <f t="shared" si="37"/>
        <v>12</v>
      </c>
      <c r="L101" s="1">
        <f t="shared" si="37"/>
        <v>32</v>
      </c>
      <c r="M101" s="1">
        <f t="shared" si="37"/>
        <v>27</v>
      </c>
      <c r="N101" s="1">
        <f t="shared" si="37"/>
        <v>40</v>
      </c>
      <c r="O101" s="1">
        <f t="shared" si="37"/>
        <v>43</v>
      </c>
      <c r="P101" s="1">
        <f t="shared" si="37"/>
        <v>44</v>
      </c>
      <c r="Q101" s="1">
        <f t="shared" si="37"/>
        <v>37</v>
      </c>
      <c r="R101" s="1">
        <f t="shared" si="37"/>
        <v>9</v>
      </c>
      <c r="S101" s="1">
        <f t="shared" si="37"/>
        <v>35</v>
      </c>
      <c r="T101" s="1">
        <f t="shared" si="37"/>
        <v>39</v>
      </c>
      <c r="U101" s="1">
        <f t="shared" si="37"/>
        <v>19</v>
      </c>
      <c r="V101" s="1">
        <f t="shared" si="37"/>
        <v>36</v>
      </c>
      <c r="W101" s="1">
        <f t="shared" si="37"/>
        <v>4</v>
      </c>
      <c r="X101" s="1">
        <f t="shared" si="37"/>
        <v>46</v>
      </c>
      <c r="Y101" s="1">
        <f t="shared" si="37"/>
        <v>34</v>
      </c>
      <c r="Z101" s="1">
        <f t="shared" si="37"/>
        <v>42</v>
      </c>
      <c r="AA101" s="1">
        <f t="shared" si="37"/>
        <v>31</v>
      </c>
      <c r="AB101" s="1">
        <f t="shared" si="37"/>
        <v>22</v>
      </c>
      <c r="AC101" s="1">
        <f t="shared" si="37"/>
        <v>26</v>
      </c>
      <c r="AD101" s="1">
        <f t="shared" si="37"/>
        <v>21</v>
      </c>
      <c r="AE101" s="1">
        <f t="shared" si="37"/>
        <v>25</v>
      </c>
      <c r="AF101" s="1">
        <f t="shared" si="37"/>
        <v>33</v>
      </c>
      <c r="AG101" s="1">
        <f t="shared" si="37"/>
        <v>29</v>
      </c>
      <c r="AH101" s="1">
        <f t="shared" si="37"/>
        <v>14</v>
      </c>
      <c r="AI101" s="1">
        <f t="shared" si="37"/>
        <v>18</v>
      </c>
      <c r="AJ101" s="1">
        <f t="shared" si="37"/>
        <v>28</v>
      </c>
      <c r="AK101" s="1">
        <f t="shared" si="37"/>
        <v>7</v>
      </c>
      <c r="AL101" s="1">
        <f t="shared" si="37"/>
        <v>23</v>
      </c>
      <c r="AM101" s="1">
        <f t="shared" si="37"/>
        <v>17</v>
      </c>
      <c r="AN101" s="1">
        <f t="shared" si="37"/>
        <v>2</v>
      </c>
      <c r="AO101" s="1">
        <f t="shared" si="37"/>
        <v>6</v>
      </c>
      <c r="AP101" s="1">
        <f t="shared" si="37"/>
        <v>1</v>
      </c>
      <c r="AQ101" s="1">
        <f t="shared" si="37"/>
        <v>13</v>
      </c>
      <c r="AR101" s="1">
        <f t="shared" si="37"/>
        <v>11</v>
      </c>
      <c r="AS101" s="1">
        <f t="shared" si="37"/>
        <v>10</v>
      </c>
      <c r="AT101" s="1">
        <f t="shared" si="37"/>
        <v>38</v>
      </c>
      <c r="AU101" s="1">
        <f t="shared" si="37"/>
        <v>3</v>
      </c>
    </row>
    <row r="102" spans="1:47">
      <c r="A102" s="1" t="str">
        <f t="shared" si="6"/>
        <v>   3.2.1) Deaths from natural disaster</v>
      </c>
      <c r="B102" s="1">
        <f t="shared" ref="B102:AU102" si="38">RANK(B37,$B37:$AU37,0)</f>
        <v>1</v>
      </c>
      <c r="C102" s="1">
        <f t="shared" si="38"/>
        <v>41</v>
      </c>
      <c r="D102" s="1">
        <f t="shared" si="38"/>
        <v>39</v>
      </c>
      <c r="E102" s="1">
        <f t="shared" si="38"/>
        <v>22</v>
      </c>
      <c r="F102" s="1">
        <f t="shared" si="38"/>
        <v>13</v>
      </c>
      <c r="G102" s="1">
        <f t="shared" si="38"/>
        <v>40</v>
      </c>
      <c r="H102" s="1">
        <f t="shared" si="38"/>
        <v>18</v>
      </c>
      <c r="I102" s="1">
        <f t="shared" si="38"/>
        <v>26</v>
      </c>
      <c r="J102" s="1">
        <f t="shared" si="38"/>
        <v>38</v>
      </c>
      <c r="K102" s="1">
        <f t="shared" si="38"/>
        <v>1</v>
      </c>
      <c r="L102" s="1">
        <f t="shared" si="38"/>
        <v>28</v>
      </c>
      <c r="M102" s="1">
        <f t="shared" si="38"/>
        <v>32</v>
      </c>
      <c r="N102" s="1">
        <f t="shared" si="38"/>
        <v>1</v>
      </c>
      <c r="O102" s="1">
        <f t="shared" si="38"/>
        <v>21</v>
      </c>
      <c r="P102" s="1">
        <f t="shared" si="38"/>
        <v>46</v>
      </c>
      <c r="Q102" s="1">
        <f t="shared" si="38"/>
        <v>20</v>
      </c>
      <c r="R102" s="1">
        <f t="shared" si="38"/>
        <v>1</v>
      </c>
      <c r="S102" s="1">
        <f t="shared" si="38"/>
        <v>31</v>
      </c>
      <c r="T102" s="1">
        <f t="shared" si="38"/>
        <v>24</v>
      </c>
      <c r="U102" s="1">
        <f t="shared" si="38"/>
        <v>13</v>
      </c>
      <c r="V102" s="1">
        <f t="shared" si="38"/>
        <v>15</v>
      </c>
      <c r="W102" s="1">
        <f t="shared" si="38"/>
        <v>35</v>
      </c>
      <c r="X102" s="1">
        <f t="shared" si="38"/>
        <v>15</v>
      </c>
      <c r="Y102" s="1">
        <f t="shared" si="38"/>
        <v>37</v>
      </c>
      <c r="Z102" s="1">
        <f t="shared" si="38"/>
        <v>44</v>
      </c>
      <c r="AA102" s="1">
        <f t="shared" si="38"/>
        <v>1</v>
      </c>
      <c r="AB102" s="1">
        <f t="shared" si="38"/>
        <v>11</v>
      </c>
      <c r="AC102" s="1">
        <f t="shared" si="38"/>
        <v>45</v>
      </c>
      <c r="AD102" s="1">
        <f t="shared" si="38"/>
        <v>27</v>
      </c>
      <c r="AE102" s="1">
        <f t="shared" si="38"/>
        <v>34</v>
      </c>
      <c r="AF102" s="1">
        <f t="shared" si="38"/>
        <v>7</v>
      </c>
      <c r="AG102" s="1">
        <f t="shared" si="38"/>
        <v>30</v>
      </c>
      <c r="AH102" s="1">
        <f t="shared" si="38"/>
        <v>29</v>
      </c>
      <c r="AI102" s="1">
        <f t="shared" si="38"/>
        <v>23</v>
      </c>
      <c r="AJ102" s="1">
        <f t="shared" si="38"/>
        <v>42</v>
      </c>
      <c r="AK102" s="1">
        <f t="shared" si="38"/>
        <v>12</v>
      </c>
      <c r="AL102" s="1">
        <f t="shared" si="38"/>
        <v>6</v>
      </c>
      <c r="AM102" s="1">
        <f t="shared" si="38"/>
        <v>19</v>
      </c>
      <c r="AN102" s="1">
        <f t="shared" si="38"/>
        <v>9</v>
      </c>
      <c r="AO102" s="1">
        <f t="shared" si="38"/>
        <v>35</v>
      </c>
      <c r="AP102" s="1">
        <f t="shared" si="38"/>
        <v>33</v>
      </c>
      <c r="AQ102" s="1">
        <f t="shared" si="38"/>
        <v>25</v>
      </c>
      <c r="AR102" s="1">
        <f t="shared" si="38"/>
        <v>43</v>
      </c>
      <c r="AS102" s="1">
        <f t="shared" si="38"/>
        <v>9</v>
      </c>
      <c r="AT102" s="1">
        <f t="shared" si="38"/>
        <v>7</v>
      </c>
      <c r="AU102" s="1">
        <f t="shared" si="38"/>
        <v>17</v>
      </c>
    </row>
    <row r="103" spans="1:47">
      <c r="A103" s="1" t="str">
        <f t="shared" si="6"/>
        <v>   3.2.2) Frequency of vehicular accidents</v>
      </c>
      <c r="B103" s="1">
        <f t="shared" ref="B103:AU103" si="39">RANK(B38,$B38:$AU38,0)</f>
        <v>8</v>
      </c>
      <c r="C103" s="1">
        <f t="shared" si="39"/>
        <v>6</v>
      </c>
      <c r="D103" s="1">
        <f t="shared" si="39"/>
        <v>19</v>
      </c>
      <c r="E103" s="1">
        <f t="shared" si="39"/>
        <v>30</v>
      </c>
      <c r="F103" s="1">
        <f t="shared" si="39"/>
        <v>2</v>
      </c>
      <c r="G103" s="1">
        <f t="shared" si="39"/>
        <v>20</v>
      </c>
      <c r="H103" s="1">
        <f t="shared" si="39"/>
        <v>17</v>
      </c>
      <c r="I103" s="1">
        <f t="shared" si="39"/>
        <v>31</v>
      </c>
      <c r="J103" s="1">
        <f t="shared" si="39"/>
        <v>5</v>
      </c>
      <c r="K103" s="1">
        <f t="shared" si="39"/>
        <v>15</v>
      </c>
      <c r="L103" s="1">
        <f t="shared" si="39"/>
        <v>43</v>
      </c>
      <c r="M103" s="1">
        <f t="shared" si="39"/>
        <v>4</v>
      </c>
      <c r="N103" s="1">
        <f t="shared" si="39"/>
        <v>16</v>
      </c>
      <c r="O103" s="1">
        <f t="shared" si="39"/>
        <v>41</v>
      </c>
      <c r="P103" s="1">
        <f t="shared" si="39"/>
        <v>7</v>
      </c>
      <c r="Q103" s="1">
        <f t="shared" si="39"/>
        <v>42</v>
      </c>
      <c r="R103" s="1">
        <f t="shared" si="39"/>
        <v>38</v>
      </c>
      <c r="S103" s="1">
        <f t="shared" si="39"/>
        <v>32</v>
      </c>
      <c r="T103" s="1">
        <f t="shared" si="39"/>
        <v>14</v>
      </c>
      <c r="U103" s="1">
        <f t="shared" si="39"/>
        <v>26</v>
      </c>
      <c r="V103" s="1">
        <f t="shared" si="39"/>
        <v>13</v>
      </c>
      <c r="W103" s="1">
        <f t="shared" si="39"/>
        <v>20</v>
      </c>
      <c r="X103" s="1">
        <f t="shared" si="39"/>
        <v>46</v>
      </c>
      <c r="Y103" s="1">
        <f t="shared" si="39"/>
        <v>40</v>
      </c>
      <c r="Z103" s="1">
        <f t="shared" si="39"/>
        <v>9</v>
      </c>
      <c r="AA103" s="1">
        <f t="shared" si="39"/>
        <v>3</v>
      </c>
      <c r="AB103" s="1">
        <f t="shared" si="39"/>
        <v>35</v>
      </c>
      <c r="AC103" s="1">
        <f t="shared" si="39"/>
        <v>28</v>
      </c>
      <c r="AD103" s="1">
        <f t="shared" si="39"/>
        <v>39</v>
      </c>
      <c r="AE103" s="1">
        <f t="shared" si="39"/>
        <v>22</v>
      </c>
      <c r="AF103" s="1">
        <f t="shared" si="39"/>
        <v>44</v>
      </c>
      <c r="AG103" s="1">
        <f t="shared" si="39"/>
        <v>33</v>
      </c>
      <c r="AH103" s="1">
        <f t="shared" si="39"/>
        <v>27</v>
      </c>
      <c r="AI103" s="1">
        <f t="shared" si="39"/>
        <v>24</v>
      </c>
      <c r="AJ103" s="1">
        <f t="shared" si="39"/>
        <v>18</v>
      </c>
      <c r="AK103" s="1">
        <f t="shared" si="39"/>
        <v>25</v>
      </c>
      <c r="AL103" s="1">
        <f t="shared" si="39"/>
        <v>1</v>
      </c>
      <c r="AM103" s="1">
        <f t="shared" si="39"/>
        <v>10</v>
      </c>
      <c r="AN103" s="1">
        <f t="shared" si="39"/>
        <v>11</v>
      </c>
      <c r="AO103" s="1">
        <f t="shared" si="39"/>
        <v>29</v>
      </c>
      <c r="AP103" s="1">
        <f t="shared" si="39"/>
        <v>34</v>
      </c>
      <c r="AQ103" s="1">
        <f t="shared" si="39"/>
        <v>12</v>
      </c>
      <c r="AR103" s="1">
        <f t="shared" si="39"/>
        <v>23</v>
      </c>
      <c r="AS103" s="1">
        <f t="shared" si="39"/>
        <v>36</v>
      </c>
      <c r="AT103" s="1">
        <f t="shared" si="39"/>
        <v>45</v>
      </c>
      <c r="AU103" s="1">
        <f t="shared" si="39"/>
        <v>37</v>
      </c>
    </row>
    <row r="104" spans="1:47">
      <c r="A104" s="1" t="str">
        <f t="shared" si="6"/>
        <v>   3.2.3) Frequency of pedestrian deaths</v>
      </c>
      <c r="B104" s="1">
        <f t="shared" ref="B104:AU104" si="40">RANK(B39,$B39:$AU39,0)</f>
        <v>27</v>
      </c>
      <c r="C104" s="1">
        <f t="shared" si="40"/>
        <v>2</v>
      </c>
      <c r="D104" s="1">
        <f t="shared" si="40"/>
        <v>22</v>
      </c>
      <c r="E104" s="1">
        <f t="shared" si="40"/>
        <v>7</v>
      </c>
      <c r="F104" s="1">
        <f t="shared" si="40"/>
        <v>18</v>
      </c>
      <c r="G104" s="1">
        <f t="shared" si="40"/>
        <v>15</v>
      </c>
      <c r="H104" s="1">
        <f t="shared" si="40"/>
        <v>44</v>
      </c>
      <c r="I104" s="1">
        <f t="shared" si="40"/>
        <v>26</v>
      </c>
      <c r="J104" s="1">
        <f t="shared" si="40"/>
        <v>30</v>
      </c>
      <c r="K104" s="1">
        <f t="shared" si="40"/>
        <v>35</v>
      </c>
      <c r="L104" s="1">
        <f t="shared" si="40"/>
        <v>5</v>
      </c>
      <c r="M104" s="1">
        <f t="shared" si="40"/>
        <v>12</v>
      </c>
      <c r="N104" s="1">
        <f t="shared" si="40"/>
        <v>45</v>
      </c>
      <c r="O104" s="1">
        <f t="shared" si="40"/>
        <v>17</v>
      </c>
      <c r="P104" s="1">
        <f t="shared" si="40"/>
        <v>33</v>
      </c>
      <c r="Q104" s="1">
        <f t="shared" si="40"/>
        <v>40</v>
      </c>
      <c r="R104" s="1">
        <f t="shared" si="40"/>
        <v>39</v>
      </c>
      <c r="S104" s="1">
        <f t="shared" si="40"/>
        <v>36</v>
      </c>
      <c r="T104" s="1">
        <f t="shared" si="40"/>
        <v>9</v>
      </c>
      <c r="U104" s="1">
        <f t="shared" si="40"/>
        <v>30</v>
      </c>
      <c r="V104" s="1">
        <f t="shared" si="40"/>
        <v>1</v>
      </c>
      <c r="W104" s="1">
        <f t="shared" si="40"/>
        <v>5</v>
      </c>
      <c r="X104" s="1">
        <f t="shared" si="40"/>
        <v>46</v>
      </c>
      <c r="Y104" s="1">
        <f t="shared" si="40"/>
        <v>30</v>
      </c>
      <c r="Z104" s="1">
        <f t="shared" si="40"/>
        <v>41</v>
      </c>
      <c r="AA104" s="1">
        <f t="shared" si="40"/>
        <v>21</v>
      </c>
      <c r="AB104" s="1">
        <f t="shared" si="40"/>
        <v>23</v>
      </c>
      <c r="AC104" s="1">
        <f t="shared" si="40"/>
        <v>19</v>
      </c>
      <c r="AD104" s="1">
        <f t="shared" si="40"/>
        <v>9</v>
      </c>
      <c r="AE104" s="1">
        <f t="shared" si="40"/>
        <v>37</v>
      </c>
      <c r="AF104" s="1">
        <f t="shared" si="40"/>
        <v>34</v>
      </c>
      <c r="AG104" s="1">
        <f t="shared" si="40"/>
        <v>29</v>
      </c>
      <c r="AH104" s="1">
        <f t="shared" si="40"/>
        <v>28</v>
      </c>
      <c r="AI104" s="1">
        <f t="shared" si="40"/>
        <v>43</v>
      </c>
      <c r="AJ104" s="1">
        <f t="shared" si="40"/>
        <v>38</v>
      </c>
      <c r="AK104" s="1">
        <f t="shared" si="40"/>
        <v>23</v>
      </c>
      <c r="AL104" s="1">
        <f t="shared" si="40"/>
        <v>15</v>
      </c>
      <c r="AM104" s="1">
        <f t="shared" si="40"/>
        <v>9</v>
      </c>
      <c r="AN104" s="1">
        <f t="shared" si="40"/>
        <v>4</v>
      </c>
      <c r="AO104" s="1">
        <f t="shared" si="40"/>
        <v>7</v>
      </c>
      <c r="AP104" s="1">
        <f t="shared" si="40"/>
        <v>13</v>
      </c>
      <c r="AQ104" s="1">
        <f t="shared" si="40"/>
        <v>42</v>
      </c>
      <c r="AR104" s="1">
        <f t="shared" si="40"/>
        <v>25</v>
      </c>
      <c r="AS104" s="1">
        <f t="shared" si="40"/>
        <v>2</v>
      </c>
      <c r="AT104" s="1">
        <f t="shared" si="40"/>
        <v>19</v>
      </c>
      <c r="AU104" s="1">
        <f t="shared" si="40"/>
        <v>13</v>
      </c>
    </row>
    <row r="105" spans="1:47">
      <c r="A105" s="1" t="str">
        <f t="shared" si="6"/>
        <v>   3.2.4) Percentage living in slums</v>
      </c>
      <c r="B105" s="1">
        <f t="shared" ref="B105:AU105" si="41">RANK(B40,$B40:$AU40,0)</f>
        <v>19</v>
      </c>
      <c r="C105" s="1">
        <f t="shared" si="41"/>
        <v>11</v>
      </c>
      <c r="D105" s="1">
        <f t="shared" si="41"/>
        <v>35</v>
      </c>
      <c r="E105" s="1">
        <f t="shared" si="41"/>
        <v>36</v>
      </c>
      <c r="F105" s="1">
        <f t="shared" si="41"/>
        <v>40</v>
      </c>
      <c r="G105" s="1">
        <f t="shared" si="41"/>
        <v>28</v>
      </c>
      <c r="H105" s="1">
        <f t="shared" si="41"/>
        <v>27</v>
      </c>
      <c r="I105" s="1">
        <f t="shared" si="41"/>
        <v>22</v>
      </c>
      <c r="J105" s="1">
        <f t="shared" si="41"/>
        <v>42</v>
      </c>
      <c r="K105" s="1">
        <f t="shared" si="41"/>
        <v>19</v>
      </c>
      <c r="L105" s="1">
        <f t="shared" si="41"/>
        <v>21</v>
      </c>
      <c r="M105" s="1">
        <f t="shared" si="41"/>
        <v>44</v>
      </c>
      <c r="N105" s="1">
        <f t="shared" si="41"/>
        <v>16</v>
      </c>
      <c r="O105" s="1">
        <f t="shared" si="41"/>
        <v>8</v>
      </c>
      <c r="P105" s="1">
        <f t="shared" si="41"/>
        <v>29</v>
      </c>
      <c r="Q105" s="1">
        <f t="shared" si="41"/>
        <v>29</v>
      </c>
      <c r="R105" s="1">
        <f t="shared" si="41"/>
        <v>3</v>
      </c>
      <c r="S105" s="1">
        <f t="shared" si="41"/>
        <v>46</v>
      </c>
      <c r="T105" s="1">
        <f t="shared" si="41"/>
        <v>31</v>
      </c>
      <c r="U105" s="1">
        <f t="shared" si="41"/>
        <v>22</v>
      </c>
      <c r="V105" s="1">
        <f t="shared" si="41"/>
        <v>36</v>
      </c>
      <c r="W105" s="1">
        <f t="shared" si="41"/>
        <v>6</v>
      </c>
      <c r="X105" s="1">
        <f t="shared" si="41"/>
        <v>10</v>
      </c>
      <c r="Y105" s="1">
        <f t="shared" si="41"/>
        <v>38</v>
      </c>
      <c r="Z105" s="1">
        <f t="shared" si="41"/>
        <v>45</v>
      </c>
      <c r="AA105" s="1">
        <f t="shared" si="41"/>
        <v>42</v>
      </c>
      <c r="AB105" s="1">
        <f t="shared" si="41"/>
        <v>22</v>
      </c>
      <c r="AC105" s="1">
        <f t="shared" si="41"/>
        <v>14</v>
      </c>
      <c r="AD105" s="1">
        <f t="shared" si="41"/>
        <v>18</v>
      </c>
      <c r="AE105" s="1">
        <f t="shared" si="41"/>
        <v>33</v>
      </c>
      <c r="AF105" s="1">
        <f t="shared" si="41"/>
        <v>16</v>
      </c>
      <c r="AG105" s="1">
        <f t="shared" si="41"/>
        <v>38</v>
      </c>
      <c r="AH105" s="1">
        <f t="shared" si="41"/>
        <v>22</v>
      </c>
      <c r="AI105" s="1">
        <f t="shared" si="41"/>
        <v>4</v>
      </c>
      <c r="AJ105" s="1">
        <f t="shared" si="41"/>
        <v>33</v>
      </c>
      <c r="AK105" s="1">
        <f t="shared" si="41"/>
        <v>11</v>
      </c>
      <c r="AL105" s="1">
        <f t="shared" si="41"/>
        <v>40</v>
      </c>
      <c r="AM105" s="1">
        <f t="shared" si="41"/>
        <v>32</v>
      </c>
      <c r="AN105" s="1">
        <f t="shared" si="41"/>
        <v>5</v>
      </c>
      <c r="AO105" s="1">
        <f t="shared" si="41"/>
        <v>6</v>
      </c>
      <c r="AP105" s="1">
        <f t="shared" si="41"/>
        <v>1</v>
      </c>
      <c r="AQ105" s="1">
        <f t="shared" si="41"/>
        <v>11</v>
      </c>
      <c r="AR105" s="1">
        <f t="shared" si="41"/>
        <v>14</v>
      </c>
      <c r="AS105" s="1">
        <f t="shared" si="41"/>
        <v>9</v>
      </c>
      <c r="AT105" s="1">
        <f t="shared" si="41"/>
        <v>22</v>
      </c>
      <c r="AU105" s="1">
        <f t="shared" si="41"/>
        <v>2</v>
      </c>
    </row>
    <row r="106" spans="1:47">
      <c r="A106" s="1" t="str">
        <f t="shared" si="6"/>
        <v>   3.2.5) Number of attacks on facilities/infrastructure</v>
      </c>
      <c r="B106" s="1">
        <f t="shared" ref="B106:AU106" si="42">RANK(B41,$B41:$AU41,0)</f>
        <v>1</v>
      </c>
      <c r="C106" s="1">
        <f t="shared" si="42"/>
        <v>1</v>
      </c>
      <c r="D106" s="1">
        <f t="shared" si="42"/>
        <v>46</v>
      </c>
      <c r="E106" s="1">
        <f t="shared" si="42"/>
        <v>1</v>
      </c>
      <c r="F106" s="1">
        <f t="shared" si="42"/>
        <v>1</v>
      </c>
      <c r="G106" s="1">
        <f t="shared" si="42"/>
        <v>1</v>
      </c>
      <c r="H106" s="1">
        <f t="shared" si="42"/>
        <v>38</v>
      </c>
      <c r="I106" s="1">
        <f t="shared" si="42"/>
        <v>1</v>
      </c>
      <c r="J106" s="1">
        <f t="shared" si="42"/>
        <v>40</v>
      </c>
      <c r="K106" s="1">
        <f t="shared" si="42"/>
        <v>1</v>
      </c>
      <c r="L106" s="1">
        <f t="shared" si="42"/>
        <v>1</v>
      </c>
      <c r="M106" s="1">
        <f t="shared" si="42"/>
        <v>1</v>
      </c>
      <c r="N106" s="1">
        <f t="shared" si="42"/>
        <v>1</v>
      </c>
      <c r="O106" s="1">
        <f t="shared" si="42"/>
        <v>45</v>
      </c>
      <c r="P106" s="1">
        <f t="shared" si="42"/>
        <v>31</v>
      </c>
      <c r="Q106" s="1">
        <f t="shared" si="42"/>
        <v>1</v>
      </c>
      <c r="R106" s="1">
        <f t="shared" si="42"/>
        <v>1</v>
      </c>
      <c r="S106" s="1">
        <f t="shared" si="42"/>
        <v>1</v>
      </c>
      <c r="T106" s="1">
        <f t="shared" si="42"/>
        <v>44</v>
      </c>
      <c r="U106" s="1">
        <f t="shared" si="42"/>
        <v>31</v>
      </c>
      <c r="V106" s="1">
        <f t="shared" si="42"/>
        <v>43</v>
      </c>
      <c r="W106" s="1">
        <f t="shared" si="42"/>
        <v>1</v>
      </c>
      <c r="X106" s="1">
        <f t="shared" si="42"/>
        <v>1</v>
      </c>
      <c r="Y106" s="1">
        <f t="shared" si="42"/>
        <v>1</v>
      </c>
      <c r="Z106" s="1">
        <f t="shared" si="42"/>
        <v>38</v>
      </c>
      <c r="AA106" s="1">
        <f t="shared" si="42"/>
        <v>42</v>
      </c>
      <c r="AB106" s="1">
        <f t="shared" si="42"/>
        <v>31</v>
      </c>
      <c r="AC106" s="1">
        <f t="shared" si="42"/>
        <v>1</v>
      </c>
      <c r="AD106" s="1">
        <f t="shared" si="42"/>
        <v>1</v>
      </c>
      <c r="AE106" s="1">
        <f t="shared" si="42"/>
        <v>1</v>
      </c>
      <c r="AF106" s="1">
        <f t="shared" si="42"/>
        <v>1</v>
      </c>
      <c r="AG106" s="1">
        <f t="shared" si="42"/>
        <v>31</v>
      </c>
      <c r="AH106" s="1">
        <f t="shared" si="42"/>
        <v>1</v>
      </c>
      <c r="AI106" s="1">
        <f t="shared" si="42"/>
        <v>40</v>
      </c>
      <c r="AJ106" s="1">
        <f t="shared" si="42"/>
        <v>31</v>
      </c>
      <c r="AK106" s="1">
        <f t="shared" si="42"/>
        <v>1</v>
      </c>
      <c r="AL106" s="1">
        <f t="shared" si="42"/>
        <v>31</v>
      </c>
      <c r="AM106" s="1">
        <f t="shared" si="42"/>
        <v>1</v>
      </c>
      <c r="AN106" s="1">
        <f t="shared" si="42"/>
        <v>1</v>
      </c>
      <c r="AO106" s="1">
        <f t="shared" si="42"/>
        <v>1</v>
      </c>
      <c r="AP106" s="1">
        <f t="shared" si="42"/>
        <v>1</v>
      </c>
      <c r="AQ106" s="1">
        <f t="shared" si="42"/>
        <v>31</v>
      </c>
      <c r="AR106" s="1">
        <f t="shared" si="42"/>
        <v>1</v>
      </c>
      <c r="AS106" s="1">
        <f t="shared" si="42"/>
        <v>1</v>
      </c>
      <c r="AT106" s="1">
        <f t="shared" si="42"/>
        <v>1</v>
      </c>
      <c r="AU106" s="1">
        <f t="shared" si="42"/>
        <v>1</v>
      </c>
    </row>
    <row r="107" spans="1:47">
      <c r="A107" s="1" t="str">
        <f t="shared" si="6"/>
        <v> 4) PERSONAL SECURITY</v>
      </c>
      <c r="B107" s="1">
        <f t="shared" ref="B107:AU107" si="43">RANK(B42,$B42:$AU42,0)</f>
        <v>27</v>
      </c>
      <c r="C107" s="1">
        <f t="shared" si="43"/>
        <v>9</v>
      </c>
      <c r="D107" s="1">
        <f t="shared" si="43"/>
        <v>33</v>
      </c>
      <c r="E107" s="1">
        <f t="shared" si="43"/>
        <v>13</v>
      </c>
      <c r="F107" s="1">
        <f t="shared" si="43"/>
        <v>37</v>
      </c>
      <c r="G107" s="1">
        <f t="shared" si="43"/>
        <v>32</v>
      </c>
      <c r="H107" s="1">
        <f t="shared" si="43"/>
        <v>34</v>
      </c>
      <c r="I107" s="1">
        <f t="shared" si="43"/>
        <v>15</v>
      </c>
      <c r="J107" s="1">
        <f t="shared" si="43"/>
        <v>28</v>
      </c>
      <c r="K107" s="1">
        <f t="shared" si="43"/>
        <v>14</v>
      </c>
      <c r="L107" s="1">
        <f t="shared" si="43"/>
        <v>18</v>
      </c>
      <c r="M107" s="1">
        <f t="shared" si="43"/>
        <v>38</v>
      </c>
      <c r="N107" s="1">
        <f t="shared" si="43"/>
        <v>4</v>
      </c>
      <c r="O107" s="1">
        <f t="shared" si="43"/>
        <v>26</v>
      </c>
      <c r="P107" s="1">
        <f t="shared" si="43"/>
        <v>44</v>
      </c>
      <c r="Q107" s="1">
        <f t="shared" si="43"/>
        <v>40</v>
      </c>
      <c r="R107" s="1">
        <f t="shared" si="43"/>
        <v>41</v>
      </c>
      <c r="S107" s="1">
        <f t="shared" si="43"/>
        <v>25</v>
      </c>
      <c r="T107" s="1">
        <f t="shared" si="43"/>
        <v>19</v>
      </c>
      <c r="U107" s="1">
        <f t="shared" si="43"/>
        <v>16</v>
      </c>
      <c r="V107" s="1">
        <f t="shared" si="43"/>
        <v>30</v>
      </c>
      <c r="W107" s="1">
        <f t="shared" si="43"/>
        <v>8</v>
      </c>
      <c r="X107" s="1">
        <f t="shared" si="43"/>
        <v>36</v>
      </c>
      <c r="Y107" s="1">
        <f t="shared" si="43"/>
        <v>24</v>
      </c>
      <c r="Z107" s="1">
        <f t="shared" si="43"/>
        <v>46</v>
      </c>
      <c r="AA107" s="1">
        <f t="shared" si="43"/>
        <v>29</v>
      </c>
      <c r="AB107" s="1">
        <f t="shared" si="43"/>
        <v>20</v>
      </c>
      <c r="AC107" s="1">
        <f t="shared" si="43"/>
        <v>2</v>
      </c>
      <c r="AD107" s="1">
        <f t="shared" si="43"/>
        <v>21</v>
      </c>
      <c r="AE107" s="1">
        <f t="shared" si="43"/>
        <v>31</v>
      </c>
      <c r="AF107" s="1">
        <f t="shared" si="43"/>
        <v>45</v>
      </c>
      <c r="AG107" s="1">
        <f t="shared" si="43"/>
        <v>35</v>
      </c>
      <c r="AH107" s="1">
        <f t="shared" si="43"/>
        <v>11</v>
      </c>
      <c r="AI107" s="1">
        <f t="shared" si="43"/>
        <v>39</v>
      </c>
      <c r="AJ107" s="1">
        <f t="shared" si="43"/>
        <v>43</v>
      </c>
      <c r="AK107" s="1">
        <f t="shared" si="43"/>
        <v>22</v>
      </c>
      <c r="AL107" s="1">
        <f t="shared" si="43"/>
        <v>23</v>
      </c>
      <c r="AM107" s="1">
        <f t="shared" si="43"/>
        <v>1</v>
      </c>
      <c r="AN107" s="1">
        <f t="shared" si="43"/>
        <v>7</v>
      </c>
      <c r="AO107" s="1">
        <f t="shared" si="43"/>
        <v>10</v>
      </c>
      <c r="AP107" s="1">
        <f t="shared" si="43"/>
        <v>6</v>
      </c>
      <c r="AQ107" s="1">
        <f t="shared" si="43"/>
        <v>42</v>
      </c>
      <c r="AR107" s="1">
        <f t="shared" si="43"/>
        <v>3</v>
      </c>
      <c r="AS107" s="1">
        <f t="shared" si="43"/>
        <v>5</v>
      </c>
      <c r="AT107" s="1">
        <f t="shared" si="43"/>
        <v>12</v>
      </c>
      <c r="AU107" s="1">
        <f t="shared" si="43"/>
        <v>17</v>
      </c>
    </row>
    <row r="108" spans="1:47">
      <c r="A108" s="1" t="str">
        <f t="shared" si="6"/>
        <v>  4.1) Personal security (Inputs)</v>
      </c>
      <c r="B108" s="1">
        <f t="shared" ref="B108:AU108" si="44">RANK(B43,$B43:$AU43,0)</f>
        <v>40</v>
      </c>
      <c r="C108" s="1">
        <f t="shared" si="44"/>
        <v>11</v>
      </c>
      <c r="D108" s="1">
        <f t="shared" si="44"/>
        <v>24</v>
      </c>
      <c r="E108" s="1">
        <f t="shared" si="44"/>
        <v>12</v>
      </c>
      <c r="F108" s="1">
        <f t="shared" si="44"/>
        <v>41</v>
      </c>
      <c r="G108" s="1">
        <f t="shared" si="44"/>
        <v>42</v>
      </c>
      <c r="H108" s="1">
        <f t="shared" si="44"/>
        <v>34</v>
      </c>
      <c r="I108" s="1">
        <f t="shared" si="44"/>
        <v>15</v>
      </c>
      <c r="J108" s="1">
        <f t="shared" si="44"/>
        <v>22</v>
      </c>
      <c r="K108" s="1">
        <f t="shared" si="44"/>
        <v>18</v>
      </c>
      <c r="L108" s="1">
        <f t="shared" si="44"/>
        <v>21</v>
      </c>
      <c r="M108" s="1">
        <f t="shared" si="44"/>
        <v>36</v>
      </c>
      <c r="N108" s="1">
        <f t="shared" si="44"/>
        <v>10</v>
      </c>
      <c r="O108" s="1">
        <f t="shared" si="44"/>
        <v>20</v>
      </c>
      <c r="P108" s="1">
        <f t="shared" si="44"/>
        <v>38</v>
      </c>
      <c r="Q108" s="1">
        <f t="shared" si="44"/>
        <v>33</v>
      </c>
      <c r="R108" s="1">
        <f t="shared" si="44"/>
        <v>46</v>
      </c>
      <c r="S108" s="1">
        <f t="shared" si="44"/>
        <v>19</v>
      </c>
      <c r="T108" s="1">
        <f t="shared" si="44"/>
        <v>8</v>
      </c>
      <c r="U108" s="1">
        <f t="shared" si="44"/>
        <v>13</v>
      </c>
      <c r="V108" s="1">
        <f t="shared" si="44"/>
        <v>31</v>
      </c>
      <c r="W108" s="1">
        <f t="shared" si="44"/>
        <v>3</v>
      </c>
      <c r="X108" s="1">
        <f t="shared" si="44"/>
        <v>28</v>
      </c>
      <c r="Y108" s="1">
        <f t="shared" si="44"/>
        <v>26</v>
      </c>
      <c r="Z108" s="1">
        <f t="shared" si="44"/>
        <v>45</v>
      </c>
      <c r="AA108" s="1">
        <f t="shared" si="44"/>
        <v>22</v>
      </c>
      <c r="AB108" s="1">
        <f t="shared" si="44"/>
        <v>16</v>
      </c>
      <c r="AC108" s="1">
        <f t="shared" si="44"/>
        <v>1</v>
      </c>
      <c r="AD108" s="1">
        <f t="shared" si="44"/>
        <v>27</v>
      </c>
      <c r="AE108" s="1">
        <f t="shared" si="44"/>
        <v>25</v>
      </c>
      <c r="AF108" s="1">
        <f t="shared" si="44"/>
        <v>44</v>
      </c>
      <c r="AG108" s="1">
        <f t="shared" si="44"/>
        <v>35</v>
      </c>
      <c r="AH108" s="1">
        <f t="shared" si="44"/>
        <v>13</v>
      </c>
      <c r="AI108" s="1">
        <f t="shared" si="44"/>
        <v>39</v>
      </c>
      <c r="AJ108" s="1">
        <f t="shared" si="44"/>
        <v>37</v>
      </c>
      <c r="AK108" s="1">
        <f t="shared" si="44"/>
        <v>32</v>
      </c>
      <c r="AL108" s="1">
        <f t="shared" si="44"/>
        <v>30</v>
      </c>
      <c r="AM108" s="1">
        <f t="shared" si="44"/>
        <v>6</v>
      </c>
      <c r="AN108" s="1">
        <f t="shared" si="44"/>
        <v>17</v>
      </c>
      <c r="AO108" s="1">
        <f t="shared" si="44"/>
        <v>3</v>
      </c>
      <c r="AP108" s="1">
        <f t="shared" si="44"/>
        <v>7</v>
      </c>
      <c r="AQ108" s="1">
        <f t="shared" si="44"/>
        <v>43</v>
      </c>
      <c r="AR108" s="1">
        <f t="shared" si="44"/>
        <v>1</v>
      </c>
      <c r="AS108" s="1">
        <f t="shared" si="44"/>
        <v>8</v>
      </c>
      <c r="AT108" s="1">
        <f t="shared" si="44"/>
        <v>3</v>
      </c>
      <c r="AU108" s="1">
        <f t="shared" si="44"/>
        <v>29</v>
      </c>
    </row>
    <row r="109" spans="1:47">
      <c r="A109" s="1" t="str">
        <f t="shared" si="6"/>
        <v>   4.1.1) Level of police engagement</v>
      </c>
      <c r="B109" s="1">
        <f t="shared" ref="B109:AU109" si="45">RANK(B44,$B44:$AU44,0)</f>
        <v>34</v>
      </c>
      <c r="C109" s="1">
        <f t="shared" si="45"/>
        <v>1</v>
      </c>
      <c r="D109" s="1">
        <f t="shared" si="45"/>
        <v>34</v>
      </c>
      <c r="E109" s="1">
        <f t="shared" si="45"/>
        <v>1</v>
      </c>
      <c r="F109" s="1">
        <f t="shared" si="45"/>
        <v>1</v>
      </c>
      <c r="G109" s="1">
        <f t="shared" si="45"/>
        <v>1</v>
      </c>
      <c r="H109" s="1">
        <f t="shared" si="45"/>
        <v>34</v>
      </c>
      <c r="I109" s="1">
        <f t="shared" si="45"/>
        <v>1</v>
      </c>
      <c r="J109" s="1">
        <f t="shared" si="45"/>
        <v>1</v>
      </c>
      <c r="K109" s="1">
        <f t="shared" si="45"/>
        <v>34</v>
      </c>
      <c r="L109" s="1">
        <f t="shared" si="45"/>
        <v>1</v>
      </c>
      <c r="M109" s="1">
        <f t="shared" si="45"/>
        <v>34</v>
      </c>
      <c r="N109" s="1">
        <f t="shared" si="45"/>
        <v>1</v>
      </c>
      <c r="O109" s="1">
        <f t="shared" si="45"/>
        <v>1</v>
      </c>
      <c r="P109" s="1">
        <f t="shared" si="45"/>
        <v>34</v>
      </c>
      <c r="Q109" s="1">
        <f t="shared" si="45"/>
        <v>1</v>
      </c>
      <c r="R109" s="1">
        <f t="shared" si="45"/>
        <v>1</v>
      </c>
      <c r="S109" s="1">
        <f t="shared" si="45"/>
        <v>1</v>
      </c>
      <c r="T109" s="1">
        <f t="shared" si="45"/>
        <v>1</v>
      </c>
      <c r="U109" s="1">
        <f t="shared" si="45"/>
        <v>1</v>
      </c>
      <c r="V109" s="1">
        <f t="shared" si="45"/>
        <v>34</v>
      </c>
      <c r="W109" s="1">
        <f t="shared" si="45"/>
        <v>1</v>
      </c>
      <c r="X109" s="1">
        <f t="shared" si="45"/>
        <v>1</v>
      </c>
      <c r="Y109" s="1">
        <f t="shared" si="45"/>
        <v>1</v>
      </c>
      <c r="Z109" s="1">
        <f t="shared" si="45"/>
        <v>34</v>
      </c>
      <c r="AA109" s="1">
        <f t="shared" si="45"/>
        <v>1</v>
      </c>
      <c r="AB109" s="1">
        <f t="shared" si="45"/>
        <v>1</v>
      </c>
      <c r="AC109" s="1">
        <f t="shared" si="45"/>
        <v>1</v>
      </c>
      <c r="AD109" s="1">
        <f t="shared" si="45"/>
        <v>1</v>
      </c>
      <c r="AE109" s="1">
        <f t="shared" si="45"/>
        <v>1</v>
      </c>
      <c r="AF109" s="1">
        <f t="shared" si="45"/>
        <v>1</v>
      </c>
      <c r="AG109" s="1">
        <f t="shared" si="45"/>
        <v>1</v>
      </c>
      <c r="AH109" s="1">
        <f t="shared" si="45"/>
        <v>1</v>
      </c>
      <c r="AI109" s="1">
        <f t="shared" si="45"/>
        <v>34</v>
      </c>
      <c r="AJ109" s="1">
        <f t="shared" si="45"/>
        <v>34</v>
      </c>
      <c r="AK109" s="1">
        <f t="shared" si="45"/>
        <v>34</v>
      </c>
      <c r="AL109" s="1">
        <f t="shared" si="45"/>
        <v>34</v>
      </c>
      <c r="AM109" s="1">
        <f t="shared" si="45"/>
        <v>1</v>
      </c>
      <c r="AN109" s="1">
        <f t="shared" si="45"/>
        <v>1</v>
      </c>
      <c r="AO109" s="1">
        <f t="shared" si="45"/>
        <v>1</v>
      </c>
      <c r="AP109" s="1">
        <f t="shared" si="45"/>
        <v>1</v>
      </c>
      <c r="AQ109" s="1">
        <f t="shared" si="45"/>
        <v>34</v>
      </c>
      <c r="AR109" s="1">
        <f t="shared" si="45"/>
        <v>1</v>
      </c>
      <c r="AS109" s="1">
        <f t="shared" si="45"/>
        <v>1</v>
      </c>
      <c r="AT109" s="1">
        <f t="shared" si="45"/>
        <v>1</v>
      </c>
      <c r="AU109" s="1">
        <f t="shared" si="45"/>
        <v>1</v>
      </c>
    </row>
    <row r="110" spans="1:47">
      <c r="A110" s="1" t="str">
        <f t="shared" si="6"/>
        <v>   4.1.2) Community-based patrolling</v>
      </c>
      <c r="B110" s="1">
        <f t="shared" ref="B110:AU110" si="46">RANK(B45,$B45:$AU45,0)</f>
        <v>1</v>
      </c>
      <c r="C110" s="1">
        <f t="shared" si="46"/>
        <v>1</v>
      </c>
      <c r="D110" s="1">
        <f t="shared" si="46"/>
        <v>1</v>
      </c>
      <c r="E110" s="1">
        <f t="shared" si="46"/>
        <v>1</v>
      </c>
      <c r="F110" s="1">
        <f t="shared" si="46"/>
        <v>1</v>
      </c>
      <c r="G110" s="1">
        <f t="shared" si="46"/>
        <v>1</v>
      </c>
      <c r="H110" s="1">
        <f t="shared" si="46"/>
        <v>1</v>
      </c>
      <c r="I110" s="1">
        <f t="shared" si="46"/>
        <v>1</v>
      </c>
      <c r="J110" s="1">
        <f t="shared" si="46"/>
        <v>1</v>
      </c>
      <c r="K110" s="1">
        <f t="shared" si="46"/>
        <v>1</v>
      </c>
      <c r="L110" s="1">
        <f t="shared" si="46"/>
        <v>1</v>
      </c>
      <c r="M110" s="1">
        <f t="shared" si="46"/>
        <v>1</v>
      </c>
      <c r="N110" s="1">
        <f t="shared" si="46"/>
        <v>1</v>
      </c>
      <c r="O110" s="1">
        <f t="shared" si="46"/>
        <v>1</v>
      </c>
      <c r="P110" s="1">
        <f t="shared" si="46"/>
        <v>1</v>
      </c>
      <c r="Q110" s="1">
        <f t="shared" si="46"/>
        <v>1</v>
      </c>
      <c r="R110" s="1">
        <f t="shared" si="46"/>
        <v>44</v>
      </c>
      <c r="S110" s="1">
        <f t="shared" si="46"/>
        <v>1</v>
      </c>
      <c r="T110" s="1">
        <f t="shared" si="46"/>
        <v>1</v>
      </c>
      <c r="U110" s="1">
        <f t="shared" si="46"/>
        <v>1</v>
      </c>
      <c r="V110" s="1">
        <f t="shared" si="46"/>
        <v>1</v>
      </c>
      <c r="W110" s="1">
        <f t="shared" si="46"/>
        <v>1</v>
      </c>
      <c r="X110" s="1">
        <f t="shared" si="46"/>
        <v>1</v>
      </c>
      <c r="Y110" s="1">
        <f t="shared" si="46"/>
        <v>1</v>
      </c>
      <c r="Z110" s="1">
        <f t="shared" si="46"/>
        <v>1</v>
      </c>
      <c r="AA110" s="1">
        <f t="shared" si="46"/>
        <v>1</v>
      </c>
      <c r="AB110" s="1">
        <f t="shared" si="46"/>
        <v>1</v>
      </c>
      <c r="AC110" s="1">
        <f t="shared" si="46"/>
        <v>1</v>
      </c>
      <c r="AD110" s="1">
        <f t="shared" si="46"/>
        <v>1</v>
      </c>
      <c r="AE110" s="1">
        <f t="shared" si="46"/>
        <v>1</v>
      </c>
      <c r="AF110" s="1">
        <f t="shared" si="46"/>
        <v>44</v>
      </c>
      <c r="AG110" s="1">
        <f t="shared" si="46"/>
        <v>1</v>
      </c>
      <c r="AH110" s="1">
        <f t="shared" si="46"/>
        <v>1</v>
      </c>
      <c r="AI110" s="1">
        <f t="shared" si="46"/>
        <v>1</v>
      </c>
      <c r="AJ110" s="1">
        <f t="shared" si="46"/>
        <v>1</v>
      </c>
      <c r="AK110" s="1">
        <f t="shared" si="46"/>
        <v>1</v>
      </c>
      <c r="AL110" s="1">
        <f t="shared" si="46"/>
        <v>1</v>
      </c>
      <c r="AM110" s="1">
        <f t="shared" si="46"/>
        <v>1</v>
      </c>
      <c r="AN110" s="1">
        <f t="shared" si="46"/>
        <v>1</v>
      </c>
      <c r="AO110" s="1">
        <f t="shared" si="46"/>
        <v>1</v>
      </c>
      <c r="AP110" s="1">
        <f t="shared" si="46"/>
        <v>1</v>
      </c>
      <c r="AQ110" s="1">
        <f t="shared" si="46"/>
        <v>44</v>
      </c>
      <c r="AR110" s="1">
        <f t="shared" si="46"/>
        <v>1</v>
      </c>
      <c r="AS110" s="1">
        <f t="shared" si="46"/>
        <v>1</v>
      </c>
      <c r="AT110" s="1">
        <f t="shared" si="46"/>
        <v>1</v>
      </c>
      <c r="AU110" s="1">
        <f t="shared" si="46"/>
        <v>1</v>
      </c>
    </row>
    <row r="111" spans="1:47">
      <c r="A111" s="1" t="str">
        <f t="shared" si="6"/>
        <v>   4.1.3) Available street-level crime data</v>
      </c>
      <c r="B111" s="1">
        <f t="shared" ref="B111:AU111" si="47">RANK(B46,$B46:$AU46,0)</f>
        <v>1</v>
      </c>
      <c r="C111" s="1">
        <f t="shared" si="47"/>
        <v>1</v>
      </c>
      <c r="D111" s="1">
        <f t="shared" si="47"/>
        <v>1</v>
      </c>
      <c r="E111" s="1">
        <f t="shared" si="47"/>
        <v>1</v>
      </c>
      <c r="F111" s="1">
        <f t="shared" si="47"/>
        <v>33</v>
      </c>
      <c r="G111" s="1">
        <f t="shared" si="47"/>
        <v>33</v>
      </c>
      <c r="H111" s="1">
        <f t="shared" si="47"/>
        <v>33</v>
      </c>
      <c r="I111" s="1">
        <f t="shared" si="47"/>
        <v>1</v>
      </c>
      <c r="J111" s="1">
        <f t="shared" si="47"/>
        <v>33</v>
      </c>
      <c r="K111" s="1">
        <f t="shared" si="47"/>
        <v>1</v>
      </c>
      <c r="L111" s="1">
        <f t="shared" si="47"/>
        <v>1</v>
      </c>
      <c r="M111" s="1">
        <f t="shared" si="47"/>
        <v>33</v>
      </c>
      <c r="N111" s="1">
        <f t="shared" si="47"/>
        <v>1</v>
      </c>
      <c r="O111" s="1">
        <f t="shared" si="47"/>
        <v>1</v>
      </c>
      <c r="P111" s="1">
        <f t="shared" si="47"/>
        <v>1</v>
      </c>
      <c r="Q111" s="1">
        <f t="shared" si="47"/>
        <v>1</v>
      </c>
      <c r="R111" s="1">
        <f t="shared" si="47"/>
        <v>33</v>
      </c>
      <c r="S111" s="1">
        <f t="shared" si="47"/>
        <v>1</v>
      </c>
      <c r="T111" s="1">
        <f t="shared" si="47"/>
        <v>1</v>
      </c>
      <c r="U111" s="1">
        <f t="shared" si="47"/>
        <v>1</v>
      </c>
      <c r="V111" s="1">
        <f t="shared" si="47"/>
        <v>1</v>
      </c>
      <c r="W111" s="1">
        <f t="shared" si="47"/>
        <v>1</v>
      </c>
      <c r="X111" s="1">
        <f t="shared" si="47"/>
        <v>33</v>
      </c>
      <c r="Y111" s="1">
        <f t="shared" si="47"/>
        <v>1</v>
      </c>
      <c r="Z111" s="1">
        <f t="shared" si="47"/>
        <v>33</v>
      </c>
      <c r="AA111" s="1">
        <f t="shared" si="47"/>
        <v>1</v>
      </c>
      <c r="AB111" s="1">
        <f t="shared" si="47"/>
        <v>1</v>
      </c>
      <c r="AC111" s="1">
        <f t="shared" si="47"/>
        <v>1</v>
      </c>
      <c r="AD111" s="1">
        <f t="shared" si="47"/>
        <v>1</v>
      </c>
      <c r="AE111" s="1">
        <f t="shared" si="47"/>
        <v>1</v>
      </c>
      <c r="AF111" s="1">
        <f t="shared" si="47"/>
        <v>33</v>
      </c>
      <c r="AG111" s="1">
        <f t="shared" si="47"/>
        <v>1</v>
      </c>
      <c r="AH111" s="1">
        <f t="shared" si="47"/>
        <v>1</v>
      </c>
      <c r="AI111" s="1">
        <f t="shared" si="47"/>
        <v>33</v>
      </c>
      <c r="AJ111" s="1">
        <f t="shared" si="47"/>
        <v>33</v>
      </c>
      <c r="AK111" s="1">
        <f t="shared" si="47"/>
        <v>33</v>
      </c>
      <c r="AL111" s="1">
        <f t="shared" si="47"/>
        <v>33</v>
      </c>
      <c r="AM111" s="1">
        <f t="shared" si="47"/>
        <v>1</v>
      </c>
      <c r="AN111" s="1">
        <f t="shared" si="47"/>
        <v>1</v>
      </c>
      <c r="AO111" s="1">
        <f t="shared" si="47"/>
        <v>1</v>
      </c>
      <c r="AP111" s="1">
        <f t="shared" si="47"/>
        <v>1</v>
      </c>
      <c r="AQ111" s="1">
        <f t="shared" si="47"/>
        <v>33</v>
      </c>
      <c r="AR111" s="1">
        <f t="shared" si="47"/>
        <v>1</v>
      </c>
      <c r="AS111" s="1">
        <f t="shared" si="47"/>
        <v>1</v>
      </c>
      <c r="AT111" s="1">
        <f t="shared" si="47"/>
        <v>1</v>
      </c>
      <c r="AU111" s="1">
        <f t="shared" si="47"/>
        <v>1</v>
      </c>
    </row>
    <row r="112" spans="1:47">
      <c r="A112" s="1" t="str">
        <f t="shared" si="6"/>
        <v>   4.1.4) Use of data-driven techniques for crime</v>
      </c>
      <c r="B112" s="1">
        <f t="shared" ref="B112:AU112" si="48">RANK(B47,$B47:$AU47,0)</f>
        <v>34</v>
      </c>
      <c r="C112" s="1">
        <f t="shared" si="48"/>
        <v>1</v>
      </c>
      <c r="D112" s="1">
        <f t="shared" si="48"/>
        <v>1</v>
      </c>
      <c r="E112" s="1">
        <f t="shared" si="48"/>
        <v>1</v>
      </c>
      <c r="F112" s="1">
        <f t="shared" si="48"/>
        <v>34</v>
      </c>
      <c r="G112" s="1">
        <f t="shared" si="48"/>
        <v>34</v>
      </c>
      <c r="H112" s="1">
        <f t="shared" si="48"/>
        <v>1</v>
      </c>
      <c r="I112" s="1">
        <f t="shared" si="48"/>
        <v>1</v>
      </c>
      <c r="J112" s="1">
        <f t="shared" si="48"/>
        <v>1</v>
      </c>
      <c r="K112" s="1">
        <f t="shared" si="48"/>
        <v>1</v>
      </c>
      <c r="L112" s="1">
        <f t="shared" si="48"/>
        <v>1</v>
      </c>
      <c r="M112" s="1">
        <f t="shared" si="48"/>
        <v>34</v>
      </c>
      <c r="N112" s="1">
        <f t="shared" si="48"/>
        <v>1</v>
      </c>
      <c r="O112" s="1">
        <f t="shared" si="48"/>
        <v>1</v>
      </c>
      <c r="P112" s="1">
        <f t="shared" si="48"/>
        <v>34</v>
      </c>
      <c r="Q112" s="1">
        <f t="shared" si="48"/>
        <v>34</v>
      </c>
      <c r="R112" s="1">
        <f t="shared" si="48"/>
        <v>34</v>
      </c>
      <c r="S112" s="1">
        <f t="shared" si="48"/>
        <v>1</v>
      </c>
      <c r="T112" s="1">
        <f t="shared" si="48"/>
        <v>1</v>
      </c>
      <c r="U112" s="1">
        <f t="shared" si="48"/>
        <v>1</v>
      </c>
      <c r="V112" s="1">
        <f t="shared" si="48"/>
        <v>34</v>
      </c>
      <c r="W112" s="1">
        <f t="shared" si="48"/>
        <v>1</v>
      </c>
      <c r="X112" s="1">
        <f t="shared" si="48"/>
        <v>1</v>
      </c>
      <c r="Y112" s="1">
        <f t="shared" si="48"/>
        <v>1</v>
      </c>
      <c r="Z112" s="1">
        <f t="shared" si="48"/>
        <v>34</v>
      </c>
      <c r="AA112" s="1">
        <f t="shared" si="48"/>
        <v>1</v>
      </c>
      <c r="AB112" s="1">
        <f t="shared" si="48"/>
        <v>1</v>
      </c>
      <c r="AC112" s="1">
        <f t="shared" si="48"/>
        <v>1</v>
      </c>
      <c r="AD112" s="1">
        <f t="shared" si="48"/>
        <v>1</v>
      </c>
      <c r="AE112" s="1">
        <f t="shared" si="48"/>
        <v>34</v>
      </c>
      <c r="AF112" s="1">
        <f t="shared" si="48"/>
        <v>1</v>
      </c>
      <c r="AG112" s="1">
        <f t="shared" si="48"/>
        <v>34</v>
      </c>
      <c r="AH112" s="1">
        <f t="shared" si="48"/>
        <v>1</v>
      </c>
      <c r="AI112" s="1">
        <f t="shared" si="48"/>
        <v>1</v>
      </c>
      <c r="AJ112" s="1">
        <f t="shared" si="48"/>
        <v>34</v>
      </c>
      <c r="AK112" s="1">
        <f t="shared" si="48"/>
        <v>1</v>
      </c>
      <c r="AL112" s="1">
        <f t="shared" si="48"/>
        <v>1</v>
      </c>
      <c r="AM112" s="1">
        <f t="shared" si="48"/>
        <v>1</v>
      </c>
      <c r="AN112" s="1">
        <f t="shared" si="48"/>
        <v>1</v>
      </c>
      <c r="AO112" s="1">
        <f t="shared" si="48"/>
        <v>1</v>
      </c>
      <c r="AP112" s="1">
        <f t="shared" si="48"/>
        <v>1</v>
      </c>
      <c r="AQ112" s="1">
        <f t="shared" si="48"/>
        <v>1</v>
      </c>
      <c r="AR112" s="1">
        <f t="shared" si="48"/>
        <v>1</v>
      </c>
      <c r="AS112" s="1">
        <f t="shared" si="48"/>
        <v>1</v>
      </c>
      <c r="AT112" s="1">
        <f t="shared" si="48"/>
        <v>1</v>
      </c>
      <c r="AU112" s="1">
        <f t="shared" si="48"/>
        <v>34</v>
      </c>
    </row>
    <row r="113" spans="1:47">
      <c r="A113" s="1" t="str">
        <f t="shared" si="6"/>
        <v>   4.1.5) Private security measures</v>
      </c>
      <c r="B113" s="1">
        <f t="shared" ref="B113:AU113" si="49">RANK(B48,$B48:$AU48,0)</f>
        <v>34</v>
      </c>
      <c r="C113" s="1">
        <f t="shared" si="49"/>
        <v>1</v>
      </c>
      <c r="D113" s="1">
        <f t="shared" si="49"/>
        <v>1</v>
      </c>
      <c r="E113" s="1">
        <f t="shared" si="49"/>
        <v>1</v>
      </c>
      <c r="F113" s="1">
        <f t="shared" si="49"/>
        <v>34</v>
      </c>
      <c r="G113" s="1">
        <f t="shared" si="49"/>
        <v>34</v>
      </c>
      <c r="H113" s="1">
        <f t="shared" si="49"/>
        <v>1</v>
      </c>
      <c r="I113" s="1">
        <f t="shared" si="49"/>
        <v>1</v>
      </c>
      <c r="J113" s="1">
        <f t="shared" si="49"/>
        <v>1</v>
      </c>
      <c r="K113" s="1">
        <f t="shared" si="49"/>
        <v>1</v>
      </c>
      <c r="L113" s="1">
        <f t="shared" si="49"/>
        <v>34</v>
      </c>
      <c r="M113" s="1">
        <f t="shared" si="49"/>
        <v>1</v>
      </c>
      <c r="N113" s="1">
        <f t="shared" si="49"/>
        <v>1</v>
      </c>
      <c r="O113" s="1">
        <f t="shared" si="49"/>
        <v>1</v>
      </c>
      <c r="P113" s="1">
        <f t="shared" si="49"/>
        <v>34</v>
      </c>
      <c r="Q113" s="1">
        <f t="shared" si="49"/>
        <v>1</v>
      </c>
      <c r="R113" s="1">
        <f t="shared" si="49"/>
        <v>34</v>
      </c>
      <c r="S113" s="1">
        <f t="shared" si="49"/>
        <v>1</v>
      </c>
      <c r="T113" s="1">
        <f t="shared" si="49"/>
        <v>1</v>
      </c>
      <c r="U113" s="1">
        <f t="shared" si="49"/>
        <v>1</v>
      </c>
      <c r="V113" s="1">
        <f t="shared" si="49"/>
        <v>1</v>
      </c>
      <c r="W113" s="1">
        <f t="shared" si="49"/>
        <v>1</v>
      </c>
      <c r="X113" s="1">
        <f t="shared" si="49"/>
        <v>1</v>
      </c>
      <c r="Y113" s="1">
        <f t="shared" si="49"/>
        <v>34</v>
      </c>
      <c r="Z113" s="1">
        <f t="shared" si="49"/>
        <v>34</v>
      </c>
      <c r="AA113" s="1">
        <f t="shared" si="49"/>
        <v>34</v>
      </c>
      <c r="AB113" s="1">
        <f t="shared" si="49"/>
        <v>1</v>
      </c>
      <c r="AC113" s="1">
        <f t="shared" si="49"/>
        <v>1</v>
      </c>
      <c r="AD113" s="1">
        <f t="shared" si="49"/>
        <v>34</v>
      </c>
      <c r="AE113" s="1">
        <f t="shared" si="49"/>
        <v>1</v>
      </c>
      <c r="AF113" s="1">
        <f t="shared" si="49"/>
        <v>34</v>
      </c>
      <c r="AG113" s="1">
        <f t="shared" si="49"/>
        <v>34</v>
      </c>
      <c r="AH113" s="1">
        <f t="shared" si="49"/>
        <v>1</v>
      </c>
      <c r="AI113" s="1">
        <f t="shared" si="49"/>
        <v>34</v>
      </c>
      <c r="AJ113" s="1">
        <f t="shared" si="49"/>
        <v>1</v>
      </c>
      <c r="AK113" s="1">
        <f t="shared" si="49"/>
        <v>1</v>
      </c>
      <c r="AL113" s="1">
        <f t="shared" si="49"/>
        <v>1</v>
      </c>
      <c r="AM113" s="1">
        <f t="shared" si="49"/>
        <v>1</v>
      </c>
      <c r="AN113" s="1">
        <f t="shared" si="49"/>
        <v>1</v>
      </c>
      <c r="AO113" s="1">
        <f t="shared" si="49"/>
        <v>1</v>
      </c>
      <c r="AP113" s="1">
        <f t="shared" si="49"/>
        <v>1</v>
      </c>
      <c r="AQ113" s="1">
        <f t="shared" si="49"/>
        <v>1</v>
      </c>
      <c r="AR113" s="1">
        <f t="shared" si="49"/>
        <v>1</v>
      </c>
      <c r="AS113" s="1">
        <f t="shared" si="49"/>
        <v>1</v>
      </c>
      <c r="AT113" s="1">
        <f t="shared" si="49"/>
        <v>1</v>
      </c>
      <c r="AU113" s="1">
        <f t="shared" si="49"/>
        <v>1</v>
      </c>
    </row>
    <row r="114" spans="1:47">
      <c r="A114" s="1" t="str">
        <f t="shared" si="6"/>
        <v>   4.1.6) Gun regulation and enforcement</v>
      </c>
      <c r="B114" s="1">
        <f t="shared" ref="B114:AU114" si="50">RANK(B49,$B49:$AU49,0)</f>
        <v>32</v>
      </c>
      <c r="C114" s="1">
        <f t="shared" si="50"/>
        <v>15</v>
      </c>
      <c r="D114" s="1">
        <f t="shared" si="50"/>
        <v>38</v>
      </c>
      <c r="E114" s="1">
        <f t="shared" si="50"/>
        <v>17</v>
      </c>
      <c r="F114" s="1">
        <f t="shared" si="50"/>
        <v>1</v>
      </c>
      <c r="G114" s="1">
        <f t="shared" si="50"/>
        <v>21</v>
      </c>
      <c r="H114" s="1">
        <f t="shared" si="50"/>
        <v>15</v>
      </c>
      <c r="I114" s="1">
        <f t="shared" si="50"/>
        <v>38</v>
      </c>
      <c r="J114" s="1">
        <f t="shared" si="50"/>
        <v>30</v>
      </c>
      <c r="K114" s="1">
        <f t="shared" si="50"/>
        <v>19</v>
      </c>
      <c r="L114" s="1">
        <f t="shared" si="50"/>
        <v>23</v>
      </c>
      <c r="M114" s="1">
        <f t="shared" si="50"/>
        <v>1</v>
      </c>
      <c r="N114" s="1">
        <f t="shared" si="50"/>
        <v>6</v>
      </c>
      <c r="O114" s="1">
        <f t="shared" si="50"/>
        <v>42</v>
      </c>
      <c r="P114" s="1">
        <f t="shared" si="50"/>
        <v>36</v>
      </c>
      <c r="Q114" s="1">
        <f t="shared" si="50"/>
        <v>43</v>
      </c>
      <c r="R114" s="1">
        <f t="shared" si="50"/>
        <v>4</v>
      </c>
      <c r="S114" s="1">
        <f t="shared" si="50"/>
        <v>43</v>
      </c>
      <c r="T114" s="1">
        <f t="shared" si="50"/>
        <v>6</v>
      </c>
      <c r="U114" s="1">
        <f t="shared" si="50"/>
        <v>33</v>
      </c>
      <c r="V114" s="1">
        <f t="shared" si="50"/>
        <v>17</v>
      </c>
      <c r="W114" s="1">
        <f t="shared" si="50"/>
        <v>11</v>
      </c>
      <c r="X114" s="1">
        <f t="shared" si="50"/>
        <v>33</v>
      </c>
      <c r="Y114" s="1">
        <f t="shared" si="50"/>
        <v>27</v>
      </c>
      <c r="Z114" s="1">
        <f t="shared" si="50"/>
        <v>21</v>
      </c>
      <c r="AA114" s="1">
        <f t="shared" si="50"/>
        <v>30</v>
      </c>
      <c r="AB114" s="1">
        <f t="shared" si="50"/>
        <v>40</v>
      </c>
      <c r="AC114" s="1">
        <f t="shared" si="50"/>
        <v>6</v>
      </c>
      <c r="AD114" s="1">
        <f t="shared" si="50"/>
        <v>36</v>
      </c>
      <c r="AE114" s="1">
        <f t="shared" si="50"/>
        <v>25</v>
      </c>
      <c r="AF114" s="1">
        <f t="shared" si="50"/>
        <v>46</v>
      </c>
      <c r="AG114" s="1">
        <f t="shared" si="50"/>
        <v>27</v>
      </c>
      <c r="AH114" s="1">
        <f t="shared" si="50"/>
        <v>33</v>
      </c>
      <c r="AI114" s="1">
        <f t="shared" si="50"/>
        <v>41</v>
      </c>
      <c r="AJ114" s="1">
        <f t="shared" si="50"/>
        <v>25</v>
      </c>
      <c r="AK114" s="1">
        <f t="shared" si="50"/>
        <v>11</v>
      </c>
      <c r="AL114" s="1">
        <f t="shared" si="50"/>
        <v>1</v>
      </c>
      <c r="AM114" s="1">
        <f t="shared" si="50"/>
        <v>6</v>
      </c>
      <c r="AN114" s="1">
        <f t="shared" si="50"/>
        <v>23</v>
      </c>
      <c r="AO114" s="1">
        <f t="shared" si="50"/>
        <v>11</v>
      </c>
      <c r="AP114" s="1">
        <f t="shared" si="50"/>
        <v>5</v>
      </c>
      <c r="AQ114" s="1">
        <f t="shared" si="50"/>
        <v>27</v>
      </c>
      <c r="AR114" s="1">
        <f t="shared" si="50"/>
        <v>6</v>
      </c>
      <c r="AS114" s="1">
        <f t="shared" si="50"/>
        <v>19</v>
      </c>
      <c r="AT114" s="1">
        <f t="shared" si="50"/>
        <v>11</v>
      </c>
      <c r="AU114" s="1">
        <f t="shared" si="50"/>
        <v>43</v>
      </c>
    </row>
    <row r="115" spans="1:47">
      <c r="A115" s="1" t="str">
        <f t="shared" si="6"/>
        <v>   4.1.7) Political stability risk</v>
      </c>
      <c r="B115" s="1">
        <f t="shared" ref="B115:AU115" si="51">RANK(B50,$B50:$AU50,0)</f>
        <v>34</v>
      </c>
      <c r="C115" s="1">
        <f t="shared" si="51"/>
        <v>13</v>
      </c>
      <c r="D115" s="1">
        <f t="shared" si="51"/>
        <v>43</v>
      </c>
      <c r="E115" s="1">
        <f t="shared" si="51"/>
        <v>18</v>
      </c>
      <c r="F115" s="1">
        <f t="shared" si="51"/>
        <v>37</v>
      </c>
      <c r="G115" s="1">
        <f t="shared" si="51"/>
        <v>18</v>
      </c>
      <c r="H115" s="1">
        <f t="shared" si="51"/>
        <v>37</v>
      </c>
      <c r="I115" s="1">
        <f t="shared" si="51"/>
        <v>2</v>
      </c>
      <c r="J115" s="1">
        <f t="shared" si="51"/>
        <v>13</v>
      </c>
      <c r="K115" s="1">
        <f t="shared" si="51"/>
        <v>31</v>
      </c>
      <c r="L115" s="1">
        <f t="shared" si="51"/>
        <v>12</v>
      </c>
      <c r="M115" s="1">
        <f t="shared" si="51"/>
        <v>36</v>
      </c>
      <c r="N115" s="1">
        <f t="shared" si="51"/>
        <v>25</v>
      </c>
      <c r="O115" s="1">
        <f t="shared" si="51"/>
        <v>37</v>
      </c>
      <c r="P115" s="1">
        <f t="shared" si="51"/>
        <v>21</v>
      </c>
      <c r="Q115" s="1">
        <f t="shared" si="51"/>
        <v>25</v>
      </c>
      <c r="R115" s="1">
        <f t="shared" si="51"/>
        <v>42</v>
      </c>
      <c r="S115" s="1">
        <f t="shared" si="51"/>
        <v>34</v>
      </c>
      <c r="T115" s="1">
        <f t="shared" si="51"/>
        <v>21</v>
      </c>
      <c r="U115" s="1">
        <f t="shared" si="51"/>
        <v>2</v>
      </c>
      <c r="V115" s="1">
        <f t="shared" si="51"/>
        <v>18</v>
      </c>
      <c r="W115" s="1">
        <f t="shared" si="51"/>
        <v>2</v>
      </c>
      <c r="X115" s="1">
        <f t="shared" si="51"/>
        <v>31</v>
      </c>
      <c r="Y115" s="1">
        <f t="shared" si="51"/>
        <v>25</v>
      </c>
      <c r="Z115" s="1">
        <f t="shared" si="51"/>
        <v>43</v>
      </c>
      <c r="AA115" s="1">
        <f t="shared" si="51"/>
        <v>13</v>
      </c>
      <c r="AB115" s="1">
        <f t="shared" si="51"/>
        <v>2</v>
      </c>
      <c r="AC115" s="1">
        <f t="shared" si="51"/>
        <v>2</v>
      </c>
      <c r="AD115" s="1">
        <f t="shared" si="51"/>
        <v>21</v>
      </c>
      <c r="AE115" s="1">
        <f t="shared" si="51"/>
        <v>25</v>
      </c>
      <c r="AF115" s="1">
        <f t="shared" si="51"/>
        <v>37</v>
      </c>
      <c r="AG115" s="1">
        <f t="shared" si="51"/>
        <v>25</v>
      </c>
      <c r="AH115" s="1">
        <f t="shared" si="51"/>
        <v>2</v>
      </c>
      <c r="AI115" s="1">
        <f t="shared" si="51"/>
        <v>13</v>
      </c>
      <c r="AJ115" s="1">
        <f t="shared" si="51"/>
        <v>25</v>
      </c>
      <c r="AK115" s="1">
        <f t="shared" si="51"/>
        <v>31</v>
      </c>
      <c r="AL115" s="1">
        <f t="shared" si="51"/>
        <v>37</v>
      </c>
      <c r="AM115" s="1">
        <f t="shared" si="51"/>
        <v>13</v>
      </c>
      <c r="AN115" s="1">
        <f t="shared" si="51"/>
        <v>43</v>
      </c>
      <c r="AO115" s="1">
        <f t="shared" si="51"/>
        <v>2</v>
      </c>
      <c r="AP115" s="1">
        <f t="shared" si="51"/>
        <v>21</v>
      </c>
      <c r="AQ115" s="1">
        <f t="shared" si="51"/>
        <v>46</v>
      </c>
      <c r="AR115" s="1">
        <f t="shared" si="51"/>
        <v>2</v>
      </c>
      <c r="AS115" s="1">
        <f t="shared" si="51"/>
        <v>1</v>
      </c>
      <c r="AT115" s="1">
        <f t="shared" si="51"/>
        <v>2</v>
      </c>
      <c r="AU115" s="1">
        <f t="shared" si="51"/>
        <v>2</v>
      </c>
    </row>
    <row r="116" spans="1:47">
      <c r="A116" s="1" t="str">
        <f t="shared" si="6"/>
        <v>  4.2) Personal security (Outputs)</v>
      </c>
      <c r="B116" s="1">
        <f t="shared" ref="B116:AU116" si="52">RANK(B51,$B51:$AU51,0)</f>
        <v>8</v>
      </c>
      <c r="C116" s="1">
        <f t="shared" si="52"/>
        <v>10</v>
      </c>
      <c r="D116" s="1">
        <f t="shared" si="52"/>
        <v>44</v>
      </c>
      <c r="E116" s="1">
        <f t="shared" si="52"/>
        <v>24</v>
      </c>
      <c r="F116" s="1">
        <f t="shared" si="52"/>
        <v>21</v>
      </c>
      <c r="G116" s="1">
        <f t="shared" si="52"/>
        <v>16</v>
      </c>
      <c r="H116" s="1">
        <f t="shared" si="52"/>
        <v>35</v>
      </c>
      <c r="I116" s="1">
        <f t="shared" si="52"/>
        <v>23</v>
      </c>
      <c r="J116" s="1">
        <f t="shared" si="52"/>
        <v>38</v>
      </c>
      <c r="K116" s="1">
        <f t="shared" si="52"/>
        <v>12</v>
      </c>
      <c r="L116" s="1">
        <f t="shared" si="52"/>
        <v>11</v>
      </c>
      <c r="M116" s="1">
        <f t="shared" si="52"/>
        <v>33</v>
      </c>
      <c r="N116" s="1">
        <f t="shared" si="52"/>
        <v>4</v>
      </c>
      <c r="O116" s="1">
        <f t="shared" si="52"/>
        <v>36</v>
      </c>
      <c r="P116" s="1">
        <f t="shared" si="52"/>
        <v>40</v>
      </c>
      <c r="Q116" s="1">
        <f t="shared" si="52"/>
        <v>46</v>
      </c>
      <c r="R116" s="1">
        <f t="shared" si="52"/>
        <v>18</v>
      </c>
      <c r="S116" s="1">
        <f t="shared" si="52"/>
        <v>39</v>
      </c>
      <c r="T116" s="1">
        <f t="shared" si="52"/>
        <v>31</v>
      </c>
      <c r="U116" s="1">
        <f t="shared" si="52"/>
        <v>25</v>
      </c>
      <c r="V116" s="1">
        <f t="shared" si="52"/>
        <v>34</v>
      </c>
      <c r="W116" s="1">
        <f t="shared" si="52"/>
        <v>12</v>
      </c>
      <c r="X116" s="1">
        <f t="shared" si="52"/>
        <v>45</v>
      </c>
      <c r="Y116" s="1">
        <f t="shared" si="52"/>
        <v>27</v>
      </c>
      <c r="Z116" s="1">
        <f t="shared" si="52"/>
        <v>43</v>
      </c>
      <c r="AA116" s="1">
        <f t="shared" si="52"/>
        <v>41</v>
      </c>
      <c r="AB116" s="1">
        <f t="shared" si="52"/>
        <v>28</v>
      </c>
      <c r="AC116" s="1">
        <f t="shared" si="52"/>
        <v>5</v>
      </c>
      <c r="AD116" s="1">
        <f t="shared" si="52"/>
        <v>17</v>
      </c>
      <c r="AE116" s="1">
        <f t="shared" si="52"/>
        <v>42</v>
      </c>
      <c r="AF116" s="1">
        <f t="shared" si="52"/>
        <v>22</v>
      </c>
      <c r="AG116" s="1">
        <f t="shared" si="52"/>
        <v>32</v>
      </c>
      <c r="AH116" s="1">
        <f t="shared" si="52"/>
        <v>19</v>
      </c>
      <c r="AI116" s="1">
        <f t="shared" si="52"/>
        <v>29</v>
      </c>
      <c r="AJ116" s="1">
        <f t="shared" si="52"/>
        <v>37</v>
      </c>
      <c r="AK116" s="1">
        <f t="shared" si="52"/>
        <v>14</v>
      </c>
      <c r="AL116" s="1">
        <f t="shared" si="52"/>
        <v>20</v>
      </c>
      <c r="AM116" s="1">
        <f t="shared" si="52"/>
        <v>1</v>
      </c>
      <c r="AN116" s="1">
        <f t="shared" si="52"/>
        <v>2</v>
      </c>
      <c r="AO116" s="1">
        <f t="shared" si="52"/>
        <v>15</v>
      </c>
      <c r="AP116" s="1">
        <f t="shared" si="52"/>
        <v>9</v>
      </c>
      <c r="AQ116" s="1">
        <f t="shared" si="52"/>
        <v>30</v>
      </c>
      <c r="AR116" s="1">
        <f t="shared" si="52"/>
        <v>7</v>
      </c>
      <c r="AS116" s="1">
        <f t="shared" si="52"/>
        <v>6</v>
      </c>
      <c r="AT116" s="1">
        <f t="shared" si="52"/>
        <v>26</v>
      </c>
      <c r="AU116" s="1">
        <f t="shared" si="52"/>
        <v>3</v>
      </c>
    </row>
    <row r="117" spans="1:47">
      <c r="A117" s="1" t="str">
        <f t="shared" si="6"/>
        <v>   4.2.1) Prevalence of petty crime</v>
      </c>
      <c r="B117" s="1">
        <f t="shared" ref="B117:AU117" si="53">RANK(B52,$B52:$AU52,0)</f>
        <v>4</v>
      </c>
      <c r="C117" s="1">
        <f t="shared" si="53"/>
        <v>26</v>
      </c>
      <c r="D117" s="1">
        <f t="shared" si="53"/>
        <v>26</v>
      </c>
      <c r="E117" s="1">
        <f t="shared" si="53"/>
        <v>4</v>
      </c>
      <c r="F117" s="1">
        <f t="shared" si="53"/>
        <v>26</v>
      </c>
      <c r="G117" s="1">
        <f t="shared" si="53"/>
        <v>4</v>
      </c>
      <c r="H117" s="1">
        <f t="shared" si="53"/>
        <v>26</v>
      </c>
      <c r="I117" s="1">
        <f t="shared" si="53"/>
        <v>4</v>
      </c>
      <c r="J117" s="1">
        <f t="shared" si="53"/>
        <v>26</v>
      </c>
      <c r="K117" s="1">
        <f t="shared" si="53"/>
        <v>4</v>
      </c>
      <c r="L117" s="1">
        <f t="shared" si="53"/>
        <v>4</v>
      </c>
      <c r="M117" s="1">
        <f t="shared" si="53"/>
        <v>40</v>
      </c>
      <c r="N117" s="1">
        <f t="shared" si="53"/>
        <v>4</v>
      </c>
      <c r="O117" s="1">
        <f t="shared" si="53"/>
        <v>26</v>
      </c>
      <c r="P117" s="1">
        <f t="shared" si="53"/>
        <v>40</v>
      </c>
      <c r="Q117" s="1">
        <f t="shared" si="53"/>
        <v>45</v>
      </c>
      <c r="R117" s="1">
        <f t="shared" si="53"/>
        <v>4</v>
      </c>
      <c r="S117" s="1">
        <f t="shared" si="53"/>
        <v>26</v>
      </c>
      <c r="T117" s="1">
        <f t="shared" si="53"/>
        <v>26</v>
      </c>
      <c r="U117" s="1">
        <f t="shared" si="53"/>
        <v>4</v>
      </c>
      <c r="V117" s="1">
        <f t="shared" si="53"/>
        <v>4</v>
      </c>
      <c r="W117" s="1">
        <f t="shared" si="53"/>
        <v>4</v>
      </c>
      <c r="X117" s="1">
        <f t="shared" si="53"/>
        <v>45</v>
      </c>
      <c r="Y117" s="1">
        <f t="shared" si="53"/>
        <v>4</v>
      </c>
      <c r="Z117" s="1">
        <f t="shared" si="53"/>
        <v>26</v>
      </c>
      <c r="AA117" s="1">
        <f t="shared" si="53"/>
        <v>40</v>
      </c>
      <c r="AB117" s="1">
        <f t="shared" si="53"/>
        <v>26</v>
      </c>
      <c r="AC117" s="1">
        <f t="shared" si="53"/>
        <v>4</v>
      </c>
      <c r="AD117" s="1">
        <f t="shared" si="53"/>
        <v>4</v>
      </c>
      <c r="AE117" s="1">
        <f t="shared" si="53"/>
        <v>40</v>
      </c>
      <c r="AF117" s="1">
        <f t="shared" si="53"/>
        <v>4</v>
      </c>
      <c r="AG117" s="1">
        <f t="shared" si="53"/>
        <v>26</v>
      </c>
      <c r="AH117" s="1">
        <f t="shared" si="53"/>
        <v>4</v>
      </c>
      <c r="AI117" s="1">
        <f t="shared" si="53"/>
        <v>26</v>
      </c>
      <c r="AJ117" s="1">
        <f t="shared" si="53"/>
        <v>40</v>
      </c>
      <c r="AK117" s="1">
        <f t="shared" si="53"/>
        <v>4</v>
      </c>
      <c r="AL117" s="1">
        <f t="shared" si="53"/>
        <v>26</v>
      </c>
      <c r="AM117" s="1">
        <f t="shared" si="53"/>
        <v>1</v>
      </c>
      <c r="AN117" s="1">
        <f t="shared" si="53"/>
        <v>1</v>
      </c>
      <c r="AO117" s="1">
        <f t="shared" si="53"/>
        <v>4</v>
      </c>
      <c r="AP117" s="1">
        <f t="shared" si="53"/>
        <v>4</v>
      </c>
      <c r="AQ117" s="1">
        <f t="shared" si="53"/>
        <v>26</v>
      </c>
      <c r="AR117" s="1">
        <f t="shared" si="53"/>
        <v>4</v>
      </c>
      <c r="AS117" s="1">
        <f t="shared" si="53"/>
        <v>1</v>
      </c>
      <c r="AT117" s="1">
        <f t="shared" si="53"/>
        <v>4</v>
      </c>
      <c r="AU117" s="1">
        <f t="shared" si="53"/>
        <v>4</v>
      </c>
    </row>
    <row r="118" spans="1:47">
      <c r="A118" s="1" t="str">
        <f t="shared" si="6"/>
        <v>   4.2.2) Prevalence of violent crime</v>
      </c>
      <c r="B118" s="1">
        <f t="shared" ref="B118:AU118" si="54">RANK(B53,$B53:$AU53,0)</f>
        <v>1</v>
      </c>
      <c r="C118" s="1">
        <f t="shared" si="54"/>
        <v>14</v>
      </c>
      <c r="D118" s="1">
        <f t="shared" si="54"/>
        <v>14</v>
      </c>
      <c r="E118" s="1">
        <f t="shared" si="54"/>
        <v>14</v>
      </c>
      <c r="F118" s="1">
        <f t="shared" si="54"/>
        <v>14</v>
      </c>
      <c r="G118" s="1">
        <f t="shared" si="54"/>
        <v>14</v>
      </c>
      <c r="H118" s="1">
        <f t="shared" si="54"/>
        <v>37</v>
      </c>
      <c r="I118" s="1">
        <f t="shared" si="54"/>
        <v>14</v>
      </c>
      <c r="J118" s="1">
        <f t="shared" si="54"/>
        <v>37</v>
      </c>
      <c r="K118" s="1">
        <f t="shared" si="54"/>
        <v>1</v>
      </c>
      <c r="L118" s="1">
        <f t="shared" si="54"/>
        <v>14</v>
      </c>
      <c r="M118" s="1">
        <f t="shared" si="54"/>
        <v>37</v>
      </c>
      <c r="N118" s="1">
        <f t="shared" si="54"/>
        <v>1</v>
      </c>
      <c r="O118" s="1">
        <f t="shared" si="54"/>
        <v>37</v>
      </c>
      <c r="P118" s="1">
        <f t="shared" si="54"/>
        <v>14</v>
      </c>
      <c r="Q118" s="1">
        <f t="shared" si="54"/>
        <v>45</v>
      </c>
      <c r="R118" s="1">
        <f t="shared" si="54"/>
        <v>1</v>
      </c>
      <c r="S118" s="1">
        <f t="shared" si="54"/>
        <v>37</v>
      </c>
      <c r="T118" s="1">
        <f t="shared" si="54"/>
        <v>14</v>
      </c>
      <c r="U118" s="1">
        <f t="shared" si="54"/>
        <v>14</v>
      </c>
      <c r="V118" s="1">
        <f t="shared" si="54"/>
        <v>14</v>
      </c>
      <c r="W118" s="1">
        <f t="shared" si="54"/>
        <v>1</v>
      </c>
      <c r="X118" s="1">
        <f t="shared" si="54"/>
        <v>45</v>
      </c>
      <c r="Y118" s="1">
        <f t="shared" si="54"/>
        <v>14</v>
      </c>
      <c r="Z118" s="1">
        <f t="shared" si="54"/>
        <v>14</v>
      </c>
      <c r="AA118" s="1">
        <f t="shared" si="54"/>
        <v>14</v>
      </c>
      <c r="AB118" s="1">
        <f t="shared" si="54"/>
        <v>14</v>
      </c>
      <c r="AC118" s="1">
        <f t="shared" si="54"/>
        <v>1</v>
      </c>
      <c r="AD118" s="1">
        <f t="shared" si="54"/>
        <v>14</v>
      </c>
      <c r="AE118" s="1">
        <f t="shared" si="54"/>
        <v>43</v>
      </c>
      <c r="AF118" s="1">
        <f t="shared" si="54"/>
        <v>1</v>
      </c>
      <c r="AG118" s="1">
        <f t="shared" si="54"/>
        <v>14</v>
      </c>
      <c r="AH118" s="1">
        <f t="shared" si="54"/>
        <v>14</v>
      </c>
      <c r="AI118" s="1">
        <f t="shared" si="54"/>
        <v>37</v>
      </c>
      <c r="AJ118" s="1">
        <f t="shared" si="54"/>
        <v>43</v>
      </c>
      <c r="AK118" s="1">
        <f t="shared" si="54"/>
        <v>1</v>
      </c>
      <c r="AL118" s="1">
        <f t="shared" si="54"/>
        <v>14</v>
      </c>
      <c r="AM118" s="1">
        <f t="shared" si="54"/>
        <v>1</v>
      </c>
      <c r="AN118" s="1">
        <f t="shared" si="54"/>
        <v>1</v>
      </c>
      <c r="AO118" s="1">
        <f t="shared" si="54"/>
        <v>14</v>
      </c>
      <c r="AP118" s="1">
        <f t="shared" si="54"/>
        <v>14</v>
      </c>
      <c r="AQ118" s="1">
        <f t="shared" si="54"/>
        <v>14</v>
      </c>
      <c r="AR118" s="1">
        <f t="shared" si="54"/>
        <v>1</v>
      </c>
      <c r="AS118" s="1">
        <f t="shared" si="54"/>
        <v>1</v>
      </c>
      <c r="AT118" s="1">
        <f t="shared" si="54"/>
        <v>14</v>
      </c>
      <c r="AU118" s="1">
        <f t="shared" si="54"/>
        <v>1</v>
      </c>
    </row>
    <row r="119" spans="1:47">
      <c r="A119" s="1" t="str">
        <f t="shared" si="6"/>
        <v>   4.2.3) Organised crime</v>
      </c>
      <c r="B119" s="1">
        <f t="shared" ref="B119:AU119" si="55">RANK(B54,$B54:$AU54,0)</f>
        <v>5</v>
      </c>
      <c r="C119" s="1">
        <f t="shared" si="55"/>
        <v>1</v>
      </c>
      <c r="D119" s="1">
        <f t="shared" si="55"/>
        <v>28</v>
      </c>
      <c r="E119" s="1">
        <f t="shared" si="55"/>
        <v>5</v>
      </c>
      <c r="F119" s="1">
        <f t="shared" si="55"/>
        <v>28</v>
      </c>
      <c r="G119" s="1">
        <f t="shared" si="55"/>
        <v>5</v>
      </c>
      <c r="H119" s="1">
        <f t="shared" si="55"/>
        <v>28</v>
      </c>
      <c r="I119" s="1">
        <f t="shared" si="55"/>
        <v>5</v>
      </c>
      <c r="J119" s="1">
        <f t="shared" si="55"/>
        <v>28</v>
      </c>
      <c r="K119" s="1">
        <f t="shared" si="55"/>
        <v>1</v>
      </c>
      <c r="L119" s="1">
        <f t="shared" si="55"/>
        <v>5</v>
      </c>
      <c r="M119" s="1">
        <f t="shared" si="55"/>
        <v>28</v>
      </c>
      <c r="N119" s="1">
        <f t="shared" si="55"/>
        <v>5</v>
      </c>
      <c r="O119" s="1">
        <f t="shared" si="55"/>
        <v>28</v>
      </c>
      <c r="P119" s="1">
        <f t="shared" si="55"/>
        <v>28</v>
      </c>
      <c r="Q119" s="1">
        <f t="shared" si="55"/>
        <v>41</v>
      </c>
      <c r="R119" s="1">
        <f t="shared" si="55"/>
        <v>5</v>
      </c>
      <c r="S119" s="1">
        <f t="shared" si="55"/>
        <v>41</v>
      </c>
      <c r="T119" s="1">
        <f t="shared" si="55"/>
        <v>5</v>
      </c>
      <c r="U119" s="1">
        <f t="shared" si="55"/>
        <v>5</v>
      </c>
      <c r="V119" s="1">
        <f t="shared" si="55"/>
        <v>5</v>
      </c>
      <c r="W119" s="1">
        <f t="shared" si="55"/>
        <v>5</v>
      </c>
      <c r="X119" s="1">
        <f t="shared" si="55"/>
        <v>46</v>
      </c>
      <c r="Y119" s="1">
        <f t="shared" si="55"/>
        <v>41</v>
      </c>
      <c r="Z119" s="1">
        <f t="shared" si="55"/>
        <v>41</v>
      </c>
      <c r="AA119" s="1">
        <f t="shared" si="55"/>
        <v>28</v>
      </c>
      <c r="AB119" s="1">
        <f t="shared" si="55"/>
        <v>5</v>
      </c>
      <c r="AC119" s="1">
        <f t="shared" si="55"/>
        <v>28</v>
      </c>
      <c r="AD119" s="1">
        <f t="shared" si="55"/>
        <v>5</v>
      </c>
      <c r="AE119" s="1">
        <f t="shared" si="55"/>
        <v>28</v>
      </c>
      <c r="AF119" s="1">
        <f t="shared" si="55"/>
        <v>5</v>
      </c>
      <c r="AG119" s="1">
        <f t="shared" si="55"/>
        <v>41</v>
      </c>
      <c r="AH119" s="1">
        <f t="shared" si="55"/>
        <v>5</v>
      </c>
      <c r="AI119" s="1">
        <f t="shared" si="55"/>
        <v>5</v>
      </c>
      <c r="AJ119" s="1">
        <f t="shared" si="55"/>
        <v>28</v>
      </c>
      <c r="AK119" s="1">
        <f t="shared" si="55"/>
        <v>5</v>
      </c>
      <c r="AL119" s="1">
        <f t="shared" si="55"/>
        <v>28</v>
      </c>
      <c r="AM119" s="1">
        <f t="shared" si="55"/>
        <v>1</v>
      </c>
      <c r="AN119" s="1">
        <f t="shared" si="55"/>
        <v>1</v>
      </c>
      <c r="AO119" s="1">
        <f t="shared" si="55"/>
        <v>5</v>
      </c>
      <c r="AP119" s="1">
        <f t="shared" si="55"/>
        <v>5</v>
      </c>
      <c r="AQ119" s="1">
        <f t="shared" si="55"/>
        <v>5</v>
      </c>
      <c r="AR119" s="1">
        <f t="shared" si="55"/>
        <v>28</v>
      </c>
      <c r="AS119" s="1">
        <f t="shared" si="55"/>
        <v>5</v>
      </c>
      <c r="AT119" s="1">
        <f t="shared" si="55"/>
        <v>5</v>
      </c>
      <c r="AU119" s="1">
        <f t="shared" si="55"/>
        <v>5</v>
      </c>
    </row>
    <row r="120" spans="1:47">
      <c r="A120" s="1" t="str">
        <f t="shared" si="6"/>
        <v>   4.2.4) Level of corruption</v>
      </c>
      <c r="B120" s="1">
        <f t="shared" ref="B120:AU120" si="56">RANK(B55,$B55:$AU55,0)</f>
        <v>20</v>
      </c>
      <c r="C120" s="1">
        <f t="shared" si="56"/>
        <v>4</v>
      </c>
      <c r="D120" s="1">
        <f t="shared" si="56"/>
        <v>35</v>
      </c>
      <c r="E120" s="1">
        <f t="shared" si="56"/>
        <v>24</v>
      </c>
      <c r="F120" s="1">
        <f t="shared" si="56"/>
        <v>39</v>
      </c>
      <c r="G120" s="1">
        <f t="shared" si="56"/>
        <v>10</v>
      </c>
      <c r="H120" s="1">
        <f t="shared" si="56"/>
        <v>42</v>
      </c>
      <c r="I120" s="1">
        <f t="shared" si="56"/>
        <v>13</v>
      </c>
      <c r="J120" s="1">
        <f t="shared" si="56"/>
        <v>35</v>
      </c>
      <c r="K120" s="1">
        <f t="shared" si="56"/>
        <v>21</v>
      </c>
      <c r="L120" s="1">
        <f t="shared" si="56"/>
        <v>8</v>
      </c>
      <c r="M120" s="1">
        <f t="shared" si="56"/>
        <v>44</v>
      </c>
      <c r="N120" s="1">
        <f t="shared" si="56"/>
        <v>13</v>
      </c>
      <c r="O120" s="1">
        <f t="shared" si="56"/>
        <v>28</v>
      </c>
      <c r="P120" s="1">
        <f t="shared" si="56"/>
        <v>42</v>
      </c>
      <c r="Q120" s="1">
        <f t="shared" si="56"/>
        <v>29</v>
      </c>
      <c r="R120" s="1">
        <f t="shared" si="56"/>
        <v>29</v>
      </c>
      <c r="S120" s="1">
        <f t="shared" si="56"/>
        <v>35</v>
      </c>
      <c r="T120" s="1">
        <f t="shared" si="56"/>
        <v>9</v>
      </c>
      <c r="U120" s="1">
        <f t="shared" si="56"/>
        <v>13</v>
      </c>
      <c r="V120" s="1">
        <f t="shared" si="56"/>
        <v>24</v>
      </c>
      <c r="W120" s="1">
        <f t="shared" si="56"/>
        <v>6</v>
      </c>
      <c r="X120" s="1">
        <f t="shared" si="56"/>
        <v>41</v>
      </c>
      <c r="Y120" s="1">
        <f t="shared" si="56"/>
        <v>31</v>
      </c>
      <c r="Z120" s="1">
        <f t="shared" si="56"/>
        <v>45</v>
      </c>
      <c r="AA120" s="1">
        <f t="shared" si="56"/>
        <v>35</v>
      </c>
      <c r="AB120" s="1">
        <f t="shared" si="56"/>
        <v>13</v>
      </c>
      <c r="AC120" s="1">
        <f t="shared" si="56"/>
        <v>10</v>
      </c>
      <c r="AD120" s="1">
        <f t="shared" si="56"/>
        <v>21</v>
      </c>
      <c r="AE120" s="1">
        <f t="shared" si="56"/>
        <v>31</v>
      </c>
      <c r="AF120" s="1">
        <f t="shared" si="56"/>
        <v>27</v>
      </c>
      <c r="AG120" s="1">
        <f t="shared" si="56"/>
        <v>31</v>
      </c>
      <c r="AH120" s="1">
        <f t="shared" si="56"/>
        <v>13</v>
      </c>
      <c r="AI120" s="1">
        <f t="shared" si="56"/>
        <v>19</v>
      </c>
      <c r="AJ120" s="1">
        <f t="shared" si="56"/>
        <v>31</v>
      </c>
      <c r="AK120" s="1">
        <f t="shared" si="56"/>
        <v>26</v>
      </c>
      <c r="AL120" s="1">
        <f t="shared" si="56"/>
        <v>39</v>
      </c>
      <c r="AM120" s="1">
        <f t="shared" si="56"/>
        <v>3</v>
      </c>
      <c r="AN120" s="1">
        <f t="shared" si="56"/>
        <v>1</v>
      </c>
      <c r="AO120" s="1">
        <f t="shared" si="56"/>
        <v>6</v>
      </c>
      <c r="AP120" s="1">
        <f t="shared" si="56"/>
        <v>23</v>
      </c>
      <c r="AQ120" s="1">
        <f t="shared" si="56"/>
        <v>45</v>
      </c>
      <c r="AR120" s="1">
        <f t="shared" si="56"/>
        <v>10</v>
      </c>
      <c r="AS120" s="1">
        <f t="shared" si="56"/>
        <v>5</v>
      </c>
      <c r="AT120" s="1">
        <f t="shared" si="56"/>
        <v>13</v>
      </c>
      <c r="AU120" s="1">
        <f t="shared" si="56"/>
        <v>2</v>
      </c>
    </row>
    <row r="121" spans="1:47">
      <c r="A121" s="1" t="str">
        <f t="shared" si="6"/>
        <v>   4.2.5) Rate of drug use </v>
      </c>
      <c r="B121" s="1">
        <f t="shared" ref="B121:AU121" si="57">RANK(B56,$B56:$AU56,0)</f>
        <v>2</v>
      </c>
      <c r="C121" s="1">
        <f t="shared" si="57"/>
        <v>25</v>
      </c>
      <c r="D121" s="1">
        <f t="shared" si="57"/>
        <v>7</v>
      </c>
      <c r="E121" s="1">
        <f t="shared" si="57"/>
        <v>44</v>
      </c>
      <c r="F121" s="1">
        <f t="shared" si="57"/>
        <v>17</v>
      </c>
      <c r="G121" s="1">
        <f t="shared" si="57"/>
        <v>30</v>
      </c>
      <c r="H121" s="1">
        <f t="shared" si="57"/>
        <v>44</v>
      </c>
      <c r="I121" s="1">
        <f t="shared" si="57"/>
        <v>38</v>
      </c>
      <c r="J121" s="1">
        <f t="shared" si="57"/>
        <v>20</v>
      </c>
      <c r="K121" s="1">
        <f t="shared" si="57"/>
        <v>5</v>
      </c>
      <c r="L121" s="1">
        <f t="shared" si="57"/>
        <v>30</v>
      </c>
      <c r="M121" s="1">
        <f t="shared" si="57"/>
        <v>7</v>
      </c>
      <c r="N121" s="1">
        <f t="shared" si="57"/>
        <v>19</v>
      </c>
      <c r="O121" s="1">
        <f t="shared" si="57"/>
        <v>7</v>
      </c>
      <c r="P121" s="1">
        <f t="shared" si="57"/>
        <v>7</v>
      </c>
      <c r="Q121" s="1">
        <f t="shared" si="57"/>
        <v>29</v>
      </c>
      <c r="R121" s="1">
        <f t="shared" si="57"/>
        <v>7</v>
      </c>
      <c r="S121" s="1">
        <f t="shared" si="57"/>
        <v>23</v>
      </c>
      <c r="T121" s="1">
        <f t="shared" si="57"/>
        <v>33</v>
      </c>
      <c r="U121" s="1">
        <f t="shared" si="57"/>
        <v>38</v>
      </c>
      <c r="V121" s="1">
        <f t="shared" si="57"/>
        <v>44</v>
      </c>
      <c r="W121" s="1">
        <f t="shared" si="57"/>
        <v>33</v>
      </c>
      <c r="X121" s="1">
        <f t="shared" si="57"/>
        <v>20</v>
      </c>
      <c r="Y121" s="1">
        <f t="shared" si="57"/>
        <v>36</v>
      </c>
      <c r="Z121" s="1">
        <f t="shared" si="57"/>
        <v>15</v>
      </c>
      <c r="AA121" s="1">
        <f t="shared" si="57"/>
        <v>20</v>
      </c>
      <c r="AB121" s="1">
        <f t="shared" si="57"/>
        <v>38</v>
      </c>
      <c r="AC121" s="1">
        <f t="shared" si="57"/>
        <v>3</v>
      </c>
      <c r="AD121" s="1">
        <f t="shared" si="57"/>
        <v>25</v>
      </c>
      <c r="AE121" s="1">
        <f t="shared" si="57"/>
        <v>27</v>
      </c>
      <c r="AF121" s="1">
        <f t="shared" si="57"/>
        <v>5</v>
      </c>
      <c r="AG121" s="1">
        <f t="shared" si="57"/>
        <v>36</v>
      </c>
      <c r="AH121" s="1">
        <f t="shared" si="57"/>
        <v>38</v>
      </c>
      <c r="AI121" s="1">
        <f t="shared" si="57"/>
        <v>38</v>
      </c>
      <c r="AJ121" s="1">
        <f t="shared" si="57"/>
        <v>27</v>
      </c>
      <c r="AK121" s="1">
        <f t="shared" si="57"/>
        <v>7</v>
      </c>
      <c r="AL121" s="1">
        <f t="shared" si="57"/>
        <v>17</v>
      </c>
      <c r="AM121" s="1">
        <f t="shared" si="57"/>
        <v>1</v>
      </c>
      <c r="AN121" s="1">
        <f t="shared" si="57"/>
        <v>23</v>
      </c>
      <c r="AO121" s="1">
        <f t="shared" si="57"/>
        <v>33</v>
      </c>
      <c r="AP121" s="1">
        <f t="shared" si="57"/>
        <v>7</v>
      </c>
      <c r="AQ121" s="1">
        <f t="shared" si="57"/>
        <v>7</v>
      </c>
      <c r="AR121" s="1">
        <f t="shared" si="57"/>
        <v>3</v>
      </c>
      <c r="AS121" s="1">
        <f t="shared" si="57"/>
        <v>32</v>
      </c>
      <c r="AT121" s="1">
        <f t="shared" si="57"/>
        <v>38</v>
      </c>
      <c r="AU121" s="1">
        <f t="shared" si="57"/>
        <v>15</v>
      </c>
    </row>
    <row r="122" spans="1:47">
      <c r="A122" s="1" t="str">
        <f t="shared" si="6"/>
        <v>   4.2.6) Frequency of terrorist attacks </v>
      </c>
      <c r="B122" s="1">
        <f t="shared" ref="B122:AU122" si="58">RANK(B57,$B57:$AU57,0)</f>
        <v>1</v>
      </c>
      <c r="C122" s="1">
        <f t="shared" si="58"/>
        <v>12</v>
      </c>
      <c r="D122" s="1">
        <f t="shared" si="58"/>
        <v>46</v>
      </c>
      <c r="E122" s="1">
        <f t="shared" si="58"/>
        <v>12</v>
      </c>
      <c r="F122" s="1">
        <f t="shared" si="58"/>
        <v>26</v>
      </c>
      <c r="G122" s="1">
        <f t="shared" si="58"/>
        <v>22</v>
      </c>
      <c r="H122" s="1">
        <f t="shared" si="58"/>
        <v>35</v>
      </c>
      <c r="I122" s="1">
        <f t="shared" si="58"/>
        <v>1</v>
      </c>
      <c r="J122" s="1">
        <f t="shared" si="58"/>
        <v>39</v>
      </c>
      <c r="K122" s="1">
        <f t="shared" si="58"/>
        <v>12</v>
      </c>
      <c r="L122" s="1">
        <f t="shared" si="58"/>
        <v>22</v>
      </c>
      <c r="M122" s="1">
        <f t="shared" si="58"/>
        <v>1</v>
      </c>
      <c r="N122" s="1">
        <f t="shared" si="58"/>
        <v>12</v>
      </c>
      <c r="O122" s="1">
        <f t="shared" si="58"/>
        <v>45</v>
      </c>
      <c r="P122" s="1">
        <f t="shared" si="58"/>
        <v>40</v>
      </c>
      <c r="Q122" s="1">
        <f t="shared" si="58"/>
        <v>12</v>
      </c>
      <c r="R122" s="1">
        <f t="shared" si="58"/>
        <v>1</v>
      </c>
      <c r="S122" s="1">
        <f t="shared" si="58"/>
        <v>12</v>
      </c>
      <c r="T122" s="1">
        <f t="shared" si="58"/>
        <v>43</v>
      </c>
      <c r="U122" s="1">
        <f t="shared" si="58"/>
        <v>31</v>
      </c>
      <c r="V122" s="1">
        <f t="shared" si="58"/>
        <v>40</v>
      </c>
      <c r="W122" s="1">
        <f t="shared" si="58"/>
        <v>1</v>
      </c>
      <c r="X122" s="1">
        <f t="shared" si="58"/>
        <v>29</v>
      </c>
      <c r="Y122" s="1">
        <f t="shared" si="58"/>
        <v>30</v>
      </c>
      <c r="Z122" s="1">
        <f t="shared" si="58"/>
        <v>42</v>
      </c>
      <c r="AA122" s="1">
        <f t="shared" si="58"/>
        <v>38</v>
      </c>
      <c r="AB122" s="1">
        <f t="shared" si="58"/>
        <v>31</v>
      </c>
      <c r="AC122" s="1">
        <f t="shared" si="58"/>
        <v>1</v>
      </c>
      <c r="AD122" s="1">
        <f t="shared" si="58"/>
        <v>34</v>
      </c>
      <c r="AE122" s="1">
        <f t="shared" si="58"/>
        <v>1</v>
      </c>
      <c r="AF122" s="1">
        <f t="shared" si="58"/>
        <v>37</v>
      </c>
      <c r="AG122" s="1">
        <f t="shared" si="58"/>
        <v>33</v>
      </c>
      <c r="AH122" s="1">
        <f t="shared" si="58"/>
        <v>12</v>
      </c>
      <c r="AI122" s="1">
        <f t="shared" si="58"/>
        <v>44</v>
      </c>
      <c r="AJ122" s="1">
        <f t="shared" si="58"/>
        <v>22</v>
      </c>
      <c r="AK122" s="1">
        <f t="shared" si="58"/>
        <v>12</v>
      </c>
      <c r="AL122" s="1">
        <f t="shared" si="58"/>
        <v>1</v>
      </c>
      <c r="AM122" s="1">
        <f t="shared" si="58"/>
        <v>1</v>
      </c>
      <c r="AN122" s="1">
        <f t="shared" si="58"/>
        <v>28</v>
      </c>
      <c r="AO122" s="1">
        <f t="shared" si="58"/>
        <v>1</v>
      </c>
      <c r="AP122" s="1">
        <f t="shared" si="58"/>
        <v>22</v>
      </c>
      <c r="AQ122" s="1">
        <f t="shared" si="58"/>
        <v>35</v>
      </c>
      <c r="AR122" s="1">
        <f t="shared" si="58"/>
        <v>1</v>
      </c>
      <c r="AS122" s="1">
        <f t="shared" si="58"/>
        <v>12</v>
      </c>
      <c r="AT122" s="1">
        <f t="shared" si="58"/>
        <v>26</v>
      </c>
      <c r="AU122" s="1">
        <f t="shared" si="58"/>
        <v>12</v>
      </c>
    </row>
    <row r="123" spans="1:47">
      <c r="A123" s="1" t="str">
        <f t="shared" si="6"/>
        <v>   4.2.7) Severity of terrorist attacks</v>
      </c>
      <c r="B123" s="1">
        <f t="shared" ref="B123:AU123" si="59">RANK(B58,$B58:$AU58,0)</f>
        <v>1</v>
      </c>
      <c r="C123" s="1">
        <f t="shared" si="59"/>
        <v>22</v>
      </c>
      <c r="D123" s="1">
        <f t="shared" si="59"/>
        <v>41</v>
      </c>
      <c r="E123" s="1">
        <f t="shared" si="59"/>
        <v>16</v>
      </c>
      <c r="F123" s="1">
        <f t="shared" si="59"/>
        <v>34</v>
      </c>
      <c r="G123" s="1">
        <f t="shared" si="59"/>
        <v>19</v>
      </c>
      <c r="H123" s="1">
        <f t="shared" si="59"/>
        <v>19</v>
      </c>
      <c r="I123" s="1">
        <f t="shared" si="59"/>
        <v>1</v>
      </c>
      <c r="J123" s="1">
        <f t="shared" si="59"/>
        <v>43</v>
      </c>
      <c r="K123" s="1">
        <f t="shared" si="59"/>
        <v>31</v>
      </c>
      <c r="L123" s="1">
        <f t="shared" si="59"/>
        <v>25</v>
      </c>
      <c r="M123" s="1">
        <f t="shared" si="59"/>
        <v>1</v>
      </c>
      <c r="N123" s="1">
        <f t="shared" si="59"/>
        <v>36</v>
      </c>
      <c r="O123" s="1">
        <f t="shared" si="59"/>
        <v>42</v>
      </c>
      <c r="P123" s="1">
        <f t="shared" si="59"/>
        <v>40</v>
      </c>
      <c r="Q123" s="1">
        <f t="shared" si="59"/>
        <v>1</v>
      </c>
      <c r="R123" s="1">
        <f t="shared" si="59"/>
        <v>1</v>
      </c>
      <c r="S123" s="1">
        <f t="shared" si="59"/>
        <v>25</v>
      </c>
      <c r="T123" s="1">
        <f t="shared" si="59"/>
        <v>44</v>
      </c>
      <c r="U123" s="1">
        <f t="shared" si="59"/>
        <v>28</v>
      </c>
      <c r="V123" s="1">
        <f t="shared" si="59"/>
        <v>46</v>
      </c>
      <c r="W123" s="1">
        <f t="shared" si="59"/>
        <v>1</v>
      </c>
      <c r="X123" s="1">
        <f t="shared" si="59"/>
        <v>38</v>
      </c>
      <c r="Y123" s="1">
        <f t="shared" si="59"/>
        <v>22</v>
      </c>
      <c r="Z123" s="1">
        <f t="shared" si="59"/>
        <v>35</v>
      </c>
      <c r="AA123" s="1">
        <f t="shared" si="59"/>
        <v>45</v>
      </c>
      <c r="AB123" s="1">
        <f t="shared" si="59"/>
        <v>1</v>
      </c>
      <c r="AC123" s="1">
        <f t="shared" si="59"/>
        <v>1</v>
      </c>
      <c r="AD123" s="1">
        <f t="shared" si="59"/>
        <v>32</v>
      </c>
      <c r="AE123" s="1">
        <f t="shared" si="59"/>
        <v>1</v>
      </c>
      <c r="AF123" s="1">
        <f t="shared" si="59"/>
        <v>39</v>
      </c>
      <c r="AG123" s="1">
        <f t="shared" si="59"/>
        <v>29</v>
      </c>
      <c r="AH123" s="1">
        <f t="shared" si="59"/>
        <v>1</v>
      </c>
      <c r="AI123" s="1">
        <f t="shared" si="59"/>
        <v>25</v>
      </c>
      <c r="AJ123" s="1">
        <f t="shared" si="59"/>
        <v>30</v>
      </c>
      <c r="AK123" s="1">
        <f t="shared" si="59"/>
        <v>16</v>
      </c>
      <c r="AL123" s="1">
        <f t="shared" si="59"/>
        <v>32</v>
      </c>
      <c r="AM123" s="1">
        <f t="shared" si="59"/>
        <v>1</v>
      </c>
      <c r="AN123" s="1">
        <f t="shared" si="59"/>
        <v>22</v>
      </c>
      <c r="AO123" s="1">
        <f t="shared" si="59"/>
        <v>1</v>
      </c>
      <c r="AP123" s="1">
        <f t="shared" si="59"/>
        <v>16</v>
      </c>
      <c r="AQ123" s="1">
        <f t="shared" si="59"/>
        <v>37</v>
      </c>
      <c r="AR123" s="1">
        <f t="shared" si="59"/>
        <v>1</v>
      </c>
      <c r="AS123" s="1">
        <f t="shared" si="59"/>
        <v>1</v>
      </c>
      <c r="AT123" s="1">
        <f t="shared" si="59"/>
        <v>19</v>
      </c>
      <c r="AU123" s="1">
        <f t="shared" si="59"/>
        <v>1</v>
      </c>
    </row>
    <row r="124" spans="1:47">
      <c r="A124" s="1" t="str">
        <f t="shared" si="6"/>
        <v>   4.2.8) Gender safety</v>
      </c>
      <c r="B124" s="1">
        <f t="shared" ref="B124:AU124" si="60">RANK(B59,$B59:$AU59,0)</f>
        <v>25</v>
      </c>
      <c r="C124" s="1">
        <f t="shared" si="60"/>
        <v>11</v>
      </c>
      <c r="D124" s="1">
        <f t="shared" si="60"/>
        <v>25</v>
      </c>
      <c r="E124" s="1">
        <f t="shared" si="60"/>
        <v>5</v>
      </c>
      <c r="F124" s="1">
        <f t="shared" si="60"/>
        <v>14</v>
      </c>
      <c r="G124" s="1">
        <f t="shared" si="60"/>
        <v>14</v>
      </c>
      <c r="H124" s="1">
        <f t="shared" si="60"/>
        <v>31</v>
      </c>
      <c r="I124" s="1">
        <f t="shared" si="60"/>
        <v>38</v>
      </c>
      <c r="J124" s="1">
        <f t="shared" si="60"/>
        <v>28</v>
      </c>
      <c r="K124" s="1">
        <f t="shared" si="60"/>
        <v>39</v>
      </c>
      <c r="L124" s="1">
        <f t="shared" si="60"/>
        <v>14</v>
      </c>
      <c r="M124" s="1">
        <f t="shared" si="60"/>
        <v>32</v>
      </c>
      <c r="N124" s="1">
        <f t="shared" si="60"/>
        <v>3</v>
      </c>
      <c r="O124" s="1">
        <f t="shared" si="60"/>
        <v>12</v>
      </c>
      <c r="P124" s="1">
        <f t="shared" si="60"/>
        <v>36</v>
      </c>
      <c r="Q124" s="1">
        <f t="shared" si="60"/>
        <v>46</v>
      </c>
      <c r="R124" s="1">
        <f t="shared" si="60"/>
        <v>12</v>
      </c>
      <c r="S124" s="1">
        <f t="shared" si="60"/>
        <v>40</v>
      </c>
      <c r="T124" s="1">
        <f t="shared" si="60"/>
        <v>23</v>
      </c>
      <c r="U124" s="1">
        <f t="shared" si="60"/>
        <v>34</v>
      </c>
      <c r="V124" s="1">
        <f t="shared" si="60"/>
        <v>5</v>
      </c>
      <c r="W124" s="1">
        <f t="shared" si="60"/>
        <v>14</v>
      </c>
      <c r="X124" s="1">
        <f t="shared" si="60"/>
        <v>41</v>
      </c>
      <c r="Y124" s="1">
        <f t="shared" si="60"/>
        <v>5</v>
      </c>
      <c r="Z124" s="1">
        <f t="shared" si="60"/>
        <v>45</v>
      </c>
      <c r="AA124" s="1">
        <f t="shared" si="60"/>
        <v>28</v>
      </c>
      <c r="AB124" s="1">
        <f t="shared" si="60"/>
        <v>24</v>
      </c>
      <c r="AC124" s="1">
        <f t="shared" si="60"/>
        <v>1</v>
      </c>
      <c r="AD124" s="1">
        <f t="shared" si="60"/>
        <v>14</v>
      </c>
      <c r="AE124" s="1">
        <f t="shared" si="60"/>
        <v>42</v>
      </c>
      <c r="AF124" s="1">
        <f t="shared" si="60"/>
        <v>44</v>
      </c>
      <c r="AG124" s="1">
        <f t="shared" si="60"/>
        <v>5</v>
      </c>
      <c r="AH124" s="1">
        <f t="shared" si="60"/>
        <v>34</v>
      </c>
      <c r="AI124" s="1">
        <f t="shared" si="60"/>
        <v>27</v>
      </c>
      <c r="AJ124" s="1">
        <f t="shared" si="60"/>
        <v>42</v>
      </c>
      <c r="AK124" s="1">
        <f t="shared" si="60"/>
        <v>28</v>
      </c>
      <c r="AL124" s="1">
        <f t="shared" si="60"/>
        <v>14</v>
      </c>
      <c r="AM124" s="1">
        <f t="shared" si="60"/>
        <v>4</v>
      </c>
      <c r="AN124" s="1">
        <f t="shared" si="60"/>
        <v>5</v>
      </c>
      <c r="AO124" s="1">
        <f t="shared" si="60"/>
        <v>14</v>
      </c>
      <c r="AP124" s="1">
        <f t="shared" si="60"/>
        <v>22</v>
      </c>
      <c r="AQ124" s="1">
        <f t="shared" si="60"/>
        <v>32</v>
      </c>
      <c r="AR124" s="1">
        <f t="shared" si="60"/>
        <v>1</v>
      </c>
      <c r="AS124" s="1">
        <f t="shared" si="60"/>
        <v>14</v>
      </c>
      <c r="AT124" s="1">
        <f t="shared" si="60"/>
        <v>37</v>
      </c>
      <c r="AU124" s="1">
        <f t="shared" si="60"/>
        <v>5</v>
      </c>
    </row>
    <row r="125" spans="1:47">
      <c r="A125" s="1" t="str">
        <f t="shared" si="6"/>
        <v>   4.2.9) Perceptions of safety</v>
      </c>
      <c r="B125" s="1">
        <f t="shared" ref="B125:AU125" si="61">RANK(B60,$B60:$AU60,0)</f>
        <v>2</v>
      </c>
      <c r="C125" s="1">
        <f t="shared" si="61"/>
        <v>15</v>
      </c>
      <c r="D125" s="1">
        <f t="shared" si="61"/>
        <v>16</v>
      </c>
      <c r="E125" s="1">
        <f t="shared" si="61"/>
        <v>20</v>
      </c>
      <c r="F125" s="1">
        <f t="shared" si="61"/>
        <v>21</v>
      </c>
      <c r="G125" s="1">
        <f t="shared" si="61"/>
        <v>33</v>
      </c>
      <c r="H125" s="1">
        <f t="shared" si="61"/>
        <v>40</v>
      </c>
      <c r="I125" s="1">
        <f t="shared" si="61"/>
        <v>39</v>
      </c>
      <c r="J125" s="1">
        <f t="shared" si="61"/>
        <v>37</v>
      </c>
      <c r="K125" s="1">
        <f t="shared" si="61"/>
        <v>9</v>
      </c>
      <c r="L125" s="1">
        <f t="shared" si="61"/>
        <v>13</v>
      </c>
      <c r="M125" s="1">
        <f t="shared" si="61"/>
        <v>28</v>
      </c>
      <c r="N125" s="1">
        <f t="shared" si="61"/>
        <v>3</v>
      </c>
      <c r="O125" s="1">
        <f t="shared" si="61"/>
        <v>18</v>
      </c>
      <c r="P125" s="1">
        <f t="shared" si="61"/>
        <v>29</v>
      </c>
      <c r="Q125" s="1">
        <f t="shared" si="61"/>
        <v>46</v>
      </c>
      <c r="R125" s="1">
        <f t="shared" si="61"/>
        <v>24</v>
      </c>
      <c r="S125" s="1">
        <f t="shared" si="61"/>
        <v>42</v>
      </c>
      <c r="T125" s="1">
        <f t="shared" si="61"/>
        <v>25</v>
      </c>
      <c r="U125" s="1">
        <f t="shared" si="61"/>
        <v>31</v>
      </c>
      <c r="V125" s="1">
        <f t="shared" si="61"/>
        <v>17</v>
      </c>
      <c r="W125" s="1">
        <f t="shared" si="61"/>
        <v>23</v>
      </c>
      <c r="X125" s="1">
        <f t="shared" si="61"/>
        <v>41</v>
      </c>
      <c r="Y125" s="1">
        <f t="shared" si="61"/>
        <v>32</v>
      </c>
      <c r="Z125" s="1">
        <f t="shared" si="61"/>
        <v>34</v>
      </c>
      <c r="AA125" s="1">
        <f t="shared" si="61"/>
        <v>30</v>
      </c>
      <c r="AB125" s="1">
        <f t="shared" si="61"/>
        <v>27</v>
      </c>
      <c r="AC125" s="1">
        <f t="shared" si="61"/>
        <v>1</v>
      </c>
      <c r="AD125" s="1">
        <f t="shared" si="61"/>
        <v>35</v>
      </c>
      <c r="AE125" s="1">
        <f t="shared" si="61"/>
        <v>44</v>
      </c>
      <c r="AF125" s="1">
        <f t="shared" si="61"/>
        <v>12</v>
      </c>
      <c r="AG125" s="1">
        <f t="shared" si="61"/>
        <v>43</v>
      </c>
      <c r="AH125" s="1">
        <f t="shared" si="61"/>
        <v>22</v>
      </c>
      <c r="AI125" s="1">
        <f t="shared" si="61"/>
        <v>26</v>
      </c>
      <c r="AJ125" s="1">
        <f t="shared" si="61"/>
        <v>45</v>
      </c>
      <c r="AK125" s="1">
        <f t="shared" si="61"/>
        <v>6</v>
      </c>
      <c r="AL125" s="1">
        <f t="shared" si="61"/>
        <v>11</v>
      </c>
      <c r="AM125" s="1">
        <f t="shared" si="61"/>
        <v>4</v>
      </c>
      <c r="AN125" s="1">
        <f t="shared" si="61"/>
        <v>10</v>
      </c>
      <c r="AO125" s="1">
        <f t="shared" si="61"/>
        <v>19</v>
      </c>
      <c r="AP125" s="1">
        <f t="shared" si="61"/>
        <v>8</v>
      </c>
      <c r="AQ125" s="1">
        <f t="shared" si="61"/>
        <v>36</v>
      </c>
      <c r="AR125" s="1">
        <f t="shared" si="61"/>
        <v>5</v>
      </c>
      <c r="AS125" s="1">
        <f t="shared" si="61"/>
        <v>14</v>
      </c>
      <c r="AT125" s="1">
        <f t="shared" si="61"/>
        <v>38</v>
      </c>
      <c r="AU125" s="1">
        <f t="shared" si="61"/>
        <v>7</v>
      </c>
    </row>
    <row r="126" spans="1:47">
      <c r="A126" s="1" t="str">
        <f t="shared" si="6"/>
        <v>   4.2.10) Threat of terrorism</v>
      </c>
      <c r="B126" s="1">
        <f t="shared" ref="B126:AU126" si="62">RANK(B61,$B61:$AU61,0)</f>
        <v>14</v>
      </c>
      <c r="C126" s="1">
        <f t="shared" si="62"/>
        <v>14</v>
      </c>
      <c r="D126" s="1">
        <f t="shared" si="62"/>
        <v>36</v>
      </c>
      <c r="E126" s="1">
        <f t="shared" si="62"/>
        <v>14</v>
      </c>
      <c r="F126" s="1">
        <f t="shared" si="62"/>
        <v>1</v>
      </c>
      <c r="G126" s="1">
        <f t="shared" si="62"/>
        <v>14</v>
      </c>
      <c r="H126" s="1">
        <f t="shared" si="62"/>
        <v>14</v>
      </c>
      <c r="I126" s="1">
        <f t="shared" si="62"/>
        <v>14</v>
      </c>
      <c r="J126" s="1">
        <f t="shared" si="62"/>
        <v>36</v>
      </c>
      <c r="K126" s="1">
        <f t="shared" si="62"/>
        <v>14</v>
      </c>
      <c r="L126" s="1">
        <f t="shared" si="62"/>
        <v>14</v>
      </c>
      <c r="M126" s="1">
        <f t="shared" si="62"/>
        <v>14</v>
      </c>
      <c r="N126" s="1">
        <f t="shared" si="62"/>
        <v>1</v>
      </c>
      <c r="O126" s="1">
        <f t="shared" si="62"/>
        <v>36</v>
      </c>
      <c r="P126" s="1">
        <f t="shared" si="62"/>
        <v>46</v>
      </c>
      <c r="Q126" s="1">
        <f t="shared" si="62"/>
        <v>14</v>
      </c>
      <c r="R126" s="1">
        <f t="shared" si="62"/>
        <v>14</v>
      </c>
      <c r="S126" s="1">
        <f t="shared" si="62"/>
        <v>14</v>
      </c>
      <c r="T126" s="1">
        <f t="shared" si="62"/>
        <v>36</v>
      </c>
      <c r="U126" s="1">
        <f t="shared" si="62"/>
        <v>14</v>
      </c>
      <c r="V126" s="1">
        <f t="shared" si="62"/>
        <v>14</v>
      </c>
      <c r="W126" s="1">
        <f t="shared" si="62"/>
        <v>1</v>
      </c>
      <c r="X126" s="1">
        <f t="shared" si="62"/>
        <v>36</v>
      </c>
      <c r="Y126" s="1">
        <f t="shared" si="62"/>
        <v>1</v>
      </c>
      <c r="Z126" s="1">
        <f t="shared" si="62"/>
        <v>36</v>
      </c>
      <c r="AA126" s="1">
        <f t="shared" si="62"/>
        <v>36</v>
      </c>
      <c r="AB126" s="1">
        <f t="shared" si="62"/>
        <v>36</v>
      </c>
      <c r="AC126" s="1">
        <f t="shared" si="62"/>
        <v>14</v>
      </c>
      <c r="AD126" s="1">
        <f t="shared" si="62"/>
        <v>1</v>
      </c>
      <c r="AE126" s="1">
        <f t="shared" si="62"/>
        <v>14</v>
      </c>
      <c r="AF126" s="1">
        <f t="shared" si="62"/>
        <v>36</v>
      </c>
      <c r="AG126" s="1">
        <f t="shared" si="62"/>
        <v>1</v>
      </c>
      <c r="AH126" s="1">
        <f t="shared" si="62"/>
        <v>14</v>
      </c>
      <c r="AI126" s="1">
        <f t="shared" si="62"/>
        <v>1</v>
      </c>
      <c r="AJ126" s="1">
        <f t="shared" si="62"/>
        <v>14</v>
      </c>
      <c r="AK126" s="1">
        <f t="shared" si="62"/>
        <v>14</v>
      </c>
      <c r="AL126" s="1">
        <f t="shared" si="62"/>
        <v>1</v>
      </c>
      <c r="AM126" s="1">
        <f t="shared" si="62"/>
        <v>14</v>
      </c>
      <c r="AN126" s="1">
        <f t="shared" si="62"/>
        <v>1</v>
      </c>
      <c r="AO126" s="1">
        <f t="shared" si="62"/>
        <v>1</v>
      </c>
      <c r="AP126" s="1">
        <f t="shared" si="62"/>
        <v>1</v>
      </c>
      <c r="AQ126" s="1">
        <f t="shared" si="62"/>
        <v>36</v>
      </c>
      <c r="AR126" s="1">
        <f t="shared" si="62"/>
        <v>14</v>
      </c>
      <c r="AS126" s="1">
        <f t="shared" si="62"/>
        <v>1</v>
      </c>
      <c r="AT126" s="1">
        <f t="shared" si="62"/>
        <v>14</v>
      </c>
      <c r="AU126" s="1">
        <f t="shared" si="62"/>
        <v>1</v>
      </c>
    </row>
    <row r="127" spans="1:47">
      <c r="A127" s="1" t="str">
        <f t="shared" si="6"/>
        <v>   4.2.11) Threat of military conflict</v>
      </c>
      <c r="B127" s="1">
        <f t="shared" ref="B127:AU127" si="63">RANK(B62,$B62:$AU62,0)</f>
        <v>1</v>
      </c>
      <c r="C127" s="1">
        <f t="shared" si="63"/>
        <v>1</v>
      </c>
      <c r="D127" s="1">
        <f t="shared" si="63"/>
        <v>44</v>
      </c>
      <c r="E127" s="1">
        <f t="shared" si="63"/>
        <v>1</v>
      </c>
      <c r="F127" s="1">
        <f t="shared" si="63"/>
        <v>1</v>
      </c>
      <c r="G127" s="1">
        <f t="shared" si="63"/>
        <v>1</v>
      </c>
      <c r="H127" s="1">
        <f t="shared" si="63"/>
        <v>1</v>
      </c>
      <c r="I127" s="1">
        <f t="shared" si="63"/>
        <v>1</v>
      </c>
      <c r="J127" s="1">
        <f t="shared" si="63"/>
        <v>35</v>
      </c>
      <c r="K127" s="1">
        <f t="shared" si="63"/>
        <v>35</v>
      </c>
      <c r="L127" s="1">
        <f t="shared" si="63"/>
        <v>1</v>
      </c>
      <c r="M127" s="1">
        <f t="shared" si="63"/>
        <v>35</v>
      </c>
      <c r="N127" s="1">
        <f t="shared" si="63"/>
        <v>1</v>
      </c>
      <c r="O127" s="1">
        <f t="shared" si="63"/>
        <v>35</v>
      </c>
      <c r="P127" s="1">
        <f t="shared" si="63"/>
        <v>1</v>
      </c>
      <c r="Q127" s="1">
        <f t="shared" si="63"/>
        <v>1</v>
      </c>
      <c r="R127" s="1">
        <f t="shared" si="63"/>
        <v>35</v>
      </c>
      <c r="S127" s="1">
        <f t="shared" si="63"/>
        <v>35</v>
      </c>
      <c r="T127" s="1">
        <f t="shared" si="63"/>
        <v>1</v>
      </c>
      <c r="U127" s="1">
        <f t="shared" si="63"/>
        <v>1</v>
      </c>
      <c r="V127" s="1">
        <f t="shared" si="63"/>
        <v>1</v>
      </c>
      <c r="W127" s="1">
        <f t="shared" si="63"/>
        <v>1</v>
      </c>
      <c r="X127" s="1">
        <f t="shared" si="63"/>
        <v>1</v>
      </c>
      <c r="Y127" s="1">
        <f t="shared" si="63"/>
        <v>1</v>
      </c>
      <c r="Z127" s="1">
        <f t="shared" si="63"/>
        <v>44</v>
      </c>
      <c r="AA127" s="1">
        <f t="shared" si="63"/>
        <v>35</v>
      </c>
      <c r="AB127" s="1">
        <f t="shared" si="63"/>
        <v>1</v>
      </c>
      <c r="AC127" s="1">
        <f t="shared" si="63"/>
        <v>1</v>
      </c>
      <c r="AD127" s="1">
        <f t="shared" si="63"/>
        <v>1</v>
      </c>
      <c r="AE127" s="1">
        <f t="shared" si="63"/>
        <v>1</v>
      </c>
      <c r="AF127" s="1">
        <f t="shared" si="63"/>
        <v>35</v>
      </c>
      <c r="AG127" s="1">
        <f t="shared" si="63"/>
        <v>1</v>
      </c>
      <c r="AH127" s="1">
        <f t="shared" si="63"/>
        <v>1</v>
      </c>
      <c r="AI127" s="1">
        <f t="shared" si="63"/>
        <v>1</v>
      </c>
      <c r="AJ127" s="1">
        <f t="shared" si="63"/>
        <v>1</v>
      </c>
      <c r="AK127" s="1">
        <f t="shared" si="63"/>
        <v>44</v>
      </c>
      <c r="AL127" s="1">
        <f t="shared" si="63"/>
        <v>1</v>
      </c>
      <c r="AM127" s="1">
        <f t="shared" si="63"/>
        <v>1</v>
      </c>
      <c r="AN127" s="1">
        <f t="shared" si="63"/>
        <v>1</v>
      </c>
      <c r="AO127" s="1">
        <f t="shared" si="63"/>
        <v>1</v>
      </c>
      <c r="AP127" s="1">
        <f t="shared" si="63"/>
        <v>1</v>
      </c>
      <c r="AQ127" s="1">
        <f t="shared" si="63"/>
        <v>35</v>
      </c>
      <c r="AR127" s="1">
        <f t="shared" si="63"/>
        <v>1</v>
      </c>
      <c r="AS127" s="1">
        <f t="shared" si="63"/>
        <v>1</v>
      </c>
      <c r="AT127" s="1">
        <f t="shared" si="63"/>
        <v>1</v>
      </c>
      <c r="AU127" s="1">
        <f t="shared" si="63"/>
        <v>1</v>
      </c>
    </row>
    <row r="128" spans="1:47">
      <c r="A128" s="1" t="str">
        <f t="shared" si="6"/>
        <v>   4.2.12) Threat of civil unrest</v>
      </c>
      <c r="B128" s="1">
        <f t="shared" ref="B128:AU128" si="64">RANK(B63,$B63:$AU63,0)</f>
        <v>16</v>
      </c>
      <c r="C128" s="1">
        <f t="shared" si="64"/>
        <v>1</v>
      </c>
      <c r="D128" s="1">
        <f t="shared" si="64"/>
        <v>46</v>
      </c>
      <c r="E128" s="1">
        <f t="shared" si="64"/>
        <v>16</v>
      </c>
      <c r="F128" s="1">
        <f t="shared" si="64"/>
        <v>37</v>
      </c>
      <c r="G128" s="1">
        <f t="shared" si="64"/>
        <v>1</v>
      </c>
      <c r="H128" s="1">
        <f t="shared" si="64"/>
        <v>16</v>
      </c>
      <c r="I128" s="1">
        <f t="shared" si="64"/>
        <v>1</v>
      </c>
      <c r="J128" s="1">
        <f t="shared" si="64"/>
        <v>37</v>
      </c>
      <c r="K128" s="1">
        <f t="shared" si="64"/>
        <v>16</v>
      </c>
      <c r="L128" s="1">
        <f t="shared" si="64"/>
        <v>1</v>
      </c>
      <c r="M128" s="1">
        <f t="shared" si="64"/>
        <v>37</v>
      </c>
      <c r="N128" s="1">
        <f t="shared" si="64"/>
        <v>1</v>
      </c>
      <c r="O128" s="1">
        <f t="shared" si="64"/>
        <v>37</v>
      </c>
      <c r="P128" s="1">
        <f t="shared" si="64"/>
        <v>45</v>
      </c>
      <c r="Q128" s="1">
        <f t="shared" si="64"/>
        <v>16</v>
      </c>
      <c r="R128" s="1">
        <f t="shared" si="64"/>
        <v>16</v>
      </c>
      <c r="S128" s="1">
        <f t="shared" si="64"/>
        <v>37</v>
      </c>
      <c r="T128" s="1">
        <f t="shared" si="64"/>
        <v>16</v>
      </c>
      <c r="U128" s="1">
        <f t="shared" si="64"/>
        <v>16</v>
      </c>
      <c r="V128" s="1">
        <f t="shared" si="64"/>
        <v>16</v>
      </c>
      <c r="W128" s="1">
        <f t="shared" si="64"/>
        <v>1</v>
      </c>
      <c r="X128" s="1">
        <f t="shared" si="64"/>
        <v>16</v>
      </c>
      <c r="Y128" s="1">
        <f t="shared" si="64"/>
        <v>16</v>
      </c>
      <c r="Z128" s="1">
        <f t="shared" si="64"/>
        <v>16</v>
      </c>
      <c r="AA128" s="1">
        <f t="shared" si="64"/>
        <v>16</v>
      </c>
      <c r="AB128" s="1">
        <f t="shared" si="64"/>
        <v>16</v>
      </c>
      <c r="AC128" s="1">
        <f t="shared" si="64"/>
        <v>1</v>
      </c>
      <c r="AD128" s="1">
        <f t="shared" si="64"/>
        <v>16</v>
      </c>
      <c r="AE128" s="1">
        <f t="shared" si="64"/>
        <v>37</v>
      </c>
      <c r="AF128" s="1">
        <f t="shared" si="64"/>
        <v>16</v>
      </c>
      <c r="AG128" s="1">
        <f t="shared" si="64"/>
        <v>16</v>
      </c>
      <c r="AH128" s="1">
        <f t="shared" si="64"/>
        <v>1</v>
      </c>
      <c r="AI128" s="1">
        <f t="shared" si="64"/>
        <v>16</v>
      </c>
      <c r="AJ128" s="1">
        <f t="shared" si="64"/>
        <v>16</v>
      </c>
      <c r="AK128" s="1">
        <f t="shared" si="64"/>
        <v>1</v>
      </c>
      <c r="AL128" s="1">
        <f t="shared" si="64"/>
        <v>37</v>
      </c>
      <c r="AM128" s="1">
        <f t="shared" si="64"/>
        <v>1</v>
      </c>
      <c r="AN128" s="1">
        <f t="shared" si="64"/>
        <v>1</v>
      </c>
      <c r="AO128" s="1">
        <f t="shared" si="64"/>
        <v>1</v>
      </c>
      <c r="AP128" s="1">
        <f t="shared" si="64"/>
        <v>16</v>
      </c>
      <c r="AQ128" s="1">
        <f t="shared" si="64"/>
        <v>37</v>
      </c>
      <c r="AR128" s="1">
        <f t="shared" si="64"/>
        <v>1</v>
      </c>
      <c r="AS128" s="1">
        <f t="shared" si="64"/>
        <v>1</v>
      </c>
      <c r="AT128" s="1">
        <f t="shared" si="64"/>
        <v>16</v>
      </c>
      <c r="AU128" s="1">
        <f t="shared" si="64"/>
        <v>1</v>
      </c>
    </row>
    <row r="132" spans="1:47">
      <c r="A132" s="1" t="str">
        <f t="shared" ref="A132:A163" si="65">A67</f>
        <v>OVERALL SCORE</v>
      </c>
      <c r="B132" s="1">
        <f t="shared" ref="B132:AU132" si="66">COUNTIF($B67:$AU67,B67)</f>
        <v>1</v>
      </c>
      <c r="C132" s="1">
        <f t="shared" si="66"/>
        <v>1</v>
      </c>
      <c r="D132" s="1">
        <f t="shared" si="66"/>
        <v>1</v>
      </c>
      <c r="E132" s="1">
        <f t="shared" si="66"/>
        <v>1</v>
      </c>
      <c r="F132" s="1">
        <f t="shared" si="66"/>
        <v>1</v>
      </c>
      <c r="G132" s="1">
        <f t="shared" si="66"/>
        <v>1</v>
      </c>
      <c r="H132" s="1">
        <f t="shared" si="66"/>
        <v>1</v>
      </c>
      <c r="I132" s="1">
        <f t="shared" si="66"/>
        <v>1</v>
      </c>
      <c r="J132" s="1">
        <f t="shared" si="66"/>
        <v>1</v>
      </c>
      <c r="K132" s="1">
        <f t="shared" si="66"/>
        <v>1</v>
      </c>
      <c r="L132" s="1">
        <f t="shared" si="66"/>
        <v>1</v>
      </c>
      <c r="M132" s="1">
        <f t="shared" si="66"/>
        <v>1</v>
      </c>
      <c r="N132" s="1">
        <f t="shared" si="66"/>
        <v>1</v>
      </c>
      <c r="O132" s="1">
        <f t="shared" si="66"/>
        <v>1</v>
      </c>
      <c r="P132" s="1">
        <f t="shared" si="66"/>
        <v>1</v>
      </c>
      <c r="Q132" s="1">
        <f t="shared" si="66"/>
        <v>1</v>
      </c>
      <c r="R132" s="1">
        <f t="shared" si="66"/>
        <v>1</v>
      </c>
      <c r="S132" s="1">
        <f t="shared" si="66"/>
        <v>1</v>
      </c>
      <c r="T132" s="1">
        <f t="shared" si="66"/>
        <v>1</v>
      </c>
      <c r="U132" s="1">
        <f t="shared" si="66"/>
        <v>1</v>
      </c>
      <c r="V132" s="1">
        <f t="shared" si="66"/>
        <v>1</v>
      </c>
      <c r="W132" s="1">
        <f t="shared" si="66"/>
        <v>1</v>
      </c>
      <c r="X132" s="1">
        <f t="shared" si="66"/>
        <v>1</v>
      </c>
      <c r="Y132" s="1">
        <f t="shared" si="66"/>
        <v>1</v>
      </c>
      <c r="Z132" s="1">
        <f t="shared" si="66"/>
        <v>1</v>
      </c>
      <c r="AA132" s="1">
        <f t="shared" si="66"/>
        <v>1</v>
      </c>
      <c r="AB132" s="1">
        <f t="shared" si="66"/>
        <v>1</v>
      </c>
      <c r="AC132" s="1">
        <f t="shared" si="66"/>
        <v>1</v>
      </c>
      <c r="AD132" s="1">
        <f t="shared" si="66"/>
        <v>1</v>
      </c>
      <c r="AE132" s="1">
        <f t="shared" si="66"/>
        <v>1</v>
      </c>
      <c r="AF132" s="1">
        <f t="shared" si="66"/>
        <v>1</v>
      </c>
      <c r="AG132" s="1">
        <f t="shared" si="66"/>
        <v>1</v>
      </c>
      <c r="AH132" s="1">
        <f t="shared" si="66"/>
        <v>1</v>
      </c>
      <c r="AI132" s="1">
        <f t="shared" si="66"/>
        <v>1</v>
      </c>
      <c r="AJ132" s="1">
        <f t="shared" si="66"/>
        <v>1</v>
      </c>
      <c r="AK132" s="1">
        <f t="shared" si="66"/>
        <v>1</v>
      </c>
      <c r="AL132" s="1">
        <f t="shared" si="66"/>
        <v>1</v>
      </c>
      <c r="AM132" s="1">
        <f t="shared" si="66"/>
        <v>1</v>
      </c>
      <c r="AN132" s="1">
        <f t="shared" si="66"/>
        <v>1</v>
      </c>
      <c r="AO132" s="1">
        <f t="shared" si="66"/>
        <v>1</v>
      </c>
      <c r="AP132" s="1">
        <f t="shared" si="66"/>
        <v>1</v>
      </c>
      <c r="AQ132" s="1">
        <f t="shared" si="66"/>
        <v>1</v>
      </c>
      <c r="AR132" s="1">
        <f t="shared" si="66"/>
        <v>1</v>
      </c>
      <c r="AS132" s="1">
        <f t="shared" si="66"/>
        <v>1</v>
      </c>
      <c r="AT132" s="1">
        <f t="shared" si="66"/>
        <v>1</v>
      </c>
      <c r="AU132" s="1">
        <f t="shared" si="66"/>
        <v>1</v>
      </c>
    </row>
    <row r="133" spans="1:47">
      <c r="A133" s="1" t="str">
        <f t="shared" si="65"/>
        <v> 1) DIGITAL SECURITY</v>
      </c>
      <c r="B133" s="1">
        <f t="shared" ref="B133:AU133" si="67">COUNTIF($B68:$AU68,B68)</f>
        <v>1</v>
      </c>
      <c r="C133" s="1">
        <f t="shared" si="67"/>
        <v>1</v>
      </c>
      <c r="D133" s="1">
        <f t="shared" si="67"/>
        <v>1</v>
      </c>
      <c r="E133" s="1">
        <f t="shared" si="67"/>
        <v>1</v>
      </c>
      <c r="F133" s="1">
        <f t="shared" si="67"/>
        <v>1</v>
      </c>
      <c r="G133" s="1">
        <f t="shared" si="67"/>
        <v>1</v>
      </c>
      <c r="H133" s="1">
        <f t="shared" si="67"/>
        <v>1</v>
      </c>
      <c r="I133" s="1">
        <f t="shared" si="67"/>
        <v>1</v>
      </c>
      <c r="J133" s="1">
        <f t="shared" si="67"/>
        <v>1</v>
      </c>
      <c r="K133" s="1">
        <f t="shared" si="67"/>
        <v>1</v>
      </c>
      <c r="L133" s="1">
        <f t="shared" si="67"/>
        <v>1</v>
      </c>
      <c r="M133" s="1">
        <f t="shared" si="67"/>
        <v>1</v>
      </c>
      <c r="N133" s="1">
        <f t="shared" si="67"/>
        <v>1</v>
      </c>
      <c r="O133" s="1">
        <f t="shared" si="67"/>
        <v>1</v>
      </c>
      <c r="P133" s="1">
        <f t="shared" si="67"/>
        <v>1</v>
      </c>
      <c r="Q133" s="1">
        <f t="shared" si="67"/>
        <v>1</v>
      </c>
      <c r="R133" s="1">
        <f t="shared" si="67"/>
        <v>1</v>
      </c>
      <c r="S133" s="1">
        <f t="shared" si="67"/>
        <v>1</v>
      </c>
      <c r="T133" s="1">
        <f t="shared" si="67"/>
        <v>1</v>
      </c>
      <c r="U133" s="1">
        <f t="shared" si="67"/>
        <v>1</v>
      </c>
      <c r="V133" s="1">
        <f t="shared" si="67"/>
        <v>1</v>
      </c>
      <c r="W133" s="1">
        <f t="shared" si="67"/>
        <v>1</v>
      </c>
      <c r="X133" s="1">
        <f t="shared" si="67"/>
        <v>1</v>
      </c>
      <c r="Y133" s="1">
        <f t="shared" si="67"/>
        <v>1</v>
      </c>
      <c r="Z133" s="1">
        <f t="shared" si="67"/>
        <v>1</v>
      </c>
      <c r="AA133" s="1">
        <f t="shared" si="67"/>
        <v>1</v>
      </c>
      <c r="AB133" s="1">
        <f t="shared" si="67"/>
        <v>1</v>
      </c>
      <c r="AC133" s="1">
        <f t="shared" si="67"/>
        <v>1</v>
      </c>
      <c r="AD133" s="1">
        <f t="shared" si="67"/>
        <v>1</v>
      </c>
      <c r="AE133" s="1">
        <f t="shared" si="67"/>
        <v>1</v>
      </c>
      <c r="AF133" s="1">
        <f t="shared" si="67"/>
        <v>1</v>
      </c>
      <c r="AG133" s="1">
        <f t="shared" si="67"/>
        <v>1</v>
      </c>
      <c r="AH133" s="1">
        <f t="shared" si="67"/>
        <v>1</v>
      </c>
      <c r="AI133" s="1">
        <f t="shared" si="67"/>
        <v>1</v>
      </c>
      <c r="AJ133" s="1">
        <f t="shared" si="67"/>
        <v>1</v>
      </c>
      <c r="AK133" s="1">
        <f t="shared" si="67"/>
        <v>1</v>
      </c>
      <c r="AL133" s="1">
        <f t="shared" si="67"/>
        <v>1</v>
      </c>
      <c r="AM133" s="1">
        <f t="shared" si="67"/>
        <v>1</v>
      </c>
      <c r="AN133" s="1">
        <f t="shared" si="67"/>
        <v>1</v>
      </c>
      <c r="AO133" s="1">
        <f t="shared" si="67"/>
        <v>1</v>
      </c>
      <c r="AP133" s="1">
        <f t="shared" si="67"/>
        <v>1</v>
      </c>
      <c r="AQ133" s="1">
        <f t="shared" si="67"/>
        <v>1</v>
      </c>
      <c r="AR133" s="1">
        <f t="shared" si="67"/>
        <v>1</v>
      </c>
      <c r="AS133" s="1">
        <f t="shared" si="67"/>
        <v>1</v>
      </c>
      <c r="AT133" s="1">
        <f t="shared" si="67"/>
        <v>1</v>
      </c>
      <c r="AU133" s="1">
        <f t="shared" si="67"/>
        <v>1</v>
      </c>
    </row>
    <row r="134" spans="1:47">
      <c r="A134" s="1" t="str">
        <f t="shared" si="65"/>
        <v>  1.1) Digital security (Inputs)</v>
      </c>
      <c r="B134" s="1">
        <f t="shared" ref="B134:AU134" si="68">COUNTIF($B69:$AU69,B69)</f>
        <v>3</v>
      </c>
      <c r="C134" s="1">
        <f t="shared" si="68"/>
        <v>1</v>
      </c>
      <c r="D134" s="1">
        <f t="shared" si="68"/>
        <v>6</v>
      </c>
      <c r="E134" s="1">
        <f t="shared" si="68"/>
        <v>4</v>
      </c>
      <c r="F134" s="1">
        <f t="shared" si="68"/>
        <v>6</v>
      </c>
      <c r="G134" s="1">
        <f t="shared" si="68"/>
        <v>3</v>
      </c>
      <c r="H134" s="1">
        <f t="shared" si="68"/>
        <v>3</v>
      </c>
      <c r="I134" s="1">
        <f t="shared" si="68"/>
        <v>4</v>
      </c>
      <c r="J134" s="1">
        <f t="shared" si="68"/>
        <v>1</v>
      </c>
      <c r="K134" s="1">
        <f t="shared" si="68"/>
        <v>6</v>
      </c>
      <c r="L134" s="1">
        <f t="shared" si="68"/>
        <v>1</v>
      </c>
      <c r="M134" s="1">
        <f t="shared" si="68"/>
        <v>6</v>
      </c>
      <c r="N134" s="1">
        <f t="shared" si="68"/>
        <v>1</v>
      </c>
      <c r="O134" s="1">
        <f t="shared" si="68"/>
        <v>1</v>
      </c>
      <c r="P134" s="1">
        <f t="shared" si="68"/>
        <v>1</v>
      </c>
      <c r="Q134" s="1">
        <f t="shared" si="68"/>
        <v>2</v>
      </c>
      <c r="R134" s="1">
        <f t="shared" si="68"/>
        <v>5</v>
      </c>
      <c r="S134" s="1">
        <f t="shared" si="68"/>
        <v>3</v>
      </c>
      <c r="T134" s="1">
        <f t="shared" si="68"/>
        <v>4</v>
      </c>
      <c r="U134" s="1">
        <f t="shared" si="68"/>
        <v>4</v>
      </c>
      <c r="V134" s="1">
        <f t="shared" si="68"/>
        <v>4</v>
      </c>
      <c r="W134" s="1">
        <f t="shared" si="68"/>
        <v>4</v>
      </c>
      <c r="X134" s="1">
        <f t="shared" si="68"/>
        <v>3</v>
      </c>
      <c r="Y134" s="1">
        <f t="shared" si="68"/>
        <v>1</v>
      </c>
      <c r="Z134" s="1">
        <f t="shared" si="68"/>
        <v>5</v>
      </c>
      <c r="AA134" s="1">
        <f t="shared" si="68"/>
        <v>1</v>
      </c>
      <c r="AB134" s="1">
        <f t="shared" si="68"/>
        <v>3</v>
      </c>
      <c r="AC134" s="1">
        <f t="shared" si="68"/>
        <v>1</v>
      </c>
      <c r="AD134" s="1">
        <f t="shared" si="68"/>
        <v>1</v>
      </c>
      <c r="AE134" s="1">
        <f t="shared" si="68"/>
        <v>5</v>
      </c>
      <c r="AF134" s="1">
        <f t="shared" si="68"/>
        <v>5</v>
      </c>
      <c r="AG134" s="1">
        <f t="shared" si="68"/>
        <v>1</v>
      </c>
      <c r="AH134" s="1">
        <f t="shared" si="68"/>
        <v>4</v>
      </c>
      <c r="AI134" s="1">
        <f t="shared" si="68"/>
        <v>3</v>
      </c>
      <c r="AJ134" s="1">
        <f t="shared" si="68"/>
        <v>5</v>
      </c>
      <c r="AK134" s="1">
        <f t="shared" si="68"/>
        <v>4</v>
      </c>
      <c r="AL134" s="1">
        <f t="shared" si="68"/>
        <v>6</v>
      </c>
      <c r="AM134" s="1">
        <f t="shared" si="68"/>
        <v>3</v>
      </c>
      <c r="AN134" s="1">
        <f t="shared" si="68"/>
        <v>3</v>
      </c>
      <c r="AO134" s="1">
        <f t="shared" si="68"/>
        <v>3</v>
      </c>
      <c r="AP134" s="1">
        <f t="shared" si="68"/>
        <v>6</v>
      </c>
      <c r="AQ134" s="1">
        <f t="shared" si="68"/>
        <v>1</v>
      </c>
      <c r="AR134" s="1">
        <f t="shared" si="68"/>
        <v>1</v>
      </c>
      <c r="AS134" s="1">
        <f t="shared" si="68"/>
        <v>3</v>
      </c>
      <c r="AT134" s="1">
        <f t="shared" si="68"/>
        <v>3</v>
      </c>
      <c r="AU134" s="1">
        <f t="shared" si="68"/>
        <v>2</v>
      </c>
    </row>
    <row r="135" spans="1:47">
      <c r="A135" s="1" t="str">
        <f t="shared" si="65"/>
        <v>   1.1.1) Privacy policy</v>
      </c>
      <c r="B135" s="1">
        <f t="shared" ref="B135:AU135" si="69">COUNTIF($B70:$AU70,B70)</f>
        <v>6</v>
      </c>
      <c r="C135" s="1">
        <f t="shared" si="69"/>
        <v>3</v>
      </c>
      <c r="D135" s="1">
        <f t="shared" si="69"/>
        <v>6</v>
      </c>
      <c r="E135" s="1">
        <f t="shared" si="69"/>
        <v>11</v>
      </c>
      <c r="F135" s="1">
        <f t="shared" si="69"/>
        <v>6</v>
      </c>
      <c r="G135" s="1">
        <f t="shared" si="69"/>
        <v>3</v>
      </c>
      <c r="H135" s="1">
        <f t="shared" si="69"/>
        <v>3</v>
      </c>
      <c r="I135" s="1">
        <f t="shared" si="69"/>
        <v>20</v>
      </c>
      <c r="J135" s="1">
        <f t="shared" si="69"/>
        <v>20</v>
      </c>
      <c r="K135" s="1">
        <f t="shared" si="69"/>
        <v>11</v>
      </c>
      <c r="L135" s="1">
        <f t="shared" si="69"/>
        <v>6</v>
      </c>
      <c r="M135" s="1">
        <f t="shared" si="69"/>
        <v>6</v>
      </c>
      <c r="N135" s="1">
        <f t="shared" si="69"/>
        <v>11</v>
      </c>
      <c r="O135" s="1">
        <f t="shared" si="69"/>
        <v>20</v>
      </c>
      <c r="P135" s="1">
        <f t="shared" si="69"/>
        <v>20</v>
      </c>
      <c r="Q135" s="1">
        <f t="shared" si="69"/>
        <v>6</v>
      </c>
      <c r="R135" s="1">
        <f t="shared" si="69"/>
        <v>20</v>
      </c>
      <c r="S135" s="1">
        <f t="shared" si="69"/>
        <v>20</v>
      </c>
      <c r="T135" s="1">
        <f t="shared" si="69"/>
        <v>11</v>
      </c>
      <c r="U135" s="1">
        <f t="shared" si="69"/>
        <v>20</v>
      </c>
      <c r="V135" s="1">
        <f t="shared" si="69"/>
        <v>11</v>
      </c>
      <c r="W135" s="1">
        <f t="shared" si="69"/>
        <v>11</v>
      </c>
      <c r="X135" s="1">
        <f t="shared" si="69"/>
        <v>11</v>
      </c>
      <c r="Y135" s="1">
        <f t="shared" si="69"/>
        <v>6</v>
      </c>
      <c r="Z135" s="1">
        <f t="shared" si="69"/>
        <v>20</v>
      </c>
      <c r="AA135" s="1">
        <f t="shared" si="69"/>
        <v>20</v>
      </c>
      <c r="AB135" s="1">
        <f t="shared" si="69"/>
        <v>20</v>
      </c>
      <c r="AC135" s="1">
        <f t="shared" si="69"/>
        <v>20</v>
      </c>
      <c r="AD135" s="1">
        <f t="shared" si="69"/>
        <v>11</v>
      </c>
      <c r="AE135" s="1">
        <f t="shared" si="69"/>
        <v>20</v>
      </c>
      <c r="AF135" s="1">
        <f t="shared" si="69"/>
        <v>20</v>
      </c>
      <c r="AG135" s="1">
        <f t="shared" si="69"/>
        <v>6</v>
      </c>
      <c r="AH135" s="1">
        <f t="shared" si="69"/>
        <v>20</v>
      </c>
      <c r="AI135" s="1">
        <f t="shared" si="69"/>
        <v>20</v>
      </c>
      <c r="AJ135" s="1">
        <f t="shared" si="69"/>
        <v>20</v>
      </c>
      <c r="AK135" s="1">
        <f t="shared" si="69"/>
        <v>6</v>
      </c>
      <c r="AL135" s="1">
        <f t="shared" si="69"/>
        <v>6</v>
      </c>
      <c r="AM135" s="1">
        <f t="shared" si="69"/>
        <v>20</v>
      </c>
      <c r="AN135" s="1">
        <f t="shared" si="69"/>
        <v>6</v>
      </c>
      <c r="AO135" s="1">
        <f t="shared" si="69"/>
        <v>11</v>
      </c>
      <c r="AP135" s="1">
        <f t="shared" si="69"/>
        <v>20</v>
      </c>
      <c r="AQ135" s="1">
        <f t="shared" si="69"/>
        <v>6</v>
      </c>
      <c r="AR135" s="1">
        <f t="shared" si="69"/>
        <v>20</v>
      </c>
      <c r="AS135" s="1">
        <f t="shared" si="69"/>
        <v>11</v>
      </c>
      <c r="AT135" s="1">
        <f t="shared" si="69"/>
        <v>20</v>
      </c>
      <c r="AU135" s="1">
        <f t="shared" si="69"/>
        <v>11</v>
      </c>
    </row>
    <row r="136" spans="1:47">
      <c r="A136" s="1" t="str">
        <f t="shared" si="65"/>
        <v>   1.1.2) Citizen awareness of digital threats</v>
      </c>
      <c r="B136" s="1">
        <f t="shared" ref="B136:AU136" si="70">COUNTIF($B71:$AU71,B71)</f>
        <v>22</v>
      </c>
      <c r="C136" s="1">
        <f t="shared" si="70"/>
        <v>18</v>
      </c>
      <c r="D136" s="1">
        <f t="shared" si="70"/>
        <v>18</v>
      </c>
      <c r="E136" s="1">
        <f t="shared" si="70"/>
        <v>22</v>
      </c>
      <c r="F136" s="1">
        <f t="shared" si="70"/>
        <v>18</v>
      </c>
      <c r="G136" s="1">
        <f t="shared" si="70"/>
        <v>22</v>
      </c>
      <c r="H136" s="1">
        <f t="shared" si="70"/>
        <v>22</v>
      </c>
      <c r="I136" s="1">
        <f t="shared" si="70"/>
        <v>22</v>
      </c>
      <c r="J136" s="1">
        <f t="shared" si="70"/>
        <v>2</v>
      </c>
      <c r="K136" s="1">
        <f t="shared" si="70"/>
        <v>18</v>
      </c>
      <c r="L136" s="1">
        <f t="shared" si="70"/>
        <v>18</v>
      </c>
      <c r="M136" s="1">
        <f t="shared" si="70"/>
        <v>18</v>
      </c>
      <c r="N136" s="1">
        <f t="shared" si="70"/>
        <v>22</v>
      </c>
      <c r="O136" s="1">
        <f t="shared" si="70"/>
        <v>18</v>
      </c>
      <c r="P136" s="1">
        <f t="shared" si="70"/>
        <v>22</v>
      </c>
      <c r="Q136" s="1">
        <f t="shared" si="70"/>
        <v>18</v>
      </c>
      <c r="R136" s="1">
        <f t="shared" si="70"/>
        <v>18</v>
      </c>
      <c r="S136" s="1">
        <f t="shared" si="70"/>
        <v>22</v>
      </c>
      <c r="T136" s="1">
        <f t="shared" si="70"/>
        <v>22</v>
      </c>
      <c r="U136" s="1">
        <f t="shared" si="70"/>
        <v>22</v>
      </c>
      <c r="V136" s="1">
        <f t="shared" si="70"/>
        <v>22</v>
      </c>
      <c r="W136" s="1">
        <f t="shared" si="70"/>
        <v>22</v>
      </c>
      <c r="X136" s="1">
        <f t="shared" si="70"/>
        <v>22</v>
      </c>
      <c r="Y136" s="1">
        <f t="shared" si="70"/>
        <v>4</v>
      </c>
      <c r="Z136" s="1">
        <f t="shared" si="70"/>
        <v>18</v>
      </c>
      <c r="AA136" s="1">
        <f t="shared" si="70"/>
        <v>2</v>
      </c>
      <c r="AB136" s="1">
        <f t="shared" si="70"/>
        <v>22</v>
      </c>
      <c r="AC136" s="1">
        <f t="shared" si="70"/>
        <v>18</v>
      </c>
      <c r="AD136" s="1">
        <f t="shared" si="70"/>
        <v>4</v>
      </c>
      <c r="AE136" s="1">
        <f t="shared" si="70"/>
        <v>18</v>
      </c>
      <c r="AF136" s="1">
        <f t="shared" si="70"/>
        <v>18</v>
      </c>
      <c r="AG136" s="1">
        <f t="shared" si="70"/>
        <v>4</v>
      </c>
      <c r="AH136" s="1">
        <f t="shared" si="70"/>
        <v>22</v>
      </c>
      <c r="AI136" s="1">
        <f t="shared" si="70"/>
        <v>22</v>
      </c>
      <c r="AJ136" s="1">
        <f t="shared" si="70"/>
        <v>18</v>
      </c>
      <c r="AK136" s="1">
        <f t="shared" si="70"/>
        <v>22</v>
      </c>
      <c r="AL136" s="1">
        <f t="shared" si="70"/>
        <v>18</v>
      </c>
      <c r="AM136" s="1">
        <f t="shared" si="70"/>
        <v>22</v>
      </c>
      <c r="AN136" s="1">
        <f t="shared" si="70"/>
        <v>22</v>
      </c>
      <c r="AO136" s="1">
        <f t="shared" si="70"/>
        <v>22</v>
      </c>
      <c r="AP136" s="1">
        <f t="shared" si="70"/>
        <v>18</v>
      </c>
      <c r="AQ136" s="1">
        <f t="shared" si="70"/>
        <v>4</v>
      </c>
      <c r="AR136" s="1">
        <f t="shared" si="70"/>
        <v>18</v>
      </c>
      <c r="AS136" s="1">
        <f t="shared" si="70"/>
        <v>22</v>
      </c>
      <c r="AT136" s="1">
        <f t="shared" si="70"/>
        <v>22</v>
      </c>
      <c r="AU136" s="1">
        <f t="shared" si="70"/>
        <v>18</v>
      </c>
    </row>
    <row r="137" spans="1:47">
      <c r="A137" s="1" t="str">
        <f t="shared" si="65"/>
        <v>   1.1.3) Public-private partnerships</v>
      </c>
      <c r="B137" s="1">
        <f t="shared" ref="B137:AU137" si="71">COUNTIF($B72:$AU72,B72)</f>
        <v>33</v>
      </c>
      <c r="C137" s="1">
        <f t="shared" si="71"/>
        <v>33</v>
      </c>
      <c r="D137" s="1">
        <f t="shared" si="71"/>
        <v>33</v>
      </c>
      <c r="E137" s="1">
        <f t="shared" si="71"/>
        <v>7</v>
      </c>
      <c r="F137" s="1">
        <f t="shared" si="71"/>
        <v>33</v>
      </c>
      <c r="G137" s="1">
        <f t="shared" si="71"/>
        <v>33</v>
      </c>
      <c r="H137" s="1">
        <f t="shared" si="71"/>
        <v>7</v>
      </c>
      <c r="I137" s="1">
        <f t="shared" si="71"/>
        <v>33</v>
      </c>
      <c r="J137" s="1">
        <f t="shared" si="71"/>
        <v>6</v>
      </c>
      <c r="K137" s="1">
        <f t="shared" si="71"/>
        <v>7</v>
      </c>
      <c r="L137" s="1">
        <f t="shared" si="71"/>
        <v>33</v>
      </c>
      <c r="M137" s="1">
        <f t="shared" si="71"/>
        <v>33</v>
      </c>
      <c r="N137" s="1">
        <f t="shared" si="71"/>
        <v>6</v>
      </c>
      <c r="O137" s="1">
        <f t="shared" si="71"/>
        <v>7</v>
      </c>
      <c r="P137" s="1">
        <f t="shared" si="71"/>
        <v>7</v>
      </c>
      <c r="Q137" s="1">
        <f t="shared" si="71"/>
        <v>33</v>
      </c>
      <c r="R137" s="1">
        <f t="shared" si="71"/>
        <v>33</v>
      </c>
      <c r="S137" s="1">
        <f t="shared" si="71"/>
        <v>33</v>
      </c>
      <c r="T137" s="1">
        <f t="shared" si="71"/>
        <v>33</v>
      </c>
      <c r="U137" s="1">
        <f t="shared" si="71"/>
        <v>33</v>
      </c>
      <c r="V137" s="1">
        <f t="shared" si="71"/>
        <v>33</v>
      </c>
      <c r="W137" s="1">
        <f t="shared" si="71"/>
        <v>33</v>
      </c>
      <c r="X137" s="1">
        <f t="shared" si="71"/>
        <v>33</v>
      </c>
      <c r="Y137" s="1">
        <f t="shared" si="71"/>
        <v>33</v>
      </c>
      <c r="Z137" s="1">
        <f t="shared" si="71"/>
        <v>33</v>
      </c>
      <c r="AA137" s="1">
        <f t="shared" si="71"/>
        <v>6</v>
      </c>
      <c r="AB137" s="1">
        <f t="shared" si="71"/>
        <v>6</v>
      </c>
      <c r="AC137" s="1">
        <f t="shared" si="71"/>
        <v>33</v>
      </c>
      <c r="AD137" s="1">
        <f t="shared" si="71"/>
        <v>33</v>
      </c>
      <c r="AE137" s="1">
        <f t="shared" si="71"/>
        <v>33</v>
      </c>
      <c r="AF137" s="1">
        <f t="shared" si="71"/>
        <v>33</v>
      </c>
      <c r="AG137" s="1">
        <f t="shared" si="71"/>
        <v>33</v>
      </c>
      <c r="AH137" s="1">
        <f t="shared" si="71"/>
        <v>33</v>
      </c>
      <c r="AI137" s="1">
        <f t="shared" si="71"/>
        <v>33</v>
      </c>
      <c r="AJ137" s="1">
        <f t="shared" si="71"/>
        <v>33</v>
      </c>
      <c r="AK137" s="1">
        <f t="shared" si="71"/>
        <v>33</v>
      </c>
      <c r="AL137" s="1">
        <f t="shared" si="71"/>
        <v>33</v>
      </c>
      <c r="AM137" s="1">
        <f t="shared" si="71"/>
        <v>6</v>
      </c>
      <c r="AN137" s="1">
        <f t="shared" si="71"/>
        <v>33</v>
      </c>
      <c r="AO137" s="1">
        <f t="shared" si="71"/>
        <v>33</v>
      </c>
      <c r="AP137" s="1">
        <f t="shared" si="71"/>
        <v>7</v>
      </c>
      <c r="AQ137" s="1">
        <f t="shared" si="71"/>
        <v>7</v>
      </c>
      <c r="AR137" s="1">
        <f t="shared" si="71"/>
        <v>6</v>
      </c>
      <c r="AS137" s="1">
        <f t="shared" si="71"/>
        <v>33</v>
      </c>
      <c r="AT137" s="1">
        <f t="shared" si="71"/>
        <v>33</v>
      </c>
      <c r="AU137" s="1">
        <f t="shared" si="71"/>
        <v>33</v>
      </c>
    </row>
    <row r="138" spans="1:47">
      <c r="A138" s="1" t="str">
        <f t="shared" si="65"/>
        <v>   1.1.4) Level of technology employed</v>
      </c>
      <c r="B138" s="1">
        <f t="shared" ref="B138:AU138" si="72">COUNTIF($B73:$AU73,B73)</f>
        <v>26</v>
      </c>
      <c r="C138" s="1">
        <f t="shared" si="72"/>
        <v>26</v>
      </c>
      <c r="D138" s="1">
        <f t="shared" si="72"/>
        <v>19</v>
      </c>
      <c r="E138" s="1">
        <f t="shared" si="72"/>
        <v>26</v>
      </c>
      <c r="F138" s="1">
        <f t="shared" si="72"/>
        <v>19</v>
      </c>
      <c r="G138" s="1">
        <f t="shared" si="72"/>
        <v>26</v>
      </c>
      <c r="H138" s="1">
        <f t="shared" si="72"/>
        <v>19</v>
      </c>
      <c r="I138" s="1">
        <f t="shared" si="72"/>
        <v>26</v>
      </c>
      <c r="J138" s="1">
        <f t="shared" si="72"/>
        <v>19</v>
      </c>
      <c r="K138" s="1">
        <f t="shared" si="72"/>
        <v>19</v>
      </c>
      <c r="L138" s="1">
        <f t="shared" si="72"/>
        <v>26</v>
      </c>
      <c r="M138" s="1">
        <f t="shared" si="72"/>
        <v>19</v>
      </c>
      <c r="N138" s="1">
        <f t="shared" si="72"/>
        <v>26</v>
      </c>
      <c r="O138" s="1">
        <f t="shared" si="72"/>
        <v>19</v>
      </c>
      <c r="P138" s="1">
        <f t="shared" si="72"/>
        <v>19</v>
      </c>
      <c r="Q138" s="1">
        <f t="shared" si="72"/>
        <v>19</v>
      </c>
      <c r="R138" s="1">
        <f t="shared" si="72"/>
        <v>19</v>
      </c>
      <c r="S138" s="1">
        <f t="shared" si="72"/>
        <v>19</v>
      </c>
      <c r="T138" s="1">
        <f t="shared" si="72"/>
        <v>26</v>
      </c>
      <c r="U138" s="1">
        <f t="shared" si="72"/>
        <v>26</v>
      </c>
      <c r="V138" s="1">
        <f t="shared" si="72"/>
        <v>26</v>
      </c>
      <c r="W138" s="1">
        <f t="shared" si="72"/>
        <v>26</v>
      </c>
      <c r="X138" s="1">
        <f t="shared" si="72"/>
        <v>19</v>
      </c>
      <c r="Y138" s="1">
        <f t="shared" si="72"/>
        <v>26</v>
      </c>
      <c r="Z138" s="1">
        <f t="shared" si="72"/>
        <v>19</v>
      </c>
      <c r="AA138" s="1">
        <f t="shared" si="72"/>
        <v>19</v>
      </c>
      <c r="AB138" s="1">
        <f t="shared" si="72"/>
        <v>26</v>
      </c>
      <c r="AC138" s="1">
        <f t="shared" si="72"/>
        <v>26</v>
      </c>
      <c r="AD138" s="1">
        <f t="shared" si="72"/>
        <v>26</v>
      </c>
      <c r="AE138" s="1">
        <f t="shared" si="72"/>
        <v>19</v>
      </c>
      <c r="AF138" s="1">
        <f t="shared" si="72"/>
        <v>19</v>
      </c>
      <c r="AG138" s="1">
        <f t="shared" si="72"/>
        <v>26</v>
      </c>
      <c r="AH138" s="1">
        <f t="shared" si="72"/>
        <v>26</v>
      </c>
      <c r="AI138" s="1">
        <f t="shared" si="72"/>
        <v>19</v>
      </c>
      <c r="AJ138" s="1">
        <f t="shared" si="72"/>
        <v>19</v>
      </c>
      <c r="AK138" s="1">
        <f t="shared" si="72"/>
        <v>26</v>
      </c>
      <c r="AL138" s="1">
        <f t="shared" si="72"/>
        <v>19</v>
      </c>
      <c r="AM138" s="1">
        <f t="shared" si="72"/>
        <v>26</v>
      </c>
      <c r="AN138" s="1">
        <f t="shared" si="72"/>
        <v>26</v>
      </c>
      <c r="AO138" s="1">
        <f t="shared" si="72"/>
        <v>26</v>
      </c>
      <c r="AP138" s="1">
        <f t="shared" si="72"/>
        <v>26</v>
      </c>
      <c r="AQ138" s="1">
        <f t="shared" si="72"/>
        <v>1</v>
      </c>
      <c r="AR138" s="1">
        <f t="shared" si="72"/>
        <v>26</v>
      </c>
      <c r="AS138" s="1">
        <f t="shared" si="72"/>
        <v>26</v>
      </c>
      <c r="AT138" s="1">
        <f t="shared" si="72"/>
        <v>26</v>
      </c>
      <c r="AU138" s="1">
        <f t="shared" si="72"/>
        <v>26</v>
      </c>
    </row>
    <row r="139" spans="1:47">
      <c r="A139" s="1" t="str">
        <f t="shared" si="65"/>
        <v>   1.1.5) Dedicated cyber security teams</v>
      </c>
      <c r="B139" s="1">
        <f t="shared" ref="B139:AU139" si="73">COUNTIF($B74:$AU74,B74)</f>
        <v>13</v>
      </c>
      <c r="C139" s="1">
        <f t="shared" si="73"/>
        <v>33</v>
      </c>
      <c r="D139" s="1">
        <f t="shared" si="73"/>
        <v>33</v>
      </c>
      <c r="E139" s="1">
        <f t="shared" si="73"/>
        <v>13</v>
      </c>
      <c r="F139" s="1">
        <f t="shared" si="73"/>
        <v>33</v>
      </c>
      <c r="G139" s="1">
        <f t="shared" si="73"/>
        <v>33</v>
      </c>
      <c r="H139" s="1">
        <f t="shared" si="73"/>
        <v>33</v>
      </c>
      <c r="I139" s="1">
        <f t="shared" si="73"/>
        <v>13</v>
      </c>
      <c r="J139" s="1">
        <f t="shared" si="73"/>
        <v>33</v>
      </c>
      <c r="K139" s="1">
        <f t="shared" si="73"/>
        <v>33</v>
      </c>
      <c r="L139" s="1">
        <f t="shared" si="73"/>
        <v>33</v>
      </c>
      <c r="M139" s="1">
        <f t="shared" si="73"/>
        <v>33</v>
      </c>
      <c r="N139" s="1">
        <f t="shared" si="73"/>
        <v>13</v>
      </c>
      <c r="O139" s="1">
        <f t="shared" si="73"/>
        <v>33</v>
      </c>
      <c r="P139" s="1">
        <f t="shared" si="73"/>
        <v>33</v>
      </c>
      <c r="Q139" s="1">
        <f t="shared" si="73"/>
        <v>33</v>
      </c>
      <c r="R139" s="1">
        <f t="shared" si="73"/>
        <v>33</v>
      </c>
      <c r="S139" s="1">
        <f t="shared" si="73"/>
        <v>33</v>
      </c>
      <c r="T139" s="1">
        <f t="shared" si="73"/>
        <v>33</v>
      </c>
      <c r="U139" s="1">
        <f t="shared" si="73"/>
        <v>13</v>
      </c>
      <c r="V139" s="1">
        <f t="shared" si="73"/>
        <v>33</v>
      </c>
      <c r="W139" s="1">
        <f t="shared" si="73"/>
        <v>33</v>
      </c>
      <c r="X139" s="1">
        <f t="shared" si="73"/>
        <v>33</v>
      </c>
      <c r="Y139" s="1">
        <f t="shared" si="73"/>
        <v>13</v>
      </c>
      <c r="Z139" s="1">
        <f t="shared" si="73"/>
        <v>33</v>
      </c>
      <c r="AA139" s="1">
        <f t="shared" si="73"/>
        <v>13</v>
      </c>
      <c r="AB139" s="1">
        <f t="shared" si="73"/>
        <v>13</v>
      </c>
      <c r="AC139" s="1">
        <f t="shared" si="73"/>
        <v>33</v>
      </c>
      <c r="AD139" s="1">
        <f t="shared" si="73"/>
        <v>33</v>
      </c>
      <c r="AE139" s="1">
        <f t="shared" si="73"/>
        <v>33</v>
      </c>
      <c r="AF139" s="1">
        <f t="shared" si="73"/>
        <v>33</v>
      </c>
      <c r="AG139" s="1">
        <f t="shared" si="73"/>
        <v>33</v>
      </c>
      <c r="AH139" s="1">
        <f t="shared" si="73"/>
        <v>13</v>
      </c>
      <c r="AI139" s="1">
        <f t="shared" si="73"/>
        <v>33</v>
      </c>
      <c r="AJ139" s="1">
        <f t="shared" si="73"/>
        <v>33</v>
      </c>
      <c r="AK139" s="1">
        <f t="shared" si="73"/>
        <v>33</v>
      </c>
      <c r="AL139" s="1">
        <f t="shared" si="73"/>
        <v>33</v>
      </c>
      <c r="AM139" s="1">
        <f t="shared" si="73"/>
        <v>13</v>
      </c>
      <c r="AN139" s="1">
        <f t="shared" si="73"/>
        <v>33</v>
      </c>
      <c r="AO139" s="1">
        <f t="shared" si="73"/>
        <v>13</v>
      </c>
      <c r="AP139" s="1">
        <f t="shared" si="73"/>
        <v>33</v>
      </c>
      <c r="AQ139" s="1">
        <f t="shared" si="73"/>
        <v>33</v>
      </c>
      <c r="AR139" s="1">
        <f t="shared" si="73"/>
        <v>13</v>
      </c>
      <c r="AS139" s="1">
        <f t="shared" si="73"/>
        <v>13</v>
      </c>
      <c r="AT139" s="1">
        <f t="shared" si="73"/>
        <v>33</v>
      </c>
      <c r="AU139" s="1">
        <f t="shared" si="73"/>
        <v>33</v>
      </c>
    </row>
    <row r="140" spans="1:47">
      <c r="A140" s="1" t="str">
        <f t="shared" si="65"/>
        <v>  1.2) Digital security (Outputs)</v>
      </c>
      <c r="B140" s="1">
        <f t="shared" ref="B140:AU140" si="74">COUNTIF($B75:$AU75,B75)</f>
        <v>1</v>
      </c>
      <c r="C140" s="1">
        <f t="shared" si="74"/>
        <v>1</v>
      </c>
      <c r="D140" s="1">
        <f t="shared" si="74"/>
        <v>1</v>
      </c>
      <c r="E140" s="1">
        <f t="shared" si="74"/>
        <v>1</v>
      </c>
      <c r="F140" s="1">
        <f t="shared" si="74"/>
        <v>1</v>
      </c>
      <c r="G140" s="1">
        <f t="shared" si="74"/>
        <v>1</v>
      </c>
      <c r="H140" s="1">
        <f t="shared" si="74"/>
        <v>1</v>
      </c>
      <c r="I140" s="1">
        <f t="shared" si="74"/>
        <v>1</v>
      </c>
      <c r="J140" s="1">
        <f t="shared" si="74"/>
        <v>1</v>
      </c>
      <c r="K140" s="1">
        <f t="shared" si="74"/>
        <v>1</v>
      </c>
      <c r="L140" s="1">
        <f t="shared" si="74"/>
        <v>1</v>
      </c>
      <c r="M140" s="1">
        <f t="shared" si="74"/>
        <v>1</v>
      </c>
      <c r="N140" s="1">
        <f t="shared" si="74"/>
        <v>1</v>
      </c>
      <c r="O140" s="1">
        <f t="shared" si="74"/>
        <v>1</v>
      </c>
      <c r="P140" s="1">
        <f t="shared" si="74"/>
        <v>1</v>
      </c>
      <c r="Q140" s="1">
        <f t="shared" si="74"/>
        <v>1</v>
      </c>
      <c r="R140" s="1">
        <f t="shared" si="74"/>
        <v>1</v>
      </c>
      <c r="S140" s="1">
        <f t="shared" si="74"/>
        <v>1</v>
      </c>
      <c r="T140" s="1">
        <f t="shared" si="74"/>
        <v>1</v>
      </c>
      <c r="U140" s="1">
        <f t="shared" si="74"/>
        <v>2</v>
      </c>
      <c r="V140" s="1">
        <f t="shared" si="74"/>
        <v>1</v>
      </c>
      <c r="W140" s="1">
        <f t="shared" si="74"/>
        <v>1</v>
      </c>
      <c r="X140" s="1">
        <f t="shared" si="74"/>
        <v>1</v>
      </c>
      <c r="Y140" s="1">
        <f t="shared" si="74"/>
        <v>1</v>
      </c>
      <c r="Z140" s="1">
        <f t="shared" si="74"/>
        <v>1</v>
      </c>
      <c r="AA140" s="1">
        <f t="shared" si="74"/>
        <v>1</v>
      </c>
      <c r="AB140" s="1">
        <f t="shared" si="74"/>
        <v>1</v>
      </c>
      <c r="AC140" s="1">
        <f t="shared" si="74"/>
        <v>1</v>
      </c>
      <c r="AD140" s="1">
        <f t="shared" si="74"/>
        <v>1</v>
      </c>
      <c r="AE140" s="1">
        <f t="shared" si="74"/>
        <v>1</v>
      </c>
      <c r="AF140" s="1">
        <f t="shared" si="74"/>
        <v>1</v>
      </c>
      <c r="AG140" s="1">
        <f t="shared" si="74"/>
        <v>1</v>
      </c>
      <c r="AH140" s="1">
        <f t="shared" si="74"/>
        <v>1</v>
      </c>
      <c r="AI140" s="1">
        <f t="shared" si="74"/>
        <v>1</v>
      </c>
      <c r="AJ140" s="1">
        <f t="shared" si="74"/>
        <v>1</v>
      </c>
      <c r="AK140" s="1">
        <f t="shared" si="74"/>
        <v>1</v>
      </c>
      <c r="AL140" s="1">
        <f t="shared" si="74"/>
        <v>1</v>
      </c>
      <c r="AM140" s="1">
        <f t="shared" si="74"/>
        <v>1</v>
      </c>
      <c r="AN140" s="1">
        <f t="shared" si="74"/>
        <v>1</v>
      </c>
      <c r="AO140" s="1">
        <f t="shared" si="74"/>
        <v>1</v>
      </c>
      <c r="AP140" s="1">
        <f t="shared" si="74"/>
        <v>1</v>
      </c>
      <c r="AQ140" s="1">
        <f t="shared" si="74"/>
        <v>1</v>
      </c>
      <c r="AR140" s="1">
        <f t="shared" si="74"/>
        <v>1</v>
      </c>
      <c r="AS140" s="1">
        <f t="shared" si="74"/>
        <v>1</v>
      </c>
      <c r="AT140" s="1">
        <f t="shared" si="74"/>
        <v>2</v>
      </c>
      <c r="AU140" s="1">
        <f t="shared" si="74"/>
        <v>1</v>
      </c>
    </row>
    <row r="141" spans="1:47">
      <c r="A141" s="1" t="str">
        <f t="shared" si="65"/>
        <v>   1.2.1) Frequency of identity theft</v>
      </c>
      <c r="B141" s="1">
        <f t="shared" ref="B141:AU141" si="75">COUNTIF($B76:$AU76,B76)</f>
        <v>9</v>
      </c>
      <c r="C141" s="1">
        <f t="shared" si="75"/>
        <v>1</v>
      </c>
      <c r="D141" s="1">
        <f t="shared" si="75"/>
        <v>9</v>
      </c>
      <c r="E141" s="1">
        <f t="shared" si="75"/>
        <v>3</v>
      </c>
      <c r="F141" s="1">
        <f t="shared" si="75"/>
        <v>2</v>
      </c>
      <c r="G141" s="1">
        <f t="shared" si="75"/>
        <v>1</v>
      </c>
      <c r="H141" s="1">
        <f t="shared" si="75"/>
        <v>9</v>
      </c>
      <c r="I141" s="1">
        <f t="shared" si="75"/>
        <v>6</v>
      </c>
      <c r="J141" s="1">
        <f t="shared" si="75"/>
        <v>3</v>
      </c>
      <c r="K141" s="1">
        <f t="shared" si="75"/>
        <v>9</v>
      </c>
      <c r="L141" s="1">
        <f t="shared" si="75"/>
        <v>5</v>
      </c>
      <c r="M141" s="1">
        <f t="shared" si="75"/>
        <v>9</v>
      </c>
      <c r="N141" s="1">
        <f t="shared" si="75"/>
        <v>9</v>
      </c>
      <c r="O141" s="1">
        <f t="shared" si="75"/>
        <v>5</v>
      </c>
      <c r="P141" s="1">
        <f t="shared" si="75"/>
        <v>1</v>
      </c>
      <c r="Q141" s="1">
        <f t="shared" si="75"/>
        <v>3</v>
      </c>
      <c r="R141" s="1">
        <f t="shared" si="75"/>
        <v>9</v>
      </c>
      <c r="S141" s="1">
        <f t="shared" si="75"/>
        <v>1</v>
      </c>
      <c r="T141" s="1">
        <f t="shared" si="75"/>
        <v>1</v>
      </c>
      <c r="U141" s="1">
        <f t="shared" si="75"/>
        <v>6</v>
      </c>
      <c r="V141" s="1">
        <f t="shared" si="75"/>
        <v>3</v>
      </c>
      <c r="W141" s="1">
        <f t="shared" si="75"/>
        <v>5</v>
      </c>
      <c r="X141" s="1">
        <f t="shared" si="75"/>
        <v>3</v>
      </c>
      <c r="Y141" s="1">
        <f t="shared" si="75"/>
        <v>3</v>
      </c>
      <c r="Z141" s="1">
        <f t="shared" si="75"/>
        <v>4</v>
      </c>
      <c r="AA141" s="1">
        <f t="shared" si="75"/>
        <v>3</v>
      </c>
      <c r="AB141" s="1">
        <f t="shared" si="75"/>
        <v>6</v>
      </c>
      <c r="AC141" s="1">
        <f t="shared" si="75"/>
        <v>4</v>
      </c>
      <c r="AD141" s="1">
        <f t="shared" si="75"/>
        <v>4</v>
      </c>
      <c r="AE141" s="1">
        <f t="shared" si="75"/>
        <v>4</v>
      </c>
      <c r="AF141" s="1">
        <f t="shared" si="75"/>
        <v>5</v>
      </c>
      <c r="AG141" s="1">
        <f t="shared" si="75"/>
        <v>3</v>
      </c>
      <c r="AH141" s="1">
        <f t="shared" si="75"/>
        <v>6</v>
      </c>
      <c r="AI141" s="1">
        <f t="shared" si="75"/>
        <v>9</v>
      </c>
      <c r="AJ141" s="1">
        <f t="shared" si="75"/>
        <v>4</v>
      </c>
      <c r="AK141" s="1">
        <f t="shared" si="75"/>
        <v>1</v>
      </c>
      <c r="AL141" s="1">
        <f t="shared" si="75"/>
        <v>2</v>
      </c>
      <c r="AM141" s="1">
        <f t="shared" si="75"/>
        <v>4</v>
      </c>
      <c r="AN141" s="1">
        <f t="shared" si="75"/>
        <v>1</v>
      </c>
      <c r="AO141" s="1">
        <f t="shared" si="75"/>
        <v>5</v>
      </c>
      <c r="AP141" s="1">
        <f t="shared" si="75"/>
        <v>9</v>
      </c>
      <c r="AQ141" s="1">
        <f t="shared" si="75"/>
        <v>3</v>
      </c>
      <c r="AR141" s="1">
        <f t="shared" si="75"/>
        <v>4</v>
      </c>
      <c r="AS141" s="1">
        <f t="shared" si="75"/>
        <v>6</v>
      </c>
      <c r="AT141" s="1">
        <f t="shared" si="75"/>
        <v>6</v>
      </c>
      <c r="AU141" s="1">
        <f t="shared" si="75"/>
        <v>4</v>
      </c>
    </row>
    <row r="142" spans="1:47">
      <c r="A142" s="1" t="str">
        <f t="shared" si="65"/>
        <v>   1.2.2) Percentage of computers infected</v>
      </c>
      <c r="B142" s="1">
        <f t="shared" ref="B142:AU142" si="76">COUNTIF($B77:$AU77,B77)</f>
        <v>28</v>
      </c>
      <c r="C142" s="1">
        <f t="shared" si="76"/>
        <v>6</v>
      </c>
      <c r="D142" s="1">
        <f t="shared" si="76"/>
        <v>7</v>
      </c>
      <c r="E142" s="1">
        <f t="shared" si="76"/>
        <v>7</v>
      </c>
      <c r="F142" s="1">
        <f t="shared" si="76"/>
        <v>28</v>
      </c>
      <c r="G142" s="1">
        <f t="shared" si="76"/>
        <v>28</v>
      </c>
      <c r="H142" s="1">
        <f t="shared" si="76"/>
        <v>6</v>
      </c>
      <c r="I142" s="1">
        <f t="shared" si="76"/>
        <v>28</v>
      </c>
      <c r="J142" s="1">
        <f t="shared" si="76"/>
        <v>28</v>
      </c>
      <c r="K142" s="1">
        <f t="shared" si="76"/>
        <v>28</v>
      </c>
      <c r="L142" s="1">
        <f t="shared" si="76"/>
        <v>7</v>
      </c>
      <c r="M142" s="1">
        <f t="shared" si="76"/>
        <v>2</v>
      </c>
      <c r="N142" s="1">
        <f t="shared" si="76"/>
        <v>28</v>
      </c>
      <c r="O142" s="1">
        <f t="shared" si="76"/>
        <v>7</v>
      </c>
      <c r="P142" s="1">
        <f t="shared" si="76"/>
        <v>28</v>
      </c>
      <c r="Q142" s="1">
        <f t="shared" si="76"/>
        <v>6</v>
      </c>
      <c r="R142" s="1">
        <f t="shared" si="76"/>
        <v>28</v>
      </c>
      <c r="S142" s="1">
        <f t="shared" si="76"/>
        <v>28</v>
      </c>
      <c r="T142" s="1">
        <f t="shared" si="76"/>
        <v>28</v>
      </c>
      <c r="U142" s="1">
        <f t="shared" si="76"/>
        <v>28</v>
      </c>
      <c r="V142" s="1">
        <f t="shared" si="76"/>
        <v>7</v>
      </c>
      <c r="W142" s="1">
        <f t="shared" si="76"/>
        <v>28</v>
      </c>
      <c r="X142" s="1">
        <f t="shared" si="76"/>
        <v>6</v>
      </c>
      <c r="Y142" s="1">
        <f t="shared" si="76"/>
        <v>28</v>
      </c>
      <c r="Z142" s="1">
        <f t="shared" si="76"/>
        <v>2</v>
      </c>
      <c r="AA142" s="1">
        <f t="shared" si="76"/>
        <v>28</v>
      </c>
      <c r="AB142" s="1">
        <f t="shared" si="76"/>
        <v>28</v>
      </c>
      <c r="AC142" s="1">
        <f t="shared" si="76"/>
        <v>3</v>
      </c>
      <c r="AD142" s="1">
        <f t="shared" si="76"/>
        <v>7</v>
      </c>
      <c r="AE142" s="1">
        <f t="shared" si="76"/>
        <v>28</v>
      </c>
      <c r="AF142" s="1">
        <f t="shared" si="76"/>
        <v>7</v>
      </c>
      <c r="AG142" s="1">
        <f t="shared" si="76"/>
        <v>28</v>
      </c>
      <c r="AH142" s="1">
        <f t="shared" si="76"/>
        <v>28</v>
      </c>
      <c r="AI142" s="1">
        <f t="shared" si="76"/>
        <v>6</v>
      </c>
      <c r="AJ142" s="1">
        <f t="shared" si="76"/>
        <v>28</v>
      </c>
      <c r="AK142" s="1">
        <f t="shared" si="76"/>
        <v>28</v>
      </c>
      <c r="AL142" s="1">
        <f t="shared" si="76"/>
        <v>28</v>
      </c>
      <c r="AM142" s="1">
        <f t="shared" si="76"/>
        <v>3</v>
      </c>
      <c r="AN142" s="1">
        <f t="shared" si="76"/>
        <v>28</v>
      </c>
      <c r="AO142" s="1">
        <f t="shared" si="76"/>
        <v>28</v>
      </c>
      <c r="AP142" s="1">
        <f t="shared" si="76"/>
        <v>6</v>
      </c>
      <c r="AQ142" s="1">
        <f t="shared" si="76"/>
        <v>28</v>
      </c>
      <c r="AR142" s="1">
        <f t="shared" si="76"/>
        <v>3</v>
      </c>
      <c r="AS142" s="1">
        <f t="shared" si="76"/>
        <v>28</v>
      </c>
      <c r="AT142" s="1">
        <f t="shared" si="76"/>
        <v>28</v>
      </c>
      <c r="AU142" s="1">
        <f t="shared" si="76"/>
        <v>28</v>
      </c>
    </row>
    <row r="143" spans="1:47">
      <c r="A143" s="1" t="str">
        <f t="shared" si="65"/>
        <v>   1.2.3) Percentage with Internet access</v>
      </c>
      <c r="B143" s="1">
        <f t="shared" ref="B143:AU143" si="77">COUNTIF($B78:$AU78,B78)</f>
        <v>2</v>
      </c>
      <c r="C143" s="1">
        <f t="shared" si="77"/>
        <v>1</v>
      </c>
      <c r="D143" s="1">
        <f t="shared" si="77"/>
        <v>1</v>
      </c>
      <c r="E143" s="1">
        <f t="shared" si="77"/>
        <v>1</v>
      </c>
      <c r="F143" s="1">
        <f t="shared" si="77"/>
        <v>1</v>
      </c>
      <c r="G143" s="1">
        <f t="shared" si="77"/>
        <v>1</v>
      </c>
      <c r="H143" s="1">
        <f t="shared" si="77"/>
        <v>1</v>
      </c>
      <c r="I143" s="1">
        <f t="shared" si="77"/>
        <v>1</v>
      </c>
      <c r="J143" s="1">
        <f t="shared" si="77"/>
        <v>1</v>
      </c>
      <c r="K143" s="1">
        <f t="shared" si="77"/>
        <v>2</v>
      </c>
      <c r="L143" s="1">
        <f t="shared" si="77"/>
        <v>1</v>
      </c>
      <c r="M143" s="1">
        <f t="shared" si="77"/>
        <v>1</v>
      </c>
      <c r="N143" s="1">
        <f t="shared" si="77"/>
        <v>1</v>
      </c>
      <c r="O143" s="1">
        <f t="shared" si="77"/>
        <v>1</v>
      </c>
      <c r="P143" s="1">
        <f t="shared" si="77"/>
        <v>1</v>
      </c>
      <c r="Q143" s="1">
        <f t="shared" si="77"/>
        <v>1</v>
      </c>
      <c r="R143" s="1">
        <f t="shared" si="77"/>
        <v>2</v>
      </c>
      <c r="S143" s="1">
        <f t="shared" si="77"/>
        <v>1</v>
      </c>
      <c r="T143" s="1">
        <f t="shared" si="77"/>
        <v>1</v>
      </c>
      <c r="U143" s="1">
        <f t="shared" si="77"/>
        <v>2</v>
      </c>
      <c r="V143" s="1">
        <f t="shared" si="77"/>
        <v>1</v>
      </c>
      <c r="W143" s="1">
        <f t="shared" si="77"/>
        <v>1</v>
      </c>
      <c r="X143" s="1">
        <f t="shared" si="77"/>
        <v>1</v>
      </c>
      <c r="Y143" s="1">
        <f t="shared" si="77"/>
        <v>1</v>
      </c>
      <c r="Z143" s="1">
        <f t="shared" si="77"/>
        <v>2</v>
      </c>
      <c r="AA143" s="1">
        <f t="shared" si="77"/>
        <v>2</v>
      </c>
      <c r="AB143" s="1">
        <f t="shared" si="77"/>
        <v>1</v>
      </c>
      <c r="AC143" s="1">
        <f t="shared" si="77"/>
        <v>1</v>
      </c>
      <c r="AD143" s="1">
        <f t="shared" si="77"/>
        <v>2</v>
      </c>
      <c r="AE143" s="1">
        <f t="shared" si="77"/>
        <v>2</v>
      </c>
      <c r="AF143" s="1">
        <f t="shared" si="77"/>
        <v>1</v>
      </c>
      <c r="AG143" s="1">
        <f t="shared" si="77"/>
        <v>1</v>
      </c>
      <c r="AH143" s="1">
        <f t="shared" si="77"/>
        <v>1</v>
      </c>
      <c r="AI143" s="1">
        <f t="shared" si="77"/>
        <v>1</v>
      </c>
      <c r="AJ143" s="1">
        <f t="shared" si="77"/>
        <v>1</v>
      </c>
      <c r="AK143" s="1">
        <f t="shared" si="77"/>
        <v>1</v>
      </c>
      <c r="AL143" s="1">
        <f t="shared" si="77"/>
        <v>1</v>
      </c>
      <c r="AM143" s="1">
        <f t="shared" si="77"/>
        <v>1</v>
      </c>
      <c r="AN143" s="1">
        <f t="shared" si="77"/>
        <v>1</v>
      </c>
      <c r="AO143" s="1">
        <f t="shared" si="77"/>
        <v>1</v>
      </c>
      <c r="AP143" s="1">
        <f t="shared" si="77"/>
        <v>1</v>
      </c>
      <c r="AQ143" s="1">
        <f t="shared" si="77"/>
        <v>1</v>
      </c>
      <c r="AR143" s="1">
        <f t="shared" si="77"/>
        <v>1</v>
      </c>
      <c r="AS143" s="1">
        <f t="shared" si="77"/>
        <v>1</v>
      </c>
      <c r="AT143" s="1">
        <f t="shared" si="77"/>
        <v>2</v>
      </c>
      <c r="AU143" s="1">
        <f t="shared" si="77"/>
        <v>2</v>
      </c>
    </row>
    <row r="144" spans="1:47">
      <c r="A144" s="1" t="str">
        <f t="shared" si="65"/>
        <v> 2) HEALTH SECURITY</v>
      </c>
      <c r="B144" s="1">
        <f t="shared" ref="B144:AU144" si="78">COUNTIF($B79:$AU79,B79)</f>
        <v>1</v>
      </c>
      <c r="C144" s="1">
        <f t="shared" si="78"/>
        <v>1</v>
      </c>
      <c r="D144" s="1">
        <f t="shared" si="78"/>
        <v>1</v>
      </c>
      <c r="E144" s="1">
        <f t="shared" si="78"/>
        <v>1</v>
      </c>
      <c r="F144" s="1">
        <f t="shared" si="78"/>
        <v>1</v>
      </c>
      <c r="G144" s="1">
        <f t="shared" si="78"/>
        <v>1</v>
      </c>
      <c r="H144" s="1">
        <f t="shared" si="78"/>
        <v>1</v>
      </c>
      <c r="I144" s="1">
        <f t="shared" si="78"/>
        <v>1</v>
      </c>
      <c r="J144" s="1">
        <f t="shared" si="78"/>
        <v>1</v>
      </c>
      <c r="K144" s="1">
        <f t="shared" si="78"/>
        <v>1</v>
      </c>
      <c r="L144" s="1">
        <f t="shared" si="78"/>
        <v>1</v>
      </c>
      <c r="M144" s="1">
        <f t="shared" si="78"/>
        <v>1</v>
      </c>
      <c r="N144" s="1">
        <f t="shared" si="78"/>
        <v>1</v>
      </c>
      <c r="O144" s="1">
        <f t="shared" si="78"/>
        <v>1</v>
      </c>
      <c r="P144" s="1">
        <f t="shared" si="78"/>
        <v>1</v>
      </c>
      <c r="Q144" s="1">
        <f t="shared" si="78"/>
        <v>1</v>
      </c>
      <c r="R144" s="1">
        <f t="shared" si="78"/>
        <v>1</v>
      </c>
      <c r="S144" s="1">
        <f t="shared" si="78"/>
        <v>1</v>
      </c>
      <c r="T144" s="1">
        <f t="shared" si="78"/>
        <v>1</v>
      </c>
      <c r="U144" s="1">
        <f t="shared" si="78"/>
        <v>1</v>
      </c>
      <c r="V144" s="1">
        <f t="shared" si="78"/>
        <v>1</v>
      </c>
      <c r="W144" s="1">
        <f t="shared" si="78"/>
        <v>1</v>
      </c>
      <c r="X144" s="1">
        <f t="shared" si="78"/>
        <v>1</v>
      </c>
      <c r="Y144" s="1">
        <f t="shared" si="78"/>
        <v>1</v>
      </c>
      <c r="Z144" s="1">
        <f t="shared" si="78"/>
        <v>1</v>
      </c>
      <c r="AA144" s="1">
        <f t="shared" si="78"/>
        <v>1</v>
      </c>
      <c r="AB144" s="1">
        <f t="shared" si="78"/>
        <v>1</v>
      </c>
      <c r="AC144" s="1">
        <f t="shared" si="78"/>
        <v>1</v>
      </c>
      <c r="AD144" s="1">
        <f t="shared" si="78"/>
        <v>1</v>
      </c>
      <c r="AE144" s="1">
        <f t="shared" si="78"/>
        <v>1</v>
      </c>
      <c r="AF144" s="1">
        <f t="shared" si="78"/>
        <v>1</v>
      </c>
      <c r="AG144" s="1">
        <f t="shared" si="78"/>
        <v>1</v>
      </c>
      <c r="AH144" s="1">
        <f t="shared" si="78"/>
        <v>1</v>
      </c>
      <c r="AI144" s="1">
        <f t="shared" si="78"/>
        <v>1</v>
      </c>
      <c r="AJ144" s="1">
        <f t="shared" si="78"/>
        <v>1</v>
      </c>
      <c r="AK144" s="1">
        <f t="shared" si="78"/>
        <v>1</v>
      </c>
      <c r="AL144" s="1">
        <f t="shared" si="78"/>
        <v>1</v>
      </c>
      <c r="AM144" s="1">
        <f t="shared" si="78"/>
        <v>1</v>
      </c>
      <c r="AN144" s="1">
        <f t="shared" si="78"/>
        <v>1</v>
      </c>
      <c r="AO144" s="1">
        <f t="shared" si="78"/>
        <v>1</v>
      </c>
      <c r="AP144" s="1">
        <f t="shared" si="78"/>
        <v>1</v>
      </c>
      <c r="AQ144" s="1">
        <f t="shared" si="78"/>
        <v>1</v>
      </c>
      <c r="AR144" s="1">
        <f t="shared" si="78"/>
        <v>1</v>
      </c>
      <c r="AS144" s="1">
        <f t="shared" si="78"/>
        <v>1</v>
      </c>
      <c r="AT144" s="1">
        <f t="shared" si="78"/>
        <v>1</v>
      </c>
      <c r="AU144" s="1">
        <f t="shared" si="78"/>
        <v>1</v>
      </c>
    </row>
    <row r="145" spans="1:47">
      <c r="A145" s="1" t="str">
        <f t="shared" si="65"/>
        <v>  2.1) Health security (Inputs)</v>
      </c>
      <c r="B145" s="1">
        <f t="shared" ref="B145:AU145" si="79">COUNTIF($B80:$AU80,B80)</f>
        <v>1</v>
      </c>
      <c r="C145" s="1">
        <f t="shared" si="79"/>
        <v>1</v>
      </c>
      <c r="D145" s="1">
        <f t="shared" si="79"/>
        <v>1</v>
      </c>
      <c r="E145" s="1">
        <f t="shared" si="79"/>
        <v>1</v>
      </c>
      <c r="F145" s="1">
        <f t="shared" si="79"/>
        <v>1</v>
      </c>
      <c r="G145" s="1">
        <f t="shared" si="79"/>
        <v>1</v>
      </c>
      <c r="H145" s="1">
        <f t="shared" si="79"/>
        <v>1</v>
      </c>
      <c r="I145" s="1">
        <f t="shared" si="79"/>
        <v>1</v>
      </c>
      <c r="J145" s="1">
        <f t="shared" si="79"/>
        <v>1</v>
      </c>
      <c r="K145" s="1">
        <f t="shared" si="79"/>
        <v>1</v>
      </c>
      <c r="L145" s="1">
        <f t="shared" si="79"/>
        <v>1</v>
      </c>
      <c r="M145" s="1">
        <f t="shared" si="79"/>
        <v>1</v>
      </c>
      <c r="N145" s="1">
        <f t="shared" si="79"/>
        <v>1</v>
      </c>
      <c r="O145" s="1">
        <f t="shared" si="79"/>
        <v>1</v>
      </c>
      <c r="P145" s="1">
        <f t="shared" si="79"/>
        <v>1</v>
      </c>
      <c r="Q145" s="1">
        <f t="shared" si="79"/>
        <v>1</v>
      </c>
      <c r="R145" s="1">
        <f t="shared" si="79"/>
        <v>1</v>
      </c>
      <c r="S145" s="1">
        <f t="shared" si="79"/>
        <v>1</v>
      </c>
      <c r="T145" s="1">
        <f t="shared" si="79"/>
        <v>1</v>
      </c>
      <c r="U145" s="1">
        <f t="shared" si="79"/>
        <v>1</v>
      </c>
      <c r="V145" s="1">
        <f t="shared" si="79"/>
        <v>1</v>
      </c>
      <c r="W145" s="1">
        <f t="shared" si="79"/>
        <v>1</v>
      </c>
      <c r="X145" s="1">
        <f t="shared" si="79"/>
        <v>1</v>
      </c>
      <c r="Y145" s="1">
        <f t="shared" si="79"/>
        <v>1</v>
      </c>
      <c r="Z145" s="1">
        <f t="shared" si="79"/>
        <v>1</v>
      </c>
      <c r="AA145" s="1">
        <f t="shared" si="79"/>
        <v>1</v>
      </c>
      <c r="AB145" s="1">
        <f t="shared" si="79"/>
        <v>1</v>
      </c>
      <c r="AC145" s="1">
        <f t="shared" si="79"/>
        <v>1</v>
      </c>
      <c r="AD145" s="1">
        <f t="shared" si="79"/>
        <v>1</v>
      </c>
      <c r="AE145" s="1">
        <f t="shared" si="79"/>
        <v>2</v>
      </c>
      <c r="AF145" s="1">
        <f t="shared" si="79"/>
        <v>1</v>
      </c>
      <c r="AG145" s="1">
        <f t="shared" si="79"/>
        <v>2</v>
      </c>
      <c r="AH145" s="1">
        <f t="shared" si="79"/>
        <v>1</v>
      </c>
      <c r="AI145" s="1">
        <f t="shared" si="79"/>
        <v>1</v>
      </c>
      <c r="AJ145" s="1">
        <f t="shared" si="79"/>
        <v>1</v>
      </c>
      <c r="AK145" s="1">
        <f t="shared" si="79"/>
        <v>1</v>
      </c>
      <c r="AL145" s="1">
        <f t="shared" si="79"/>
        <v>1</v>
      </c>
      <c r="AM145" s="1">
        <f t="shared" si="79"/>
        <v>1</v>
      </c>
      <c r="AN145" s="1">
        <f t="shared" si="79"/>
        <v>1</v>
      </c>
      <c r="AO145" s="1">
        <f t="shared" si="79"/>
        <v>1</v>
      </c>
      <c r="AP145" s="1">
        <f t="shared" si="79"/>
        <v>1</v>
      </c>
      <c r="AQ145" s="1">
        <f t="shared" si="79"/>
        <v>1</v>
      </c>
      <c r="AR145" s="1">
        <f t="shared" si="79"/>
        <v>1</v>
      </c>
      <c r="AS145" s="1">
        <f t="shared" si="79"/>
        <v>1</v>
      </c>
      <c r="AT145" s="1">
        <f t="shared" si="79"/>
        <v>1</v>
      </c>
      <c r="AU145" s="1">
        <f t="shared" si="79"/>
        <v>1</v>
      </c>
    </row>
    <row r="146" spans="1:47">
      <c r="A146" s="1" t="str">
        <f t="shared" si="65"/>
        <v>   2.1.1) Environmental policies</v>
      </c>
      <c r="B146" s="1">
        <f t="shared" ref="B146:AU146" si="80">COUNTIF($B81:$AU81,B81)</f>
        <v>1</v>
      </c>
      <c r="C146" s="1">
        <f t="shared" si="80"/>
        <v>1</v>
      </c>
      <c r="D146" s="1">
        <f t="shared" si="80"/>
        <v>4</v>
      </c>
      <c r="E146" s="1">
        <f t="shared" si="80"/>
        <v>2</v>
      </c>
      <c r="F146" s="1">
        <f t="shared" si="80"/>
        <v>1</v>
      </c>
      <c r="G146" s="1">
        <f t="shared" si="80"/>
        <v>4</v>
      </c>
      <c r="H146" s="1">
        <f t="shared" si="80"/>
        <v>1</v>
      </c>
      <c r="I146" s="1">
        <f t="shared" si="80"/>
        <v>2</v>
      </c>
      <c r="J146" s="1">
        <f t="shared" si="80"/>
        <v>1</v>
      </c>
      <c r="K146" s="1">
        <f t="shared" si="80"/>
        <v>1</v>
      </c>
      <c r="L146" s="1">
        <f t="shared" si="80"/>
        <v>1</v>
      </c>
      <c r="M146" s="1">
        <f t="shared" si="80"/>
        <v>1</v>
      </c>
      <c r="N146" s="1">
        <f t="shared" si="80"/>
        <v>1</v>
      </c>
      <c r="O146" s="1">
        <f t="shared" si="80"/>
        <v>1</v>
      </c>
      <c r="P146" s="1">
        <f t="shared" si="80"/>
        <v>1</v>
      </c>
      <c r="Q146" s="1">
        <f t="shared" si="80"/>
        <v>2</v>
      </c>
      <c r="R146" s="1">
        <f t="shared" si="80"/>
        <v>2</v>
      </c>
      <c r="S146" s="1">
        <f t="shared" si="80"/>
        <v>1</v>
      </c>
      <c r="T146" s="1">
        <f t="shared" si="80"/>
        <v>1</v>
      </c>
      <c r="U146" s="1">
        <f t="shared" si="80"/>
        <v>2</v>
      </c>
      <c r="V146" s="1">
        <f t="shared" si="80"/>
        <v>2</v>
      </c>
      <c r="W146" s="1">
        <f t="shared" si="80"/>
        <v>1</v>
      </c>
      <c r="X146" s="1">
        <f t="shared" si="80"/>
        <v>1</v>
      </c>
      <c r="Y146" s="1">
        <f t="shared" si="80"/>
        <v>2</v>
      </c>
      <c r="Z146" s="1">
        <f t="shared" si="80"/>
        <v>1</v>
      </c>
      <c r="AA146" s="1">
        <f t="shared" si="80"/>
        <v>1</v>
      </c>
      <c r="AB146" s="1">
        <f t="shared" si="80"/>
        <v>4</v>
      </c>
      <c r="AC146" s="1">
        <f t="shared" si="80"/>
        <v>2</v>
      </c>
      <c r="AD146" s="1">
        <f t="shared" si="80"/>
        <v>2</v>
      </c>
      <c r="AE146" s="1">
        <f t="shared" si="80"/>
        <v>4</v>
      </c>
      <c r="AF146" s="1">
        <f t="shared" si="80"/>
        <v>2</v>
      </c>
      <c r="AG146" s="1">
        <f t="shared" si="80"/>
        <v>2</v>
      </c>
      <c r="AH146" s="1">
        <f t="shared" si="80"/>
        <v>1</v>
      </c>
      <c r="AI146" s="1">
        <f t="shared" si="80"/>
        <v>2</v>
      </c>
      <c r="AJ146" s="1">
        <f t="shared" si="80"/>
        <v>1</v>
      </c>
      <c r="AK146" s="1">
        <f t="shared" si="80"/>
        <v>4</v>
      </c>
      <c r="AL146" s="1">
        <f t="shared" si="80"/>
        <v>1</v>
      </c>
      <c r="AM146" s="1">
        <f t="shared" si="80"/>
        <v>1</v>
      </c>
      <c r="AN146" s="1">
        <f t="shared" si="80"/>
        <v>4</v>
      </c>
      <c r="AO146" s="1">
        <f t="shared" si="80"/>
        <v>1</v>
      </c>
      <c r="AP146" s="1">
        <f t="shared" si="80"/>
        <v>4</v>
      </c>
      <c r="AQ146" s="1">
        <f t="shared" si="80"/>
        <v>1</v>
      </c>
      <c r="AR146" s="1">
        <f t="shared" si="80"/>
        <v>2</v>
      </c>
      <c r="AS146" s="1">
        <f t="shared" si="80"/>
        <v>1</v>
      </c>
      <c r="AT146" s="1">
        <f t="shared" si="80"/>
        <v>4</v>
      </c>
      <c r="AU146" s="1">
        <f t="shared" si="80"/>
        <v>2</v>
      </c>
    </row>
    <row r="147" spans="1:47">
      <c r="A147" s="1" t="str">
        <f t="shared" si="65"/>
        <v>   2.1.2) Access to healthcare</v>
      </c>
      <c r="B147" s="1">
        <f t="shared" ref="B147:AU147" si="81">COUNTIF($B82:$AU82,B82)</f>
        <v>5</v>
      </c>
      <c r="C147" s="1">
        <f t="shared" si="81"/>
        <v>10</v>
      </c>
      <c r="D147" s="1">
        <f t="shared" si="81"/>
        <v>9</v>
      </c>
      <c r="E147" s="1">
        <f t="shared" si="81"/>
        <v>14</v>
      </c>
      <c r="F147" s="1">
        <f t="shared" si="81"/>
        <v>6</v>
      </c>
      <c r="G147" s="1">
        <f t="shared" si="81"/>
        <v>10</v>
      </c>
      <c r="H147" s="1">
        <f t="shared" si="81"/>
        <v>14</v>
      </c>
      <c r="I147" s="1">
        <f t="shared" si="81"/>
        <v>14</v>
      </c>
      <c r="J147" s="1">
        <f t="shared" si="81"/>
        <v>9</v>
      </c>
      <c r="K147" s="1">
        <f t="shared" si="81"/>
        <v>9</v>
      </c>
      <c r="L147" s="1">
        <f t="shared" si="81"/>
        <v>10</v>
      </c>
      <c r="M147" s="1">
        <f t="shared" si="81"/>
        <v>5</v>
      </c>
      <c r="N147" s="1">
        <f t="shared" si="81"/>
        <v>14</v>
      </c>
      <c r="O147" s="1">
        <f t="shared" si="81"/>
        <v>1</v>
      </c>
      <c r="P147" s="1">
        <f t="shared" si="81"/>
        <v>5</v>
      </c>
      <c r="Q147" s="1">
        <f t="shared" si="81"/>
        <v>9</v>
      </c>
      <c r="R147" s="1">
        <f t="shared" si="81"/>
        <v>9</v>
      </c>
      <c r="S147" s="1">
        <f t="shared" si="81"/>
        <v>6</v>
      </c>
      <c r="T147" s="1">
        <f t="shared" si="81"/>
        <v>6</v>
      </c>
      <c r="U147" s="1">
        <f t="shared" si="81"/>
        <v>14</v>
      </c>
      <c r="V147" s="1">
        <f t="shared" si="81"/>
        <v>14</v>
      </c>
      <c r="W147" s="1">
        <f t="shared" si="81"/>
        <v>10</v>
      </c>
      <c r="X147" s="1">
        <f t="shared" si="81"/>
        <v>6</v>
      </c>
      <c r="Y147" s="1">
        <f t="shared" si="81"/>
        <v>14</v>
      </c>
      <c r="Z147" s="1">
        <f t="shared" si="81"/>
        <v>9</v>
      </c>
      <c r="AA147" s="1">
        <f t="shared" si="81"/>
        <v>6</v>
      </c>
      <c r="AB147" s="1">
        <f t="shared" si="81"/>
        <v>14</v>
      </c>
      <c r="AC147" s="1">
        <f t="shared" si="81"/>
        <v>10</v>
      </c>
      <c r="AD147" s="1">
        <f t="shared" si="81"/>
        <v>10</v>
      </c>
      <c r="AE147" s="1">
        <f t="shared" si="81"/>
        <v>5</v>
      </c>
      <c r="AF147" s="1">
        <f t="shared" si="81"/>
        <v>9</v>
      </c>
      <c r="AG147" s="1">
        <f t="shared" si="81"/>
        <v>14</v>
      </c>
      <c r="AH147" s="1">
        <f t="shared" si="81"/>
        <v>14</v>
      </c>
      <c r="AI147" s="1">
        <f t="shared" si="81"/>
        <v>9</v>
      </c>
      <c r="AJ147" s="1">
        <f t="shared" si="81"/>
        <v>9</v>
      </c>
      <c r="AK147" s="1">
        <f t="shared" si="81"/>
        <v>14</v>
      </c>
      <c r="AL147" s="1">
        <f t="shared" si="81"/>
        <v>5</v>
      </c>
      <c r="AM147" s="1">
        <f t="shared" si="81"/>
        <v>14</v>
      </c>
      <c r="AN147" s="1">
        <f t="shared" si="81"/>
        <v>14</v>
      </c>
      <c r="AO147" s="1">
        <f t="shared" si="81"/>
        <v>10</v>
      </c>
      <c r="AP147" s="1">
        <f t="shared" si="81"/>
        <v>6</v>
      </c>
      <c r="AQ147" s="1">
        <f t="shared" si="81"/>
        <v>1</v>
      </c>
      <c r="AR147" s="1">
        <f t="shared" si="81"/>
        <v>10</v>
      </c>
      <c r="AS147" s="1">
        <f t="shared" si="81"/>
        <v>10</v>
      </c>
      <c r="AT147" s="1">
        <f t="shared" si="81"/>
        <v>14</v>
      </c>
      <c r="AU147" s="1">
        <f t="shared" si="81"/>
        <v>10</v>
      </c>
    </row>
    <row r="148" spans="1:47">
      <c r="A148" s="1" t="str">
        <f t="shared" si="65"/>
        <v>   2.1.3) No. of beds per 1,000</v>
      </c>
      <c r="B148" s="1">
        <f t="shared" ref="B148:AU148" si="82">COUNTIF($B83:$AU83,B83)</f>
        <v>1</v>
      </c>
      <c r="C148" s="1">
        <f t="shared" si="82"/>
        <v>1</v>
      </c>
      <c r="D148" s="1">
        <f t="shared" si="82"/>
        <v>1</v>
      </c>
      <c r="E148" s="1">
        <f t="shared" si="82"/>
        <v>1</v>
      </c>
      <c r="F148" s="1">
        <f t="shared" si="82"/>
        <v>1</v>
      </c>
      <c r="G148" s="1">
        <f t="shared" si="82"/>
        <v>1</v>
      </c>
      <c r="H148" s="1">
        <f t="shared" si="82"/>
        <v>1</v>
      </c>
      <c r="I148" s="1">
        <f t="shared" si="82"/>
        <v>2</v>
      </c>
      <c r="J148" s="1">
        <f t="shared" si="82"/>
        <v>1</v>
      </c>
      <c r="K148" s="1">
        <f t="shared" si="82"/>
        <v>1</v>
      </c>
      <c r="L148" s="1">
        <f t="shared" si="82"/>
        <v>1</v>
      </c>
      <c r="M148" s="1">
        <f t="shared" si="82"/>
        <v>1</v>
      </c>
      <c r="N148" s="1">
        <f t="shared" si="82"/>
        <v>1</v>
      </c>
      <c r="O148" s="1">
        <f t="shared" si="82"/>
        <v>1</v>
      </c>
      <c r="P148" s="1">
        <f t="shared" si="82"/>
        <v>2</v>
      </c>
      <c r="Q148" s="1">
        <f t="shared" si="82"/>
        <v>1</v>
      </c>
      <c r="R148" s="1">
        <f t="shared" si="82"/>
        <v>2</v>
      </c>
      <c r="S148" s="1">
        <f t="shared" si="82"/>
        <v>2</v>
      </c>
      <c r="T148" s="1">
        <f t="shared" si="82"/>
        <v>2</v>
      </c>
      <c r="U148" s="1">
        <f t="shared" si="82"/>
        <v>1</v>
      </c>
      <c r="V148" s="1">
        <f t="shared" si="82"/>
        <v>1</v>
      </c>
      <c r="W148" s="1">
        <f t="shared" si="82"/>
        <v>1</v>
      </c>
      <c r="X148" s="1">
        <f t="shared" si="82"/>
        <v>1</v>
      </c>
      <c r="Y148" s="1">
        <f t="shared" si="82"/>
        <v>1</v>
      </c>
      <c r="Z148" s="1">
        <f t="shared" si="82"/>
        <v>1</v>
      </c>
      <c r="AA148" s="1">
        <f t="shared" si="82"/>
        <v>1</v>
      </c>
      <c r="AB148" s="1">
        <f t="shared" si="82"/>
        <v>1</v>
      </c>
      <c r="AC148" s="1">
        <f t="shared" si="82"/>
        <v>1</v>
      </c>
      <c r="AD148" s="1">
        <f t="shared" si="82"/>
        <v>1</v>
      </c>
      <c r="AE148" s="1">
        <f t="shared" si="82"/>
        <v>1</v>
      </c>
      <c r="AF148" s="1">
        <f t="shared" si="82"/>
        <v>1</v>
      </c>
      <c r="AG148" s="1">
        <f t="shared" si="82"/>
        <v>1</v>
      </c>
      <c r="AH148" s="1">
        <f t="shared" si="82"/>
        <v>1</v>
      </c>
      <c r="AI148" s="1">
        <f t="shared" si="82"/>
        <v>1</v>
      </c>
      <c r="AJ148" s="1">
        <f t="shared" si="82"/>
        <v>1</v>
      </c>
      <c r="AK148" s="1">
        <f t="shared" si="82"/>
        <v>1</v>
      </c>
      <c r="AL148" s="1">
        <f t="shared" si="82"/>
        <v>1</v>
      </c>
      <c r="AM148" s="1">
        <f t="shared" si="82"/>
        <v>1</v>
      </c>
      <c r="AN148" s="1">
        <f t="shared" si="82"/>
        <v>1</v>
      </c>
      <c r="AO148" s="1">
        <f t="shared" si="82"/>
        <v>1</v>
      </c>
      <c r="AP148" s="1">
        <f t="shared" si="82"/>
        <v>1</v>
      </c>
      <c r="AQ148" s="1">
        <f t="shared" si="82"/>
        <v>1</v>
      </c>
      <c r="AR148" s="1">
        <f t="shared" si="82"/>
        <v>1</v>
      </c>
      <c r="AS148" s="1">
        <f t="shared" si="82"/>
        <v>2</v>
      </c>
      <c r="AT148" s="1">
        <f t="shared" si="82"/>
        <v>1</v>
      </c>
      <c r="AU148" s="1">
        <f t="shared" si="82"/>
        <v>1</v>
      </c>
    </row>
    <row r="149" spans="1:47">
      <c r="A149" s="1" t="str">
        <f t="shared" si="65"/>
        <v>   2.1.4) No. of doctors per 1,000</v>
      </c>
      <c r="B149" s="1">
        <f t="shared" ref="B149:AU149" si="83">COUNTIF($B84:$AU84,B84)</f>
        <v>1</v>
      </c>
      <c r="C149" s="1">
        <f t="shared" si="83"/>
        <v>1</v>
      </c>
      <c r="D149" s="1">
        <f t="shared" si="83"/>
        <v>2</v>
      </c>
      <c r="E149" s="1">
        <f t="shared" si="83"/>
        <v>1</v>
      </c>
      <c r="F149" s="1">
        <f t="shared" si="83"/>
        <v>1</v>
      </c>
      <c r="G149" s="1">
        <f t="shared" si="83"/>
        <v>1</v>
      </c>
      <c r="H149" s="1">
        <f t="shared" si="83"/>
        <v>1</v>
      </c>
      <c r="I149" s="1">
        <f t="shared" si="83"/>
        <v>1</v>
      </c>
      <c r="J149" s="1">
        <f t="shared" si="83"/>
        <v>1</v>
      </c>
      <c r="K149" s="1">
        <f t="shared" si="83"/>
        <v>1</v>
      </c>
      <c r="L149" s="1">
        <f t="shared" si="83"/>
        <v>1</v>
      </c>
      <c r="M149" s="1">
        <f t="shared" si="83"/>
        <v>1</v>
      </c>
      <c r="N149" s="1">
        <f t="shared" si="83"/>
        <v>1</v>
      </c>
      <c r="O149" s="1">
        <f t="shared" si="83"/>
        <v>1</v>
      </c>
      <c r="P149" s="1">
        <f t="shared" si="83"/>
        <v>2</v>
      </c>
      <c r="Q149" s="1">
        <f t="shared" si="83"/>
        <v>1</v>
      </c>
      <c r="R149" s="1">
        <f t="shared" si="83"/>
        <v>1</v>
      </c>
      <c r="S149" s="1">
        <f t="shared" si="83"/>
        <v>1</v>
      </c>
      <c r="T149" s="1">
        <f t="shared" si="83"/>
        <v>2</v>
      </c>
      <c r="U149" s="1">
        <f t="shared" si="83"/>
        <v>1</v>
      </c>
      <c r="V149" s="1">
        <f t="shared" si="83"/>
        <v>1</v>
      </c>
      <c r="W149" s="1">
        <f t="shared" si="83"/>
        <v>1</v>
      </c>
      <c r="X149" s="1">
        <f t="shared" si="83"/>
        <v>1</v>
      </c>
      <c r="Y149" s="1">
        <f t="shared" si="83"/>
        <v>1</v>
      </c>
      <c r="Z149" s="1">
        <f t="shared" si="83"/>
        <v>1</v>
      </c>
      <c r="AA149" s="1">
        <f t="shared" si="83"/>
        <v>1</v>
      </c>
      <c r="AB149" s="1">
        <f t="shared" si="83"/>
        <v>2</v>
      </c>
      <c r="AC149" s="1">
        <f t="shared" si="83"/>
        <v>1</v>
      </c>
      <c r="AD149" s="1">
        <f t="shared" si="83"/>
        <v>1</v>
      </c>
      <c r="AE149" s="1">
        <f t="shared" si="83"/>
        <v>1</v>
      </c>
      <c r="AF149" s="1">
        <f t="shared" si="83"/>
        <v>1</v>
      </c>
      <c r="AG149" s="1">
        <f t="shared" si="83"/>
        <v>1</v>
      </c>
      <c r="AH149" s="1">
        <f t="shared" si="83"/>
        <v>1</v>
      </c>
      <c r="AI149" s="1">
        <f t="shared" si="83"/>
        <v>1</v>
      </c>
      <c r="AJ149" s="1">
        <f t="shared" si="83"/>
        <v>1</v>
      </c>
      <c r="AK149" s="1">
        <f t="shared" si="83"/>
        <v>1</v>
      </c>
      <c r="AL149" s="1">
        <f t="shared" si="83"/>
        <v>1</v>
      </c>
      <c r="AM149" s="1">
        <f t="shared" si="83"/>
        <v>1</v>
      </c>
      <c r="AN149" s="1">
        <f t="shared" si="83"/>
        <v>1</v>
      </c>
      <c r="AO149" s="1">
        <f t="shared" si="83"/>
        <v>1</v>
      </c>
      <c r="AP149" s="1">
        <f t="shared" si="83"/>
        <v>1</v>
      </c>
      <c r="AQ149" s="1">
        <f t="shared" si="83"/>
        <v>1</v>
      </c>
      <c r="AR149" s="1">
        <f t="shared" si="83"/>
        <v>1</v>
      </c>
      <c r="AS149" s="1">
        <f t="shared" si="83"/>
        <v>1</v>
      </c>
      <c r="AT149" s="1">
        <f t="shared" si="83"/>
        <v>1</v>
      </c>
      <c r="AU149" s="1">
        <f t="shared" si="83"/>
        <v>1</v>
      </c>
    </row>
    <row r="150" spans="1:47">
      <c r="A150" s="1" t="str">
        <f t="shared" si="65"/>
        <v>   2.1.5) Access to safe and quality food</v>
      </c>
      <c r="B150" s="1">
        <f t="shared" ref="B150:AU150" si="84">COUNTIF($B85:$AU85,B85)</f>
        <v>1</v>
      </c>
      <c r="C150" s="1">
        <f t="shared" si="84"/>
        <v>16</v>
      </c>
      <c r="D150" s="1">
        <f t="shared" si="84"/>
        <v>1</v>
      </c>
      <c r="E150" s="1">
        <f t="shared" si="84"/>
        <v>16</v>
      </c>
      <c r="F150" s="1">
        <f t="shared" si="84"/>
        <v>4</v>
      </c>
      <c r="G150" s="1">
        <f t="shared" si="84"/>
        <v>16</v>
      </c>
      <c r="H150" s="1">
        <f t="shared" si="84"/>
        <v>2</v>
      </c>
      <c r="I150" s="1">
        <f t="shared" si="84"/>
        <v>5</v>
      </c>
      <c r="J150" s="1">
        <f t="shared" si="84"/>
        <v>2</v>
      </c>
      <c r="K150" s="1">
        <f t="shared" si="84"/>
        <v>1</v>
      </c>
      <c r="L150" s="1">
        <f t="shared" si="84"/>
        <v>16</v>
      </c>
      <c r="M150" s="1">
        <f t="shared" si="84"/>
        <v>1</v>
      </c>
      <c r="N150" s="1">
        <f t="shared" si="84"/>
        <v>4</v>
      </c>
      <c r="O150" s="1">
        <f t="shared" si="84"/>
        <v>1</v>
      </c>
      <c r="P150" s="1">
        <f t="shared" si="84"/>
        <v>1</v>
      </c>
      <c r="Q150" s="1">
        <f t="shared" si="84"/>
        <v>1</v>
      </c>
      <c r="R150" s="1">
        <f t="shared" si="84"/>
        <v>1</v>
      </c>
      <c r="S150" s="1">
        <f t="shared" si="84"/>
        <v>1</v>
      </c>
      <c r="T150" s="1">
        <f t="shared" si="84"/>
        <v>16</v>
      </c>
      <c r="U150" s="1">
        <f t="shared" si="84"/>
        <v>5</v>
      </c>
      <c r="V150" s="1">
        <f t="shared" si="84"/>
        <v>16</v>
      </c>
      <c r="W150" s="1">
        <f t="shared" si="84"/>
        <v>16</v>
      </c>
      <c r="X150" s="1">
        <f t="shared" si="84"/>
        <v>1</v>
      </c>
      <c r="Y150" s="1">
        <f t="shared" si="84"/>
        <v>16</v>
      </c>
      <c r="Z150" s="1">
        <f t="shared" si="84"/>
        <v>1</v>
      </c>
      <c r="AA150" s="1">
        <f t="shared" si="84"/>
        <v>2</v>
      </c>
      <c r="AB150" s="1">
        <f t="shared" si="84"/>
        <v>5</v>
      </c>
      <c r="AC150" s="1">
        <f t="shared" si="84"/>
        <v>16</v>
      </c>
      <c r="AD150" s="1">
        <f t="shared" si="84"/>
        <v>16</v>
      </c>
      <c r="AE150" s="1">
        <f t="shared" si="84"/>
        <v>2</v>
      </c>
      <c r="AF150" s="1">
        <f t="shared" si="84"/>
        <v>1</v>
      </c>
      <c r="AG150" s="1">
        <f t="shared" si="84"/>
        <v>16</v>
      </c>
      <c r="AH150" s="1">
        <f t="shared" si="84"/>
        <v>5</v>
      </c>
      <c r="AI150" s="1">
        <f t="shared" si="84"/>
        <v>2</v>
      </c>
      <c r="AJ150" s="1">
        <f t="shared" si="84"/>
        <v>2</v>
      </c>
      <c r="AK150" s="1">
        <f t="shared" si="84"/>
        <v>1</v>
      </c>
      <c r="AL150" s="1">
        <f t="shared" si="84"/>
        <v>4</v>
      </c>
      <c r="AM150" s="1">
        <f t="shared" si="84"/>
        <v>16</v>
      </c>
      <c r="AN150" s="1">
        <f t="shared" si="84"/>
        <v>16</v>
      </c>
      <c r="AO150" s="1">
        <f t="shared" si="84"/>
        <v>16</v>
      </c>
      <c r="AP150" s="1">
        <f t="shared" si="84"/>
        <v>4</v>
      </c>
      <c r="AQ150" s="1">
        <f t="shared" si="84"/>
        <v>1</v>
      </c>
      <c r="AR150" s="1">
        <f t="shared" si="84"/>
        <v>16</v>
      </c>
      <c r="AS150" s="1">
        <f t="shared" si="84"/>
        <v>1</v>
      </c>
      <c r="AT150" s="1">
        <f t="shared" si="84"/>
        <v>5</v>
      </c>
      <c r="AU150" s="1">
        <f t="shared" si="84"/>
        <v>16</v>
      </c>
    </row>
    <row r="151" spans="1:47">
      <c r="A151" s="1" t="str">
        <f t="shared" si="65"/>
        <v>   2.1.6) Quality of health services</v>
      </c>
      <c r="B151" s="1">
        <f t="shared" ref="B151:AU151" si="85">COUNTIF($B86:$AU86,B86)</f>
        <v>6</v>
      </c>
      <c r="C151" s="1">
        <f t="shared" si="85"/>
        <v>13</v>
      </c>
      <c r="D151" s="1">
        <f t="shared" si="85"/>
        <v>10</v>
      </c>
      <c r="E151" s="1">
        <f t="shared" si="85"/>
        <v>13</v>
      </c>
      <c r="F151" s="1">
        <f t="shared" si="85"/>
        <v>10</v>
      </c>
      <c r="G151" s="1">
        <f t="shared" si="85"/>
        <v>13</v>
      </c>
      <c r="H151" s="1">
        <f t="shared" si="85"/>
        <v>6</v>
      </c>
      <c r="I151" s="1">
        <f t="shared" si="85"/>
        <v>11</v>
      </c>
      <c r="J151" s="1">
        <f t="shared" si="85"/>
        <v>10</v>
      </c>
      <c r="K151" s="1">
        <f t="shared" si="85"/>
        <v>6</v>
      </c>
      <c r="L151" s="1">
        <f t="shared" si="85"/>
        <v>13</v>
      </c>
      <c r="M151" s="1">
        <f t="shared" si="85"/>
        <v>3</v>
      </c>
      <c r="N151" s="1">
        <f t="shared" si="85"/>
        <v>11</v>
      </c>
      <c r="O151" s="1">
        <f t="shared" si="85"/>
        <v>3</v>
      </c>
      <c r="P151" s="1">
        <f t="shared" si="85"/>
        <v>3</v>
      </c>
      <c r="Q151" s="1">
        <f t="shared" si="85"/>
        <v>3</v>
      </c>
      <c r="R151" s="1">
        <f t="shared" si="85"/>
        <v>11</v>
      </c>
      <c r="S151" s="1">
        <f t="shared" si="85"/>
        <v>10</v>
      </c>
      <c r="T151" s="1">
        <f t="shared" si="85"/>
        <v>11</v>
      </c>
      <c r="U151" s="1">
        <f t="shared" si="85"/>
        <v>11</v>
      </c>
      <c r="V151" s="1">
        <f t="shared" si="85"/>
        <v>11</v>
      </c>
      <c r="W151" s="1">
        <f t="shared" si="85"/>
        <v>13</v>
      </c>
      <c r="X151" s="1">
        <f t="shared" si="85"/>
        <v>3</v>
      </c>
      <c r="Y151" s="1">
        <f t="shared" si="85"/>
        <v>6</v>
      </c>
      <c r="Z151" s="1">
        <f t="shared" si="85"/>
        <v>6</v>
      </c>
      <c r="AA151" s="1">
        <f t="shared" si="85"/>
        <v>3</v>
      </c>
      <c r="AB151" s="1">
        <f t="shared" si="85"/>
        <v>11</v>
      </c>
      <c r="AC151" s="1">
        <f t="shared" si="85"/>
        <v>13</v>
      </c>
      <c r="AD151" s="1">
        <f t="shared" si="85"/>
        <v>13</v>
      </c>
      <c r="AE151" s="1">
        <f t="shared" si="85"/>
        <v>10</v>
      </c>
      <c r="AF151" s="1">
        <f t="shared" si="85"/>
        <v>10</v>
      </c>
      <c r="AG151" s="1">
        <f t="shared" si="85"/>
        <v>6</v>
      </c>
      <c r="AH151" s="1">
        <f t="shared" si="85"/>
        <v>11</v>
      </c>
      <c r="AI151" s="1">
        <f t="shared" si="85"/>
        <v>10</v>
      </c>
      <c r="AJ151" s="1">
        <f t="shared" si="85"/>
        <v>10</v>
      </c>
      <c r="AK151" s="1">
        <f t="shared" si="85"/>
        <v>11</v>
      </c>
      <c r="AL151" s="1">
        <f t="shared" si="85"/>
        <v>10</v>
      </c>
      <c r="AM151" s="1">
        <f t="shared" si="85"/>
        <v>13</v>
      </c>
      <c r="AN151" s="1">
        <f t="shared" si="85"/>
        <v>13</v>
      </c>
      <c r="AO151" s="1">
        <f t="shared" si="85"/>
        <v>13</v>
      </c>
      <c r="AP151" s="1">
        <f t="shared" si="85"/>
        <v>11</v>
      </c>
      <c r="AQ151" s="1">
        <f t="shared" si="85"/>
        <v>10</v>
      </c>
      <c r="AR151" s="1">
        <f t="shared" si="85"/>
        <v>13</v>
      </c>
      <c r="AS151" s="1">
        <f t="shared" si="85"/>
        <v>13</v>
      </c>
      <c r="AT151" s="1">
        <f t="shared" si="85"/>
        <v>11</v>
      </c>
      <c r="AU151" s="1">
        <f t="shared" si="85"/>
        <v>13</v>
      </c>
    </row>
    <row r="152" spans="1:47">
      <c r="A152" s="1" t="str">
        <f t="shared" si="65"/>
        <v>  2.2) Health security (Outputs)</v>
      </c>
      <c r="B152" s="1">
        <f t="shared" ref="B152:AU152" si="86">COUNTIF($B87:$AU87,B87)</f>
        <v>1</v>
      </c>
      <c r="C152" s="1">
        <f t="shared" si="86"/>
        <v>1</v>
      </c>
      <c r="D152" s="1">
        <f t="shared" si="86"/>
        <v>1</v>
      </c>
      <c r="E152" s="1">
        <f t="shared" si="86"/>
        <v>1</v>
      </c>
      <c r="F152" s="1">
        <f t="shared" si="86"/>
        <v>1</v>
      </c>
      <c r="G152" s="1">
        <f t="shared" si="86"/>
        <v>1</v>
      </c>
      <c r="H152" s="1">
        <f t="shared" si="86"/>
        <v>1</v>
      </c>
      <c r="I152" s="1">
        <f t="shared" si="86"/>
        <v>1</v>
      </c>
      <c r="J152" s="1">
        <f t="shared" si="86"/>
        <v>1</v>
      </c>
      <c r="K152" s="1">
        <f t="shared" si="86"/>
        <v>1</v>
      </c>
      <c r="L152" s="1">
        <f t="shared" si="86"/>
        <v>1</v>
      </c>
      <c r="M152" s="1">
        <f t="shared" si="86"/>
        <v>1</v>
      </c>
      <c r="N152" s="1">
        <f t="shared" si="86"/>
        <v>1</v>
      </c>
      <c r="O152" s="1">
        <f t="shared" si="86"/>
        <v>1</v>
      </c>
      <c r="P152" s="1">
        <f t="shared" si="86"/>
        <v>1</v>
      </c>
      <c r="Q152" s="1">
        <f t="shared" si="86"/>
        <v>1</v>
      </c>
      <c r="R152" s="1">
        <f t="shared" si="86"/>
        <v>1</v>
      </c>
      <c r="S152" s="1">
        <f t="shared" si="86"/>
        <v>1</v>
      </c>
      <c r="T152" s="1">
        <f t="shared" si="86"/>
        <v>2</v>
      </c>
      <c r="U152" s="1">
        <f t="shared" si="86"/>
        <v>1</v>
      </c>
      <c r="V152" s="1">
        <f t="shared" si="86"/>
        <v>1</v>
      </c>
      <c r="W152" s="1">
        <f t="shared" si="86"/>
        <v>1</v>
      </c>
      <c r="X152" s="1">
        <f t="shared" si="86"/>
        <v>1</v>
      </c>
      <c r="Y152" s="1">
        <f t="shared" si="86"/>
        <v>1</v>
      </c>
      <c r="Z152" s="1">
        <f t="shared" si="86"/>
        <v>1</v>
      </c>
      <c r="AA152" s="1">
        <f t="shared" si="86"/>
        <v>1</v>
      </c>
      <c r="AB152" s="1">
        <f t="shared" si="86"/>
        <v>1</v>
      </c>
      <c r="AC152" s="1">
        <f t="shared" si="86"/>
        <v>1</v>
      </c>
      <c r="AD152" s="1">
        <f t="shared" si="86"/>
        <v>2</v>
      </c>
      <c r="AE152" s="1">
        <f t="shared" si="86"/>
        <v>1</v>
      </c>
      <c r="AF152" s="1">
        <f t="shared" si="86"/>
        <v>1</v>
      </c>
      <c r="AG152" s="1">
        <f t="shared" si="86"/>
        <v>1</v>
      </c>
      <c r="AH152" s="1">
        <f t="shared" si="86"/>
        <v>1</v>
      </c>
      <c r="AI152" s="1">
        <f t="shared" si="86"/>
        <v>1</v>
      </c>
      <c r="AJ152" s="1">
        <f t="shared" si="86"/>
        <v>1</v>
      </c>
      <c r="AK152" s="1">
        <f t="shared" si="86"/>
        <v>1</v>
      </c>
      <c r="AL152" s="1">
        <f t="shared" si="86"/>
        <v>1</v>
      </c>
      <c r="AM152" s="1">
        <f t="shared" si="86"/>
        <v>1</v>
      </c>
      <c r="AN152" s="1">
        <f t="shared" si="86"/>
        <v>1</v>
      </c>
      <c r="AO152" s="1">
        <f t="shared" si="86"/>
        <v>1</v>
      </c>
      <c r="AP152" s="1">
        <f t="shared" si="86"/>
        <v>1</v>
      </c>
      <c r="AQ152" s="1">
        <f t="shared" si="86"/>
        <v>1</v>
      </c>
      <c r="AR152" s="1">
        <f t="shared" si="86"/>
        <v>1</v>
      </c>
      <c r="AS152" s="1">
        <f t="shared" si="86"/>
        <v>1</v>
      </c>
      <c r="AT152" s="1">
        <f t="shared" si="86"/>
        <v>1</v>
      </c>
      <c r="AU152" s="1">
        <f t="shared" si="86"/>
        <v>1</v>
      </c>
    </row>
    <row r="153" spans="1:47">
      <c r="A153" s="1" t="str">
        <f t="shared" si="65"/>
        <v>   2.2.1) Air quality (PM 2.5 levels)</v>
      </c>
      <c r="B153" s="1">
        <f t="shared" ref="B153:AU153" si="87">COUNTIF($B88:$AU88,B88)</f>
        <v>1</v>
      </c>
      <c r="C153" s="1">
        <f t="shared" si="87"/>
        <v>3</v>
      </c>
      <c r="D153" s="1">
        <f t="shared" si="87"/>
        <v>2</v>
      </c>
      <c r="E153" s="1">
        <f t="shared" si="87"/>
        <v>3</v>
      </c>
      <c r="F153" s="1">
        <f t="shared" si="87"/>
        <v>1</v>
      </c>
      <c r="G153" s="1">
        <f t="shared" si="87"/>
        <v>3</v>
      </c>
      <c r="H153" s="1">
        <f t="shared" si="87"/>
        <v>3</v>
      </c>
      <c r="I153" s="1">
        <f t="shared" si="87"/>
        <v>1</v>
      </c>
      <c r="J153" s="1">
        <f t="shared" si="87"/>
        <v>1</v>
      </c>
      <c r="K153" s="1">
        <f t="shared" si="87"/>
        <v>1</v>
      </c>
      <c r="L153" s="1">
        <f t="shared" si="87"/>
        <v>3</v>
      </c>
      <c r="M153" s="1">
        <f t="shared" si="87"/>
        <v>1</v>
      </c>
      <c r="N153" s="1">
        <f t="shared" si="87"/>
        <v>3</v>
      </c>
      <c r="O153" s="1">
        <f t="shared" si="87"/>
        <v>1</v>
      </c>
      <c r="P153" s="1">
        <f t="shared" si="87"/>
        <v>3</v>
      </c>
      <c r="Q153" s="1">
        <f t="shared" si="87"/>
        <v>1</v>
      </c>
      <c r="R153" s="1">
        <f t="shared" si="87"/>
        <v>1</v>
      </c>
      <c r="S153" s="1">
        <f t="shared" si="87"/>
        <v>1</v>
      </c>
      <c r="T153" s="1">
        <f t="shared" si="87"/>
        <v>3</v>
      </c>
      <c r="U153" s="1">
        <f t="shared" si="87"/>
        <v>2</v>
      </c>
      <c r="V153" s="1">
        <f t="shared" si="87"/>
        <v>1</v>
      </c>
      <c r="W153" s="1">
        <f t="shared" si="87"/>
        <v>2</v>
      </c>
      <c r="X153" s="1">
        <f t="shared" si="87"/>
        <v>1</v>
      </c>
      <c r="Y153" s="1">
        <f t="shared" si="87"/>
        <v>1</v>
      </c>
      <c r="Z153" s="1">
        <f t="shared" si="87"/>
        <v>2</v>
      </c>
      <c r="AA153" s="1">
        <f t="shared" si="87"/>
        <v>1</v>
      </c>
      <c r="AB153" s="1">
        <f t="shared" si="87"/>
        <v>2</v>
      </c>
      <c r="AC153" s="1">
        <f t="shared" si="87"/>
        <v>1</v>
      </c>
      <c r="AD153" s="1">
        <f t="shared" si="87"/>
        <v>2</v>
      </c>
      <c r="AE153" s="1">
        <f t="shared" si="87"/>
        <v>2</v>
      </c>
      <c r="AF153" s="1">
        <f t="shared" si="87"/>
        <v>1</v>
      </c>
      <c r="AG153" s="1">
        <f t="shared" si="87"/>
        <v>3</v>
      </c>
      <c r="AH153" s="1">
        <f t="shared" si="87"/>
        <v>2</v>
      </c>
      <c r="AI153" s="1">
        <f t="shared" si="87"/>
        <v>1</v>
      </c>
      <c r="AJ153" s="1">
        <f t="shared" si="87"/>
        <v>1</v>
      </c>
      <c r="AK153" s="1">
        <f t="shared" si="87"/>
        <v>2</v>
      </c>
      <c r="AL153" s="1">
        <f t="shared" si="87"/>
        <v>2</v>
      </c>
      <c r="AM153" s="1">
        <f t="shared" si="87"/>
        <v>2</v>
      </c>
      <c r="AN153" s="1">
        <f t="shared" si="87"/>
        <v>1</v>
      </c>
      <c r="AO153" s="1">
        <f t="shared" si="87"/>
        <v>2</v>
      </c>
      <c r="AP153" s="1">
        <f t="shared" si="87"/>
        <v>1</v>
      </c>
      <c r="AQ153" s="1">
        <f t="shared" si="87"/>
        <v>1</v>
      </c>
      <c r="AR153" s="1">
        <f t="shared" si="87"/>
        <v>2</v>
      </c>
      <c r="AS153" s="1">
        <f t="shared" si="87"/>
        <v>1</v>
      </c>
      <c r="AT153" s="1">
        <f t="shared" si="87"/>
        <v>1</v>
      </c>
      <c r="AU153" s="1">
        <f t="shared" si="87"/>
        <v>2</v>
      </c>
    </row>
    <row r="154" spans="1:47">
      <c r="A154" s="1" t="str">
        <f t="shared" si="65"/>
        <v>   2.2.2) Water quality</v>
      </c>
      <c r="B154" s="1">
        <f t="shared" ref="B154:AU154" si="88">COUNTIF($B89:$AU89,B89)</f>
        <v>1</v>
      </c>
      <c r="C154" s="1">
        <f t="shared" si="88"/>
        <v>1</v>
      </c>
      <c r="D154" s="1">
        <f t="shared" si="88"/>
        <v>1</v>
      </c>
      <c r="E154" s="1">
        <f t="shared" si="88"/>
        <v>2</v>
      </c>
      <c r="F154" s="1">
        <f t="shared" si="88"/>
        <v>1</v>
      </c>
      <c r="G154" s="1">
        <f t="shared" si="88"/>
        <v>1</v>
      </c>
      <c r="H154" s="1">
        <f t="shared" si="88"/>
        <v>1</v>
      </c>
      <c r="I154" s="1">
        <f t="shared" si="88"/>
        <v>1</v>
      </c>
      <c r="J154" s="1">
        <f t="shared" si="88"/>
        <v>1</v>
      </c>
      <c r="K154" s="1">
        <f t="shared" si="88"/>
        <v>1</v>
      </c>
      <c r="L154" s="1">
        <f t="shared" si="88"/>
        <v>1</v>
      </c>
      <c r="M154" s="1">
        <f t="shared" si="88"/>
        <v>1</v>
      </c>
      <c r="N154" s="1">
        <f t="shared" si="88"/>
        <v>2</v>
      </c>
      <c r="O154" s="1">
        <f t="shared" si="88"/>
        <v>1</v>
      </c>
      <c r="P154" s="1">
        <f t="shared" si="88"/>
        <v>1</v>
      </c>
      <c r="Q154" s="1">
        <f t="shared" si="88"/>
        <v>1</v>
      </c>
      <c r="R154" s="1">
        <f t="shared" si="88"/>
        <v>2</v>
      </c>
      <c r="S154" s="1">
        <f t="shared" si="88"/>
        <v>2</v>
      </c>
      <c r="T154" s="1">
        <f t="shared" si="88"/>
        <v>1</v>
      </c>
      <c r="U154" s="1">
        <f t="shared" si="88"/>
        <v>1</v>
      </c>
      <c r="V154" s="1">
        <f t="shared" si="88"/>
        <v>2</v>
      </c>
      <c r="W154" s="1">
        <f t="shared" si="88"/>
        <v>1</v>
      </c>
      <c r="X154" s="1">
        <f t="shared" si="88"/>
        <v>1</v>
      </c>
      <c r="Y154" s="1">
        <f t="shared" si="88"/>
        <v>2</v>
      </c>
      <c r="Z154" s="1">
        <f t="shared" si="88"/>
        <v>1</v>
      </c>
      <c r="AA154" s="1">
        <f t="shared" si="88"/>
        <v>2</v>
      </c>
      <c r="AB154" s="1">
        <f t="shared" si="88"/>
        <v>2</v>
      </c>
      <c r="AC154" s="1">
        <f t="shared" si="88"/>
        <v>1</v>
      </c>
      <c r="AD154" s="1">
        <f t="shared" si="88"/>
        <v>1</v>
      </c>
      <c r="AE154" s="1">
        <f t="shared" si="88"/>
        <v>1</v>
      </c>
      <c r="AF154" s="1">
        <f t="shared" si="88"/>
        <v>1</v>
      </c>
      <c r="AG154" s="1">
        <f t="shared" si="88"/>
        <v>2</v>
      </c>
      <c r="AH154" s="1">
        <f t="shared" si="88"/>
        <v>1</v>
      </c>
      <c r="AI154" s="1">
        <f t="shared" si="88"/>
        <v>1</v>
      </c>
      <c r="AJ154" s="1">
        <f t="shared" si="88"/>
        <v>1</v>
      </c>
      <c r="AK154" s="1">
        <f t="shared" si="88"/>
        <v>1</v>
      </c>
      <c r="AL154" s="1">
        <f t="shared" si="88"/>
        <v>1</v>
      </c>
      <c r="AM154" s="1">
        <f t="shared" si="88"/>
        <v>1</v>
      </c>
      <c r="AN154" s="1">
        <f t="shared" si="88"/>
        <v>1</v>
      </c>
      <c r="AO154" s="1">
        <f t="shared" si="88"/>
        <v>1</v>
      </c>
      <c r="AP154" s="1">
        <f t="shared" si="88"/>
        <v>1</v>
      </c>
      <c r="AQ154" s="1">
        <f t="shared" si="88"/>
        <v>1</v>
      </c>
      <c r="AR154" s="1">
        <f t="shared" si="88"/>
        <v>1</v>
      </c>
      <c r="AS154" s="1">
        <f t="shared" si="88"/>
        <v>1</v>
      </c>
      <c r="AT154" s="1">
        <f t="shared" si="88"/>
        <v>1</v>
      </c>
      <c r="AU154" s="1">
        <f t="shared" si="88"/>
        <v>2</v>
      </c>
    </row>
    <row r="155" spans="1:47">
      <c r="A155" s="1" t="str">
        <f t="shared" si="65"/>
        <v>   2.2.3) Life expectancy years</v>
      </c>
      <c r="B155" s="1">
        <f t="shared" ref="B155:AU155" si="89">COUNTIF($B90:$AU90,B90)</f>
        <v>1</v>
      </c>
      <c r="C155" s="1">
        <f t="shared" si="89"/>
        <v>1</v>
      </c>
      <c r="D155" s="1">
        <f t="shared" si="89"/>
        <v>1</v>
      </c>
      <c r="E155" s="1">
        <f t="shared" si="89"/>
        <v>2</v>
      </c>
      <c r="F155" s="1">
        <f t="shared" si="89"/>
        <v>1</v>
      </c>
      <c r="G155" s="1">
        <f t="shared" si="89"/>
        <v>1</v>
      </c>
      <c r="H155" s="1">
        <f t="shared" si="89"/>
        <v>1</v>
      </c>
      <c r="I155" s="1">
        <f t="shared" si="89"/>
        <v>1</v>
      </c>
      <c r="J155" s="1">
        <f t="shared" si="89"/>
        <v>1</v>
      </c>
      <c r="K155" s="1">
        <f t="shared" si="89"/>
        <v>1</v>
      </c>
      <c r="L155" s="1">
        <f t="shared" si="89"/>
        <v>1</v>
      </c>
      <c r="M155" s="1">
        <f t="shared" si="89"/>
        <v>1</v>
      </c>
      <c r="N155" s="1">
        <f t="shared" si="89"/>
        <v>1</v>
      </c>
      <c r="O155" s="1">
        <f t="shared" si="89"/>
        <v>1</v>
      </c>
      <c r="P155" s="1">
        <f t="shared" si="89"/>
        <v>1</v>
      </c>
      <c r="Q155" s="1">
        <f t="shared" si="89"/>
        <v>1</v>
      </c>
      <c r="R155" s="1">
        <f t="shared" si="89"/>
        <v>1</v>
      </c>
      <c r="S155" s="1">
        <f t="shared" si="89"/>
        <v>1</v>
      </c>
      <c r="T155" s="1">
        <f t="shared" si="89"/>
        <v>1</v>
      </c>
      <c r="U155" s="1">
        <f t="shared" si="89"/>
        <v>1</v>
      </c>
      <c r="V155" s="1">
        <f t="shared" si="89"/>
        <v>2</v>
      </c>
      <c r="W155" s="1">
        <f t="shared" si="89"/>
        <v>1</v>
      </c>
      <c r="X155" s="1">
        <f t="shared" si="89"/>
        <v>1</v>
      </c>
      <c r="Y155" s="1">
        <f t="shared" si="89"/>
        <v>1</v>
      </c>
      <c r="Z155" s="1">
        <f t="shared" si="89"/>
        <v>1</v>
      </c>
      <c r="AA155" s="1">
        <f t="shared" si="89"/>
        <v>2</v>
      </c>
      <c r="AB155" s="1">
        <f t="shared" si="89"/>
        <v>1</v>
      </c>
      <c r="AC155" s="1">
        <f t="shared" si="89"/>
        <v>1</v>
      </c>
      <c r="AD155" s="1">
        <f t="shared" si="89"/>
        <v>1</v>
      </c>
      <c r="AE155" s="1">
        <f t="shared" si="89"/>
        <v>1</v>
      </c>
      <c r="AF155" s="1">
        <f t="shared" si="89"/>
        <v>1</v>
      </c>
      <c r="AG155" s="1">
        <f t="shared" si="89"/>
        <v>2</v>
      </c>
      <c r="AH155" s="1">
        <f t="shared" si="89"/>
        <v>1</v>
      </c>
      <c r="AI155" s="1">
        <f t="shared" si="89"/>
        <v>1</v>
      </c>
      <c r="AJ155" s="1">
        <f t="shared" si="89"/>
        <v>2</v>
      </c>
      <c r="AK155" s="1">
        <f t="shared" si="89"/>
        <v>1</v>
      </c>
      <c r="AL155" s="1">
        <f t="shared" si="89"/>
        <v>1</v>
      </c>
      <c r="AM155" s="1">
        <f t="shared" si="89"/>
        <v>1</v>
      </c>
      <c r="AN155" s="1">
        <f t="shared" si="89"/>
        <v>2</v>
      </c>
      <c r="AO155" s="1">
        <f t="shared" si="89"/>
        <v>1</v>
      </c>
      <c r="AP155" s="1">
        <f t="shared" si="89"/>
        <v>1</v>
      </c>
      <c r="AQ155" s="1">
        <f t="shared" si="89"/>
        <v>1</v>
      </c>
      <c r="AR155" s="1">
        <f t="shared" si="89"/>
        <v>1</v>
      </c>
      <c r="AS155" s="1">
        <f t="shared" si="89"/>
        <v>1</v>
      </c>
      <c r="AT155" s="1">
        <f t="shared" si="89"/>
        <v>1</v>
      </c>
      <c r="AU155" s="1">
        <f t="shared" si="89"/>
        <v>1</v>
      </c>
    </row>
    <row r="156" spans="1:47">
      <c r="A156" s="1" t="str">
        <f t="shared" si="65"/>
        <v>   2.2.4) Infant mortality</v>
      </c>
      <c r="B156" s="1">
        <f t="shared" ref="B156:AU156" si="90">COUNTIF($B91:$AU91,B91)</f>
        <v>1</v>
      </c>
      <c r="C156" s="1">
        <f t="shared" si="90"/>
        <v>1</v>
      </c>
      <c r="D156" s="1">
        <f t="shared" si="90"/>
        <v>2</v>
      </c>
      <c r="E156" s="1">
        <f t="shared" si="90"/>
        <v>1</v>
      </c>
      <c r="F156" s="1">
        <f t="shared" si="90"/>
        <v>1</v>
      </c>
      <c r="G156" s="1">
        <f t="shared" si="90"/>
        <v>1</v>
      </c>
      <c r="H156" s="1">
        <f t="shared" si="90"/>
        <v>1</v>
      </c>
      <c r="I156" s="1">
        <f t="shared" si="90"/>
        <v>1</v>
      </c>
      <c r="J156" s="1">
        <f t="shared" si="90"/>
        <v>1</v>
      </c>
      <c r="K156" s="1">
        <f t="shared" si="90"/>
        <v>1</v>
      </c>
      <c r="L156" s="1">
        <f t="shared" si="90"/>
        <v>1</v>
      </c>
      <c r="M156" s="1">
        <f t="shared" si="90"/>
        <v>1</v>
      </c>
      <c r="N156" s="1">
        <f t="shared" si="90"/>
        <v>1</v>
      </c>
      <c r="O156" s="1">
        <f t="shared" si="90"/>
        <v>1</v>
      </c>
      <c r="P156" s="1">
        <f t="shared" si="90"/>
        <v>1</v>
      </c>
      <c r="Q156" s="1">
        <f t="shared" si="90"/>
        <v>1</v>
      </c>
      <c r="R156" s="1">
        <f t="shared" si="90"/>
        <v>1</v>
      </c>
      <c r="S156" s="1">
        <f t="shared" si="90"/>
        <v>1</v>
      </c>
      <c r="T156" s="1">
        <f t="shared" si="90"/>
        <v>2</v>
      </c>
      <c r="U156" s="1">
        <f t="shared" si="90"/>
        <v>2</v>
      </c>
      <c r="V156" s="1">
        <f t="shared" si="90"/>
        <v>1</v>
      </c>
      <c r="W156" s="1">
        <f t="shared" si="90"/>
        <v>1</v>
      </c>
      <c r="X156" s="1">
        <f t="shared" si="90"/>
        <v>1</v>
      </c>
      <c r="Y156" s="1">
        <f t="shared" si="90"/>
        <v>1</v>
      </c>
      <c r="Z156" s="1">
        <f t="shared" si="90"/>
        <v>1</v>
      </c>
      <c r="AA156" s="1">
        <f t="shared" si="90"/>
        <v>1</v>
      </c>
      <c r="AB156" s="1">
        <f t="shared" si="90"/>
        <v>2</v>
      </c>
      <c r="AC156" s="1">
        <f t="shared" si="90"/>
        <v>1</v>
      </c>
      <c r="AD156" s="1">
        <f t="shared" si="90"/>
        <v>1</v>
      </c>
      <c r="AE156" s="1">
        <f t="shared" si="90"/>
        <v>1</v>
      </c>
      <c r="AF156" s="1">
        <f t="shared" si="90"/>
        <v>1</v>
      </c>
      <c r="AG156" s="1">
        <f t="shared" si="90"/>
        <v>1</v>
      </c>
      <c r="AH156" s="1">
        <f t="shared" si="90"/>
        <v>1</v>
      </c>
      <c r="AI156" s="1">
        <f t="shared" si="90"/>
        <v>2</v>
      </c>
      <c r="AJ156" s="1">
        <f t="shared" si="90"/>
        <v>1</v>
      </c>
      <c r="AK156" s="1">
        <f t="shared" si="90"/>
        <v>1</v>
      </c>
      <c r="AL156" s="1">
        <f t="shared" si="90"/>
        <v>1</v>
      </c>
      <c r="AM156" s="1">
        <f t="shared" si="90"/>
        <v>1</v>
      </c>
      <c r="AN156" s="1">
        <f t="shared" si="90"/>
        <v>1</v>
      </c>
      <c r="AO156" s="1">
        <f t="shared" si="90"/>
        <v>1</v>
      </c>
      <c r="AP156" s="1">
        <f t="shared" si="90"/>
        <v>1</v>
      </c>
      <c r="AQ156" s="1">
        <f t="shared" si="90"/>
        <v>1</v>
      </c>
      <c r="AR156" s="1">
        <f t="shared" si="90"/>
        <v>1</v>
      </c>
      <c r="AS156" s="1">
        <f t="shared" si="90"/>
        <v>1</v>
      </c>
      <c r="AT156" s="1">
        <f t="shared" si="90"/>
        <v>1</v>
      </c>
      <c r="AU156" s="1">
        <f t="shared" si="90"/>
        <v>2</v>
      </c>
    </row>
    <row r="157" spans="1:47">
      <c r="A157" s="1" t="str">
        <f t="shared" si="65"/>
        <v>   2.2.5) Cancer mortality rate</v>
      </c>
      <c r="B157" s="1">
        <f t="shared" ref="B157:AU157" si="91">COUNTIF($B92:$AU92,B92)</f>
        <v>1</v>
      </c>
      <c r="C157" s="1">
        <f t="shared" si="91"/>
        <v>1</v>
      </c>
      <c r="D157" s="1">
        <f t="shared" si="91"/>
        <v>1</v>
      </c>
      <c r="E157" s="1">
        <f t="shared" si="91"/>
        <v>2</v>
      </c>
      <c r="F157" s="1">
        <f t="shared" si="91"/>
        <v>1</v>
      </c>
      <c r="G157" s="1">
        <f t="shared" si="91"/>
        <v>1</v>
      </c>
      <c r="H157" s="1">
        <f t="shared" si="91"/>
        <v>1</v>
      </c>
      <c r="I157" s="1">
        <f t="shared" si="91"/>
        <v>1</v>
      </c>
      <c r="J157" s="1">
        <f t="shared" si="91"/>
        <v>1</v>
      </c>
      <c r="K157" s="1">
        <f t="shared" si="91"/>
        <v>1</v>
      </c>
      <c r="L157" s="1">
        <f t="shared" si="91"/>
        <v>1</v>
      </c>
      <c r="M157" s="1">
        <f t="shared" si="91"/>
        <v>1</v>
      </c>
      <c r="N157" s="1">
        <f t="shared" si="91"/>
        <v>1</v>
      </c>
      <c r="O157" s="1">
        <f t="shared" si="91"/>
        <v>1</v>
      </c>
      <c r="P157" s="1">
        <f t="shared" si="91"/>
        <v>1</v>
      </c>
      <c r="Q157" s="1">
        <f t="shared" si="91"/>
        <v>1</v>
      </c>
      <c r="R157" s="1">
        <f t="shared" si="91"/>
        <v>1</v>
      </c>
      <c r="S157" s="1">
        <f t="shared" si="91"/>
        <v>1</v>
      </c>
      <c r="T157" s="1">
        <f t="shared" si="91"/>
        <v>1</v>
      </c>
      <c r="U157" s="1">
        <f t="shared" si="91"/>
        <v>1</v>
      </c>
      <c r="V157" s="1">
        <f t="shared" si="91"/>
        <v>2</v>
      </c>
      <c r="W157" s="1">
        <f t="shared" si="91"/>
        <v>1</v>
      </c>
      <c r="X157" s="1">
        <f t="shared" si="91"/>
        <v>1</v>
      </c>
      <c r="Y157" s="1">
        <f t="shared" si="91"/>
        <v>1</v>
      </c>
      <c r="Z157" s="1">
        <f t="shared" si="91"/>
        <v>1</v>
      </c>
      <c r="AA157" s="1">
        <f t="shared" si="91"/>
        <v>1</v>
      </c>
      <c r="AB157" s="1">
        <f t="shared" si="91"/>
        <v>1</v>
      </c>
      <c r="AC157" s="1">
        <f t="shared" si="91"/>
        <v>1</v>
      </c>
      <c r="AD157" s="1">
        <f t="shared" si="91"/>
        <v>1</v>
      </c>
      <c r="AE157" s="1">
        <f t="shared" si="91"/>
        <v>2</v>
      </c>
      <c r="AF157" s="1">
        <f t="shared" si="91"/>
        <v>1</v>
      </c>
      <c r="AG157" s="1">
        <f t="shared" si="91"/>
        <v>1</v>
      </c>
      <c r="AH157" s="1">
        <f t="shared" si="91"/>
        <v>1</v>
      </c>
      <c r="AI157" s="1">
        <f t="shared" si="91"/>
        <v>1</v>
      </c>
      <c r="AJ157" s="1">
        <f t="shared" si="91"/>
        <v>2</v>
      </c>
      <c r="AK157" s="1">
        <f t="shared" si="91"/>
        <v>1</v>
      </c>
      <c r="AL157" s="1">
        <f t="shared" si="91"/>
        <v>1</v>
      </c>
      <c r="AM157" s="1">
        <f t="shared" si="91"/>
        <v>1</v>
      </c>
      <c r="AN157" s="1">
        <f t="shared" si="91"/>
        <v>1</v>
      </c>
      <c r="AO157" s="1">
        <f t="shared" si="91"/>
        <v>1</v>
      </c>
      <c r="AP157" s="1">
        <f t="shared" si="91"/>
        <v>1</v>
      </c>
      <c r="AQ157" s="1">
        <f t="shared" si="91"/>
        <v>1</v>
      </c>
      <c r="AR157" s="1">
        <f t="shared" si="91"/>
        <v>1</v>
      </c>
      <c r="AS157" s="1">
        <f t="shared" si="91"/>
        <v>1</v>
      </c>
      <c r="AT157" s="1">
        <f t="shared" si="91"/>
        <v>1</v>
      </c>
      <c r="AU157" s="1">
        <f t="shared" si="91"/>
        <v>1</v>
      </c>
    </row>
    <row r="158" spans="1:47">
      <c r="A158" s="1" t="str">
        <f t="shared" si="65"/>
        <v>   2.2.6) Number of attacks using biological, chemical and/or radiological weapons</v>
      </c>
      <c r="B158" s="1">
        <f t="shared" ref="B158:AU158" si="92">COUNTIF($B93:$AU93,B93)</f>
        <v>45</v>
      </c>
      <c r="C158" s="1">
        <f t="shared" si="92"/>
        <v>45</v>
      </c>
      <c r="D158" s="1">
        <f t="shared" si="92"/>
        <v>45</v>
      </c>
      <c r="E158" s="1">
        <f t="shared" si="92"/>
        <v>45</v>
      </c>
      <c r="F158" s="1">
        <f t="shared" si="92"/>
        <v>45</v>
      </c>
      <c r="G158" s="1">
        <f t="shared" si="92"/>
        <v>45</v>
      </c>
      <c r="H158" s="1">
        <f t="shared" si="92"/>
        <v>45</v>
      </c>
      <c r="I158" s="1">
        <f t="shared" si="92"/>
        <v>45</v>
      </c>
      <c r="J158" s="1">
        <f t="shared" si="92"/>
        <v>45</v>
      </c>
      <c r="K158" s="1">
        <f t="shared" si="92"/>
        <v>45</v>
      </c>
      <c r="L158" s="1">
        <f t="shared" si="92"/>
        <v>45</v>
      </c>
      <c r="M158" s="1">
        <f t="shared" si="92"/>
        <v>45</v>
      </c>
      <c r="N158" s="1">
        <f t="shared" si="92"/>
        <v>1</v>
      </c>
      <c r="O158" s="1">
        <f t="shared" si="92"/>
        <v>45</v>
      </c>
      <c r="P158" s="1">
        <f t="shared" si="92"/>
        <v>45</v>
      </c>
      <c r="Q158" s="1">
        <f t="shared" si="92"/>
        <v>45</v>
      </c>
      <c r="R158" s="1">
        <f t="shared" si="92"/>
        <v>45</v>
      </c>
      <c r="S158" s="1">
        <f t="shared" si="92"/>
        <v>45</v>
      </c>
      <c r="T158" s="1">
        <f t="shared" si="92"/>
        <v>45</v>
      </c>
      <c r="U158" s="1">
        <f t="shared" si="92"/>
        <v>45</v>
      </c>
      <c r="V158" s="1">
        <f t="shared" si="92"/>
        <v>45</v>
      </c>
      <c r="W158" s="1">
        <f t="shared" si="92"/>
        <v>45</v>
      </c>
      <c r="X158" s="1">
        <f t="shared" si="92"/>
        <v>45</v>
      </c>
      <c r="Y158" s="1">
        <f t="shared" si="92"/>
        <v>45</v>
      </c>
      <c r="Z158" s="1">
        <f t="shared" si="92"/>
        <v>45</v>
      </c>
      <c r="AA158" s="1">
        <f t="shared" si="92"/>
        <v>45</v>
      </c>
      <c r="AB158" s="1">
        <f t="shared" si="92"/>
        <v>45</v>
      </c>
      <c r="AC158" s="1">
        <f t="shared" si="92"/>
        <v>45</v>
      </c>
      <c r="AD158" s="1">
        <f t="shared" si="92"/>
        <v>45</v>
      </c>
      <c r="AE158" s="1">
        <f t="shared" si="92"/>
        <v>45</v>
      </c>
      <c r="AF158" s="1">
        <f t="shared" si="92"/>
        <v>45</v>
      </c>
      <c r="AG158" s="1">
        <f t="shared" si="92"/>
        <v>45</v>
      </c>
      <c r="AH158" s="1">
        <f t="shared" si="92"/>
        <v>45</v>
      </c>
      <c r="AI158" s="1">
        <f t="shared" si="92"/>
        <v>45</v>
      </c>
      <c r="AJ158" s="1">
        <f t="shared" si="92"/>
        <v>45</v>
      </c>
      <c r="AK158" s="1">
        <f t="shared" si="92"/>
        <v>45</v>
      </c>
      <c r="AL158" s="1">
        <f t="shared" si="92"/>
        <v>45</v>
      </c>
      <c r="AM158" s="1">
        <f t="shared" si="92"/>
        <v>45</v>
      </c>
      <c r="AN158" s="1">
        <f t="shared" si="92"/>
        <v>45</v>
      </c>
      <c r="AO158" s="1">
        <f t="shared" si="92"/>
        <v>45</v>
      </c>
      <c r="AP158" s="1">
        <f t="shared" si="92"/>
        <v>45</v>
      </c>
      <c r="AQ158" s="1">
        <f t="shared" si="92"/>
        <v>45</v>
      </c>
      <c r="AR158" s="1">
        <f t="shared" si="92"/>
        <v>45</v>
      </c>
      <c r="AS158" s="1">
        <f t="shared" si="92"/>
        <v>45</v>
      </c>
      <c r="AT158" s="1">
        <f t="shared" si="92"/>
        <v>45</v>
      </c>
      <c r="AU158" s="1">
        <f t="shared" si="92"/>
        <v>45</v>
      </c>
    </row>
    <row r="159" spans="1:47">
      <c r="A159" s="1" t="str">
        <f t="shared" si="65"/>
        <v> 3) INFRASTRUCTURE SECURITY</v>
      </c>
      <c r="B159" s="1">
        <f t="shared" ref="B159:AU159" si="93">COUNTIF($B94:$AU94,B94)</f>
        <v>1</v>
      </c>
      <c r="C159" s="1">
        <f t="shared" si="93"/>
        <v>1</v>
      </c>
      <c r="D159" s="1">
        <f t="shared" si="93"/>
        <v>1</v>
      </c>
      <c r="E159" s="1">
        <f t="shared" si="93"/>
        <v>1</v>
      </c>
      <c r="F159" s="1">
        <f t="shared" si="93"/>
        <v>1</v>
      </c>
      <c r="G159" s="1">
        <f t="shared" si="93"/>
        <v>1</v>
      </c>
      <c r="H159" s="1">
        <f t="shared" si="93"/>
        <v>1</v>
      </c>
      <c r="I159" s="1">
        <f t="shared" si="93"/>
        <v>1</v>
      </c>
      <c r="J159" s="1">
        <f t="shared" si="93"/>
        <v>1</v>
      </c>
      <c r="K159" s="1">
        <f t="shared" si="93"/>
        <v>1</v>
      </c>
      <c r="L159" s="1">
        <f t="shared" si="93"/>
        <v>1</v>
      </c>
      <c r="M159" s="1">
        <f t="shared" si="93"/>
        <v>1</v>
      </c>
      <c r="N159" s="1">
        <f t="shared" si="93"/>
        <v>1</v>
      </c>
      <c r="O159" s="1">
        <f t="shared" si="93"/>
        <v>1</v>
      </c>
      <c r="P159" s="1">
        <f t="shared" si="93"/>
        <v>1</v>
      </c>
      <c r="Q159" s="1">
        <f t="shared" si="93"/>
        <v>1</v>
      </c>
      <c r="R159" s="1">
        <f t="shared" si="93"/>
        <v>1</v>
      </c>
      <c r="S159" s="1">
        <f t="shared" si="93"/>
        <v>1</v>
      </c>
      <c r="T159" s="1">
        <f t="shared" si="93"/>
        <v>1</v>
      </c>
      <c r="U159" s="1">
        <f t="shared" si="93"/>
        <v>1</v>
      </c>
      <c r="V159" s="1">
        <f t="shared" si="93"/>
        <v>1</v>
      </c>
      <c r="W159" s="1">
        <f t="shared" si="93"/>
        <v>1</v>
      </c>
      <c r="X159" s="1">
        <f t="shared" si="93"/>
        <v>1</v>
      </c>
      <c r="Y159" s="1">
        <f t="shared" si="93"/>
        <v>1</v>
      </c>
      <c r="Z159" s="1">
        <f t="shared" si="93"/>
        <v>1</v>
      </c>
      <c r="AA159" s="1">
        <f t="shared" si="93"/>
        <v>1</v>
      </c>
      <c r="AB159" s="1">
        <f t="shared" si="93"/>
        <v>1</v>
      </c>
      <c r="AC159" s="1">
        <f t="shared" si="93"/>
        <v>1</v>
      </c>
      <c r="AD159" s="1">
        <f t="shared" si="93"/>
        <v>2</v>
      </c>
      <c r="AE159" s="1">
        <f t="shared" si="93"/>
        <v>1</v>
      </c>
      <c r="AF159" s="1">
        <f t="shared" si="93"/>
        <v>1</v>
      </c>
      <c r="AG159" s="1">
        <f t="shared" si="93"/>
        <v>1</v>
      </c>
      <c r="AH159" s="1">
        <f t="shared" si="93"/>
        <v>1</v>
      </c>
      <c r="AI159" s="1">
        <f t="shared" si="93"/>
        <v>1</v>
      </c>
      <c r="AJ159" s="1">
        <f t="shared" si="93"/>
        <v>1</v>
      </c>
      <c r="AK159" s="1">
        <f t="shared" si="93"/>
        <v>1</v>
      </c>
      <c r="AL159" s="1">
        <f t="shared" si="93"/>
        <v>2</v>
      </c>
      <c r="AM159" s="1">
        <f t="shared" si="93"/>
        <v>1</v>
      </c>
      <c r="AN159" s="1">
        <f t="shared" si="93"/>
        <v>1</v>
      </c>
      <c r="AO159" s="1">
        <f t="shared" si="93"/>
        <v>1</v>
      </c>
      <c r="AP159" s="1">
        <f t="shared" si="93"/>
        <v>1</v>
      </c>
      <c r="AQ159" s="1">
        <f t="shared" si="93"/>
        <v>1</v>
      </c>
      <c r="AR159" s="1">
        <f t="shared" si="93"/>
        <v>1</v>
      </c>
      <c r="AS159" s="1">
        <f t="shared" si="93"/>
        <v>1</v>
      </c>
      <c r="AT159" s="1">
        <f t="shared" si="93"/>
        <v>1</v>
      </c>
      <c r="AU159" s="1">
        <f t="shared" si="93"/>
        <v>1</v>
      </c>
    </row>
    <row r="160" spans="1:47">
      <c r="A160" s="1" t="str">
        <f t="shared" si="65"/>
        <v>  3.1) Infrastructure security (Inputs)</v>
      </c>
      <c r="B160" s="1">
        <f t="shared" ref="B160:AU160" si="94">COUNTIF($B95:$AU95,B95)</f>
        <v>1</v>
      </c>
      <c r="C160" s="1">
        <f t="shared" si="94"/>
        <v>2</v>
      </c>
      <c r="D160" s="1">
        <f t="shared" si="94"/>
        <v>1</v>
      </c>
      <c r="E160" s="1">
        <f t="shared" si="94"/>
        <v>2</v>
      </c>
      <c r="F160" s="1">
        <f t="shared" si="94"/>
        <v>2</v>
      </c>
      <c r="G160" s="1">
        <f t="shared" si="94"/>
        <v>2</v>
      </c>
      <c r="H160" s="1">
        <f t="shared" si="94"/>
        <v>2</v>
      </c>
      <c r="I160" s="1">
        <f t="shared" si="94"/>
        <v>5</v>
      </c>
      <c r="J160" s="1">
        <f t="shared" si="94"/>
        <v>1</v>
      </c>
      <c r="K160" s="1">
        <f t="shared" si="94"/>
        <v>1</v>
      </c>
      <c r="L160" s="1">
        <f t="shared" si="94"/>
        <v>5</v>
      </c>
      <c r="M160" s="1">
        <f t="shared" si="94"/>
        <v>1</v>
      </c>
      <c r="N160" s="1">
        <f t="shared" si="94"/>
        <v>1</v>
      </c>
      <c r="O160" s="1">
        <f t="shared" si="94"/>
        <v>1</v>
      </c>
      <c r="P160" s="1">
        <f t="shared" si="94"/>
        <v>1</v>
      </c>
      <c r="Q160" s="1">
        <f t="shared" si="94"/>
        <v>2</v>
      </c>
      <c r="R160" s="1">
        <f t="shared" si="94"/>
        <v>2</v>
      </c>
      <c r="S160" s="1">
        <f t="shared" si="94"/>
        <v>1</v>
      </c>
      <c r="T160" s="1">
        <f t="shared" si="94"/>
        <v>1</v>
      </c>
      <c r="U160" s="1">
        <f t="shared" si="94"/>
        <v>1</v>
      </c>
      <c r="V160" s="1">
        <f t="shared" si="94"/>
        <v>2</v>
      </c>
      <c r="W160" s="1">
        <f t="shared" si="94"/>
        <v>5</v>
      </c>
      <c r="X160" s="1">
        <f t="shared" si="94"/>
        <v>2</v>
      </c>
      <c r="Y160" s="1">
        <f t="shared" si="94"/>
        <v>1</v>
      </c>
      <c r="Z160" s="1">
        <f t="shared" si="94"/>
        <v>1</v>
      </c>
      <c r="AA160" s="1">
        <f t="shared" si="94"/>
        <v>1</v>
      </c>
      <c r="AB160" s="1">
        <f t="shared" si="94"/>
        <v>5</v>
      </c>
      <c r="AC160" s="1">
        <f t="shared" si="94"/>
        <v>5</v>
      </c>
      <c r="AD160" s="1">
        <f t="shared" si="94"/>
        <v>2</v>
      </c>
      <c r="AE160" s="1">
        <f t="shared" si="94"/>
        <v>2</v>
      </c>
      <c r="AF160" s="1">
        <f t="shared" si="94"/>
        <v>1</v>
      </c>
      <c r="AG160" s="1">
        <f t="shared" si="94"/>
        <v>1</v>
      </c>
      <c r="AH160" s="1">
        <f t="shared" si="94"/>
        <v>5</v>
      </c>
      <c r="AI160" s="1">
        <f t="shared" si="94"/>
        <v>1</v>
      </c>
      <c r="AJ160" s="1">
        <f t="shared" si="94"/>
        <v>1</v>
      </c>
      <c r="AK160" s="1">
        <f t="shared" si="94"/>
        <v>1</v>
      </c>
      <c r="AL160" s="1">
        <f t="shared" si="94"/>
        <v>2</v>
      </c>
      <c r="AM160" s="1">
        <f t="shared" si="94"/>
        <v>1</v>
      </c>
      <c r="AN160" s="1">
        <f t="shared" si="94"/>
        <v>1</v>
      </c>
      <c r="AO160" s="1">
        <f t="shared" si="94"/>
        <v>5</v>
      </c>
      <c r="AP160" s="1">
        <f t="shared" si="94"/>
        <v>2</v>
      </c>
      <c r="AQ160" s="1">
        <f t="shared" si="94"/>
        <v>1</v>
      </c>
      <c r="AR160" s="1">
        <f t="shared" si="94"/>
        <v>5</v>
      </c>
      <c r="AS160" s="1">
        <f t="shared" si="94"/>
        <v>5</v>
      </c>
      <c r="AT160" s="1">
        <f t="shared" si="94"/>
        <v>5</v>
      </c>
      <c r="AU160" s="1">
        <f t="shared" si="94"/>
        <v>2</v>
      </c>
    </row>
    <row r="161" spans="1:47">
      <c r="A161" s="1" t="str">
        <f t="shared" si="65"/>
        <v>   3.1.1) Enforcement of transport safety</v>
      </c>
      <c r="B161" s="1">
        <f t="shared" ref="B161:AU161" si="95">COUNTIF($B96:$AU96,B96)</f>
        <v>2</v>
      </c>
      <c r="C161" s="1">
        <f t="shared" si="95"/>
        <v>3</v>
      </c>
      <c r="D161" s="1">
        <f t="shared" si="95"/>
        <v>2</v>
      </c>
      <c r="E161" s="1">
        <f t="shared" si="95"/>
        <v>3</v>
      </c>
      <c r="F161" s="1">
        <f t="shared" si="95"/>
        <v>3</v>
      </c>
      <c r="G161" s="1">
        <f t="shared" si="95"/>
        <v>3</v>
      </c>
      <c r="H161" s="1">
        <f t="shared" si="95"/>
        <v>3</v>
      </c>
      <c r="I161" s="1">
        <f t="shared" si="95"/>
        <v>6</v>
      </c>
      <c r="J161" s="1">
        <f t="shared" si="95"/>
        <v>2</v>
      </c>
      <c r="K161" s="1">
        <f t="shared" si="95"/>
        <v>3</v>
      </c>
      <c r="L161" s="1">
        <f t="shared" si="95"/>
        <v>5</v>
      </c>
      <c r="M161" s="1">
        <f t="shared" si="95"/>
        <v>3</v>
      </c>
      <c r="N161" s="1">
        <f t="shared" si="95"/>
        <v>3</v>
      </c>
      <c r="O161" s="1">
        <f t="shared" si="95"/>
        <v>1</v>
      </c>
      <c r="P161" s="1">
        <f t="shared" si="95"/>
        <v>3</v>
      </c>
      <c r="Q161" s="1">
        <f t="shared" si="95"/>
        <v>2</v>
      </c>
      <c r="R161" s="1">
        <f t="shared" si="95"/>
        <v>2</v>
      </c>
      <c r="S161" s="1">
        <f t="shared" si="95"/>
        <v>3</v>
      </c>
      <c r="T161" s="1">
        <f t="shared" si="95"/>
        <v>1</v>
      </c>
      <c r="U161" s="1">
        <f t="shared" si="95"/>
        <v>6</v>
      </c>
      <c r="V161" s="1">
        <f t="shared" si="95"/>
        <v>3</v>
      </c>
      <c r="W161" s="1">
        <f t="shared" si="95"/>
        <v>5</v>
      </c>
      <c r="X161" s="1">
        <f t="shared" si="95"/>
        <v>2</v>
      </c>
      <c r="Y161" s="1">
        <f t="shared" si="95"/>
        <v>3</v>
      </c>
      <c r="Z161" s="1">
        <f t="shared" si="95"/>
        <v>3</v>
      </c>
      <c r="AA161" s="1">
        <f t="shared" si="95"/>
        <v>2</v>
      </c>
      <c r="AB161" s="1">
        <f t="shared" si="95"/>
        <v>6</v>
      </c>
      <c r="AC161" s="1">
        <f t="shared" si="95"/>
        <v>5</v>
      </c>
      <c r="AD161" s="1">
        <f t="shared" si="95"/>
        <v>1</v>
      </c>
      <c r="AE161" s="1">
        <f t="shared" si="95"/>
        <v>3</v>
      </c>
      <c r="AF161" s="1">
        <f t="shared" si="95"/>
        <v>3</v>
      </c>
      <c r="AG161" s="1">
        <f t="shared" si="95"/>
        <v>3</v>
      </c>
      <c r="AH161" s="1">
        <f t="shared" si="95"/>
        <v>6</v>
      </c>
      <c r="AI161" s="1">
        <f t="shared" si="95"/>
        <v>2</v>
      </c>
      <c r="AJ161" s="1">
        <f t="shared" si="95"/>
        <v>3</v>
      </c>
      <c r="AK161" s="1">
        <f t="shared" si="95"/>
        <v>3</v>
      </c>
      <c r="AL161" s="1">
        <f t="shared" si="95"/>
        <v>3</v>
      </c>
      <c r="AM161" s="1">
        <f t="shared" si="95"/>
        <v>2</v>
      </c>
      <c r="AN161" s="1">
        <f t="shared" si="95"/>
        <v>1</v>
      </c>
      <c r="AO161" s="1">
        <f t="shared" si="95"/>
        <v>5</v>
      </c>
      <c r="AP161" s="1">
        <f t="shared" si="95"/>
        <v>3</v>
      </c>
      <c r="AQ161" s="1">
        <f t="shared" si="95"/>
        <v>2</v>
      </c>
      <c r="AR161" s="1">
        <f t="shared" si="95"/>
        <v>5</v>
      </c>
      <c r="AS161" s="1">
        <f t="shared" si="95"/>
        <v>6</v>
      </c>
      <c r="AT161" s="1">
        <f t="shared" si="95"/>
        <v>6</v>
      </c>
      <c r="AU161" s="1">
        <f t="shared" si="95"/>
        <v>3</v>
      </c>
    </row>
    <row r="162" spans="1:47">
      <c r="A162" s="1" t="str">
        <f t="shared" si="65"/>
        <v>   3.1.2) Pedestrian friendliness</v>
      </c>
      <c r="B162" s="1">
        <f t="shared" ref="B162:AU162" si="96">COUNTIF($B97:$AU97,B97)</f>
        <v>34</v>
      </c>
      <c r="C162" s="1">
        <f t="shared" si="96"/>
        <v>34</v>
      </c>
      <c r="D162" s="1">
        <f t="shared" si="96"/>
        <v>8</v>
      </c>
      <c r="E162" s="1">
        <f t="shared" si="96"/>
        <v>34</v>
      </c>
      <c r="F162" s="1">
        <f t="shared" si="96"/>
        <v>34</v>
      </c>
      <c r="G162" s="1">
        <f t="shared" si="96"/>
        <v>34</v>
      </c>
      <c r="H162" s="1">
        <f t="shared" si="96"/>
        <v>34</v>
      </c>
      <c r="I162" s="1">
        <f t="shared" si="96"/>
        <v>34</v>
      </c>
      <c r="J162" s="1">
        <f t="shared" si="96"/>
        <v>4</v>
      </c>
      <c r="K162" s="1">
        <f t="shared" si="96"/>
        <v>8</v>
      </c>
      <c r="L162" s="1">
        <f t="shared" si="96"/>
        <v>34</v>
      </c>
      <c r="M162" s="1">
        <f t="shared" si="96"/>
        <v>8</v>
      </c>
      <c r="N162" s="1">
        <f t="shared" si="96"/>
        <v>34</v>
      </c>
      <c r="O162" s="1">
        <f t="shared" si="96"/>
        <v>34</v>
      </c>
      <c r="P162" s="1">
        <f t="shared" si="96"/>
        <v>4</v>
      </c>
      <c r="Q162" s="1">
        <f t="shared" si="96"/>
        <v>34</v>
      </c>
      <c r="R162" s="1">
        <f t="shared" si="96"/>
        <v>8</v>
      </c>
      <c r="S162" s="1">
        <f t="shared" si="96"/>
        <v>34</v>
      </c>
      <c r="T162" s="1">
        <f t="shared" si="96"/>
        <v>8</v>
      </c>
      <c r="U162" s="1">
        <f t="shared" si="96"/>
        <v>34</v>
      </c>
      <c r="V162" s="1">
        <f t="shared" si="96"/>
        <v>34</v>
      </c>
      <c r="W162" s="1">
        <f t="shared" si="96"/>
        <v>34</v>
      </c>
      <c r="X162" s="1">
        <f t="shared" si="96"/>
        <v>34</v>
      </c>
      <c r="Y162" s="1">
        <f t="shared" si="96"/>
        <v>34</v>
      </c>
      <c r="Z162" s="1">
        <f t="shared" si="96"/>
        <v>34</v>
      </c>
      <c r="AA162" s="1">
        <f t="shared" si="96"/>
        <v>4</v>
      </c>
      <c r="AB162" s="1">
        <f t="shared" si="96"/>
        <v>34</v>
      </c>
      <c r="AC162" s="1">
        <f t="shared" si="96"/>
        <v>34</v>
      </c>
      <c r="AD162" s="1">
        <f t="shared" si="96"/>
        <v>8</v>
      </c>
      <c r="AE162" s="1">
        <f t="shared" si="96"/>
        <v>34</v>
      </c>
      <c r="AF162" s="1">
        <f t="shared" si="96"/>
        <v>8</v>
      </c>
      <c r="AG162" s="1">
        <f t="shared" si="96"/>
        <v>34</v>
      </c>
      <c r="AH162" s="1">
        <f t="shared" si="96"/>
        <v>34</v>
      </c>
      <c r="AI162" s="1">
        <f t="shared" si="96"/>
        <v>8</v>
      </c>
      <c r="AJ162" s="1">
        <f t="shared" si="96"/>
        <v>34</v>
      </c>
      <c r="AK162" s="1">
        <f t="shared" si="96"/>
        <v>34</v>
      </c>
      <c r="AL162" s="1">
        <f t="shared" si="96"/>
        <v>34</v>
      </c>
      <c r="AM162" s="1">
        <f t="shared" si="96"/>
        <v>34</v>
      </c>
      <c r="AN162" s="1">
        <f t="shared" si="96"/>
        <v>34</v>
      </c>
      <c r="AO162" s="1">
        <f t="shared" si="96"/>
        <v>34</v>
      </c>
      <c r="AP162" s="1">
        <f t="shared" si="96"/>
        <v>34</v>
      </c>
      <c r="AQ162" s="1">
        <f t="shared" si="96"/>
        <v>4</v>
      </c>
      <c r="AR162" s="1">
        <f t="shared" si="96"/>
        <v>34</v>
      </c>
      <c r="AS162" s="1">
        <f t="shared" si="96"/>
        <v>34</v>
      </c>
      <c r="AT162" s="1">
        <f t="shared" si="96"/>
        <v>34</v>
      </c>
      <c r="AU162" s="1">
        <f t="shared" si="96"/>
        <v>34</v>
      </c>
    </row>
    <row r="163" spans="1:47">
      <c r="A163" s="1" t="str">
        <f t="shared" si="65"/>
        <v>   3.1.3) Quality of road infrastructure</v>
      </c>
      <c r="B163" s="1">
        <f t="shared" ref="B163:AU163" si="97">COUNTIF($B98:$AU98,B98)</f>
        <v>13</v>
      </c>
      <c r="C163" s="1">
        <f t="shared" si="97"/>
        <v>13</v>
      </c>
      <c r="D163" s="1">
        <f t="shared" si="97"/>
        <v>3</v>
      </c>
      <c r="E163" s="1">
        <f t="shared" si="97"/>
        <v>13</v>
      </c>
      <c r="F163" s="1">
        <f t="shared" si="97"/>
        <v>21</v>
      </c>
      <c r="G163" s="1">
        <f t="shared" si="97"/>
        <v>21</v>
      </c>
      <c r="H163" s="1">
        <f t="shared" si="97"/>
        <v>21</v>
      </c>
      <c r="I163" s="1">
        <f t="shared" si="97"/>
        <v>21</v>
      </c>
      <c r="J163" s="1">
        <f t="shared" si="97"/>
        <v>8</v>
      </c>
      <c r="K163" s="1">
        <f t="shared" si="97"/>
        <v>21</v>
      </c>
      <c r="L163" s="1">
        <f t="shared" si="97"/>
        <v>13</v>
      </c>
      <c r="M163" s="1">
        <f t="shared" si="97"/>
        <v>3</v>
      </c>
      <c r="N163" s="1">
        <f t="shared" si="97"/>
        <v>13</v>
      </c>
      <c r="O163" s="1">
        <f t="shared" si="97"/>
        <v>8</v>
      </c>
      <c r="P163" s="1">
        <f t="shared" si="97"/>
        <v>8</v>
      </c>
      <c r="Q163" s="1">
        <f t="shared" si="97"/>
        <v>8</v>
      </c>
      <c r="R163" s="1">
        <f t="shared" si="97"/>
        <v>21</v>
      </c>
      <c r="S163" s="1">
        <f t="shared" si="97"/>
        <v>21</v>
      </c>
      <c r="T163" s="1">
        <f t="shared" si="97"/>
        <v>21</v>
      </c>
      <c r="U163" s="1">
        <f t="shared" si="97"/>
        <v>21</v>
      </c>
      <c r="V163" s="1">
        <f t="shared" si="97"/>
        <v>13</v>
      </c>
      <c r="W163" s="1">
        <f t="shared" si="97"/>
        <v>13</v>
      </c>
      <c r="X163" s="1">
        <f t="shared" si="97"/>
        <v>8</v>
      </c>
      <c r="Y163" s="1">
        <f t="shared" si="97"/>
        <v>21</v>
      </c>
      <c r="Z163" s="1">
        <f t="shared" si="97"/>
        <v>21</v>
      </c>
      <c r="AA163" s="1">
        <f t="shared" si="97"/>
        <v>1</v>
      </c>
      <c r="AB163" s="1">
        <f t="shared" si="97"/>
        <v>21</v>
      </c>
      <c r="AC163" s="1">
        <f t="shared" si="97"/>
        <v>13</v>
      </c>
      <c r="AD163" s="1">
        <f t="shared" si="97"/>
        <v>21</v>
      </c>
      <c r="AE163" s="1">
        <f t="shared" si="97"/>
        <v>8</v>
      </c>
      <c r="AF163" s="1">
        <f t="shared" si="97"/>
        <v>8</v>
      </c>
      <c r="AG163" s="1">
        <f t="shared" si="97"/>
        <v>13</v>
      </c>
      <c r="AH163" s="1">
        <f t="shared" si="97"/>
        <v>21</v>
      </c>
      <c r="AI163" s="1">
        <f t="shared" si="97"/>
        <v>21</v>
      </c>
      <c r="AJ163" s="1">
        <f t="shared" si="97"/>
        <v>21</v>
      </c>
      <c r="AK163" s="1">
        <f t="shared" si="97"/>
        <v>21</v>
      </c>
      <c r="AL163" s="1">
        <f t="shared" si="97"/>
        <v>21</v>
      </c>
      <c r="AM163" s="1">
        <f t="shared" si="97"/>
        <v>13</v>
      </c>
      <c r="AN163" s="1">
        <f t="shared" si="97"/>
        <v>3</v>
      </c>
      <c r="AO163" s="1">
        <f t="shared" si="97"/>
        <v>13</v>
      </c>
      <c r="AP163" s="1">
        <f t="shared" si="97"/>
        <v>21</v>
      </c>
      <c r="AQ163" s="1">
        <f t="shared" si="97"/>
        <v>8</v>
      </c>
      <c r="AR163" s="1">
        <f t="shared" si="97"/>
        <v>13</v>
      </c>
      <c r="AS163" s="1">
        <f t="shared" si="97"/>
        <v>21</v>
      </c>
      <c r="AT163" s="1">
        <f t="shared" si="97"/>
        <v>21</v>
      </c>
      <c r="AU163" s="1">
        <f t="shared" si="97"/>
        <v>13</v>
      </c>
    </row>
    <row r="164" spans="1:47">
      <c r="A164" s="1" t="str">
        <f t="shared" ref="A164:A193" si="98">A99</f>
        <v>   3.1.4) Quality of electricity infrastructure</v>
      </c>
      <c r="B164" s="1">
        <f t="shared" ref="B164:AU164" si="99">COUNTIF($B99:$AU99,B99)</f>
        <v>8</v>
      </c>
      <c r="C164" s="1">
        <f t="shared" si="99"/>
        <v>32</v>
      </c>
      <c r="D164" s="1">
        <f t="shared" si="99"/>
        <v>32</v>
      </c>
      <c r="E164" s="1">
        <f t="shared" si="99"/>
        <v>32</v>
      </c>
      <c r="F164" s="1">
        <f t="shared" si="99"/>
        <v>32</v>
      </c>
      <c r="G164" s="1">
        <f t="shared" si="99"/>
        <v>32</v>
      </c>
      <c r="H164" s="1">
        <f t="shared" si="99"/>
        <v>32</v>
      </c>
      <c r="I164" s="1">
        <f t="shared" si="99"/>
        <v>32</v>
      </c>
      <c r="J164" s="1">
        <f t="shared" si="99"/>
        <v>5</v>
      </c>
      <c r="K164" s="1">
        <f t="shared" si="99"/>
        <v>8</v>
      </c>
      <c r="L164" s="1">
        <f t="shared" si="99"/>
        <v>32</v>
      </c>
      <c r="M164" s="1">
        <f t="shared" si="99"/>
        <v>5</v>
      </c>
      <c r="N164" s="1">
        <f t="shared" si="99"/>
        <v>32</v>
      </c>
      <c r="O164" s="1">
        <f t="shared" si="99"/>
        <v>8</v>
      </c>
      <c r="P164" s="1">
        <f t="shared" si="99"/>
        <v>5</v>
      </c>
      <c r="Q164" s="1">
        <f t="shared" si="99"/>
        <v>5</v>
      </c>
      <c r="R164" s="1">
        <f t="shared" si="99"/>
        <v>32</v>
      </c>
      <c r="S164" s="1">
        <f t="shared" si="99"/>
        <v>32</v>
      </c>
      <c r="T164" s="1">
        <f t="shared" si="99"/>
        <v>32</v>
      </c>
      <c r="U164" s="1">
        <f t="shared" si="99"/>
        <v>32</v>
      </c>
      <c r="V164" s="1">
        <f t="shared" si="99"/>
        <v>32</v>
      </c>
      <c r="W164" s="1">
        <f t="shared" si="99"/>
        <v>32</v>
      </c>
      <c r="X164" s="1">
        <f t="shared" si="99"/>
        <v>5</v>
      </c>
      <c r="Y164" s="1">
        <f t="shared" si="99"/>
        <v>32</v>
      </c>
      <c r="Z164" s="1">
        <f t="shared" si="99"/>
        <v>32</v>
      </c>
      <c r="AA164" s="1">
        <f t="shared" si="99"/>
        <v>8</v>
      </c>
      <c r="AB164" s="1">
        <f t="shared" si="99"/>
        <v>32</v>
      </c>
      <c r="AC164" s="1">
        <f t="shared" si="99"/>
        <v>32</v>
      </c>
      <c r="AD164" s="1">
        <f t="shared" si="99"/>
        <v>32</v>
      </c>
      <c r="AE164" s="1">
        <f t="shared" si="99"/>
        <v>32</v>
      </c>
      <c r="AF164" s="1">
        <f t="shared" si="99"/>
        <v>8</v>
      </c>
      <c r="AG164" s="1">
        <f t="shared" si="99"/>
        <v>32</v>
      </c>
      <c r="AH164" s="1">
        <f t="shared" si="99"/>
        <v>32</v>
      </c>
      <c r="AI164" s="1">
        <f t="shared" si="99"/>
        <v>32</v>
      </c>
      <c r="AJ164" s="1">
        <f t="shared" si="99"/>
        <v>8</v>
      </c>
      <c r="AK164" s="1">
        <f t="shared" si="99"/>
        <v>32</v>
      </c>
      <c r="AL164" s="1">
        <f t="shared" si="99"/>
        <v>32</v>
      </c>
      <c r="AM164" s="1">
        <f t="shared" si="99"/>
        <v>32</v>
      </c>
      <c r="AN164" s="1">
        <f t="shared" si="99"/>
        <v>8</v>
      </c>
      <c r="AO164" s="1">
        <f t="shared" si="99"/>
        <v>32</v>
      </c>
      <c r="AP164" s="1">
        <f t="shared" si="99"/>
        <v>8</v>
      </c>
      <c r="AQ164" s="1">
        <f t="shared" si="99"/>
        <v>1</v>
      </c>
      <c r="AR164" s="1">
        <f t="shared" si="99"/>
        <v>32</v>
      </c>
      <c r="AS164" s="1">
        <f t="shared" si="99"/>
        <v>32</v>
      </c>
      <c r="AT164" s="1">
        <f t="shared" si="99"/>
        <v>32</v>
      </c>
      <c r="AU164" s="1">
        <f t="shared" si="99"/>
        <v>32</v>
      </c>
    </row>
    <row r="165" spans="1:47">
      <c r="A165" s="1" t="str">
        <f t="shared" si="98"/>
        <v>   3.1.5) Disaster management/business continuity plan</v>
      </c>
      <c r="B165" s="1">
        <f t="shared" ref="B165:AU165" si="100">COUNTIF($B100:$AU100,B100)</f>
        <v>9</v>
      </c>
      <c r="C165" s="1">
        <f t="shared" si="100"/>
        <v>26</v>
      </c>
      <c r="D165" s="1">
        <f t="shared" si="100"/>
        <v>9</v>
      </c>
      <c r="E165" s="1">
        <f t="shared" si="100"/>
        <v>26</v>
      </c>
      <c r="F165" s="1">
        <f t="shared" si="100"/>
        <v>9</v>
      </c>
      <c r="G165" s="1">
        <f t="shared" si="100"/>
        <v>26</v>
      </c>
      <c r="H165" s="1">
        <f t="shared" si="100"/>
        <v>26</v>
      </c>
      <c r="I165" s="1">
        <f t="shared" si="100"/>
        <v>26</v>
      </c>
      <c r="J165" s="1">
        <f t="shared" si="100"/>
        <v>2</v>
      </c>
      <c r="K165" s="1">
        <f t="shared" si="100"/>
        <v>26</v>
      </c>
      <c r="L165" s="1">
        <f t="shared" si="100"/>
        <v>26</v>
      </c>
      <c r="M165" s="1">
        <f t="shared" si="100"/>
        <v>9</v>
      </c>
      <c r="N165" s="1">
        <f t="shared" si="100"/>
        <v>26</v>
      </c>
      <c r="O165" s="1">
        <f t="shared" si="100"/>
        <v>9</v>
      </c>
      <c r="P165" s="1">
        <f t="shared" si="100"/>
        <v>9</v>
      </c>
      <c r="Q165" s="1">
        <f t="shared" si="100"/>
        <v>9</v>
      </c>
      <c r="R165" s="1">
        <f t="shared" si="100"/>
        <v>9</v>
      </c>
      <c r="S165" s="1">
        <f t="shared" si="100"/>
        <v>26</v>
      </c>
      <c r="T165" s="1">
        <f t="shared" si="100"/>
        <v>26</v>
      </c>
      <c r="U165" s="1">
        <f t="shared" si="100"/>
        <v>9</v>
      </c>
      <c r="V165" s="1">
        <f t="shared" si="100"/>
        <v>26</v>
      </c>
      <c r="W165" s="1">
        <f t="shared" si="100"/>
        <v>26</v>
      </c>
      <c r="X165" s="1">
        <f t="shared" si="100"/>
        <v>9</v>
      </c>
      <c r="Y165" s="1">
        <f t="shared" si="100"/>
        <v>26</v>
      </c>
      <c r="Z165" s="1">
        <f t="shared" si="100"/>
        <v>9</v>
      </c>
      <c r="AA165" s="1">
        <f t="shared" si="100"/>
        <v>2</v>
      </c>
      <c r="AB165" s="1">
        <f t="shared" si="100"/>
        <v>26</v>
      </c>
      <c r="AC165" s="1">
        <f t="shared" si="100"/>
        <v>26</v>
      </c>
      <c r="AD165" s="1">
        <f t="shared" si="100"/>
        <v>26</v>
      </c>
      <c r="AE165" s="1">
        <f t="shared" si="100"/>
        <v>9</v>
      </c>
      <c r="AF165" s="1">
        <f t="shared" si="100"/>
        <v>9</v>
      </c>
      <c r="AG165" s="1">
        <f t="shared" si="100"/>
        <v>26</v>
      </c>
      <c r="AH165" s="1">
        <f t="shared" si="100"/>
        <v>26</v>
      </c>
      <c r="AI165" s="1">
        <f t="shared" si="100"/>
        <v>26</v>
      </c>
      <c r="AJ165" s="1">
        <f t="shared" si="100"/>
        <v>9</v>
      </c>
      <c r="AK165" s="1">
        <f t="shared" si="100"/>
        <v>9</v>
      </c>
      <c r="AL165" s="1">
        <f t="shared" si="100"/>
        <v>9</v>
      </c>
      <c r="AM165" s="1">
        <f t="shared" si="100"/>
        <v>26</v>
      </c>
      <c r="AN165" s="1">
        <f t="shared" si="100"/>
        <v>26</v>
      </c>
      <c r="AO165" s="1">
        <f t="shared" si="100"/>
        <v>26</v>
      </c>
      <c r="AP165" s="1">
        <f t="shared" si="100"/>
        <v>9</v>
      </c>
      <c r="AQ165" s="1">
        <f t="shared" si="100"/>
        <v>9</v>
      </c>
      <c r="AR165" s="1">
        <f t="shared" si="100"/>
        <v>26</v>
      </c>
      <c r="AS165" s="1">
        <f t="shared" si="100"/>
        <v>26</v>
      </c>
      <c r="AT165" s="1">
        <f t="shared" si="100"/>
        <v>26</v>
      </c>
      <c r="AU165" s="1">
        <f t="shared" si="100"/>
        <v>26</v>
      </c>
    </row>
    <row r="166" spans="1:47">
      <c r="A166" s="1" t="str">
        <f t="shared" si="98"/>
        <v>  3.2) Infrastructure security (Outputs)</v>
      </c>
      <c r="B166" s="1">
        <f t="shared" ref="B166:AU166" si="101">COUNTIF($B101:$AU101,B101)</f>
        <v>1</v>
      </c>
      <c r="C166" s="1">
        <f t="shared" si="101"/>
        <v>1</v>
      </c>
      <c r="D166" s="1">
        <f t="shared" si="101"/>
        <v>1</v>
      </c>
      <c r="E166" s="1">
        <f t="shared" si="101"/>
        <v>1</v>
      </c>
      <c r="F166" s="1">
        <f t="shared" si="101"/>
        <v>1</v>
      </c>
      <c r="G166" s="1">
        <f t="shared" si="101"/>
        <v>1</v>
      </c>
      <c r="H166" s="1">
        <f t="shared" si="101"/>
        <v>1</v>
      </c>
      <c r="I166" s="1">
        <f t="shared" si="101"/>
        <v>1</v>
      </c>
      <c r="J166" s="1">
        <f t="shared" si="101"/>
        <v>1</v>
      </c>
      <c r="K166" s="1">
        <f t="shared" si="101"/>
        <v>1</v>
      </c>
      <c r="L166" s="1">
        <f t="shared" si="101"/>
        <v>1</v>
      </c>
      <c r="M166" s="1">
        <f t="shared" si="101"/>
        <v>1</v>
      </c>
      <c r="N166" s="1">
        <f t="shared" si="101"/>
        <v>1</v>
      </c>
      <c r="O166" s="1">
        <f t="shared" si="101"/>
        <v>1</v>
      </c>
      <c r="P166" s="1">
        <f t="shared" si="101"/>
        <v>1</v>
      </c>
      <c r="Q166" s="1">
        <f t="shared" si="101"/>
        <v>1</v>
      </c>
      <c r="R166" s="1">
        <f t="shared" si="101"/>
        <v>1</v>
      </c>
      <c r="S166" s="1">
        <f t="shared" si="101"/>
        <v>1</v>
      </c>
      <c r="T166" s="1">
        <f t="shared" si="101"/>
        <v>1</v>
      </c>
      <c r="U166" s="1">
        <f t="shared" si="101"/>
        <v>1</v>
      </c>
      <c r="V166" s="1">
        <f t="shared" si="101"/>
        <v>1</v>
      </c>
      <c r="W166" s="1">
        <f t="shared" si="101"/>
        <v>1</v>
      </c>
      <c r="X166" s="1">
        <f t="shared" si="101"/>
        <v>1</v>
      </c>
      <c r="Y166" s="1">
        <f t="shared" si="101"/>
        <v>1</v>
      </c>
      <c r="Z166" s="1">
        <f t="shared" si="101"/>
        <v>1</v>
      </c>
      <c r="AA166" s="1">
        <f t="shared" si="101"/>
        <v>1</v>
      </c>
      <c r="AB166" s="1">
        <f t="shared" si="101"/>
        <v>1</v>
      </c>
      <c r="AC166" s="1">
        <f t="shared" si="101"/>
        <v>1</v>
      </c>
      <c r="AD166" s="1">
        <f t="shared" si="101"/>
        <v>1</v>
      </c>
      <c r="AE166" s="1">
        <f t="shared" si="101"/>
        <v>1</v>
      </c>
      <c r="AF166" s="1">
        <f t="shared" si="101"/>
        <v>1</v>
      </c>
      <c r="AG166" s="1">
        <f t="shared" si="101"/>
        <v>1</v>
      </c>
      <c r="AH166" s="1">
        <f t="shared" si="101"/>
        <v>1</v>
      </c>
      <c r="AI166" s="1">
        <f t="shared" si="101"/>
        <v>1</v>
      </c>
      <c r="AJ166" s="1">
        <f t="shared" si="101"/>
        <v>1</v>
      </c>
      <c r="AK166" s="1">
        <f t="shared" si="101"/>
        <v>1</v>
      </c>
      <c r="AL166" s="1">
        <f t="shared" si="101"/>
        <v>1</v>
      </c>
      <c r="AM166" s="1">
        <f t="shared" si="101"/>
        <v>1</v>
      </c>
      <c r="AN166" s="1">
        <f t="shared" si="101"/>
        <v>1</v>
      </c>
      <c r="AO166" s="1">
        <f t="shared" si="101"/>
        <v>1</v>
      </c>
      <c r="AP166" s="1">
        <f t="shared" si="101"/>
        <v>1</v>
      </c>
      <c r="AQ166" s="1">
        <f t="shared" si="101"/>
        <v>1</v>
      </c>
      <c r="AR166" s="1">
        <f t="shared" si="101"/>
        <v>1</v>
      </c>
      <c r="AS166" s="1">
        <f t="shared" si="101"/>
        <v>1</v>
      </c>
      <c r="AT166" s="1">
        <f t="shared" si="101"/>
        <v>1</v>
      </c>
      <c r="AU166" s="1">
        <f t="shared" si="101"/>
        <v>1</v>
      </c>
    </row>
    <row r="167" spans="1:47">
      <c r="A167" s="1" t="str">
        <f t="shared" si="98"/>
        <v>   3.2.1) Deaths from natural disaster</v>
      </c>
      <c r="B167" s="1">
        <f t="shared" ref="B167:AU167" si="102">COUNTIF($B102:$AU102,B102)</f>
        <v>5</v>
      </c>
      <c r="C167" s="1">
        <f t="shared" si="102"/>
        <v>1</v>
      </c>
      <c r="D167" s="1">
        <f t="shared" si="102"/>
        <v>1</v>
      </c>
      <c r="E167" s="1">
        <f t="shared" si="102"/>
        <v>1</v>
      </c>
      <c r="F167" s="1">
        <f t="shared" si="102"/>
        <v>2</v>
      </c>
      <c r="G167" s="1">
        <f t="shared" si="102"/>
        <v>1</v>
      </c>
      <c r="H167" s="1">
        <f t="shared" si="102"/>
        <v>1</v>
      </c>
      <c r="I167" s="1">
        <f t="shared" si="102"/>
        <v>1</v>
      </c>
      <c r="J167" s="1">
        <f t="shared" si="102"/>
        <v>1</v>
      </c>
      <c r="K167" s="1">
        <f t="shared" si="102"/>
        <v>5</v>
      </c>
      <c r="L167" s="1">
        <f t="shared" si="102"/>
        <v>1</v>
      </c>
      <c r="M167" s="1">
        <f t="shared" si="102"/>
        <v>1</v>
      </c>
      <c r="N167" s="1">
        <f t="shared" si="102"/>
        <v>5</v>
      </c>
      <c r="O167" s="1">
        <f t="shared" si="102"/>
        <v>1</v>
      </c>
      <c r="P167" s="1">
        <f t="shared" si="102"/>
        <v>1</v>
      </c>
      <c r="Q167" s="1">
        <f t="shared" si="102"/>
        <v>1</v>
      </c>
      <c r="R167" s="1">
        <f t="shared" si="102"/>
        <v>5</v>
      </c>
      <c r="S167" s="1">
        <f t="shared" si="102"/>
        <v>1</v>
      </c>
      <c r="T167" s="1">
        <f t="shared" si="102"/>
        <v>1</v>
      </c>
      <c r="U167" s="1">
        <f t="shared" si="102"/>
        <v>2</v>
      </c>
      <c r="V167" s="1">
        <f t="shared" si="102"/>
        <v>2</v>
      </c>
      <c r="W167" s="1">
        <f t="shared" si="102"/>
        <v>2</v>
      </c>
      <c r="X167" s="1">
        <f t="shared" si="102"/>
        <v>2</v>
      </c>
      <c r="Y167" s="1">
        <f t="shared" si="102"/>
        <v>1</v>
      </c>
      <c r="Z167" s="1">
        <f t="shared" si="102"/>
        <v>1</v>
      </c>
      <c r="AA167" s="1">
        <f t="shared" si="102"/>
        <v>5</v>
      </c>
      <c r="AB167" s="1">
        <f t="shared" si="102"/>
        <v>1</v>
      </c>
      <c r="AC167" s="1">
        <f t="shared" si="102"/>
        <v>1</v>
      </c>
      <c r="AD167" s="1">
        <f t="shared" si="102"/>
        <v>1</v>
      </c>
      <c r="AE167" s="1">
        <f t="shared" si="102"/>
        <v>1</v>
      </c>
      <c r="AF167" s="1">
        <f t="shared" si="102"/>
        <v>2</v>
      </c>
      <c r="AG167" s="1">
        <f t="shared" si="102"/>
        <v>1</v>
      </c>
      <c r="AH167" s="1">
        <f t="shared" si="102"/>
        <v>1</v>
      </c>
      <c r="AI167" s="1">
        <f t="shared" si="102"/>
        <v>1</v>
      </c>
      <c r="AJ167" s="1">
        <f t="shared" si="102"/>
        <v>1</v>
      </c>
      <c r="AK167" s="1">
        <f t="shared" si="102"/>
        <v>1</v>
      </c>
      <c r="AL167" s="1">
        <f t="shared" si="102"/>
        <v>1</v>
      </c>
      <c r="AM167" s="1">
        <f t="shared" si="102"/>
        <v>1</v>
      </c>
      <c r="AN167" s="1">
        <f t="shared" si="102"/>
        <v>2</v>
      </c>
      <c r="AO167" s="1">
        <f t="shared" si="102"/>
        <v>2</v>
      </c>
      <c r="AP167" s="1">
        <f t="shared" si="102"/>
        <v>1</v>
      </c>
      <c r="AQ167" s="1">
        <f t="shared" si="102"/>
        <v>1</v>
      </c>
      <c r="AR167" s="1">
        <f t="shared" si="102"/>
        <v>1</v>
      </c>
      <c r="AS167" s="1">
        <f t="shared" si="102"/>
        <v>2</v>
      </c>
      <c r="AT167" s="1">
        <f t="shared" si="102"/>
        <v>2</v>
      </c>
      <c r="AU167" s="1">
        <f t="shared" si="102"/>
        <v>1</v>
      </c>
    </row>
    <row r="168" spans="1:47">
      <c r="A168" s="1" t="str">
        <f t="shared" si="98"/>
        <v>   3.2.2) Frequency of vehicular accidents</v>
      </c>
      <c r="B168" s="1">
        <f t="shared" ref="B168:AU168" si="103">COUNTIF($B103:$AU103,B103)</f>
        <v>1</v>
      </c>
      <c r="C168" s="1">
        <f t="shared" si="103"/>
        <v>1</v>
      </c>
      <c r="D168" s="1">
        <f t="shared" si="103"/>
        <v>1</v>
      </c>
      <c r="E168" s="1">
        <f t="shared" si="103"/>
        <v>1</v>
      </c>
      <c r="F168" s="1">
        <f t="shared" si="103"/>
        <v>1</v>
      </c>
      <c r="G168" s="1">
        <f t="shared" si="103"/>
        <v>2</v>
      </c>
      <c r="H168" s="1">
        <f t="shared" si="103"/>
        <v>1</v>
      </c>
      <c r="I168" s="1">
        <f t="shared" si="103"/>
        <v>1</v>
      </c>
      <c r="J168" s="1">
        <f t="shared" si="103"/>
        <v>1</v>
      </c>
      <c r="K168" s="1">
        <f t="shared" si="103"/>
        <v>1</v>
      </c>
      <c r="L168" s="1">
        <f t="shared" si="103"/>
        <v>1</v>
      </c>
      <c r="M168" s="1">
        <f t="shared" si="103"/>
        <v>1</v>
      </c>
      <c r="N168" s="1">
        <f t="shared" si="103"/>
        <v>1</v>
      </c>
      <c r="O168" s="1">
        <f t="shared" si="103"/>
        <v>1</v>
      </c>
      <c r="P168" s="1">
        <f t="shared" si="103"/>
        <v>1</v>
      </c>
      <c r="Q168" s="1">
        <f t="shared" si="103"/>
        <v>1</v>
      </c>
      <c r="R168" s="1">
        <f t="shared" si="103"/>
        <v>1</v>
      </c>
      <c r="S168" s="1">
        <f t="shared" si="103"/>
        <v>1</v>
      </c>
      <c r="T168" s="1">
        <f t="shared" si="103"/>
        <v>1</v>
      </c>
      <c r="U168" s="1">
        <f t="shared" si="103"/>
        <v>1</v>
      </c>
      <c r="V168" s="1">
        <f t="shared" si="103"/>
        <v>1</v>
      </c>
      <c r="W168" s="1">
        <f t="shared" si="103"/>
        <v>2</v>
      </c>
      <c r="X168" s="1">
        <f t="shared" si="103"/>
        <v>1</v>
      </c>
      <c r="Y168" s="1">
        <f t="shared" si="103"/>
        <v>1</v>
      </c>
      <c r="Z168" s="1">
        <f t="shared" si="103"/>
        <v>1</v>
      </c>
      <c r="AA168" s="1">
        <f t="shared" si="103"/>
        <v>1</v>
      </c>
      <c r="AB168" s="1">
        <f t="shared" si="103"/>
        <v>1</v>
      </c>
      <c r="AC168" s="1">
        <f t="shared" si="103"/>
        <v>1</v>
      </c>
      <c r="AD168" s="1">
        <f t="shared" si="103"/>
        <v>1</v>
      </c>
      <c r="AE168" s="1">
        <f t="shared" si="103"/>
        <v>1</v>
      </c>
      <c r="AF168" s="1">
        <f t="shared" si="103"/>
        <v>1</v>
      </c>
      <c r="AG168" s="1">
        <f t="shared" si="103"/>
        <v>1</v>
      </c>
      <c r="AH168" s="1">
        <f t="shared" si="103"/>
        <v>1</v>
      </c>
      <c r="AI168" s="1">
        <f t="shared" si="103"/>
        <v>1</v>
      </c>
      <c r="AJ168" s="1">
        <f t="shared" si="103"/>
        <v>1</v>
      </c>
      <c r="AK168" s="1">
        <f t="shared" si="103"/>
        <v>1</v>
      </c>
      <c r="AL168" s="1">
        <f t="shared" si="103"/>
        <v>1</v>
      </c>
      <c r="AM168" s="1">
        <f t="shared" si="103"/>
        <v>1</v>
      </c>
      <c r="AN168" s="1">
        <f t="shared" si="103"/>
        <v>1</v>
      </c>
      <c r="AO168" s="1">
        <f t="shared" si="103"/>
        <v>1</v>
      </c>
      <c r="AP168" s="1">
        <f t="shared" si="103"/>
        <v>1</v>
      </c>
      <c r="AQ168" s="1">
        <f t="shared" si="103"/>
        <v>1</v>
      </c>
      <c r="AR168" s="1">
        <f t="shared" si="103"/>
        <v>1</v>
      </c>
      <c r="AS168" s="1">
        <f t="shared" si="103"/>
        <v>1</v>
      </c>
      <c r="AT168" s="1">
        <f t="shared" si="103"/>
        <v>1</v>
      </c>
      <c r="AU168" s="1">
        <f t="shared" si="103"/>
        <v>1</v>
      </c>
    </row>
    <row r="169" spans="1:47">
      <c r="A169" s="1" t="str">
        <f t="shared" si="98"/>
        <v>   3.2.3) Frequency of pedestrian deaths</v>
      </c>
      <c r="B169" s="1">
        <f t="shared" ref="B169:AU169" si="104">COUNTIF($B104:$AU104,B104)</f>
        <v>1</v>
      </c>
      <c r="C169" s="1">
        <f t="shared" si="104"/>
        <v>2</v>
      </c>
      <c r="D169" s="1">
        <f t="shared" si="104"/>
        <v>1</v>
      </c>
      <c r="E169" s="1">
        <f t="shared" si="104"/>
        <v>2</v>
      </c>
      <c r="F169" s="1">
        <f t="shared" si="104"/>
        <v>1</v>
      </c>
      <c r="G169" s="1">
        <f t="shared" si="104"/>
        <v>2</v>
      </c>
      <c r="H169" s="1">
        <f t="shared" si="104"/>
        <v>1</v>
      </c>
      <c r="I169" s="1">
        <f t="shared" si="104"/>
        <v>1</v>
      </c>
      <c r="J169" s="1">
        <f t="shared" si="104"/>
        <v>3</v>
      </c>
      <c r="K169" s="1">
        <f t="shared" si="104"/>
        <v>1</v>
      </c>
      <c r="L169" s="1">
        <f t="shared" si="104"/>
        <v>2</v>
      </c>
      <c r="M169" s="1">
        <f t="shared" si="104"/>
        <v>1</v>
      </c>
      <c r="N169" s="1">
        <f t="shared" si="104"/>
        <v>1</v>
      </c>
      <c r="O169" s="1">
        <f t="shared" si="104"/>
        <v>1</v>
      </c>
      <c r="P169" s="1">
        <f t="shared" si="104"/>
        <v>1</v>
      </c>
      <c r="Q169" s="1">
        <f t="shared" si="104"/>
        <v>1</v>
      </c>
      <c r="R169" s="1">
        <f t="shared" si="104"/>
        <v>1</v>
      </c>
      <c r="S169" s="1">
        <f t="shared" si="104"/>
        <v>1</v>
      </c>
      <c r="T169" s="1">
        <f t="shared" si="104"/>
        <v>3</v>
      </c>
      <c r="U169" s="1">
        <f t="shared" si="104"/>
        <v>3</v>
      </c>
      <c r="V169" s="1">
        <f t="shared" si="104"/>
        <v>1</v>
      </c>
      <c r="W169" s="1">
        <f t="shared" si="104"/>
        <v>2</v>
      </c>
      <c r="X169" s="1">
        <f t="shared" si="104"/>
        <v>1</v>
      </c>
      <c r="Y169" s="1">
        <f t="shared" si="104"/>
        <v>3</v>
      </c>
      <c r="Z169" s="1">
        <f t="shared" si="104"/>
        <v>1</v>
      </c>
      <c r="AA169" s="1">
        <f t="shared" si="104"/>
        <v>1</v>
      </c>
      <c r="AB169" s="1">
        <f t="shared" si="104"/>
        <v>2</v>
      </c>
      <c r="AC169" s="1">
        <f t="shared" si="104"/>
        <v>2</v>
      </c>
      <c r="AD169" s="1">
        <f t="shared" si="104"/>
        <v>3</v>
      </c>
      <c r="AE169" s="1">
        <f t="shared" si="104"/>
        <v>1</v>
      </c>
      <c r="AF169" s="1">
        <f t="shared" si="104"/>
        <v>1</v>
      </c>
      <c r="AG169" s="1">
        <f t="shared" si="104"/>
        <v>1</v>
      </c>
      <c r="AH169" s="1">
        <f t="shared" si="104"/>
        <v>1</v>
      </c>
      <c r="AI169" s="1">
        <f t="shared" si="104"/>
        <v>1</v>
      </c>
      <c r="AJ169" s="1">
        <f t="shared" si="104"/>
        <v>1</v>
      </c>
      <c r="AK169" s="1">
        <f t="shared" si="104"/>
        <v>2</v>
      </c>
      <c r="AL169" s="1">
        <f t="shared" si="104"/>
        <v>2</v>
      </c>
      <c r="AM169" s="1">
        <f t="shared" si="104"/>
        <v>3</v>
      </c>
      <c r="AN169" s="1">
        <f t="shared" si="104"/>
        <v>1</v>
      </c>
      <c r="AO169" s="1">
        <f t="shared" si="104"/>
        <v>2</v>
      </c>
      <c r="AP169" s="1">
        <f t="shared" si="104"/>
        <v>2</v>
      </c>
      <c r="AQ169" s="1">
        <f t="shared" si="104"/>
        <v>1</v>
      </c>
      <c r="AR169" s="1">
        <f t="shared" si="104"/>
        <v>1</v>
      </c>
      <c r="AS169" s="1">
        <f t="shared" si="104"/>
        <v>2</v>
      </c>
      <c r="AT169" s="1">
        <f t="shared" si="104"/>
        <v>2</v>
      </c>
      <c r="AU169" s="1">
        <f t="shared" si="104"/>
        <v>2</v>
      </c>
    </row>
    <row r="170" spans="1:47">
      <c r="A170" s="1" t="str">
        <f t="shared" si="98"/>
        <v>   3.2.4) Percentage living in slums</v>
      </c>
      <c r="B170" s="1">
        <f t="shared" ref="B170:AU170" si="105">COUNTIF($B105:$AU105,B105)</f>
        <v>2</v>
      </c>
      <c r="C170" s="1">
        <f t="shared" si="105"/>
        <v>3</v>
      </c>
      <c r="D170" s="1">
        <f t="shared" si="105"/>
        <v>1</v>
      </c>
      <c r="E170" s="1">
        <f t="shared" si="105"/>
        <v>2</v>
      </c>
      <c r="F170" s="1">
        <f t="shared" si="105"/>
        <v>2</v>
      </c>
      <c r="G170" s="1">
        <f t="shared" si="105"/>
        <v>1</v>
      </c>
      <c r="H170" s="1">
        <f t="shared" si="105"/>
        <v>1</v>
      </c>
      <c r="I170" s="1">
        <f t="shared" si="105"/>
        <v>5</v>
      </c>
      <c r="J170" s="1">
        <f t="shared" si="105"/>
        <v>2</v>
      </c>
      <c r="K170" s="1">
        <f t="shared" si="105"/>
        <v>2</v>
      </c>
      <c r="L170" s="1">
        <f t="shared" si="105"/>
        <v>1</v>
      </c>
      <c r="M170" s="1">
        <f t="shared" si="105"/>
        <v>1</v>
      </c>
      <c r="N170" s="1">
        <f t="shared" si="105"/>
        <v>2</v>
      </c>
      <c r="O170" s="1">
        <f t="shared" si="105"/>
        <v>1</v>
      </c>
      <c r="P170" s="1">
        <f t="shared" si="105"/>
        <v>2</v>
      </c>
      <c r="Q170" s="1">
        <f t="shared" si="105"/>
        <v>2</v>
      </c>
      <c r="R170" s="1">
        <f t="shared" si="105"/>
        <v>1</v>
      </c>
      <c r="S170" s="1">
        <f t="shared" si="105"/>
        <v>1</v>
      </c>
      <c r="T170" s="1">
        <f t="shared" si="105"/>
        <v>1</v>
      </c>
      <c r="U170" s="1">
        <f t="shared" si="105"/>
        <v>5</v>
      </c>
      <c r="V170" s="1">
        <f t="shared" si="105"/>
        <v>2</v>
      </c>
      <c r="W170" s="1">
        <f t="shared" si="105"/>
        <v>2</v>
      </c>
      <c r="X170" s="1">
        <f t="shared" si="105"/>
        <v>1</v>
      </c>
      <c r="Y170" s="1">
        <f t="shared" si="105"/>
        <v>2</v>
      </c>
      <c r="Z170" s="1">
        <f t="shared" si="105"/>
        <v>1</v>
      </c>
      <c r="AA170" s="1">
        <f t="shared" si="105"/>
        <v>2</v>
      </c>
      <c r="AB170" s="1">
        <f t="shared" si="105"/>
        <v>5</v>
      </c>
      <c r="AC170" s="1">
        <f t="shared" si="105"/>
        <v>2</v>
      </c>
      <c r="AD170" s="1">
        <f t="shared" si="105"/>
        <v>1</v>
      </c>
      <c r="AE170" s="1">
        <f t="shared" si="105"/>
        <v>2</v>
      </c>
      <c r="AF170" s="1">
        <f t="shared" si="105"/>
        <v>2</v>
      </c>
      <c r="AG170" s="1">
        <f t="shared" si="105"/>
        <v>2</v>
      </c>
      <c r="AH170" s="1">
        <f t="shared" si="105"/>
        <v>5</v>
      </c>
      <c r="AI170" s="1">
        <f t="shared" si="105"/>
        <v>1</v>
      </c>
      <c r="AJ170" s="1">
        <f t="shared" si="105"/>
        <v>2</v>
      </c>
      <c r="AK170" s="1">
        <f t="shared" si="105"/>
        <v>3</v>
      </c>
      <c r="AL170" s="1">
        <f t="shared" si="105"/>
        <v>2</v>
      </c>
      <c r="AM170" s="1">
        <f t="shared" si="105"/>
        <v>1</v>
      </c>
      <c r="AN170" s="1">
        <f t="shared" si="105"/>
        <v>1</v>
      </c>
      <c r="AO170" s="1">
        <f t="shared" si="105"/>
        <v>2</v>
      </c>
      <c r="AP170" s="1">
        <f t="shared" si="105"/>
        <v>1</v>
      </c>
      <c r="AQ170" s="1">
        <f t="shared" si="105"/>
        <v>3</v>
      </c>
      <c r="AR170" s="1">
        <f t="shared" si="105"/>
        <v>2</v>
      </c>
      <c r="AS170" s="1">
        <f t="shared" si="105"/>
        <v>1</v>
      </c>
      <c r="AT170" s="1">
        <f t="shared" si="105"/>
        <v>5</v>
      </c>
      <c r="AU170" s="1">
        <f t="shared" si="105"/>
        <v>1</v>
      </c>
    </row>
    <row r="171" spans="1:47">
      <c r="A171" s="1" t="str">
        <f t="shared" si="98"/>
        <v>   3.2.5) Number of attacks on facilities/infrastructure</v>
      </c>
      <c r="B171" s="1">
        <f t="shared" ref="B171:AU171" si="106">COUNTIF($B106:$AU106,B106)</f>
        <v>30</v>
      </c>
      <c r="C171" s="1">
        <f t="shared" si="106"/>
        <v>30</v>
      </c>
      <c r="D171" s="1">
        <f t="shared" si="106"/>
        <v>1</v>
      </c>
      <c r="E171" s="1">
        <f t="shared" si="106"/>
        <v>30</v>
      </c>
      <c r="F171" s="1">
        <f t="shared" si="106"/>
        <v>30</v>
      </c>
      <c r="G171" s="1">
        <f t="shared" si="106"/>
        <v>30</v>
      </c>
      <c r="H171" s="1">
        <f t="shared" si="106"/>
        <v>2</v>
      </c>
      <c r="I171" s="1">
        <f t="shared" si="106"/>
        <v>30</v>
      </c>
      <c r="J171" s="1">
        <f t="shared" si="106"/>
        <v>2</v>
      </c>
      <c r="K171" s="1">
        <f t="shared" si="106"/>
        <v>30</v>
      </c>
      <c r="L171" s="1">
        <f t="shared" si="106"/>
        <v>30</v>
      </c>
      <c r="M171" s="1">
        <f t="shared" si="106"/>
        <v>30</v>
      </c>
      <c r="N171" s="1">
        <f t="shared" si="106"/>
        <v>30</v>
      </c>
      <c r="O171" s="1">
        <f t="shared" si="106"/>
        <v>1</v>
      </c>
      <c r="P171" s="1">
        <f t="shared" si="106"/>
        <v>7</v>
      </c>
      <c r="Q171" s="1">
        <f t="shared" si="106"/>
        <v>30</v>
      </c>
      <c r="R171" s="1">
        <f t="shared" si="106"/>
        <v>30</v>
      </c>
      <c r="S171" s="1">
        <f t="shared" si="106"/>
        <v>30</v>
      </c>
      <c r="T171" s="1">
        <f t="shared" si="106"/>
        <v>1</v>
      </c>
      <c r="U171" s="1">
        <f t="shared" si="106"/>
        <v>7</v>
      </c>
      <c r="V171" s="1">
        <f t="shared" si="106"/>
        <v>1</v>
      </c>
      <c r="W171" s="1">
        <f t="shared" si="106"/>
        <v>30</v>
      </c>
      <c r="X171" s="1">
        <f t="shared" si="106"/>
        <v>30</v>
      </c>
      <c r="Y171" s="1">
        <f t="shared" si="106"/>
        <v>30</v>
      </c>
      <c r="Z171" s="1">
        <f t="shared" si="106"/>
        <v>2</v>
      </c>
      <c r="AA171" s="1">
        <f t="shared" si="106"/>
        <v>1</v>
      </c>
      <c r="AB171" s="1">
        <f t="shared" si="106"/>
        <v>7</v>
      </c>
      <c r="AC171" s="1">
        <f t="shared" si="106"/>
        <v>30</v>
      </c>
      <c r="AD171" s="1">
        <f t="shared" si="106"/>
        <v>30</v>
      </c>
      <c r="AE171" s="1">
        <f t="shared" si="106"/>
        <v>30</v>
      </c>
      <c r="AF171" s="1">
        <f t="shared" si="106"/>
        <v>30</v>
      </c>
      <c r="AG171" s="1">
        <f t="shared" si="106"/>
        <v>7</v>
      </c>
      <c r="AH171" s="1">
        <f t="shared" si="106"/>
        <v>30</v>
      </c>
      <c r="AI171" s="1">
        <f t="shared" si="106"/>
        <v>2</v>
      </c>
      <c r="AJ171" s="1">
        <f t="shared" si="106"/>
        <v>7</v>
      </c>
      <c r="AK171" s="1">
        <f t="shared" si="106"/>
        <v>30</v>
      </c>
      <c r="AL171" s="1">
        <f t="shared" si="106"/>
        <v>7</v>
      </c>
      <c r="AM171" s="1">
        <f t="shared" si="106"/>
        <v>30</v>
      </c>
      <c r="AN171" s="1">
        <f t="shared" si="106"/>
        <v>30</v>
      </c>
      <c r="AO171" s="1">
        <f t="shared" si="106"/>
        <v>30</v>
      </c>
      <c r="AP171" s="1">
        <f t="shared" si="106"/>
        <v>30</v>
      </c>
      <c r="AQ171" s="1">
        <f t="shared" si="106"/>
        <v>7</v>
      </c>
      <c r="AR171" s="1">
        <f t="shared" si="106"/>
        <v>30</v>
      </c>
      <c r="AS171" s="1">
        <f t="shared" si="106"/>
        <v>30</v>
      </c>
      <c r="AT171" s="1">
        <f t="shared" si="106"/>
        <v>30</v>
      </c>
      <c r="AU171" s="1">
        <f t="shared" si="106"/>
        <v>30</v>
      </c>
    </row>
    <row r="172" spans="1:47">
      <c r="A172" s="1" t="str">
        <f t="shared" si="98"/>
        <v> 4) PERSONAL SECURITY</v>
      </c>
      <c r="B172" s="1">
        <f t="shared" ref="B172:AU172" si="107">COUNTIF($B107:$AU107,B107)</f>
        <v>1</v>
      </c>
      <c r="C172" s="1">
        <f t="shared" si="107"/>
        <v>1</v>
      </c>
      <c r="D172" s="1">
        <f t="shared" si="107"/>
        <v>1</v>
      </c>
      <c r="E172" s="1">
        <f t="shared" si="107"/>
        <v>1</v>
      </c>
      <c r="F172" s="1">
        <f t="shared" si="107"/>
        <v>1</v>
      </c>
      <c r="G172" s="1">
        <f t="shared" si="107"/>
        <v>1</v>
      </c>
      <c r="H172" s="1">
        <f t="shared" si="107"/>
        <v>1</v>
      </c>
      <c r="I172" s="1">
        <f t="shared" si="107"/>
        <v>1</v>
      </c>
      <c r="J172" s="1">
        <f t="shared" si="107"/>
        <v>1</v>
      </c>
      <c r="K172" s="1">
        <f t="shared" si="107"/>
        <v>1</v>
      </c>
      <c r="L172" s="1">
        <f t="shared" si="107"/>
        <v>1</v>
      </c>
      <c r="M172" s="1">
        <f t="shared" si="107"/>
        <v>1</v>
      </c>
      <c r="N172" s="1">
        <f t="shared" si="107"/>
        <v>1</v>
      </c>
      <c r="O172" s="1">
        <f t="shared" si="107"/>
        <v>1</v>
      </c>
      <c r="P172" s="1">
        <f t="shared" si="107"/>
        <v>1</v>
      </c>
      <c r="Q172" s="1">
        <f t="shared" si="107"/>
        <v>1</v>
      </c>
      <c r="R172" s="1">
        <f t="shared" si="107"/>
        <v>1</v>
      </c>
      <c r="S172" s="1">
        <f t="shared" si="107"/>
        <v>1</v>
      </c>
      <c r="T172" s="1">
        <f t="shared" si="107"/>
        <v>1</v>
      </c>
      <c r="U172" s="1">
        <f t="shared" si="107"/>
        <v>1</v>
      </c>
      <c r="V172" s="1">
        <f t="shared" si="107"/>
        <v>1</v>
      </c>
      <c r="W172" s="1">
        <f t="shared" si="107"/>
        <v>1</v>
      </c>
      <c r="X172" s="1">
        <f t="shared" si="107"/>
        <v>1</v>
      </c>
      <c r="Y172" s="1">
        <f t="shared" si="107"/>
        <v>1</v>
      </c>
      <c r="Z172" s="1">
        <f t="shared" si="107"/>
        <v>1</v>
      </c>
      <c r="AA172" s="1">
        <f t="shared" si="107"/>
        <v>1</v>
      </c>
      <c r="AB172" s="1">
        <f t="shared" si="107"/>
        <v>1</v>
      </c>
      <c r="AC172" s="1">
        <f t="shared" si="107"/>
        <v>1</v>
      </c>
      <c r="AD172" s="1">
        <f t="shared" si="107"/>
        <v>1</v>
      </c>
      <c r="AE172" s="1">
        <f t="shared" si="107"/>
        <v>1</v>
      </c>
      <c r="AF172" s="1">
        <f t="shared" si="107"/>
        <v>1</v>
      </c>
      <c r="AG172" s="1">
        <f t="shared" si="107"/>
        <v>1</v>
      </c>
      <c r="AH172" s="1">
        <f t="shared" si="107"/>
        <v>1</v>
      </c>
      <c r="AI172" s="1">
        <f t="shared" si="107"/>
        <v>1</v>
      </c>
      <c r="AJ172" s="1">
        <f t="shared" si="107"/>
        <v>1</v>
      </c>
      <c r="AK172" s="1">
        <f t="shared" si="107"/>
        <v>1</v>
      </c>
      <c r="AL172" s="1">
        <f t="shared" si="107"/>
        <v>1</v>
      </c>
      <c r="AM172" s="1">
        <f t="shared" si="107"/>
        <v>1</v>
      </c>
      <c r="AN172" s="1">
        <f t="shared" si="107"/>
        <v>1</v>
      </c>
      <c r="AO172" s="1">
        <f t="shared" si="107"/>
        <v>1</v>
      </c>
      <c r="AP172" s="1">
        <f t="shared" si="107"/>
        <v>1</v>
      </c>
      <c r="AQ172" s="1">
        <f t="shared" si="107"/>
        <v>1</v>
      </c>
      <c r="AR172" s="1">
        <f t="shared" si="107"/>
        <v>1</v>
      </c>
      <c r="AS172" s="1">
        <f t="shared" si="107"/>
        <v>1</v>
      </c>
      <c r="AT172" s="1">
        <f t="shared" si="107"/>
        <v>1</v>
      </c>
      <c r="AU172" s="1">
        <f t="shared" si="107"/>
        <v>1</v>
      </c>
    </row>
    <row r="173" spans="1:47">
      <c r="A173" s="1" t="str">
        <f t="shared" si="98"/>
        <v>  4.1) Personal security (Inputs)</v>
      </c>
      <c r="B173" s="1">
        <f t="shared" ref="B173:AU173" si="108">COUNTIF($B108:$AU108,B108)</f>
        <v>1</v>
      </c>
      <c r="C173" s="1">
        <f t="shared" si="108"/>
        <v>1</v>
      </c>
      <c r="D173" s="1">
        <f t="shared" si="108"/>
        <v>1</v>
      </c>
      <c r="E173" s="1">
        <f t="shared" si="108"/>
        <v>1</v>
      </c>
      <c r="F173" s="1">
        <f t="shared" si="108"/>
        <v>1</v>
      </c>
      <c r="G173" s="1">
        <f t="shared" si="108"/>
        <v>1</v>
      </c>
      <c r="H173" s="1">
        <f t="shared" si="108"/>
        <v>1</v>
      </c>
      <c r="I173" s="1">
        <f t="shared" si="108"/>
        <v>1</v>
      </c>
      <c r="J173" s="1">
        <f t="shared" si="108"/>
        <v>2</v>
      </c>
      <c r="K173" s="1">
        <f t="shared" si="108"/>
        <v>1</v>
      </c>
      <c r="L173" s="1">
        <f t="shared" si="108"/>
        <v>1</v>
      </c>
      <c r="M173" s="1">
        <f t="shared" si="108"/>
        <v>1</v>
      </c>
      <c r="N173" s="1">
        <f t="shared" si="108"/>
        <v>1</v>
      </c>
      <c r="O173" s="1">
        <f t="shared" si="108"/>
        <v>1</v>
      </c>
      <c r="P173" s="1">
        <f t="shared" si="108"/>
        <v>1</v>
      </c>
      <c r="Q173" s="1">
        <f t="shared" si="108"/>
        <v>1</v>
      </c>
      <c r="R173" s="1">
        <f t="shared" si="108"/>
        <v>1</v>
      </c>
      <c r="S173" s="1">
        <f t="shared" si="108"/>
        <v>1</v>
      </c>
      <c r="T173" s="1">
        <f t="shared" si="108"/>
        <v>2</v>
      </c>
      <c r="U173" s="1">
        <f t="shared" si="108"/>
        <v>2</v>
      </c>
      <c r="V173" s="1">
        <f t="shared" si="108"/>
        <v>1</v>
      </c>
      <c r="W173" s="1">
        <f t="shared" si="108"/>
        <v>3</v>
      </c>
      <c r="X173" s="1">
        <f t="shared" si="108"/>
        <v>1</v>
      </c>
      <c r="Y173" s="1">
        <f t="shared" si="108"/>
        <v>1</v>
      </c>
      <c r="Z173" s="1">
        <f t="shared" si="108"/>
        <v>1</v>
      </c>
      <c r="AA173" s="1">
        <f t="shared" si="108"/>
        <v>2</v>
      </c>
      <c r="AB173" s="1">
        <f t="shared" si="108"/>
        <v>1</v>
      </c>
      <c r="AC173" s="1">
        <f t="shared" si="108"/>
        <v>2</v>
      </c>
      <c r="AD173" s="1">
        <f t="shared" si="108"/>
        <v>1</v>
      </c>
      <c r="AE173" s="1">
        <f t="shared" si="108"/>
        <v>1</v>
      </c>
      <c r="AF173" s="1">
        <f t="shared" si="108"/>
        <v>1</v>
      </c>
      <c r="AG173" s="1">
        <f t="shared" si="108"/>
        <v>1</v>
      </c>
      <c r="AH173" s="1">
        <f t="shared" si="108"/>
        <v>2</v>
      </c>
      <c r="AI173" s="1">
        <f t="shared" si="108"/>
        <v>1</v>
      </c>
      <c r="AJ173" s="1">
        <f t="shared" si="108"/>
        <v>1</v>
      </c>
      <c r="AK173" s="1">
        <f t="shared" si="108"/>
        <v>1</v>
      </c>
      <c r="AL173" s="1">
        <f t="shared" si="108"/>
        <v>1</v>
      </c>
      <c r="AM173" s="1">
        <f t="shared" si="108"/>
        <v>1</v>
      </c>
      <c r="AN173" s="1">
        <f t="shared" si="108"/>
        <v>1</v>
      </c>
      <c r="AO173" s="1">
        <f t="shared" si="108"/>
        <v>3</v>
      </c>
      <c r="AP173" s="1">
        <f t="shared" si="108"/>
        <v>1</v>
      </c>
      <c r="AQ173" s="1">
        <f t="shared" si="108"/>
        <v>1</v>
      </c>
      <c r="AR173" s="1">
        <f t="shared" si="108"/>
        <v>2</v>
      </c>
      <c r="AS173" s="1">
        <f t="shared" si="108"/>
        <v>2</v>
      </c>
      <c r="AT173" s="1">
        <f t="shared" si="108"/>
        <v>3</v>
      </c>
      <c r="AU173" s="1">
        <f t="shared" si="108"/>
        <v>1</v>
      </c>
    </row>
    <row r="174" spans="1:47">
      <c r="A174" s="1" t="str">
        <f t="shared" si="98"/>
        <v>   4.1.1) Level of police engagement</v>
      </c>
      <c r="B174" s="1">
        <f t="shared" ref="B174:AU174" si="109">COUNTIF($B109:$AU109,B109)</f>
        <v>13</v>
      </c>
      <c r="C174" s="1">
        <f t="shared" si="109"/>
        <v>33</v>
      </c>
      <c r="D174" s="1">
        <f t="shared" si="109"/>
        <v>13</v>
      </c>
      <c r="E174" s="1">
        <f t="shared" si="109"/>
        <v>33</v>
      </c>
      <c r="F174" s="1">
        <f t="shared" si="109"/>
        <v>33</v>
      </c>
      <c r="G174" s="1">
        <f t="shared" si="109"/>
        <v>33</v>
      </c>
      <c r="H174" s="1">
        <f t="shared" si="109"/>
        <v>13</v>
      </c>
      <c r="I174" s="1">
        <f t="shared" si="109"/>
        <v>33</v>
      </c>
      <c r="J174" s="1">
        <f t="shared" si="109"/>
        <v>33</v>
      </c>
      <c r="K174" s="1">
        <f t="shared" si="109"/>
        <v>13</v>
      </c>
      <c r="L174" s="1">
        <f t="shared" si="109"/>
        <v>33</v>
      </c>
      <c r="M174" s="1">
        <f t="shared" si="109"/>
        <v>13</v>
      </c>
      <c r="N174" s="1">
        <f t="shared" si="109"/>
        <v>33</v>
      </c>
      <c r="O174" s="1">
        <f t="shared" si="109"/>
        <v>33</v>
      </c>
      <c r="P174" s="1">
        <f t="shared" si="109"/>
        <v>13</v>
      </c>
      <c r="Q174" s="1">
        <f t="shared" si="109"/>
        <v>33</v>
      </c>
      <c r="R174" s="1">
        <f t="shared" si="109"/>
        <v>33</v>
      </c>
      <c r="S174" s="1">
        <f t="shared" si="109"/>
        <v>33</v>
      </c>
      <c r="T174" s="1">
        <f t="shared" si="109"/>
        <v>33</v>
      </c>
      <c r="U174" s="1">
        <f t="shared" si="109"/>
        <v>33</v>
      </c>
      <c r="V174" s="1">
        <f t="shared" si="109"/>
        <v>13</v>
      </c>
      <c r="W174" s="1">
        <f t="shared" si="109"/>
        <v>33</v>
      </c>
      <c r="X174" s="1">
        <f t="shared" si="109"/>
        <v>33</v>
      </c>
      <c r="Y174" s="1">
        <f t="shared" si="109"/>
        <v>33</v>
      </c>
      <c r="Z174" s="1">
        <f t="shared" si="109"/>
        <v>13</v>
      </c>
      <c r="AA174" s="1">
        <f t="shared" si="109"/>
        <v>33</v>
      </c>
      <c r="AB174" s="1">
        <f t="shared" si="109"/>
        <v>33</v>
      </c>
      <c r="AC174" s="1">
        <f t="shared" si="109"/>
        <v>33</v>
      </c>
      <c r="AD174" s="1">
        <f t="shared" si="109"/>
        <v>33</v>
      </c>
      <c r="AE174" s="1">
        <f t="shared" si="109"/>
        <v>33</v>
      </c>
      <c r="AF174" s="1">
        <f t="shared" si="109"/>
        <v>33</v>
      </c>
      <c r="AG174" s="1">
        <f t="shared" si="109"/>
        <v>33</v>
      </c>
      <c r="AH174" s="1">
        <f t="shared" si="109"/>
        <v>33</v>
      </c>
      <c r="AI174" s="1">
        <f t="shared" si="109"/>
        <v>13</v>
      </c>
      <c r="AJ174" s="1">
        <f t="shared" si="109"/>
        <v>13</v>
      </c>
      <c r="AK174" s="1">
        <f t="shared" si="109"/>
        <v>13</v>
      </c>
      <c r="AL174" s="1">
        <f t="shared" si="109"/>
        <v>13</v>
      </c>
      <c r="AM174" s="1">
        <f t="shared" si="109"/>
        <v>33</v>
      </c>
      <c r="AN174" s="1">
        <f t="shared" si="109"/>
        <v>33</v>
      </c>
      <c r="AO174" s="1">
        <f t="shared" si="109"/>
        <v>33</v>
      </c>
      <c r="AP174" s="1">
        <f t="shared" si="109"/>
        <v>33</v>
      </c>
      <c r="AQ174" s="1">
        <f t="shared" si="109"/>
        <v>13</v>
      </c>
      <c r="AR174" s="1">
        <f t="shared" si="109"/>
        <v>33</v>
      </c>
      <c r="AS174" s="1">
        <f t="shared" si="109"/>
        <v>33</v>
      </c>
      <c r="AT174" s="1">
        <f t="shared" si="109"/>
        <v>33</v>
      </c>
      <c r="AU174" s="1">
        <f t="shared" si="109"/>
        <v>33</v>
      </c>
    </row>
    <row r="175" spans="1:47">
      <c r="A175" s="1" t="str">
        <f t="shared" si="98"/>
        <v>   4.1.2) Community-based patrolling</v>
      </c>
      <c r="B175" s="1">
        <f t="shared" ref="B175:AU175" si="110">COUNTIF($B110:$AU110,B110)</f>
        <v>43</v>
      </c>
      <c r="C175" s="1">
        <f t="shared" si="110"/>
        <v>43</v>
      </c>
      <c r="D175" s="1">
        <f t="shared" si="110"/>
        <v>43</v>
      </c>
      <c r="E175" s="1">
        <f t="shared" si="110"/>
        <v>43</v>
      </c>
      <c r="F175" s="1">
        <f t="shared" si="110"/>
        <v>43</v>
      </c>
      <c r="G175" s="1">
        <f t="shared" si="110"/>
        <v>43</v>
      </c>
      <c r="H175" s="1">
        <f t="shared" si="110"/>
        <v>43</v>
      </c>
      <c r="I175" s="1">
        <f t="shared" si="110"/>
        <v>43</v>
      </c>
      <c r="J175" s="1">
        <f t="shared" si="110"/>
        <v>43</v>
      </c>
      <c r="K175" s="1">
        <f t="shared" si="110"/>
        <v>43</v>
      </c>
      <c r="L175" s="1">
        <f t="shared" si="110"/>
        <v>43</v>
      </c>
      <c r="M175" s="1">
        <f t="shared" si="110"/>
        <v>43</v>
      </c>
      <c r="N175" s="1">
        <f t="shared" si="110"/>
        <v>43</v>
      </c>
      <c r="O175" s="1">
        <f t="shared" si="110"/>
        <v>43</v>
      </c>
      <c r="P175" s="1">
        <f t="shared" si="110"/>
        <v>43</v>
      </c>
      <c r="Q175" s="1">
        <f t="shared" si="110"/>
        <v>43</v>
      </c>
      <c r="R175" s="1">
        <f t="shared" si="110"/>
        <v>3</v>
      </c>
      <c r="S175" s="1">
        <f t="shared" si="110"/>
        <v>43</v>
      </c>
      <c r="T175" s="1">
        <f t="shared" si="110"/>
        <v>43</v>
      </c>
      <c r="U175" s="1">
        <f t="shared" si="110"/>
        <v>43</v>
      </c>
      <c r="V175" s="1">
        <f t="shared" si="110"/>
        <v>43</v>
      </c>
      <c r="W175" s="1">
        <f t="shared" si="110"/>
        <v>43</v>
      </c>
      <c r="X175" s="1">
        <f t="shared" si="110"/>
        <v>43</v>
      </c>
      <c r="Y175" s="1">
        <f t="shared" si="110"/>
        <v>43</v>
      </c>
      <c r="Z175" s="1">
        <f t="shared" si="110"/>
        <v>43</v>
      </c>
      <c r="AA175" s="1">
        <f t="shared" si="110"/>
        <v>43</v>
      </c>
      <c r="AB175" s="1">
        <f t="shared" si="110"/>
        <v>43</v>
      </c>
      <c r="AC175" s="1">
        <f t="shared" si="110"/>
        <v>43</v>
      </c>
      <c r="AD175" s="1">
        <f t="shared" si="110"/>
        <v>43</v>
      </c>
      <c r="AE175" s="1">
        <f t="shared" si="110"/>
        <v>43</v>
      </c>
      <c r="AF175" s="1">
        <f t="shared" si="110"/>
        <v>3</v>
      </c>
      <c r="AG175" s="1">
        <f t="shared" si="110"/>
        <v>43</v>
      </c>
      <c r="AH175" s="1">
        <f t="shared" si="110"/>
        <v>43</v>
      </c>
      <c r="AI175" s="1">
        <f t="shared" si="110"/>
        <v>43</v>
      </c>
      <c r="AJ175" s="1">
        <f t="shared" si="110"/>
        <v>43</v>
      </c>
      <c r="AK175" s="1">
        <f t="shared" si="110"/>
        <v>43</v>
      </c>
      <c r="AL175" s="1">
        <f t="shared" si="110"/>
        <v>43</v>
      </c>
      <c r="AM175" s="1">
        <f t="shared" si="110"/>
        <v>43</v>
      </c>
      <c r="AN175" s="1">
        <f t="shared" si="110"/>
        <v>43</v>
      </c>
      <c r="AO175" s="1">
        <f t="shared" si="110"/>
        <v>43</v>
      </c>
      <c r="AP175" s="1">
        <f t="shared" si="110"/>
        <v>43</v>
      </c>
      <c r="AQ175" s="1">
        <f t="shared" si="110"/>
        <v>3</v>
      </c>
      <c r="AR175" s="1">
        <f t="shared" si="110"/>
        <v>43</v>
      </c>
      <c r="AS175" s="1">
        <f t="shared" si="110"/>
        <v>43</v>
      </c>
      <c r="AT175" s="1">
        <f t="shared" si="110"/>
        <v>43</v>
      </c>
      <c r="AU175" s="1">
        <f t="shared" si="110"/>
        <v>43</v>
      </c>
    </row>
    <row r="176" spans="1:47">
      <c r="A176" s="1" t="str">
        <f t="shared" si="98"/>
        <v>   4.1.3) Available street-level crime data</v>
      </c>
      <c r="B176" s="1">
        <f t="shared" ref="B176:AU176" si="111">COUNTIF($B111:$AU111,B111)</f>
        <v>32</v>
      </c>
      <c r="C176" s="1">
        <f t="shared" si="111"/>
        <v>32</v>
      </c>
      <c r="D176" s="1">
        <f t="shared" si="111"/>
        <v>32</v>
      </c>
      <c r="E176" s="1">
        <f t="shared" si="111"/>
        <v>32</v>
      </c>
      <c r="F176" s="1">
        <f t="shared" si="111"/>
        <v>14</v>
      </c>
      <c r="G176" s="1">
        <f t="shared" si="111"/>
        <v>14</v>
      </c>
      <c r="H176" s="1">
        <f t="shared" si="111"/>
        <v>14</v>
      </c>
      <c r="I176" s="1">
        <f t="shared" si="111"/>
        <v>32</v>
      </c>
      <c r="J176" s="1">
        <f t="shared" si="111"/>
        <v>14</v>
      </c>
      <c r="K176" s="1">
        <f t="shared" si="111"/>
        <v>32</v>
      </c>
      <c r="L176" s="1">
        <f t="shared" si="111"/>
        <v>32</v>
      </c>
      <c r="M176" s="1">
        <f t="shared" si="111"/>
        <v>14</v>
      </c>
      <c r="N176" s="1">
        <f t="shared" si="111"/>
        <v>32</v>
      </c>
      <c r="O176" s="1">
        <f t="shared" si="111"/>
        <v>32</v>
      </c>
      <c r="P176" s="1">
        <f t="shared" si="111"/>
        <v>32</v>
      </c>
      <c r="Q176" s="1">
        <f t="shared" si="111"/>
        <v>32</v>
      </c>
      <c r="R176" s="1">
        <f t="shared" si="111"/>
        <v>14</v>
      </c>
      <c r="S176" s="1">
        <f t="shared" si="111"/>
        <v>32</v>
      </c>
      <c r="T176" s="1">
        <f t="shared" si="111"/>
        <v>32</v>
      </c>
      <c r="U176" s="1">
        <f t="shared" si="111"/>
        <v>32</v>
      </c>
      <c r="V176" s="1">
        <f t="shared" si="111"/>
        <v>32</v>
      </c>
      <c r="W176" s="1">
        <f t="shared" si="111"/>
        <v>32</v>
      </c>
      <c r="X176" s="1">
        <f t="shared" si="111"/>
        <v>14</v>
      </c>
      <c r="Y176" s="1">
        <f t="shared" si="111"/>
        <v>32</v>
      </c>
      <c r="Z176" s="1">
        <f t="shared" si="111"/>
        <v>14</v>
      </c>
      <c r="AA176" s="1">
        <f t="shared" si="111"/>
        <v>32</v>
      </c>
      <c r="AB176" s="1">
        <f t="shared" si="111"/>
        <v>32</v>
      </c>
      <c r="AC176" s="1">
        <f t="shared" si="111"/>
        <v>32</v>
      </c>
      <c r="AD176" s="1">
        <f t="shared" si="111"/>
        <v>32</v>
      </c>
      <c r="AE176" s="1">
        <f t="shared" si="111"/>
        <v>32</v>
      </c>
      <c r="AF176" s="1">
        <f t="shared" si="111"/>
        <v>14</v>
      </c>
      <c r="AG176" s="1">
        <f t="shared" si="111"/>
        <v>32</v>
      </c>
      <c r="AH176" s="1">
        <f t="shared" si="111"/>
        <v>32</v>
      </c>
      <c r="AI176" s="1">
        <f t="shared" si="111"/>
        <v>14</v>
      </c>
      <c r="AJ176" s="1">
        <f t="shared" si="111"/>
        <v>14</v>
      </c>
      <c r="AK176" s="1">
        <f t="shared" si="111"/>
        <v>14</v>
      </c>
      <c r="AL176" s="1">
        <f t="shared" si="111"/>
        <v>14</v>
      </c>
      <c r="AM176" s="1">
        <f t="shared" si="111"/>
        <v>32</v>
      </c>
      <c r="AN176" s="1">
        <f t="shared" si="111"/>
        <v>32</v>
      </c>
      <c r="AO176" s="1">
        <f t="shared" si="111"/>
        <v>32</v>
      </c>
      <c r="AP176" s="1">
        <f t="shared" si="111"/>
        <v>32</v>
      </c>
      <c r="AQ176" s="1">
        <f t="shared" si="111"/>
        <v>14</v>
      </c>
      <c r="AR176" s="1">
        <f t="shared" si="111"/>
        <v>32</v>
      </c>
      <c r="AS176" s="1">
        <f t="shared" si="111"/>
        <v>32</v>
      </c>
      <c r="AT176" s="1">
        <f t="shared" si="111"/>
        <v>32</v>
      </c>
      <c r="AU176" s="1">
        <f t="shared" si="111"/>
        <v>32</v>
      </c>
    </row>
    <row r="177" spans="1:47">
      <c r="A177" s="1" t="str">
        <f t="shared" si="98"/>
        <v>   4.1.4) Use of data-driven techniques for crime</v>
      </c>
      <c r="B177" s="1">
        <f t="shared" ref="B177:AU177" si="112">COUNTIF($B112:$AU112,B112)</f>
        <v>13</v>
      </c>
      <c r="C177" s="1">
        <f t="shared" si="112"/>
        <v>33</v>
      </c>
      <c r="D177" s="1">
        <f t="shared" si="112"/>
        <v>33</v>
      </c>
      <c r="E177" s="1">
        <f t="shared" si="112"/>
        <v>33</v>
      </c>
      <c r="F177" s="1">
        <f t="shared" si="112"/>
        <v>13</v>
      </c>
      <c r="G177" s="1">
        <f t="shared" si="112"/>
        <v>13</v>
      </c>
      <c r="H177" s="1">
        <f t="shared" si="112"/>
        <v>33</v>
      </c>
      <c r="I177" s="1">
        <f t="shared" si="112"/>
        <v>33</v>
      </c>
      <c r="J177" s="1">
        <f t="shared" si="112"/>
        <v>33</v>
      </c>
      <c r="K177" s="1">
        <f t="shared" si="112"/>
        <v>33</v>
      </c>
      <c r="L177" s="1">
        <f t="shared" si="112"/>
        <v>33</v>
      </c>
      <c r="M177" s="1">
        <f t="shared" si="112"/>
        <v>13</v>
      </c>
      <c r="N177" s="1">
        <f t="shared" si="112"/>
        <v>33</v>
      </c>
      <c r="O177" s="1">
        <f t="shared" si="112"/>
        <v>33</v>
      </c>
      <c r="P177" s="1">
        <f t="shared" si="112"/>
        <v>13</v>
      </c>
      <c r="Q177" s="1">
        <f t="shared" si="112"/>
        <v>13</v>
      </c>
      <c r="R177" s="1">
        <f t="shared" si="112"/>
        <v>13</v>
      </c>
      <c r="S177" s="1">
        <f t="shared" si="112"/>
        <v>33</v>
      </c>
      <c r="T177" s="1">
        <f t="shared" si="112"/>
        <v>33</v>
      </c>
      <c r="U177" s="1">
        <f t="shared" si="112"/>
        <v>33</v>
      </c>
      <c r="V177" s="1">
        <f t="shared" si="112"/>
        <v>13</v>
      </c>
      <c r="W177" s="1">
        <f t="shared" si="112"/>
        <v>33</v>
      </c>
      <c r="X177" s="1">
        <f t="shared" si="112"/>
        <v>33</v>
      </c>
      <c r="Y177" s="1">
        <f t="shared" si="112"/>
        <v>33</v>
      </c>
      <c r="Z177" s="1">
        <f t="shared" si="112"/>
        <v>13</v>
      </c>
      <c r="AA177" s="1">
        <f t="shared" si="112"/>
        <v>33</v>
      </c>
      <c r="AB177" s="1">
        <f t="shared" si="112"/>
        <v>33</v>
      </c>
      <c r="AC177" s="1">
        <f t="shared" si="112"/>
        <v>33</v>
      </c>
      <c r="AD177" s="1">
        <f t="shared" si="112"/>
        <v>33</v>
      </c>
      <c r="AE177" s="1">
        <f t="shared" si="112"/>
        <v>13</v>
      </c>
      <c r="AF177" s="1">
        <f t="shared" si="112"/>
        <v>33</v>
      </c>
      <c r="AG177" s="1">
        <f t="shared" si="112"/>
        <v>13</v>
      </c>
      <c r="AH177" s="1">
        <f t="shared" si="112"/>
        <v>33</v>
      </c>
      <c r="AI177" s="1">
        <f t="shared" si="112"/>
        <v>33</v>
      </c>
      <c r="AJ177" s="1">
        <f t="shared" si="112"/>
        <v>13</v>
      </c>
      <c r="AK177" s="1">
        <f t="shared" si="112"/>
        <v>33</v>
      </c>
      <c r="AL177" s="1">
        <f t="shared" si="112"/>
        <v>33</v>
      </c>
      <c r="AM177" s="1">
        <f t="shared" si="112"/>
        <v>33</v>
      </c>
      <c r="AN177" s="1">
        <f t="shared" si="112"/>
        <v>33</v>
      </c>
      <c r="AO177" s="1">
        <f t="shared" si="112"/>
        <v>33</v>
      </c>
      <c r="AP177" s="1">
        <f t="shared" si="112"/>
        <v>33</v>
      </c>
      <c r="AQ177" s="1">
        <f t="shared" si="112"/>
        <v>33</v>
      </c>
      <c r="AR177" s="1">
        <f t="shared" si="112"/>
        <v>33</v>
      </c>
      <c r="AS177" s="1">
        <f t="shared" si="112"/>
        <v>33</v>
      </c>
      <c r="AT177" s="1">
        <f t="shared" si="112"/>
        <v>33</v>
      </c>
      <c r="AU177" s="1">
        <f t="shared" si="112"/>
        <v>13</v>
      </c>
    </row>
    <row r="178" spans="1:47">
      <c r="A178" s="1" t="str">
        <f t="shared" si="98"/>
        <v>   4.1.5) Private security measures</v>
      </c>
      <c r="B178" s="1">
        <f t="shared" ref="B178:AU178" si="113">COUNTIF($B113:$AU113,B113)</f>
        <v>13</v>
      </c>
      <c r="C178" s="1">
        <f t="shared" si="113"/>
        <v>33</v>
      </c>
      <c r="D178" s="1">
        <f t="shared" si="113"/>
        <v>33</v>
      </c>
      <c r="E178" s="1">
        <f t="shared" si="113"/>
        <v>33</v>
      </c>
      <c r="F178" s="1">
        <f t="shared" si="113"/>
        <v>13</v>
      </c>
      <c r="G178" s="1">
        <f t="shared" si="113"/>
        <v>13</v>
      </c>
      <c r="H178" s="1">
        <f t="shared" si="113"/>
        <v>33</v>
      </c>
      <c r="I178" s="1">
        <f t="shared" si="113"/>
        <v>33</v>
      </c>
      <c r="J178" s="1">
        <f t="shared" si="113"/>
        <v>33</v>
      </c>
      <c r="K178" s="1">
        <f t="shared" si="113"/>
        <v>33</v>
      </c>
      <c r="L178" s="1">
        <f t="shared" si="113"/>
        <v>13</v>
      </c>
      <c r="M178" s="1">
        <f t="shared" si="113"/>
        <v>33</v>
      </c>
      <c r="N178" s="1">
        <f t="shared" si="113"/>
        <v>33</v>
      </c>
      <c r="O178" s="1">
        <f t="shared" si="113"/>
        <v>33</v>
      </c>
      <c r="P178" s="1">
        <f t="shared" si="113"/>
        <v>13</v>
      </c>
      <c r="Q178" s="1">
        <f t="shared" si="113"/>
        <v>33</v>
      </c>
      <c r="R178" s="1">
        <f t="shared" si="113"/>
        <v>13</v>
      </c>
      <c r="S178" s="1">
        <f t="shared" si="113"/>
        <v>33</v>
      </c>
      <c r="T178" s="1">
        <f t="shared" si="113"/>
        <v>33</v>
      </c>
      <c r="U178" s="1">
        <f t="shared" si="113"/>
        <v>33</v>
      </c>
      <c r="V178" s="1">
        <f t="shared" si="113"/>
        <v>33</v>
      </c>
      <c r="W178" s="1">
        <f t="shared" si="113"/>
        <v>33</v>
      </c>
      <c r="X178" s="1">
        <f t="shared" si="113"/>
        <v>33</v>
      </c>
      <c r="Y178" s="1">
        <f t="shared" si="113"/>
        <v>13</v>
      </c>
      <c r="Z178" s="1">
        <f t="shared" si="113"/>
        <v>13</v>
      </c>
      <c r="AA178" s="1">
        <f t="shared" si="113"/>
        <v>13</v>
      </c>
      <c r="AB178" s="1">
        <f t="shared" si="113"/>
        <v>33</v>
      </c>
      <c r="AC178" s="1">
        <f t="shared" si="113"/>
        <v>33</v>
      </c>
      <c r="AD178" s="1">
        <f t="shared" si="113"/>
        <v>13</v>
      </c>
      <c r="AE178" s="1">
        <f t="shared" si="113"/>
        <v>33</v>
      </c>
      <c r="AF178" s="1">
        <f t="shared" si="113"/>
        <v>13</v>
      </c>
      <c r="AG178" s="1">
        <f t="shared" si="113"/>
        <v>13</v>
      </c>
      <c r="AH178" s="1">
        <f t="shared" si="113"/>
        <v>33</v>
      </c>
      <c r="AI178" s="1">
        <f t="shared" si="113"/>
        <v>13</v>
      </c>
      <c r="AJ178" s="1">
        <f t="shared" si="113"/>
        <v>33</v>
      </c>
      <c r="AK178" s="1">
        <f t="shared" si="113"/>
        <v>33</v>
      </c>
      <c r="AL178" s="1">
        <f t="shared" si="113"/>
        <v>33</v>
      </c>
      <c r="AM178" s="1">
        <f t="shared" si="113"/>
        <v>33</v>
      </c>
      <c r="AN178" s="1">
        <f t="shared" si="113"/>
        <v>33</v>
      </c>
      <c r="AO178" s="1">
        <f t="shared" si="113"/>
        <v>33</v>
      </c>
      <c r="AP178" s="1">
        <f t="shared" si="113"/>
        <v>33</v>
      </c>
      <c r="AQ178" s="1">
        <f t="shared" si="113"/>
        <v>33</v>
      </c>
      <c r="AR178" s="1">
        <f t="shared" si="113"/>
        <v>33</v>
      </c>
      <c r="AS178" s="1">
        <f t="shared" si="113"/>
        <v>33</v>
      </c>
      <c r="AT178" s="1">
        <f t="shared" si="113"/>
        <v>33</v>
      </c>
      <c r="AU178" s="1">
        <f t="shared" si="113"/>
        <v>33</v>
      </c>
    </row>
    <row r="179" spans="1:47">
      <c r="A179" s="1" t="str">
        <f t="shared" si="98"/>
        <v>   4.1.6) Gun regulation and enforcement</v>
      </c>
      <c r="B179" s="1">
        <f t="shared" ref="B179:AU179" si="114">COUNTIF($B114:$AU114,B114)</f>
        <v>1</v>
      </c>
      <c r="C179" s="1">
        <f t="shared" si="114"/>
        <v>2</v>
      </c>
      <c r="D179" s="1">
        <f t="shared" si="114"/>
        <v>2</v>
      </c>
      <c r="E179" s="1">
        <f t="shared" si="114"/>
        <v>2</v>
      </c>
      <c r="F179" s="1">
        <f t="shared" si="114"/>
        <v>3</v>
      </c>
      <c r="G179" s="1">
        <f t="shared" si="114"/>
        <v>2</v>
      </c>
      <c r="H179" s="1">
        <f t="shared" si="114"/>
        <v>2</v>
      </c>
      <c r="I179" s="1">
        <f t="shared" si="114"/>
        <v>2</v>
      </c>
      <c r="J179" s="1">
        <f t="shared" si="114"/>
        <v>2</v>
      </c>
      <c r="K179" s="1">
        <f t="shared" si="114"/>
        <v>2</v>
      </c>
      <c r="L179" s="1">
        <f t="shared" si="114"/>
        <v>2</v>
      </c>
      <c r="M179" s="1">
        <f t="shared" si="114"/>
        <v>3</v>
      </c>
      <c r="N179" s="1">
        <f t="shared" si="114"/>
        <v>5</v>
      </c>
      <c r="O179" s="1">
        <f t="shared" si="114"/>
        <v>1</v>
      </c>
      <c r="P179" s="1">
        <f t="shared" si="114"/>
        <v>2</v>
      </c>
      <c r="Q179" s="1">
        <f t="shared" si="114"/>
        <v>3</v>
      </c>
      <c r="R179" s="1">
        <f t="shared" si="114"/>
        <v>1</v>
      </c>
      <c r="S179" s="1">
        <f t="shared" si="114"/>
        <v>3</v>
      </c>
      <c r="T179" s="1">
        <f t="shared" si="114"/>
        <v>5</v>
      </c>
      <c r="U179" s="1">
        <f t="shared" si="114"/>
        <v>3</v>
      </c>
      <c r="V179" s="1">
        <f t="shared" si="114"/>
        <v>2</v>
      </c>
      <c r="W179" s="1">
        <f t="shared" si="114"/>
        <v>4</v>
      </c>
      <c r="X179" s="1">
        <f t="shared" si="114"/>
        <v>3</v>
      </c>
      <c r="Y179" s="1">
        <f t="shared" si="114"/>
        <v>3</v>
      </c>
      <c r="Z179" s="1">
        <f t="shared" si="114"/>
        <v>2</v>
      </c>
      <c r="AA179" s="1">
        <f t="shared" si="114"/>
        <v>2</v>
      </c>
      <c r="AB179" s="1">
        <f t="shared" si="114"/>
        <v>1</v>
      </c>
      <c r="AC179" s="1">
        <f t="shared" si="114"/>
        <v>5</v>
      </c>
      <c r="AD179" s="1">
        <f t="shared" si="114"/>
        <v>2</v>
      </c>
      <c r="AE179" s="1">
        <f t="shared" si="114"/>
        <v>2</v>
      </c>
      <c r="AF179" s="1">
        <f t="shared" si="114"/>
        <v>1</v>
      </c>
      <c r="AG179" s="1">
        <f t="shared" si="114"/>
        <v>3</v>
      </c>
      <c r="AH179" s="1">
        <f t="shared" si="114"/>
        <v>3</v>
      </c>
      <c r="AI179" s="1">
        <f t="shared" si="114"/>
        <v>1</v>
      </c>
      <c r="AJ179" s="1">
        <f t="shared" si="114"/>
        <v>2</v>
      </c>
      <c r="AK179" s="1">
        <f t="shared" si="114"/>
        <v>4</v>
      </c>
      <c r="AL179" s="1">
        <f t="shared" si="114"/>
        <v>3</v>
      </c>
      <c r="AM179" s="1">
        <f t="shared" si="114"/>
        <v>5</v>
      </c>
      <c r="AN179" s="1">
        <f t="shared" si="114"/>
        <v>2</v>
      </c>
      <c r="AO179" s="1">
        <f t="shared" si="114"/>
        <v>4</v>
      </c>
      <c r="AP179" s="1">
        <f t="shared" si="114"/>
        <v>1</v>
      </c>
      <c r="AQ179" s="1">
        <f t="shared" si="114"/>
        <v>3</v>
      </c>
      <c r="AR179" s="1">
        <f t="shared" si="114"/>
        <v>5</v>
      </c>
      <c r="AS179" s="1">
        <f t="shared" si="114"/>
        <v>2</v>
      </c>
      <c r="AT179" s="1">
        <f t="shared" si="114"/>
        <v>4</v>
      </c>
      <c r="AU179" s="1">
        <f t="shared" si="114"/>
        <v>3</v>
      </c>
    </row>
    <row r="180" spans="1:47">
      <c r="A180" s="1" t="str">
        <f t="shared" si="98"/>
        <v>   4.1.7) Political stability risk</v>
      </c>
      <c r="B180" s="1">
        <f t="shared" ref="B180:AU180" si="115">COUNTIF($B115:$AU115,B115)</f>
        <v>2</v>
      </c>
      <c r="C180" s="1">
        <f t="shared" si="115"/>
        <v>5</v>
      </c>
      <c r="D180" s="1">
        <f t="shared" si="115"/>
        <v>3</v>
      </c>
      <c r="E180" s="1">
        <f t="shared" si="115"/>
        <v>3</v>
      </c>
      <c r="F180" s="1">
        <f t="shared" si="115"/>
        <v>5</v>
      </c>
      <c r="G180" s="1">
        <f t="shared" si="115"/>
        <v>3</v>
      </c>
      <c r="H180" s="1">
        <f t="shared" si="115"/>
        <v>5</v>
      </c>
      <c r="I180" s="1">
        <f t="shared" si="115"/>
        <v>10</v>
      </c>
      <c r="J180" s="1">
        <f t="shared" si="115"/>
        <v>5</v>
      </c>
      <c r="K180" s="1">
        <f t="shared" si="115"/>
        <v>3</v>
      </c>
      <c r="L180" s="1">
        <f t="shared" si="115"/>
        <v>1</v>
      </c>
      <c r="M180" s="1">
        <f t="shared" si="115"/>
        <v>1</v>
      </c>
      <c r="N180" s="1">
        <f t="shared" si="115"/>
        <v>6</v>
      </c>
      <c r="O180" s="1">
        <f t="shared" si="115"/>
        <v>5</v>
      </c>
      <c r="P180" s="1">
        <f t="shared" si="115"/>
        <v>4</v>
      </c>
      <c r="Q180" s="1">
        <f t="shared" si="115"/>
        <v>6</v>
      </c>
      <c r="R180" s="1">
        <f t="shared" si="115"/>
        <v>1</v>
      </c>
      <c r="S180" s="1">
        <f t="shared" si="115"/>
        <v>2</v>
      </c>
      <c r="T180" s="1">
        <f t="shared" si="115"/>
        <v>4</v>
      </c>
      <c r="U180" s="1">
        <f t="shared" si="115"/>
        <v>10</v>
      </c>
      <c r="V180" s="1">
        <f t="shared" si="115"/>
        <v>3</v>
      </c>
      <c r="W180" s="1">
        <f t="shared" si="115"/>
        <v>10</v>
      </c>
      <c r="X180" s="1">
        <f t="shared" si="115"/>
        <v>3</v>
      </c>
      <c r="Y180" s="1">
        <f t="shared" si="115"/>
        <v>6</v>
      </c>
      <c r="Z180" s="1">
        <f t="shared" si="115"/>
        <v>3</v>
      </c>
      <c r="AA180" s="1">
        <f t="shared" si="115"/>
        <v>5</v>
      </c>
      <c r="AB180" s="1">
        <f t="shared" si="115"/>
        <v>10</v>
      </c>
      <c r="AC180" s="1">
        <f t="shared" si="115"/>
        <v>10</v>
      </c>
      <c r="AD180" s="1">
        <f t="shared" si="115"/>
        <v>4</v>
      </c>
      <c r="AE180" s="1">
        <f t="shared" si="115"/>
        <v>6</v>
      </c>
      <c r="AF180" s="1">
        <f t="shared" si="115"/>
        <v>5</v>
      </c>
      <c r="AG180" s="1">
        <f t="shared" si="115"/>
        <v>6</v>
      </c>
      <c r="AH180" s="1">
        <f t="shared" si="115"/>
        <v>10</v>
      </c>
      <c r="AI180" s="1">
        <f t="shared" si="115"/>
        <v>5</v>
      </c>
      <c r="AJ180" s="1">
        <f t="shared" si="115"/>
        <v>6</v>
      </c>
      <c r="AK180" s="1">
        <f t="shared" si="115"/>
        <v>3</v>
      </c>
      <c r="AL180" s="1">
        <f t="shared" si="115"/>
        <v>5</v>
      </c>
      <c r="AM180" s="1">
        <f t="shared" si="115"/>
        <v>5</v>
      </c>
      <c r="AN180" s="1">
        <f t="shared" si="115"/>
        <v>3</v>
      </c>
      <c r="AO180" s="1">
        <f t="shared" si="115"/>
        <v>10</v>
      </c>
      <c r="AP180" s="1">
        <f t="shared" si="115"/>
        <v>4</v>
      </c>
      <c r="AQ180" s="1">
        <f t="shared" si="115"/>
        <v>1</v>
      </c>
      <c r="AR180" s="1">
        <f t="shared" si="115"/>
        <v>10</v>
      </c>
      <c r="AS180" s="1">
        <f t="shared" si="115"/>
        <v>1</v>
      </c>
      <c r="AT180" s="1">
        <f t="shared" si="115"/>
        <v>10</v>
      </c>
      <c r="AU180" s="1">
        <f t="shared" si="115"/>
        <v>10</v>
      </c>
    </row>
    <row r="181" spans="1:47">
      <c r="A181" s="1" t="str">
        <f t="shared" si="98"/>
        <v>  4.2) Personal security (Outputs)</v>
      </c>
      <c r="B181" s="1">
        <f t="shared" ref="B181:AU181" si="116">COUNTIF($B116:$AU116,B116)</f>
        <v>1</v>
      </c>
      <c r="C181" s="1">
        <f t="shared" si="116"/>
        <v>1</v>
      </c>
      <c r="D181" s="1">
        <f t="shared" si="116"/>
        <v>1</v>
      </c>
      <c r="E181" s="1">
        <f t="shared" si="116"/>
        <v>1</v>
      </c>
      <c r="F181" s="1">
        <f t="shared" si="116"/>
        <v>1</v>
      </c>
      <c r="G181" s="1">
        <f t="shared" si="116"/>
        <v>1</v>
      </c>
      <c r="H181" s="1">
        <f t="shared" si="116"/>
        <v>1</v>
      </c>
      <c r="I181" s="1">
        <f t="shared" si="116"/>
        <v>1</v>
      </c>
      <c r="J181" s="1">
        <f t="shared" si="116"/>
        <v>1</v>
      </c>
      <c r="K181" s="1">
        <f t="shared" si="116"/>
        <v>2</v>
      </c>
      <c r="L181" s="1">
        <f t="shared" si="116"/>
        <v>1</v>
      </c>
      <c r="M181" s="1">
        <f t="shared" si="116"/>
        <v>1</v>
      </c>
      <c r="N181" s="1">
        <f t="shared" si="116"/>
        <v>1</v>
      </c>
      <c r="O181" s="1">
        <f t="shared" si="116"/>
        <v>1</v>
      </c>
      <c r="P181" s="1">
        <f t="shared" si="116"/>
        <v>1</v>
      </c>
      <c r="Q181" s="1">
        <f t="shared" si="116"/>
        <v>1</v>
      </c>
      <c r="R181" s="1">
        <f t="shared" si="116"/>
        <v>1</v>
      </c>
      <c r="S181" s="1">
        <f t="shared" si="116"/>
        <v>1</v>
      </c>
      <c r="T181" s="1">
        <f t="shared" si="116"/>
        <v>1</v>
      </c>
      <c r="U181" s="1">
        <f t="shared" si="116"/>
        <v>1</v>
      </c>
      <c r="V181" s="1">
        <f t="shared" si="116"/>
        <v>1</v>
      </c>
      <c r="W181" s="1">
        <f t="shared" si="116"/>
        <v>2</v>
      </c>
      <c r="X181" s="1">
        <f t="shared" si="116"/>
        <v>1</v>
      </c>
      <c r="Y181" s="1">
        <f t="shared" si="116"/>
        <v>1</v>
      </c>
      <c r="Z181" s="1">
        <f t="shared" si="116"/>
        <v>1</v>
      </c>
      <c r="AA181" s="1">
        <f t="shared" si="116"/>
        <v>1</v>
      </c>
      <c r="AB181" s="1">
        <f t="shared" si="116"/>
        <v>1</v>
      </c>
      <c r="AC181" s="1">
        <f t="shared" si="116"/>
        <v>1</v>
      </c>
      <c r="AD181" s="1">
        <f t="shared" si="116"/>
        <v>1</v>
      </c>
      <c r="AE181" s="1">
        <f t="shared" si="116"/>
        <v>1</v>
      </c>
      <c r="AF181" s="1">
        <f t="shared" si="116"/>
        <v>1</v>
      </c>
      <c r="AG181" s="1">
        <f t="shared" si="116"/>
        <v>1</v>
      </c>
      <c r="AH181" s="1">
        <f t="shared" si="116"/>
        <v>1</v>
      </c>
      <c r="AI181" s="1">
        <f t="shared" si="116"/>
        <v>1</v>
      </c>
      <c r="AJ181" s="1">
        <f t="shared" si="116"/>
        <v>1</v>
      </c>
      <c r="AK181" s="1">
        <f t="shared" si="116"/>
        <v>1</v>
      </c>
      <c r="AL181" s="1">
        <f t="shared" si="116"/>
        <v>1</v>
      </c>
      <c r="AM181" s="1">
        <f t="shared" si="116"/>
        <v>1</v>
      </c>
      <c r="AN181" s="1">
        <f t="shared" si="116"/>
        <v>1</v>
      </c>
      <c r="AO181" s="1">
        <f t="shared" si="116"/>
        <v>1</v>
      </c>
      <c r="AP181" s="1">
        <f t="shared" si="116"/>
        <v>1</v>
      </c>
      <c r="AQ181" s="1">
        <f t="shared" si="116"/>
        <v>1</v>
      </c>
      <c r="AR181" s="1">
        <f t="shared" si="116"/>
        <v>1</v>
      </c>
      <c r="AS181" s="1">
        <f t="shared" si="116"/>
        <v>1</v>
      </c>
      <c r="AT181" s="1">
        <f t="shared" si="116"/>
        <v>1</v>
      </c>
      <c r="AU181" s="1">
        <f t="shared" si="116"/>
        <v>1</v>
      </c>
    </row>
    <row r="182" spans="1:47">
      <c r="A182" s="1" t="str">
        <f t="shared" si="98"/>
        <v>   4.2.1) Prevalence of petty crime</v>
      </c>
      <c r="B182" s="1">
        <f t="shared" ref="B182:AU182" si="117">COUNTIF($B117:$AU117,B117)</f>
        <v>22</v>
      </c>
      <c r="C182" s="1">
        <f t="shared" si="117"/>
        <v>14</v>
      </c>
      <c r="D182" s="1">
        <f t="shared" si="117"/>
        <v>14</v>
      </c>
      <c r="E182" s="1">
        <f t="shared" si="117"/>
        <v>22</v>
      </c>
      <c r="F182" s="1">
        <f t="shared" si="117"/>
        <v>14</v>
      </c>
      <c r="G182" s="1">
        <f t="shared" si="117"/>
        <v>22</v>
      </c>
      <c r="H182" s="1">
        <f t="shared" si="117"/>
        <v>14</v>
      </c>
      <c r="I182" s="1">
        <f t="shared" si="117"/>
        <v>22</v>
      </c>
      <c r="J182" s="1">
        <f t="shared" si="117"/>
        <v>14</v>
      </c>
      <c r="K182" s="1">
        <f t="shared" si="117"/>
        <v>22</v>
      </c>
      <c r="L182" s="1">
        <f t="shared" si="117"/>
        <v>22</v>
      </c>
      <c r="M182" s="1">
        <f t="shared" si="117"/>
        <v>5</v>
      </c>
      <c r="N182" s="1">
        <f t="shared" si="117"/>
        <v>22</v>
      </c>
      <c r="O182" s="1">
        <f t="shared" si="117"/>
        <v>14</v>
      </c>
      <c r="P182" s="1">
        <f t="shared" si="117"/>
        <v>5</v>
      </c>
      <c r="Q182" s="1">
        <f t="shared" si="117"/>
        <v>2</v>
      </c>
      <c r="R182" s="1">
        <f t="shared" si="117"/>
        <v>22</v>
      </c>
      <c r="S182" s="1">
        <f t="shared" si="117"/>
        <v>14</v>
      </c>
      <c r="T182" s="1">
        <f t="shared" si="117"/>
        <v>14</v>
      </c>
      <c r="U182" s="1">
        <f t="shared" si="117"/>
        <v>22</v>
      </c>
      <c r="V182" s="1">
        <f t="shared" si="117"/>
        <v>22</v>
      </c>
      <c r="W182" s="1">
        <f t="shared" si="117"/>
        <v>22</v>
      </c>
      <c r="X182" s="1">
        <f t="shared" si="117"/>
        <v>2</v>
      </c>
      <c r="Y182" s="1">
        <f t="shared" si="117"/>
        <v>22</v>
      </c>
      <c r="Z182" s="1">
        <f t="shared" si="117"/>
        <v>14</v>
      </c>
      <c r="AA182" s="1">
        <f t="shared" si="117"/>
        <v>5</v>
      </c>
      <c r="AB182" s="1">
        <f t="shared" si="117"/>
        <v>14</v>
      </c>
      <c r="AC182" s="1">
        <f t="shared" si="117"/>
        <v>22</v>
      </c>
      <c r="AD182" s="1">
        <f t="shared" si="117"/>
        <v>22</v>
      </c>
      <c r="AE182" s="1">
        <f t="shared" si="117"/>
        <v>5</v>
      </c>
      <c r="AF182" s="1">
        <f t="shared" si="117"/>
        <v>22</v>
      </c>
      <c r="AG182" s="1">
        <f t="shared" si="117"/>
        <v>14</v>
      </c>
      <c r="AH182" s="1">
        <f t="shared" si="117"/>
        <v>22</v>
      </c>
      <c r="AI182" s="1">
        <f t="shared" si="117"/>
        <v>14</v>
      </c>
      <c r="AJ182" s="1">
        <f t="shared" si="117"/>
        <v>5</v>
      </c>
      <c r="AK182" s="1">
        <f t="shared" si="117"/>
        <v>22</v>
      </c>
      <c r="AL182" s="1">
        <f t="shared" si="117"/>
        <v>14</v>
      </c>
      <c r="AM182" s="1">
        <f t="shared" si="117"/>
        <v>3</v>
      </c>
      <c r="AN182" s="1">
        <f t="shared" si="117"/>
        <v>3</v>
      </c>
      <c r="AO182" s="1">
        <f t="shared" si="117"/>
        <v>22</v>
      </c>
      <c r="AP182" s="1">
        <f t="shared" si="117"/>
        <v>22</v>
      </c>
      <c r="AQ182" s="1">
        <f t="shared" si="117"/>
        <v>14</v>
      </c>
      <c r="AR182" s="1">
        <f t="shared" si="117"/>
        <v>22</v>
      </c>
      <c r="AS182" s="1">
        <f t="shared" si="117"/>
        <v>3</v>
      </c>
      <c r="AT182" s="1">
        <f t="shared" si="117"/>
        <v>22</v>
      </c>
      <c r="AU182" s="1">
        <f t="shared" si="117"/>
        <v>22</v>
      </c>
    </row>
    <row r="183" spans="1:47">
      <c r="A183" s="1" t="str">
        <f t="shared" si="98"/>
        <v>   4.2.2) Prevalence of violent crime</v>
      </c>
      <c r="B183" s="1">
        <f t="shared" ref="B183:AU183" si="118">COUNTIF($B118:$AU118,B118)</f>
        <v>13</v>
      </c>
      <c r="C183" s="1">
        <f t="shared" si="118"/>
        <v>23</v>
      </c>
      <c r="D183" s="1">
        <f t="shared" si="118"/>
        <v>23</v>
      </c>
      <c r="E183" s="1">
        <f t="shared" si="118"/>
        <v>23</v>
      </c>
      <c r="F183" s="1">
        <f t="shared" si="118"/>
        <v>23</v>
      </c>
      <c r="G183" s="1">
        <f t="shared" si="118"/>
        <v>23</v>
      </c>
      <c r="H183" s="1">
        <f t="shared" si="118"/>
        <v>6</v>
      </c>
      <c r="I183" s="1">
        <f t="shared" si="118"/>
        <v>23</v>
      </c>
      <c r="J183" s="1">
        <f t="shared" si="118"/>
        <v>6</v>
      </c>
      <c r="K183" s="1">
        <f t="shared" si="118"/>
        <v>13</v>
      </c>
      <c r="L183" s="1">
        <f t="shared" si="118"/>
        <v>23</v>
      </c>
      <c r="M183" s="1">
        <f t="shared" si="118"/>
        <v>6</v>
      </c>
      <c r="N183" s="1">
        <f t="shared" si="118"/>
        <v>13</v>
      </c>
      <c r="O183" s="1">
        <f t="shared" si="118"/>
        <v>6</v>
      </c>
      <c r="P183" s="1">
        <f t="shared" si="118"/>
        <v>23</v>
      </c>
      <c r="Q183" s="1">
        <f t="shared" si="118"/>
        <v>2</v>
      </c>
      <c r="R183" s="1">
        <f t="shared" si="118"/>
        <v>13</v>
      </c>
      <c r="S183" s="1">
        <f t="shared" si="118"/>
        <v>6</v>
      </c>
      <c r="T183" s="1">
        <f t="shared" si="118"/>
        <v>23</v>
      </c>
      <c r="U183" s="1">
        <f t="shared" si="118"/>
        <v>23</v>
      </c>
      <c r="V183" s="1">
        <f t="shared" si="118"/>
        <v>23</v>
      </c>
      <c r="W183" s="1">
        <f t="shared" si="118"/>
        <v>13</v>
      </c>
      <c r="X183" s="1">
        <f t="shared" si="118"/>
        <v>2</v>
      </c>
      <c r="Y183" s="1">
        <f t="shared" si="118"/>
        <v>23</v>
      </c>
      <c r="Z183" s="1">
        <f t="shared" si="118"/>
        <v>23</v>
      </c>
      <c r="AA183" s="1">
        <f t="shared" si="118"/>
        <v>23</v>
      </c>
      <c r="AB183" s="1">
        <f t="shared" si="118"/>
        <v>23</v>
      </c>
      <c r="AC183" s="1">
        <f t="shared" si="118"/>
        <v>13</v>
      </c>
      <c r="AD183" s="1">
        <f t="shared" si="118"/>
        <v>23</v>
      </c>
      <c r="AE183" s="1">
        <f t="shared" si="118"/>
        <v>2</v>
      </c>
      <c r="AF183" s="1">
        <f t="shared" si="118"/>
        <v>13</v>
      </c>
      <c r="AG183" s="1">
        <f t="shared" si="118"/>
        <v>23</v>
      </c>
      <c r="AH183" s="1">
        <f t="shared" si="118"/>
        <v>23</v>
      </c>
      <c r="AI183" s="1">
        <f t="shared" si="118"/>
        <v>6</v>
      </c>
      <c r="AJ183" s="1">
        <f t="shared" si="118"/>
        <v>2</v>
      </c>
      <c r="AK183" s="1">
        <f t="shared" si="118"/>
        <v>13</v>
      </c>
      <c r="AL183" s="1">
        <f t="shared" si="118"/>
        <v>23</v>
      </c>
      <c r="AM183" s="1">
        <f t="shared" si="118"/>
        <v>13</v>
      </c>
      <c r="AN183" s="1">
        <f t="shared" si="118"/>
        <v>13</v>
      </c>
      <c r="AO183" s="1">
        <f t="shared" si="118"/>
        <v>23</v>
      </c>
      <c r="AP183" s="1">
        <f t="shared" si="118"/>
        <v>23</v>
      </c>
      <c r="AQ183" s="1">
        <f t="shared" si="118"/>
        <v>23</v>
      </c>
      <c r="AR183" s="1">
        <f t="shared" si="118"/>
        <v>13</v>
      </c>
      <c r="AS183" s="1">
        <f t="shared" si="118"/>
        <v>13</v>
      </c>
      <c r="AT183" s="1">
        <f t="shared" si="118"/>
        <v>23</v>
      </c>
      <c r="AU183" s="1">
        <f t="shared" si="118"/>
        <v>13</v>
      </c>
    </row>
    <row r="184" spans="1:47">
      <c r="A184" s="1" t="str">
        <f t="shared" si="98"/>
        <v>   4.2.3) Organised crime</v>
      </c>
      <c r="B184" s="1">
        <f t="shared" ref="B184:AU184" si="119">COUNTIF($B119:$AU119,B119)</f>
        <v>23</v>
      </c>
      <c r="C184" s="1">
        <f t="shared" si="119"/>
        <v>4</v>
      </c>
      <c r="D184" s="1">
        <f t="shared" si="119"/>
        <v>13</v>
      </c>
      <c r="E184" s="1">
        <f t="shared" si="119"/>
        <v>23</v>
      </c>
      <c r="F184" s="1">
        <f t="shared" si="119"/>
        <v>13</v>
      </c>
      <c r="G184" s="1">
        <f t="shared" si="119"/>
        <v>23</v>
      </c>
      <c r="H184" s="1">
        <f t="shared" si="119"/>
        <v>13</v>
      </c>
      <c r="I184" s="1">
        <f t="shared" si="119"/>
        <v>23</v>
      </c>
      <c r="J184" s="1">
        <f t="shared" si="119"/>
        <v>13</v>
      </c>
      <c r="K184" s="1">
        <f t="shared" si="119"/>
        <v>4</v>
      </c>
      <c r="L184" s="1">
        <f t="shared" si="119"/>
        <v>23</v>
      </c>
      <c r="M184" s="1">
        <f t="shared" si="119"/>
        <v>13</v>
      </c>
      <c r="N184" s="1">
        <f t="shared" si="119"/>
        <v>23</v>
      </c>
      <c r="O184" s="1">
        <f t="shared" si="119"/>
        <v>13</v>
      </c>
      <c r="P184" s="1">
        <f t="shared" si="119"/>
        <v>13</v>
      </c>
      <c r="Q184" s="1">
        <f t="shared" si="119"/>
        <v>5</v>
      </c>
      <c r="R184" s="1">
        <f t="shared" si="119"/>
        <v>23</v>
      </c>
      <c r="S184" s="1">
        <f t="shared" si="119"/>
        <v>5</v>
      </c>
      <c r="T184" s="1">
        <f t="shared" si="119"/>
        <v>23</v>
      </c>
      <c r="U184" s="1">
        <f t="shared" si="119"/>
        <v>23</v>
      </c>
      <c r="V184" s="1">
        <f t="shared" si="119"/>
        <v>23</v>
      </c>
      <c r="W184" s="1">
        <f t="shared" si="119"/>
        <v>23</v>
      </c>
      <c r="X184" s="1">
        <f t="shared" si="119"/>
        <v>1</v>
      </c>
      <c r="Y184" s="1">
        <f t="shared" si="119"/>
        <v>5</v>
      </c>
      <c r="Z184" s="1">
        <f t="shared" si="119"/>
        <v>5</v>
      </c>
      <c r="AA184" s="1">
        <f t="shared" si="119"/>
        <v>13</v>
      </c>
      <c r="AB184" s="1">
        <f t="shared" si="119"/>
        <v>23</v>
      </c>
      <c r="AC184" s="1">
        <f t="shared" si="119"/>
        <v>13</v>
      </c>
      <c r="AD184" s="1">
        <f t="shared" si="119"/>
        <v>23</v>
      </c>
      <c r="AE184" s="1">
        <f t="shared" si="119"/>
        <v>13</v>
      </c>
      <c r="AF184" s="1">
        <f t="shared" si="119"/>
        <v>23</v>
      </c>
      <c r="AG184" s="1">
        <f t="shared" si="119"/>
        <v>5</v>
      </c>
      <c r="AH184" s="1">
        <f t="shared" si="119"/>
        <v>23</v>
      </c>
      <c r="AI184" s="1">
        <f t="shared" si="119"/>
        <v>23</v>
      </c>
      <c r="AJ184" s="1">
        <f t="shared" si="119"/>
        <v>13</v>
      </c>
      <c r="AK184" s="1">
        <f t="shared" si="119"/>
        <v>23</v>
      </c>
      <c r="AL184" s="1">
        <f t="shared" si="119"/>
        <v>13</v>
      </c>
      <c r="AM184" s="1">
        <f t="shared" si="119"/>
        <v>4</v>
      </c>
      <c r="AN184" s="1">
        <f t="shared" si="119"/>
        <v>4</v>
      </c>
      <c r="AO184" s="1">
        <f t="shared" si="119"/>
        <v>23</v>
      </c>
      <c r="AP184" s="1">
        <f t="shared" si="119"/>
        <v>23</v>
      </c>
      <c r="AQ184" s="1">
        <f t="shared" si="119"/>
        <v>23</v>
      </c>
      <c r="AR184" s="1">
        <f t="shared" si="119"/>
        <v>13</v>
      </c>
      <c r="AS184" s="1">
        <f t="shared" si="119"/>
        <v>23</v>
      </c>
      <c r="AT184" s="1">
        <f t="shared" si="119"/>
        <v>23</v>
      </c>
      <c r="AU184" s="1">
        <f t="shared" si="119"/>
        <v>23</v>
      </c>
    </row>
    <row r="185" spans="1:47">
      <c r="A185" s="1" t="str">
        <f t="shared" si="98"/>
        <v>   4.2.4) Level of corruption</v>
      </c>
      <c r="B185" s="1">
        <f t="shared" ref="B185:AU185" si="120">COUNTIF($B120:$AU120,B120)</f>
        <v>1</v>
      </c>
      <c r="C185" s="1">
        <f t="shared" si="120"/>
        <v>1</v>
      </c>
      <c r="D185" s="1">
        <f t="shared" si="120"/>
        <v>4</v>
      </c>
      <c r="E185" s="1">
        <f t="shared" si="120"/>
        <v>2</v>
      </c>
      <c r="F185" s="1">
        <f t="shared" si="120"/>
        <v>2</v>
      </c>
      <c r="G185" s="1">
        <f t="shared" si="120"/>
        <v>3</v>
      </c>
      <c r="H185" s="1">
        <f t="shared" si="120"/>
        <v>2</v>
      </c>
      <c r="I185" s="1">
        <f t="shared" si="120"/>
        <v>6</v>
      </c>
      <c r="J185" s="1">
        <f t="shared" si="120"/>
        <v>4</v>
      </c>
      <c r="K185" s="1">
        <f t="shared" si="120"/>
        <v>2</v>
      </c>
      <c r="L185" s="1">
        <f t="shared" si="120"/>
        <v>1</v>
      </c>
      <c r="M185" s="1">
        <f t="shared" si="120"/>
        <v>1</v>
      </c>
      <c r="N185" s="1">
        <f t="shared" si="120"/>
        <v>6</v>
      </c>
      <c r="O185" s="1">
        <f t="shared" si="120"/>
        <v>1</v>
      </c>
      <c r="P185" s="1">
        <f t="shared" si="120"/>
        <v>2</v>
      </c>
      <c r="Q185" s="1">
        <f t="shared" si="120"/>
        <v>2</v>
      </c>
      <c r="R185" s="1">
        <f t="shared" si="120"/>
        <v>2</v>
      </c>
      <c r="S185" s="1">
        <f t="shared" si="120"/>
        <v>4</v>
      </c>
      <c r="T185" s="1">
        <f t="shared" si="120"/>
        <v>1</v>
      </c>
      <c r="U185" s="1">
        <f t="shared" si="120"/>
        <v>6</v>
      </c>
      <c r="V185" s="1">
        <f t="shared" si="120"/>
        <v>2</v>
      </c>
      <c r="W185" s="1">
        <f t="shared" si="120"/>
        <v>2</v>
      </c>
      <c r="X185" s="1">
        <f t="shared" si="120"/>
        <v>1</v>
      </c>
      <c r="Y185" s="1">
        <f t="shared" si="120"/>
        <v>4</v>
      </c>
      <c r="Z185" s="1">
        <f t="shared" si="120"/>
        <v>2</v>
      </c>
      <c r="AA185" s="1">
        <f t="shared" si="120"/>
        <v>4</v>
      </c>
      <c r="AB185" s="1">
        <f t="shared" si="120"/>
        <v>6</v>
      </c>
      <c r="AC185" s="1">
        <f t="shared" si="120"/>
        <v>3</v>
      </c>
      <c r="AD185" s="1">
        <f t="shared" si="120"/>
        <v>2</v>
      </c>
      <c r="AE185" s="1">
        <f t="shared" si="120"/>
        <v>4</v>
      </c>
      <c r="AF185" s="1">
        <f t="shared" si="120"/>
        <v>1</v>
      </c>
      <c r="AG185" s="1">
        <f t="shared" si="120"/>
        <v>4</v>
      </c>
      <c r="AH185" s="1">
        <f t="shared" si="120"/>
        <v>6</v>
      </c>
      <c r="AI185" s="1">
        <f t="shared" si="120"/>
        <v>1</v>
      </c>
      <c r="AJ185" s="1">
        <f t="shared" si="120"/>
        <v>4</v>
      </c>
      <c r="AK185" s="1">
        <f t="shared" si="120"/>
        <v>1</v>
      </c>
      <c r="AL185" s="1">
        <f t="shared" si="120"/>
        <v>2</v>
      </c>
      <c r="AM185" s="1">
        <f t="shared" si="120"/>
        <v>1</v>
      </c>
      <c r="AN185" s="1">
        <f t="shared" si="120"/>
        <v>1</v>
      </c>
      <c r="AO185" s="1">
        <f t="shared" si="120"/>
        <v>2</v>
      </c>
      <c r="AP185" s="1">
        <f t="shared" si="120"/>
        <v>1</v>
      </c>
      <c r="AQ185" s="1">
        <f t="shared" si="120"/>
        <v>2</v>
      </c>
      <c r="AR185" s="1">
        <f t="shared" si="120"/>
        <v>3</v>
      </c>
      <c r="AS185" s="1">
        <f t="shared" si="120"/>
        <v>1</v>
      </c>
      <c r="AT185" s="1">
        <f t="shared" si="120"/>
        <v>6</v>
      </c>
      <c r="AU185" s="1">
        <f t="shared" si="120"/>
        <v>1</v>
      </c>
    </row>
    <row r="186" spans="1:47">
      <c r="A186" s="1" t="str">
        <f t="shared" si="98"/>
        <v>   4.2.5) Rate of drug use </v>
      </c>
      <c r="B186" s="1">
        <f t="shared" ref="B186:AU186" si="121">COUNTIF($B121:$AU121,B121)</f>
        <v>1</v>
      </c>
      <c r="C186" s="1">
        <f t="shared" si="121"/>
        <v>2</v>
      </c>
      <c r="D186" s="1">
        <f t="shared" si="121"/>
        <v>8</v>
      </c>
      <c r="E186" s="1">
        <f t="shared" si="121"/>
        <v>3</v>
      </c>
      <c r="F186" s="1">
        <f t="shared" si="121"/>
        <v>2</v>
      </c>
      <c r="G186" s="1">
        <f t="shared" si="121"/>
        <v>2</v>
      </c>
      <c r="H186" s="1">
        <f t="shared" si="121"/>
        <v>3</v>
      </c>
      <c r="I186" s="1">
        <f t="shared" si="121"/>
        <v>6</v>
      </c>
      <c r="J186" s="1">
        <f t="shared" si="121"/>
        <v>3</v>
      </c>
      <c r="K186" s="1">
        <f t="shared" si="121"/>
        <v>2</v>
      </c>
      <c r="L186" s="1">
        <f t="shared" si="121"/>
        <v>2</v>
      </c>
      <c r="M186" s="1">
        <f t="shared" si="121"/>
        <v>8</v>
      </c>
      <c r="N186" s="1">
        <f t="shared" si="121"/>
        <v>1</v>
      </c>
      <c r="O186" s="1">
        <f t="shared" si="121"/>
        <v>8</v>
      </c>
      <c r="P186" s="1">
        <f t="shared" si="121"/>
        <v>8</v>
      </c>
      <c r="Q186" s="1">
        <f t="shared" si="121"/>
        <v>1</v>
      </c>
      <c r="R186" s="1">
        <f t="shared" si="121"/>
        <v>8</v>
      </c>
      <c r="S186" s="1">
        <f t="shared" si="121"/>
        <v>2</v>
      </c>
      <c r="T186" s="1">
        <f t="shared" si="121"/>
        <v>3</v>
      </c>
      <c r="U186" s="1">
        <f t="shared" si="121"/>
        <v>6</v>
      </c>
      <c r="V186" s="1">
        <f t="shared" si="121"/>
        <v>3</v>
      </c>
      <c r="W186" s="1">
        <f t="shared" si="121"/>
        <v>3</v>
      </c>
      <c r="X186" s="1">
        <f t="shared" si="121"/>
        <v>3</v>
      </c>
      <c r="Y186" s="1">
        <f t="shared" si="121"/>
        <v>2</v>
      </c>
      <c r="Z186" s="1">
        <f t="shared" si="121"/>
        <v>2</v>
      </c>
      <c r="AA186" s="1">
        <f t="shared" si="121"/>
        <v>3</v>
      </c>
      <c r="AB186" s="1">
        <f t="shared" si="121"/>
        <v>6</v>
      </c>
      <c r="AC186" s="1">
        <f t="shared" si="121"/>
        <v>2</v>
      </c>
      <c r="AD186" s="1">
        <f t="shared" si="121"/>
        <v>2</v>
      </c>
      <c r="AE186" s="1">
        <f t="shared" si="121"/>
        <v>2</v>
      </c>
      <c r="AF186" s="1">
        <f t="shared" si="121"/>
        <v>2</v>
      </c>
      <c r="AG186" s="1">
        <f t="shared" si="121"/>
        <v>2</v>
      </c>
      <c r="AH186" s="1">
        <f t="shared" si="121"/>
        <v>6</v>
      </c>
      <c r="AI186" s="1">
        <f t="shared" si="121"/>
        <v>6</v>
      </c>
      <c r="AJ186" s="1">
        <f t="shared" si="121"/>
        <v>2</v>
      </c>
      <c r="AK186" s="1">
        <f t="shared" si="121"/>
        <v>8</v>
      </c>
      <c r="AL186" s="1">
        <f t="shared" si="121"/>
        <v>2</v>
      </c>
      <c r="AM186" s="1">
        <f t="shared" si="121"/>
        <v>1</v>
      </c>
      <c r="AN186" s="1">
        <f t="shared" si="121"/>
        <v>2</v>
      </c>
      <c r="AO186" s="1">
        <f t="shared" si="121"/>
        <v>3</v>
      </c>
      <c r="AP186" s="1">
        <f t="shared" si="121"/>
        <v>8</v>
      </c>
      <c r="AQ186" s="1">
        <f t="shared" si="121"/>
        <v>8</v>
      </c>
      <c r="AR186" s="1">
        <f t="shared" si="121"/>
        <v>2</v>
      </c>
      <c r="AS186" s="1">
        <f t="shared" si="121"/>
        <v>1</v>
      </c>
      <c r="AT186" s="1">
        <f t="shared" si="121"/>
        <v>6</v>
      </c>
      <c r="AU186" s="1">
        <f t="shared" si="121"/>
        <v>2</v>
      </c>
    </row>
    <row r="187" spans="1:47">
      <c r="A187" s="1" t="str">
        <f t="shared" si="98"/>
        <v>   4.2.6) Frequency of terrorist attacks </v>
      </c>
      <c r="B187" s="1">
        <f t="shared" ref="B187:AU187" si="122">COUNTIF($B122:$AU122,B122)</f>
        <v>11</v>
      </c>
      <c r="C187" s="1">
        <f t="shared" si="122"/>
        <v>10</v>
      </c>
      <c r="D187" s="1">
        <f t="shared" si="122"/>
        <v>1</v>
      </c>
      <c r="E187" s="1">
        <f t="shared" si="122"/>
        <v>10</v>
      </c>
      <c r="F187" s="1">
        <f t="shared" si="122"/>
        <v>2</v>
      </c>
      <c r="G187" s="1">
        <f t="shared" si="122"/>
        <v>4</v>
      </c>
      <c r="H187" s="1">
        <f t="shared" si="122"/>
        <v>2</v>
      </c>
      <c r="I187" s="1">
        <f t="shared" si="122"/>
        <v>11</v>
      </c>
      <c r="J187" s="1">
        <f t="shared" si="122"/>
        <v>1</v>
      </c>
      <c r="K187" s="1">
        <f t="shared" si="122"/>
        <v>10</v>
      </c>
      <c r="L187" s="1">
        <f t="shared" si="122"/>
        <v>4</v>
      </c>
      <c r="M187" s="1">
        <f t="shared" si="122"/>
        <v>11</v>
      </c>
      <c r="N187" s="1">
        <f t="shared" si="122"/>
        <v>10</v>
      </c>
      <c r="O187" s="1">
        <f t="shared" si="122"/>
        <v>1</v>
      </c>
      <c r="P187" s="1">
        <f t="shared" si="122"/>
        <v>2</v>
      </c>
      <c r="Q187" s="1">
        <f t="shared" si="122"/>
        <v>10</v>
      </c>
      <c r="R187" s="1">
        <f t="shared" si="122"/>
        <v>11</v>
      </c>
      <c r="S187" s="1">
        <f t="shared" si="122"/>
        <v>10</v>
      </c>
      <c r="T187" s="1">
        <f t="shared" si="122"/>
        <v>1</v>
      </c>
      <c r="U187" s="1">
        <f t="shared" si="122"/>
        <v>2</v>
      </c>
      <c r="V187" s="1">
        <f t="shared" si="122"/>
        <v>2</v>
      </c>
      <c r="W187" s="1">
        <f t="shared" si="122"/>
        <v>11</v>
      </c>
      <c r="X187" s="1">
        <f t="shared" si="122"/>
        <v>1</v>
      </c>
      <c r="Y187" s="1">
        <f t="shared" si="122"/>
        <v>1</v>
      </c>
      <c r="Z187" s="1">
        <f t="shared" si="122"/>
        <v>1</v>
      </c>
      <c r="AA187" s="1">
        <f t="shared" si="122"/>
        <v>1</v>
      </c>
      <c r="AB187" s="1">
        <f t="shared" si="122"/>
        <v>2</v>
      </c>
      <c r="AC187" s="1">
        <f t="shared" si="122"/>
        <v>11</v>
      </c>
      <c r="AD187" s="1">
        <f t="shared" si="122"/>
        <v>1</v>
      </c>
      <c r="AE187" s="1">
        <f t="shared" si="122"/>
        <v>11</v>
      </c>
      <c r="AF187" s="1">
        <f t="shared" si="122"/>
        <v>1</v>
      </c>
      <c r="AG187" s="1">
        <f t="shared" si="122"/>
        <v>1</v>
      </c>
      <c r="AH187" s="1">
        <f t="shared" si="122"/>
        <v>10</v>
      </c>
      <c r="AI187" s="1">
        <f t="shared" si="122"/>
        <v>1</v>
      </c>
      <c r="AJ187" s="1">
        <f t="shared" si="122"/>
        <v>4</v>
      </c>
      <c r="AK187" s="1">
        <f t="shared" si="122"/>
        <v>10</v>
      </c>
      <c r="AL187" s="1">
        <f t="shared" si="122"/>
        <v>11</v>
      </c>
      <c r="AM187" s="1">
        <f t="shared" si="122"/>
        <v>11</v>
      </c>
      <c r="AN187" s="1">
        <f t="shared" si="122"/>
        <v>1</v>
      </c>
      <c r="AO187" s="1">
        <f t="shared" si="122"/>
        <v>11</v>
      </c>
      <c r="AP187" s="1">
        <f t="shared" si="122"/>
        <v>4</v>
      </c>
      <c r="AQ187" s="1">
        <f t="shared" si="122"/>
        <v>2</v>
      </c>
      <c r="AR187" s="1">
        <f t="shared" si="122"/>
        <v>11</v>
      </c>
      <c r="AS187" s="1">
        <f t="shared" si="122"/>
        <v>10</v>
      </c>
      <c r="AT187" s="1">
        <f t="shared" si="122"/>
        <v>2</v>
      </c>
      <c r="AU187" s="1">
        <f t="shared" si="122"/>
        <v>10</v>
      </c>
    </row>
    <row r="188" spans="1:47">
      <c r="A188" s="1" t="str">
        <f t="shared" si="98"/>
        <v>   4.2.7) Severity of terrorist attacks</v>
      </c>
      <c r="B188" s="1">
        <f t="shared" ref="B188:AU188" si="123">COUNTIF($B123:$AU123,B123)</f>
        <v>15</v>
      </c>
      <c r="C188" s="1">
        <f t="shared" si="123"/>
        <v>3</v>
      </c>
      <c r="D188" s="1">
        <f t="shared" si="123"/>
        <v>1</v>
      </c>
      <c r="E188" s="1">
        <f t="shared" si="123"/>
        <v>3</v>
      </c>
      <c r="F188" s="1">
        <f t="shared" si="123"/>
        <v>1</v>
      </c>
      <c r="G188" s="1">
        <f t="shared" si="123"/>
        <v>3</v>
      </c>
      <c r="H188" s="1">
        <f t="shared" si="123"/>
        <v>3</v>
      </c>
      <c r="I188" s="1">
        <f t="shared" si="123"/>
        <v>15</v>
      </c>
      <c r="J188" s="1">
        <f t="shared" si="123"/>
        <v>1</v>
      </c>
      <c r="K188" s="1">
        <f t="shared" si="123"/>
        <v>1</v>
      </c>
      <c r="L188" s="1">
        <f t="shared" si="123"/>
        <v>3</v>
      </c>
      <c r="M188" s="1">
        <f t="shared" si="123"/>
        <v>15</v>
      </c>
      <c r="N188" s="1">
        <f t="shared" si="123"/>
        <v>1</v>
      </c>
      <c r="O188" s="1">
        <f t="shared" si="123"/>
        <v>1</v>
      </c>
      <c r="P188" s="1">
        <f t="shared" si="123"/>
        <v>1</v>
      </c>
      <c r="Q188" s="1">
        <f t="shared" si="123"/>
        <v>15</v>
      </c>
      <c r="R188" s="1">
        <f t="shared" si="123"/>
        <v>15</v>
      </c>
      <c r="S188" s="1">
        <f t="shared" si="123"/>
        <v>3</v>
      </c>
      <c r="T188" s="1">
        <f t="shared" si="123"/>
        <v>1</v>
      </c>
      <c r="U188" s="1">
        <f t="shared" si="123"/>
        <v>1</v>
      </c>
      <c r="V188" s="1">
        <f t="shared" si="123"/>
        <v>1</v>
      </c>
      <c r="W188" s="1">
        <f t="shared" si="123"/>
        <v>15</v>
      </c>
      <c r="X188" s="1">
        <f t="shared" si="123"/>
        <v>1</v>
      </c>
      <c r="Y188" s="1">
        <f t="shared" si="123"/>
        <v>3</v>
      </c>
      <c r="Z188" s="1">
        <f t="shared" si="123"/>
        <v>1</v>
      </c>
      <c r="AA188" s="1">
        <f t="shared" si="123"/>
        <v>1</v>
      </c>
      <c r="AB188" s="1">
        <f t="shared" si="123"/>
        <v>15</v>
      </c>
      <c r="AC188" s="1">
        <f t="shared" si="123"/>
        <v>15</v>
      </c>
      <c r="AD188" s="1">
        <f t="shared" si="123"/>
        <v>2</v>
      </c>
      <c r="AE188" s="1">
        <f t="shared" si="123"/>
        <v>15</v>
      </c>
      <c r="AF188" s="1">
        <f t="shared" si="123"/>
        <v>1</v>
      </c>
      <c r="AG188" s="1">
        <f t="shared" si="123"/>
        <v>1</v>
      </c>
      <c r="AH188" s="1">
        <f t="shared" si="123"/>
        <v>15</v>
      </c>
      <c r="AI188" s="1">
        <f t="shared" si="123"/>
        <v>3</v>
      </c>
      <c r="AJ188" s="1">
        <f t="shared" si="123"/>
        <v>1</v>
      </c>
      <c r="AK188" s="1">
        <f t="shared" si="123"/>
        <v>3</v>
      </c>
      <c r="AL188" s="1">
        <f t="shared" si="123"/>
        <v>2</v>
      </c>
      <c r="AM188" s="1">
        <f t="shared" si="123"/>
        <v>15</v>
      </c>
      <c r="AN188" s="1">
        <f t="shared" si="123"/>
        <v>3</v>
      </c>
      <c r="AO188" s="1">
        <f t="shared" si="123"/>
        <v>15</v>
      </c>
      <c r="AP188" s="1">
        <f t="shared" si="123"/>
        <v>3</v>
      </c>
      <c r="AQ188" s="1">
        <f t="shared" si="123"/>
        <v>1</v>
      </c>
      <c r="AR188" s="1">
        <f t="shared" si="123"/>
        <v>15</v>
      </c>
      <c r="AS188" s="1">
        <f t="shared" si="123"/>
        <v>15</v>
      </c>
      <c r="AT188" s="1">
        <f t="shared" si="123"/>
        <v>3</v>
      </c>
      <c r="AU188" s="1">
        <f t="shared" si="123"/>
        <v>15</v>
      </c>
    </row>
    <row r="189" spans="1:47">
      <c r="A189" s="1" t="str">
        <f t="shared" si="98"/>
        <v>   4.2.8) Gender safety</v>
      </c>
      <c r="B189" s="1">
        <f t="shared" ref="B189:AU189" si="124">COUNTIF($B124:$AU124,B124)</f>
        <v>2</v>
      </c>
      <c r="C189" s="1">
        <f t="shared" si="124"/>
        <v>1</v>
      </c>
      <c r="D189" s="1">
        <f t="shared" si="124"/>
        <v>2</v>
      </c>
      <c r="E189" s="1">
        <f t="shared" si="124"/>
        <v>6</v>
      </c>
      <c r="F189" s="1">
        <f t="shared" si="124"/>
        <v>8</v>
      </c>
      <c r="G189" s="1">
        <f t="shared" si="124"/>
        <v>8</v>
      </c>
      <c r="H189" s="1">
        <f t="shared" si="124"/>
        <v>1</v>
      </c>
      <c r="I189" s="1">
        <f t="shared" si="124"/>
        <v>1</v>
      </c>
      <c r="J189" s="1">
        <f t="shared" si="124"/>
        <v>3</v>
      </c>
      <c r="K189" s="1">
        <f t="shared" si="124"/>
        <v>1</v>
      </c>
      <c r="L189" s="1">
        <f t="shared" si="124"/>
        <v>8</v>
      </c>
      <c r="M189" s="1">
        <f t="shared" si="124"/>
        <v>2</v>
      </c>
      <c r="N189" s="1">
        <f t="shared" si="124"/>
        <v>1</v>
      </c>
      <c r="O189" s="1">
        <f t="shared" si="124"/>
        <v>2</v>
      </c>
      <c r="P189" s="1">
        <f t="shared" si="124"/>
        <v>1</v>
      </c>
      <c r="Q189" s="1">
        <f t="shared" si="124"/>
        <v>1</v>
      </c>
      <c r="R189" s="1">
        <f t="shared" si="124"/>
        <v>2</v>
      </c>
      <c r="S189" s="1">
        <f t="shared" si="124"/>
        <v>1</v>
      </c>
      <c r="T189" s="1">
        <f t="shared" si="124"/>
        <v>1</v>
      </c>
      <c r="U189" s="1">
        <f t="shared" si="124"/>
        <v>2</v>
      </c>
      <c r="V189" s="1">
        <f t="shared" si="124"/>
        <v>6</v>
      </c>
      <c r="W189" s="1">
        <f t="shared" si="124"/>
        <v>8</v>
      </c>
      <c r="X189" s="1">
        <f t="shared" si="124"/>
        <v>1</v>
      </c>
      <c r="Y189" s="1">
        <f t="shared" si="124"/>
        <v>6</v>
      </c>
      <c r="Z189" s="1">
        <f t="shared" si="124"/>
        <v>1</v>
      </c>
      <c r="AA189" s="1">
        <f t="shared" si="124"/>
        <v>3</v>
      </c>
      <c r="AB189" s="1">
        <f t="shared" si="124"/>
        <v>1</v>
      </c>
      <c r="AC189" s="1">
        <f t="shared" si="124"/>
        <v>2</v>
      </c>
      <c r="AD189" s="1">
        <f t="shared" si="124"/>
        <v>8</v>
      </c>
      <c r="AE189" s="1">
        <f t="shared" si="124"/>
        <v>2</v>
      </c>
      <c r="AF189" s="1">
        <f t="shared" si="124"/>
        <v>1</v>
      </c>
      <c r="AG189" s="1">
        <f t="shared" si="124"/>
        <v>6</v>
      </c>
      <c r="AH189" s="1">
        <f t="shared" si="124"/>
        <v>2</v>
      </c>
      <c r="AI189" s="1">
        <f t="shared" si="124"/>
        <v>1</v>
      </c>
      <c r="AJ189" s="1">
        <f t="shared" si="124"/>
        <v>2</v>
      </c>
      <c r="AK189" s="1">
        <f t="shared" si="124"/>
        <v>3</v>
      </c>
      <c r="AL189" s="1">
        <f t="shared" si="124"/>
        <v>8</v>
      </c>
      <c r="AM189" s="1">
        <f t="shared" si="124"/>
        <v>1</v>
      </c>
      <c r="AN189" s="1">
        <f t="shared" si="124"/>
        <v>6</v>
      </c>
      <c r="AO189" s="1">
        <f t="shared" si="124"/>
        <v>8</v>
      </c>
      <c r="AP189" s="1">
        <f t="shared" si="124"/>
        <v>1</v>
      </c>
      <c r="AQ189" s="1">
        <f t="shared" si="124"/>
        <v>2</v>
      </c>
      <c r="AR189" s="1">
        <f t="shared" si="124"/>
        <v>2</v>
      </c>
      <c r="AS189" s="1">
        <f t="shared" si="124"/>
        <v>8</v>
      </c>
      <c r="AT189" s="1">
        <f t="shared" si="124"/>
        <v>1</v>
      </c>
      <c r="AU189" s="1">
        <f t="shared" si="124"/>
        <v>6</v>
      </c>
    </row>
    <row r="190" spans="1:47">
      <c r="A190" s="1" t="str">
        <f t="shared" si="98"/>
        <v>   4.2.9) Perceptions of safety</v>
      </c>
      <c r="B190" s="1">
        <f t="shared" ref="B190:AU190" si="125">COUNTIF($B125:$AU125,B125)</f>
        <v>1</v>
      </c>
      <c r="C190" s="1">
        <f t="shared" si="125"/>
        <v>1</v>
      </c>
      <c r="D190" s="1">
        <f t="shared" si="125"/>
        <v>1</v>
      </c>
      <c r="E190" s="1">
        <f t="shared" si="125"/>
        <v>1</v>
      </c>
      <c r="F190" s="1">
        <f t="shared" si="125"/>
        <v>1</v>
      </c>
      <c r="G190" s="1">
        <f t="shared" si="125"/>
        <v>1</v>
      </c>
      <c r="H190" s="1">
        <f t="shared" si="125"/>
        <v>1</v>
      </c>
      <c r="I190" s="1">
        <f t="shared" si="125"/>
        <v>1</v>
      </c>
      <c r="J190" s="1">
        <f t="shared" si="125"/>
        <v>1</v>
      </c>
      <c r="K190" s="1">
        <f t="shared" si="125"/>
        <v>1</v>
      </c>
      <c r="L190" s="1">
        <f t="shared" si="125"/>
        <v>1</v>
      </c>
      <c r="M190" s="1">
        <f t="shared" si="125"/>
        <v>1</v>
      </c>
      <c r="N190" s="1">
        <f t="shared" si="125"/>
        <v>1</v>
      </c>
      <c r="O190" s="1">
        <f t="shared" si="125"/>
        <v>1</v>
      </c>
      <c r="P190" s="1">
        <f t="shared" si="125"/>
        <v>1</v>
      </c>
      <c r="Q190" s="1">
        <f t="shared" si="125"/>
        <v>1</v>
      </c>
      <c r="R190" s="1">
        <f t="shared" si="125"/>
        <v>1</v>
      </c>
      <c r="S190" s="1">
        <f t="shared" si="125"/>
        <v>1</v>
      </c>
      <c r="T190" s="1">
        <f t="shared" si="125"/>
        <v>1</v>
      </c>
      <c r="U190" s="1">
        <f t="shared" si="125"/>
        <v>1</v>
      </c>
      <c r="V190" s="1">
        <f t="shared" si="125"/>
        <v>1</v>
      </c>
      <c r="W190" s="1">
        <f t="shared" si="125"/>
        <v>1</v>
      </c>
      <c r="X190" s="1">
        <f t="shared" si="125"/>
        <v>1</v>
      </c>
      <c r="Y190" s="1">
        <f t="shared" si="125"/>
        <v>1</v>
      </c>
      <c r="Z190" s="1">
        <f t="shared" si="125"/>
        <v>1</v>
      </c>
      <c r="AA190" s="1">
        <f t="shared" si="125"/>
        <v>1</v>
      </c>
      <c r="AB190" s="1">
        <f t="shared" si="125"/>
        <v>1</v>
      </c>
      <c r="AC190" s="1">
        <f t="shared" si="125"/>
        <v>1</v>
      </c>
      <c r="AD190" s="1">
        <f t="shared" si="125"/>
        <v>1</v>
      </c>
      <c r="AE190" s="1">
        <f t="shared" si="125"/>
        <v>1</v>
      </c>
      <c r="AF190" s="1">
        <f t="shared" si="125"/>
        <v>1</v>
      </c>
      <c r="AG190" s="1">
        <f t="shared" si="125"/>
        <v>1</v>
      </c>
      <c r="AH190" s="1">
        <f t="shared" si="125"/>
        <v>1</v>
      </c>
      <c r="AI190" s="1">
        <f t="shared" si="125"/>
        <v>1</v>
      </c>
      <c r="AJ190" s="1">
        <f t="shared" si="125"/>
        <v>1</v>
      </c>
      <c r="AK190" s="1">
        <f t="shared" si="125"/>
        <v>1</v>
      </c>
      <c r="AL190" s="1">
        <f t="shared" si="125"/>
        <v>1</v>
      </c>
      <c r="AM190" s="1">
        <f t="shared" si="125"/>
        <v>1</v>
      </c>
      <c r="AN190" s="1">
        <f t="shared" si="125"/>
        <v>1</v>
      </c>
      <c r="AO190" s="1">
        <f t="shared" si="125"/>
        <v>1</v>
      </c>
      <c r="AP190" s="1">
        <f t="shared" si="125"/>
        <v>1</v>
      </c>
      <c r="AQ190" s="1">
        <f t="shared" si="125"/>
        <v>1</v>
      </c>
      <c r="AR190" s="1">
        <f t="shared" si="125"/>
        <v>1</v>
      </c>
      <c r="AS190" s="1">
        <f t="shared" si="125"/>
        <v>1</v>
      </c>
      <c r="AT190" s="1">
        <f t="shared" si="125"/>
        <v>1</v>
      </c>
      <c r="AU190" s="1">
        <f t="shared" si="125"/>
        <v>1</v>
      </c>
    </row>
    <row r="191" spans="1:47">
      <c r="A191" s="1" t="str">
        <f t="shared" si="98"/>
        <v>   4.2.10) Threat of terrorism</v>
      </c>
      <c r="B191" s="1">
        <f t="shared" ref="B191:AU191" si="126">COUNTIF($B126:$AU126,B126)</f>
        <v>22</v>
      </c>
      <c r="C191" s="1">
        <f t="shared" si="126"/>
        <v>22</v>
      </c>
      <c r="D191" s="1">
        <f t="shared" si="126"/>
        <v>10</v>
      </c>
      <c r="E191" s="1">
        <f t="shared" si="126"/>
        <v>22</v>
      </c>
      <c r="F191" s="1">
        <f t="shared" si="126"/>
        <v>13</v>
      </c>
      <c r="G191" s="1">
        <f t="shared" si="126"/>
        <v>22</v>
      </c>
      <c r="H191" s="1">
        <f t="shared" si="126"/>
        <v>22</v>
      </c>
      <c r="I191" s="1">
        <f t="shared" si="126"/>
        <v>22</v>
      </c>
      <c r="J191" s="1">
        <f t="shared" si="126"/>
        <v>10</v>
      </c>
      <c r="K191" s="1">
        <f t="shared" si="126"/>
        <v>22</v>
      </c>
      <c r="L191" s="1">
        <f t="shared" si="126"/>
        <v>22</v>
      </c>
      <c r="M191" s="1">
        <f t="shared" si="126"/>
        <v>22</v>
      </c>
      <c r="N191" s="1">
        <f t="shared" si="126"/>
        <v>13</v>
      </c>
      <c r="O191" s="1">
        <f t="shared" si="126"/>
        <v>10</v>
      </c>
      <c r="P191" s="1">
        <f t="shared" si="126"/>
        <v>1</v>
      </c>
      <c r="Q191" s="1">
        <f t="shared" si="126"/>
        <v>22</v>
      </c>
      <c r="R191" s="1">
        <f t="shared" si="126"/>
        <v>22</v>
      </c>
      <c r="S191" s="1">
        <f t="shared" si="126"/>
        <v>22</v>
      </c>
      <c r="T191" s="1">
        <f t="shared" si="126"/>
        <v>10</v>
      </c>
      <c r="U191" s="1">
        <f t="shared" si="126"/>
        <v>22</v>
      </c>
      <c r="V191" s="1">
        <f t="shared" si="126"/>
        <v>22</v>
      </c>
      <c r="W191" s="1">
        <f t="shared" si="126"/>
        <v>13</v>
      </c>
      <c r="X191" s="1">
        <f t="shared" si="126"/>
        <v>10</v>
      </c>
      <c r="Y191" s="1">
        <f t="shared" si="126"/>
        <v>13</v>
      </c>
      <c r="Z191" s="1">
        <f t="shared" si="126"/>
        <v>10</v>
      </c>
      <c r="AA191" s="1">
        <f t="shared" si="126"/>
        <v>10</v>
      </c>
      <c r="AB191" s="1">
        <f t="shared" si="126"/>
        <v>10</v>
      </c>
      <c r="AC191" s="1">
        <f t="shared" si="126"/>
        <v>22</v>
      </c>
      <c r="AD191" s="1">
        <f t="shared" si="126"/>
        <v>13</v>
      </c>
      <c r="AE191" s="1">
        <f t="shared" si="126"/>
        <v>22</v>
      </c>
      <c r="AF191" s="1">
        <f t="shared" si="126"/>
        <v>10</v>
      </c>
      <c r="AG191" s="1">
        <f t="shared" si="126"/>
        <v>13</v>
      </c>
      <c r="AH191" s="1">
        <f t="shared" si="126"/>
        <v>22</v>
      </c>
      <c r="AI191" s="1">
        <f t="shared" si="126"/>
        <v>13</v>
      </c>
      <c r="AJ191" s="1">
        <f t="shared" si="126"/>
        <v>22</v>
      </c>
      <c r="AK191" s="1">
        <f t="shared" si="126"/>
        <v>22</v>
      </c>
      <c r="AL191" s="1">
        <f t="shared" si="126"/>
        <v>13</v>
      </c>
      <c r="AM191" s="1">
        <f t="shared" si="126"/>
        <v>22</v>
      </c>
      <c r="AN191" s="1">
        <f t="shared" si="126"/>
        <v>13</v>
      </c>
      <c r="AO191" s="1">
        <f t="shared" si="126"/>
        <v>13</v>
      </c>
      <c r="AP191" s="1">
        <f t="shared" si="126"/>
        <v>13</v>
      </c>
      <c r="AQ191" s="1">
        <f t="shared" si="126"/>
        <v>10</v>
      </c>
      <c r="AR191" s="1">
        <f t="shared" si="126"/>
        <v>22</v>
      </c>
      <c r="AS191" s="1">
        <f t="shared" si="126"/>
        <v>13</v>
      </c>
      <c r="AT191" s="1">
        <f t="shared" si="126"/>
        <v>22</v>
      </c>
      <c r="AU191" s="1">
        <f t="shared" si="126"/>
        <v>13</v>
      </c>
    </row>
    <row r="192" spans="1:47">
      <c r="A192" s="1" t="str">
        <f t="shared" si="98"/>
        <v>   4.2.11) Threat of military conflict</v>
      </c>
      <c r="B192" s="1">
        <f t="shared" ref="B192:AU192" si="127">COUNTIF($B127:$AU127,B127)</f>
        <v>34</v>
      </c>
      <c r="C192" s="1">
        <f t="shared" si="127"/>
        <v>34</v>
      </c>
      <c r="D192" s="1">
        <f t="shared" si="127"/>
        <v>3</v>
      </c>
      <c r="E192" s="1">
        <f t="shared" si="127"/>
        <v>34</v>
      </c>
      <c r="F192" s="1">
        <f t="shared" si="127"/>
        <v>34</v>
      </c>
      <c r="G192" s="1">
        <f t="shared" si="127"/>
        <v>34</v>
      </c>
      <c r="H192" s="1">
        <f t="shared" si="127"/>
        <v>34</v>
      </c>
      <c r="I192" s="1">
        <f t="shared" si="127"/>
        <v>34</v>
      </c>
      <c r="J192" s="1">
        <f t="shared" si="127"/>
        <v>9</v>
      </c>
      <c r="K192" s="1">
        <f t="shared" si="127"/>
        <v>9</v>
      </c>
      <c r="L192" s="1">
        <f t="shared" si="127"/>
        <v>34</v>
      </c>
      <c r="M192" s="1">
        <f t="shared" si="127"/>
        <v>9</v>
      </c>
      <c r="N192" s="1">
        <f t="shared" si="127"/>
        <v>34</v>
      </c>
      <c r="O192" s="1">
        <f t="shared" si="127"/>
        <v>9</v>
      </c>
      <c r="P192" s="1">
        <f t="shared" si="127"/>
        <v>34</v>
      </c>
      <c r="Q192" s="1">
        <f t="shared" si="127"/>
        <v>34</v>
      </c>
      <c r="R192" s="1">
        <f t="shared" si="127"/>
        <v>9</v>
      </c>
      <c r="S192" s="1">
        <f t="shared" si="127"/>
        <v>9</v>
      </c>
      <c r="T192" s="1">
        <f t="shared" si="127"/>
        <v>34</v>
      </c>
      <c r="U192" s="1">
        <f t="shared" si="127"/>
        <v>34</v>
      </c>
      <c r="V192" s="1">
        <f t="shared" si="127"/>
        <v>34</v>
      </c>
      <c r="W192" s="1">
        <f t="shared" si="127"/>
        <v>34</v>
      </c>
      <c r="X192" s="1">
        <f t="shared" si="127"/>
        <v>34</v>
      </c>
      <c r="Y192" s="1">
        <f t="shared" si="127"/>
        <v>34</v>
      </c>
      <c r="Z192" s="1">
        <f t="shared" si="127"/>
        <v>3</v>
      </c>
      <c r="AA192" s="1">
        <f t="shared" si="127"/>
        <v>9</v>
      </c>
      <c r="AB192" s="1">
        <f t="shared" si="127"/>
        <v>34</v>
      </c>
      <c r="AC192" s="1">
        <f t="shared" si="127"/>
        <v>34</v>
      </c>
      <c r="AD192" s="1">
        <f t="shared" si="127"/>
        <v>34</v>
      </c>
      <c r="AE192" s="1">
        <f t="shared" si="127"/>
        <v>34</v>
      </c>
      <c r="AF192" s="1">
        <f t="shared" si="127"/>
        <v>9</v>
      </c>
      <c r="AG192" s="1">
        <f t="shared" si="127"/>
        <v>34</v>
      </c>
      <c r="AH192" s="1">
        <f t="shared" si="127"/>
        <v>34</v>
      </c>
      <c r="AI192" s="1">
        <f t="shared" si="127"/>
        <v>34</v>
      </c>
      <c r="AJ192" s="1">
        <f t="shared" si="127"/>
        <v>34</v>
      </c>
      <c r="AK192" s="1">
        <f t="shared" si="127"/>
        <v>3</v>
      </c>
      <c r="AL192" s="1">
        <f t="shared" si="127"/>
        <v>34</v>
      </c>
      <c r="AM192" s="1">
        <f t="shared" si="127"/>
        <v>34</v>
      </c>
      <c r="AN192" s="1">
        <f t="shared" si="127"/>
        <v>34</v>
      </c>
      <c r="AO192" s="1">
        <f t="shared" si="127"/>
        <v>34</v>
      </c>
      <c r="AP192" s="1">
        <f t="shared" si="127"/>
        <v>34</v>
      </c>
      <c r="AQ192" s="1">
        <f t="shared" si="127"/>
        <v>9</v>
      </c>
      <c r="AR192" s="1">
        <f t="shared" si="127"/>
        <v>34</v>
      </c>
      <c r="AS192" s="1">
        <f t="shared" si="127"/>
        <v>34</v>
      </c>
      <c r="AT192" s="1">
        <f t="shared" si="127"/>
        <v>34</v>
      </c>
      <c r="AU192" s="1">
        <f t="shared" si="127"/>
        <v>34</v>
      </c>
    </row>
    <row r="193" spans="1:47">
      <c r="A193" s="1" t="str">
        <f t="shared" si="98"/>
        <v>   4.2.12) Threat of civil unrest</v>
      </c>
      <c r="B193" s="1">
        <f t="shared" ref="B193:AU193" si="128">COUNTIF($B128:$AU128,B128)</f>
        <v>21</v>
      </c>
      <c r="C193" s="1">
        <f t="shared" si="128"/>
        <v>15</v>
      </c>
      <c r="D193" s="1">
        <f t="shared" si="128"/>
        <v>1</v>
      </c>
      <c r="E193" s="1">
        <f t="shared" si="128"/>
        <v>21</v>
      </c>
      <c r="F193" s="1">
        <f t="shared" si="128"/>
        <v>8</v>
      </c>
      <c r="G193" s="1">
        <f t="shared" si="128"/>
        <v>15</v>
      </c>
      <c r="H193" s="1">
        <f t="shared" si="128"/>
        <v>21</v>
      </c>
      <c r="I193" s="1">
        <f t="shared" si="128"/>
        <v>15</v>
      </c>
      <c r="J193" s="1">
        <f t="shared" si="128"/>
        <v>8</v>
      </c>
      <c r="K193" s="1">
        <f t="shared" si="128"/>
        <v>21</v>
      </c>
      <c r="L193" s="1">
        <f t="shared" si="128"/>
        <v>15</v>
      </c>
      <c r="M193" s="1">
        <f t="shared" si="128"/>
        <v>8</v>
      </c>
      <c r="N193" s="1">
        <f t="shared" si="128"/>
        <v>15</v>
      </c>
      <c r="O193" s="1">
        <f t="shared" si="128"/>
        <v>8</v>
      </c>
      <c r="P193" s="1">
        <f t="shared" si="128"/>
        <v>1</v>
      </c>
      <c r="Q193" s="1">
        <f t="shared" si="128"/>
        <v>21</v>
      </c>
      <c r="R193" s="1">
        <f t="shared" si="128"/>
        <v>21</v>
      </c>
      <c r="S193" s="1">
        <f t="shared" si="128"/>
        <v>8</v>
      </c>
      <c r="T193" s="1">
        <f t="shared" si="128"/>
        <v>21</v>
      </c>
      <c r="U193" s="1">
        <f t="shared" si="128"/>
        <v>21</v>
      </c>
      <c r="V193" s="1">
        <f t="shared" si="128"/>
        <v>21</v>
      </c>
      <c r="W193" s="1">
        <f t="shared" si="128"/>
        <v>15</v>
      </c>
      <c r="X193" s="1">
        <f t="shared" si="128"/>
        <v>21</v>
      </c>
      <c r="Y193" s="1">
        <f t="shared" si="128"/>
        <v>21</v>
      </c>
      <c r="Z193" s="1">
        <f t="shared" si="128"/>
        <v>21</v>
      </c>
      <c r="AA193" s="1">
        <f t="shared" si="128"/>
        <v>21</v>
      </c>
      <c r="AB193" s="1">
        <f t="shared" si="128"/>
        <v>21</v>
      </c>
      <c r="AC193" s="1">
        <f t="shared" si="128"/>
        <v>15</v>
      </c>
      <c r="AD193" s="1">
        <f t="shared" si="128"/>
        <v>21</v>
      </c>
      <c r="AE193" s="1">
        <f t="shared" si="128"/>
        <v>8</v>
      </c>
      <c r="AF193" s="1">
        <f t="shared" si="128"/>
        <v>21</v>
      </c>
      <c r="AG193" s="1">
        <f t="shared" si="128"/>
        <v>21</v>
      </c>
      <c r="AH193" s="1">
        <f t="shared" si="128"/>
        <v>15</v>
      </c>
      <c r="AI193" s="1">
        <f t="shared" si="128"/>
        <v>21</v>
      </c>
      <c r="AJ193" s="1">
        <f t="shared" si="128"/>
        <v>21</v>
      </c>
      <c r="AK193" s="1">
        <f t="shared" si="128"/>
        <v>15</v>
      </c>
      <c r="AL193" s="1">
        <f t="shared" si="128"/>
        <v>8</v>
      </c>
      <c r="AM193" s="1">
        <f t="shared" si="128"/>
        <v>15</v>
      </c>
      <c r="AN193" s="1">
        <f t="shared" si="128"/>
        <v>15</v>
      </c>
      <c r="AO193" s="1">
        <f t="shared" si="128"/>
        <v>15</v>
      </c>
      <c r="AP193" s="1">
        <f t="shared" si="128"/>
        <v>21</v>
      </c>
      <c r="AQ193" s="1">
        <f t="shared" si="128"/>
        <v>8</v>
      </c>
      <c r="AR193" s="1">
        <f t="shared" si="128"/>
        <v>15</v>
      </c>
      <c r="AS193" s="1">
        <f t="shared" si="128"/>
        <v>15</v>
      </c>
      <c r="AT193" s="1">
        <f t="shared" si="128"/>
        <v>21</v>
      </c>
      <c r="AU193" s="1">
        <f t="shared" si="128"/>
        <v>15</v>
      </c>
    </row>
    <row r="197" spans="1:47">
      <c r="A197" s="1" t="str">
        <f t="shared" ref="A197:A228" si="129">A132</f>
        <v>OVERALL SCORE</v>
      </c>
      <c r="B197" s="1" t="str">
        <f t="shared" ref="B197:AU197" si="130">IF(B132&gt;1,"=","")&amp;B67</f>
        <v>23</v>
      </c>
      <c r="C197" s="1" t="str">
        <f t="shared" si="130"/>
        <v>3</v>
      </c>
      <c r="D197" s="1" t="str">
        <f t="shared" si="130"/>
        <v>42</v>
      </c>
      <c r="E197" s="1" t="str">
        <f t="shared" si="130"/>
        <v>15</v>
      </c>
      <c r="F197" s="1" t="str">
        <f t="shared" si="130"/>
        <v>32</v>
      </c>
      <c r="G197" s="1" t="str">
        <f t="shared" si="130"/>
        <v>19</v>
      </c>
      <c r="H197" s="1" t="str">
        <f t="shared" si="130"/>
        <v>26</v>
      </c>
      <c r="I197" s="1" t="str">
        <f t="shared" si="130"/>
        <v>13</v>
      </c>
      <c r="J197" s="1" t="str">
        <f t="shared" si="130"/>
        <v>37</v>
      </c>
      <c r="K197" s="1" t="str">
        <f t="shared" si="130"/>
        <v>28</v>
      </c>
      <c r="L197" s="1" t="str">
        <f t="shared" si="130"/>
        <v>16</v>
      </c>
      <c r="M197" s="1" t="str">
        <f t="shared" si="130"/>
        <v>46</v>
      </c>
      <c r="N197" s="1" t="str">
        <f t="shared" si="130"/>
        <v>12</v>
      </c>
      <c r="O197" s="1" t="str">
        <f t="shared" si="130"/>
        <v>39</v>
      </c>
      <c r="P197" s="1" t="str">
        <f t="shared" si="130"/>
        <v>44</v>
      </c>
      <c r="Q197" s="1" t="str">
        <f t="shared" si="130"/>
        <v>41</v>
      </c>
      <c r="R197" s="1" t="str">
        <f t="shared" si="130"/>
        <v>35</v>
      </c>
      <c r="S197" s="1" t="str">
        <f t="shared" si="130"/>
        <v>31</v>
      </c>
      <c r="T197" s="1" t="str">
        <f t="shared" si="130"/>
        <v>21</v>
      </c>
      <c r="U197" s="1" t="str">
        <f t="shared" si="130"/>
        <v>17</v>
      </c>
      <c r="V197" s="1" t="str">
        <f t="shared" si="130"/>
        <v>25</v>
      </c>
      <c r="W197" s="1" t="str">
        <f t="shared" si="130"/>
        <v>7</v>
      </c>
      <c r="X197" s="1" t="str">
        <f t="shared" si="130"/>
        <v>36</v>
      </c>
      <c r="Y197" s="1" t="str">
        <f t="shared" si="130"/>
        <v>24</v>
      </c>
      <c r="Z197" s="1" t="str">
        <f t="shared" si="130"/>
        <v>40</v>
      </c>
      <c r="AA197" s="1" t="str">
        <f t="shared" si="130"/>
        <v>38</v>
      </c>
      <c r="AB197" s="1" t="str">
        <f t="shared" si="130"/>
        <v>10</v>
      </c>
      <c r="AC197" s="1" t="str">
        <f t="shared" si="130"/>
        <v>4</v>
      </c>
      <c r="AD197" s="1" t="str">
        <f t="shared" si="130"/>
        <v>22</v>
      </c>
      <c r="AE197" s="1" t="str">
        <f t="shared" si="130"/>
        <v>33</v>
      </c>
      <c r="AF197" s="1" t="str">
        <f t="shared" si="130"/>
        <v>43</v>
      </c>
      <c r="AG197" s="1" t="str">
        <f t="shared" si="130"/>
        <v>27</v>
      </c>
      <c r="AH197" s="1" t="str">
        <f t="shared" si="130"/>
        <v>11</v>
      </c>
      <c r="AI197" s="1" t="str">
        <f t="shared" si="130"/>
        <v>29</v>
      </c>
      <c r="AJ197" s="1" t="str">
        <f t="shared" si="130"/>
        <v>34</v>
      </c>
      <c r="AK197" s="1" t="str">
        <f t="shared" si="130"/>
        <v>20</v>
      </c>
      <c r="AL197" s="1" t="str">
        <f t="shared" si="130"/>
        <v>30</v>
      </c>
      <c r="AM197" s="1" t="str">
        <f t="shared" si="130"/>
        <v>2</v>
      </c>
      <c r="AN197" s="1" t="str">
        <f t="shared" si="130"/>
        <v>8</v>
      </c>
      <c r="AO197" s="1" t="str">
        <f t="shared" si="130"/>
        <v>5</v>
      </c>
      <c r="AP197" s="1" t="str">
        <f t="shared" si="130"/>
        <v>14</v>
      </c>
      <c r="AQ197" s="1" t="str">
        <f t="shared" si="130"/>
        <v>45</v>
      </c>
      <c r="AR197" s="1" t="str">
        <f t="shared" si="130"/>
        <v>1</v>
      </c>
      <c r="AS197" s="1" t="str">
        <f t="shared" si="130"/>
        <v>6</v>
      </c>
      <c r="AT197" s="1" t="str">
        <f t="shared" si="130"/>
        <v>18</v>
      </c>
      <c r="AU197" s="1" t="str">
        <f t="shared" si="130"/>
        <v>9</v>
      </c>
    </row>
    <row r="198" spans="1:47">
      <c r="A198" s="1" t="str">
        <f t="shared" si="129"/>
        <v> 1) DIGITAL SECURITY</v>
      </c>
      <c r="B198" s="1" t="str">
        <f t="shared" ref="B198:AU198" si="131">IF(B133&gt;1,"=","")&amp;B68</f>
        <v>4</v>
      </c>
      <c r="C198" s="1" t="str">
        <f t="shared" si="131"/>
        <v>5</v>
      </c>
      <c r="D198" s="1" t="str">
        <f t="shared" si="131"/>
        <v>44</v>
      </c>
      <c r="E198" s="1" t="str">
        <f t="shared" si="131"/>
        <v>28</v>
      </c>
      <c r="F198" s="1" t="str">
        <f t="shared" si="131"/>
        <v>39</v>
      </c>
      <c r="G198" s="1" t="str">
        <f t="shared" si="131"/>
        <v>7</v>
      </c>
      <c r="H198" s="1" t="str">
        <f t="shared" si="131"/>
        <v>14</v>
      </c>
      <c r="I198" s="1" t="str">
        <f t="shared" si="131"/>
        <v>15</v>
      </c>
      <c r="J198" s="1" t="str">
        <f t="shared" si="131"/>
        <v>30</v>
      </c>
      <c r="K198" s="1" t="str">
        <f t="shared" si="131"/>
        <v>31</v>
      </c>
      <c r="L198" s="1" t="str">
        <f t="shared" si="131"/>
        <v>23</v>
      </c>
      <c r="M198" s="1" t="str">
        <f t="shared" si="131"/>
        <v>42</v>
      </c>
      <c r="N198" s="1" t="str">
        <f t="shared" si="131"/>
        <v>3</v>
      </c>
      <c r="O198" s="1" t="str">
        <f t="shared" si="131"/>
        <v>45</v>
      </c>
      <c r="P198" s="1" t="str">
        <f t="shared" si="131"/>
        <v>43</v>
      </c>
      <c r="Q198" s="1" t="str">
        <f t="shared" si="131"/>
        <v>33</v>
      </c>
      <c r="R198" s="1" t="str">
        <f t="shared" si="131"/>
        <v>29</v>
      </c>
      <c r="S198" s="1" t="str">
        <f t="shared" si="131"/>
        <v>35</v>
      </c>
      <c r="T198" s="1" t="str">
        <f t="shared" si="131"/>
        <v>12</v>
      </c>
      <c r="U198" s="1" t="str">
        <f t="shared" si="131"/>
        <v>10</v>
      </c>
      <c r="V198" s="1" t="str">
        <f t="shared" si="131"/>
        <v>26</v>
      </c>
      <c r="W198" s="1" t="str">
        <f t="shared" si="131"/>
        <v>21</v>
      </c>
      <c r="X198" s="1" t="str">
        <f t="shared" si="131"/>
        <v>24</v>
      </c>
      <c r="Y198" s="1" t="str">
        <f t="shared" si="131"/>
        <v>16</v>
      </c>
      <c r="Z198" s="1" t="str">
        <f t="shared" si="131"/>
        <v>41</v>
      </c>
      <c r="AA198" s="1" t="str">
        <f t="shared" si="131"/>
        <v>22</v>
      </c>
      <c r="AB198" s="1" t="str">
        <f t="shared" si="131"/>
        <v>6</v>
      </c>
      <c r="AC198" s="1" t="str">
        <f t="shared" si="131"/>
        <v>8</v>
      </c>
      <c r="AD198" s="1" t="str">
        <f t="shared" si="131"/>
        <v>32</v>
      </c>
      <c r="AE198" s="1" t="str">
        <f t="shared" si="131"/>
        <v>37</v>
      </c>
      <c r="AF198" s="1" t="str">
        <f t="shared" si="131"/>
        <v>38</v>
      </c>
      <c r="AG198" s="1" t="str">
        <f t="shared" si="131"/>
        <v>25</v>
      </c>
      <c r="AH198" s="1" t="str">
        <f t="shared" si="131"/>
        <v>13</v>
      </c>
      <c r="AI198" s="1" t="str">
        <f t="shared" si="131"/>
        <v>18</v>
      </c>
      <c r="AJ198" s="1" t="str">
        <f t="shared" si="131"/>
        <v>36</v>
      </c>
      <c r="AK198" s="1" t="str">
        <f t="shared" si="131"/>
        <v>34</v>
      </c>
      <c r="AL198" s="1" t="str">
        <f t="shared" si="131"/>
        <v>40</v>
      </c>
      <c r="AM198" s="1" t="str">
        <f t="shared" si="131"/>
        <v>2</v>
      </c>
      <c r="AN198" s="1" t="str">
        <f t="shared" si="131"/>
        <v>19</v>
      </c>
      <c r="AO198" s="1" t="str">
        <f t="shared" si="131"/>
        <v>11</v>
      </c>
      <c r="AP198" s="1" t="str">
        <f t="shared" si="131"/>
        <v>27</v>
      </c>
      <c r="AQ198" s="1" t="str">
        <f t="shared" si="131"/>
        <v>46</v>
      </c>
      <c r="AR198" s="1" t="str">
        <f t="shared" si="131"/>
        <v>1</v>
      </c>
      <c r="AS198" s="1" t="str">
        <f t="shared" si="131"/>
        <v>9</v>
      </c>
      <c r="AT198" s="1" t="str">
        <f t="shared" si="131"/>
        <v>20</v>
      </c>
      <c r="AU198" s="1" t="str">
        <f t="shared" si="131"/>
        <v>17</v>
      </c>
    </row>
    <row r="199" spans="1:47">
      <c r="A199" s="1" t="str">
        <f t="shared" si="129"/>
        <v>  1.1) Digital security (Inputs)</v>
      </c>
      <c r="B199" s="1" t="str">
        <f t="shared" ref="B199:AU199" si="132">IF(B134&gt;1,"=","")&amp;B69</f>
        <v>=3</v>
      </c>
      <c r="C199" s="1" t="str">
        <f t="shared" si="132"/>
        <v>15</v>
      </c>
      <c r="D199" s="1" t="str">
        <f t="shared" si="132"/>
        <v>=39</v>
      </c>
      <c r="E199" s="1" t="str">
        <f t="shared" si="132"/>
        <v>=17</v>
      </c>
      <c r="F199" s="1" t="str">
        <f t="shared" si="132"/>
        <v>=39</v>
      </c>
      <c r="G199" s="1" t="str">
        <f t="shared" si="132"/>
        <v>=6</v>
      </c>
      <c r="H199" s="1" t="str">
        <f t="shared" si="132"/>
        <v>=22</v>
      </c>
      <c r="I199" s="1" t="str">
        <f t="shared" si="132"/>
        <v>=11</v>
      </c>
      <c r="J199" s="1" t="str">
        <f t="shared" si="132"/>
        <v>10</v>
      </c>
      <c r="K199" s="1" t="str">
        <f t="shared" si="132"/>
        <v>=39</v>
      </c>
      <c r="L199" s="1" t="str">
        <f t="shared" si="132"/>
        <v>21</v>
      </c>
      <c r="M199" s="1" t="str">
        <f t="shared" si="132"/>
        <v>=39</v>
      </c>
      <c r="N199" s="1" t="str">
        <f t="shared" si="132"/>
        <v>1</v>
      </c>
      <c r="O199" s="1" t="str">
        <f t="shared" si="132"/>
        <v>45</v>
      </c>
      <c r="P199" s="1" t="str">
        <f t="shared" si="132"/>
        <v>38</v>
      </c>
      <c r="Q199" s="1" t="str">
        <f t="shared" si="132"/>
        <v>=25</v>
      </c>
      <c r="R199" s="1" t="str">
        <f t="shared" si="132"/>
        <v>=33</v>
      </c>
      <c r="S199" s="1" t="str">
        <f t="shared" si="132"/>
        <v>=28</v>
      </c>
      <c r="T199" s="1" t="str">
        <f t="shared" si="132"/>
        <v>=17</v>
      </c>
      <c r="U199" s="1" t="str">
        <f t="shared" si="132"/>
        <v>=11</v>
      </c>
      <c r="V199" s="1" t="str">
        <f t="shared" si="132"/>
        <v>=17</v>
      </c>
      <c r="W199" s="1" t="str">
        <f t="shared" si="132"/>
        <v>=17</v>
      </c>
      <c r="X199" s="1" t="str">
        <f t="shared" si="132"/>
        <v>=22</v>
      </c>
      <c r="Y199" s="1" t="str">
        <f t="shared" si="132"/>
        <v>16</v>
      </c>
      <c r="Z199" s="1" t="str">
        <f t="shared" si="132"/>
        <v>=33</v>
      </c>
      <c r="AA199" s="1" t="str">
        <f t="shared" si="132"/>
        <v>2</v>
      </c>
      <c r="AB199" s="1" t="str">
        <f t="shared" si="132"/>
        <v>=3</v>
      </c>
      <c r="AC199" s="1" t="str">
        <f t="shared" si="132"/>
        <v>31</v>
      </c>
      <c r="AD199" s="1" t="str">
        <f t="shared" si="132"/>
        <v>32</v>
      </c>
      <c r="AE199" s="1" t="str">
        <f t="shared" si="132"/>
        <v>=33</v>
      </c>
      <c r="AF199" s="1" t="str">
        <f t="shared" si="132"/>
        <v>=33</v>
      </c>
      <c r="AG199" s="1" t="str">
        <f t="shared" si="132"/>
        <v>27</v>
      </c>
      <c r="AH199" s="1" t="str">
        <f t="shared" si="132"/>
        <v>=11</v>
      </c>
      <c r="AI199" s="1" t="str">
        <f t="shared" si="132"/>
        <v>=28</v>
      </c>
      <c r="AJ199" s="1" t="str">
        <f t="shared" si="132"/>
        <v>=33</v>
      </c>
      <c r="AK199" s="1" t="str">
        <f t="shared" si="132"/>
        <v>=11</v>
      </c>
      <c r="AL199" s="1" t="str">
        <f t="shared" si="132"/>
        <v>=39</v>
      </c>
      <c r="AM199" s="1" t="str">
        <f t="shared" si="132"/>
        <v>=3</v>
      </c>
      <c r="AN199" s="1" t="str">
        <f t="shared" si="132"/>
        <v>=28</v>
      </c>
      <c r="AO199" s="1" t="str">
        <f t="shared" si="132"/>
        <v>=6</v>
      </c>
      <c r="AP199" s="1" t="str">
        <f t="shared" si="132"/>
        <v>=39</v>
      </c>
      <c r="AQ199" s="1" t="str">
        <f t="shared" si="132"/>
        <v>46</v>
      </c>
      <c r="AR199" s="1" t="str">
        <f t="shared" si="132"/>
        <v>9</v>
      </c>
      <c r="AS199" s="1" t="str">
        <f t="shared" si="132"/>
        <v>=6</v>
      </c>
      <c r="AT199" s="1" t="str">
        <f t="shared" si="132"/>
        <v>=22</v>
      </c>
      <c r="AU199" s="1" t="str">
        <f t="shared" si="132"/>
        <v>=25</v>
      </c>
    </row>
    <row r="200" spans="1:47">
      <c r="A200" s="1" t="str">
        <f t="shared" si="129"/>
        <v>   1.1.1) Privacy policy</v>
      </c>
      <c r="B200" s="1" t="str">
        <f t="shared" ref="B200:AU200" si="133">IF(B135&gt;1,"=","")&amp;B70</f>
        <v>=4</v>
      </c>
      <c r="C200" s="1" t="str">
        <f t="shared" si="133"/>
        <v>=1</v>
      </c>
      <c r="D200" s="1" t="str">
        <f t="shared" si="133"/>
        <v>=41</v>
      </c>
      <c r="E200" s="1" t="str">
        <f t="shared" si="133"/>
        <v>=10</v>
      </c>
      <c r="F200" s="1" t="str">
        <f t="shared" si="133"/>
        <v>=41</v>
      </c>
      <c r="G200" s="1" t="str">
        <f t="shared" si="133"/>
        <v>=1</v>
      </c>
      <c r="H200" s="1" t="str">
        <f t="shared" si="133"/>
        <v>=1</v>
      </c>
      <c r="I200" s="1" t="str">
        <f t="shared" si="133"/>
        <v>=21</v>
      </c>
      <c r="J200" s="1" t="str">
        <f t="shared" si="133"/>
        <v>=21</v>
      </c>
      <c r="K200" s="1" t="str">
        <f t="shared" si="133"/>
        <v>=10</v>
      </c>
      <c r="L200" s="1" t="str">
        <f t="shared" si="133"/>
        <v>=4</v>
      </c>
      <c r="M200" s="1" t="str">
        <f t="shared" si="133"/>
        <v>=41</v>
      </c>
      <c r="N200" s="1" t="str">
        <f t="shared" si="133"/>
        <v>=10</v>
      </c>
      <c r="O200" s="1" t="str">
        <f t="shared" si="133"/>
        <v>=21</v>
      </c>
      <c r="P200" s="1" t="str">
        <f t="shared" si="133"/>
        <v>=21</v>
      </c>
      <c r="Q200" s="1" t="str">
        <f t="shared" si="133"/>
        <v>=4</v>
      </c>
      <c r="R200" s="1" t="str">
        <f t="shared" si="133"/>
        <v>=21</v>
      </c>
      <c r="S200" s="1" t="str">
        <f t="shared" si="133"/>
        <v>=21</v>
      </c>
      <c r="T200" s="1" t="str">
        <f t="shared" si="133"/>
        <v>=10</v>
      </c>
      <c r="U200" s="1" t="str">
        <f t="shared" si="133"/>
        <v>=21</v>
      </c>
      <c r="V200" s="1" t="str">
        <f t="shared" si="133"/>
        <v>=10</v>
      </c>
      <c r="W200" s="1" t="str">
        <f t="shared" si="133"/>
        <v>=10</v>
      </c>
      <c r="X200" s="1" t="str">
        <f t="shared" si="133"/>
        <v>=10</v>
      </c>
      <c r="Y200" s="1" t="str">
        <f t="shared" si="133"/>
        <v>=4</v>
      </c>
      <c r="Z200" s="1" t="str">
        <f t="shared" si="133"/>
        <v>=21</v>
      </c>
      <c r="AA200" s="1" t="str">
        <f t="shared" si="133"/>
        <v>=21</v>
      </c>
      <c r="AB200" s="1" t="str">
        <f t="shared" si="133"/>
        <v>=21</v>
      </c>
      <c r="AC200" s="1" t="str">
        <f t="shared" si="133"/>
        <v>=21</v>
      </c>
      <c r="AD200" s="1" t="str">
        <f t="shared" si="133"/>
        <v>=10</v>
      </c>
      <c r="AE200" s="1" t="str">
        <f t="shared" si="133"/>
        <v>=21</v>
      </c>
      <c r="AF200" s="1" t="str">
        <f t="shared" si="133"/>
        <v>=21</v>
      </c>
      <c r="AG200" s="1" t="str">
        <f t="shared" si="133"/>
        <v>=4</v>
      </c>
      <c r="AH200" s="1" t="str">
        <f t="shared" si="133"/>
        <v>=21</v>
      </c>
      <c r="AI200" s="1" t="str">
        <f t="shared" si="133"/>
        <v>=21</v>
      </c>
      <c r="AJ200" s="1" t="str">
        <f t="shared" si="133"/>
        <v>=21</v>
      </c>
      <c r="AK200" s="1" t="str">
        <f t="shared" si="133"/>
        <v>=4</v>
      </c>
      <c r="AL200" s="1" t="str">
        <f t="shared" si="133"/>
        <v>=41</v>
      </c>
      <c r="AM200" s="1" t="str">
        <f t="shared" si="133"/>
        <v>=21</v>
      </c>
      <c r="AN200" s="1" t="str">
        <f t="shared" si="133"/>
        <v>=41</v>
      </c>
      <c r="AO200" s="1" t="str">
        <f t="shared" si="133"/>
        <v>=10</v>
      </c>
      <c r="AP200" s="1" t="str">
        <f t="shared" si="133"/>
        <v>=21</v>
      </c>
      <c r="AQ200" s="1" t="str">
        <f t="shared" si="133"/>
        <v>=41</v>
      </c>
      <c r="AR200" s="1" t="str">
        <f t="shared" si="133"/>
        <v>=21</v>
      </c>
      <c r="AS200" s="1" t="str">
        <f t="shared" si="133"/>
        <v>=10</v>
      </c>
      <c r="AT200" s="1" t="str">
        <f t="shared" si="133"/>
        <v>=21</v>
      </c>
      <c r="AU200" s="1" t="str">
        <f t="shared" si="133"/>
        <v>=10</v>
      </c>
    </row>
    <row r="201" spans="1:47">
      <c r="A201" s="1" t="str">
        <f t="shared" si="129"/>
        <v>   1.1.2) Citizen awareness of digital threats</v>
      </c>
      <c r="B201" s="1" t="str">
        <f t="shared" ref="B201:AU201" si="134">IF(B136&gt;1,"=","")&amp;B71</f>
        <v>=3</v>
      </c>
      <c r="C201" s="1" t="str">
        <f t="shared" si="134"/>
        <v>=25</v>
      </c>
      <c r="D201" s="1" t="str">
        <f t="shared" si="134"/>
        <v>=25</v>
      </c>
      <c r="E201" s="1" t="str">
        <f t="shared" si="134"/>
        <v>=3</v>
      </c>
      <c r="F201" s="1" t="str">
        <f t="shared" si="134"/>
        <v>=25</v>
      </c>
      <c r="G201" s="1" t="str">
        <f t="shared" si="134"/>
        <v>=3</v>
      </c>
      <c r="H201" s="1" t="str">
        <f t="shared" si="134"/>
        <v>=3</v>
      </c>
      <c r="I201" s="1" t="str">
        <f t="shared" si="134"/>
        <v>=3</v>
      </c>
      <c r="J201" s="1" t="str">
        <f t="shared" si="134"/>
        <v>=1</v>
      </c>
      <c r="K201" s="1" t="str">
        <f t="shared" si="134"/>
        <v>=25</v>
      </c>
      <c r="L201" s="1" t="str">
        <f t="shared" si="134"/>
        <v>=25</v>
      </c>
      <c r="M201" s="1" t="str">
        <f t="shared" si="134"/>
        <v>=25</v>
      </c>
      <c r="N201" s="1" t="str">
        <f t="shared" si="134"/>
        <v>=3</v>
      </c>
      <c r="O201" s="1" t="str">
        <f t="shared" si="134"/>
        <v>=25</v>
      </c>
      <c r="P201" s="1" t="str">
        <f t="shared" si="134"/>
        <v>=3</v>
      </c>
      <c r="Q201" s="1" t="str">
        <f t="shared" si="134"/>
        <v>=25</v>
      </c>
      <c r="R201" s="1" t="str">
        <f t="shared" si="134"/>
        <v>=25</v>
      </c>
      <c r="S201" s="1" t="str">
        <f t="shared" si="134"/>
        <v>=3</v>
      </c>
      <c r="T201" s="1" t="str">
        <f t="shared" si="134"/>
        <v>=3</v>
      </c>
      <c r="U201" s="1" t="str">
        <f t="shared" si="134"/>
        <v>=3</v>
      </c>
      <c r="V201" s="1" t="str">
        <f t="shared" si="134"/>
        <v>=3</v>
      </c>
      <c r="W201" s="1" t="str">
        <f t="shared" si="134"/>
        <v>=3</v>
      </c>
      <c r="X201" s="1" t="str">
        <f t="shared" si="134"/>
        <v>=3</v>
      </c>
      <c r="Y201" s="1" t="str">
        <f t="shared" si="134"/>
        <v>=43</v>
      </c>
      <c r="Z201" s="1" t="str">
        <f t="shared" si="134"/>
        <v>=25</v>
      </c>
      <c r="AA201" s="1" t="str">
        <f t="shared" si="134"/>
        <v>=1</v>
      </c>
      <c r="AB201" s="1" t="str">
        <f t="shared" si="134"/>
        <v>=3</v>
      </c>
      <c r="AC201" s="1" t="str">
        <f t="shared" si="134"/>
        <v>=25</v>
      </c>
      <c r="AD201" s="1" t="str">
        <f t="shared" si="134"/>
        <v>=43</v>
      </c>
      <c r="AE201" s="1" t="str">
        <f t="shared" si="134"/>
        <v>=25</v>
      </c>
      <c r="AF201" s="1" t="str">
        <f t="shared" si="134"/>
        <v>=25</v>
      </c>
      <c r="AG201" s="1" t="str">
        <f t="shared" si="134"/>
        <v>=43</v>
      </c>
      <c r="AH201" s="1" t="str">
        <f t="shared" si="134"/>
        <v>=3</v>
      </c>
      <c r="AI201" s="1" t="str">
        <f t="shared" si="134"/>
        <v>=3</v>
      </c>
      <c r="AJ201" s="1" t="str">
        <f t="shared" si="134"/>
        <v>=25</v>
      </c>
      <c r="AK201" s="1" t="str">
        <f t="shared" si="134"/>
        <v>=3</v>
      </c>
      <c r="AL201" s="1" t="str">
        <f t="shared" si="134"/>
        <v>=25</v>
      </c>
      <c r="AM201" s="1" t="str">
        <f t="shared" si="134"/>
        <v>=3</v>
      </c>
      <c r="AN201" s="1" t="str">
        <f t="shared" si="134"/>
        <v>=3</v>
      </c>
      <c r="AO201" s="1" t="str">
        <f t="shared" si="134"/>
        <v>=3</v>
      </c>
      <c r="AP201" s="1" t="str">
        <f t="shared" si="134"/>
        <v>=25</v>
      </c>
      <c r="AQ201" s="1" t="str">
        <f t="shared" si="134"/>
        <v>=43</v>
      </c>
      <c r="AR201" s="1" t="str">
        <f t="shared" si="134"/>
        <v>=25</v>
      </c>
      <c r="AS201" s="1" t="str">
        <f t="shared" si="134"/>
        <v>=3</v>
      </c>
      <c r="AT201" s="1" t="str">
        <f t="shared" si="134"/>
        <v>=3</v>
      </c>
      <c r="AU201" s="1" t="str">
        <f t="shared" si="134"/>
        <v>=25</v>
      </c>
    </row>
    <row r="202" spans="1:47">
      <c r="A202" s="1" t="str">
        <f t="shared" si="129"/>
        <v>   1.1.3) Public-private partnerships</v>
      </c>
      <c r="B202" s="1" t="str">
        <f t="shared" ref="B202:AU202" si="135">IF(B137&gt;1,"=","")&amp;B72</f>
        <v>=7</v>
      </c>
      <c r="C202" s="1" t="str">
        <f t="shared" si="135"/>
        <v>=7</v>
      </c>
      <c r="D202" s="1" t="str">
        <f t="shared" si="135"/>
        <v>=7</v>
      </c>
      <c r="E202" s="1" t="str">
        <f t="shared" si="135"/>
        <v>=40</v>
      </c>
      <c r="F202" s="1" t="str">
        <f t="shared" si="135"/>
        <v>=7</v>
      </c>
      <c r="G202" s="1" t="str">
        <f t="shared" si="135"/>
        <v>=7</v>
      </c>
      <c r="H202" s="1" t="str">
        <f t="shared" si="135"/>
        <v>=40</v>
      </c>
      <c r="I202" s="1" t="str">
        <f t="shared" si="135"/>
        <v>=7</v>
      </c>
      <c r="J202" s="1" t="str">
        <f t="shared" si="135"/>
        <v>=1</v>
      </c>
      <c r="K202" s="1" t="str">
        <f t="shared" si="135"/>
        <v>=40</v>
      </c>
      <c r="L202" s="1" t="str">
        <f t="shared" si="135"/>
        <v>=7</v>
      </c>
      <c r="M202" s="1" t="str">
        <f t="shared" si="135"/>
        <v>=7</v>
      </c>
      <c r="N202" s="1" t="str">
        <f t="shared" si="135"/>
        <v>=1</v>
      </c>
      <c r="O202" s="1" t="str">
        <f t="shared" si="135"/>
        <v>=40</v>
      </c>
      <c r="P202" s="1" t="str">
        <f t="shared" si="135"/>
        <v>=40</v>
      </c>
      <c r="Q202" s="1" t="str">
        <f t="shared" si="135"/>
        <v>=7</v>
      </c>
      <c r="R202" s="1" t="str">
        <f t="shared" si="135"/>
        <v>=7</v>
      </c>
      <c r="S202" s="1" t="str">
        <f t="shared" si="135"/>
        <v>=7</v>
      </c>
      <c r="T202" s="1" t="str">
        <f t="shared" si="135"/>
        <v>=7</v>
      </c>
      <c r="U202" s="1" t="str">
        <f t="shared" si="135"/>
        <v>=7</v>
      </c>
      <c r="V202" s="1" t="str">
        <f t="shared" si="135"/>
        <v>=7</v>
      </c>
      <c r="W202" s="1" t="str">
        <f t="shared" si="135"/>
        <v>=7</v>
      </c>
      <c r="X202" s="1" t="str">
        <f t="shared" si="135"/>
        <v>=7</v>
      </c>
      <c r="Y202" s="1" t="str">
        <f t="shared" si="135"/>
        <v>=7</v>
      </c>
      <c r="Z202" s="1" t="str">
        <f t="shared" si="135"/>
        <v>=7</v>
      </c>
      <c r="AA202" s="1" t="str">
        <f t="shared" si="135"/>
        <v>=1</v>
      </c>
      <c r="AB202" s="1" t="str">
        <f t="shared" si="135"/>
        <v>=1</v>
      </c>
      <c r="AC202" s="1" t="str">
        <f t="shared" si="135"/>
        <v>=7</v>
      </c>
      <c r="AD202" s="1" t="str">
        <f t="shared" si="135"/>
        <v>=7</v>
      </c>
      <c r="AE202" s="1" t="str">
        <f t="shared" si="135"/>
        <v>=7</v>
      </c>
      <c r="AF202" s="1" t="str">
        <f t="shared" si="135"/>
        <v>=7</v>
      </c>
      <c r="AG202" s="1" t="str">
        <f t="shared" si="135"/>
        <v>=7</v>
      </c>
      <c r="AH202" s="1" t="str">
        <f t="shared" si="135"/>
        <v>=7</v>
      </c>
      <c r="AI202" s="1" t="str">
        <f t="shared" si="135"/>
        <v>=7</v>
      </c>
      <c r="AJ202" s="1" t="str">
        <f t="shared" si="135"/>
        <v>=7</v>
      </c>
      <c r="AK202" s="1" t="str">
        <f t="shared" si="135"/>
        <v>=7</v>
      </c>
      <c r="AL202" s="1" t="str">
        <f t="shared" si="135"/>
        <v>=7</v>
      </c>
      <c r="AM202" s="1" t="str">
        <f t="shared" si="135"/>
        <v>=1</v>
      </c>
      <c r="AN202" s="1" t="str">
        <f t="shared" si="135"/>
        <v>=7</v>
      </c>
      <c r="AO202" s="1" t="str">
        <f t="shared" si="135"/>
        <v>=7</v>
      </c>
      <c r="AP202" s="1" t="str">
        <f t="shared" si="135"/>
        <v>=40</v>
      </c>
      <c r="AQ202" s="1" t="str">
        <f t="shared" si="135"/>
        <v>=40</v>
      </c>
      <c r="AR202" s="1" t="str">
        <f t="shared" si="135"/>
        <v>=1</v>
      </c>
      <c r="AS202" s="1" t="str">
        <f t="shared" si="135"/>
        <v>=7</v>
      </c>
      <c r="AT202" s="1" t="str">
        <f t="shared" si="135"/>
        <v>=7</v>
      </c>
      <c r="AU202" s="1" t="str">
        <f t="shared" si="135"/>
        <v>=7</v>
      </c>
    </row>
    <row r="203" spans="1:47">
      <c r="A203" s="1" t="str">
        <f t="shared" si="129"/>
        <v>   1.1.4) Level of technology employed</v>
      </c>
      <c r="B203" s="1" t="str">
        <f t="shared" ref="B203:AU203" si="136">IF(B138&gt;1,"=","")&amp;B73</f>
        <v>=1</v>
      </c>
      <c r="C203" s="1" t="str">
        <f t="shared" si="136"/>
        <v>=1</v>
      </c>
      <c r="D203" s="1" t="str">
        <f t="shared" si="136"/>
        <v>=27</v>
      </c>
      <c r="E203" s="1" t="str">
        <f t="shared" si="136"/>
        <v>=1</v>
      </c>
      <c r="F203" s="1" t="str">
        <f t="shared" si="136"/>
        <v>=27</v>
      </c>
      <c r="G203" s="1" t="str">
        <f t="shared" si="136"/>
        <v>=1</v>
      </c>
      <c r="H203" s="1" t="str">
        <f t="shared" si="136"/>
        <v>=27</v>
      </c>
      <c r="I203" s="1" t="str">
        <f t="shared" si="136"/>
        <v>=1</v>
      </c>
      <c r="J203" s="1" t="str">
        <f t="shared" si="136"/>
        <v>=27</v>
      </c>
      <c r="K203" s="1" t="str">
        <f t="shared" si="136"/>
        <v>=27</v>
      </c>
      <c r="L203" s="1" t="str">
        <f t="shared" si="136"/>
        <v>=1</v>
      </c>
      <c r="M203" s="1" t="str">
        <f t="shared" si="136"/>
        <v>=27</v>
      </c>
      <c r="N203" s="1" t="str">
        <f t="shared" si="136"/>
        <v>=1</v>
      </c>
      <c r="O203" s="1" t="str">
        <f t="shared" si="136"/>
        <v>=27</v>
      </c>
      <c r="P203" s="1" t="str">
        <f t="shared" si="136"/>
        <v>=27</v>
      </c>
      <c r="Q203" s="1" t="str">
        <f t="shared" si="136"/>
        <v>=27</v>
      </c>
      <c r="R203" s="1" t="str">
        <f t="shared" si="136"/>
        <v>=27</v>
      </c>
      <c r="S203" s="1" t="str">
        <f t="shared" si="136"/>
        <v>=27</v>
      </c>
      <c r="T203" s="1" t="str">
        <f t="shared" si="136"/>
        <v>=1</v>
      </c>
      <c r="U203" s="1" t="str">
        <f t="shared" si="136"/>
        <v>=1</v>
      </c>
      <c r="V203" s="1" t="str">
        <f t="shared" si="136"/>
        <v>=1</v>
      </c>
      <c r="W203" s="1" t="str">
        <f t="shared" si="136"/>
        <v>=1</v>
      </c>
      <c r="X203" s="1" t="str">
        <f t="shared" si="136"/>
        <v>=27</v>
      </c>
      <c r="Y203" s="1" t="str">
        <f t="shared" si="136"/>
        <v>=1</v>
      </c>
      <c r="Z203" s="1" t="str">
        <f t="shared" si="136"/>
        <v>=27</v>
      </c>
      <c r="AA203" s="1" t="str">
        <f t="shared" si="136"/>
        <v>=27</v>
      </c>
      <c r="AB203" s="1" t="str">
        <f t="shared" si="136"/>
        <v>=1</v>
      </c>
      <c r="AC203" s="1" t="str">
        <f t="shared" si="136"/>
        <v>=1</v>
      </c>
      <c r="AD203" s="1" t="str">
        <f t="shared" si="136"/>
        <v>=1</v>
      </c>
      <c r="AE203" s="1" t="str">
        <f t="shared" si="136"/>
        <v>=27</v>
      </c>
      <c r="AF203" s="1" t="str">
        <f t="shared" si="136"/>
        <v>=27</v>
      </c>
      <c r="AG203" s="1" t="str">
        <f t="shared" si="136"/>
        <v>=1</v>
      </c>
      <c r="AH203" s="1" t="str">
        <f t="shared" si="136"/>
        <v>=1</v>
      </c>
      <c r="AI203" s="1" t="str">
        <f t="shared" si="136"/>
        <v>=27</v>
      </c>
      <c r="AJ203" s="1" t="str">
        <f t="shared" si="136"/>
        <v>=27</v>
      </c>
      <c r="AK203" s="1" t="str">
        <f t="shared" si="136"/>
        <v>=1</v>
      </c>
      <c r="AL203" s="1" t="str">
        <f t="shared" si="136"/>
        <v>=27</v>
      </c>
      <c r="AM203" s="1" t="str">
        <f t="shared" si="136"/>
        <v>=1</v>
      </c>
      <c r="AN203" s="1" t="str">
        <f t="shared" si="136"/>
        <v>=1</v>
      </c>
      <c r="AO203" s="1" t="str">
        <f t="shared" si="136"/>
        <v>=1</v>
      </c>
      <c r="AP203" s="1" t="str">
        <f t="shared" si="136"/>
        <v>=1</v>
      </c>
      <c r="AQ203" s="1" t="str">
        <f t="shared" si="136"/>
        <v>46</v>
      </c>
      <c r="AR203" s="1" t="str">
        <f t="shared" si="136"/>
        <v>=1</v>
      </c>
      <c r="AS203" s="1" t="str">
        <f t="shared" si="136"/>
        <v>=1</v>
      </c>
      <c r="AT203" s="1" t="str">
        <f t="shared" si="136"/>
        <v>=1</v>
      </c>
      <c r="AU203" s="1" t="str">
        <f t="shared" si="136"/>
        <v>=1</v>
      </c>
    </row>
    <row r="204" spans="1:47">
      <c r="A204" s="1" t="str">
        <f t="shared" si="129"/>
        <v>   1.1.5) Dedicated cyber security teams</v>
      </c>
      <c r="B204" s="1" t="str">
        <f t="shared" ref="B204:AU204" si="137">IF(B139&gt;1,"=","")&amp;B74</f>
        <v>=1</v>
      </c>
      <c r="C204" s="1" t="str">
        <f t="shared" si="137"/>
        <v>=14</v>
      </c>
      <c r="D204" s="1" t="str">
        <f t="shared" si="137"/>
        <v>=14</v>
      </c>
      <c r="E204" s="1" t="str">
        <f t="shared" si="137"/>
        <v>=1</v>
      </c>
      <c r="F204" s="1" t="str">
        <f t="shared" si="137"/>
        <v>=14</v>
      </c>
      <c r="G204" s="1" t="str">
        <f t="shared" si="137"/>
        <v>=14</v>
      </c>
      <c r="H204" s="1" t="str">
        <f t="shared" si="137"/>
        <v>=14</v>
      </c>
      <c r="I204" s="1" t="str">
        <f t="shared" si="137"/>
        <v>=1</v>
      </c>
      <c r="J204" s="1" t="str">
        <f t="shared" si="137"/>
        <v>=14</v>
      </c>
      <c r="K204" s="1" t="str">
        <f t="shared" si="137"/>
        <v>=14</v>
      </c>
      <c r="L204" s="1" t="str">
        <f t="shared" si="137"/>
        <v>=14</v>
      </c>
      <c r="M204" s="1" t="str">
        <f t="shared" si="137"/>
        <v>=14</v>
      </c>
      <c r="N204" s="1" t="str">
        <f t="shared" si="137"/>
        <v>=1</v>
      </c>
      <c r="O204" s="1" t="str">
        <f t="shared" si="137"/>
        <v>=14</v>
      </c>
      <c r="P204" s="1" t="str">
        <f t="shared" si="137"/>
        <v>=14</v>
      </c>
      <c r="Q204" s="1" t="str">
        <f t="shared" si="137"/>
        <v>=14</v>
      </c>
      <c r="R204" s="1" t="str">
        <f t="shared" si="137"/>
        <v>=14</v>
      </c>
      <c r="S204" s="1" t="str">
        <f t="shared" si="137"/>
        <v>=14</v>
      </c>
      <c r="T204" s="1" t="str">
        <f t="shared" si="137"/>
        <v>=14</v>
      </c>
      <c r="U204" s="1" t="str">
        <f t="shared" si="137"/>
        <v>=1</v>
      </c>
      <c r="V204" s="1" t="str">
        <f t="shared" si="137"/>
        <v>=14</v>
      </c>
      <c r="W204" s="1" t="str">
        <f t="shared" si="137"/>
        <v>=14</v>
      </c>
      <c r="X204" s="1" t="str">
        <f t="shared" si="137"/>
        <v>=14</v>
      </c>
      <c r="Y204" s="1" t="str">
        <f t="shared" si="137"/>
        <v>=1</v>
      </c>
      <c r="Z204" s="1" t="str">
        <f t="shared" si="137"/>
        <v>=14</v>
      </c>
      <c r="AA204" s="1" t="str">
        <f t="shared" si="137"/>
        <v>=1</v>
      </c>
      <c r="AB204" s="1" t="str">
        <f t="shared" si="137"/>
        <v>=1</v>
      </c>
      <c r="AC204" s="1" t="str">
        <f t="shared" si="137"/>
        <v>=14</v>
      </c>
      <c r="AD204" s="1" t="str">
        <f t="shared" si="137"/>
        <v>=14</v>
      </c>
      <c r="AE204" s="1" t="str">
        <f t="shared" si="137"/>
        <v>=14</v>
      </c>
      <c r="AF204" s="1" t="str">
        <f t="shared" si="137"/>
        <v>=14</v>
      </c>
      <c r="AG204" s="1" t="str">
        <f t="shared" si="137"/>
        <v>=14</v>
      </c>
      <c r="AH204" s="1" t="str">
        <f t="shared" si="137"/>
        <v>=1</v>
      </c>
      <c r="AI204" s="1" t="str">
        <f t="shared" si="137"/>
        <v>=14</v>
      </c>
      <c r="AJ204" s="1" t="str">
        <f t="shared" si="137"/>
        <v>=14</v>
      </c>
      <c r="AK204" s="1" t="str">
        <f t="shared" si="137"/>
        <v>=14</v>
      </c>
      <c r="AL204" s="1" t="str">
        <f t="shared" si="137"/>
        <v>=14</v>
      </c>
      <c r="AM204" s="1" t="str">
        <f t="shared" si="137"/>
        <v>=1</v>
      </c>
      <c r="AN204" s="1" t="str">
        <f t="shared" si="137"/>
        <v>=14</v>
      </c>
      <c r="AO204" s="1" t="str">
        <f t="shared" si="137"/>
        <v>=1</v>
      </c>
      <c r="AP204" s="1" t="str">
        <f t="shared" si="137"/>
        <v>=14</v>
      </c>
      <c r="AQ204" s="1" t="str">
        <f t="shared" si="137"/>
        <v>=14</v>
      </c>
      <c r="AR204" s="1" t="str">
        <f t="shared" si="137"/>
        <v>=1</v>
      </c>
      <c r="AS204" s="1" t="str">
        <f t="shared" si="137"/>
        <v>=1</v>
      </c>
      <c r="AT204" s="1" t="str">
        <f t="shared" si="137"/>
        <v>=14</v>
      </c>
      <c r="AU204" s="1" t="str">
        <f t="shared" si="137"/>
        <v>=14</v>
      </c>
    </row>
    <row r="205" spans="1:47">
      <c r="A205" s="1" t="str">
        <f t="shared" si="129"/>
        <v>  1.2) Digital security (Outputs)</v>
      </c>
      <c r="B205" s="1" t="str">
        <f t="shared" ref="B205:AU205" si="138">IF(B140&gt;1,"=","")&amp;B75</f>
        <v>9</v>
      </c>
      <c r="C205" s="1" t="str">
        <f t="shared" si="138"/>
        <v>3</v>
      </c>
      <c r="D205" s="1" t="str">
        <f t="shared" si="138"/>
        <v>44</v>
      </c>
      <c r="E205" s="1" t="str">
        <f t="shared" si="138"/>
        <v>31</v>
      </c>
      <c r="F205" s="1" t="str">
        <f t="shared" si="138"/>
        <v>34</v>
      </c>
      <c r="G205" s="1" t="str">
        <f t="shared" si="138"/>
        <v>14</v>
      </c>
      <c r="H205" s="1" t="str">
        <f t="shared" si="138"/>
        <v>6</v>
      </c>
      <c r="I205" s="1" t="str">
        <f t="shared" si="138"/>
        <v>22</v>
      </c>
      <c r="J205" s="1" t="str">
        <f t="shared" si="138"/>
        <v>40</v>
      </c>
      <c r="K205" s="1" t="str">
        <f t="shared" si="138"/>
        <v>11</v>
      </c>
      <c r="L205" s="1" t="str">
        <f t="shared" si="138"/>
        <v>28</v>
      </c>
      <c r="M205" s="1" t="str">
        <f t="shared" si="138"/>
        <v>43</v>
      </c>
      <c r="N205" s="1" t="str">
        <f t="shared" si="138"/>
        <v>13</v>
      </c>
      <c r="O205" s="1" t="str">
        <f t="shared" si="138"/>
        <v>38</v>
      </c>
      <c r="P205" s="1" t="str">
        <f t="shared" si="138"/>
        <v>45</v>
      </c>
      <c r="Q205" s="1" t="str">
        <f t="shared" si="138"/>
        <v>30</v>
      </c>
      <c r="R205" s="1" t="str">
        <f t="shared" si="138"/>
        <v>15</v>
      </c>
      <c r="S205" s="1" t="str">
        <f t="shared" si="138"/>
        <v>39</v>
      </c>
      <c r="T205" s="1" t="str">
        <f t="shared" si="138"/>
        <v>12</v>
      </c>
      <c r="U205" s="1" t="str">
        <f t="shared" si="138"/>
        <v>=16</v>
      </c>
      <c r="V205" s="1" t="str">
        <f t="shared" si="138"/>
        <v>29</v>
      </c>
      <c r="W205" s="1" t="str">
        <f t="shared" si="138"/>
        <v>24</v>
      </c>
      <c r="X205" s="1" t="str">
        <f t="shared" si="138"/>
        <v>27</v>
      </c>
      <c r="Y205" s="1" t="str">
        <f t="shared" si="138"/>
        <v>21</v>
      </c>
      <c r="Z205" s="1" t="str">
        <f t="shared" si="138"/>
        <v>41</v>
      </c>
      <c r="AA205" s="1" t="str">
        <f t="shared" si="138"/>
        <v>42</v>
      </c>
      <c r="AB205" s="1" t="str">
        <f t="shared" si="138"/>
        <v>18</v>
      </c>
      <c r="AC205" s="1" t="str">
        <f t="shared" si="138"/>
        <v>2</v>
      </c>
      <c r="AD205" s="1" t="str">
        <f t="shared" si="138"/>
        <v>26</v>
      </c>
      <c r="AE205" s="1" t="str">
        <f t="shared" si="138"/>
        <v>35</v>
      </c>
      <c r="AF205" s="1" t="str">
        <f t="shared" si="138"/>
        <v>37</v>
      </c>
      <c r="AG205" s="1" t="str">
        <f t="shared" si="138"/>
        <v>25</v>
      </c>
      <c r="AH205" s="1" t="str">
        <f t="shared" si="138"/>
        <v>20</v>
      </c>
      <c r="AI205" s="1" t="str">
        <f t="shared" si="138"/>
        <v>7</v>
      </c>
      <c r="AJ205" s="1" t="str">
        <f t="shared" si="138"/>
        <v>33</v>
      </c>
      <c r="AK205" s="1" t="str">
        <f t="shared" si="138"/>
        <v>46</v>
      </c>
      <c r="AL205" s="1" t="str">
        <f t="shared" si="138"/>
        <v>36</v>
      </c>
      <c r="AM205" s="1" t="str">
        <f t="shared" si="138"/>
        <v>4</v>
      </c>
      <c r="AN205" s="1" t="str">
        <f t="shared" si="138"/>
        <v>8</v>
      </c>
      <c r="AO205" s="1" t="str">
        <f t="shared" si="138"/>
        <v>23</v>
      </c>
      <c r="AP205" s="1" t="str">
        <f t="shared" si="138"/>
        <v>5</v>
      </c>
      <c r="AQ205" s="1" t="str">
        <f t="shared" si="138"/>
        <v>32</v>
      </c>
      <c r="AR205" s="1" t="str">
        <f t="shared" si="138"/>
        <v>1</v>
      </c>
      <c r="AS205" s="1" t="str">
        <f t="shared" si="138"/>
        <v>19</v>
      </c>
      <c r="AT205" s="1" t="str">
        <f t="shared" si="138"/>
        <v>=16</v>
      </c>
      <c r="AU205" s="1" t="str">
        <f t="shared" si="138"/>
        <v>10</v>
      </c>
    </row>
    <row r="206" spans="1:47">
      <c r="A206" s="1" t="str">
        <f t="shared" si="129"/>
        <v>   1.2.1) Frequency of identity theft</v>
      </c>
      <c r="B206" s="1" t="str">
        <f t="shared" ref="B206:AU206" si="139">IF(B141&gt;1,"=","")&amp;B76</f>
        <v>=6</v>
      </c>
      <c r="C206" s="1" t="str">
        <f t="shared" si="139"/>
        <v>5</v>
      </c>
      <c r="D206" s="1" t="str">
        <f t="shared" si="139"/>
        <v>=6</v>
      </c>
      <c r="E206" s="1" t="str">
        <f t="shared" si="139"/>
        <v>=33</v>
      </c>
      <c r="F206" s="1" t="str">
        <f t="shared" si="139"/>
        <v>=44</v>
      </c>
      <c r="G206" s="1" t="str">
        <f t="shared" si="139"/>
        <v>19</v>
      </c>
      <c r="H206" s="1" t="str">
        <f t="shared" si="139"/>
        <v>=6</v>
      </c>
      <c r="I206" s="1" t="str">
        <f t="shared" si="139"/>
        <v>=22</v>
      </c>
      <c r="J206" s="1" t="str">
        <f t="shared" si="139"/>
        <v>=41</v>
      </c>
      <c r="K206" s="1" t="str">
        <f t="shared" si="139"/>
        <v>=6</v>
      </c>
      <c r="L206" s="1" t="str">
        <f t="shared" si="139"/>
        <v>=28</v>
      </c>
      <c r="M206" s="1" t="str">
        <f t="shared" si="139"/>
        <v>=6</v>
      </c>
      <c r="N206" s="1" t="str">
        <f t="shared" si="139"/>
        <v>=6</v>
      </c>
      <c r="O206" s="1" t="str">
        <f t="shared" si="139"/>
        <v>=28</v>
      </c>
      <c r="P206" s="1" t="str">
        <f t="shared" si="139"/>
        <v>40</v>
      </c>
      <c r="Q206" s="1" t="str">
        <f t="shared" si="139"/>
        <v>=41</v>
      </c>
      <c r="R206" s="1" t="str">
        <f t="shared" si="139"/>
        <v>=6</v>
      </c>
      <c r="S206" s="1" t="str">
        <f t="shared" si="139"/>
        <v>4</v>
      </c>
      <c r="T206" s="1" t="str">
        <f t="shared" si="139"/>
        <v>21</v>
      </c>
      <c r="U206" s="1" t="str">
        <f t="shared" si="139"/>
        <v>=22</v>
      </c>
      <c r="V206" s="1" t="str">
        <f t="shared" si="139"/>
        <v>=33</v>
      </c>
      <c r="W206" s="1" t="str">
        <f t="shared" si="139"/>
        <v>=28</v>
      </c>
      <c r="X206" s="1" t="str">
        <f t="shared" si="139"/>
        <v>=33</v>
      </c>
      <c r="Y206" s="1" t="str">
        <f t="shared" si="139"/>
        <v>=1</v>
      </c>
      <c r="Z206" s="1" t="str">
        <f t="shared" si="139"/>
        <v>=36</v>
      </c>
      <c r="AA206" s="1" t="str">
        <f t="shared" si="139"/>
        <v>=41</v>
      </c>
      <c r="AB206" s="1" t="str">
        <f t="shared" si="139"/>
        <v>=22</v>
      </c>
      <c r="AC206" s="1" t="str">
        <f t="shared" si="139"/>
        <v>=15</v>
      </c>
      <c r="AD206" s="1" t="str">
        <f t="shared" si="139"/>
        <v>=15</v>
      </c>
      <c r="AE206" s="1" t="str">
        <f t="shared" si="139"/>
        <v>=36</v>
      </c>
      <c r="AF206" s="1" t="str">
        <f t="shared" si="139"/>
        <v>=28</v>
      </c>
      <c r="AG206" s="1" t="str">
        <f t="shared" si="139"/>
        <v>=1</v>
      </c>
      <c r="AH206" s="1" t="str">
        <f t="shared" si="139"/>
        <v>=22</v>
      </c>
      <c r="AI206" s="1" t="str">
        <f t="shared" si="139"/>
        <v>=6</v>
      </c>
      <c r="AJ206" s="1" t="str">
        <f t="shared" si="139"/>
        <v>=36</v>
      </c>
      <c r="AK206" s="1" t="str">
        <f t="shared" si="139"/>
        <v>46</v>
      </c>
      <c r="AL206" s="1" t="str">
        <f t="shared" si="139"/>
        <v>=44</v>
      </c>
      <c r="AM206" s="1" t="str">
        <f t="shared" si="139"/>
        <v>=36</v>
      </c>
      <c r="AN206" s="1" t="str">
        <f t="shared" si="139"/>
        <v>20</v>
      </c>
      <c r="AO206" s="1" t="str">
        <f t="shared" si="139"/>
        <v>=28</v>
      </c>
      <c r="AP206" s="1" t="str">
        <f t="shared" si="139"/>
        <v>=6</v>
      </c>
      <c r="AQ206" s="1" t="str">
        <f t="shared" si="139"/>
        <v>=1</v>
      </c>
      <c r="AR206" s="1" t="str">
        <f t="shared" si="139"/>
        <v>=15</v>
      </c>
      <c r="AS206" s="1" t="str">
        <f t="shared" si="139"/>
        <v>=22</v>
      </c>
      <c r="AT206" s="1" t="str">
        <f t="shared" si="139"/>
        <v>=22</v>
      </c>
      <c r="AU206" s="1" t="str">
        <f t="shared" si="139"/>
        <v>=15</v>
      </c>
    </row>
    <row r="207" spans="1:47">
      <c r="A207" s="1" t="str">
        <f t="shared" si="129"/>
        <v>   1.2.2) Percentage of computers infected</v>
      </c>
      <c r="B207" s="1" t="str">
        <f t="shared" ref="B207:AU207" si="140">IF(B142&gt;1,"=","")&amp;B77</f>
        <v>=10</v>
      </c>
      <c r="C207" s="1" t="str">
        <f t="shared" si="140"/>
        <v>=4</v>
      </c>
      <c r="D207" s="1" t="str">
        <f t="shared" si="140"/>
        <v>=38</v>
      </c>
      <c r="E207" s="1" t="str">
        <f t="shared" si="140"/>
        <v>=38</v>
      </c>
      <c r="F207" s="1" t="str">
        <f t="shared" si="140"/>
        <v>=10</v>
      </c>
      <c r="G207" s="1" t="str">
        <f t="shared" si="140"/>
        <v>=10</v>
      </c>
      <c r="H207" s="1" t="str">
        <f t="shared" si="140"/>
        <v>=4</v>
      </c>
      <c r="I207" s="1" t="str">
        <f t="shared" si="140"/>
        <v>=10</v>
      </c>
      <c r="J207" s="1" t="str">
        <f t="shared" si="140"/>
        <v>=10</v>
      </c>
      <c r="K207" s="1" t="str">
        <f t="shared" si="140"/>
        <v>=10</v>
      </c>
      <c r="L207" s="1" t="str">
        <f t="shared" si="140"/>
        <v>=38</v>
      </c>
      <c r="M207" s="1" t="str">
        <f t="shared" si="140"/>
        <v>=45</v>
      </c>
      <c r="N207" s="1" t="str">
        <f t="shared" si="140"/>
        <v>=10</v>
      </c>
      <c r="O207" s="1" t="str">
        <f t="shared" si="140"/>
        <v>=38</v>
      </c>
      <c r="P207" s="1" t="str">
        <f t="shared" si="140"/>
        <v>=10</v>
      </c>
      <c r="Q207" s="1" t="str">
        <f t="shared" si="140"/>
        <v>=4</v>
      </c>
      <c r="R207" s="1" t="str">
        <f t="shared" si="140"/>
        <v>=10</v>
      </c>
      <c r="S207" s="1" t="str">
        <f t="shared" si="140"/>
        <v>=10</v>
      </c>
      <c r="T207" s="1" t="str">
        <f t="shared" si="140"/>
        <v>=10</v>
      </c>
      <c r="U207" s="1" t="str">
        <f t="shared" si="140"/>
        <v>=10</v>
      </c>
      <c r="V207" s="1" t="str">
        <f t="shared" si="140"/>
        <v>=38</v>
      </c>
      <c r="W207" s="1" t="str">
        <f t="shared" si="140"/>
        <v>=10</v>
      </c>
      <c r="X207" s="1" t="str">
        <f t="shared" si="140"/>
        <v>=4</v>
      </c>
      <c r="Y207" s="1" t="str">
        <f t="shared" si="140"/>
        <v>=10</v>
      </c>
      <c r="Z207" s="1" t="str">
        <f t="shared" si="140"/>
        <v>=45</v>
      </c>
      <c r="AA207" s="1" t="str">
        <f t="shared" si="140"/>
        <v>=10</v>
      </c>
      <c r="AB207" s="1" t="str">
        <f t="shared" si="140"/>
        <v>=10</v>
      </c>
      <c r="AC207" s="1" t="str">
        <f t="shared" si="140"/>
        <v>=1</v>
      </c>
      <c r="AD207" s="1" t="str">
        <f t="shared" si="140"/>
        <v>=38</v>
      </c>
      <c r="AE207" s="1" t="str">
        <f t="shared" si="140"/>
        <v>=10</v>
      </c>
      <c r="AF207" s="1" t="str">
        <f t="shared" si="140"/>
        <v>=38</v>
      </c>
      <c r="AG207" s="1" t="str">
        <f t="shared" si="140"/>
        <v>=10</v>
      </c>
      <c r="AH207" s="1" t="str">
        <f t="shared" si="140"/>
        <v>=10</v>
      </c>
      <c r="AI207" s="1" t="str">
        <f t="shared" si="140"/>
        <v>=4</v>
      </c>
      <c r="AJ207" s="1" t="str">
        <f t="shared" si="140"/>
        <v>=10</v>
      </c>
      <c r="AK207" s="1" t="str">
        <f t="shared" si="140"/>
        <v>=10</v>
      </c>
      <c r="AL207" s="1" t="str">
        <f t="shared" si="140"/>
        <v>=10</v>
      </c>
      <c r="AM207" s="1" t="str">
        <f t="shared" si="140"/>
        <v>=1</v>
      </c>
      <c r="AN207" s="1" t="str">
        <f t="shared" si="140"/>
        <v>=10</v>
      </c>
      <c r="AO207" s="1" t="str">
        <f t="shared" si="140"/>
        <v>=10</v>
      </c>
      <c r="AP207" s="1" t="str">
        <f t="shared" si="140"/>
        <v>=4</v>
      </c>
      <c r="AQ207" s="1" t="str">
        <f t="shared" si="140"/>
        <v>=10</v>
      </c>
      <c r="AR207" s="1" t="str">
        <f t="shared" si="140"/>
        <v>=1</v>
      </c>
      <c r="AS207" s="1" t="str">
        <f t="shared" si="140"/>
        <v>=10</v>
      </c>
      <c r="AT207" s="1" t="str">
        <f t="shared" si="140"/>
        <v>=10</v>
      </c>
      <c r="AU207" s="1" t="str">
        <f t="shared" si="140"/>
        <v>=10</v>
      </c>
    </row>
    <row r="208" spans="1:47">
      <c r="A208" s="1" t="str">
        <f t="shared" si="129"/>
        <v>   1.2.3) Percentage with Internet access</v>
      </c>
      <c r="B208" s="1" t="str">
        <f t="shared" ref="B208:AU208" si="141">IF(B143&gt;1,"=","")&amp;B78</f>
        <v>=4</v>
      </c>
      <c r="C208" s="1" t="str">
        <f t="shared" si="141"/>
        <v>2</v>
      </c>
      <c r="D208" s="1" t="str">
        <f t="shared" si="141"/>
        <v>45</v>
      </c>
      <c r="E208" s="1" t="str">
        <f t="shared" si="141"/>
        <v>23</v>
      </c>
      <c r="F208" s="1" t="str">
        <f t="shared" si="141"/>
        <v>27</v>
      </c>
      <c r="G208" s="1" t="str">
        <f t="shared" si="141"/>
        <v>13</v>
      </c>
      <c r="H208" s="1" t="str">
        <f t="shared" si="141"/>
        <v>30</v>
      </c>
      <c r="I208" s="1" t="str">
        <f t="shared" si="141"/>
        <v>22</v>
      </c>
      <c r="J208" s="1" t="str">
        <f t="shared" si="141"/>
        <v>38</v>
      </c>
      <c r="K208" s="1" t="str">
        <f t="shared" si="141"/>
        <v>=14</v>
      </c>
      <c r="L208" s="1" t="str">
        <f t="shared" si="141"/>
        <v>10</v>
      </c>
      <c r="M208" s="1" t="str">
        <f t="shared" si="141"/>
        <v>37</v>
      </c>
      <c r="N208" s="1" t="str">
        <f t="shared" si="141"/>
        <v>18</v>
      </c>
      <c r="O208" s="1" t="str">
        <f t="shared" si="141"/>
        <v>42</v>
      </c>
      <c r="P208" s="1" t="str">
        <f t="shared" si="141"/>
        <v>43</v>
      </c>
      <c r="Q208" s="1" t="str">
        <f t="shared" si="141"/>
        <v>35</v>
      </c>
      <c r="R208" s="1" t="str">
        <f t="shared" si="141"/>
        <v>=24</v>
      </c>
      <c r="S208" s="1" t="str">
        <f t="shared" si="141"/>
        <v>46</v>
      </c>
      <c r="T208" s="1" t="str">
        <f t="shared" si="141"/>
        <v>3</v>
      </c>
      <c r="U208" s="1" t="str">
        <f t="shared" si="141"/>
        <v>=8</v>
      </c>
      <c r="V208" s="1" t="str">
        <f t="shared" si="141"/>
        <v>19</v>
      </c>
      <c r="W208" s="1" t="str">
        <f t="shared" si="141"/>
        <v>21</v>
      </c>
      <c r="X208" s="1" t="str">
        <f t="shared" si="141"/>
        <v>36</v>
      </c>
      <c r="Y208" s="1" t="str">
        <f t="shared" si="141"/>
        <v>32</v>
      </c>
      <c r="Z208" s="1" t="str">
        <f t="shared" si="141"/>
        <v>=24</v>
      </c>
      <c r="AA208" s="1" t="str">
        <f t="shared" si="141"/>
        <v>=40</v>
      </c>
      <c r="AB208" s="1" t="str">
        <f t="shared" si="141"/>
        <v>12</v>
      </c>
      <c r="AC208" s="1" t="str">
        <f t="shared" si="141"/>
        <v>7</v>
      </c>
      <c r="AD208" s="1" t="str">
        <f t="shared" si="141"/>
        <v>=14</v>
      </c>
      <c r="AE208" s="1" t="str">
        <f t="shared" si="141"/>
        <v>=40</v>
      </c>
      <c r="AF208" s="1" t="str">
        <f t="shared" si="141"/>
        <v>34</v>
      </c>
      <c r="AG208" s="1" t="str">
        <f t="shared" si="141"/>
        <v>33</v>
      </c>
      <c r="AH208" s="1" t="str">
        <f t="shared" si="141"/>
        <v>17</v>
      </c>
      <c r="AI208" s="1" t="str">
        <f t="shared" si="141"/>
        <v>31</v>
      </c>
      <c r="AJ208" s="1" t="str">
        <f t="shared" si="141"/>
        <v>39</v>
      </c>
      <c r="AK208" s="1" t="str">
        <f t="shared" si="141"/>
        <v>11</v>
      </c>
      <c r="AL208" s="1" t="str">
        <f t="shared" si="141"/>
        <v>29</v>
      </c>
      <c r="AM208" s="1" t="str">
        <f t="shared" si="141"/>
        <v>26</v>
      </c>
      <c r="AN208" s="1" t="str">
        <f t="shared" si="141"/>
        <v>1</v>
      </c>
      <c r="AO208" s="1" t="str">
        <f t="shared" si="141"/>
        <v>20</v>
      </c>
      <c r="AP208" s="1" t="str">
        <f t="shared" si="141"/>
        <v>28</v>
      </c>
      <c r="AQ208" s="1" t="str">
        <f t="shared" si="141"/>
        <v>44</v>
      </c>
      <c r="AR208" s="1" t="str">
        <f t="shared" si="141"/>
        <v>6</v>
      </c>
      <c r="AS208" s="1" t="str">
        <f t="shared" si="141"/>
        <v>16</v>
      </c>
      <c r="AT208" s="1" t="str">
        <f t="shared" si="141"/>
        <v>=8</v>
      </c>
      <c r="AU208" s="1" t="str">
        <f t="shared" si="141"/>
        <v>=4</v>
      </c>
    </row>
    <row r="209" spans="1:47">
      <c r="A209" s="1" t="str">
        <f t="shared" si="129"/>
        <v> 2) HEALTH SECURITY</v>
      </c>
      <c r="B209" s="1" t="str">
        <f t="shared" ref="B209:AU209" si="142">IF(B144&gt;1,"=","")&amp;B79</f>
        <v>42</v>
      </c>
      <c r="C209" s="1" t="str">
        <f t="shared" si="142"/>
        <v>13</v>
      </c>
      <c r="D209" s="1" t="str">
        <f t="shared" si="142"/>
        <v>32</v>
      </c>
      <c r="E209" s="1" t="str">
        <f t="shared" si="142"/>
        <v>10</v>
      </c>
      <c r="F209" s="1" t="str">
        <f t="shared" si="142"/>
        <v>26</v>
      </c>
      <c r="G209" s="1" t="str">
        <f t="shared" si="142"/>
        <v>4</v>
      </c>
      <c r="H209" s="1" t="str">
        <f t="shared" si="142"/>
        <v>27</v>
      </c>
      <c r="I209" s="1" t="str">
        <f t="shared" si="142"/>
        <v>21</v>
      </c>
      <c r="J209" s="1" t="str">
        <f t="shared" si="142"/>
        <v>37</v>
      </c>
      <c r="K209" s="1" t="str">
        <f t="shared" si="142"/>
        <v>39</v>
      </c>
      <c r="L209" s="1" t="str">
        <f t="shared" si="142"/>
        <v>6</v>
      </c>
      <c r="M209" s="1" t="str">
        <f t="shared" si="142"/>
        <v>44</v>
      </c>
      <c r="N209" s="1" t="str">
        <f t="shared" si="142"/>
        <v>29</v>
      </c>
      <c r="O209" s="1" t="str">
        <f t="shared" si="142"/>
        <v>43</v>
      </c>
      <c r="P209" s="1" t="str">
        <f t="shared" si="142"/>
        <v>38</v>
      </c>
      <c r="Q209" s="1" t="str">
        <f t="shared" si="142"/>
        <v>41</v>
      </c>
      <c r="R209" s="1" t="str">
        <f t="shared" si="142"/>
        <v>35</v>
      </c>
      <c r="S209" s="1" t="str">
        <f t="shared" si="142"/>
        <v>36</v>
      </c>
      <c r="T209" s="1" t="str">
        <f t="shared" si="142"/>
        <v>19</v>
      </c>
      <c r="U209" s="1" t="str">
        <f t="shared" si="142"/>
        <v>23</v>
      </c>
      <c r="V209" s="1" t="str">
        <f t="shared" si="142"/>
        <v>11</v>
      </c>
      <c r="W209" s="1" t="str">
        <f t="shared" si="142"/>
        <v>14</v>
      </c>
      <c r="X209" s="1" t="str">
        <f t="shared" si="142"/>
        <v>31</v>
      </c>
      <c r="Y209" s="1" t="str">
        <f t="shared" si="142"/>
        <v>25</v>
      </c>
      <c r="Z209" s="1" t="str">
        <f t="shared" si="142"/>
        <v>22</v>
      </c>
      <c r="AA209" s="1" t="str">
        <f t="shared" si="142"/>
        <v>46</v>
      </c>
      <c r="AB209" s="1" t="str">
        <f t="shared" si="142"/>
        <v>3</v>
      </c>
      <c r="AC209" s="1" t="str">
        <f t="shared" si="142"/>
        <v>7</v>
      </c>
      <c r="AD209" s="1" t="str">
        <f t="shared" si="142"/>
        <v>8</v>
      </c>
      <c r="AE209" s="1" t="str">
        <f t="shared" si="142"/>
        <v>34</v>
      </c>
      <c r="AF209" s="1" t="str">
        <f t="shared" si="142"/>
        <v>40</v>
      </c>
      <c r="AG209" s="1" t="str">
        <f t="shared" si="142"/>
        <v>24</v>
      </c>
      <c r="AH209" s="1" t="str">
        <f t="shared" si="142"/>
        <v>16</v>
      </c>
      <c r="AI209" s="1" t="str">
        <f t="shared" si="142"/>
        <v>28</v>
      </c>
      <c r="AJ209" s="1" t="str">
        <f t="shared" si="142"/>
        <v>33</v>
      </c>
      <c r="AK209" s="1" t="str">
        <f t="shared" si="142"/>
        <v>15</v>
      </c>
      <c r="AL209" s="1" t="str">
        <f t="shared" si="142"/>
        <v>30</v>
      </c>
      <c r="AM209" s="1" t="str">
        <f t="shared" si="142"/>
        <v>12</v>
      </c>
      <c r="AN209" s="1" t="str">
        <f t="shared" si="142"/>
        <v>1</v>
      </c>
      <c r="AO209" s="1" t="str">
        <f t="shared" si="142"/>
        <v>18</v>
      </c>
      <c r="AP209" s="1" t="str">
        <f t="shared" si="142"/>
        <v>5</v>
      </c>
      <c r="AQ209" s="1" t="str">
        <f t="shared" si="142"/>
        <v>45</v>
      </c>
      <c r="AR209" s="1" t="str">
        <f t="shared" si="142"/>
        <v>9</v>
      </c>
      <c r="AS209" s="1" t="str">
        <f t="shared" si="142"/>
        <v>20</v>
      </c>
      <c r="AT209" s="1" t="str">
        <f t="shared" si="142"/>
        <v>17</v>
      </c>
      <c r="AU209" s="1" t="str">
        <f t="shared" si="142"/>
        <v>2</v>
      </c>
    </row>
    <row r="210" spans="1:47">
      <c r="A210" s="1" t="str">
        <f t="shared" si="129"/>
        <v>  2.1) Health security (Inputs)</v>
      </c>
      <c r="B210" s="1" t="str">
        <f t="shared" ref="B210:AU210" si="143">IF(B145&gt;1,"=","")&amp;B80</f>
        <v>35</v>
      </c>
      <c r="C210" s="1" t="str">
        <f t="shared" si="143"/>
        <v>9</v>
      </c>
      <c r="D210" s="1" t="str">
        <f t="shared" si="143"/>
        <v>29</v>
      </c>
      <c r="E210" s="1" t="str">
        <f t="shared" si="143"/>
        <v>13</v>
      </c>
      <c r="F210" s="1" t="str">
        <f t="shared" si="143"/>
        <v>26</v>
      </c>
      <c r="G210" s="1" t="str">
        <f t="shared" si="143"/>
        <v>4</v>
      </c>
      <c r="H210" s="1" t="str">
        <f t="shared" si="143"/>
        <v>23</v>
      </c>
      <c r="I210" s="1" t="str">
        <f t="shared" si="143"/>
        <v>21</v>
      </c>
      <c r="J210" s="1" t="str">
        <f t="shared" si="143"/>
        <v>33</v>
      </c>
      <c r="K210" s="1" t="str">
        <f t="shared" si="143"/>
        <v>37</v>
      </c>
      <c r="L210" s="1" t="str">
        <f t="shared" si="143"/>
        <v>10</v>
      </c>
      <c r="M210" s="1" t="str">
        <f t="shared" si="143"/>
        <v>45</v>
      </c>
      <c r="N210" s="1" t="str">
        <f t="shared" si="143"/>
        <v>15</v>
      </c>
      <c r="O210" s="1" t="str">
        <f t="shared" si="143"/>
        <v>46</v>
      </c>
      <c r="P210" s="1" t="str">
        <f t="shared" si="143"/>
        <v>42</v>
      </c>
      <c r="Q210" s="1" t="str">
        <f t="shared" si="143"/>
        <v>38</v>
      </c>
      <c r="R210" s="1" t="str">
        <f t="shared" si="143"/>
        <v>40</v>
      </c>
      <c r="S210" s="1" t="str">
        <f t="shared" si="143"/>
        <v>39</v>
      </c>
      <c r="T210" s="1" t="str">
        <f t="shared" si="143"/>
        <v>24</v>
      </c>
      <c r="U210" s="1" t="str">
        <f t="shared" si="143"/>
        <v>20</v>
      </c>
      <c r="V210" s="1" t="str">
        <f t="shared" si="143"/>
        <v>19</v>
      </c>
      <c r="W210" s="1" t="str">
        <f t="shared" si="143"/>
        <v>16</v>
      </c>
      <c r="X210" s="1" t="str">
        <f t="shared" si="143"/>
        <v>30</v>
      </c>
      <c r="Y210" s="1" t="str">
        <f t="shared" si="143"/>
        <v>32</v>
      </c>
      <c r="Z210" s="1" t="str">
        <f t="shared" si="143"/>
        <v>18</v>
      </c>
      <c r="AA210" s="1" t="str">
        <f t="shared" si="143"/>
        <v>43</v>
      </c>
      <c r="AB210" s="1" t="str">
        <f t="shared" si="143"/>
        <v>11</v>
      </c>
      <c r="AC210" s="1" t="str">
        <f t="shared" si="143"/>
        <v>3</v>
      </c>
      <c r="AD210" s="1" t="str">
        <f t="shared" si="143"/>
        <v>7</v>
      </c>
      <c r="AE210" s="1" t="str">
        <f t="shared" si="143"/>
        <v>=27</v>
      </c>
      <c r="AF210" s="1" t="str">
        <f t="shared" si="143"/>
        <v>44</v>
      </c>
      <c r="AG210" s="1" t="str">
        <f t="shared" si="143"/>
        <v>=27</v>
      </c>
      <c r="AH210" s="1" t="str">
        <f t="shared" si="143"/>
        <v>17</v>
      </c>
      <c r="AI210" s="1" t="str">
        <f t="shared" si="143"/>
        <v>36</v>
      </c>
      <c r="AJ210" s="1" t="str">
        <f t="shared" si="143"/>
        <v>34</v>
      </c>
      <c r="AK210" s="1" t="str">
        <f t="shared" si="143"/>
        <v>12</v>
      </c>
      <c r="AL210" s="1" t="str">
        <f t="shared" si="143"/>
        <v>31</v>
      </c>
      <c r="AM210" s="1" t="str">
        <f t="shared" si="143"/>
        <v>14</v>
      </c>
      <c r="AN210" s="1" t="str">
        <f t="shared" si="143"/>
        <v>1</v>
      </c>
      <c r="AO210" s="1" t="str">
        <f t="shared" si="143"/>
        <v>22</v>
      </c>
      <c r="AP210" s="1" t="str">
        <f t="shared" si="143"/>
        <v>2</v>
      </c>
      <c r="AQ210" s="1" t="str">
        <f t="shared" si="143"/>
        <v>41</v>
      </c>
      <c r="AR210" s="1" t="str">
        <f t="shared" si="143"/>
        <v>5</v>
      </c>
      <c r="AS210" s="1" t="str">
        <f t="shared" si="143"/>
        <v>25</v>
      </c>
      <c r="AT210" s="1" t="str">
        <f t="shared" si="143"/>
        <v>6</v>
      </c>
      <c r="AU210" s="1" t="str">
        <f t="shared" si="143"/>
        <v>8</v>
      </c>
    </row>
    <row r="211" spans="1:47">
      <c r="A211" s="1" t="str">
        <f t="shared" si="129"/>
        <v>   2.1.1) Environmental policies</v>
      </c>
      <c r="B211" s="1" t="str">
        <f t="shared" ref="B211:AU211" si="144">IF(B146&gt;1,"=","")&amp;B81</f>
        <v>36</v>
      </c>
      <c r="C211" s="1" t="str">
        <f t="shared" si="144"/>
        <v>17</v>
      </c>
      <c r="D211" s="1" t="str">
        <f t="shared" si="144"/>
        <v>=13</v>
      </c>
      <c r="E211" s="1" t="str">
        <f t="shared" si="144"/>
        <v>=24</v>
      </c>
      <c r="F211" s="1" t="str">
        <f t="shared" si="144"/>
        <v>26</v>
      </c>
      <c r="G211" s="1" t="str">
        <f t="shared" si="144"/>
        <v>=1</v>
      </c>
      <c r="H211" s="1" t="str">
        <f t="shared" si="144"/>
        <v>30</v>
      </c>
      <c r="I211" s="1" t="str">
        <f t="shared" si="144"/>
        <v>=21</v>
      </c>
      <c r="J211" s="1" t="str">
        <f t="shared" si="144"/>
        <v>20</v>
      </c>
      <c r="K211" s="1" t="str">
        <f t="shared" si="144"/>
        <v>43</v>
      </c>
      <c r="L211" s="1" t="str">
        <f t="shared" si="144"/>
        <v>29</v>
      </c>
      <c r="M211" s="1" t="str">
        <f t="shared" si="144"/>
        <v>42</v>
      </c>
      <c r="N211" s="1" t="str">
        <f t="shared" si="144"/>
        <v>5</v>
      </c>
      <c r="O211" s="1" t="str">
        <f t="shared" si="144"/>
        <v>44</v>
      </c>
      <c r="P211" s="1" t="str">
        <f t="shared" si="144"/>
        <v>18</v>
      </c>
      <c r="Q211" s="1" t="str">
        <f t="shared" si="144"/>
        <v>=32</v>
      </c>
      <c r="R211" s="1" t="str">
        <f t="shared" si="144"/>
        <v>=45</v>
      </c>
      <c r="S211" s="1" t="str">
        <f t="shared" si="144"/>
        <v>38</v>
      </c>
      <c r="T211" s="1" t="str">
        <f t="shared" si="144"/>
        <v>28</v>
      </c>
      <c r="U211" s="1" t="str">
        <f t="shared" si="144"/>
        <v>=9</v>
      </c>
      <c r="V211" s="1" t="str">
        <f t="shared" si="144"/>
        <v>=24</v>
      </c>
      <c r="W211" s="1" t="str">
        <f t="shared" si="144"/>
        <v>27</v>
      </c>
      <c r="X211" s="1" t="str">
        <f t="shared" si="144"/>
        <v>11</v>
      </c>
      <c r="Y211" s="1" t="str">
        <f t="shared" si="144"/>
        <v>=40</v>
      </c>
      <c r="Z211" s="1" t="str">
        <f t="shared" si="144"/>
        <v>19</v>
      </c>
      <c r="AA211" s="1" t="str">
        <f t="shared" si="144"/>
        <v>37</v>
      </c>
      <c r="AB211" s="1" t="str">
        <f t="shared" si="144"/>
        <v>=1</v>
      </c>
      <c r="AC211" s="1" t="str">
        <f t="shared" si="144"/>
        <v>=7</v>
      </c>
      <c r="AD211" s="1" t="str">
        <f t="shared" si="144"/>
        <v>=9</v>
      </c>
      <c r="AE211" s="1" t="str">
        <f t="shared" si="144"/>
        <v>=13</v>
      </c>
      <c r="AF211" s="1" t="str">
        <f t="shared" si="144"/>
        <v>=45</v>
      </c>
      <c r="AG211" s="1" t="str">
        <f t="shared" si="144"/>
        <v>=40</v>
      </c>
      <c r="AH211" s="1" t="str">
        <f t="shared" si="144"/>
        <v>12</v>
      </c>
      <c r="AI211" s="1" t="str">
        <f t="shared" si="144"/>
        <v>=32</v>
      </c>
      <c r="AJ211" s="1" t="str">
        <f t="shared" si="144"/>
        <v>35</v>
      </c>
      <c r="AK211" s="1" t="str">
        <f t="shared" si="144"/>
        <v>=13</v>
      </c>
      <c r="AL211" s="1" t="str">
        <f t="shared" si="144"/>
        <v>23</v>
      </c>
      <c r="AM211" s="1" t="str">
        <f t="shared" si="144"/>
        <v>6</v>
      </c>
      <c r="AN211" s="1" t="str">
        <f t="shared" si="144"/>
        <v>=1</v>
      </c>
      <c r="AO211" s="1" t="str">
        <f t="shared" si="144"/>
        <v>34</v>
      </c>
      <c r="AP211" s="1" t="str">
        <f t="shared" si="144"/>
        <v>=13</v>
      </c>
      <c r="AQ211" s="1" t="str">
        <f t="shared" si="144"/>
        <v>31</v>
      </c>
      <c r="AR211" s="1" t="str">
        <f t="shared" si="144"/>
        <v>=7</v>
      </c>
      <c r="AS211" s="1" t="str">
        <f t="shared" si="144"/>
        <v>39</v>
      </c>
      <c r="AT211" s="1" t="str">
        <f t="shared" si="144"/>
        <v>=1</v>
      </c>
      <c r="AU211" s="1" t="str">
        <f t="shared" si="144"/>
        <v>=21</v>
      </c>
    </row>
    <row r="212" spans="1:47">
      <c r="A212" s="1" t="str">
        <f t="shared" si="129"/>
        <v>   2.1.2) Access to healthcare</v>
      </c>
      <c r="B212" s="1" t="str">
        <f t="shared" ref="B212:AU212" si="145">IF(B147&gt;1,"=","")&amp;B82</f>
        <v>=40</v>
      </c>
      <c r="C212" s="1" t="str">
        <f t="shared" si="145"/>
        <v>=1</v>
      </c>
      <c r="D212" s="1" t="str">
        <f t="shared" si="145"/>
        <v>=31</v>
      </c>
      <c r="E212" s="1" t="str">
        <f t="shared" si="145"/>
        <v>=11</v>
      </c>
      <c r="F212" s="1" t="str">
        <f t="shared" si="145"/>
        <v>=25</v>
      </c>
      <c r="G212" s="1" t="str">
        <f t="shared" si="145"/>
        <v>=1</v>
      </c>
      <c r="H212" s="1" t="str">
        <f t="shared" si="145"/>
        <v>=11</v>
      </c>
      <c r="I212" s="1" t="str">
        <f t="shared" si="145"/>
        <v>=11</v>
      </c>
      <c r="J212" s="1" t="str">
        <f t="shared" si="145"/>
        <v>=31</v>
      </c>
      <c r="K212" s="1" t="str">
        <f t="shared" si="145"/>
        <v>=31</v>
      </c>
      <c r="L212" s="1" t="str">
        <f t="shared" si="145"/>
        <v>=1</v>
      </c>
      <c r="M212" s="1" t="str">
        <f t="shared" si="145"/>
        <v>=40</v>
      </c>
      <c r="N212" s="1" t="str">
        <f t="shared" si="145"/>
        <v>=11</v>
      </c>
      <c r="O212" s="1" t="str">
        <f t="shared" si="145"/>
        <v>46</v>
      </c>
      <c r="P212" s="1" t="str">
        <f t="shared" si="145"/>
        <v>=40</v>
      </c>
      <c r="Q212" s="1" t="str">
        <f t="shared" si="145"/>
        <v>=31</v>
      </c>
      <c r="R212" s="1" t="str">
        <f t="shared" si="145"/>
        <v>=31</v>
      </c>
      <c r="S212" s="1" t="str">
        <f t="shared" si="145"/>
        <v>=25</v>
      </c>
      <c r="T212" s="1" t="str">
        <f t="shared" si="145"/>
        <v>=25</v>
      </c>
      <c r="U212" s="1" t="str">
        <f t="shared" si="145"/>
        <v>=11</v>
      </c>
      <c r="V212" s="1" t="str">
        <f t="shared" si="145"/>
        <v>=11</v>
      </c>
      <c r="W212" s="1" t="str">
        <f t="shared" si="145"/>
        <v>=1</v>
      </c>
      <c r="X212" s="1" t="str">
        <f t="shared" si="145"/>
        <v>=25</v>
      </c>
      <c r="Y212" s="1" t="str">
        <f t="shared" si="145"/>
        <v>=11</v>
      </c>
      <c r="Z212" s="1" t="str">
        <f t="shared" si="145"/>
        <v>=31</v>
      </c>
      <c r="AA212" s="1" t="str">
        <f t="shared" si="145"/>
        <v>=25</v>
      </c>
      <c r="AB212" s="1" t="str">
        <f t="shared" si="145"/>
        <v>=11</v>
      </c>
      <c r="AC212" s="1" t="str">
        <f t="shared" si="145"/>
        <v>=1</v>
      </c>
      <c r="AD212" s="1" t="str">
        <f t="shared" si="145"/>
        <v>=1</v>
      </c>
      <c r="AE212" s="1" t="str">
        <f t="shared" si="145"/>
        <v>=40</v>
      </c>
      <c r="AF212" s="1" t="str">
        <f t="shared" si="145"/>
        <v>=31</v>
      </c>
      <c r="AG212" s="1" t="str">
        <f t="shared" si="145"/>
        <v>=11</v>
      </c>
      <c r="AH212" s="1" t="str">
        <f t="shared" si="145"/>
        <v>=11</v>
      </c>
      <c r="AI212" s="1" t="str">
        <f t="shared" si="145"/>
        <v>=31</v>
      </c>
      <c r="AJ212" s="1" t="str">
        <f t="shared" si="145"/>
        <v>=31</v>
      </c>
      <c r="AK212" s="1" t="str">
        <f t="shared" si="145"/>
        <v>=11</v>
      </c>
      <c r="AL212" s="1" t="str">
        <f t="shared" si="145"/>
        <v>=40</v>
      </c>
      <c r="AM212" s="1" t="str">
        <f t="shared" si="145"/>
        <v>=11</v>
      </c>
      <c r="AN212" s="1" t="str">
        <f t="shared" si="145"/>
        <v>=11</v>
      </c>
      <c r="AO212" s="1" t="str">
        <f t="shared" si="145"/>
        <v>=1</v>
      </c>
      <c r="AP212" s="1" t="str">
        <f t="shared" si="145"/>
        <v>=25</v>
      </c>
      <c r="AQ212" s="1" t="str">
        <f t="shared" si="145"/>
        <v>45</v>
      </c>
      <c r="AR212" s="1" t="str">
        <f t="shared" si="145"/>
        <v>=1</v>
      </c>
      <c r="AS212" s="1" t="str">
        <f t="shared" si="145"/>
        <v>=1</v>
      </c>
      <c r="AT212" s="1" t="str">
        <f t="shared" si="145"/>
        <v>=11</v>
      </c>
      <c r="AU212" s="1" t="str">
        <f t="shared" si="145"/>
        <v>=1</v>
      </c>
    </row>
    <row r="213" spans="1:47">
      <c r="A213" s="1" t="str">
        <f t="shared" si="129"/>
        <v>   2.1.3) No. of beds per 1,000</v>
      </c>
      <c r="B213" s="1" t="str">
        <f t="shared" ref="B213:AU213" si="146">IF(B148&gt;1,"=","")&amp;B83</f>
        <v>26</v>
      </c>
      <c r="C213" s="1" t="str">
        <f t="shared" si="146"/>
        <v>14</v>
      </c>
      <c r="D213" s="1" t="str">
        <f t="shared" si="146"/>
        <v>20</v>
      </c>
      <c r="E213" s="1" t="str">
        <f t="shared" si="146"/>
        <v>21</v>
      </c>
      <c r="F213" s="1" t="str">
        <f t="shared" si="146"/>
        <v>12</v>
      </c>
      <c r="G213" s="1" t="str">
        <f t="shared" si="146"/>
        <v>7</v>
      </c>
      <c r="H213" s="1" t="str">
        <f t="shared" si="146"/>
        <v>16</v>
      </c>
      <c r="I213" s="1" t="str">
        <f t="shared" si="146"/>
        <v>=28</v>
      </c>
      <c r="J213" s="1" t="str">
        <f t="shared" si="146"/>
        <v>31</v>
      </c>
      <c r="K213" s="1" t="str">
        <f t="shared" si="146"/>
        <v>43</v>
      </c>
      <c r="L213" s="1" t="str">
        <f t="shared" si="146"/>
        <v>5</v>
      </c>
      <c r="M213" s="1" t="str">
        <f t="shared" si="146"/>
        <v>19</v>
      </c>
      <c r="N213" s="1" t="str">
        <f t="shared" si="146"/>
        <v>11</v>
      </c>
      <c r="O213" s="1" t="str">
        <f t="shared" si="146"/>
        <v>46</v>
      </c>
      <c r="P213" s="1" t="str">
        <f t="shared" si="146"/>
        <v>=39</v>
      </c>
      <c r="Q213" s="1" t="str">
        <f t="shared" si="146"/>
        <v>41</v>
      </c>
      <c r="R213" s="1" t="str">
        <f t="shared" si="146"/>
        <v>=33</v>
      </c>
      <c r="S213" s="1" t="str">
        <f t="shared" si="146"/>
        <v>=39</v>
      </c>
      <c r="T213" s="1" t="str">
        <f t="shared" si="146"/>
        <v>=33</v>
      </c>
      <c r="U213" s="1" t="str">
        <f t="shared" si="146"/>
        <v>42</v>
      </c>
      <c r="V213" s="1" t="str">
        <f t="shared" si="146"/>
        <v>23</v>
      </c>
      <c r="W213" s="1" t="str">
        <f t="shared" si="146"/>
        <v>30</v>
      </c>
      <c r="X213" s="1" t="str">
        <f t="shared" si="146"/>
        <v>44</v>
      </c>
      <c r="Y213" s="1" t="str">
        <f t="shared" si="146"/>
        <v>10</v>
      </c>
      <c r="Z213" s="1" t="str">
        <f t="shared" si="146"/>
        <v>3</v>
      </c>
      <c r="AA213" s="1" t="str">
        <f t="shared" si="146"/>
        <v>37</v>
      </c>
      <c r="AB213" s="1" t="str">
        <f t="shared" si="146"/>
        <v>22</v>
      </c>
      <c r="AC213" s="1" t="str">
        <f t="shared" si="146"/>
        <v>2</v>
      </c>
      <c r="AD213" s="1" t="str">
        <f t="shared" si="146"/>
        <v>8</v>
      </c>
      <c r="AE213" s="1" t="str">
        <f t="shared" si="146"/>
        <v>38</v>
      </c>
      <c r="AF213" s="1" t="str">
        <f t="shared" si="146"/>
        <v>32</v>
      </c>
      <c r="AG213" s="1" t="str">
        <f t="shared" si="146"/>
        <v>18</v>
      </c>
      <c r="AH213" s="1" t="str">
        <f t="shared" si="146"/>
        <v>24</v>
      </c>
      <c r="AI213" s="1" t="str">
        <f t="shared" si="146"/>
        <v>35</v>
      </c>
      <c r="AJ213" s="1" t="str">
        <f t="shared" si="146"/>
        <v>27</v>
      </c>
      <c r="AK213" s="1" t="str">
        <f t="shared" si="146"/>
        <v>13</v>
      </c>
      <c r="AL213" s="1" t="str">
        <f t="shared" si="146"/>
        <v>15</v>
      </c>
      <c r="AM213" s="1" t="str">
        <f t="shared" si="146"/>
        <v>36</v>
      </c>
      <c r="AN213" s="1" t="str">
        <f t="shared" si="146"/>
        <v>1</v>
      </c>
      <c r="AO213" s="1" t="str">
        <f t="shared" si="146"/>
        <v>25</v>
      </c>
      <c r="AP213" s="1" t="str">
        <f t="shared" si="146"/>
        <v>6</v>
      </c>
      <c r="AQ213" s="1" t="str">
        <f t="shared" si="146"/>
        <v>45</v>
      </c>
      <c r="AR213" s="1" t="str">
        <f t="shared" si="146"/>
        <v>4</v>
      </c>
      <c r="AS213" s="1" t="str">
        <f t="shared" si="146"/>
        <v>=28</v>
      </c>
      <c r="AT213" s="1" t="str">
        <f t="shared" si="146"/>
        <v>9</v>
      </c>
      <c r="AU213" s="1" t="str">
        <f t="shared" si="146"/>
        <v>17</v>
      </c>
    </row>
    <row r="214" spans="1:47">
      <c r="A214" s="1" t="str">
        <f t="shared" si="129"/>
        <v>   2.1.4) No. of doctors per 1,000</v>
      </c>
      <c r="B214" s="1" t="str">
        <f t="shared" ref="B214:AU214" si="147">IF(B149&gt;1,"=","")&amp;B84</f>
        <v>31</v>
      </c>
      <c r="C214" s="1" t="str">
        <f t="shared" si="147"/>
        <v>25</v>
      </c>
      <c r="D214" s="1" t="str">
        <f t="shared" si="147"/>
        <v>=45</v>
      </c>
      <c r="E214" s="1" t="str">
        <f t="shared" si="147"/>
        <v>7</v>
      </c>
      <c r="F214" s="1" t="str">
        <f t="shared" si="147"/>
        <v>15</v>
      </c>
      <c r="G214" s="1" t="str">
        <f t="shared" si="147"/>
        <v>4</v>
      </c>
      <c r="H214" s="1" t="str">
        <f t="shared" si="147"/>
        <v>21</v>
      </c>
      <c r="I214" s="1" t="str">
        <f t="shared" si="147"/>
        <v>26</v>
      </c>
      <c r="J214" s="1" t="str">
        <f t="shared" si="147"/>
        <v>22</v>
      </c>
      <c r="K214" s="1" t="str">
        <f t="shared" si="147"/>
        <v>2</v>
      </c>
      <c r="L214" s="1" t="str">
        <f t="shared" si="147"/>
        <v>13</v>
      </c>
      <c r="M214" s="1" t="str">
        <f t="shared" si="147"/>
        <v>37</v>
      </c>
      <c r="N214" s="1" t="str">
        <f t="shared" si="147"/>
        <v>34</v>
      </c>
      <c r="O214" s="1" t="str">
        <f t="shared" si="147"/>
        <v>40</v>
      </c>
      <c r="P214" s="1" t="str">
        <f t="shared" si="147"/>
        <v>=45</v>
      </c>
      <c r="Q214" s="1" t="str">
        <f t="shared" si="147"/>
        <v>43</v>
      </c>
      <c r="R214" s="1" t="str">
        <f t="shared" si="147"/>
        <v>33</v>
      </c>
      <c r="S214" s="1" t="str">
        <f t="shared" si="147"/>
        <v>38</v>
      </c>
      <c r="T214" s="1" t="str">
        <f t="shared" si="147"/>
        <v>=18</v>
      </c>
      <c r="U214" s="1" t="str">
        <f t="shared" si="147"/>
        <v>27</v>
      </c>
      <c r="V214" s="1" t="str">
        <f t="shared" si="147"/>
        <v>5</v>
      </c>
      <c r="W214" s="1" t="str">
        <f t="shared" si="147"/>
        <v>20</v>
      </c>
      <c r="X214" s="1" t="str">
        <f t="shared" si="147"/>
        <v>28</v>
      </c>
      <c r="Y214" s="1" t="str">
        <f t="shared" si="147"/>
        <v>36</v>
      </c>
      <c r="Z214" s="1" t="str">
        <f t="shared" si="147"/>
        <v>12</v>
      </c>
      <c r="AA214" s="1" t="str">
        <f t="shared" si="147"/>
        <v>44</v>
      </c>
      <c r="AB214" s="1" t="str">
        <f t="shared" si="147"/>
        <v>=18</v>
      </c>
      <c r="AC214" s="1" t="str">
        <f t="shared" si="147"/>
        <v>6</v>
      </c>
      <c r="AD214" s="1" t="str">
        <f t="shared" si="147"/>
        <v>16</v>
      </c>
      <c r="AE214" s="1" t="str">
        <f t="shared" si="147"/>
        <v>14</v>
      </c>
      <c r="AF214" s="1" t="str">
        <f t="shared" si="147"/>
        <v>32</v>
      </c>
      <c r="AG214" s="1" t="str">
        <f t="shared" si="147"/>
        <v>10</v>
      </c>
      <c r="AH214" s="1" t="str">
        <f t="shared" si="147"/>
        <v>29</v>
      </c>
      <c r="AI214" s="1" t="str">
        <f t="shared" si="147"/>
        <v>39</v>
      </c>
      <c r="AJ214" s="1" t="str">
        <f t="shared" si="147"/>
        <v>11</v>
      </c>
      <c r="AK214" s="1" t="str">
        <f t="shared" si="147"/>
        <v>17</v>
      </c>
      <c r="AL214" s="1" t="str">
        <f t="shared" si="147"/>
        <v>30</v>
      </c>
      <c r="AM214" s="1" t="str">
        <f t="shared" si="147"/>
        <v>35</v>
      </c>
      <c r="AN214" s="1" t="str">
        <f t="shared" si="147"/>
        <v>9</v>
      </c>
      <c r="AO214" s="1" t="str">
        <f t="shared" si="147"/>
        <v>23</v>
      </c>
      <c r="AP214" s="1" t="str">
        <f t="shared" si="147"/>
        <v>1</v>
      </c>
      <c r="AQ214" s="1" t="str">
        <f t="shared" si="147"/>
        <v>42</v>
      </c>
      <c r="AR214" s="1" t="str">
        <f t="shared" si="147"/>
        <v>24</v>
      </c>
      <c r="AS214" s="1" t="str">
        <f t="shared" si="147"/>
        <v>41</v>
      </c>
      <c r="AT214" s="1" t="str">
        <f t="shared" si="147"/>
        <v>3</v>
      </c>
      <c r="AU214" s="1" t="str">
        <f t="shared" si="147"/>
        <v>8</v>
      </c>
    </row>
    <row r="215" spans="1:47">
      <c r="A215" s="1" t="str">
        <f t="shared" si="129"/>
        <v>   2.1.5) Access to safe and quality food</v>
      </c>
      <c r="B215" s="1" t="str">
        <f t="shared" ref="B215:AU215" si="148">IF(B150&gt;1,"=","")&amp;B85</f>
        <v>18</v>
      </c>
      <c r="C215" s="1" t="str">
        <f t="shared" si="148"/>
        <v>=1</v>
      </c>
      <c r="D215" s="1" t="str">
        <f t="shared" si="148"/>
        <v>31</v>
      </c>
      <c r="E215" s="1" t="str">
        <f t="shared" si="148"/>
        <v>=1</v>
      </c>
      <c r="F215" s="1" t="str">
        <f t="shared" si="148"/>
        <v>=35</v>
      </c>
      <c r="G215" s="1" t="str">
        <f t="shared" si="148"/>
        <v>=1</v>
      </c>
      <c r="H215" s="1" t="str">
        <f t="shared" si="148"/>
        <v>=26</v>
      </c>
      <c r="I215" s="1" t="str">
        <f t="shared" si="148"/>
        <v>=20</v>
      </c>
      <c r="J215" s="1" t="str">
        <f t="shared" si="148"/>
        <v>=43</v>
      </c>
      <c r="K215" s="1" t="str">
        <f t="shared" si="148"/>
        <v>41</v>
      </c>
      <c r="L215" s="1" t="str">
        <f t="shared" si="148"/>
        <v>=1</v>
      </c>
      <c r="M215" s="1" t="str">
        <f t="shared" si="148"/>
        <v>42</v>
      </c>
      <c r="N215" s="1" t="str">
        <f t="shared" si="148"/>
        <v>=35</v>
      </c>
      <c r="O215" s="1" t="str">
        <f t="shared" si="148"/>
        <v>19</v>
      </c>
      <c r="P215" s="1" t="str">
        <f t="shared" si="148"/>
        <v>45</v>
      </c>
      <c r="Q215" s="1" t="str">
        <f t="shared" si="148"/>
        <v>39</v>
      </c>
      <c r="R215" s="1" t="str">
        <f t="shared" si="148"/>
        <v>25</v>
      </c>
      <c r="S215" s="1" t="str">
        <f t="shared" si="148"/>
        <v>46</v>
      </c>
      <c r="T215" s="1" t="str">
        <f t="shared" si="148"/>
        <v>=1</v>
      </c>
      <c r="U215" s="1" t="str">
        <f t="shared" si="148"/>
        <v>=20</v>
      </c>
      <c r="V215" s="1" t="str">
        <f t="shared" si="148"/>
        <v>=1</v>
      </c>
      <c r="W215" s="1" t="str">
        <f t="shared" si="148"/>
        <v>=1</v>
      </c>
      <c r="X215" s="1" t="str">
        <f t="shared" si="148"/>
        <v>34</v>
      </c>
      <c r="Y215" s="1" t="str">
        <f t="shared" si="148"/>
        <v>=1</v>
      </c>
      <c r="Z215" s="1" t="str">
        <f t="shared" si="148"/>
        <v>33</v>
      </c>
      <c r="AA215" s="1" t="str">
        <f t="shared" si="148"/>
        <v>=43</v>
      </c>
      <c r="AB215" s="1" t="str">
        <f t="shared" si="148"/>
        <v>=20</v>
      </c>
      <c r="AC215" s="1" t="str">
        <f t="shared" si="148"/>
        <v>=1</v>
      </c>
      <c r="AD215" s="1" t="str">
        <f t="shared" si="148"/>
        <v>=1</v>
      </c>
      <c r="AE215" s="1" t="str">
        <f t="shared" si="148"/>
        <v>=29</v>
      </c>
      <c r="AF215" s="1" t="str">
        <f t="shared" si="148"/>
        <v>32</v>
      </c>
      <c r="AG215" s="1" t="str">
        <f t="shared" si="148"/>
        <v>=1</v>
      </c>
      <c r="AH215" s="1" t="str">
        <f t="shared" si="148"/>
        <v>=20</v>
      </c>
      <c r="AI215" s="1" t="str">
        <f t="shared" si="148"/>
        <v>=26</v>
      </c>
      <c r="AJ215" s="1" t="str">
        <f t="shared" si="148"/>
        <v>=29</v>
      </c>
      <c r="AK215" s="1" t="str">
        <f t="shared" si="148"/>
        <v>28</v>
      </c>
      <c r="AL215" s="1" t="str">
        <f t="shared" si="148"/>
        <v>=35</v>
      </c>
      <c r="AM215" s="1" t="str">
        <f t="shared" si="148"/>
        <v>=1</v>
      </c>
      <c r="AN215" s="1" t="str">
        <f t="shared" si="148"/>
        <v>=1</v>
      </c>
      <c r="AO215" s="1" t="str">
        <f t="shared" si="148"/>
        <v>=1</v>
      </c>
      <c r="AP215" s="1" t="str">
        <f t="shared" si="148"/>
        <v>=35</v>
      </c>
      <c r="AQ215" s="1" t="str">
        <f t="shared" si="148"/>
        <v>40</v>
      </c>
      <c r="AR215" s="1" t="str">
        <f t="shared" si="148"/>
        <v>=1</v>
      </c>
      <c r="AS215" s="1" t="str">
        <f t="shared" si="148"/>
        <v>17</v>
      </c>
      <c r="AT215" s="1" t="str">
        <f t="shared" si="148"/>
        <v>=20</v>
      </c>
      <c r="AU215" s="1" t="str">
        <f t="shared" si="148"/>
        <v>=1</v>
      </c>
    </row>
    <row r="216" spans="1:47">
      <c r="A216" s="1" t="str">
        <f t="shared" si="129"/>
        <v>   2.1.6) Quality of health services</v>
      </c>
      <c r="B216" s="1" t="str">
        <f t="shared" ref="B216:AU216" si="149">IF(B151&gt;1,"=","")&amp;B86</f>
        <v>=25</v>
      </c>
      <c r="C216" s="1" t="str">
        <f t="shared" si="149"/>
        <v>=1</v>
      </c>
      <c r="D216" s="1" t="str">
        <f t="shared" si="149"/>
        <v>=31</v>
      </c>
      <c r="E216" s="1" t="str">
        <f t="shared" si="149"/>
        <v>=1</v>
      </c>
      <c r="F216" s="1" t="str">
        <f t="shared" si="149"/>
        <v>=31</v>
      </c>
      <c r="G216" s="1" t="str">
        <f t="shared" si="149"/>
        <v>=1</v>
      </c>
      <c r="H216" s="1" t="str">
        <f t="shared" si="149"/>
        <v>=25</v>
      </c>
      <c r="I216" s="1" t="str">
        <f t="shared" si="149"/>
        <v>=14</v>
      </c>
      <c r="J216" s="1" t="str">
        <f t="shared" si="149"/>
        <v>=31</v>
      </c>
      <c r="K216" s="1" t="str">
        <f t="shared" si="149"/>
        <v>=25</v>
      </c>
      <c r="L216" s="1" t="str">
        <f t="shared" si="149"/>
        <v>=1</v>
      </c>
      <c r="M216" s="1" t="str">
        <f t="shared" si="149"/>
        <v>=44</v>
      </c>
      <c r="N216" s="1" t="str">
        <f t="shared" si="149"/>
        <v>=14</v>
      </c>
      <c r="O216" s="1" t="str">
        <f t="shared" si="149"/>
        <v>=41</v>
      </c>
      <c r="P216" s="1" t="str">
        <f t="shared" si="149"/>
        <v>=44</v>
      </c>
      <c r="Q216" s="1" t="str">
        <f t="shared" si="149"/>
        <v>=41</v>
      </c>
      <c r="R216" s="1" t="str">
        <f t="shared" si="149"/>
        <v>=14</v>
      </c>
      <c r="S216" s="1" t="str">
        <f t="shared" si="149"/>
        <v>=31</v>
      </c>
      <c r="T216" s="1" t="str">
        <f t="shared" si="149"/>
        <v>=14</v>
      </c>
      <c r="U216" s="1" t="str">
        <f t="shared" si="149"/>
        <v>=14</v>
      </c>
      <c r="V216" s="1" t="str">
        <f t="shared" si="149"/>
        <v>=14</v>
      </c>
      <c r="W216" s="1" t="str">
        <f t="shared" si="149"/>
        <v>=1</v>
      </c>
      <c r="X216" s="1" t="str">
        <f t="shared" si="149"/>
        <v>=41</v>
      </c>
      <c r="Y216" s="1" t="str">
        <f t="shared" si="149"/>
        <v>=25</v>
      </c>
      <c r="Z216" s="1" t="str">
        <f t="shared" si="149"/>
        <v>=25</v>
      </c>
      <c r="AA216" s="1" t="str">
        <f t="shared" si="149"/>
        <v>=44</v>
      </c>
      <c r="AB216" s="1" t="str">
        <f t="shared" si="149"/>
        <v>=14</v>
      </c>
      <c r="AC216" s="1" t="str">
        <f t="shared" si="149"/>
        <v>=1</v>
      </c>
      <c r="AD216" s="1" t="str">
        <f t="shared" si="149"/>
        <v>=1</v>
      </c>
      <c r="AE216" s="1" t="str">
        <f t="shared" si="149"/>
        <v>=31</v>
      </c>
      <c r="AF216" s="1" t="str">
        <f t="shared" si="149"/>
        <v>=31</v>
      </c>
      <c r="AG216" s="1" t="str">
        <f t="shared" si="149"/>
        <v>=25</v>
      </c>
      <c r="AH216" s="1" t="str">
        <f t="shared" si="149"/>
        <v>=14</v>
      </c>
      <c r="AI216" s="1" t="str">
        <f t="shared" si="149"/>
        <v>=31</v>
      </c>
      <c r="AJ216" s="1" t="str">
        <f t="shared" si="149"/>
        <v>=31</v>
      </c>
      <c r="AK216" s="1" t="str">
        <f t="shared" si="149"/>
        <v>=14</v>
      </c>
      <c r="AL216" s="1" t="str">
        <f t="shared" si="149"/>
        <v>=31</v>
      </c>
      <c r="AM216" s="1" t="str">
        <f t="shared" si="149"/>
        <v>=1</v>
      </c>
      <c r="AN216" s="1" t="str">
        <f t="shared" si="149"/>
        <v>=1</v>
      </c>
      <c r="AO216" s="1" t="str">
        <f t="shared" si="149"/>
        <v>=1</v>
      </c>
      <c r="AP216" s="1" t="str">
        <f t="shared" si="149"/>
        <v>=14</v>
      </c>
      <c r="AQ216" s="1" t="str">
        <f t="shared" si="149"/>
        <v>=31</v>
      </c>
      <c r="AR216" s="1" t="str">
        <f t="shared" si="149"/>
        <v>=1</v>
      </c>
      <c r="AS216" s="1" t="str">
        <f t="shared" si="149"/>
        <v>=1</v>
      </c>
      <c r="AT216" s="1" t="str">
        <f t="shared" si="149"/>
        <v>=14</v>
      </c>
      <c r="AU216" s="1" t="str">
        <f t="shared" si="149"/>
        <v>=1</v>
      </c>
    </row>
    <row r="217" spans="1:47">
      <c r="A217" s="1" t="str">
        <f t="shared" si="129"/>
        <v>  2.2) Health security (Outputs)</v>
      </c>
      <c r="B217" s="1" t="str">
        <f t="shared" ref="B217:AU217" si="150">IF(B152&gt;1,"=","")&amp;B87</f>
        <v>46</v>
      </c>
      <c r="C217" s="1" t="str">
        <f t="shared" si="150"/>
        <v>18</v>
      </c>
      <c r="D217" s="1" t="str">
        <f t="shared" si="150"/>
        <v>33</v>
      </c>
      <c r="E217" s="1" t="str">
        <f t="shared" si="150"/>
        <v>4</v>
      </c>
      <c r="F217" s="1" t="str">
        <f t="shared" si="150"/>
        <v>23</v>
      </c>
      <c r="G217" s="1" t="str">
        <f t="shared" si="150"/>
        <v>17</v>
      </c>
      <c r="H217" s="1" t="str">
        <f t="shared" si="150"/>
        <v>29</v>
      </c>
      <c r="I217" s="1" t="str">
        <f t="shared" si="150"/>
        <v>22</v>
      </c>
      <c r="J217" s="1" t="str">
        <f t="shared" si="150"/>
        <v>43</v>
      </c>
      <c r="K217" s="1" t="str">
        <f t="shared" si="150"/>
        <v>42</v>
      </c>
      <c r="L217" s="1" t="str">
        <f t="shared" si="150"/>
        <v>5</v>
      </c>
      <c r="M217" s="1" t="str">
        <f t="shared" si="150"/>
        <v>39</v>
      </c>
      <c r="N217" s="1" t="str">
        <f t="shared" si="150"/>
        <v>38</v>
      </c>
      <c r="O217" s="1" t="str">
        <f t="shared" si="150"/>
        <v>35</v>
      </c>
      <c r="P217" s="1" t="str">
        <f t="shared" si="150"/>
        <v>37</v>
      </c>
      <c r="Q217" s="1" t="str">
        <f t="shared" si="150"/>
        <v>41</v>
      </c>
      <c r="R217" s="1" t="str">
        <f t="shared" si="150"/>
        <v>32</v>
      </c>
      <c r="S217" s="1" t="str">
        <f t="shared" si="150"/>
        <v>34</v>
      </c>
      <c r="T217" s="1" t="str">
        <f t="shared" si="150"/>
        <v>=12</v>
      </c>
      <c r="U217" s="1" t="str">
        <f t="shared" si="150"/>
        <v>30</v>
      </c>
      <c r="V217" s="1" t="str">
        <f t="shared" si="150"/>
        <v>3</v>
      </c>
      <c r="W217" s="1" t="str">
        <f t="shared" si="150"/>
        <v>8</v>
      </c>
      <c r="X217" s="1" t="str">
        <f t="shared" si="150"/>
        <v>28</v>
      </c>
      <c r="Y217" s="1" t="str">
        <f t="shared" si="150"/>
        <v>20</v>
      </c>
      <c r="Z217" s="1" t="str">
        <f t="shared" si="150"/>
        <v>25</v>
      </c>
      <c r="AA217" s="1" t="str">
        <f t="shared" si="150"/>
        <v>45</v>
      </c>
      <c r="AB217" s="1" t="str">
        <f t="shared" si="150"/>
        <v>1</v>
      </c>
      <c r="AC217" s="1" t="str">
        <f t="shared" si="150"/>
        <v>21</v>
      </c>
      <c r="AD217" s="1" t="str">
        <f t="shared" si="150"/>
        <v>=12</v>
      </c>
      <c r="AE217" s="1" t="str">
        <f t="shared" si="150"/>
        <v>40</v>
      </c>
      <c r="AF217" s="1" t="str">
        <f t="shared" si="150"/>
        <v>36</v>
      </c>
      <c r="AG217" s="1" t="str">
        <f t="shared" si="150"/>
        <v>19</v>
      </c>
      <c r="AH217" s="1" t="str">
        <f t="shared" si="150"/>
        <v>9</v>
      </c>
      <c r="AI217" s="1" t="str">
        <f t="shared" si="150"/>
        <v>15</v>
      </c>
      <c r="AJ217" s="1" t="str">
        <f t="shared" si="150"/>
        <v>31</v>
      </c>
      <c r="AK217" s="1" t="str">
        <f t="shared" si="150"/>
        <v>14</v>
      </c>
      <c r="AL217" s="1" t="str">
        <f t="shared" si="150"/>
        <v>24</v>
      </c>
      <c r="AM217" s="1" t="str">
        <f t="shared" si="150"/>
        <v>6</v>
      </c>
      <c r="AN217" s="1" t="str">
        <f t="shared" si="150"/>
        <v>11</v>
      </c>
      <c r="AO217" s="1" t="str">
        <f t="shared" si="150"/>
        <v>7</v>
      </c>
      <c r="AP217" s="1" t="str">
        <f t="shared" si="150"/>
        <v>27</v>
      </c>
      <c r="AQ217" s="1" t="str">
        <f t="shared" si="150"/>
        <v>44</v>
      </c>
      <c r="AR217" s="1" t="str">
        <f t="shared" si="150"/>
        <v>16</v>
      </c>
      <c r="AS217" s="1" t="str">
        <f t="shared" si="150"/>
        <v>10</v>
      </c>
      <c r="AT217" s="1" t="str">
        <f t="shared" si="150"/>
        <v>26</v>
      </c>
      <c r="AU217" s="1" t="str">
        <f t="shared" si="150"/>
        <v>2</v>
      </c>
    </row>
    <row r="218" spans="1:47">
      <c r="A218" s="1" t="str">
        <f t="shared" si="129"/>
        <v>   2.2.1) Air quality (PM 2.5 levels)</v>
      </c>
      <c r="B218" s="1" t="str">
        <f t="shared" ref="B218:AU218" si="151">IF(B153&gt;1,"=","")&amp;B88</f>
        <v>45</v>
      </c>
      <c r="C218" s="1" t="str">
        <f t="shared" si="151"/>
        <v>=18</v>
      </c>
      <c r="D218" s="1" t="str">
        <f t="shared" si="151"/>
        <v>=22</v>
      </c>
      <c r="E218" s="1" t="str">
        <f t="shared" si="151"/>
        <v>=13</v>
      </c>
      <c r="F218" s="1" t="str">
        <f t="shared" si="151"/>
        <v>43</v>
      </c>
      <c r="G218" s="1" t="str">
        <f t="shared" si="151"/>
        <v>=18</v>
      </c>
      <c r="H218" s="1" t="str">
        <f t="shared" si="151"/>
        <v>=13</v>
      </c>
      <c r="I218" s="1" t="str">
        <f t="shared" si="151"/>
        <v>10</v>
      </c>
      <c r="J218" s="1" t="str">
        <f t="shared" si="151"/>
        <v>41</v>
      </c>
      <c r="K218" s="1" t="str">
        <f t="shared" si="151"/>
        <v>46</v>
      </c>
      <c r="L218" s="1" t="str">
        <f t="shared" si="151"/>
        <v>=18</v>
      </c>
      <c r="M218" s="1" t="str">
        <f t="shared" si="151"/>
        <v>31</v>
      </c>
      <c r="N218" s="1" t="str">
        <f t="shared" si="151"/>
        <v>=24</v>
      </c>
      <c r="O218" s="1" t="str">
        <f t="shared" si="151"/>
        <v>34</v>
      </c>
      <c r="P218" s="1" t="str">
        <f t="shared" si="151"/>
        <v>=24</v>
      </c>
      <c r="Q218" s="1" t="str">
        <f t="shared" si="151"/>
        <v>42</v>
      </c>
      <c r="R218" s="1" t="str">
        <f t="shared" si="151"/>
        <v>44</v>
      </c>
      <c r="S218" s="1" t="str">
        <f t="shared" si="151"/>
        <v>38</v>
      </c>
      <c r="T218" s="1" t="str">
        <f t="shared" si="151"/>
        <v>=13</v>
      </c>
      <c r="U218" s="1" t="str">
        <f t="shared" si="151"/>
        <v>=22</v>
      </c>
      <c r="V218" s="1" t="str">
        <f t="shared" si="151"/>
        <v>8</v>
      </c>
      <c r="W218" s="1" t="str">
        <f t="shared" si="151"/>
        <v>=1</v>
      </c>
      <c r="X218" s="1" t="str">
        <f t="shared" si="151"/>
        <v>29</v>
      </c>
      <c r="Y218" s="1" t="str">
        <f t="shared" si="151"/>
        <v>35</v>
      </c>
      <c r="Z218" s="1" t="str">
        <f t="shared" si="151"/>
        <v>=27</v>
      </c>
      <c r="AA218" s="1" t="str">
        <f t="shared" si="151"/>
        <v>40</v>
      </c>
      <c r="AB218" s="1" t="str">
        <f t="shared" si="151"/>
        <v>=11</v>
      </c>
      <c r="AC218" s="1" t="str">
        <f t="shared" si="151"/>
        <v>5</v>
      </c>
      <c r="AD218" s="1" t="str">
        <f t="shared" si="151"/>
        <v>=16</v>
      </c>
      <c r="AE218" s="1" t="str">
        <f t="shared" si="151"/>
        <v>=36</v>
      </c>
      <c r="AF218" s="1" t="str">
        <f t="shared" si="151"/>
        <v>32</v>
      </c>
      <c r="AG218" s="1" t="str">
        <f t="shared" si="151"/>
        <v>=24</v>
      </c>
      <c r="AH218" s="1" t="str">
        <f t="shared" si="151"/>
        <v>=6</v>
      </c>
      <c r="AI218" s="1" t="str">
        <f t="shared" si="151"/>
        <v>30</v>
      </c>
      <c r="AJ218" s="1" t="str">
        <f t="shared" si="151"/>
        <v>21</v>
      </c>
      <c r="AK218" s="1" t="str">
        <f t="shared" si="151"/>
        <v>=27</v>
      </c>
      <c r="AL218" s="1" t="str">
        <f t="shared" si="151"/>
        <v>=36</v>
      </c>
      <c r="AM218" s="1" t="str">
        <f t="shared" si="151"/>
        <v>=16</v>
      </c>
      <c r="AN218" s="1" t="str">
        <f t="shared" si="151"/>
        <v>3</v>
      </c>
      <c r="AO218" s="1" t="str">
        <f t="shared" si="151"/>
        <v>=1</v>
      </c>
      <c r="AP218" s="1" t="str">
        <f t="shared" si="151"/>
        <v>39</v>
      </c>
      <c r="AQ218" s="1" t="str">
        <f t="shared" si="151"/>
        <v>33</v>
      </c>
      <c r="AR218" s="1" t="str">
        <f t="shared" si="151"/>
        <v>=6</v>
      </c>
      <c r="AS218" s="1" t="str">
        <f t="shared" si="151"/>
        <v>4</v>
      </c>
      <c r="AT218" s="1" t="str">
        <f t="shared" si="151"/>
        <v>9</v>
      </c>
      <c r="AU218" s="1" t="str">
        <f t="shared" si="151"/>
        <v>=11</v>
      </c>
    </row>
    <row r="219" spans="1:47">
      <c r="A219" s="1" t="str">
        <f t="shared" si="129"/>
        <v>   2.2.2) Water quality</v>
      </c>
      <c r="B219" s="1" t="str">
        <f t="shared" ref="B219:AU219" si="152">IF(B154&gt;1,"=","")&amp;B89</f>
        <v>33</v>
      </c>
      <c r="C219" s="1" t="str">
        <f t="shared" si="152"/>
        <v>1</v>
      </c>
      <c r="D219" s="1" t="str">
        <f t="shared" si="152"/>
        <v>42</v>
      </c>
      <c r="E219" s="1" t="str">
        <f t="shared" si="152"/>
        <v>=7</v>
      </c>
      <c r="F219" s="1" t="str">
        <f t="shared" si="152"/>
        <v>19</v>
      </c>
      <c r="G219" s="1" t="str">
        <f t="shared" si="152"/>
        <v>2</v>
      </c>
      <c r="H219" s="1" t="str">
        <f t="shared" si="152"/>
        <v>45</v>
      </c>
      <c r="I219" s="1" t="str">
        <f t="shared" si="152"/>
        <v>12</v>
      </c>
      <c r="J219" s="1" t="str">
        <f t="shared" si="152"/>
        <v>37</v>
      </c>
      <c r="K219" s="1" t="str">
        <f t="shared" si="152"/>
        <v>46</v>
      </c>
      <c r="L219" s="1" t="str">
        <f t="shared" si="152"/>
        <v>5</v>
      </c>
      <c r="M219" s="1" t="str">
        <f t="shared" si="152"/>
        <v>39</v>
      </c>
      <c r="N219" s="1" t="str">
        <f t="shared" si="152"/>
        <v>=29</v>
      </c>
      <c r="O219" s="1" t="str">
        <f t="shared" si="152"/>
        <v>38</v>
      </c>
      <c r="P219" s="1" t="str">
        <f t="shared" si="152"/>
        <v>41</v>
      </c>
      <c r="Q219" s="1" t="str">
        <f t="shared" si="152"/>
        <v>34</v>
      </c>
      <c r="R219" s="1" t="str">
        <f t="shared" si="152"/>
        <v>=35</v>
      </c>
      <c r="S219" s="1" t="str">
        <f t="shared" si="152"/>
        <v>=35</v>
      </c>
      <c r="T219" s="1" t="str">
        <f t="shared" si="152"/>
        <v>9</v>
      </c>
      <c r="U219" s="1" t="str">
        <f t="shared" si="152"/>
        <v>14</v>
      </c>
      <c r="V219" s="1" t="str">
        <f t="shared" si="152"/>
        <v>=7</v>
      </c>
      <c r="W219" s="1" t="str">
        <f t="shared" si="152"/>
        <v>25</v>
      </c>
      <c r="X219" s="1" t="str">
        <f t="shared" si="152"/>
        <v>28</v>
      </c>
      <c r="Y219" s="1" t="str">
        <f t="shared" si="152"/>
        <v>=23</v>
      </c>
      <c r="Z219" s="1" t="str">
        <f t="shared" si="152"/>
        <v>26</v>
      </c>
      <c r="AA219" s="1" t="str">
        <f t="shared" si="152"/>
        <v>=29</v>
      </c>
      <c r="AB219" s="1" t="str">
        <f t="shared" si="152"/>
        <v>=3</v>
      </c>
      <c r="AC219" s="1" t="str">
        <f t="shared" si="152"/>
        <v>21</v>
      </c>
      <c r="AD219" s="1" t="str">
        <f t="shared" si="152"/>
        <v>10</v>
      </c>
      <c r="AE219" s="1" t="str">
        <f t="shared" si="152"/>
        <v>40</v>
      </c>
      <c r="AF219" s="1" t="str">
        <f t="shared" si="152"/>
        <v>43</v>
      </c>
      <c r="AG219" s="1" t="str">
        <f t="shared" si="152"/>
        <v>=23</v>
      </c>
      <c r="AH219" s="1" t="str">
        <f t="shared" si="152"/>
        <v>6</v>
      </c>
      <c r="AI219" s="1" t="str">
        <f t="shared" si="152"/>
        <v>22</v>
      </c>
      <c r="AJ219" s="1" t="str">
        <f t="shared" si="152"/>
        <v>17</v>
      </c>
      <c r="AK219" s="1" t="str">
        <f t="shared" si="152"/>
        <v>18</v>
      </c>
      <c r="AL219" s="1" t="str">
        <f t="shared" si="152"/>
        <v>31</v>
      </c>
      <c r="AM219" s="1" t="str">
        <f t="shared" si="152"/>
        <v>16</v>
      </c>
      <c r="AN219" s="1" t="str">
        <f t="shared" si="152"/>
        <v>20</v>
      </c>
      <c r="AO219" s="1" t="str">
        <f t="shared" si="152"/>
        <v>13</v>
      </c>
      <c r="AP219" s="1" t="str">
        <f t="shared" si="152"/>
        <v>32</v>
      </c>
      <c r="AQ219" s="1" t="str">
        <f t="shared" si="152"/>
        <v>44</v>
      </c>
      <c r="AR219" s="1" t="str">
        <f t="shared" si="152"/>
        <v>15</v>
      </c>
      <c r="AS219" s="1" t="str">
        <f t="shared" si="152"/>
        <v>11</v>
      </c>
      <c r="AT219" s="1" t="str">
        <f t="shared" si="152"/>
        <v>27</v>
      </c>
      <c r="AU219" s="1" t="str">
        <f t="shared" si="152"/>
        <v>=3</v>
      </c>
    </row>
    <row r="220" spans="1:47">
      <c r="A220" s="1" t="str">
        <f t="shared" si="129"/>
        <v>   2.2.3) Life expectancy years</v>
      </c>
      <c r="B220" s="1" t="str">
        <f t="shared" ref="B220:AU220" si="153">IF(B155&gt;1,"=","")&amp;B90</f>
        <v>30</v>
      </c>
      <c r="C220" s="1" t="str">
        <f t="shared" si="153"/>
        <v>25</v>
      </c>
      <c r="D220" s="1" t="str">
        <f t="shared" si="153"/>
        <v>38</v>
      </c>
      <c r="E220" s="1" t="str">
        <f t="shared" si="153"/>
        <v>=11</v>
      </c>
      <c r="F220" s="1" t="str">
        <f t="shared" si="153"/>
        <v>17</v>
      </c>
      <c r="G220" s="1" t="str">
        <f t="shared" si="153"/>
        <v>20</v>
      </c>
      <c r="H220" s="1" t="str">
        <f t="shared" si="153"/>
        <v>33</v>
      </c>
      <c r="I220" s="1" t="str">
        <f t="shared" si="153"/>
        <v>28</v>
      </c>
      <c r="J220" s="1" t="str">
        <f t="shared" si="153"/>
        <v>45</v>
      </c>
      <c r="K220" s="1" t="str">
        <f t="shared" si="153"/>
        <v>27</v>
      </c>
      <c r="L220" s="1" t="str">
        <f t="shared" si="153"/>
        <v>24</v>
      </c>
      <c r="M220" s="1" t="str">
        <f t="shared" si="153"/>
        <v>41</v>
      </c>
      <c r="N220" s="1" t="str">
        <f t="shared" si="153"/>
        <v>2</v>
      </c>
      <c r="O220" s="1" t="str">
        <f t="shared" si="153"/>
        <v>42</v>
      </c>
      <c r="P220" s="1" t="str">
        <f t="shared" si="153"/>
        <v>39</v>
      </c>
      <c r="Q220" s="1" t="str">
        <f t="shared" si="153"/>
        <v>46</v>
      </c>
      <c r="R220" s="1" t="str">
        <f t="shared" si="153"/>
        <v>29</v>
      </c>
      <c r="S220" s="1" t="str">
        <f t="shared" si="153"/>
        <v>37</v>
      </c>
      <c r="T220" s="1" t="str">
        <f t="shared" si="153"/>
        <v>14</v>
      </c>
      <c r="U220" s="1" t="str">
        <f t="shared" si="153"/>
        <v>21</v>
      </c>
      <c r="V220" s="1" t="str">
        <f t="shared" si="153"/>
        <v>=11</v>
      </c>
      <c r="W220" s="1" t="str">
        <f t="shared" si="153"/>
        <v>1</v>
      </c>
      <c r="X220" s="1" t="str">
        <f t="shared" si="153"/>
        <v>31</v>
      </c>
      <c r="Y220" s="1" t="str">
        <f t="shared" si="153"/>
        <v>6</v>
      </c>
      <c r="Z220" s="1" t="str">
        <f t="shared" si="153"/>
        <v>35</v>
      </c>
      <c r="AA220" s="1" t="str">
        <f t="shared" si="153"/>
        <v>=43</v>
      </c>
      <c r="AB220" s="1" t="str">
        <f t="shared" si="153"/>
        <v>18</v>
      </c>
      <c r="AC220" s="1" t="str">
        <f t="shared" si="153"/>
        <v>4</v>
      </c>
      <c r="AD220" s="1" t="str">
        <f t="shared" si="153"/>
        <v>15</v>
      </c>
      <c r="AE220" s="1" t="str">
        <f t="shared" si="153"/>
        <v>40</v>
      </c>
      <c r="AF220" s="1" t="str">
        <f t="shared" si="153"/>
        <v>36</v>
      </c>
      <c r="AG220" s="1" t="str">
        <f t="shared" si="153"/>
        <v>=9</v>
      </c>
      <c r="AH220" s="1" t="str">
        <f t="shared" si="153"/>
        <v>23</v>
      </c>
      <c r="AI220" s="1" t="str">
        <f t="shared" si="153"/>
        <v>26</v>
      </c>
      <c r="AJ220" s="1" t="str">
        <f t="shared" si="153"/>
        <v>=43</v>
      </c>
      <c r="AK220" s="1" t="str">
        <f t="shared" si="153"/>
        <v>5</v>
      </c>
      <c r="AL220" s="1" t="str">
        <f t="shared" si="153"/>
        <v>22</v>
      </c>
      <c r="AM220" s="1" t="str">
        <f t="shared" si="153"/>
        <v>13</v>
      </c>
      <c r="AN220" s="1" t="str">
        <f t="shared" si="153"/>
        <v>=9</v>
      </c>
      <c r="AO220" s="1" t="str">
        <f t="shared" si="153"/>
        <v>16</v>
      </c>
      <c r="AP220" s="1" t="str">
        <f t="shared" si="153"/>
        <v>7</v>
      </c>
      <c r="AQ220" s="1" t="str">
        <f t="shared" si="153"/>
        <v>32</v>
      </c>
      <c r="AR220" s="1" t="str">
        <f t="shared" si="153"/>
        <v>8</v>
      </c>
      <c r="AS220" s="1" t="str">
        <f t="shared" si="153"/>
        <v>19</v>
      </c>
      <c r="AT220" s="1" t="str">
        <f t="shared" si="153"/>
        <v>34</v>
      </c>
      <c r="AU220" s="1" t="str">
        <f t="shared" si="153"/>
        <v>3</v>
      </c>
    </row>
    <row r="221" spans="1:47">
      <c r="A221" s="1" t="str">
        <f t="shared" si="129"/>
        <v>   2.2.4) Infant mortality</v>
      </c>
      <c r="B221" s="1" t="str">
        <f t="shared" ref="B221:AU221" si="154">IF(B156&gt;1,"=","")&amp;B91</f>
        <v>27</v>
      </c>
      <c r="C221" s="1" t="str">
        <f t="shared" si="154"/>
        <v>17</v>
      </c>
      <c r="D221" s="1" t="str">
        <f t="shared" si="154"/>
        <v>=32</v>
      </c>
      <c r="E221" s="1" t="str">
        <f t="shared" si="154"/>
        <v>13</v>
      </c>
      <c r="F221" s="1" t="str">
        <f t="shared" si="154"/>
        <v>9</v>
      </c>
      <c r="G221" s="1" t="str">
        <f t="shared" si="154"/>
        <v>8</v>
      </c>
      <c r="H221" s="1" t="str">
        <f t="shared" si="154"/>
        <v>36</v>
      </c>
      <c r="I221" s="1" t="str">
        <f t="shared" si="154"/>
        <v>31</v>
      </c>
      <c r="J221" s="1" t="str">
        <f t="shared" si="154"/>
        <v>44</v>
      </c>
      <c r="K221" s="1" t="str">
        <f t="shared" si="154"/>
        <v>29</v>
      </c>
      <c r="L221" s="1" t="str">
        <f t="shared" si="154"/>
        <v>1</v>
      </c>
      <c r="M221" s="1" t="str">
        <f t="shared" si="154"/>
        <v>43</v>
      </c>
      <c r="N221" s="1" t="str">
        <f t="shared" si="154"/>
        <v>2</v>
      </c>
      <c r="O221" s="1" t="str">
        <f t="shared" si="154"/>
        <v>25</v>
      </c>
      <c r="P221" s="1" t="str">
        <f t="shared" si="154"/>
        <v>39</v>
      </c>
      <c r="Q221" s="1" t="str">
        <f t="shared" si="154"/>
        <v>23</v>
      </c>
      <c r="R221" s="1" t="str">
        <f t="shared" si="154"/>
        <v>35</v>
      </c>
      <c r="S221" s="1" t="str">
        <f t="shared" si="154"/>
        <v>37</v>
      </c>
      <c r="T221" s="1" t="str">
        <f t="shared" si="154"/>
        <v>=18</v>
      </c>
      <c r="U221" s="1" t="str">
        <f t="shared" si="154"/>
        <v>=20</v>
      </c>
      <c r="V221" s="1" t="str">
        <f t="shared" si="154"/>
        <v>15</v>
      </c>
      <c r="W221" s="1" t="str">
        <f t="shared" si="154"/>
        <v>12</v>
      </c>
      <c r="X221" s="1" t="str">
        <f t="shared" si="154"/>
        <v>41</v>
      </c>
      <c r="Y221" s="1" t="str">
        <f t="shared" si="154"/>
        <v>7</v>
      </c>
      <c r="Z221" s="1" t="str">
        <f t="shared" si="154"/>
        <v>34</v>
      </c>
      <c r="AA221" s="1" t="str">
        <f t="shared" si="154"/>
        <v>45</v>
      </c>
      <c r="AB221" s="1" t="str">
        <f t="shared" si="154"/>
        <v>=20</v>
      </c>
      <c r="AC221" s="1" t="str">
        <f t="shared" si="154"/>
        <v>4</v>
      </c>
      <c r="AD221" s="1" t="str">
        <f t="shared" si="154"/>
        <v>14</v>
      </c>
      <c r="AE221" s="1" t="str">
        <f t="shared" si="154"/>
        <v>42</v>
      </c>
      <c r="AF221" s="1" t="str">
        <f t="shared" si="154"/>
        <v>40</v>
      </c>
      <c r="AG221" s="1" t="str">
        <f t="shared" si="154"/>
        <v>30</v>
      </c>
      <c r="AH221" s="1" t="str">
        <f t="shared" si="154"/>
        <v>10</v>
      </c>
      <c r="AI221" s="1" t="str">
        <f t="shared" si="154"/>
        <v>=32</v>
      </c>
      <c r="AJ221" s="1" t="str">
        <f t="shared" si="154"/>
        <v>38</v>
      </c>
      <c r="AK221" s="1" t="str">
        <f t="shared" si="154"/>
        <v>22</v>
      </c>
      <c r="AL221" s="1" t="str">
        <f t="shared" si="154"/>
        <v>26</v>
      </c>
      <c r="AM221" s="1" t="str">
        <f t="shared" si="154"/>
        <v>6</v>
      </c>
      <c r="AN221" s="1" t="str">
        <f t="shared" si="154"/>
        <v>3</v>
      </c>
      <c r="AO221" s="1" t="str">
        <f t="shared" si="154"/>
        <v>11</v>
      </c>
      <c r="AP221" s="1" t="str">
        <f t="shared" si="154"/>
        <v>16</v>
      </c>
      <c r="AQ221" s="1" t="str">
        <f t="shared" si="154"/>
        <v>46</v>
      </c>
      <c r="AR221" s="1" t="str">
        <f t="shared" si="154"/>
        <v>5</v>
      </c>
      <c r="AS221" s="1" t="str">
        <f t="shared" si="154"/>
        <v>28</v>
      </c>
      <c r="AT221" s="1" t="str">
        <f t="shared" si="154"/>
        <v>24</v>
      </c>
      <c r="AU221" s="1" t="str">
        <f t="shared" si="154"/>
        <v>=18</v>
      </c>
    </row>
    <row r="222" spans="1:47">
      <c r="A222" s="1" t="str">
        <f t="shared" si="129"/>
        <v>   2.2.5) Cancer mortality rate</v>
      </c>
      <c r="B222" s="1" t="str">
        <f t="shared" ref="B222:AU222" si="155">IF(B157&gt;1,"=","")&amp;B92</f>
        <v>46</v>
      </c>
      <c r="C222" s="1" t="str">
        <f t="shared" si="155"/>
        <v>41</v>
      </c>
      <c r="D222" s="1" t="str">
        <f t="shared" si="155"/>
        <v>31</v>
      </c>
      <c r="E222" s="1" t="str">
        <f t="shared" si="155"/>
        <v>=15</v>
      </c>
      <c r="F222" s="1" t="str">
        <f t="shared" si="155"/>
        <v>24</v>
      </c>
      <c r="G222" s="1" t="str">
        <f t="shared" si="155"/>
        <v>42</v>
      </c>
      <c r="H222" s="1" t="str">
        <f t="shared" si="155"/>
        <v>22</v>
      </c>
      <c r="I222" s="1" t="str">
        <f t="shared" si="155"/>
        <v>37</v>
      </c>
      <c r="J222" s="1" t="str">
        <f t="shared" si="155"/>
        <v>3</v>
      </c>
      <c r="K222" s="1" t="str">
        <f t="shared" si="155"/>
        <v>9</v>
      </c>
      <c r="L222" s="1" t="str">
        <f t="shared" si="155"/>
        <v>17</v>
      </c>
      <c r="M222" s="1" t="str">
        <f t="shared" si="155"/>
        <v>20</v>
      </c>
      <c r="N222" s="1" t="str">
        <f t="shared" si="155"/>
        <v>21</v>
      </c>
      <c r="O222" s="1" t="str">
        <f t="shared" si="155"/>
        <v>26</v>
      </c>
      <c r="P222" s="1" t="str">
        <f t="shared" si="155"/>
        <v>11</v>
      </c>
      <c r="Q222" s="1" t="str">
        <f t="shared" si="155"/>
        <v>7</v>
      </c>
      <c r="R222" s="1" t="str">
        <f t="shared" si="155"/>
        <v>5</v>
      </c>
      <c r="S222" s="1" t="str">
        <f t="shared" si="155"/>
        <v>13</v>
      </c>
      <c r="T222" s="1" t="str">
        <f t="shared" si="155"/>
        <v>33</v>
      </c>
      <c r="U222" s="1" t="str">
        <f t="shared" si="155"/>
        <v>45</v>
      </c>
      <c r="V222" s="1" t="str">
        <f t="shared" si="155"/>
        <v>=15</v>
      </c>
      <c r="W222" s="1" t="str">
        <f t="shared" si="155"/>
        <v>38</v>
      </c>
      <c r="X222" s="1" t="str">
        <f t="shared" si="155"/>
        <v>8</v>
      </c>
      <c r="Y222" s="1" t="str">
        <f t="shared" si="155"/>
        <v>29</v>
      </c>
      <c r="Z222" s="1" t="str">
        <f t="shared" si="155"/>
        <v>25</v>
      </c>
      <c r="AA222" s="1" t="str">
        <f t="shared" si="155"/>
        <v>6</v>
      </c>
      <c r="AB222" s="1" t="str">
        <f t="shared" si="155"/>
        <v>1</v>
      </c>
      <c r="AC222" s="1" t="str">
        <f t="shared" si="155"/>
        <v>44</v>
      </c>
      <c r="AD222" s="1" t="str">
        <f t="shared" si="155"/>
        <v>35</v>
      </c>
      <c r="AE222" s="1" t="str">
        <f t="shared" si="155"/>
        <v>=18</v>
      </c>
      <c r="AF222" s="1" t="str">
        <f t="shared" si="155"/>
        <v>4</v>
      </c>
      <c r="AG222" s="1" t="str">
        <f t="shared" si="155"/>
        <v>28</v>
      </c>
      <c r="AH222" s="1" t="str">
        <f t="shared" si="155"/>
        <v>32</v>
      </c>
      <c r="AI222" s="1" t="str">
        <f t="shared" si="155"/>
        <v>2</v>
      </c>
      <c r="AJ222" s="1" t="str">
        <f t="shared" si="155"/>
        <v>=18</v>
      </c>
      <c r="AK222" s="1" t="str">
        <f t="shared" si="155"/>
        <v>23</v>
      </c>
      <c r="AL222" s="1" t="str">
        <f t="shared" si="155"/>
        <v>27</v>
      </c>
      <c r="AM222" s="1" t="str">
        <f t="shared" si="155"/>
        <v>12</v>
      </c>
      <c r="AN222" s="1" t="str">
        <f t="shared" si="155"/>
        <v>36</v>
      </c>
      <c r="AO222" s="1" t="str">
        <f t="shared" si="155"/>
        <v>34</v>
      </c>
      <c r="AP222" s="1" t="str">
        <f t="shared" si="155"/>
        <v>39</v>
      </c>
      <c r="AQ222" s="1" t="str">
        <f t="shared" si="155"/>
        <v>10</v>
      </c>
      <c r="AR222" s="1" t="str">
        <f t="shared" si="155"/>
        <v>43</v>
      </c>
      <c r="AS222" s="1" t="str">
        <f t="shared" si="155"/>
        <v>30</v>
      </c>
      <c r="AT222" s="1" t="str">
        <f t="shared" si="155"/>
        <v>40</v>
      </c>
      <c r="AU222" s="1" t="str">
        <f t="shared" si="155"/>
        <v>14</v>
      </c>
    </row>
    <row r="223" spans="1:47">
      <c r="A223" s="1" t="str">
        <f t="shared" si="129"/>
        <v>   2.2.6) Number of attacks using biological, chemical and/or radiological weapons</v>
      </c>
      <c r="B223" s="1" t="str">
        <f t="shared" ref="B223:AU223" si="156">IF(B158&gt;1,"=","")&amp;B93</f>
        <v>=1</v>
      </c>
      <c r="C223" s="1" t="str">
        <f t="shared" si="156"/>
        <v>=1</v>
      </c>
      <c r="D223" s="1" t="str">
        <f t="shared" si="156"/>
        <v>=1</v>
      </c>
      <c r="E223" s="1" t="str">
        <f t="shared" si="156"/>
        <v>=1</v>
      </c>
      <c r="F223" s="1" t="str">
        <f t="shared" si="156"/>
        <v>=1</v>
      </c>
      <c r="G223" s="1" t="str">
        <f t="shared" si="156"/>
        <v>=1</v>
      </c>
      <c r="H223" s="1" t="str">
        <f t="shared" si="156"/>
        <v>=1</v>
      </c>
      <c r="I223" s="1" t="str">
        <f t="shared" si="156"/>
        <v>=1</v>
      </c>
      <c r="J223" s="1" t="str">
        <f t="shared" si="156"/>
        <v>=1</v>
      </c>
      <c r="K223" s="1" t="str">
        <f t="shared" si="156"/>
        <v>=1</v>
      </c>
      <c r="L223" s="1" t="str">
        <f t="shared" si="156"/>
        <v>=1</v>
      </c>
      <c r="M223" s="1" t="str">
        <f t="shared" si="156"/>
        <v>=1</v>
      </c>
      <c r="N223" s="1" t="str">
        <f t="shared" si="156"/>
        <v>46</v>
      </c>
      <c r="O223" s="1" t="str">
        <f t="shared" si="156"/>
        <v>=1</v>
      </c>
      <c r="P223" s="1" t="str">
        <f t="shared" si="156"/>
        <v>=1</v>
      </c>
      <c r="Q223" s="1" t="str">
        <f t="shared" si="156"/>
        <v>=1</v>
      </c>
      <c r="R223" s="1" t="str">
        <f t="shared" si="156"/>
        <v>=1</v>
      </c>
      <c r="S223" s="1" t="str">
        <f t="shared" si="156"/>
        <v>=1</v>
      </c>
      <c r="T223" s="1" t="str">
        <f t="shared" si="156"/>
        <v>=1</v>
      </c>
      <c r="U223" s="1" t="str">
        <f t="shared" si="156"/>
        <v>=1</v>
      </c>
      <c r="V223" s="1" t="str">
        <f t="shared" si="156"/>
        <v>=1</v>
      </c>
      <c r="W223" s="1" t="str">
        <f t="shared" si="156"/>
        <v>=1</v>
      </c>
      <c r="X223" s="1" t="str">
        <f t="shared" si="156"/>
        <v>=1</v>
      </c>
      <c r="Y223" s="1" t="str">
        <f t="shared" si="156"/>
        <v>=1</v>
      </c>
      <c r="Z223" s="1" t="str">
        <f t="shared" si="156"/>
        <v>=1</v>
      </c>
      <c r="AA223" s="1" t="str">
        <f t="shared" si="156"/>
        <v>=1</v>
      </c>
      <c r="AB223" s="1" t="str">
        <f t="shared" si="156"/>
        <v>=1</v>
      </c>
      <c r="AC223" s="1" t="str">
        <f t="shared" si="156"/>
        <v>=1</v>
      </c>
      <c r="AD223" s="1" t="str">
        <f t="shared" si="156"/>
        <v>=1</v>
      </c>
      <c r="AE223" s="1" t="str">
        <f t="shared" si="156"/>
        <v>=1</v>
      </c>
      <c r="AF223" s="1" t="str">
        <f t="shared" si="156"/>
        <v>=1</v>
      </c>
      <c r="AG223" s="1" t="str">
        <f t="shared" si="156"/>
        <v>=1</v>
      </c>
      <c r="AH223" s="1" t="str">
        <f t="shared" si="156"/>
        <v>=1</v>
      </c>
      <c r="AI223" s="1" t="str">
        <f t="shared" si="156"/>
        <v>=1</v>
      </c>
      <c r="AJ223" s="1" t="str">
        <f t="shared" si="156"/>
        <v>=1</v>
      </c>
      <c r="AK223" s="1" t="str">
        <f t="shared" si="156"/>
        <v>=1</v>
      </c>
      <c r="AL223" s="1" t="str">
        <f t="shared" si="156"/>
        <v>=1</v>
      </c>
      <c r="AM223" s="1" t="str">
        <f t="shared" si="156"/>
        <v>=1</v>
      </c>
      <c r="AN223" s="1" t="str">
        <f t="shared" si="156"/>
        <v>=1</v>
      </c>
      <c r="AO223" s="1" t="str">
        <f t="shared" si="156"/>
        <v>=1</v>
      </c>
      <c r="AP223" s="1" t="str">
        <f t="shared" si="156"/>
        <v>=1</v>
      </c>
      <c r="AQ223" s="1" t="str">
        <f t="shared" si="156"/>
        <v>=1</v>
      </c>
      <c r="AR223" s="1" t="str">
        <f t="shared" si="156"/>
        <v>=1</v>
      </c>
      <c r="AS223" s="1" t="str">
        <f t="shared" si="156"/>
        <v>=1</v>
      </c>
      <c r="AT223" s="1" t="str">
        <f t="shared" si="156"/>
        <v>=1</v>
      </c>
      <c r="AU223" s="1" t="str">
        <f t="shared" si="156"/>
        <v>=1</v>
      </c>
    </row>
    <row r="224" spans="1:47">
      <c r="A224" s="1" t="str">
        <f t="shared" si="129"/>
        <v> 3) INFRASTRUCTURE SECURITY</v>
      </c>
      <c r="B224" s="1" t="str">
        <f t="shared" ref="B224:AU224" si="157">IF(B159&gt;1,"=","")&amp;B94</f>
        <v>11</v>
      </c>
      <c r="C224" s="1" t="str">
        <f t="shared" si="157"/>
        <v>4</v>
      </c>
      <c r="D224" s="1" t="str">
        <f t="shared" si="157"/>
        <v>44</v>
      </c>
      <c r="E224" s="1" t="str">
        <f t="shared" si="157"/>
        <v>9</v>
      </c>
      <c r="F224" s="1" t="str">
        <f t="shared" si="157"/>
        <v>26</v>
      </c>
      <c r="G224" s="1" t="str">
        <f t="shared" si="157"/>
        <v>14</v>
      </c>
      <c r="H224" s="1" t="str">
        <f t="shared" si="157"/>
        <v>25</v>
      </c>
      <c r="I224" s="1" t="str">
        <f t="shared" si="157"/>
        <v>12</v>
      </c>
      <c r="J224" s="1" t="str">
        <f t="shared" si="157"/>
        <v>42</v>
      </c>
      <c r="K224" s="1" t="str">
        <f t="shared" si="157"/>
        <v>31</v>
      </c>
      <c r="L224" s="1" t="str">
        <f t="shared" si="157"/>
        <v>16</v>
      </c>
      <c r="M224" s="1" t="str">
        <f t="shared" si="157"/>
        <v>46</v>
      </c>
      <c r="N224" s="1" t="str">
        <f t="shared" si="157"/>
        <v>33</v>
      </c>
      <c r="O224" s="1" t="str">
        <f t="shared" si="157"/>
        <v>36</v>
      </c>
      <c r="P224" s="1" t="str">
        <f t="shared" si="157"/>
        <v>43</v>
      </c>
      <c r="Q224" s="1" t="str">
        <f t="shared" si="157"/>
        <v>39</v>
      </c>
      <c r="R224" s="1" t="str">
        <f t="shared" si="157"/>
        <v>35</v>
      </c>
      <c r="S224" s="1" t="str">
        <f t="shared" si="157"/>
        <v>24</v>
      </c>
      <c r="T224" s="1" t="str">
        <f t="shared" si="157"/>
        <v>37</v>
      </c>
      <c r="U224" s="1" t="str">
        <f t="shared" si="157"/>
        <v>18</v>
      </c>
      <c r="V224" s="1" t="str">
        <f t="shared" si="157"/>
        <v>19</v>
      </c>
      <c r="W224" s="1" t="str">
        <f t="shared" si="157"/>
        <v>2</v>
      </c>
      <c r="X224" s="1" t="str">
        <f t="shared" si="157"/>
        <v>41</v>
      </c>
      <c r="Y224" s="1" t="str">
        <f t="shared" si="157"/>
        <v>21</v>
      </c>
      <c r="Z224" s="1" t="str">
        <f t="shared" si="157"/>
        <v>34</v>
      </c>
      <c r="AA224" s="1" t="str">
        <f t="shared" si="157"/>
        <v>45</v>
      </c>
      <c r="AB224" s="1" t="str">
        <f t="shared" si="157"/>
        <v>15</v>
      </c>
      <c r="AC224" s="1" t="str">
        <f t="shared" si="157"/>
        <v>8</v>
      </c>
      <c r="AD224" s="1" t="str">
        <f t="shared" si="157"/>
        <v>=28</v>
      </c>
      <c r="AE224" s="1" t="str">
        <f t="shared" si="157"/>
        <v>30</v>
      </c>
      <c r="AF224" s="1" t="str">
        <f t="shared" si="157"/>
        <v>40</v>
      </c>
      <c r="AG224" s="1" t="str">
        <f t="shared" si="157"/>
        <v>17</v>
      </c>
      <c r="AH224" s="1" t="str">
        <f t="shared" si="157"/>
        <v>10</v>
      </c>
      <c r="AI224" s="1" t="str">
        <f t="shared" si="157"/>
        <v>32</v>
      </c>
      <c r="AJ224" s="1" t="str">
        <f t="shared" si="157"/>
        <v>27</v>
      </c>
      <c r="AK224" s="1" t="str">
        <f t="shared" si="157"/>
        <v>13</v>
      </c>
      <c r="AL224" s="1" t="str">
        <f t="shared" si="157"/>
        <v>=28</v>
      </c>
      <c r="AM224" s="1" t="str">
        <f t="shared" si="157"/>
        <v>6</v>
      </c>
      <c r="AN224" s="1" t="str">
        <f t="shared" si="157"/>
        <v>20</v>
      </c>
      <c r="AO224" s="1" t="str">
        <f t="shared" si="157"/>
        <v>3</v>
      </c>
      <c r="AP224" s="1" t="str">
        <f t="shared" si="157"/>
        <v>23</v>
      </c>
      <c r="AQ224" s="1" t="str">
        <f t="shared" si="157"/>
        <v>38</v>
      </c>
      <c r="AR224" s="1" t="str">
        <f t="shared" si="157"/>
        <v>5</v>
      </c>
      <c r="AS224" s="1" t="str">
        <f t="shared" si="157"/>
        <v>7</v>
      </c>
      <c r="AT224" s="1" t="str">
        <f t="shared" si="157"/>
        <v>22</v>
      </c>
      <c r="AU224" s="1" t="str">
        <f t="shared" si="157"/>
        <v>1</v>
      </c>
    </row>
    <row r="225" spans="1:47">
      <c r="A225" s="1" t="str">
        <f t="shared" si="129"/>
        <v>  3.1) Infrastructure security (Inputs)</v>
      </c>
      <c r="B225" s="1" t="str">
        <f t="shared" ref="B225:AU225" si="158">IF(B160&gt;1,"=","")&amp;B95</f>
        <v>20</v>
      </c>
      <c r="C225" s="1" t="str">
        <f t="shared" si="158"/>
        <v>=9</v>
      </c>
      <c r="D225" s="1" t="str">
        <f t="shared" si="158"/>
        <v>41</v>
      </c>
      <c r="E225" s="1" t="str">
        <f t="shared" si="158"/>
        <v>=7</v>
      </c>
      <c r="F225" s="1" t="str">
        <f t="shared" si="158"/>
        <v>=28</v>
      </c>
      <c r="G225" s="1" t="str">
        <f t="shared" si="158"/>
        <v>=18</v>
      </c>
      <c r="H225" s="1" t="str">
        <f t="shared" si="158"/>
        <v>=18</v>
      </c>
      <c r="I225" s="1" t="str">
        <f t="shared" si="158"/>
        <v>=12</v>
      </c>
      <c r="J225" s="1" t="str">
        <f t="shared" si="158"/>
        <v>44</v>
      </c>
      <c r="K225" s="1" t="str">
        <f t="shared" si="158"/>
        <v>37</v>
      </c>
      <c r="L225" s="1" t="str">
        <f t="shared" si="158"/>
        <v>=2</v>
      </c>
      <c r="M225" s="1" t="str">
        <f t="shared" si="158"/>
        <v>46</v>
      </c>
      <c r="N225" s="1" t="str">
        <f t="shared" si="158"/>
        <v>24</v>
      </c>
      <c r="O225" s="1" t="str">
        <f t="shared" si="158"/>
        <v>27</v>
      </c>
      <c r="P225" s="1" t="str">
        <f t="shared" si="158"/>
        <v>40</v>
      </c>
      <c r="Q225" s="1" t="str">
        <f t="shared" si="158"/>
        <v>=38</v>
      </c>
      <c r="R225" s="1" t="str">
        <f t="shared" si="158"/>
        <v>=38</v>
      </c>
      <c r="S225" s="1" t="str">
        <f t="shared" si="158"/>
        <v>23</v>
      </c>
      <c r="T225" s="1" t="str">
        <f t="shared" si="158"/>
        <v>33</v>
      </c>
      <c r="U225" s="1" t="str">
        <f t="shared" si="158"/>
        <v>21</v>
      </c>
      <c r="V225" s="1" t="str">
        <f t="shared" si="158"/>
        <v>=7</v>
      </c>
      <c r="W225" s="1" t="str">
        <f t="shared" si="158"/>
        <v>=2</v>
      </c>
      <c r="X225" s="1" t="str">
        <f t="shared" si="158"/>
        <v>=35</v>
      </c>
      <c r="Y225" s="1" t="str">
        <f t="shared" si="158"/>
        <v>17</v>
      </c>
      <c r="Z225" s="1" t="str">
        <f t="shared" si="158"/>
        <v>26</v>
      </c>
      <c r="AA225" s="1" t="str">
        <f t="shared" si="158"/>
        <v>45</v>
      </c>
      <c r="AB225" s="1" t="str">
        <f t="shared" si="158"/>
        <v>=12</v>
      </c>
      <c r="AC225" s="1" t="str">
        <f t="shared" si="158"/>
        <v>=2</v>
      </c>
      <c r="AD225" s="1" t="str">
        <f t="shared" si="158"/>
        <v>=31</v>
      </c>
      <c r="AE225" s="1" t="str">
        <f t="shared" si="158"/>
        <v>=31</v>
      </c>
      <c r="AF225" s="1" t="str">
        <f t="shared" si="158"/>
        <v>42</v>
      </c>
      <c r="AG225" s="1" t="str">
        <f t="shared" si="158"/>
        <v>11</v>
      </c>
      <c r="AH225" s="1" t="str">
        <f t="shared" si="158"/>
        <v>=12</v>
      </c>
      <c r="AI225" s="1" t="str">
        <f t="shared" si="158"/>
        <v>34</v>
      </c>
      <c r="AJ225" s="1" t="str">
        <f t="shared" si="158"/>
        <v>25</v>
      </c>
      <c r="AK225" s="1" t="str">
        <f t="shared" si="158"/>
        <v>22</v>
      </c>
      <c r="AL225" s="1" t="str">
        <f t="shared" si="158"/>
        <v>=28</v>
      </c>
      <c r="AM225" s="1" t="str">
        <f t="shared" si="158"/>
        <v>1</v>
      </c>
      <c r="AN225" s="1" t="str">
        <f t="shared" si="158"/>
        <v>30</v>
      </c>
      <c r="AO225" s="1" t="str">
        <f t="shared" si="158"/>
        <v>=2</v>
      </c>
      <c r="AP225" s="1" t="str">
        <f t="shared" si="158"/>
        <v>=35</v>
      </c>
      <c r="AQ225" s="1" t="str">
        <f t="shared" si="158"/>
        <v>43</v>
      </c>
      <c r="AR225" s="1" t="str">
        <f t="shared" si="158"/>
        <v>=2</v>
      </c>
      <c r="AS225" s="1" t="str">
        <f t="shared" si="158"/>
        <v>=12</v>
      </c>
      <c r="AT225" s="1" t="str">
        <f t="shared" si="158"/>
        <v>=12</v>
      </c>
      <c r="AU225" s="1" t="str">
        <f t="shared" si="158"/>
        <v>=9</v>
      </c>
    </row>
    <row r="226" spans="1:47">
      <c r="A226" s="1" t="str">
        <f t="shared" si="129"/>
        <v>   3.1.1) Enforcement of transport safety</v>
      </c>
      <c r="B226" s="1" t="str">
        <f t="shared" ref="B226:AU226" si="159">IF(B161&gt;1,"=","")&amp;B96</f>
        <v>=2</v>
      </c>
      <c r="C226" s="1" t="str">
        <f t="shared" si="159"/>
        <v>=20</v>
      </c>
      <c r="D226" s="1" t="str">
        <f t="shared" si="159"/>
        <v>=35</v>
      </c>
      <c r="E226" s="1" t="str">
        <f t="shared" si="159"/>
        <v>=17</v>
      </c>
      <c r="F226" s="1" t="str">
        <f t="shared" si="159"/>
        <v>=37</v>
      </c>
      <c r="G226" s="1" t="str">
        <f t="shared" si="159"/>
        <v>=30</v>
      </c>
      <c r="H226" s="1" t="str">
        <f t="shared" si="159"/>
        <v>=30</v>
      </c>
      <c r="I226" s="1" t="str">
        <f t="shared" si="159"/>
        <v>=11</v>
      </c>
      <c r="J226" s="1" t="str">
        <f t="shared" si="159"/>
        <v>=42</v>
      </c>
      <c r="K226" s="1" t="str">
        <f t="shared" si="159"/>
        <v>=20</v>
      </c>
      <c r="L226" s="1" t="str">
        <f t="shared" si="159"/>
        <v>=6</v>
      </c>
      <c r="M226" s="1" t="str">
        <f t="shared" si="159"/>
        <v>=44</v>
      </c>
      <c r="N226" s="1" t="str">
        <f t="shared" si="159"/>
        <v>=44</v>
      </c>
      <c r="O226" s="1" t="str">
        <f t="shared" si="159"/>
        <v>4</v>
      </c>
      <c r="P226" s="1" t="str">
        <f t="shared" si="159"/>
        <v>=27</v>
      </c>
      <c r="Q226" s="1" t="str">
        <f t="shared" si="159"/>
        <v>=40</v>
      </c>
      <c r="R226" s="1" t="str">
        <f t="shared" si="159"/>
        <v>=40</v>
      </c>
      <c r="S226" s="1" t="str">
        <f t="shared" si="159"/>
        <v>=37</v>
      </c>
      <c r="T226" s="1" t="str">
        <f t="shared" si="159"/>
        <v>5</v>
      </c>
      <c r="U226" s="1" t="str">
        <f t="shared" si="159"/>
        <v>=11</v>
      </c>
      <c r="V226" s="1" t="str">
        <f t="shared" si="159"/>
        <v>=17</v>
      </c>
      <c r="W226" s="1" t="str">
        <f t="shared" si="159"/>
        <v>=6</v>
      </c>
      <c r="X226" s="1" t="str">
        <f t="shared" si="159"/>
        <v>=35</v>
      </c>
      <c r="Y226" s="1" t="str">
        <f t="shared" si="159"/>
        <v>=23</v>
      </c>
      <c r="Z226" s="1" t="str">
        <f t="shared" si="159"/>
        <v>=30</v>
      </c>
      <c r="AA226" s="1" t="str">
        <f t="shared" si="159"/>
        <v>=42</v>
      </c>
      <c r="AB226" s="1" t="str">
        <f t="shared" si="159"/>
        <v>=11</v>
      </c>
      <c r="AC226" s="1" t="str">
        <f t="shared" si="159"/>
        <v>=6</v>
      </c>
      <c r="AD226" s="1" t="str">
        <f t="shared" si="159"/>
        <v>1</v>
      </c>
      <c r="AE226" s="1" t="str">
        <f t="shared" si="159"/>
        <v>=27</v>
      </c>
      <c r="AF226" s="1" t="str">
        <f t="shared" si="159"/>
        <v>=23</v>
      </c>
      <c r="AG226" s="1" t="str">
        <f t="shared" si="159"/>
        <v>=23</v>
      </c>
      <c r="AH226" s="1" t="str">
        <f t="shared" si="159"/>
        <v>=11</v>
      </c>
      <c r="AI226" s="1" t="str">
        <f t="shared" si="159"/>
        <v>=33</v>
      </c>
      <c r="AJ226" s="1" t="str">
        <f t="shared" si="159"/>
        <v>=27</v>
      </c>
      <c r="AK226" s="1" t="str">
        <f t="shared" si="159"/>
        <v>=17</v>
      </c>
      <c r="AL226" s="1" t="str">
        <f t="shared" si="159"/>
        <v>=37</v>
      </c>
      <c r="AM226" s="1" t="str">
        <f t="shared" si="159"/>
        <v>=2</v>
      </c>
      <c r="AN226" s="1" t="str">
        <f t="shared" si="159"/>
        <v>26</v>
      </c>
      <c r="AO226" s="1" t="str">
        <f t="shared" si="159"/>
        <v>=6</v>
      </c>
      <c r="AP226" s="1" t="str">
        <f t="shared" si="159"/>
        <v>=44</v>
      </c>
      <c r="AQ226" s="1" t="str">
        <f t="shared" si="159"/>
        <v>=33</v>
      </c>
      <c r="AR226" s="1" t="str">
        <f t="shared" si="159"/>
        <v>=6</v>
      </c>
      <c r="AS226" s="1" t="str">
        <f t="shared" si="159"/>
        <v>=11</v>
      </c>
      <c r="AT226" s="1" t="str">
        <f t="shared" si="159"/>
        <v>=11</v>
      </c>
      <c r="AU226" s="1" t="str">
        <f t="shared" si="159"/>
        <v>=20</v>
      </c>
    </row>
    <row r="227" spans="1:47">
      <c r="A227" s="1" t="str">
        <f t="shared" si="129"/>
        <v>   3.1.2) Pedestrian friendliness</v>
      </c>
      <c r="B227" s="1" t="str">
        <f t="shared" ref="B227:AU227" si="160">IF(B162&gt;1,"=","")&amp;B97</f>
        <v>=1</v>
      </c>
      <c r="C227" s="1" t="str">
        <f t="shared" si="160"/>
        <v>=1</v>
      </c>
      <c r="D227" s="1" t="str">
        <f t="shared" si="160"/>
        <v>=39</v>
      </c>
      <c r="E227" s="1" t="str">
        <f t="shared" si="160"/>
        <v>=1</v>
      </c>
      <c r="F227" s="1" t="str">
        <f t="shared" si="160"/>
        <v>=1</v>
      </c>
      <c r="G227" s="1" t="str">
        <f t="shared" si="160"/>
        <v>=1</v>
      </c>
      <c r="H227" s="1" t="str">
        <f t="shared" si="160"/>
        <v>=1</v>
      </c>
      <c r="I227" s="1" t="str">
        <f t="shared" si="160"/>
        <v>=1</v>
      </c>
      <c r="J227" s="1" t="str">
        <f t="shared" si="160"/>
        <v>=35</v>
      </c>
      <c r="K227" s="1" t="str">
        <f t="shared" si="160"/>
        <v>=39</v>
      </c>
      <c r="L227" s="1" t="str">
        <f t="shared" si="160"/>
        <v>=1</v>
      </c>
      <c r="M227" s="1" t="str">
        <f t="shared" si="160"/>
        <v>=39</v>
      </c>
      <c r="N227" s="1" t="str">
        <f t="shared" si="160"/>
        <v>=1</v>
      </c>
      <c r="O227" s="1" t="str">
        <f t="shared" si="160"/>
        <v>=1</v>
      </c>
      <c r="P227" s="1" t="str">
        <f t="shared" si="160"/>
        <v>=35</v>
      </c>
      <c r="Q227" s="1" t="str">
        <f t="shared" si="160"/>
        <v>=1</v>
      </c>
      <c r="R227" s="1" t="str">
        <f t="shared" si="160"/>
        <v>=39</v>
      </c>
      <c r="S227" s="1" t="str">
        <f t="shared" si="160"/>
        <v>=1</v>
      </c>
      <c r="T227" s="1" t="str">
        <f t="shared" si="160"/>
        <v>=39</v>
      </c>
      <c r="U227" s="1" t="str">
        <f t="shared" si="160"/>
        <v>=1</v>
      </c>
      <c r="V227" s="1" t="str">
        <f t="shared" si="160"/>
        <v>=1</v>
      </c>
      <c r="W227" s="1" t="str">
        <f t="shared" si="160"/>
        <v>=1</v>
      </c>
      <c r="X227" s="1" t="str">
        <f t="shared" si="160"/>
        <v>=1</v>
      </c>
      <c r="Y227" s="1" t="str">
        <f t="shared" si="160"/>
        <v>=1</v>
      </c>
      <c r="Z227" s="1" t="str">
        <f t="shared" si="160"/>
        <v>=1</v>
      </c>
      <c r="AA227" s="1" t="str">
        <f t="shared" si="160"/>
        <v>=35</v>
      </c>
      <c r="AB227" s="1" t="str">
        <f t="shared" si="160"/>
        <v>=1</v>
      </c>
      <c r="AC227" s="1" t="str">
        <f t="shared" si="160"/>
        <v>=1</v>
      </c>
      <c r="AD227" s="1" t="str">
        <f t="shared" si="160"/>
        <v>=39</v>
      </c>
      <c r="AE227" s="1" t="str">
        <f t="shared" si="160"/>
        <v>=1</v>
      </c>
      <c r="AF227" s="1" t="str">
        <f t="shared" si="160"/>
        <v>=39</v>
      </c>
      <c r="AG227" s="1" t="str">
        <f t="shared" si="160"/>
        <v>=1</v>
      </c>
      <c r="AH227" s="1" t="str">
        <f t="shared" si="160"/>
        <v>=1</v>
      </c>
      <c r="AI227" s="1" t="str">
        <f t="shared" si="160"/>
        <v>=39</v>
      </c>
      <c r="AJ227" s="1" t="str">
        <f t="shared" si="160"/>
        <v>=1</v>
      </c>
      <c r="AK227" s="1" t="str">
        <f t="shared" si="160"/>
        <v>=1</v>
      </c>
      <c r="AL227" s="1" t="str">
        <f t="shared" si="160"/>
        <v>=1</v>
      </c>
      <c r="AM227" s="1" t="str">
        <f t="shared" si="160"/>
        <v>=1</v>
      </c>
      <c r="AN227" s="1" t="str">
        <f t="shared" si="160"/>
        <v>=1</v>
      </c>
      <c r="AO227" s="1" t="str">
        <f t="shared" si="160"/>
        <v>=1</v>
      </c>
      <c r="AP227" s="1" t="str">
        <f t="shared" si="160"/>
        <v>=1</v>
      </c>
      <c r="AQ227" s="1" t="str">
        <f t="shared" si="160"/>
        <v>=35</v>
      </c>
      <c r="AR227" s="1" t="str">
        <f t="shared" si="160"/>
        <v>=1</v>
      </c>
      <c r="AS227" s="1" t="str">
        <f t="shared" si="160"/>
        <v>=1</v>
      </c>
      <c r="AT227" s="1" t="str">
        <f t="shared" si="160"/>
        <v>=1</v>
      </c>
      <c r="AU227" s="1" t="str">
        <f t="shared" si="160"/>
        <v>=1</v>
      </c>
    </row>
    <row r="228" spans="1:47">
      <c r="A228" s="1" t="str">
        <f t="shared" si="129"/>
        <v>   3.1.3) Quality of road infrastructure</v>
      </c>
      <c r="B228" s="1" t="str">
        <f t="shared" ref="B228:AU228" si="161">IF(B163&gt;1,"=","")&amp;B98</f>
        <v>=1</v>
      </c>
      <c r="C228" s="1" t="str">
        <f t="shared" si="161"/>
        <v>=1</v>
      </c>
      <c r="D228" s="1" t="str">
        <f t="shared" si="161"/>
        <v>=43</v>
      </c>
      <c r="E228" s="1" t="str">
        <f t="shared" si="161"/>
        <v>=1</v>
      </c>
      <c r="F228" s="1" t="str">
        <f t="shared" si="161"/>
        <v>=14</v>
      </c>
      <c r="G228" s="1" t="str">
        <f t="shared" si="161"/>
        <v>=14</v>
      </c>
      <c r="H228" s="1" t="str">
        <f t="shared" si="161"/>
        <v>=14</v>
      </c>
      <c r="I228" s="1" t="str">
        <f t="shared" si="161"/>
        <v>=14</v>
      </c>
      <c r="J228" s="1" t="str">
        <f t="shared" si="161"/>
        <v>=35</v>
      </c>
      <c r="K228" s="1" t="str">
        <f t="shared" si="161"/>
        <v>=14</v>
      </c>
      <c r="L228" s="1" t="str">
        <f t="shared" si="161"/>
        <v>=1</v>
      </c>
      <c r="M228" s="1" t="str">
        <f t="shared" si="161"/>
        <v>=43</v>
      </c>
      <c r="N228" s="1" t="str">
        <f t="shared" si="161"/>
        <v>=1</v>
      </c>
      <c r="O228" s="1" t="str">
        <f t="shared" si="161"/>
        <v>=35</v>
      </c>
      <c r="P228" s="1" t="str">
        <f t="shared" si="161"/>
        <v>=35</v>
      </c>
      <c r="Q228" s="1" t="str">
        <f t="shared" si="161"/>
        <v>=35</v>
      </c>
      <c r="R228" s="1" t="str">
        <f t="shared" si="161"/>
        <v>=14</v>
      </c>
      <c r="S228" s="1" t="str">
        <f t="shared" si="161"/>
        <v>=14</v>
      </c>
      <c r="T228" s="1" t="str">
        <f t="shared" si="161"/>
        <v>=14</v>
      </c>
      <c r="U228" s="1" t="str">
        <f t="shared" si="161"/>
        <v>=14</v>
      </c>
      <c r="V228" s="1" t="str">
        <f t="shared" si="161"/>
        <v>=1</v>
      </c>
      <c r="W228" s="1" t="str">
        <f t="shared" si="161"/>
        <v>=1</v>
      </c>
      <c r="X228" s="1" t="str">
        <f t="shared" si="161"/>
        <v>=35</v>
      </c>
      <c r="Y228" s="1" t="str">
        <f t="shared" si="161"/>
        <v>=14</v>
      </c>
      <c r="Z228" s="1" t="str">
        <f t="shared" si="161"/>
        <v>=14</v>
      </c>
      <c r="AA228" s="1" t="str">
        <f t="shared" si="161"/>
        <v>46</v>
      </c>
      <c r="AB228" s="1" t="str">
        <f t="shared" si="161"/>
        <v>=14</v>
      </c>
      <c r="AC228" s="1" t="str">
        <f t="shared" si="161"/>
        <v>=1</v>
      </c>
      <c r="AD228" s="1" t="str">
        <f t="shared" si="161"/>
        <v>=14</v>
      </c>
      <c r="AE228" s="1" t="str">
        <f t="shared" si="161"/>
        <v>=35</v>
      </c>
      <c r="AF228" s="1" t="str">
        <f t="shared" si="161"/>
        <v>=35</v>
      </c>
      <c r="AG228" s="1" t="str">
        <f t="shared" si="161"/>
        <v>=1</v>
      </c>
      <c r="AH228" s="1" t="str">
        <f t="shared" si="161"/>
        <v>=14</v>
      </c>
      <c r="AI228" s="1" t="str">
        <f t="shared" si="161"/>
        <v>=14</v>
      </c>
      <c r="AJ228" s="1" t="str">
        <f t="shared" si="161"/>
        <v>=14</v>
      </c>
      <c r="AK228" s="1" t="str">
        <f t="shared" si="161"/>
        <v>=14</v>
      </c>
      <c r="AL228" s="1" t="str">
        <f t="shared" si="161"/>
        <v>=14</v>
      </c>
      <c r="AM228" s="1" t="str">
        <f t="shared" si="161"/>
        <v>=1</v>
      </c>
      <c r="AN228" s="1" t="str">
        <f t="shared" si="161"/>
        <v>=43</v>
      </c>
      <c r="AO228" s="1" t="str">
        <f t="shared" si="161"/>
        <v>=1</v>
      </c>
      <c r="AP228" s="1" t="str">
        <f t="shared" si="161"/>
        <v>=14</v>
      </c>
      <c r="AQ228" s="1" t="str">
        <f t="shared" si="161"/>
        <v>=35</v>
      </c>
      <c r="AR228" s="1" t="str">
        <f t="shared" si="161"/>
        <v>=1</v>
      </c>
      <c r="AS228" s="1" t="str">
        <f t="shared" si="161"/>
        <v>=14</v>
      </c>
      <c r="AT228" s="1" t="str">
        <f t="shared" si="161"/>
        <v>=14</v>
      </c>
      <c r="AU228" s="1" t="str">
        <f t="shared" si="161"/>
        <v>=1</v>
      </c>
    </row>
    <row r="229" spans="1:47">
      <c r="A229" s="1" t="str">
        <f t="shared" ref="A229:A258" si="162">A164</f>
        <v>   3.1.4) Quality of electricity infrastructure</v>
      </c>
      <c r="B229" s="1" t="str">
        <f t="shared" ref="B229:AU229" si="163">IF(B164&gt;1,"=","")&amp;B99</f>
        <v>=33</v>
      </c>
      <c r="C229" s="1" t="str">
        <f t="shared" si="163"/>
        <v>=1</v>
      </c>
      <c r="D229" s="1" t="str">
        <f t="shared" si="163"/>
        <v>=1</v>
      </c>
      <c r="E229" s="1" t="str">
        <f t="shared" si="163"/>
        <v>=1</v>
      </c>
      <c r="F229" s="1" t="str">
        <f t="shared" si="163"/>
        <v>=1</v>
      </c>
      <c r="G229" s="1" t="str">
        <f t="shared" si="163"/>
        <v>=1</v>
      </c>
      <c r="H229" s="1" t="str">
        <f t="shared" si="163"/>
        <v>=1</v>
      </c>
      <c r="I229" s="1" t="str">
        <f t="shared" si="163"/>
        <v>=1</v>
      </c>
      <c r="J229" s="1" t="str">
        <f t="shared" si="163"/>
        <v>=41</v>
      </c>
      <c r="K229" s="1" t="str">
        <f t="shared" si="163"/>
        <v>=33</v>
      </c>
      <c r="L229" s="1" t="str">
        <f t="shared" si="163"/>
        <v>=1</v>
      </c>
      <c r="M229" s="1" t="str">
        <f t="shared" si="163"/>
        <v>=41</v>
      </c>
      <c r="N229" s="1" t="str">
        <f t="shared" si="163"/>
        <v>=1</v>
      </c>
      <c r="O229" s="1" t="str">
        <f t="shared" si="163"/>
        <v>=33</v>
      </c>
      <c r="P229" s="1" t="str">
        <f t="shared" si="163"/>
        <v>=41</v>
      </c>
      <c r="Q229" s="1" t="str">
        <f t="shared" si="163"/>
        <v>=41</v>
      </c>
      <c r="R229" s="1" t="str">
        <f t="shared" si="163"/>
        <v>=1</v>
      </c>
      <c r="S229" s="1" t="str">
        <f t="shared" si="163"/>
        <v>=1</v>
      </c>
      <c r="T229" s="1" t="str">
        <f t="shared" si="163"/>
        <v>=1</v>
      </c>
      <c r="U229" s="1" t="str">
        <f t="shared" si="163"/>
        <v>=1</v>
      </c>
      <c r="V229" s="1" t="str">
        <f t="shared" si="163"/>
        <v>=1</v>
      </c>
      <c r="W229" s="1" t="str">
        <f t="shared" si="163"/>
        <v>=1</v>
      </c>
      <c r="X229" s="1" t="str">
        <f t="shared" si="163"/>
        <v>=41</v>
      </c>
      <c r="Y229" s="1" t="str">
        <f t="shared" si="163"/>
        <v>=1</v>
      </c>
      <c r="Z229" s="1" t="str">
        <f t="shared" si="163"/>
        <v>=1</v>
      </c>
      <c r="AA229" s="1" t="str">
        <f t="shared" si="163"/>
        <v>=33</v>
      </c>
      <c r="AB229" s="1" t="str">
        <f t="shared" si="163"/>
        <v>=1</v>
      </c>
      <c r="AC229" s="1" t="str">
        <f t="shared" si="163"/>
        <v>=1</v>
      </c>
      <c r="AD229" s="1" t="str">
        <f t="shared" si="163"/>
        <v>=1</v>
      </c>
      <c r="AE229" s="1" t="str">
        <f t="shared" si="163"/>
        <v>=1</v>
      </c>
      <c r="AF229" s="1" t="str">
        <f t="shared" si="163"/>
        <v>=33</v>
      </c>
      <c r="AG229" s="1" t="str">
        <f t="shared" si="163"/>
        <v>=1</v>
      </c>
      <c r="AH229" s="1" t="str">
        <f t="shared" si="163"/>
        <v>=1</v>
      </c>
      <c r="AI229" s="1" t="str">
        <f t="shared" si="163"/>
        <v>=1</v>
      </c>
      <c r="AJ229" s="1" t="str">
        <f t="shared" si="163"/>
        <v>=33</v>
      </c>
      <c r="AK229" s="1" t="str">
        <f t="shared" si="163"/>
        <v>=1</v>
      </c>
      <c r="AL229" s="1" t="str">
        <f t="shared" si="163"/>
        <v>=1</v>
      </c>
      <c r="AM229" s="1" t="str">
        <f t="shared" si="163"/>
        <v>=1</v>
      </c>
      <c r="AN229" s="1" t="str">
        <f t="shared" si="163"/>
        <v>=33</v>
      </c>
      <c r="AO229" s="1" t="str">
        <f t="shared" si="163"/>
        <v>=1</v>
      </c>
      <c r="AP229" s="1" t="str">
        <f t="shared" si="163"/>
        <v>=33</v>
      </c>
      <c r="AQ229" s="1" t="str">
        <f t="shared" si="163"/>
        <v>46</v>
      </c>
      <c r="AR229" s="1" t="str">
        <f t="shared" si="163"/>
        <v>=1</v>
      </c>
      <c r="AS229" s="1" t="str">
        <f t="shared" si="163"/>
        <v>=1</v>
      </c>
      <c r="AT229" s="1" t="str">
        <f t="shared" si="163"/>
        <v>=1</v>
      </c>
      <c r="AU229" s="1" t="str">
        <f t="shared" si="163"/>
        <v>=1</v>
      </c>
    </row>
    <row r="230" spans="1:47">
      <c r="A230" s="1" t="str">
        <f t="shared" si="162"/>
        <v>   3.1.5) Disaster management/business continuity plan</v>
      </c>
      <c r="B230" s="1" t="str">
        <f t="shared" ref="B230:AU230" si="164">IF(B165&gt;1,"=","")&amp;B100</f>
        <v>=27</v>
      </c>
      <c r="C230" s="1" t="str">
        <f t="shared" si="164"/>
        <v>=1</v>
      </c>
      <c r="D230" s="1" t="str">
        <f t="shared" si="164"/>
        <v>=27</v>
      </c>
      <c r="E230" s="1" t="str">
        <f t="shared" si="164"/>
        <v>=1</v>
      </c>
      <c r="F230" s="1" t="str">
        <f t="shared" si="164"/>
        <v>=36</v>
      </c>
      <c r="G230" s="1" t="str">
        <f t="shared" si="164"/>
        <v>=1</v>
      </c>
      <c r="H230" s="1" t="str">
        <f t="shared" si="164"/>
        <v>=1</v>
      </c>
      <c r="I230" s="1" t="str">
        <f t="shared" si="164"/>
        <v>=1</v>
      </c>
      <c r="J230" s="1" t="str">
        <f t="shared" si="164"/>
        <v>=45</v>
      </c>
      <c r="K230" s="1" t="str">
        <f t="shared" si="164"/>
        <v>=1</v>
      </c>
      <c r="L230" s="1" t="str">
        <f t="shared" si="164"/>
        <v>=1</v>
      </c>
      <c r="M230" s="1" t="str">
        <f t="shared" si="164"/>
        <v>=36</v>
      </c>
      <c r="N230" s="1" t="str">
        <f t="shared" si="164"/>
        <v>=1</v>
      </c>
      <c r="O230" s="1" t="str">
        <f t="shared" si="164"/>
        <v>=27</v>
      </c>
      <c r="P230" s="1" t="str">
        <f t="shared" si="164"/>
        <v>=36</v>
      </c>
      <c r="Q230" s="1" t="str">
        <f t="shared" si="164"/>
        <v>=36</v>
      </c>
      <c r="R230" s="1" t="str">
        <f t="shared" si="164"/>
        <v>=27</v>
      </c>
      <c r="S230" s="1" t="str">
        <f t="shared" si="164"/>
        <v>=1</v>
      </c>
      <c r="T230" s="1" t="str">
        <f t="shared" si="164"/>
        <v>=1</v>
      </c>
      <c r="U230" s="1" t="str">
        <f t="shared" si="164"/>
        <v>=27</v>
      </c>
      <c r="V230" s="1" t="str">
        <f t="shared" si="164"/>
        <v>=1</v>
      </c>
      <c r="W230" s="1" t="str">
        <f t="shared" si="164"/>
        <v>=1</v>
      </c>
      <c r="X230" s="1" t="str">
        <f t="shared" si="164"/>
        <v>=27</v>
      </c>
      <c r="Y230" s="1" t="str">
        <f t="shared" si="164"/>
        <v>=1</v>
      </c>
      <c r="Z230" s="1" t="str">
        <f t="shared" si="164"/>
        <v>=36</v>
      </c>
      <c r="AA230" s="1" t="str">
        <f t="shared" si="164"/>
        <v>=45</v>
      </c>
      <c r="AB230" s="1" t="str">
        <f t="shared" si="164"/>
        <v>=1</v>
      </c>
      <c r="AC230" s="1" t="str">
        <f t="shared" si="164"/>
        <v>=1</v>
      </c>
      <c r="AD230" s="1" t="str">
        <f t="shared" si="164"/>
        <v>=1</v>
      </c>
      <c r="AE230" s="1" t="str">
        <f t="shared" si="164"/>
        <v>=36</v>
      </c>
      <c r="AF230" s="1" t="str">
        <f t="shared" si="164"/>
        <v>=36</v>
      </c>
      <c r="AG230" s="1" t="str">
        <f t="shared" si="164"/>
        <v>=1</v>
      </c>
      <c r="AH230" s="1" t="str">
        <f t="shared" si="164"/>
        <v>=1</v>
      </c>
      <c r="AI230" s="1" t="str">
        <f t="shared" si="164"/>
        <v>=1</v>
      </c>
      <c r="AJ230" s="1" t="str">
        <f t="shared" si="164"/>
        <v>=27</v>
      </c>
      <c r="AK230" s="1" t="str">
        <f t="shared" si="164"/>
        <v>=27</v>
      </c>
      <c r="AL230" s="1" t="str">
        <f t="shared" si="164"/>
        <v>=36</v>
      </c>
      <c r="AM230" s="1" t="str">
        <f t="shared" si="164"/>
        <v>=1</v>
      </c>
      <c r="AN230" s="1" t="str">
        <f t="shared" si="164"/>
        <v>=1</v>
      </c>
      <c r="AO230" s="1" t="str">
        <f t="shared" si="164"/>
        <v>=1</v>
      </c>
      <c r="AP230" s="1" t="str">
        <f t="shared" si="164"/>
        <v>=27</v>
      </c>
      <c r="AQ230" s="1" t="str">
        <f t="shared" si="164"/>
        <v>=36</v>
      </c>
      <c r="AR230" s="1" t="str">
        <f t="shared" si="164"/>
        <v>=1</v>
      </c>
      <c r="AS230" s="1" t="str">
        <f t="shared" si="164"/>
        <v>=1</v>
      </c>
      <c r="AT230" s="1" t="str">
        <f t="shared" si="164"/>
        <v>=1</v>
      </c>
      <c r="AU230" s="1" t="str">
        <f t="shared" si="164"/>
        <v>=1</v>
      </c>
    </row>
    <row r="231" spans="1:47">
      <c r="A231" s="1" t="str">
        <f t="shared" si="162"/>
        <v>  3.2) Infrastructure security (Outputs)</v>
      </c>
      <c r="B231" s="1" t="str">
        <f t="shared" ref="B231:AU231" si="165">IF(B166&gt;1,"=","")&amp;B101</f>
        <v>8</v>
      </c>
      <c r="C231" s="1" t="str">
        <f t="shared" si="165"/>
        <v>5</v>
      </c>
      <c r="D231" s="1" t="str">
        <f t="shared" si="165"/>
        <v>45</v>
      </c>
      <c r="E231" s="1" t="str">
        <f t="shared" si="165"/>
        <v>24</v>
      </c>
      <c r="F231" s="1" t="str">
        <f t="shared" si="165"/>
        <v>20</v>
      </c>
      <c r="G231" s="1" t="str">
        <f t="shared" si="165"/>
        <v>15</v>
      </c>
      <c r="H231" s="1" t="str">
        <f t="shared" si="165"/>
        <v>41</v>
      </c>
      <c r="I231" s="1" t="str">
        <f t="shared" si="165"/>
        <v>16</v>
      </c>
      <c r="J231" s="1" t="str">
        <f t="shared" si="165"/>
        <v>30</v>
      </c>
      <c r="K231" s="1" t="str">
        <f t="shared" si="165"/>
        <v>12</v>
      </c>
      <c r="L231" s="1" t="str">
        <f t="shared" si="165"/>
        <v>32</v>
      </c>
      <c r="M231" s="1" t="str">
        <f t="shared" si="165"/>
        <v>27</v>
      </c>
      <c r="N231" s="1" t="str">
        <f t="shared" si="165"/>
        <v>40</v>
      </c>
      <c r="O231" s="1" t="str">
        <f t="shared" si="165"/>
        <v>43</v>
      </c>
      <c r="P231" s="1" t="str">
        <f t="shared" si="165"/>
        <v>44</v>
      </c>
      <c r="Q231" s="1" t="str">
        <f t="shared" si="165"/>
        <v>37</v>
      </c>
      <c r="R231" s="1" t="str">
        <f t="shared" si="165"/>
        <v>9</v>
      </c>
      <c r="S231" s="1" t="str">
        <f t="shared" si="165"/>
        <v>35</v>
      </c>
      <c r="T231" s="1" t="str">
        <f t="shared" si="165"/>
        <v>39</v>
      </c>
      <c r="U231" s="1" t="str">
        <f t="shared" si="165"/>
        <v>19</v>
      </c>
      <c r="V231" s="1" t="str">
        <f t="shared" si="165"/>
        <v>36</v>
      </c>
      <c r="W231" s="1" t="str">
        <f t="shared" si="165"/>
        <v>4</v>
      </c>
      <c r="X231" s="1" t="str">
        <f t="shared" si="165"/>
        <v>46</v>
      </c>
      <c r="Y231" s="1" t="str">
        <f t="shared" si="165"/>
        <v>34</v>
      </c>
      <c r="Z231" s="1" t="str">
        <f t="shared" si="165"/>
        <v>42</v>
      </c>
      <c r="AA231" s="1" t="str">
        <f t="shared" si="165"/>
        <v>31</v>
      </c>
      <c r="AB231" s="1" t="str">
        <f t="shared" si="165"/>
        <v>22</v>
      </c>
      <c r="AC231" s="1" t="str">
        <f t="shared" si="165"/>
        <v>26</v>
      </c>
      <c r="AD231" s="1" t="str">
        <f t="shared" si="165"/>
        <v>21</v>
      </c>
      <c r="AE231" s="1" t="str">
        <f t="shared" si="165"/>
        <v>25</v>
      </c>
      <c r="AF231" s="1" t="str">
        <f t="shared" si="165"/>
        <v>33</v>
      </c>
      <c r="AG231" s="1" t="str">
        <f t="shared" si="165"/>
        <v>29</v>
      </c>
      <c r="AH231" s="1" t="str">
        <f t="shared" si="165"/>
        <v>14</v>
      </c>
      <c r="AI231" s="1" t="str">
        <f t="shared" si="165"/>
        <v>18</v>
      </c>
      <c r="AJ231" s="1" t="str">
        <f t="shared" si="165"/>
        <v>28</v>
      </c>
      <c r="AK231" s="1" t="str">
        <f t="shared" si="165"/>
        <v>7</v>
      </c>
      <c r="AL231" s="1" t="str">
        <f t="shared" si="165"/>
        <v>23</v>
      </c>
      <c r="AM231" s="1" t="str">
        <f t="shared" si="165"/>
        <v>17</v>
      </c>
      <c r="AN231" s="1" t="str">
        <f t="shared" si="165"/>
        <v>2</v>
      </c>
      <c r="AO231" s="1" t="str">
        <f t="shared" si="165"/>
        <v>6</v>
      </c>
      <c r="AP231" s="1" t="str">
        <f t="shared" si="165"/>
        <v>1</v>
      </c>
      <c r="AQ231" s="1" t="str">
        <f t="shared" si="165"/>
        <v>13</v>
      </c>
      <c r="AR231" s="1" t="str">
        <f t="shared" si="165"/>
        <v>11</v>
      </c>
      <c r="AS231" s="1" t="str">
        <f t="shared" si="165"/>
        <v>10</v>
      </c>
      <c r="AT231" s="1" t="str">
        <f t="shared" si="165"/>
        <v>38</v>
      </c>
      <c r="AU231" s="1" t="str">
        <f t="shared" si="165"/>
        <v>3</v>
      </c>
    </row>
    <row r="232" spans="1:47">
      <c r="A232" s="1" t="str">
        <f t="shared" si="162"/>
        <v>   3.2.1) Deaths from natural disaster</v>
      </c>
      <c r="B232" s="1" t="str">
        <f t="shared" ref="B232:AU232" si="166">IF(B167&gt;1,"=","")&amp;B102</f>
        <v>=1</v>
      </c>
      <c r="C232" s="1" t="str">
        <f t="shared" si="166"/>
        <v>41</v>
      </c>
      <c r="D232" s="1" t="str">
        <f t="shared" si="166"/>
        <v>39</v>
      </c>
      <c r="E232" s="1" t="str">
        <f t="shared" si="166"/>
        <v>22</v>
      </c>
      <c r="F232" s="1" t="str">
        <f t="shared" si="166"/>
        <v>=13</v>
      </c>
      <c r="G232" s="1" t="str">
        <f t="shared" si="166"/>
        <v>40</v>
      </c>
      <c r="H232" s="1" t="str">
        <f t="shared" si="166"/>
        <v>18</v>
      </c>
      <c r="I232" s="1" t="str">
        <f t="shared" si="166"/>
        <v>26</v>
      </c>
      <c r="J232" s="1" t="str">
        <f t="shared" si="166"/>
        <v>38</v>
      </c>
      <c r="K232" s="1" t="str">
        <f t="shared" si="166"/>
        <v>=1</v>
      </c>
      <c r="L232" s="1" t="str">
        <f t="shared" si="166"/>
        <v>28</v>
      </c>
      <c r="M232" s="1" t="str">
        <f t="shared" si="166"/>
        <v>32</v>
      </c>
      <c r="N232" s="1" t="str">
        <f t="shared" si="166"/>
        <v>=1</v>
      </c>
      <c r="O232" s="1" t="str">
        <f t="shared" si="166"/>
        <v>21</v>
      </c>
      <c r="P232" s="1" t="str">
        <f t="shared" si="166"/>
        <v>46</v>
      </c>
      <c r="Q232" s="1" t="str">
        <f t="shared" si="166"/>
        <v>20</v>
      </c>
      <c r="R232" s="1" t="str">
        <f t="shared" si="166"/>
        <v>=1</v>
      </c>
      <c r="S232" s="1" t="str">
        <f t="shared" si="166"/>
        <v>31</v>
      </c>
      <c r="T232" s="1" t="str">
        <f t="shared" si="166"/>
        <v>24</v>
      </c>
      <c r="U232" s="1" t="str">
        <f t="shared" si="166"/>
        <v>=13</v>
      </c>
      <c r="V232" s="1" t="str">
        <f t="shared" si="166"/>
        <v>=15</v>
      </c>
      <c r="W232" s="1" t="str">
        <f t="shared" si="166"/>
        <v>=35</v>
      </c>
      <c r="X232" s="1" t="str">
        <f t="shared" si="166"/>
        <v>=15</v>
      </c>
      <c r="Y232" s="1" t="str">
        <f t="shared" si="166"/>
        <v>37</v>
      </c>
      <c r="Z232" s="1" t="str">
        <f t="shared" si="166"/>
        <v>44</v>
      </c>
      <c r="AA232" s="1" t="str">
        <f t="shared" si="166"/>
        <v>=1</v>
      </c>
      <c r="AB232" s="1" t="str">
        <f t="shared" si="166"/>
        <v>11</v>
      </c>
      <c r="AC232" s="1" t="str">
        <f t="shared" si="166"/>
        <v>45</v>
      </c>
      <c r="AD232" s="1" t="str">
        <f t="shared" si="166"/>
        <v>27</v>
      </c>
      <c r="AE232" s="1" t="str">
        <f t="shared" si="166"/>
        <v>34</v>
      </c>
      <c r="AF232" s="1" t="str">
        <f t="shared" si="166"/>
        <v>=7</v>
      </c>
      <c r="AG232" s="1" t="str">
        <f t="shared" si="166"/>
        <v>30</v>
      </c>
      <c r="AH232" s="1" t="str">
        <f t="shared" si="166"/>
        <v>29</v>
      </c>
      <c r="AI232" s="1" t="str">
        <f t="shared" si="166"/>
        <v>23</v>
      </c>
      <c r="AJ232" s="1" t="str">
        <f t="shared" si="166"/>
        <v>42</v>
      </c>
      <c r="AK232" s="1" t="str">
        <f t="shared" si="166"/>
        <v>12</v>
      </c>
      <c r="AL232" s="1" t="str">
        <f t="shared" si="166"/>
        <v>6</v>
      </c>
      <c r="AM232" s="1" t="str">
        <f t="shared" si="166"/>
        <v>19</v>
      </c>
      <c r="AN232" s="1" t="str">
        <f t="shared" si="166"/>
        <v>=9</v>
      </c>
      <c r="AO232" s="1" t="str">
        <f t="shared" si="166"/>
        <v>=35</v>
      </c>
      <c r="AP232" s="1" t="str">
        <f t="shared" si="166"/>
        <v>33</v>
      </c>
      <c r="AQ232" s="1" t="str">
        <f t="shared" si="166"/>
        <v>25</v>
      </c>
      <c r="AR232" s="1" t="str">
        <f t="shared" si="166"/>
        <v>43</v>
      </c>
      <c r="AS232" s="1" t="str">
        <f t="shared" si="166"/>
        <v>=9</v>
      </c>
      <c r="AT232" s="1" t="str">
        <f t="shared" si="166"/>
        <v>=7</v>
      </c>
      <c r="AU232" s="1" t="str">
        <f t="shared" si="166"/>
        <v>17</v>
      </c>
    </row>
    <row r="233" spans="1:47">
      <c r="A233" s="1" t="str">
        <f t="shared" si="162"/>
        <v>   3.2.2) Frequency of vehicular accidents</v>
      </c>
      <c r="B233" s="1" t="str">
        <f t="shared" ref="B233:AU233" si="167">IF(B168&gt;1,"=","")&amp;B103</f>
        <v>8</v>
      </c>
      <c r="C233" s="1" t="str">
        <f t="shared" si="167"/>
        <v>6</v>
      </c>
      <c r="D233" s="1" t="str">
        <f t="shared" si="167"/>
        <v>19</v>
      </c>
      <c r="E233" s="1" t="str">
        <f t="shared" si="167"/>
        <v>30</v>
      </c>
      <c r="F233" s="1" t="str">
        <f t="shared" si="167"/>
        <v>2</v>
      </c>
      <c r="G233" s="1" t="str">
        <f t="shared" si="167"/>
        <v>=20</v>
      </c>
      <c r="H233" s="1" t="str">
        <f t="shared" si="167"/>
        <v>17</v>
      </c>
      <c r="I233" s="1" t="str">
        <f t="shared" si="167"/>
        <v>31</v>
      </c>
      <c r="J233" s="1" t="str">
        <f t="shared" si="167"/>
        <v>5</v>
      </c>
      <c r="K233" s="1" t="str">
        <f t="shared" si="167"/>
        <v>15</v>
      </c>
      <c r="L233" s="1" t="str">
        <f t="shared" si="167"/>
        <v>43</v>
      </c>
      <c r="M233" s="1" t="str">
        <f t="shared" si="167"/>
        <v>4</v>
      </c>
      <c r="N233" s="1" t="str">
        <f t="shared" si="167"/>
        <v>16</v>
      </c>
      <c r="O233" s="1" t="str">
        <f t="shared" si="167"/>
        <v>41</v>
      </c>
      <c r="P233" s="1" t="str">
        <f t="shared" si="167"/>
        <v>7</v>
      </c>
      <c r="Q233" s="1" t="str">
        <f t="shared" si="167"/>
        <v>42</v>
      </c>
      <c r="R233" s="1" t="str">
        <f t="shared" si="167"/>
        <v>38</v>
      </c>
      <c r="S233" s="1" t="str">
        <f t="shared" si="167"/>
        <v>32</v>
      </c>
      <c r="T233" s="1" t="str">
        <f t="shared" si="167"/>
        <v>14</v>
      </c>
      <c r="U233" s="1" t="str">
        <f t="shared" si="167"/>
        <v>26</v>
      </c>
      <c r="V233" s="1" t="str">
        <f t="shared" si="167"/>
        <v>13</v>
      </c>
      <c r="W233" s="1" t="str">
        <f t="shared" si="167"/>
        <v>=20</v>
      </c>
      <c r="X233" s="1" t="str">
        <f t="shared" si="167"/>
        <v>46</v>
      </c>
      <c r="Y233" s="1" t="str">
        <f t="shared" si="167"/>
        <v>40</v>
      </c>
      <c r="Z233" s="1" t="str">
        <f t="shared" si="167"/>
        <v>9</v>
      </c>
      <c r="AA233" s="1" t="str">
        <f t="shared" si="167"/>
        <v>3</v>
      </c>
      <c r="AB233" s="1" t="str">
        <f t="shared" si="167"/>
        <v>35</v>
      </c>
      <c r="AC233" s="1" t="str">
        <f t="shared" si="167"/>
        <v>28</v>
      </c>
      <c r="AD233" s="1" t="str">
        <f t="shared" si="167"/>
        <v>39</v>
      </c>
      <c r="AE233" s="1" t="str">
        <f t="shared" si="167"/>
        <v>22</v>
      </c>
      <c r="AF233" s="1" t="str">
        <f t="shared" si="167"/>
        <v>44</v>
      </c>
      <c r="AG233" s="1" t="str">
        <f t="shared" si="167"/>
        <v>33</v>
      </c>
      <c r="AH233" s="1" t="str">
        <f t="shared" si="167"/>
        <v>27</v>
      </c>
      <c r="AI233" s="1" t="str">
        <f t="shared" si="167"/>
        <v>24</v>
      </c>
      <c r="AJ233" s="1" t="str">
        <f t="shared" si="167"/>
        <v>18</v>
      </c>
      <c r="AK233" s="1" t="str">
        <f t="shared" si="167"/>
        <v>25</v>
      </c>
      <c r="AL233" s="1" t="str">
        <f t="shared" si="167"/>
        <v>1</v>
      </c>
      <c r="AM233" s="1" t="str">
        <f t="shared" si="167"/>
        <v>10</v>
      </c>
      <c r="AN233" s="1" t="str">
        <f t="shared" si="167"/>
        <v>11</v>
      </c>
      <c r="AO233" s="1" t="str">
        <f t="shared" si="167"/>
        <v>29</v>
      </c>
      <c r="AP233" s="1" t="str">
        <f t="shared" si="167"/>
        <v>34</v>
      </c>
      <c r="AQ233" s="1" t="str">
        <f t="shared" si="167"/>
        <v>12</v>
      </c>
      <c r="AR233" s="1" t="str">
        <f t="shared" si="167"/>
        <v>23</v>
      </c>
      <c r="AS233" s="1" t="str">
        <f t="shared" si="167"/>
        <v>36</v>
      </c>
      <c r="AT233" s="1" t="str">
        <f t="shared" si="167"/>
        <v>45</v>
      </c>
      <c r="AU233" s="1" t="str">
        <f t="shared" si="167"/>
        <v>37</v>
      </c>
    </row>
    <row r="234" spans="1:47">
      <c r="A234" s="1" t="str">
        <f t="shared" si="162"/>
        <v>   3.2.3) Frequency of pedestrian deaths</v>
      </c>
      <c r="B234" s="1" t="str">
        <f t="shared" ref="B234:AU234" si="168">IF(B169&gt;1,"=","")&amp;B104</f>
        <v>27</v>
      </c>
      <c r="C234" s="1" t="str">
        <f t="shared" si="168"/>
        <v>=2</v>
      </c>
      <c r="D234" s="1" t="str">
        <f t="shared" si="168"/>
        <v>22</v>
      </c>
      <c r="E234" s="1" t="str">
        <f t="shared" si="168"/>
        <v>=7</v>
      </c>
      <c r="F234" s="1" t="str">
        <f t="shared" si="168"/>
        <v>18</v>
      </c>
      <c r="G234" s="1" t="str">
        <f t="shared" si="168"/>
        <v>=15</v>
      </c>
      <c r="H234" s="1" t="str">
        <f t="shared" si="168"/>
        <v>44</v>
      </c>
      <c r="I234" s="1" t="str">
        <f t="shared" si="168"/>
        <v>26</v>
      </c>
      <c r="J234" s="1" t="str">
        <f t="shared" si="168"/>
        <v>=30</v>
      </c>
      <c r="K234" s="1" t="str">
        <f t="shared" si="168"/>
        <v>35</v>
      </c>
      <c r="L234" s="1" t="str">
        <f t="shared" si="168"/>
        <v>=5</v>
      </c>
      <c r="M234" s="1" t="str">
        <f t="shared" si="168"/>
        <v>12</v>
      </c>
      <c r="N234" s="1" t="str">
        <f t="shared" si="168"/>
        <v>45</v>
      </c>
      <c r="O234" s="1" t="str">
        <f t="shared" si="168"/>
        <v>17</v>
      </c>
      <c r="P234" s="1" t="str">
        <f t="shared" si="168"/>
        <v>33</v>
      </c>
      <c r="Q234" s="1" t="str">
        <f t="shared" si="168"/>
        <v>40</v>
      </c>
      <c r="R234" s="1" t="str">
        <f t="shared" si="168"/>
        <v>39</v>
      </c>
      <c r="S234" s="1" t="str">
        <f t="shared" si="168"/>
        <v>36</v>
      </c>
      <c r="T234" s="1" t="str">
        <f t="shared" si="168"/>
        <v>=9</v>
      </c>
      <c r="U234" s="1" t="str">
        <f t="shared" si="168"/>
        <v>=30</v>
      </c>
      <c r="V234" s="1" t="str">
        <f t="shared" si="168"/>
        <v>1</v>
      </c>
      <c r="W234" s="1" t="str">
        <f t="shared" si="168"/>
        <v>=5</v>
      </c>
      <c r="X234" s="1" t="str">
        <f t="shared" si="168"/>
        <v>46</v>
      </c>
      <c r="Y234" s="1" t="str">
        <f t="shared" si="168"/>
        <v>=30</v>
      </c>
      <c r="Z234" s="1" t="str">
        <f t="shared" si="168"/>
        <v>41</v>
      </c>
      <c r="AA234" s="1" t="str">
        <f t="shared" si="168"/>
        <v>21</v>
      </c>
      <c r="AB234" s="1" t="str">
        <f t="shared" si="168"/>
        <v>=23</v>
      </c>
      <c r="AC234" s="1" t="str">
        <f t="shared" si="168"/>
        <v>=19</v>
      </c>
      <c r="AD234" s="1" t="str">
        <f t="shared" si="168"/>
        <v>=9</v>
      </c>
      <c r="AE234" s="1" t="str">
        <f t="shared" si="168"/>
        <v>37</v>
      </c>
      <c r="AF234" s="1" t="str">
        <f t="shared" si="168"/>
        <v>34</v>
      </c>
      <c r="AG234" s="1" t="str">
        <f t="shared" si="168"/>
        <v>29</v>
      </c>
      <c r="AH234" s="1" t="str">
        <f t="shared" si="168"/>
        <v>28</v>
      </c>
      <c r="AI234" s="1" t="str">
        <f t="shared" si="168"/>
        <v>43</v>
      </c>
      <c r="AJ234" s="1" t="str">
        <f t="shared" si="168"/>
        <v>38</v>
      </c>
      <c r="AK234" s="1" t="str">
        <f t="shared" si="168"/>
        <v>=23</v>
      </c>
      <c r="AL234" s="1" t="str">
        <f t="shared" si="168"/>
        <v>=15</v>
      </c>
      <c r="AM234" s="1" t="str">
        <f t="shared" si="168"/>
        <v>=9</v>
      </c>
      <c r="AN234" s="1" t="str">
        <f t="shared" si="168"/>
        <v>4</v>
      </c>
      <c r="AO234" s="1" t="str">
        <f t="shared" si="168"/>
        <v>=7</v>
      </c>
      <c r="AP234" s="1" t="str">
        <f t="shared" si="168"/>
        <v>=13</v>
      </c>
      <c r="AQ234" s="1" t="str">
        <f t="shared" si="168"/>
        <v>42</v>
      </c>
      <c r="AR234" s="1" t="str">
        <f t="shared" si="168"/>
        <v>25</v>
      </c>
      <c r="AS234" s="1" t="str">
        <f t="shared" si="168"/>
        <v>=2</v>
      </c>
      <c r="AT234" s="1" t="str">
        <f t="shared" si="168"/>
        <v>=19</v>
      </c>
      <c r="AU234" s="1" t="str">
        <f t="shared" si="168"/>
        <v>=13</v>
      </c>
    </row>
    <row r="235" spans="1:47">
      <c r="A235" s="1" t="str">
        <f t="shared" si="162"/>
        <v>   3.2.4) Percentage living in slums</v>
      </c>
      <c r="B235" s="1" t="str">
        <f t="shared" ref="B235:AU235" si="169">IF(B170&gt;1,"=","")&amp;B105</f>
        <v>=19</v>
      </c>
      <c r="C235" s="1" t="str">
        <f t="shared" si="169"/>
        <v>=11</v>
      </c>
      <c r="D235" s="1" t="str">
        <f t="shared" si="169"/>
        <v>35</v>
      </c>
      <c r="E235" s="1" t="str">
        <f t="shared" si="169"/>
        <v>=36</v>
      </c>
      <c r="F235" s="1" t="str">
        <f t="shared" si="169"/>
        <v>=40</v>
      </c>
      <c r="G235" s="1" t="str">
        <f t="shared" si="169"/>
        <v>28</v>
      </c>
      <c r="H235" s="1" t="str">
        <f t="shared" si="169"/>
        <v>27</v>
      </c>
      <c r="I235" s="1" t="str">
        <f t="shared" si="169"/>
        <v>=22</v>
      </c>
      <c r="J235" s="1" t="str">
        <f t="shared" si="169"/>
        <v>=42</v>
      </c>
      <c r="K235" s="1" t="str">
        <f t="shared" si="169"/>
        <v>=19</v>
      </c>
      <c r="L235" s="1" t="str">
        <f t="shared" si="169"/>
        <v>21</v>
      </c>
      <c r="M235" s="1" t="str">
        <f t="shared" si="169"/>
        <v>44</v>
      </c>
      <c r="N235" s="1" t="str">
        <f t="shared" si="169"/>
        <v>=16</v>
      </c>
      <c r="O235" s="1" t="str">
        <f t="shared" si="169"/>
        <v>8</v>
      </c>
      <c r="P235" s="1" t="str">
        <f t="shared" si="169"/>
        <v>=29</v>
      </c>
      <c r="Q235" s="1" t="str">
        <f t="shared" si="169"/>
        <v>=29</v>
      </c>
      <c r="R235" s="1" t="str">
        <f t="shared" si="169"/>
        <v>3</v>
      </c>
      <c r="S235" s="1" t="str">
        <f t="shared" si="169"/>
        <v>46</v>
      </c>
      <c r="T235" s="1" t="str">
        <f t="shared" si="169"/>
        <v>31</v>
      </c>
      <c r="U235" s="1" t="str">
        <f t="shared" si="169"/>
        <v>=22</v>
      </c>
      <c r="V235" s="1" t="str">
        <f t="shared" si="169"/>
        <v>=36</v>
      </c>
      <c r="W235" s="1" t="str">
        <f t="shared" si="169"/>
        <v>=6</v>
      </c>
      <c r="X235" s="1" t="str">
        <f t="shared" si="169"/>
        <v>10</v>
      </c>
      <c r="Y235" s="1" t="str">
        <f t="shared" si="169"/>
        <v>=38</v>
      </c>
      <c r="Z235" s="1" t="str">
        <f t="shared" si="169"/>
        <v>45</v>
      </c>
      <c r="AA235" s="1" t="str">
        <f t="shared" si="169"/>
        <v>=42</v>
      </c>
      <c r="AB235" s="1" t="str">
        <f t="shared" si="169"/>
        <v>=22</v>
      </c>
      <c r="AC235" s="1" t="str">
        <f t="shared" si="169"/>
        <v>=14</v>
      </c>
      <c r="AD235" s="1" t="str">
        <f t="shared" si="169"/>
        <v>18</v>
      </c>
      <c r="AE235" s="1" t="str">
        <f t="shared" si="169"/>
        <v>=33</v>
      </c>
      <c r="AF235" s="1" t="str">
        <f t="shared" si="169"/>
        <v>=16</v>
      </c>
      <c r="AG235" s="1" t="str">
        <f t="shared" si="169"/>
        <v>=38</v>
      </c>
      <c r="AH235" s="1" t="str">
        <f t="shared" si="169"/>
        <v>=22</v>
      </c>
      <c r="AI235" s="1" t="str">
        <f t="shared" si="169"/>
        <v>4</v>
      </c>
      <c r="AJ235" s="1" t="str">
        <f t="shared" si="169"/>
        <v>=33</v>
      </c>
      <c r="AK235" s="1" t="str">
        <f t="shared" si="169"/>
        <v>=11</v>
      </c>
      <c r="AL235" s="1" t="str">
        <f t="shared" si="169"/>
        <v>=40</v>
      </c>
      <c r="AM235" s="1" t="str">
        <f t="shared" si="169"/>
        <v>32</v>
      </c>
      <c r="AN235" s="1" t="str">
        <f t="shared" si="169"/>
        <v>5</v>
      </c>
      <c r="AO235" s="1" t="str">
        <f t="shared" si="169"/>
        <v>=6</v>
      </c>
      <c r="AP235" s="1" t="str">
        <f t="shared" si="169"/>
        <v>1</v>
      </c>
      <c r="AQ235" s="1" t="str">
        <f t="shared" si="169"/>
        <v>=11</v>
      </c>
      <c r="AR235" s="1" t="str">
        <f t="shared" si="169"/>
        <v>=14</v>
      </c>
      <c r="AS235" s="1" t="str">
        <f t="shared" si="169"/>
        <v>9</v>
      </c>
      <c r="AT235" s="1" t="str">
        <f t="shared" si="169"/>
        <v>=22</v>
      </c>
      <c r="AU235" s="1" t="str">
        <f t="shared" si="169"/>
        <v>2</v>
      </c>
    </row>
    <row r="236" spans="1:47">
      <c r="A236" s="1" t="str">
        <f t="shared" si="162"/>
        <v>   3.2.5) Number of attacks on facilities/infrastructure</v>
      </c>
      <c r="B236" s="1" t="str">
        <f t="shared" ref="B236:AU236" si="170">IF(B171&gt;1,"=","")&amp;B106</f>
        <v>=1</v>
      </c>
      <c r="C236" s="1" t="str">
        <f t="shared" si="170"/>
        <v>=1</v>
      </c>
      <c r="D236" s="1" t="str">
        <f t="shared" si="170"/>
        <v>46</v>
      </c>
      <c r="E236" s="1" t="str">
        <f t="shared" si="170"/>
        <v>=1</v>
      </c>
      <c r="F236" s="1" t="str">
        <f t="shared" si="170"/>
        <v>=1</v>
      </c>
      <c r="G236" s="1" t="str">
        <f t="shared" si="170"/>
        <v>=1</v>
      </c>
      <c r="H236" s="1" t="str">
        <f t="shared" si="170"/>
        <v>=38</v>
      </c>
      <c r="I236" s="1" t="str">
        <f t="shared" si="170"/>
        <v>=1</v>
      </c>
      <c r="J236" s="1" t="str">
        <f t="shared" si="170"/>
        <v>=40</v>
      </c>
      <c r="K236" s="1" t="str">
        <f t="shared" si="170"/>
        <v>=1</v>
      </c>
      <c r="L236" s="1" t="str">
        <f t="shared" si="170"/>
        <v>=1</v>
      </c>
      <c r="M236" s="1" t="str">
        <f t="shared" si="170"/>
        <v>=1</v>
      </c>
      <c r="N236" s="1" t="str">
        <f t="shared" si="170"/>
        <v>=1</v>
      </c>
      <c r="O236" s="1" t="str">
        <f t="shared" si="170"/>
        <v>45</v>
      </c>
      <c r="P236" s="1" t="str">
        <f t="shared" si="170"/>
        <v>=31</v>
      </c>
      <c r="Q236" s="1" t="str">
        <f t="shared" si="170"/>
        <v>=1</v>
      </c>
      <c r="R236" s="1" t="str">
        <f t="shared" si="170"/>
        <v>=1</v>
      </c>
      <c r="S236" s="1" t="str">
        <f t="shared" si="170"/>
        <v>=1</v>
      </c>
      <c r="T236" s="1" t="str">
        <f t="shared" si="170"/>
        <v>44</v>
      </c>
      <c r="U236" s="1" t="str">
        <f t="shared" si="170"/>
        <v>=31</v>
      </c>
      <c r="V236" s="1" t="str">
        <f t="shared" si="170"/>
        <v>43</v>
      </c>
      <c r="W236" s="1" t="str">
        <f t="shared" si="170"/>
        <v>=1</v>
      </c>
      <c r="X236" s="1" t="str">
        <f t="shared" si="170"/>
        <v>=1</v>
      </c>
      <c r="Y236" s="1" t="str">
        <f t="shared" si="170"/>
        <v>=1</v>
      </c>
      <c r="Z236" s="1" t="str">
        <f t="shared" si="170"/>
        <v>=38</v>
      </c>
      <c r="AA236" s="1" t="str">
        <f t="shared" si="170"/>
        <v>42</v>
      </c>
      <c r="AB236" s="1" t="str">
        <f t="shared" si="170"/>
        <v>=31</v>
      </c>
      <c r="AC236" s="1" t="str">
        <f t="shared" si="170"/>
        <v>=1</v>
      </c>
      <c r="AD236" s="1" t="str">
        <f t="shared" si="170"/>
        <v>=1</v>
      </c>
      <c r="AE236" s="1" t="str">
        <f t="shared" si="170"/>
        <v>=1</v>
      </c>
      <c r="AF236" s="1" t="str">
        <f t="shared" si="170"/>
        <v>=1</v>
      </c>
      <c r="AG236" s="1" t="str">
        <f t="shared" si="170"/>
        <v>=31</v>
      </c>
      <c r="AH236" s="1" t="str">
        <f t="shared" si="170"/>
        <v>=1</v>
      </c>
      <c r="AI236" s="1" t="str">
        <f t="shared" si="170"/>
        <v>=40</v>
      </c>
      <c r="AJ236" s="1" t="str">
        <f t="shared" si="170"/>
        <v>=31</v>
      </c>
      <c r="AK236" s="1" t="str">
        <f t="shared" si="170"/>
        <v>=1</v>
      </c>
      <c r="AL236" s="1" t="str">
        <f t="shared" si="170"/>
        <v>=31</v>
      </c>
      <c r="AM236" s="1" t="str">
        <f t="shared" si="170"/>
        <v>=1</v>
      </c>
      <c r="AN236" s="1" t="str">
        <f t="shared" si="170"/>
        <v>=1</v>
      </c>
      <c r="AO236" s="1" t="str">
        <f t="shared" si="170"/>
        <v>=1</v>
      </c>
      <c r="AP236" s="1" t="str">
        <f t="shared" si="170"/>
        <v>=1</v>
      </c>
      <c r="AQ236" s="1" t="str">
        <f t="shared" si="170"/>
        <v>=31</v>
      </c>
      <c r="AR236" s="1" t="str">
        <f t="shared" si="170"/>
        <v>=1</v>
      </c>
      <c r="AS236" s="1" t="str">
        <f t="shared" si="170"/>
        <v>=1</v>
      </c>
      <c r="AT236" s="1" t="str">
        <f t="shared" si="170"/>
        <v>=1</v>
      </c>
      <c r="AU236" s="1" t="str">
        <f t="shared" si="170"/>
        <v>=1</v>
      </c>
    </row>
    <row r="237" spans="1:47">
      <c r="A237" s="1" t="str">
        <f t="shared" si="162"/>
        <v> 4) PERSONAL SECURITY</v>
      </c>
      <c r="B237" s="1" t="str">
        <f t="shared" ref="B237:AU237" si="171">IF(B172&gt;1,"=","")&amp;B107</f>
        <v>27</v>
      </c>
      <c r="C237" s="1" t="str">
        <f t="shared" si="171"/>
        <v>9</v>
      </c>
      <c r="D237" s="1" t="str">
        <f t="shared" si="171"/>
        <v>33</v>
      </c>
      <c r="E237" s="1" t="str">
        <f t="shared" si="171"/>
        <v>13</v>
      </c>
      <c r="F237" s="1" t="str">
        <f t="shared" si="171"/>
        <v>37</v>
      </c>
      <c r="G237" s="1" t="str">
        <f t="shared" si="171"/>
        <v>32</v>
      </c>
      <c r="H237" s="1" t="str">
        <f t="shared" si="171"/>
        <v>34</v>
      </c>
      <c r="I237" s="1" t="str">
        <f t="shared" si="171"/>
        <v>15</v>
      </c>
      <c r="J237" s="1" t="str">
        <f t="shared" si="171"/>
        <v>28</v>
      </c>
      <c r="K237" s="1" t="str">
        <f t="shared" si="171"/>
        <v>14</v>
      </c>
      <c r="L237" s="1" t="str">
        <f t="shared" si="171"/>
        <v>18</v>
      </c>
      <c r="M237" s="1" t="str">
        <f t="shared" si="171"/>
        <v>38</v>
      </c>
      <c r="N237" s="1" t="str">
        <f t="shared" si="171"/>
        <v>4</v>
      </c>
      <c r="O237" s="1" t="str">
        <f t="shared" si="171"/>
        <v>26</v>
      </c>
      <c r="P237" s="1" t="str">
        <f t="shared" si="171"/>
        <v>44</v>
      </c>
      <c r="Q237" s="1" t="str">
        <f t="shared" si="171"/>
        <v>40</v>
      </c>
      <c r="R237" s="1" t="str">
        <f t="shared" si="171"/>
        <v>41</v>
      </c>
      <c r="S237" s="1" t="str">
        <f t="shared" si="171"/>
        <v>25</v>
      </c>
      <c r="T237" s="1" t="str">
        <f t="shared" si="171"/>
        <v>19</v>
      </c>
      <c r="U237" s="1" t="str">
        <f t="shared" si="171"/>
        <v>16</v>
      </c>
      <c r="V237" s="1" t="str">
        <f t="shared" si="171"/>
        <v>30</v>
      </c>
      <c r="W237" s="1" t="str">
        <f t="shared" si="171"/>
        <v>8</v>
      </c>
      <c r="X237" s="1" t="str">
        <f t="shared" si="171"/>
        <v>36</v>
      </c>
      <c r="Y237" s="1" t="str">
        <f t="shared" si="171"/>
        <v>24</v>
      </c>
      <c r="Z237" s="1" t="str">
        <f t="shared" si="171"/>
        <v>46</v>
      </c>
      <c r="AA237" s="1" t="str">
        <f t="shared" si="171"/>
        <v>29</v>
      </c>
      <c r="AB237" s="1" t="str">
        <f t="shared" si="171"/>
        <v>20</v>
      </c>
      <c r="AC237" s="1" t="str">
        <f t="shared" si="171"/>
        <v>2</v>
      </c>
      <c r="AD237" s="1" t="str">
        <f t="shared" si="171"/>
        <v>21</v>
      </c>
      <c r="AE237" s="1" t="str">
        <f t="shared" si="171"/>
        <v>31</v>
      </c>
      <c r="AF237" s="1" t="str">
        <f t="shared" si="171"/>
        <v>45</v>
      </c>
      <c r="AG237" s="1" t="str">
        <f t="shared" si="171"/>
        <v>35</v>
      </c>
      <c r="AH237" s="1" t="str">
        <f t="shared" si="171"/>
        <v>11</v>
      </c>
      <c r="AI237" s="1" t="str">
        <f t="shared" si="171"/>
        <v>39</v>
      </c>
      <c r="AJ237" s="1" t="str">
        <f t="shared" si="171"/>
        <v>43</v>
      </c>
      <c r="AK237" s="1" t="str">
        <f t="shared" si="171"/>
        <v>22</v>
      </c>
      <c r="AL237" s="1" t="str">
        <f t="shared" si="171"/>
        <v>23</v>
      </c>
      <c r="AM237" s="1" t="str">
        <f t="shared" si="171"/>
        <v>1</v>
      </c>
      <c r="AN237" s="1" t="str">
        <f t="shared" si="171"/>
        <v>7</v>
      </c>
      <c r="AO237" s="1" t="str">
        <f t="shared" si="171"/>
        <v>10</v>
      </c>
      <c r="AP237" s="1" t="str">
        <f t="shared" si="171"/>
        <v>6</v>
      </c>
      <c r="AQ237" s="1" t="str">
        <f t="shared" si="171"/>
        <v>42</v>
      </c>
      <c r="AR237" s="1" t="str">
        <f t="shared" si="171"/>
        <v>3</v>
      </c>
      <c r="AS237" s="1" t="str">
        <f t="shared" si="171"/>
        <v>5</v>
      </c>
      <c r="AT237" s="1" t="str">
        <f t="shared" si="171"/>
        <v>12</v>
      </c>
      <c r="AU237" s="1" t="str">
        <f t="shared" si="171"/>
        <v>17</v>
      </c>
    </row>
    <row r="238" spans="1:47">
      <c r="A238" s="1" t="str">
        <f t="shared" si="162"/>
        <v>  4.1) Personal security (Inputs)</v>
      </c>
      <c r="B238" s="1" t="str">
        <f t="shared" ref="B238:AU238" si="172">IF(B173&gt;1,"=","")&amp;B108</f>
        <v>40</v>
      </c>
      <c r="C238" s="1" t="str">
        <f t="shared" si="172"/>
        <v>11</v>
      </c>
      <c r="D238" s="1" t="str">
        <f t="shared" si="172"/>
        <v>24</v>
      </c>
      <c r="E238" s="1" t="str">
        <f t="shared" si="172"/>
        <v>12</v>
      </c>
      <c r="F238" s="1" t="str">
        <f t="shared" si="172"/>
        <v>41</v>
      </c>
      <c r="G238" s="1" t="str">
        <f t="shared" si="172"/>
        <v>42</v>
      </c>
      <c r="H238" s="1" t="str">
        <f t="shared" si="172"/>
        <v>34</v>
      </c>
      <c r="I238" s="1" t="str">
        <f t="shared" si="172"/>
        <v>15</v>
      </c>
      <c r="J238" s="1" t="str">
        <f t="shared" si="172"/>
        <v>=22</v>
      </c>
      <c r="K238" s="1" t="str">
        <f t="shared" si="172"/>
        <v>18</v>
      </c>
      <c r="L238" s="1" t="str">
        <f t="shared" si="172"/>
        <v>21</v>
      </c>
      <c r="M238" s="1" t="str">
        <f t="shared" si="172"/>
        <v>36</v>
      </c>
      <c r="N238" s="1" t="str">
        <f t="shared" si="172"/>
        <v>10</v>
      </c>
      <c r="O238" s="1" t="str">
        <f t="shared" si="172"/>
        <v>20</v>
      </c>
      <c r="P238" s="1" t="str">
        <f t="shared" si="172"/>
        <v>38</v>
      </c>
      <c r="Q238" s="1" t="str">
        <f t="shared" si="172"/>
        <v>33</v>
      </c>
      <c r="R238" s="1" t="str">
        <f t="shared" si="172"/>
        <v>46</v>
      </c>
      <c r="S238" s="1" t="str">
        <f t="shared" si="172"/>
        <v>19</v>
      </c>
      <c r="T238" s="1" t="str">
        <f t="shared" si="172"/>
        <v>=8</v>
      </c>
      <c r="U238" s="1" t="str">
        <f t="shared" si="172"/>
        <v>=13</v>
      </c>
      <c r="V238" s="1" t="str">
        <f t="shared" si="172"/>
        <v>31</v>
      </c>
      <c r="W238" s="1" t="str">
        <f t="shared" si="172"/>
        <v>=3</v>
      </c>
      <c r="X238" s="1" t="str">
        <f t="shared" si="172"/>
        <v>28</v>
      </c>
      <c r="Y238" s="1" t="str">
        <f t="shared" si="172"/>
        <v>26</v>
      </c>
      <c r="Z238" s="1" t="str">
        <f t="shared" si="172"/>
        <v>45</v>
      </c>
      <c r="AA238" s="1" t="str">
        <f t="shared" si="172"/>
        <v>=22</v>
      </c>
      <c r="AB238" s="1" t="str">
        <f t="shared" si="172"/>
        <v>16</v>
      </c>
      <c r="AC238" s="1" t="str">
        <f t="shared" si="172"/>
        <v>=1</v>
      </c>
      <c r="AD238" s="1" t="str">
        <f t="shared" si="172"/>
        <v>27</v>
      </c>
      <c r="AE238" s="1" t="str">
        <f t="shared" si="172"/>
        <v>25</v>
      </c>
      <c r="AF238" s="1" t="str">
        <f t="shared" si="172"/>
        <v>44</v>
      </c>
      <c r="AG238" s="1" t="str">
        <f t="shared" si="172"/>
        <v>35</v>
      </c>
      <c r="AH238" s="1" t="str">
        <f t="shared" si="172"/>
        <v>=13</v>
      </c>
      <c r="AI238" s="1" t="str">
        <f t="shared" si="172"/>
        <v>39</v>
      </c>
      <c r="AJ238" s="1" t="str">
        <f t="shared" si="172"/>
        <v>37</v>
      </c>
      <c r="AK238" s="1" t="str">
        <f t="shared" si="172"/>
        <v>32</v>
      </c>
      <c r="AL238" s="1" t="str">
        <f t="shared" si="172"/>
        <v>30</v>
      </c>
      <c r="AM238" s="1" t="str">
        <f t="shared" si="172"/>
        <v>6</v>
      </c>
      <c r="AN238" s="1" t="str">
        <f t="shared" si="172"/>
        <v>17</v>
      </c>
      <c r="AO238" s="1" t="str">
        <f t="shared" si="172"/>
        <v>=3</v>
      </c>
      <c r="AP238" s="1" t="str">
        <f t="shared" si="172"/>
        <v>7</v>
      </c>
      <c r="AQ238" s="1" t="str">
        <f t="shared" si="172"/>
        <v>43</v>
      </c>
      <c r="AR238" s="1" t="str">
        <f t="shared" si="172"/>
        <v>=1</v>
      </c>
      <c r="AS238" s="1" t="str">
        <f t="shared" si="172"/>
        <v>=8</v>
      </c>
      <c r="AT238" s="1" t="str">
        <f t="shared" si="172"/>
        <v>=3</v>
      </c>
      <c r="AU238" s="1" t="str">
        <f t="shared" si="172"/>
        <v>29</v>
      </c>
    </row>
    <row r="239" spans="1:47">
      <c r="A239" s="1" t="str">
        <f t="shared" si="162"/>
        <v>   4.1.1) Level of police engagement</v>
      </c>
      <c r="B239" s="1" t="str">
        <f t="shared" ref="B239:AU239" si="173">IF(B174&gt;1,"=","")&amp;B109</f>
        <v>=34</v>
      </c>
      <c r="C239" s="1" t="str">
        <f t="shared" si="173"/>
        <v>=1</v>
      </c>
      <c r="D239" s="1" t="str">
        <f t="shared" si="173"/>
        <v>=34</v>
      </c>
      <c r="E239" s="1" t="str">
        <f t="shared" si="173"/>
        <v>=1</v>
      </c>
      <c r="F239" s="1" t="str">
        <f t="shared" si="173"/>
        <v>=1</v>
      </c>
      <c r="G239" s="1" t="str">
        <f t="shared" si="173"/>
        <v>=1</v>
      </c>
      <c r="H239" s="1" t="str">
        <f t="shared" si="173"/>
        <v>=34</v>
      </c>
      <c r="I239" s="1" t="str">
        <f t="shared" si="173"/>
        <v>=1</v>
      </c>
      <c r="J239" s="1" t="str">
        <f t="shared" si="173"/>
        <v>=1</v>
      </c>
      <c r="K239" s="1" t="str">
        <f t="shared" si="173"/>
        <v>=34</v>
      </c>
      <c r="L239" s="1" t="str">
        <f t="shared" si="173"/>
        <v>=1</v>
      </c>
      <c r="M239" s="1" t="str">
        <f t="shared" si="173"/>
        <v>=34</v>
      </c>
      <c r="N239" s="1" t="str">
        <f t="shared" si="173"/>
        <v>=1</v>
      </c>
      <c r="O239" s="1" t="str">
        <f t="shared" si="173"/>
        <v>=1</v>
      </c>
      <c r="P239" s="1" t="str">
        <f t="shared" si="173"/>
        <v>=34</v>
      </c>
      <c r="Q239" s="1" t="str">
        <f t="shared" si="173"/>
        <v>=1</v>
      </c>
      <c r="R239" s="1" t="str">
        <f t="shared" si="173"/>
        <v>=1</v>
      </c>
      <c r="S239" s="1" t="str">
        <f t="shared" si="173"/>
        <v>=1</v>
      </c>
      <c r="T239" s="1" t="str">
        <f t="shared" si="173"/>
        <v>=1</v>
      </c>
      <c r="U239" s="1" t="str">
        <f t="shared" si="173"/>
        <v>=1</v>
      </c>
      <c r="V239" s="1" t="str">
        <f t="shared" si="173"/>
        <v>=34</v>
      </c>
      <c r="W239" s="1" t="str">
        <f t="shared" si="173"/>
        <v>=1</v>
      </c>
      <c r="X239" s="1" t="str">
        <f t="shared" si="173"/>
        <v>=1</v>
      </c>
      <c r="Y239" s="1" t="str">
        <f t="shared" si="173"/>
        <v>=1</v>
      </c>
      <c r="Z239" s="1" t="str">
        <f t="shared" si="173"/>
        <v>=34</v>
      </c>
      <c r="AA239" s="1" t="str">
        <f t="shared" si="173"/>
        <v>=1</v>
      </c>
      <c r="AB239" s="1" t="str">
        <f t="shared" si="173"/>
        <v>=1</v>
      </c>
      <c r="AC239" s="1" t="str">
        <f t="shared" si="173"/>
        <v>=1</v>
      </c>
      <c r="AD239" s="1" t="str">
        <f t="shared" si="173"/>
        <v>=1</v>
      </c>
      <c r="AE239" s="1" t="str">
        <f t="shared" si="173"/>
        <v>=1</v>
      </c>
      <c r="AF239" s="1" t="str">
        <f t="shared" si="173"/>
        <v>=1</v>
      </c>
      <c r="AG239" s="1" t="str">
        <f t="shared" si="173"/>
        <v>=1</v>
      </c>
      <c r="AH239" s="1" t="str">
        <f t="shared" si="173"/>
        <v>=1</v>
      </c>
      <c r="AI239" s="1" t="str">
        <f t="shared" si="173"/>
        <v>=34</v>
      </c>
      <c r="AJ239" s="1" t="str">
        <f t="shared" si="173"/>
        <v>=34</v>
      </c>
      <c r="AK239" s="1" t="str">
        <f t="shared" si="173"/>
        <v>=34</v>
      </c>
      <c r="AL239" s="1" t="str">
        <f t="shared" si="173"/>
        <v>=34</v>
      </c>
      <c r="AM239" s="1" t="str">
        <f t="shared" si="173"/>
        <v>=1</v>
      </c>
      <c r="AN239" s="1" t="str">
        <f t="shared" si="173"/>
        <v>=1</v>
      </c>
      <c r="AO239" s="1" t="str">
        <f t="shared" si="173"/>
        <v>=1</v>
      </c>
      <c r="AP239" s="1" t="str">
        <f t="shared" si="173"/>
        <v>=1</v>
      </c>
      <c r="AQ239" s="1" t="str">
        <f t="shared" si="173"/>
        <v>=34</v>
      </c>
      <c r="AR239" s="1" t="str">
        <f t="shared" si="173"/>
        <v>=1</v>
      </c>
      <c r="AS239" s="1" t="str">
        <f t="shared" si="173"/>
        <v>=1</v>
      </c>
      <c r="AT239" s="1" t="str">
        <f t="shared" si="173"/>
        <v>=1</v>
      </c>
      <c r="AU239" s="1" t="str">
        <f t="shared" si="173"/>
        <v>=1</v>
      </c>
    </row>
    <row r="240" spans="1:47">
      <c r="A240" s="1" t="str">
        <f t="shared" si="162"/>
        <v>   4.1.2) Community-based patrolling</v>
      </c>
      <c r="B240" s="1" t="str">
        <f t="shared" ref="B240:AU240" si="174">IF(B175&gt;1,"=","")&amp;B110</f>
        <v>=1</v>
      </c>
      <c r="C240" s="1" t="str">
        <f t="shared" si="174"/>
        <v>=1</v>
      </c>
      <c r="D240" s="1" t="str">
        <f t="shared" si="174"/>
        <v>=1</v>
      </c>
      <c r="E240" s="1" t="str">
        <f t="shared" si="174"/>
        <v>=1</v>
      </c>
      <c r="F240" s="1" t="str">
        <f t="shared" si="174"/>
        <v>=1</v>
      </c>
      <c r="G240" s="1" t="str">
        <f t="shared" si="174"/>
        <v>=1</v>
      </c>
      <c r="H240" s="1" t="str">
        <f t="shared" si="174"/>
        <v>=1</v>
      </c>
      <c r="I240" s="1" t="str">
        <f t="shared" si="174"/>
        <v>=1</v>
      </c>
      <c r="J240" s="1" t="str">
        <f t="shared" si="174"/>
        <v>=1</v>
      </c>
      <c r="K240" s="1" t="str">
        <f t="shared" si="174"/>
        <v>=1</v>
      </c>
      <c r="L240" s="1" t="str">
        <f t="shared" si="174"/>
        <v>=1</v>
      </c>
      <c r="M240" s="1" t="str">
        <f t="shared" si="174"/>
        <v>=1</v>
      </c>
      <c r="N240" s="1" t="str">
        <f t="shared" si="174"/>
        <v>=1</v>
      </c>
      <c r="O240" s="1" t="str">
        <f t="shared" si="174"/>
        <v>=1</v>
      </c>
      <c r="P240" s="1" t="str">
        <f t="shared" si="174"/>
        <v>=1</v>
      </c>
      <c r="Q240" s="1" t="str">
        <f t="shared" si="174"/>
        <v>=1</v>
      </c>
      <c r="R240" s="1" t="str">
        <f t="shared" si="174"/>
        <v>=44</v>
      </c>
      <c r="S240" s="1" t="str">
        <f t="shared" si="174"/>
        <v>=1</v>
      </c>
      <c r="T240" s="1" t="str">
        <f t="shared" si="174"/>
        <v>=1</v>
      </c>
      <c r="U240" s="1" t="str">
        <f t="shared" si="174"/>
        <v>=1</v>
      </c>
      <c r="V240" s="1" t="str">
        <f t="shared" si="174"/>
        <v>=1</v>
      </c>
      <c r="W240" s="1" t="str">
        <f t="shared" si="174"/>
        <v>=1</v>
      </c>
      <c r="X240" s="1" t="str">
        <f t="shared" si="174"/>
        <v>=1</v>
      </c>
      <c r="Y240" s="1" t="str">
        <f t="shared" si="174"/>
        <v>=1</v>
      </c>
      <c r="Z240" s="1" t="str">
        <f t="shared" si="174"/>
        <v>=1</v>
      </c>
      <c r="AA240" s="1" t="str">
        <f t="shared" si="174"/>
        <v>=1</v>
      </c>
      <c r="AB240" s="1" t="str">
        <f t="shared" si="174"/>
        <v>=1</v>
      </c>
      <c r="AC240" s="1" t="str">
        <f t="shared" si="174"/>
        <v>=1</v>
      </c>
      <c r="AD240" s="1" t="str">
        <f t="shared" si="174"/>
        <v>=1</v>
      </c>
      <c r="AE240" s="1" t="str">
        <f t="shared" si="174"/>
        <v>=1</v>
      </c>
      <c r="AF240" s="1" t="str">
        <f t="shared" si="174"/>
        <v>=44</v>
      </c>
      <c r="AG240" s="1" t="str">
        <f t="shared" si="174"/>
        <v>=1</v>
      </c>
      <c r="AH240" s="1" t="str">
        <f t="shared" si="174"/>
        <v>=1</v>
      </c>
      <c r="AI240" s="1" t="str">
        <f t="shared" si="174"/>
        <v>=1</v>
      </c>
      <c r="AJ240" s="1" t="str">
        <f t="shared" si="174"/>
        <v>=1</v>
      </c>
      <c r="AK240" s="1" t="str">
        <f t="shared" si="174"/>
        <v>=1</v>
      </c>
      <c r="AL240" s="1" t="str">
        <f t="shared" si="174"/>
        <v>=1</v>
      </c>
      <c r="AM240" s="1" t="str">
        <f t="shared" si="174"/>
        <v>=1</v>
      </c>
      <c r="AN240" s="1" t="str">
        <f t="shared" si="174"/>
        <v>=1</v>
      </c>
      <c r="AO240" s="1" t="str">
        <f t="shared" si="174"/>
        <v>=1</v>
      </c>
      <c r="AP240" s="1" t="str">
        <f t="shared" si="174"/>
        <v>=1</v>
      </c>
      <c r="AQ240" s="1" t="str">
        <f t="shared" si="174"/>
        <v>=44</v>
      </c>
      <c r="AR240" s="1" t="str">
        <f t="shared" si="174"/>
        <v>=1</v>
      </c>
      <c r="AS240" s="1" t="str">
        <f t="shared" si="174"/>
        <v>=1</v>
      </c>
      <c r="AT240" s="1" t="str">
        <f t="shared" si="174"/>
        <v>=1</v>
      </c>
      <c r="AU240" s="1" t="str">
        <f t="shared" si="174"/>
        <v>=1</v>
      </c>
    </row>
    <row r="241" spans="1:47">
      <c r="A241" s="1" t="str">
        <f t="shared" si="162"/>
        <v>   4.1.3) Available street-level crime data</v>
      </c>
      <c r="B241" s="1" t="str">
        <f t="shared" ref="B241:AU241" si="175">IF(B176&gt;1,"=","")&amp;B111</f>
        <v>=1</v>
      </c>
      <c r="C241" s="1" t="str">
        <f t="shared" si="175"/>
        <v>=1</v>
      </c>
      <c r="D241" s="1" t="str">
        <f t="shared" si="175"/>
        <v>=1</v>
      </c>
      <c r="E241" s="1" t="str">
        <f t="shared" si="175"/>
        <v>=1</v>
      </c>
      <c r="F241" s="1" t="str">
        <f t="shared" si="175"/>
        <v>=33</v>
      </c>
      <c r="G241" s="1" t="str">
        <f t="shared" si="175"/>
        <v>=33</v>
      </c>
      <c r="H241" s="1" t="str">
        <f t="shared" si="175"/>
        <v>=33</v>
      </c>
      <c r="I241" s="1" t="str">
        <f t="shared" si="175"/>
        <v>=1</v>
      </c>
      <c r="J241" s="1" t="str">
        <f t="shared" si="175"/>
        <v>=33</v>
      </c>
      <c r="K241" s="1" t="str">
        <f t="shared" si="175"/>
        <v>=1</v>
      </c>
      <c r="L241" s="1" t="str">
        <f t="shared" si="175"/>
        <v>=1</v>
      </c>
      <c r="M241" s="1" t="str">
        <f t="shared" si="175"/>
        <v>=33</v>
      </c>
      <c r="N241" s="1" t="str">
        <f t="shared" si="175"/>
        <v>=1</v>
      </c>
      <c r="O241" s="1" t="str">
        <f t="shared" si="175"/>
        <v>=1</v>
      </c>
      <c r="P241" s="1" t="str">
        <f t="shared" si="175"/>
        <v>=1</v>
      </c>
      <c r="Q241" s="1" t="str">
        <f t="shared" si="175"/>
        <v>=1</v>
      </c>
      <c r="R241" s="1" t="str">
        <f t="shared" si="175"/>
        <v>=33</v>
      </c>
      <c r="S241" s="1" t="str">
        <f t="shared" si="175"/>
        <v>=1</v>
      </c>
      <c r="T241" s="1" t="str">
        <f t="shared" si="175"/>
        <v>=1</v>
      </c>
      <c r="U241" s="1" t="str">
        <f t="shared" si="175"/>
        <v>=1</v>
      </c>
      <c r="V241" s="1" t="str">
        <f t="shared" si="175"/>
        <v>=1</v>
      </c>
      <c r="W241" s="1" t="str">
        <f t="shared" si="175"/>
        <v>=1</v>
      </c>
      <c r="X241" s="1" t="str">
        <f t="shared" si="175"/>
        <v>=33</v>
      </c>
      <c r="Y241" s="1" t="str">
        <f t="shared" si="175"/>
        <v>=1</v>
      </c>
      <c r="Z241" s="1" t="str">
        <f t="shared" si="175"/>
        <v>=33</v>
      </c>
      <c r="AA241" s="1" t="str">
        <f t="shared" si="175"/>
        <v>=1</v>
      </c>
      <c r="AB241" s="1" t="str">
        <f t="shared" si="175"/>
        <v>=1</v>
      </c>
      <c r="AC241" s="1" t="str">
        <f t="shared" si="175"/>
        <v>=1</v>
      </c>
      <c r="AD241" s="1" t="str">
        <f t="shared" si="175"/>
        <v>=1</v>
      </c>
      <c r="AE241" s="1" t="str">
        <f t="shared" si="175"/>
        <v>=1</v>
      </c>
      <c r="AF241" s="1" t="str">
        <f t="shared" si="175"/>
        <v>=33</v>
      </c>
      <c r="AG241" s="1" t="str">
        <f t="shared" si="175"/>
        <v>=1</v>
      </c>
      <c r="AH241" s="1" t="str">
        <f t="shared" si="175"/>
        <v>=1</v>
      </c>
      <c r="AI241" s="1" t="str">
        <f t="shared" si="175"/>
        <v>=33</v>
      </c>
      <c r="AJ241" s="1" t="str">
        <f t="shared" si="175"/>
        <v>=33</v>
      </c>
      <c r="AK241" s="1" t="str">
        <f t="shared" si="175"/>
        <v>=33</v>
      </c>
      <c r="AL241" s="1" t="str">
        <f t="shared" si="175"/>
        <v>=33</v>
      </c>
      <c r="AM241" s="1" t="str">
        <f t="shared" si="175"/>
        <v>=1</v>
      </c>
      <c r="AN241" s="1" t="str">
        <f t="shared" si="175"/>
        <v>=1</v>
      </c>
      <c r="AO241" s="1" t="str">
        <f t="shared" si="175"/>
        <v>=1</v>
      </c>
      <c r="AP241" s="1" t="str">
        <f t="shared" si="175"/>
        <v>=1</v>
      </c>
      <c r="AQ241" s="1" t="str">
        <f t="shared" si="175"/>
        <v>=33</v>
      </c>
      <c r="AR241" s="1" t="str">
        <f t="shared" si="175"/>
        <v>=1</v>
      </c>
      <c r="AS241" s="1" t="str">
        <f t="shared" si="175"/>
        <v>=1</v>
      </c>
      <c r="AT241" s="1" t="str">
        <f t="shared" si="175"/>
        <v>=1</v>
      </c>
      <c r="AU241" s="1" t="str">
        <f t="shared" si="175"/>
        <v>=1</v>
      </c>
    </row>
    <row r="242" spans="1:47">
      <c r="A242" s="1" t="str">
        <f t="shared" si="162"/>
        <v>   4.1.4) Use of data-driven techniques for crime</v>
      </c>
      <c r="B242" s="1" t="str">
        <f t="shared" ref="B242:AU242" si="176">IF(B177&gt;1,"=","")&amp;B112</f>
        <v>=34</v>
      </c>
      <c r="C242" s="1" t="str">
        <f t="shared" si="176"/>
        <v>=1</v>
      </c>
      <c r="D242" s="1" t="str">
        <f t="shared" si="176"/>
        <v>=1</v>
      </c>
      <c r="E242" s="1" t="str">
        <f t="shared" si="176"/>
        <v>=1</v>
      </c>
      <c r="F242" s="1" t="str">
        <f t="shared" si="176"/>
        <v>=34</v>
      </c>
      <c r="G242" s="1" t="str">
        <f t="shared" si="176"/>
        <v>=34</v>
      </c>
      <c r="H242" s="1" t="str">
        <f t="shared" si="176"/>
        <v>=1</v>
      </c>
      <c r="I242" s="1" t="str">
        <f t="shared" si="176"/>
        <v>=1</v>
      </c>
      <c r="J242" s="1" t="str">
        <f t="shared" si="176"/>
        <v>=1</v>
      </c>
      <c r="K242" s="1" t="str">
        <f t="shared" si="176"/>
        <v>=1</v>
      </c>
      <c r="L242" s="1" t="str">
        <f t="shared" si="176"/>
        <v>=1</v>
      </c>
      <c r="M242" s="1" t="str">
        <f t="shared" si="176"/>
        <v>=34</v>
      </c>
      <c r="N242" s="1" t="str">
        <f t="shared" si="176"/>
        <v>=1</v>
      </c>
      <c r="O242" s="1" t="str">
        <f t="shared" si="176"/>
        <v>=1</v>
      </c>
      <c r="P242" s="1" t="str">
        <f t="shared" si="176"/>
        <v>=34</v>
      </c>
      <c r="Q242" s="1" t="str">
        <f t="shared" si="176"/>
        <v>=34</v>
      </c>
      <c r="R242" s="1" t="str">
        <f t="shared" si="176"/>
        <v>=34</v>
      </c>
      <c r="S242" s="1" t="str">
        <f t="shared" si="176"/>
        <v>=1</v>
      </c>
      <c r="T242" s="1" t="str">
        <f t="shared" si="176"/>
        <v>=1</v>
      </c>
      <c r="U242" s="1" t="str">
        <f t="shared" si="176"/>
        <v>=1</v>
      </c>
      <c r="V242" s="1" t="str">
        <f t="shared" si="176"/>
        <v>=34</v>
      </c>
      <c r="W242" s="1" t="str">
        <f t="shared" si="176"/>
        <v>=1</v>
      </c>
      <c r="X242" s="1" t="str">
        <f t="shared" si="176"/>
        <v>=1</v>
      </c>
      <c r="Y242" s="1" t="str">
        <f t="shared" si="176"/>
        <v>=1</v>
      </c>
      <c r="Z242" s="1" t="str">
        <f t="shared" si="176"/>
        <v>=34</v>
      </c>
      <c r="AA242" s="1" t="str">
        <f t="shared" si="176"/>
        <v>=1</v>
      </c>
      <c r="AB242" s="1" t="str">
        <f t="shared" si="176"/>
        <v>=1</v>
      </c>
      <c r="AC242" s="1" t="str">
        <f t="shared" si="176"/>
        <v>=1</v>
      </c>
      <c r="AD242" s="1" t="str">
        <f t="shared" si="176"/>
        <v>=1</v>
      </c>
      <c r="AE242" s="1" t="str">
        <f t="shared" si="176"/>
        <v>=34</v>
      </c>
      <c r="AF242" s="1" t="str">
        <f t="shared" si="176"/>
        <v>=1</v>
      </c>
      <c r="AG242" s="1" t="str">
        <f t="shared" si="176"/>
        <v>=34</v>
      </c>
      <c r="AH242" s="1" t="str">
        <f t="shared" si="176"/>
        <v>=1</v>
      </c>
      <c r="AI242" s="1" t="str">
        <f t="shared" si="176"/>
        <v>=1</v>
      </c>
      <c r="AJ242" s="1" t="str">
        <f t="shared" si="176"/>
        <v>=34</v>
      </c>
      <c r="AK242" s="1" t="str">
        <f t="shared" si="176"/>
        <v>=1</v>
      </c>
      <c r="AL242" s="1" t="str">
        <f t="shared" si="176"/>
        <v>=1</v>
      </c>
      <c r="AM242" s="1" t="str">
        <f t="shared" si="176"/>
        <v>=1</v>
      </c>
      <c r="AN242" s="1" t="str">
        <f t="shared" si="176"/>
        <v>=1</v>
      </c>
      <c r="AO242" s="1" t="str">
        <f t="shared" si="176"/>
        <v>=1</v>
      </c>
      <c r="AP242" s="1" t="str">
        <f t="shared" si="176"/>
        <v>=1</v>
      </c>
      <c r="AQ242" s="1" t="str">
        <f t="shared" si="176"/>
        <v>=1</v>
      </c>
      <c r="AR242" s="1" t="str">
        <f t="shared" si="176"/>
        <v>=1</v>
      </c>
      <c r="AS242" s="1" t="str">
        <f t="shared" si="176"/>
        <v>=1</v>
      </c>
      <c r="AT242" s="1" t="str">
        <f t="shared" si="176"/>
        <v>=1</v>
      </c>
      <c r="AU242" s="1" t="str">
        <f t="shared" si="176"/>
        <v>=34</v>
      </c>
    </row>
    <row r="243" spans="1:47">
      <c r="A243" s="1" t="str">
        <f t="shared" si="162"/>
        <v>   4.1.5) Private security measures</v>
      </c>
      <c r="B243" s="1" t="str">
        <f t="shared" ref="B243:AU243" si="177">IF(B178&gt;1,"=","")&amp;B113</f>
        <v>=34</v>
      </c>
      <c r="C243" s="1" t="str">
        <f t="shared" si="177"/>
        <v>=1</v>
      </c>
      <c r="D243" s="1" t="str">
        <f t="shared" si="177"/>
        <v>=1</v>
      </c>
      <c r="E243" s="1" t="str">
        <f t="shared" si="177"/>
        <v>=1</v>
      </c>
      <c r="F243" s="1" t="str">
        <f t="shared" si="177"/>
        <v>=34</v>
      </c>
      <c r="G243" s="1" t="str">
        <f t="shared" si="177"/>
        <v>=34</v>
      </c>
      <c r="H243" s="1" t="str">
        <f t="shared" si="177"/>
        <v>=1</v>
      </c>
      <c r="I243" s="1" t="str">
        <f t="shared" si="177"/>
        <v>=1</v>
      </c>
      <c r="J243" s="1" t="str">
        <f t="shared" si="177"/>
        <v>=1</v>
      </c>
      <c r="K243" s="1" t="str">
        <f t="shared" si="177"/>
        <v>=1</v>
      </c>
      <c r="L243" s="1" t="str">
        <f t="shared" si="177"/>
        <v>=34</v>
      </c>
      <c r="M243" s="1" t="str">
        <f t="shared" si="177"/>
        <v>=1</v>
      </c>
      <c r="N243" s="1" t="str">
        <f t="shared" si="177"/>
        <v>=1</v>
      </c>
      <c r="O243" s="1" t="str">
        <f t="shared" si="177"/>
        <v>=1</v>
      </c>
      <c r="P243" s="1" t="str">
        <f t="shared" si="177"/>
        <v>=34</v>
      </c>
      <c r="Q243" s="1" t="str">
        <f t="shared" si="177"/>
        <v>=1</v>
      </c>
      <c r="R243" s="1" t="str">
        <f t="shared" si="177"/>
        <v>=34</v>
      </c>
      <c r="S243" s="1" t="str">
        <f t="shared" si="177"/>
        <v>=1</v>
      </c>
      <c r="T243" s="1" t="str">
        <f t="shared" si="177"/>
        <v>=1</v>
      </c>
      <c r="U243" s="1" t="str">
        <f t="shared" si="177"/>
        <v>=1</v>
      </c>
      <c r="V243" s="1" t="str">
        <f t="shared" si="177"/>
        <v>=1</v>
      </c>
      <c r="W243" s="1" t="str">
        <f t="shared" si="177"/>
        <v>=1</v>
      </c>
      <c r="X243" s="1" t="str">
        <f t="shared" si="177"/>
        <v>=1</v>
      </c>
      <c r="Y243" s="1" t="str">
        <f t="shared" si="177"/>
        <v>=34</v>
      </c>
      <c r="Z243" s="1" t="str">
        <f t="shared" si="177"/>
        <v>=34</v>
      </c>
      <c r="AA243" s="1" t="str">
        <f t="shared" si="177"/>
        <v>=34</v>
      </c>
      <c r="AB243" s="1" t="str">
        <f t="shared" si="177"/>
        <v>=1</v>
      </c>
      <c r="AC243" s="1" t="str">
        <f t="shared" si="177"/>
        <v>=1</v>
      </c>
      <c r="AD243" s="1" t="str">
        <f t="shared" si="177"/>
        <v>=34</v>
      </c>
      <c r="AE243" s="1" t="str">
        <f t="shared" si="177"/>
        <v>=1</v>
      </c>
      <c r="AF243" s="1" t="str">
        <f t="shared" si="177"/>
        <v>=34</v>
      </c>
      <c r="AG243" s="1" t="str">
        <f t="shared" si="177"/>
        <v>=34</v>
      </c>
      <c r="AH243" s="1" t="str">
        <f t="shared" si="177"/>
        <v>=1</v>
      </c>
      <c r="AI243" s="1" t="str">
        <f t="shared" si="177"/>
        <v>=34</v>
      </c>
      <c r="AJ243" s="1" t="str">
        <f t="shared" si="177"/>
        <v>=1</v>
      </c>
      <c r="AK243" s="1" t="str">
        <f t="shared" si="177"/>
        <v>=1</v>
      </c>
      <c r="AL243" s="1" t="str">
        <f t="shared" si="177"/>
        <v>=1</v>
      </c>
      <c r="AM243" s="1" t="str">
        <f t="shared" si="177"/>
        <v>=1</v>
      </c>
      <c r="AN243" s="1" t="str">
        <f t="shared" si="177"/>
        <v>=1</v>
      </c>
      <c r="AO243" s="1" t="str">
        <f t="shared" si="177"/>
        <v>=1</v>
      </c>
      <c r="AP243" s="1" t="str">
        <f t="shared" si="177"/>
        <v>=1</v>
      </c>
      <c r="AQ243" s="1" t="str">
        <f t="shared" si="177"/>
        <v>=1</v>
      </c>
      <c r="AR243" s="1" t="str">
        <f t="shared" si="177"/>
        <v>=1</v>
      </c>
      <c r="AS243" s="1" t="str">
        <f t="shared" si="177"/>
        <v>=1</v>
      </c>
      <c r="AT243" s="1" t="str">
        <f t="shared" si="177"/>
        <v>=1</v>
      </c>
      <c r="AU243" s="1" t="str">
        <f t="shared" si="177"/>
        <v>=1</v>
      </c>
    </row>
    <row r="244" spans="1:47">
      <c r="A244" s="1" t="str">
        <f t="shared" si="162"/>
        <v>   4.1.6) Gun regulation and enforcement</v>
      </c>
      <c r="B244" s="1" t="str">
        <f t="shared" ref="B244:AU244" si="178">IF(B179&gt;1,"=","")&amp;B114</f>
        <v>32</v>
      </c>
      <c r="C244" s="1" t="str">
        <f t="shared" si="178"/>
        <v>=15</v>
      </c>
      <c r="D244" s="1" t="str">
        <f t="shared" si="178"/>
        <v>=38</v>
      </c>
      <c r="E244" s="1" t="str">
        <f t="shared" si="178"/>
        <v>=17</v>
      </c>
      <c r="F244" s="1" t="str">
        <f t="shared" si="178"/>
        <v>=1</v>
      </c>
      <c r="G244" s="1" t="str">
        <f t="shared" si="178"/>
        <v>=21</v>
      </c>
      <c r="H244" s="1" t="str">
        <f t="shared" si="178"/>
        <v>=15</v>
      </c>
      <c r="I244" s="1" t="str">
        <f t="shared" si="178"/>
        <v>=38</v>
      </c>
      <c r="J244" s="1" t="str">
        <f t="shared" si="178"/>
        <v>=30</v>
      </c>
      <c r="K244" s="1" t="str">
        <f t="shared" si="178"/>
        <v>=19</v>
      </c>
      <c r="L244" s="1" t="str">
        <f t="shared" si="178"/>
        <v>=23</v>
      </c>
      <c r="M244" s="1" t="str">
        <f t="shared" si="178"/>
        <v>=1</v>
      </c>
      <c r="N244" s="1" t="str">
        <f t="shared" si="178"/>
        <v>=6</v>
      </c>
      <c r="O244" s="1" t="str">
        <f t="shared" si="178"/>
        <v>42</v>
      </c>
      <c r="P244" s="1" t="str">
        <f t="shared" si="178"/>
        <v>=36</v>
      </c>
      <c r="Q244" s="1" t="str">
        <f t="shared" si="178"/>
        <v>=43</v>
      </c>
      <c r="R244" s="1" t="str">
        <f t="shared" si="178"/>
        <v>4</v>
      </c>
      <c r="S244" s="1" t="str">
        <f t="shared" si="178"/>
        <v>=43</v>
      </c>
      <c r="T244" s="1" t="str">
        <f t="shared" si="178"/>
        <v>=6</v>
      </c>
      <c r="U244" s="1" t="str">
        <f t="shared" si="178"/>
        <v>=33</v>
      </c>
      <c r="V244" s="1" t="str">
        <f t="shared" si="178"/>
        <v>=17</v>
      </c>
      <c r="W244" s="1" t="str">
        <f t="shared" si="178"/>
        <v>=11</v>
      </c>
      <c r="X244" s="1" t="str">
        <f t="shared" si="178"/>
        <v>=33</v>
      </c>
      <c r="Y244" s="1" t="str">
        <f t="shared" si="178"/>
        <v>=27</v>
      </c>
      <c r="Z244" s="1" t="str">
        <f t="shared" si="178"/>
        <v>=21</v>
      </c>
      <c r="AA244" s="1" t="str">
        <f t="shared" si="178"/>
        <v>=30</v>
      </c>
      <c r="AB244" s="1" t="str">
        <f t="shared" si="178"/>
        <v>40</v>
      </c>
      <c r="AC244" s="1" t="str">
        <f t="shared" si="178"/>
        <v>=6</v>
      </c>
      <c r="AD244" s="1" t="str">
        <f t="shared" si="178"/>
        <v>=36</v>
      </c>
      <c r="AE244" s="1" t="str">
        <f t="shared" si="178"/>
        <v>=25</v>
      </c>
      <c r="AF244" s="1" t="str">
        <f t="shared" si="178"/>
        <v>46</v>
      </c>
      <c r="AG244" s="1" t="str">
        <f t="shared" si="178"/>
        <v>=27</v>
      </c>
      <c r="AH244" s="1" t="str">
        <f t="shared" si="178"/>
        <v>=33</v>
      </c>
      <c r="AI244" s="1" t="str">
        <f t="shared" si="178"/>
        <v>41</v>
      </c>
      <c r="AJ244" s="1" t="str">
        <f t="shared" si="178"/>
        <v>=25</v>
      </c>
      <c r="AK244" s="1" t="str">
        <f t="shared" si="178"/>
        <v>=11</v>
      </c>
      <c r="AL244" s="1" t="str">
        <f t="shared" si="178"/>
        <v>=1</v>
      </c>
      <c r="AM244" s="1" t="str">
        <f t="shared" si="178"/>
        <v>=6</v>
      </c>
      <c r="AN244" s="1" t="str">
        <f t="shared" si="178"/>
        <v>=23</v>
      </c>
      <c r="AO244" s="1" t="str">
        <f t="shared" si="178"/>
        <v>=11</v>
      </c>
      <c r="AP244" s="1" t="str">
        <f t="shared" si="178"/>
        <v>5</v>
      </c>
      <c r="AQ244" s="1" t="str">
        <f t="shared" si="178"/>
        <v>=27</v>
      </c>
      <c r="AR244" s="1" t="str">
        <f t="shared" si="178"/>
        <v>=6</v>
      </c>
      <c r="AS244" s="1" t="str">
        <f t="shared" si="178"/>
        <v>=19</v>
      </c>
      <c r="AT244" s="1" t="str">
        <f t="shared" si="178"/>
        <v>=11</v>
      </c>
      <c r="AU244" s="1" t="str">
        <f t="shared" si="178"/>
        <v>=43</v>
      </c>
    </row>
    <row r="245" spans="1:47">
      <c r="A245" s="1" t="str">
        <f t="shared" si="162"/>
        <v>   4.1.7) Political stability risk</v>
      </c>
      <c r="B245" s="1" t="str">
        <f t="shared" ref="B245:AU245" si="179">IF(B180&gt;1,"=","")&amp;B115</f>
        <v>=34</v>
      </c>
      <c r="C245" s="1" t="str">
        <f t="shared" si="179"/>
        <v>=13</v>
      </c>
      <c r="D245" s="1" t="str">
        <f t="shared" si="179"/>
        <v>=43</v>
      </c>
      <c r="E245" s="1" t="str">
        <f t="shared" si="179"/>
        <v>=18</v>
      </c>
      <c r="F245" s="1" t="str">
        <f t="shared" si="179"/>
        <v>=37</v>
      </c>
      <c r="G245" s="1" t="str">
        <f t="shared" si="179"/>
        <v>=18</v>
      </c>
      <c r="H245" s="1" t="str">
        <f t="shared" si="179"/>
        <v>=37</v>
      </c>
      <c r="I245" s="1" t="str">
        <f t="shared" si="179"/>
        <v>=2</v>
      </c>
      <c r="J245" s="1" t="str">
        <f t="shared" si="179"/>
        <v>=13</v>
      </c>
      <c r="K245" s="1" t="str">
        <f t="shared" si="179"/>
        <v>=31</v>
      </c>
      <c r="L245" s="1" t="str">
        <f t="shared" si="179"/>
        <v>12</v>
      </c>
      <c r="M245" s="1" t="str">
        <f t="shared" si="179"/>
        <v>36</v>
      </c>
      <c r="N245" s="1" t="str">
        <f t="shared" si="179"/>
        <v>=25</v>
      </c>
      <c r="O245" s="1" t="str">
        <f t="shared" si="179"/>
        <v>=37</v>
      </c>
      <c r="P245" s="1" t="str">
        <f t="shared" si="179"/>
        <v>=21</v>
      </c>
      <c r="Q245" s="1" t="str">
        <f t="shared" si="179"/>
        <v>=25</v>
      </c>
      <c r="R245" s="1" t="str">
        <f t="shared" si="179"/>
        <v>42</v>
      </c>
      <c r="S245" s="1" t="str">
        <f t="shared" si="179"/>
        <v>=34</v>
      </c>
      <c r="T245" s="1" t="str">
        <f t="shared" si="179"/>
        <v>=21</v>
      </c>
      <c r="U245" s="1" t="str">
        <f t="shared" si="179"/>
        <v>=2</v>
      </c>
      <c r="V245" s="1" t="str">
        <f t="shared" si="179"/>
        <v>=18</v>
      </c>
      <c r="W245" s="1" t="str">
        <f t="shared" si="179"/>
        <v>=2</v>
      </c>
      <c r="X245" s="1" t="str">
        <f t="shared" si="179"/>
        <v>=31</v>
      </c>
      <c r="Y245" s="1" t="str">
        <f t="shared" si="179"/>
        <v>=25</v>
      </c>
      <c r="Z245" s="1" t="str">
        <f t="shared" si="179"/>
        <v>=43</v>
      </c>
      <c r="AA245" s="1" t="str">
        <f t="shared" si="179"/>
        <v>=13</v>
      </c>
      <c r="AB245" s="1" t="str">
        <f t="shared" si="179"/>
        <v>=2</v>
      </c>
      <c r="AC245" s="1" t="str">
        <f t="shared" si="179"/>
        <v>=2</v>
      </c>
      <c r="AD245" s="1" t="str">
        <f t="shared" si="179"/>
        <v>=21</v>
      </c>
      <c r="AE245" s="1" t="str">
        <f t="shared" si="179"/>
        <v>=25</v>
      </c>
      <c r="AF245" s="1" t="str">
        <f t="shared" si="179"/>
        <v>=37</v>
      </c>
      <c r="AG245" s="1" t="str">
        <f t="shared" si="179"/>
        <v>=25</v>
      </c>
      <c r="AH245" s="1" t="str">
        <f t="shared" si="179"/>
        <v>=2</v>
      </c>
      <c r="AI245" s="1" t="str">
        <f t="shared" si="179"/>
        <v>=13</v>
      </c>
      <c r="AJ245" s="1" t="str">
        <f t="shared" si="179"/>
        <v>=25</v>
      </c>
      <c r="AK245" s="1" t="str">
        <f t="shared" si="179"/>
        <v>=31</v>
      </c>
      <c r="AL245" s="1" t="str">
        <f t="shared" si="179"/>
        <v>=37</v>
      </c>
      <c r="AM245" s="1" t="str">
        <f t="shared" si="179"/>
        <v>=13</v>
      </c>
      <c r="AN245" s="1" t="str">
        <f t="shared" si="179"/>
        <v>=43</v>
      </c>
      <c r="AO245" s="1" t="str">
        <f t="shared" si="179"/>
        <v>=2</v>
      </c>
      <c r="AP245" s="1" t="str">
        <f t="shared" si="179"/>
        <v>=21</v>
      </c>
      <c r="AQ245" s="1" t="str">
        <f t="shared" si="179"/>
        <v>46</v>
      </c>
      <c r="AR245" s="1" t="str">
        <f t="shared" si="179"/>
        <v>=2</v>
      </c>
      <c r="AS245" s="1" t="str">
        <f t="shared" si="179"/>
        <v>1</v>
      </c>
      <c r="AT245" s="1" t="str">
        <f t="shared" si="179"/>
        <v>=2</v>
      </c>
      <c r="AU245" s="1" t="str">
        <f t="shared" si="179"/>
        <v>=2</v>
      </c>
    </row>
    <row r="246" spans="1:47">
      <c r="A246" s="1" t="str">
        <f t="shared" si="162"/>
        <v>  4.2) Personal security (Outputs)</v>
      </c>
      <c r="B246" s="1" t="str">
        <f t="shared" ref="B246:AU246" si="180">IF(B181&gt;1,"=","")&amp;B116</f>
        <v>8</v>
      </c>
      <c r="C246" s="1" t="str">
        <f t="shared" si="180"/>
        <v>10</v>
      </c>
      <c r="D246" s="1" t="str">
        <f t="shared" si="180"/>
        <v>44</v>
      </c>
      <c r="E246" s="1" t="str">
        <f t="shared" si="180"/>
        <v>24</v>
      </c>
      <c r="F246" s="1" t="str">
        <f t="shared" si="180"/>
        <v>21</v>
      </c>
      <c r="G246" s="1" t="str">
        <f t="shared" si="180"/>
        <v>16</v>
      </c>
      <c r="H246" s="1" t="str">
        <f t="shared" si="180"/>
        <v>35</v>
      </c>
      <c r="I246" s="1" t="str">
        <f t="shared" si="180"/>
        <v>23</v>
      </c>
      <c r="J246" s="1" t="str">
        <f t="shared" si="180"/>
        <v>38</v>
      </c>
      <c r="K246" s="1" t="str">
        <f t="shared" si="180"/>
        <v>=12</v>
      </c>
      <c r="L246" s="1" t="str">
        <f t="shared" si="180"/>
        <v>11</v>
      </c>
      <c r="M246" s="1" t="str">
        <f t="shared" si="180"/>
        <v>33</v>
      </c>
      <c r="N246" s="1" t="str">
        <f t="shared" si="180"/>
        <v>4</v>
      </c>
      <c r="O246" s="1" t="str">
        <f t="shared" si="180"/>
        <v>36</v>
      </c>
      <c r="P246" s="1" t="str">
        <f t="shared" si="180"/>
        <v>40</v>
      </c>
      <c r="Q246" s="1" t="str">
        <f t="shared" si="180"/>
        <v>46</v>
      </c>
      <c r="R246" s="1" t="str">
        <f t="shared" si="180"/>
        <v>18</v>
      </c>
      <c r="S246" s="1" t="str">
        <f t="shared" si="180"/>
        <v>39</v>
      </c>
      <c r="T246" s="1" t="str">
        <f t="shared" si="180"/>
        <v>31</v>
      </c>
      <c r="U246" s="1" t="str">
        <f t="shared" si="180"/>
        <v>25</v>
      </c>
      <c r="V246" s="1" t="str">
        <f t="shared" si="180"/>
        <v>34</v>
      </c>
      <c r="W246" s="1" t="str">
        <f t="shared" si="180"/>
        <v>=12</v>
      </c>
      <c r="X246" s="1" t="str">
        <f t="shared" si="180"/>
        <v>45</v>
      </c>
      <c r="Y246" s="1" t="str">
        <f t="shared" si="180"/>
        <v>27</v>
      </c>
      <c r="Z246" s="1" t="str">
        <f t="shared" si="180"/>
        <v>43</v>
      </c>
      <c r="AA246" s="1" t="str">
        <f t="shared" si="180"/>
        <v>41</v>
      </c>
      <c r="AB246" s="1" t="str">
        <f t="shared" si="180"/>
        <v>28</v>
      </c>
      <c r="AC246" s="1" t="str">
        <f t="shared" si="180"/>
        <v>5</v>
      </c>
      <c r="AD246" s="1" t="str">
        <f t="shared" si="180"/>
        <v>17</v>
      </c>
      <c r="AE246" s="1" t="str">
        <f t="shared" si="180"/>
        <v>42</v>
      </c>
      <c r="AF246" s="1" t="str">
        <f t="shared" si="180"/>
        <v>22</v>
      </c>
      <c r="AG246" s="1" t="str">
        <f t="shared" si="180"/>
        <v>32</v>
      </c>
      <c r="AH246" s="1" t="str">
        <f t="shared" si="180"/>
        <v>19</v>
      </c>
      <c r="AI246" s="1" t="str">
        <f t="shared" si="180"/>
        <v>29</v>
      </c>
      <c r="AJ246" s="1" t="str">
        <f t="shared" si="180"/>
        <v>37</v>
      </c>
      <c r="AK246" s="1" t="str">
        <f t="shared" si="180"/>
        <v>14</v>
      </c>
      <c r="AL246" s="1" t="str">
        <f t="shared" si="180"/>
        <v>20</v>
      </c>
      <c r="AM246" s="1" t="str">
        <f t="shared" si="180"/>
        <v>1</v>
      </c>
      <c r="AN246" s="1" t="str">
        <f t="shared" si="180"/>
        <v>2</v>
      </c>
      <c r="AO246" s="1" t="str">
        <f t="shared" si="180"/>
        <v>15</v>
      </c>
      <c r="AP246" s="1" t="str">
        <f t="shared" si="180"/>
        <v>9</v>
      </c>
      <c r="AQ246" s="1" t="str">
        <f t="shared" si="180"/>
        <v>30</v>
      </c>
      <c r="AR246" s="1" t="str">
        <f t="shared" si="180"/>
        <v>7</v>
      </c>
      <c r="AS246" s="1" t="str">
        <f t="shared" si="180"/>
        <v>6</v>
      </c>
      <c r="AT246" s="1" t="str">
        <f t="shared" si="180"/>
        <v>26</v>
      </c>
      <c r="AU246" s="1" t="str">
        <f t="shared" si="180"/>
        <v>3</v>
      </c>
    </row>
    <row r="247" spans="1:47">
      <c r="A247" s="1" t="str">
        <f t="shared" si="162"/>
        <v>   4.2.1) Prevalence of petty crime</v>
      </c>
      <c r="B247" s="1" t="str">
        <f t="shared" ref="B247:AU247" si="181">IF(B182&gt;1,"=","")&amp;B117</f>
        <v>=4</v>
      </c>
      <c r="C247" s="1" t="str">
        <f t="shared" si="181"/>
        <v>=26</v>
      </c>
      <c r="D247" s="1" t="str">
        <f t="shared" si="181"/>
        <v>=26</v>
      </c>
      <c r="E247" s="1" t="str">
        <f t="shared" si="181"/>
        <v>=4</v>
      </c>
      <c r="F247" s="1" t="str">
        <f t="shared" si="181"/>
        <v>=26</v>
      </c>
      <c r="G247" s="1" t="str">
        <f t="shared" si="181"/>
        <v>=4</v>
      </c>
      <c r="H247" s="1" t="str">
        <f t="shared" si="181"/>
        <v>=26</v>
      </c>
      <c r="I247" s="1" t="str">
        <f t="shared" si="181"/>
        <v>=4</v>
      </c>
      <c r="J247" s="1" t="str">
        <f t="shared" si="181"/>
        <v>=26</v>
      </c>
      <c r="K247" s="1" t="str">
        <f t="shared" si="181"/>
        <v>=4</v>
      </c>
      <c r="L247" s="1" t="str">
        <f t="shared" si="181"/>
        <v>=4</v>
      </c>
      <c r="M247" s="1" t="str">
        <f t="shared" si="181"/>
        <v>=40</v>
      </c>
      <c r="N247" s="1" t="str">
        <f t="shared" si="181"/>
        <v>=4</v>
      </c>
      <c r="O247" s="1" t="str">
        <f t="shared" si="181"/>
        <v>=26</v>
      </c>
      <c r="P247" s="1" t="str">
        <f t="shared" si="181"/>
        <v>=40</v>
      </c>
      <c r="Q247" s="1" t="str">
        <f t="shared" si="181"/>
        <v>=45</v>
      </c>
      <c r="R247" s="1" t="str">
        <f t="shared" si="181"/>
        <v>=4</v>
      </c>
      <c r="S247" s="1" t="str">
        <f t="shared" si="181"/>
        <v>=26</v>
      </c>
      <c r="T247" s="1" t="str">
        <f t="shared" si="181"/>
        <v>=26</v>
      </c>
      <c r="U247" s="1" t="str">
        <f t="shared" si="181"/>
        <v>=4</v>
      </c>
      <c r="V247" s="1" t="str">
        <f t="shared" si="181"/>
        <v>=4</v>
      </c>
      <c r="W247" s="1" t="str">
        <f t="shared" si="181"/>
        <v>=4</v>
      </c>
      <c r="X247" s="1" t="str">
        <f t="shared" si="181"/>
        <v>=45</v>
      </c>
      <c r="Y247" s="1" t="str">
        <f t="shared" si="181"/>
        <v>=4</v>
      </c>
      <c r="Z247" s="1" t="str">
        <f t="shared" si="181"/>
        <v>=26</v>
      </c>
      <c r="AA247" s="1" t="str">
        <f t="shared" si="181"/>
        <v>=40</v>
      </c>
      <c r="AB247" s="1" t="str">
        <f t="shared" si="181"/>
        <v>=26</v>
      </c>
      <c r="AC247" s="1" t="str">
        <f t="shared" si="181"/>
        <v>=4</v>
      </c>
      <c r="AD247" s="1" t="str">
        <f t="shared" si="181"/>
        <v>=4</v>
      </c>
      <c r="AE247" s="1" t="str">
        <f t="shared" si="181"/>
        <v>=40</v>
      </c>
      <c r="AF247" s="1" t="str">
        <f t="shared" si="181"/>
        <v>=4</v>
      </c>
      <c r="AG247" s="1" t="str">
        <f t="shared" si="181"/>
        <v>=26</v>
      </c>
      <c r="AH247" s="1" t="str">
        <f t="shared" si="181"/>
        <v>=4</v>
      </c>
      <c r="AI247" s="1" t="str">
        <f t="shared" si="181"/>
        <v>=26</v>
      </c>
      <c r="AJ247" s="1" t="str">
        <f t="shared" si="181"/>
        <v>=40</v>
      </c>
      <c r="AK247" s="1" t="str">
        <f t="shared" si="181"/>
        <v>=4</v>
      </c>
      <c r="AL247" s="1" t="str">
        <f t="shared" si="181"/>
        <v>=26</v>
      </c>
      <c r="AM247" s="1" t="str">
        <f t="shared" si="181"/>
        <v>=1</v>
      </c>
      <c r="AN247" s="1" t="str">
        <f t="shared" si="181"/>
        <v>=1</v>
      </c>
      <c r="AO247" s="1" t="str">
        <f t="shared" si="181"/>
        <v>=4</v>
      </c>
      <c r="AP247" s="1" t="str">
        <f t="shared" si="181"/>
        <v>=4</v>
      </c>
      <c r="AQ247" s="1" t="str">
        <f t="shared" si="181"/>
        <v>=26</v>
      </c>
      <c r="AR247" s="1" t="str">
        <f t="shared" si="181"/>
        <v>=4</v>
      </c>
      <c r="AS247" s="1" t="str">
        <f t="shared" si="181"/>
        <v>=1</v>
      </c>
      <c r="AT247" s="1" t="str">
        <f t="shared" si="181"/>
        <v>=4</v>
      </c>
      <c r="AU247" s="1" t="str">
        <f t="shared" si="181"/>
        <v>=4</v>
      </c>
    </row>
    <row r="248" spans="1:47">
      <c r="A248" s="1" t="str">
        <f t="shared" si="162"/>
        <v>   4.2.2) Prevalence of violent crime</v>
      </c>
      <c r="B248" s="1" t="str">
        <f t="shared" ref="B248:AU248" si="182">IF(B183&gt;1,"=","")&amp;B118</f>
        <v>=1</v>
      </c>
      <c r="C248" s="1" t="str">
        <f t="shared" si="182"/>
        <v>=14</v>
      </c>
      <c r="D248" s="1" t="str">
        <f t="shared" si="182"/>
        <v>=14</v>
      </c>
      <c r="E248" s="1" t="str">
        <f t="shared" si="182"/>
        <v>=14</v>
      </c>
      <c r="F248" s="1" t="str">
        <f t="shared" si="182"/>
        <v>=14</v>
      </c>
      <c r="G248" s="1" t="str">
        <f t="shared" si="182"/>
        <v>=14</v>
      </c>
      <c r="H248" s="1" t="str">
        <f t="shared" si="182"/>
        <v>=37</v>
      </c>
      <c r="I248" s="1" t="str">
        <f t="shared" si="182"/>
        <v>=14</v>
      </c>
      <c r="J248" s="1" t="str">
        <f t="shared" si="182"/>
        <v>=37</v>
      </c>
      <c r="K248" s="1" t="str">
        <f t="shared" si="182"/>
        <v>=1</v>
      </c>
      <c r="L248" s="1" t="str">
        <f t="shared" si="182"/>
        <v>=14</v>
      </c>
      <c r="M248" s="1" t="str">
        <f t="shared" si="182"/>
        <v>=37</v>
      </c>
      <c r="N248" s="1" t="str">
        <f t="shared" si="182"/>
        <v>=1</v>
      </c>
      <c r="O248" s="1" t="str">
        <f t="shared" si="182"/>
        <v>=37</v>
      </c>
      <c r="P248" s="1" t="str">
        <f t="shared" si="182"/>
        <v>=14</v>
      </c>
      <c r="Q248" s="1" t="str">
        <f t="shared" si="182"/>
        <v>=45</v>
      </c>
      <c r="R248" s="1" t="str">
        <f t="shared" si="182"/>
        <v>=1</v>
      </c>
      <c r="S248" s="1" t="str">
        <f t="shared" si="182"/>
        <v>=37</v>
      </c>
      <c r="T248" s="1" t="str">
        <f t="shared" si="182"/>
        <v>=14</v>
      </c>
      <c r="U248" s="1" t="str">
        <f t="shared" si="182"/>
        <v>=14</v>
      </c>
      <c r="V248" s="1" t="str">
        <f t="shared" si="182"/>
        <v>=14</v>
      </c>
      <c r="W248" s="1" t="str">
        <f t="shared" si="182"/>
        <v>=1</v>
      </c>
      <c r="X248" s="1" t="str">
        <f t="shared" si="182"/>
        <v>=45</v>
      </c>
      <c r="Y248" s="1" t="str">
        <f t="shared" si="182"/>
        <v>=14</v>
      </c>
      <c r="Z248" s="1" t="str">
        <f t="shared" si="182"/>
        <v>=14</v>
      </c>
      <c r="AA248" s="1" t="str">
        <f t="shared" si="182"/>
        <v>=14</v>
      </c>
      <c r="AB248" s="1" t="str">
        <f t="shared" si="182"/>
        <v>=14</v>
      </c>
      <c r="AC248" s="1" t="str">
        <f t="shared" si="182"/>
        <v>=1</v>
      </c>
      <c r="AD248" s="1" t="str">
        <f t="shared" si="182"/>
        <v>=14</v>
      </c>
      <c r="AE248" s="1" t="str">
        <f t="shared" si="182"/>
        <v>=43</v>
      </c>
      <c r="AF248" s="1" t="str">
        <f t="shared" si="182"/>
        <v>=1</v>
      </c>
      <c r="AG248" s="1" t="str">
        <f t="shared" si="182"/>
        <v>=14</v>
      </c>
      <c r="AH248" s="1" t="str">
        <f t="shared" si="182"/>
        <v>=14</v>
      </c>
      <c r="AI248" s="1" t="str">
        <f t="shared" si="182"/>
        <v>=37</v>
      </c>
      <c r="AJ248" s="1" t="str">
        <f t="shared" si="182"/>
        <v>=43</v>
      </c>
      <c r="AK248" s="1" t="str">
        <f t="shared" si="182"/>
        <v>=1</v>
      </c>
      <c r="AL248" s="1" t="str">
        <f t="shared" si="182"/>
        <v>=14</v>
      </c>
      <c r="AM248" s="1" t="str">
        <f t="shared" si="182"/>
        <v>=1</v>
      </c>
      <c r="AN248" s="1" t="str">
        <f t="shared" si="182"/>
        <v>=1</v>
      </c>
      <c r="AO248" s="1" t="str">
        <f t="shared" si="182"/>
        <v>=14</v>
      </c>
      <c r="AP248" s="1" t="str">
        <f t="shared" si="182"/>
        <v>=14</v>
      </c>
      <c r="AQ248" s="1" t="str">
        <f t="shared" si="182"/>
        <v>=14</v>
      </c>
      <c r="AR248" s="1" t="str">
        <f t="shared" si="182"/>
        <v>=1</v>
      </c>
      <c r="AS248" s="1" t="str">
        <f t="shared" si="182"/>
        <v>=1</v>
      </c>
      <c r="AT248" s="1" t="str">
        <f t="shared" si="182"/>
        <v>=14</v>
      </c>
      <c r="AU248" s="1" t="str">
        <f t="shared" si="182"/>
        <v>=1</v>
      </c>
    </row>
    <row r="249" spans="1:47">
      <c r="A249" s="1" t="str">
        <f t="shared" si="162"/>
        <v>   4.2.3) Organised crime</v>
      </c>
      <c r="B249" s="1" t="str">
        <f t="shared" ref="B249:AU249" si="183">IF(B184&gt;1,"=","")&amp;B119</f>
        <v>=5</v>
      </c>
      <c r="C249" s="1" t="str">
        <f t="shared" si="183"/>
        <v>=1</v>
      </c>
      <c r="D249" s="1" t="str">
        <f t="shared" si="183"/>
        <v>=28</v>
      </c>
      <c r="E249" s="1" t="str">
        <f t="shared" si="183"/>
        <v>=5</v>
      </c>
      <c r="F249" s="1" t="str">
        <f t="shared" si="183"/>
        <v>=28</v>
      </c>
      <c r="G249" s="1" t="str">
        <f t="shared" si="183"/>
        <v>=5</v>
      </c>
      <c r="H249" s="1" t="str">
        <f t="shared" si="183"/>
        <v>=28</v>
      </c>
      <c r="I249" s="1" t="str">
        <f t="shared" si="183"/>
        <v>=5</v>
      </c>
      <c r="J249" s="1" t="str">
        <f t="shared" si="183"/>
        <v>=28</v>
      </c>
      <c r="K249" s="1" t="str">
        <f t="shared" si="183"/>
        <v>=1</v>
      </c>
      <c r="L249" s="1" t="str">
        <f t="shared" si="183"/>
        <v>=5</v>
      </c>
      <c r="M249" s="1" t="str">
        <f t="shared" si="183"/>
        <v>=28</v>
      </c>
      <c r="N249" s="1" t="str">
        <f t="shared" si="183"/>
        <v>=5</v>
      </c>
      <c r="O249" s="1" t="str">
        <f t="shared" si="183"/>
        <v>=28</v>
      </c>
      <c r="P249" s="1" t="str">
        <f t="shared" si="183"/>
        <v>=28</v>
      </c>
      <c r="Q249" s="1" t="str">
        <f t="shared" si="183"/>
        <v>=41</v>
      </c>
      <c r="R249" s="1" t="str">
        <f t="shared" si="183"/>
        <v>=5</v>
      </c>
      <c r="S249" s="1" t="str">
        <f t="shared" si="183"/>
        <v>=41</v>
      </c>
      <c r="T249" s="1" t="str">
        <f t="shared" si="183"/>
        <v>=5</v>
      </c>
      <c r="U249" s="1" t="str">
        <f t="shared" si="183"/>
        <v>=5</v>
      </c>
      <c r="V249" s="1" t="str">
        <f t="shared" si="183"/>
        <v>=5</v>
      </c>
      <c r="W249" s="1" t="str">
        <f t="shared" si="183"/>
        <v>=5</v>
      </c>
      <c r="X249" s="1" t="str">
        <f t="shared" si="183"/>
        <v>46</v>
      </c>
      <c r="Y249" s="1" t="str">
        <f t="shared" si="183"/>
        <v>=41</v>
      </c>
      <c r="Z249" s="1" t="str">
        <f t="shared" si="183"/>
        <v>=41</v>
      </c>
      <c r="AA249" s="1" t="str">
        <f t="shared" si="183"/>
        <v>=28</v>
      </c>
      <c r="AB249" s="1" t="str">
        <f t="shared" si="183"/>
        <v>=5</v>
      </c>
      <c r="AC249" s="1" t="str">
        <f t="shared" si="183"/>
        <v>=28</v>
      </c>
      <c r="AD249" s="1" t="str">
        <f t="shared" si="183"/>
        <v>=5</v>
      </c>
      <c r="AE249" s="1" t="str">
        <f t="shared" si="183"/>
        <v>=28</v>
      </c>
      <c r="AF249" s="1" t="str">
        <f t="shared" si="183"/>
        <v>=5</v>
      </c>
      <c r="AG249" s="1" t="str">
        <f t="shared" si="183"/>
        <v>=41</v>
      </c>
      <c r="AH249" s="1" t="str">
        <f t="shared" si="183"/>
        <v>=5</v>
      </c>
      <c r="AI249" s="1" t="str">
        <f t="shared" si="183"/>
        <v>=5</v>
      </c>
      <c r="AJ249" s="1" t="str">
        <f t="shared" si="183"/>
        <v>=28</v>
      </c>
      <c r="AK249" s="1" t="str">
        <f t="shared" si="183"/>
        <v>=5</v>
      </c>
      <c r="AL249" s="1" t="str">
        <f t="shared" si="183"/>
        <v>=28</v>
      </c>
      <c r="AM249" s="1" t="str">
        <f t="shared" si="183"/>
        <v>=1</v>
      </c>
      <c r="AN249" s="1" t="str">
        <f t="shared" si="183"/>
        <v>=1</v>
      </c>
      <c r="AO249" s="1" t="str">
        <f t="shared" si="183"/>
        <v>=5</v>
      </c>
      <c r="AP249" s="1" t="str">
        <f t="shared" si="183"/>
        <v>=5</v>
      </c>
      <c r="AQ249" s="1" t="str">
        <f t="shared" si="183"/>
        <v>=5</v>
      </c>
      <c r="AR249" s="1" t="str">
        <f t="shared" si="183"/>
        <v>=28</v>
      </c>
      <c r="AS249" s="1" t="str">
        <f t="shared" si="183"/>
        <v>=5</v>
      </c>
      <c r="AT249" s="1" t="str">
        <f t="shared" si="183"/>
        <v>=5</v>
      </c>
      <c r="AU249" s="1" t="str">
        <f t="shared" si="183"/>
        <v>=5</v>
      </c>
    </row>
    <row r="250" spans="1:47">
      <c r="A250" s="1" t="str">
        <f t="shared" si="162"/>
        <v>   4.2.4) Level of corruption</v>
      </c>
      <c r="B250" s="1" t="str">
        <f t="shared" ref="B250:AU250" si="184">IF(B185&gt;1,"=","")&amp;B120</f>
        <v>20</v>
      </c>
      <c r="C250" s="1" t="str">
        <f t="shared" si="184"/>
        <v>4</v>
      </c>
      <c r="D250" s="1" t="str">
        <f t="shared" si="184"/>
        <v>=35</v>
      </c>
      <c r="E250" s="1" t="str">
        <f t="shared" si="184"/>
        <v>=24</v>
      </c>
      <c r="F250" s="1" t="str">
        <f t="shared" si="184"/>
        <v>=39</v>
      </c>
      <c r="G250" s="1" t="str">
        <f t="shared" si="184"/>
        <v>=10</v>
      </c>
      <c r="H250" s="1" t="str">
        <f t="shared" si="184"/>
        <v>=42</v>
      </c>
      <c r="I250" s="1" t="str">
        <f t="shared" si="184"/>
        <v>=13</v>
      </c>
      <c r="J250" s="1" t="str">
        <f t="shared" si="184"/>
        <v>=35</v>
      </c>
      <c r="K250" s="1" t="str">
        <f t="shared" si="184"/>
        <v>=21</v>
      </c>
      <c r="L250" s="1" t="str">
        <f t="shared" si="184"/>
        <v>8</v>
      </c>
      <c r="M250" s="1" t="str">
        <f t="shared" si="184"/>
        <v>44</v>
      </c>
      <c r="N250" s="1" t="str">
        <f t="shared" si="184"/>
        <v>=13</v>
      </c>
      <c r="O250" s="1" t="str">
        <f t="shared" si="184"/>
        <v>28</v>
      </c>
      <c r="P250" s="1" t="str">
        <f t="shared" si="184"/>
        <v>=42</v>
      </c>
      <c r="Q250" s="1" t="str">
        <f t="shared" si="184"/>
        <v>=29</v>
      </c>
      <c r="R250" s="1" t="str">
        <f t="shared" si="184"/>
        <v>=29</v>
      </c>
      <c r="S250" s="1" t="str">
        <f t="shared" si="184"/>
        <v>=35</v>
      </c>
      <c r="T250" s="1" t="str">
        <f t="shared" si="184"/>
        <v>9</v>
      </c>
      <c r="U250" s="1" t="str">
        <f t="shared" si="184"/>
        <v>=13</v>
      </c>
      <c r="V250" s="1" t="str">
        <f t="shared" si="184"/>
        <v>=24</v>
      </c>
      <c r="W250" s="1" t="str">
        <f t="shared" si="184"/>
        <v>=6</v>
      </c>
      <c r="X250" s="1" t="str">
        <f t="shared" si="184"/>
        <v>41</v>
      </c>
      <c r="Y250" s="1" t="str">
        <f t="shared" si="184"/>
        <v>=31</v>
      </c>
      <c r="Z250" s="1" t="str">
        <f t="shared" si="184"/>
        <v>=45</v>
      </c>
      <c r="AA250" s="1" t="str">
        <f t="shared" si="184"/>
        <v>=35</v>
      </c>
      <c r="AB250" s="1" t="str">
        <f t="shared" si="184"/>
        <v>=13</v>
      </c>
      <c r="AC250" s="1" t="str">
        <f t="shared" si="184"/>
        <v>=10</v>
      </c>
      <c r="AD250" s="1" t="str">
        <f t="shared" si="184"/>
        <v>=21</v>
      </c>
      <c r="AE250" s="1" t="str">
        <f t="shared" si="184"/>
        <v>=31</v>
      </c>
      <c r="AF250" s="1" t="str">
        <f t="shared" si="184"/>
        <v>27</v>
      </c>
      <c r="AG250" s="1" t="str">
        <f t="shared" si="184"/>
        <v>=31</v>
      </c>
      <c r="AH250" s="1" t="str">
        <f t="shared" si="184"/>
        <v>=13</v>
      </c>
      <c r="AI250" s="1" t="str">
        <f t="shared" si="184"/>
        <v>19</v>
      </c>
      <c r="AJ250" s="1" t="str">
        <f t="shared" si="184"/>
        <v>=31</v>
      </c>
      <c r="AK250" s="1" t="str">
        <f t="shared" si="184"/>
        <v>26</v>
      </c>
      <c r="AL250" s="1" t="str">
        <f t="shared" si="184"/>
        <v>=39</v>
      </c>
      <c r="AM250" s="1" t="str">
        <f t="shared" si="184"/>
        <v>3</v>
      </c>
      <c r="AN250" s="1" t="str">
        <f t="shared" si="184"/>
        <v>1</v>
      </c>
      <c r="AO250" s="1" t="str">
        <f t="shared" si="184"/>
        <v>=6</v>
      </c>
      <c r="AP250" s="1" t="str">
        <f t="shared" si="184"/>
        <v>23</v>
      </c>
      <c r="AQ250" s="1" t="str">
        <f t="shared" si="184"/>
        <v>=45</v>
      </c>
      <c r="AR250" s="1" t="str">
        <f t="shared" si="184"/>
        <v>=10</v>
      </c>
      <c r="AS250" s="1" t="str">
        <f t="shared" si="184"/>
        <v>5</v>
      </c>
      <c r="AT250" s="1" t="str">
        <f t="shared" si="184"/>
        <v>=13</v>
      </c>
      <c r="AU250" s="1" t="str">
        <f t="shared" si="184"/>
        <v>2</v>
      </c>
    </row>
    <row r="251" spans="1:47">
      <c r="A251" s="1" t="str">
        <f t="shared" si="162"/>
        <v>   4.2.5) Rate of drug use </v>
      </c>
      <c r="B251" s="1" t="str">
        <f t="shared" ref="B251:AU251" si="185">IF(B186&gt;1,"=","")&amp;B121</f>
        <v>2</v>
      </c>
      <c r="C251" s="1" t="str">
        <f t="shared" si="185"/>
        <v>=25</v>
      </c>
      <c r="D251" s="1" t="str">
        <f t="shared" si="185"/>
        <v>=7</v>
      </c>
      <c r="E251" s="1" t="str">
        <f t="shared" si="185"/>
        <v>=44</v>
      </c>
      <c r="F251" s="1" t="str">
        <f t="shared" si="185"/>
        <v>=17</v>
      </c>
      <c r="G251" s="1" t="str">
        <f t="shared" si="185"/>
        <v>=30</v>
      </c>
      <c r="H251" s="1" t="str">
        <f t="shared" si="185"/>
        <v>=44</v>
      </c>
      <c r="I251" s="1" t="str">
        <f t="shared" si="185"/>
        <v>=38</v>
      </c>
      <c r="J251" s="1" t="str">
        <f t="shared" si="185"/>
        <v>=20</v>
      </c>
      <c r="K251" s="1" t="str">
        <f t="shared" si="185"/>
        <v>=5</v>
      </c>
      <c r="L251" s="1" t="str">
        <f t="shared" si="185"/>
        <v>=30</v>
      </c>
      <c r="M251" s="1" t="str">
        <f t="shared" si="185"/>
        <v>=7</v>
      </c>
      <c r="N251" s="1" t="str">
        <f t="shared" si="185"/>
        <v>19</v>
      </c>
      <c r="O251" s="1" t="str">
        <f t="shared" si="185"/>
        <v>=7</v>
      </c>
      <c r="P251" s="1" t="str">
        <f t="shared" si="185"/>
        <v>=7</v>
      </c>
      <c r="Q251" s="1" t="str">
        <f t="shared" si="185"/>
        <v>29</v>
      </c>
      <c r="R251" s="1" t="str">
        <f t="shared" si="185"/>
        <v>=7</v>
      </c>
      <c r="S251" s="1" t="str">
        <f t="shared" si="185"/>
        <v>=23</v>
      </c>
      <c r="T251" s="1" t="str">
        <f t="shared" si="185"/>
        <v>=33</v>
      </c>
      <c r="U251" s="1" t="str">
        <f t="shared" si="185"/>
        <v>=38</v>
      </c>
      <c r="V251" s="1" t="str">
        <f t="shared" si="185"/>
        <v>=44</v>
      </c>
      <c r="W251" s="1" t="str">
        <f t="shared" si="185"/>
        <v>=33</v>
      </c>
      <c r="X251" s="1" t="str">
        <f t="shared" si="185"/>
        <v>=20</v>
      </c>
      <c r="Y251" s="1" t="str">
        <f t="shared" si="185"/>
        <v>=36</v>
      </c>
      <c r="Z251" s="1" t="str">
        <f t="shared" si="185"/>
        <v>=15</v>
      </c>
      <c r="AA251" s="1" t="str">
        <f t="shared" si="185"/>
        <v>=20</v>
      </c>
      <c r="AB251" s="1" t="str">
        <f t="shared" si="185"/>
        <v>=38</v>
      </c>
      <c r="AC251" s="1" t="str">
        <f t="shared" si="185"/>
        <v>=3</v>
      </c>
      <c r="AD251" s="1" t="str">
        <f t="shared" si="185"/>
        <v>=25</v>
      </c>
      <c r="AE251" s="1" t="str">
        <f t="shared" si="185"/>
        <v>=27</v>
      </c>
      <c r="AF251" s="1" t="str">
        <f t="shared" si="185"/>
        <v>=5</v>
      </c>
      <c r="AG251" s="1" t="str">
        <f t="shared" si="185"/>
        <v>=36</v>
      </c>
      <c r="AH251" s="1" t="str">
        <f t="shared" si="185"/>
        <v>=38</v>
      </c>
      <c r="AI251" s="1" t="str">
        <f t="shared" si="185"/>
        <v>=38</v>
      </c>
      <c r="AJ251" s="1" t="str">
        <f t="shared" si="185"/>
        <v>=27</v>
      </c>
      <c r="AK251" s="1" t="str">
        <f t="shared" si="185"/>
        <v>=7</v>
      </c>
      <c r="AL251" s="1" t="str">
        <f t="shared" si="185"/>
        <v>=17</v>
      </c>
      <c r="AM251" s="1" t="str">
        <f t="shared" si="185"/>
        <v>1</v>
      </c>
      <c r="AN251" s="1" t="str">
        <f t="shared" si="185"/>
        <v>=23</v>
      </c>
      <c r="AO251" s="1" t="str">
        <f t="shared" si="185"/>
        <v>=33</v>
      </c>
      <c r="AP251" s="1" t="str">
        <f t="shared" si="185"/>
        <v>=7</v>
      </c>
      <c r="AQ251" s="1" t="str">
        <f t="shared" si="185"/>
        <v>=7</v>
      </c>
      <c r="AR251" s="1" t="str">
        <f t="shared" si="185"/>
        <v>=3</v>
      </c>
      <c r="AS251" s="1" t="str">
        <f t="shared" si="185"/>
        <v>32</v>
      </c>
      <c r="AT251" s="1" t="str">
        <f t="shared" si="185"/>
        <v>=38</v>
      </c>
      <c r="AU251" s="1" t="str">
        <f t="shared" si="185"/>
        <v>=15</v>
      </c>
    </row>
    <row r="252" spans="1:47">
      <c r="A252" s="1" t="str">
        <f t="shared" si="162"/>
        <v>   4.2.6) Frequency of terrorist attacks </v>
      </c>
      <c r="B252" s="1" t="str">
        <f t="shared" ref="B252:AU252" si="186">IF(B187&gt;1,"=","")&amp;B122</f>
        <v>=1</v>
      </c>
      <c r="C252" s="1" t="str">
        <f t="shared" si="186"/>
        <v>=12</v>
      </c>
      <c r="D252" s="1" t="str">
        <f t="shared" si="186"/>
        <v>46</v>
      </c>
      <c r="E252" s="1" t="str">
        <f t="shared" si="186"/>
        <v>=12</v>
      </c>
      <c r="F252" s="1" t="str">
        <f t="shared" si="186"/>
        <v>=26</v>
      </c>
      <c r="G252" s="1" t="str">
        <f t="shared" si="186"/>
        <v>=22</v>
      </c>
      <c r="H252" s="1" t="str">
        <f t="shared" si="186"/>
        <v>=35</v>
      </c>
      <c r="I252" s="1" t="str">
        <f t="shared" si="186"/>
        <v>=1</v>
      </c>
      <c r="J252" s="1" t="str">
        <f t="shared" si="186"/>
        <v>39</v>
      </c>
      <c r="K252" s="1" t="str">
        <f t="shared" si="186"/>
        <v>=12</v>
      </c>
      <c r="L252" s="1" t="str">
        <f t="shared" si="186"/>
        <v>=22</v>
      </c>
      <c r="M252" s="1" t="str">
        <f t="shared" si="186"/>
        <v>=1</v>
      </c>
      <c r="N252" s="1" t="str">
        <f t="shared" si="186"/>
        <v>=12</v>
      </c>
      <c r="O252" s="1" t="str">
        <f t="shared" si="186"/>
        <v>45</v>
      </c>
      <c r="P252" s="1" t="str">
        <f t="shared" si="186"/>
        <v>=40</v>
      </c>
      <c r="Q252" s="1" t="str">
        <f t="shared" si="186"/>
        <v>=12</v>
      </c>
      <c r="R252" s="1" t="str">
        <f t="shared" si="186"/>
        <v>=1</v>
      </c>
      <c r="S252" s="1" t="str">
        <f t="shared" si="186"/>
        <v>=12</v>
      </c>
      <c r="T252" s="1" t="str">
        <f t="shared" si="186"/>
        <v>43</v>
      </c>
      <c r="U252" s="1" t="str">
        <f t="shared" si="186"/>
        <v>=31</v>
      </c>
      <c r="V252" s="1" t="str">
        <f t="shared" si="186"/>
        <v>=40</v>
      </c>
      <c r="W252" s="1" t="str">
        <f t="shared" si="186"/>
        <v>=1</v>
      </c>
      <c r="X252" s="1" t="str">
        <f t="shared" si="186"/>
        <v>29</v>
      </c>
      <c r="Y252" s="1" t="str">
        <f t="shared" si="186"/>
        <v>30</v>
      </c>
      <c r="Z252" s="1" t="str">
        <f t="shared" si="186"/>
        <v>42</v>
      </c>
      <c r="AA252" s="1" t="str">
        <f t="shared" si="186"/>
        <v>38</v>
      </c>
      <c r="AB252" s="1" t="str">
        <f t="shared" si="186"/>
        <v>=31</v>
      </c>
      <c r="AC252" s="1" t="str">
        <f t="shared" si="186"/>
        <v>=1</v>
      </c>
      <c r="AD252" s="1" t="str">
        <f t="shared" si="186"/>
        <v>34</v>
      </c>
      <c r="AE252" s="1" t="str">
        <f t="shared" si="186"/>
        <v>=1</v>
      </c>
      <c r="AF252" s="1" t="str">
        <f t="shared" si="186"/>
        <v>37</v>
      </c>
      <c r="AG252" s="1" t="str">
        <f t="shared" si="186"/>
        <v>33</v>
      </c>
      <c r="AH252" s="1" t="str">
        <f t="shared" si="186"/>
        <v>=12</v>
      </c>
      <c r="AI252" s="1" t="str">
        <f t="shared" si="186"/>
        <v>44</v>
      </c>
      <c r="AJ252" s="1" t="str">
        <f t="shared" si="186"/>
        <v>=22</v>
      </c>
      <c r="AK252" s="1" t="str">
        <f t="shared" si="186"/>
        <v>=12</v>
      </c>
      <c r="AL252" s="1" t="str">
        <f t="shared" si="186"/>
        <v>=1</v>
      </c>
      <c r="AM252" s="1" t="str">
        <f t="shared" si="186"/>
        <v>=1</v>
      </c>
      <c r="AN252" s="1" t="str">
        <f t="shared" si="186"/>
        <v>28</v>
      </c>
      <c r="AO252" s="1" t="str">
        <f t="shared" si="186"/>
        <v>=1</v>
      </c>
      <c r="AP252" s="1" t="str">
        <f t="shared" si="186"/>
        <v>=22</v>
      </c>
      <c r="AQ252" s="1" t="str">
        <f t="shared" si="186"/>
        <v>=35</v>
      </c>
      <c r="AR252" s="1" t="str">
        <f t="shared" si="186"/>
        <v>=1</v>
      </c>
      <c r="AS252" s="1" t="str">
        <f t="shared" si="186"/>
        <v>=12</v>
      </c>
      <c r="AT252" s="1" t="str">
        <f t="shared" si="186"/>
        <v>=26</v>
      </c>
      <c r="AU252" s="1" t="str">
        <f t="shared" si="186"/>
        <v>=12</v>
      </c>
    </row>
    <row r="253" spans="1:47">
      <c r="A253" s="1" t="str">
        <f t="shared" si="162"/>
        <v>   4.2.7) Severity of terrorist attacks</v>
      </c>
      <c r="B253" s="1" t="str">
        <f t="shared" ref="B253:AU253" si="187">IF(B188&gt;1,"=","")&amp;B123</f>
        <v>=1</v>
      </c>
      <c r="C253" s="1" t="str">
        <f t="shared" si="187"/>
        <v>=22</v>
      </c>
      <c r="D253" s="1" t="str">
        <f t="shared" si="187"/>
        <v>41</v>
      </c>
      <c r="E253" s="1" t="str">
        <f t="shared" si="187"/>
        <v>=16</v>
      </c>
      <c r="F253" s="1" t="str">
        <f t="shared" si="187"/>
        <v>34</v>
      </c>
      <c r="G253" s="1" t="str">
        <f t="shared" si="187"/>
        <v>=19</v>
      </c>
      <c r="H253" s="1" t="str">
        <f t="shared" si="187"/>
        <v>=19</v>
      </c>
      <c r="I253" s="1" t="str">
        <f t="shared" si="187"/>
        <v>=1</v>
      </c>
      <c r="J253" s="1" t="str">
        <f t="shared" si="187"/>
        <v>43</v>
      </c>
      <c r="K253" s="1" t="str">
        <f t="shared" si="187"/>
        <v>31</v>
      </c>
      <c r="L253" s="1" t="str">
        <f t="shared" si="187"/>
        <v>=25</v>
      </c>
      <c r="M253" s="1" t="str">
        <f t="shared" si="187"/>
        <v>=1</v>
      </c>
      <c r="N253" s="1" t="str">
        <f t="shared" si="187"/>
        <v>36</v>
      </c>
      <c r="O253" s="1" t="str">
        <f t="shared" si="187"/>
        <v>42</v>
      </c>
      <c r="P253" s="1" t="str">
        <f t="shared" si="187"/>
        <v>40</v>
      </c>
      <c r="Q253" s="1" t="str">
        <f t="shared" si="187"/>
        <v>=1</v>
      </c>
      <c r="R253" s="1" t="str">
        <f t="shared" si="187"/>
        <v>=1</v>
      </c>
      <c r="S253" s="1" t="str">
        <f t="shared" si="187"/>
        <v>=25</v>
      </c>
      <c r="T253" s="1" t="str">
        <f t="shared" si="187"/>
        <v>44</v>
      </c>
      <c r="U253" s="1" t="str">
        <f t="shared" si="187"/>
        <v>28</v>
      </c>
      <c r="V253" s="1" t="str">
        <f t="shared" si="187"/>
        <v>46</v>
      </c>
      <c r="W253" s="1" t="str">
        <f t="shared" si="187"/>
        <v>=1</v>
      </c>
      <c r="X253" s="1" t="str">
        <f t="shared" si="187"/>
        <v>38</v>
      </c>
      <c r="Y253" s="1" t="str">
        <f t="shared" si="187"/>
        <v>=22</v>
      </c>
      <c r="Z253" s="1" t="str">
        <f t="shared" si="187"/>
        <v>35</v>
      </c>
      <c r="AA253" s="1" t="str">
        <f t="shared" si="187"/>
        <v>45</v>
      </c>
      <c r="AB253" s="1" t="str">
        <f t="shared" si="187"/>
        <v>=1</v>
      </c>
      <c r="AC253" s="1" t="str">
        <f t="shared" si="187"/>
        <v>=1</v>
      </c>
      <c r="AD253" s="1" t="str">
        <f t="shared" si="187"/>
        <v>=32</v>
      </c>
      <c r="AE253" s="1" t="str">
        <f t="shared" si="187"/>
        <v>=1</v>
      </c>
      <c r="AF253" s="1" t="str">
        <f t="shared" si="187"/>
        <v>39</v>
      </c>
      <c r="AG253" s="1" t="str">
        <f t="shared" si="187"/>
        <v>29</v>
      </c>
      <c r="AH253" s="1" t="str">
        <f t="shared" si="187"/>
        <v>=1</v>
      </c>
      <c r="AI253" s="1" t="str">
        <f t="shared" si="187"/>
        <v>=25</v>
      </c>
      <c r="AJ253" s="1" t="str">
        <f t="shared" si="187"/>
        <v>30</v>
      </c>
      <c r="AK253" s="1" t="str">
        <f t="shared" si="187"/>
        <v>=16</v>
      </c>
      <c r="AL253" s="1" t="str">
        <f t="shared" si="187"/>
        <v>=32</v>
      </c>
      <c r="AM253" s="1" t="str">
        <f t="shared" si="187"/>
        <v>=1</v>
      </c>
      <c r="AN253" s="1" t="str">
        <f t="shared" si="187"/>
        <v>=22</v>
      </c>
      <c r="AO253" s="1" t="str">
        <f t="shared" si="187"/>
        <v>=1</v>
      </c>
      <c r="AP253" s="1" t="str">
        <f t="shared" si="187"/>
        <v>=16</v>
      </c>
      <c r="AQ253" s="1" t="str">
        <f t="shared" si="187"/>
        <v>37</v>
      </c>
      <c r="AR253" s="1" t="str">
        <f t="shared" si="187"/>
        <v>=1</v>
      </c>
      <c r="AS253" s="1" t="str">
        <f t="shared" si="187"/>
        <v>=1</v>
      </c>
      <c r="AT253" s="1" t="str">
        <f t="shared" si="187"/>
        <v>=19</v>
      </c>
      <c r="AU253" s="1" t="str">
        <f t="shared" si="187"/>
        <v>=1</v>
      </c>
    </row>
    <row r="254" spans="1:47">
      <c r="A254" s="1" t="str">
        <f t="shared" si="162"/>
        <v>   4.2.8) Gender safety</v>
      </c>
      <c r="B254" s="1" t="str">
        <f t="shared" ref="B254:AU254" si="188">IF(B189&gt;1,"=","")&amp;B124</f>
        <v>=25</v>
      </c>
      <c r="C254" s="1" t="str">
        <f t="shared" si="188"/>
        <v>11</v>
      </c>
      <c r="D254" s="1" t="str">
        <f t="shared" si="188"/>
        <v>=25</v>
      </c>
      <c r="E254" s="1" t="str">
        <f t="shared" si="188"/>
        <v>=5</v>
      </c>
      <c r="F254" s="1" t="str">
        <f t="shared" si="188"/>
        <v>=14</v>
      </c>
      <c r="G254" s="1" t="str">
        <f t="shared" si="188"/>
        <v>=14</v>
      </c>
      <c r="H254" s="1" t="str">
        <f t="shared" si="188"/>
        <v>31</v>
      </c>
      <c r="I254" s="1" t="str">
        <f t="shared" si="188"/>
        <v>38</v>
      </c>
      <c r="J254" s="1" t="str">
        <f t="shared" si="188"/>
        <v>=28</v>
      </c>
      <c r="K254" s="1" t="str">
        <f t="shared" si="188"/>
        <v>39</v>
      </c>
      <c r="L254" s="1" t="str">
        <f t="shared" si="188"/>
        <v>=14</v>
      </c>
      <c r="M254" s="1" t="str">
        <f t="shared" si="188"/>
        <v>=32</v>
      </c>
      <c r="N254" s="1" t="str">
        <f t="shared" si="188"/>
        <v>3</v>
      </c>
      <c r="O254" s="1" t="str">
        <f t="shared" si="188"/>
        <v>=12</v>
      </c>
      <c r="P254" s="1" t="str">
        <f t="shared" si="188"/>
        <v>36</v>
      </c>
      <c r="Q254" s="1" t="str">
        <f t="shared" si="188"/>
        <v>46</v>
      </c>
      <c r="R254" s="1" t="str">
        <f t="shared" si="188"/>
        <v>=12</v>
      </c>
      <c r="S254" s="1" t="str">
        <f t="shared" si="188"/>
        <v>40</v>
      </c>
      <c r="T254" s="1" t="str">
        <f t="shared" si="188"/>
        <v>23</v>
      </c>
      <c r="U254" s="1" t="str">
        <f t="shared" si="188"/>
        <v>=34</v>
      </c>
      <c r="V254" s="1" t="str">
        <f t="shared" si="188"/>
        <v>=5</v>
      </c>
      <c r="W254" s="1" t="str">
        <f t="shared" si="188"/>
        <v>=14</v>
      </c>
      <c r="X254" s="1" t="str">
        <f t="shared" si="188"/>
        <v>41</v>
      </c>
      <c r="Y254" s="1" t="str">
        <f t="shared" si="188"/>
        <v>=5</v>
      </c>
      <c r="Z254" s="1" t="str">
        <f t="shared" si="188"/>
        <v>45</v>
      </c>
      <c r="AA254" s="1" t="str">
        <f t="shared" si="188"/>
        <v>=28</v>
      </c>
      <c r="AB254" s="1" t="str">
        <f t="shared" si="188"/>
        <v>24</v>
      </c>
      <c r="AC254" s="1" t="str">
        <f t="shared" si="188"/>
        <v>=1</v>
      </c>
      <c r="AD254" s="1" t="str">
        <f t="shared" si="188"/>
        <v>=14</v>
      </c>
      <c r="AE254" s="1" t="str">
        <f t="shared" si="188"/>
        <v>=42</v>
      </c>
      <c r="AF254" s="1" t="str">
        <f t="shared" si="188"/>
        <v>44</v>
      </c>
      <c r="AG254" s="1" t="str">
        <f t="shared" si="188"/>
        <v>=5</v>
      </c>
      <c r="AH254" s="1" t="str">
        <f t="shared" si="188"/>
        <v>=34</v>
      </c>
      <c r="AI254" s="1" t="str">
        <f t="shared" si="188"/>
        <v>27</v>
      </c>
      <c r="AJ254" s="1" t="str">
        <f t="shared" si="188"/>
        <v>=42</v>
      </c>
      <c r="AK254" s="1" t="str">
        <f t="shared" si="188"/>
        <v>=28</v>
      </c>
      <c r="AL254" s="1" t="str">
        <f t="shared" si="188"/>
        <v>=14</v>
      </c>
      <c r="AM254" s="1" t="str">
        <f t="shared" si="188"/>
        <v>4</v>
      </c>
      <c r="AN254" s="1" t="str">
        <f t="shared" si="188"/>
        <v>=5</v>
      </c>
      <c r="AO254" s="1" t="str">
        <f t="shared" si="188"/>
        <v>=14</v>
      </c>
      <c r="AP254" s="1" t="str">
        <f t="shared" si="188"/>
        <v>22</v>
      </c>
      <c r="AQ254" s="1" t="str">
        <f t="shared" si="188"/>
        <v>=32</v>
      </c>
      <c r="AR254" s="1" t="str">
        <f t="shared" si="188"/>
        <v>=1</v>
      </c>
      <c r="AS254" s="1" t="str">
        <f t="shared" si="188"/>
        <v>=14</v>
      </c>
      <c r="AT254" s="1" t="str">
        <f t="shared" si="188"/>
        <v>37</v>
      </c>
      <c r="AU254" s="1" t="str">
        <f t="shared" si="188"/>
        <v>=5</v>
      </c>
    </row>
    <row r="255" spans="1:47">
      <c r="A255" s="1" t="str">
        <f t="shared" si="162"/>
        <v>   4.2.9) Perceptions of safety</v>
      </c>
      <c r="B255" s="1" t="str">
        <f t="shared" ref="B255:AU255" si="189">IF(B190&gt;1,"=","")&amp;B125</f>
        <v>2</v>
      </c>
      <c r="C255" s="1" t="str">
        <f t="shared" si="189"/>
        <v>15</v>
      </c>
      <c r="D255" s="1" t="str">
        <f t="shared" si="189"/>
        <v>16</v>
      </c>
      <c r="E255" s="1" t="str">
        <f t="shared" si="189"/>
        <v>20</v>
      </c>
      <c r="F255" s="1" t="str">
        <f t="shared" si="189"/>
        <v>21</v>
      </c>
      <c r="G255" s="1" t="str">
        <f t="shared" si="189"/>
        <v>33</v>
      </c>
      <c r="H255" s="1" t="str">
        <f t="shared" si="189"/>
        <v>40</v>
      </c>
      <c r="I255" s="1" t="str">
        <f t="shared" si="189"/>
        <v>39</v>
      </c>
      <c r="J255" s="1" t="str">
        <f t="shared" si="189"/>
        <v>37</v>
      </c>
      <c r="K255" s="1" t="str">
        <f t="shared" si="189"/>
        <v>9</v>
      </c>
      <c r="L255" s="1" t="str">
        <f t="shared" si="189"/>
        <v>13</v>
      </c>
      <c r="M255" s="1" t="str">
        <f t="shared" si="189"/>
        <v>28</v>
      </c>
      <c r="N255" s="1" t="str">
        <f t="shared" si="189"/>
        <v>3</v>
      </c>
      <c r="O255" s="1" t="str">
        <f t="shared" si="189"/>
        <v>18</v>
      </c>
      <c r="P255" s="1" t="str">
        <f t="shared" si="189"/>
        <v>29</v>
      </c>
      <c r="Q255" s="1" t="str">
        <f t="shared" si="189"/>
        <v>46</v>
      </c>
      <c r="R255" s="1" t="str">
        <f t="shared" si="189"/>
        <v>24</v>
      </c>
      <c r="S255" s="1" t="str">
        <f t="shared" si="189"/>
        <v>42</v>
      </c>
      <c r="T255" s="1" t="str">
        <f t="shared" si="189"/>
        <v>25</v>
      </c>
      <c r="U255" s="1" t="str">
        <f t="shared" si="189"/>
        <v>31</v>
      </c>
      <c r="V255" s="1" t="str">
        <f t="shared" si="189"/>
        <v>17</v>
      </c>
      <c r="W255" s="1" t="str">
        <f t="shared" si="189"/>
        <v>23</v>
      </c>
      <c r="X255" s="1" t="str">
        <f t="shared" si="189"/>
        <v>41</v>
      </c>
      <c r="Y255" s="1" t="str">
        <f t="shared" si="189"/>
        <v>32</v>
      </c>
      <c r="Z255" s="1" t="str">
        <f t="shared" si="189"/>
        <v>34</v>
      </c>
      <c r="AA255" s="1" t="str">
        <f t="shared" si="189"/>
        <v>30</v>
      </c>
      <c r="AB255" s="1" t="str">
        <f t="shared" si="189"/>
        <v>27</v>
      </c>
      <c r="AC255" s="1" t="str">
        <f t="shared" si="189"/>
        <v>1</v>
      </c>
      <c r="AD255" s="1" t="str">
        <f t="shared" si="189"/>
        <v>35</v>
      </c>
      <c r="AE255" s="1" t="str">
        <f t="shared" si="189"/>
        <v>44</v>
      </c>
      <c r="AF255" s="1" t="str">
        <f t="shared" si="189"/>
        <v>12</v>
      </c>
      <c r="AG255" s="1" t="str">
        <f t="shared" si="189"/>
        <v>43</v>
      </c>
      <c r="AH255" s="1" t="str">
        <f t="shared" si="189"/>
        <v>22</v>
      </c>
      <c r="AI255" s="1" t="str">
        <f t="shared" si="189"/>
        <v>26</v>
      </c>
      <c r="AJ255" s="1" t="str">
        <f t="shared" si="189"/>
        <v>45</v>
      </c>
      <c r="AK255" s="1" t="str">
        <f t="shared" si="189"/>
        <v>6</v>
      </c>
      <c r="AL255" s="1" t="str">
        <f t="shared" si="189"/>
        <v>11</v>
      </c>
      <c r="AM255" s="1" t="str">
        <f t="shared" si="189"/>
        <v>4</v>
      </c>
      <c r="AN255" s="1" t="str">
        <f t="shared" si="189"/>
        <v>10</v>
      </c>
      <c r="AO255" s="1" t="str">
        <f t="shared" si="189"/>
        <v>19</v>
      </c>
      <c r="AP255" s="1" t="str">
        <f t="shared" si="189"/>
        <v>8</v>
      </c>
      <c r="AQ255" s="1" t="str">
        <f t="shared" si="189"/>
        <v>36</v>
      </c>
      <c r="AR255" s="1" t="str">
        <f t="shared" si="189"/>
        <v>5</v>
      </c>
      <c r="AS255" s="1" t="str">
        <f t="shared" si="189"/>
        <v>14</v>
      </c>
      <c r="AT255" s="1" t="str">
        <f t="shared" si="189"/>
        <v>38</v>
      </c>
      <c r="AU255" s="1" t="str">
        <f t="shared" si="189"/>
        <v>7</v>
      </c>
    </row>
    <row r="256" spans="1:47">
      <c r="A256" s="1" t="str">
        <f t="shared" si="162"/>
        <v>   4.2.10) Threat of terrorism</v>
      </c>
      <c r="B256" s="1" t="str">
        <f t="shared" ref="B256:AU256" si="190">IF(B191&gt;1,"=","")&amp;B126</f>
        <v>=14</v>
      </c>
      <c r="C256" s="1" t="str">
        <f t="shared" si="190"/>
        <v>=14</v>
      </c>
      <c r="D256" s="1" t="str">
        <f t="shared" si="190"/>
        <v>=36</v>
      </c>
      <c r="E256" s="1" t="str">
        <f t="shared" si="190"/>
        <v>=14</v>
      </c>
      <c r="F256" s="1" t="str">
        <f t="shared" si="190"/>
        <v>=1</v>
      </c>
      <c r="G256" s="1" t="str">
        <f t="shared" si="190"/>
        <v>=14</v>
      </c>
      <c r="H256" s="1" t="str">
        <f t="shared" si="190"/>
        <v>=14</v>
      </c>
      <c r="I256" s="1" t="str">
        <f t="shared" si="190"/>
        <v>=14</v>
      </c>
      <c r="J256" s="1" t="str">
        <f t="shared" si="190"/>
        <v>=36</v>
      </c>
      <c r="K256" s="1" t="str">
        <f t="shared" si="190"/>
        <v>=14</v>
      </c>
      <c r="L256" s="1" t="str">
        <f t="shared" si="190"/>
        <v>=14</v>
      </c>
      <c r="M256" s="1" t="str">
        <f t="shared" si="190"/>
        <v>=14</v>
      </c>
      <c r="N256" s="1" t="str">
        <f t="shared" si="190"/>
        <v>=1</v>
      </c>
      <c r="O256" s="1" t="str">
        <f t="shared" si="190"/>
        <v>=36</v>
      </c>
      <c r="P256" s="1" t="str">
        <f t="shared" si="190"/>
        <v>46</v>
      </c>
      <c r="Q256" s="1" t="str">
        <f t="shared" si="190"/>
        <v>=14</v>
      </c>
      <c r="R256" s="1" t="str">
        <f t="shared" si="190"/>
        <v>=14</v>
      </c>
      <c r="S256" s="1" t="str">
        <f t="shared" si="190"/>
        <v>=14</v>
      </c>
      <c r="T256" s="1" t="str">
        <f t="shared" si="190"/>
        <v>=36</v>
      </c>
      <c r="U256" s="1" t="str">
        <f t="shared" si="190"/>
        <v>=14</v>
      </c>
      <c r="V256" s="1" t="str">
        <f t="shared" si="190"/>
        <v>=14</v>
      </c>
      <c r="W256" s="1" t="str">
        <f t="shared" si="190"/>
        <v>=1</v>
      </c>
      <c r="X256" s="1" t="str">
        <f t="shared" si="190"/>
        <v>=36</v>
      </c>
      <c r="Y256" s="1" t="str">
        <f t="shared" si="190"/>
        <v>=1</v>
      </c>
      <c r="Z256" s="1" t="str">
        <f t="shared" si="190"/>
        <v>=36</v>
      </c>
      <c r="AA256" s="1" t="str">
        <f t="shared" si="190"/>
        <v>=36</v>
      </c>
      <c r="AB256" s="1" t="str">
        <f t="shared" si="190"/>
        <v>=36</v>
      </c>
      <c r="AC256" s="1" t="str">
        <f t="shared" si="190"/>
        <v>=14</v>
      </c>
      <c r="AD256" s="1" t="str">
        <f t="shared" si="190"/>
        <v>=1</v>
      </c>
      <c r="AE256" s="1" t="str">
        <f t="shared" si="190"/>
        <v>=14</v>
      </c>
      <c r="AF256" s="1" t="str">
        <f t="shared" si="190"/>
        <v>=36</v>
      </c>
      <c r="AG256" s="1" t="str">
        <f t="shared" si="190"/>
        <v>=1</v>
      </c>
      <c r="AH256" s="1" t="str">
        <f t="shared" si="190"/>
        <v>=14</v>
      </c>
      <c r="AI256" s="1" t="str">
        <f t="shared" si="190"/>
        <v>=1</v>
      </c>
      <c r="AJ256" s="1" t="str">
        <f t="shared" si="190"/>
        <v>=14</v>
      </c>
      <c r="AK256" s="1" t="str">
        <f t="shared" si="190"/>
        <v>=14</v>
      </c>
      <c r="AL256" s="1" t="str">
        <f t="shared" si="190"/>
        <v>=1</v>
      </c>
      <c r="AM256" s="1" t="str">
        <f t="shared" si="190"/>
        <v>=14</v>
      </c>
      <c r="AN256" s="1" t="str">
        <f t="shared" si="190"/>
        <v>=1</v>
      </c>
      <c r="AO256" s="1" t="str">
        <f t="shared" si="190"/>
        <v>=1</v>
      </c>
      <c r="AP256" s="1" t="str">
        <f t="shared" si="190"/>
        <v>=1</v>
      </c>
      <c r="AQ256" s="1" t="str">
        <f t="shared" si="190"/>
        <v>=36</v>
      </c>
      <c r="AR256" s="1" t="str">
        <f t="shared" si="190"/>
        <v>=14</v>
      </c>
      <c r="AS256" s="1" t="str">
        <f t="shared" si="190"/>
        <v>=1</v>
      </c>
      <c r="AT256" s="1" t="str">
        <f t="shared" si="190"/>
        <v>=14</v>
      </c>
      <c r="AU256" s="1" t="str">
        <f t="shared" si="190"/>
        <v>=1</v>
      </c>
    </row>
    <row r="257" spans="1:47">
      <c r="A257" s="1" t="str">
        <f t="shared" si="162"/>
        <v>   4.2.11) Threat of military conflict</v>
      </c>
      <c r="B257" s="1" t="str">
        <f t="shared" ref="B257:AU257" si="191">IF(B192&gt;1,"=","")&amp;B127</f>
        <v>=1</v>
      </c>
      <c r="C257" s="1" t="str">
        <f t="shared" si="191"/>
        <v>=1</v>
      </c>
      <c r="D257" s="1" t="str">
        <f t="shared" si="191"/>
        <v>=44</v>
      </c>
      <c r="E257" s="1" t="str">
        <f t="shared" si="191"/>
        <v>=1</v>
      </c>
      <c r="F257" s="1" t="str">
        <f t="shared" si="191"/>
        <v>=1</v>
      </c>
      <c r="G257" s="1" t="str">
        <f t="shared" si="191"/>
        <v>=1</v>
      </c>
      <c r="H257" s="1" t="str">
        <f t="shared" si="191"/>
        <v>=1</v>
      </c>
      <c r="I257" s="1" t="str">
        <f t="shared" si="191"/>
        <v>=1</v>
      </c>
      <c r="J257" s="1" t="str">
        <f t="shared" si="191"/>
        <v>=35</v>
      </c>
      <c r="K257" s="1" t="str">
        <f t="shared" si="191"/>
        <v>=35</v>
      </c>
      <c r="L257" s="1" t="str">
        <f t="shared" si="191"/>
        <v>=1</v>
      </c>
      <c r="M257" s="1" t="str">
        <f t="shared" si="191"/>
        <v>=35</v>
      </c>
      <c r="N257" s="1" t="str">
        <f t="shared" si="191"/>
        <v>=1</v>
      </c>
      <c r="O257" s="1" t="str">
        <f t="shared" si="191"/>
        <v>=35</v>
      </c>
      <c r="P257" s="1" t="str">
        <f t="shared" si="191"/>
        <v>=1</v>
      </c>
      <c r="Q257" s="1" t="str">
        <f t="shared" si="191"/>
        <v>=1</v>
      </c>
      <c r="R257" s="1" t="str">
        <f t="shared" si="191"/>
        <v>=35</v>
      </c>
      <c r="S257" s="1" t="str">
        <f t="shared" si="191"/>
        <v>=35</v>
      </c>
      <c r="T257" s="1" t="str">
        <f t="shared" si="191"/>
        <v>=1</v>
      </c>
      <c r="U257" s="1" t="str">
        <f t="shared" si="191"/>
        <v>=1</v>
      </c>
      <c r="V257" s="1" t="str">
        <f t="shared" si="191"/>
        <v>=1</v>
      </c>
      <c r="W257" s="1" t="str">
        <f t="shared" si="191"/>
        <v>=1</v>
      </c>
      <c r="X257" s="1" t="str">
        <f t="shared" si="191"/>
        <v>=1</v>
      </c>
      <c r="Y257" s="1" t="str">
        <f t="shared" si="191"/>
        <v>=1</v>
      </c>
      <c r="Z257" s="1" t="str">
        <f t="shared" si="191"/>
        <v>=44</v>
      </c>
      <c r="AA257" s="1" t="str">
        <f t="shared" si="191"/>
        <v>=35</v>
      </c>
      <c r="AB257" s="1" t="str">
        <f t="shared" si="191"/>
        <v>=1</v>
      </c>
      <c r="AC257" s="1" t="str">
        <f t="shared" si="191"/>
        <v>=1</v>
      </c>
      <c r="AD257" s="1" t="str">
        <f t="shared" si="191"/>
        <v>=1</v>
      </c>
      <c r="AE257" s="1" t="str">
        <f t="shared" si="191"/>
        <v>=1</v>
      </c>
      <c r="AF257" s="1" t="str">
        <f t="shared" si="191"/>
        <v>=35</v>
      </c>
      <c r="AG257" s="1" t="str">
        <f t="shared" si="191"/>
        <v>=1</v>
      </c>
      <c r="AH257" s="1" t="str">
        <f t="shared" si="191"/>
        <v>=1</v>
      </c>
      <c r="AI257" s="1" t="str">
        <f t="shared" si="191"/>
        <v>=1</v>
      </c>
      <c r="AJ257" s="1" t="str">
        <f t="shared" si="191"/>
        <v>=1</v>
      </c>
      <c r="AK257" s="1" t="str">
        <f t="shared" si="191"/>
        <v>=44</v>
      </c>
      <c r="AL257" s="1" t="str">
        <f t="shared" si="191"/>
        <v>=1</v>
      </c>
      <c r="AM257" s="1" t="str">
        <f t="shared" si="191"/>
        <v>=1</v>
      </c>
      <c r="AN257" s="1" t="str">
        <f t="shared" si="191"/>
        <v>=1</v>
      </c>
      <c r="AO257" s="1" t="str">
        <f t="shared" si="191"/>
        <v>=1</v>
      </c>
      <c r="AP257" s="1" t="str">
        <f t="shared" si="191"/>
        <v>=1</v>
      </c>
      <c r="AQ257" s="1" t="str">
        <f t="shared" si="191"/>
        <v>=35</v>
      </c>
      <c r="AR257" s="1" t="str">
        <f t="shared" si="191"/>
        <v>=1</v>
      </c>
      <c r="AS257" s="1" t="str">
        <f t="shared" si="191"/>
        <v>=1</v>
      </c>
      <c r="AT257" s="1" t="str">
        <f t="shared" si="191"/>
        <v>=1</v>
      </c>
      <c r="AU257" s="1" t="str">
        <f t="shared" si="191"/>
        <v>=1</v>
      </c>
    </row>
    <row r="258" spans="1:47">
      <c r="A258" s="1" t="str">
        <f t="shared" si="162"/>
        <v>   4.2.12) Threat of civil unrest</v>
      </c>
      <c r="B258" s="1" t="str">
        <f t="shared" ref="B258:AU258" si="192">IF(B193&gt;1,"=","")&amp;B128</f>
        <v>=16</v>
      </c>
      <c r="C258" s="1" t="str">
        <f t="shared" si="192"/>
        <v>=1</v>
      </c>
      <c r="D258" s="1" t="str">
        <f t="shared" si="192"/>
        <v>46</v>
      </c>
      <c r="E258" s="1" t="str">
        <f t="shared" si="192"/>
        <v>=16</v>
      </c>
      <c r="F258" s="1" t="str">
        <f t="shared" si="192"/>
        <v>=37</v>
      </c>
      <c r="G258" s="1" t="str">
        <f t="shared" si="192"/>
        <v>=1</v>
      </c>
      <c r="H258" s="1" t="str">
        <f t="shared" si="192"/>
        <v>=16</v>
      </c>
      <c r="I258" s="1" t="str">
        <f t="shared" si="192"/>
        <v>=1</v>
      </c>
      <c r="J258" s="1" t="str">
        <f t="shared" si="192"/>
        <v>=37</v>
      </c>
      <c r="K258" s="1" t="str">
        <f t="shared" si="192"/>
        <v>=16</v>
      </c>
      <c r="L258" s="1" t="str">
        <f t="shared" si="192"/>
        <v>=1</v>
      </c>
      <c r="M258" s="1" t="str">
        <f t="shared" si="192"/>
        <v>=37</v>
      </c>
      <c r="N258" s="1" t="str">
        <f t="shared" si="192"/>
        <v>=1</v>
      </c>
      <c r="O258" s="1" t="str">
        <f t="shared" si="192"/>
        <v>=37</v>
      </c>
      <c r="P258" s="1" t="str">
        <f t="shared" si="192"/>
        <v>45</v>
      </c>
      <c r="Q258" s="1" t="str">
        <f t="shared" si="192"/>
        <v>=16</v>
      </c>
      <c r="R258" s="1" t="str">
        <f t="shared" si="192"/>
        <v>=16</v>
      </c>
      <c r="S258" s="1" t="str">
        <f t="shared" si="192"/>
        <v>=37</v>
      </c>
      <c r="T258" s="1" t="str">
        <f t="shared" si="192"/>
        <v>=16</v>
      </c>
      <c r="U258" s="1" t="str">
        <f t="shared" si="192"/>
        <v>=16</v>
      </c>
      <c r="V258" s="1" t="str">
        <f t="shared" si="192"/>
        <v>=16</v>
      </c>
      <c r="W258" s="1" t="str">
        <f t="shared" si="192"/>
        <v>=1</v>
      </c>
      <c r="X258" s="1" t="str">
        <f t="shared" si="192"/>
        <v>=16</v>
      </c>
      <c r="Y258" s="1" t="str">
        <f t="shared" si="192"/>
        <v>=16</v>
      </c>
      <c r="Z258" s="1" t="str">
        <f t="shared" si="192"/>
        <v>=16</v>
      </c>
      <c r="AA258" s="1" t="str">
        <f t="shared" si="192"/>
        <v>=16</v>
      </c>
      <c r="AB258" s="1" t="str">
        <f t="shared" si="192"/>
        <v>=16</v>
      </c>
      <c r="AC258" s="1" t="str">
        <f t="shared" si="192"/>
        <v>=1</v>
      </c>
      <c r="AD258" s="1" t="str">
        <f t="shared" si="192"/>
        <v>=16</v>
      </c>
      <c r="AE258" s="1" t="str">
        <f t="shared" si="192"/>
        <v>=37</v>
      </c>
      <c r="AF258" s="1" t="str">
        <f t="shared" si="192"/>
        <v>=16</v>
      </c>
      <c r="AG258" s="1" t="str">
        <f t="shared" si="192"/>
        <v>=16</v>
      </c>
      <c r="AH258" s="1" t="str">
        <f t="shared" si="192"/>
        <v>=1</v>
      </c>
      <c r="AI258" s="1" t="str">
        <f t="shared" si="192"/>
        <v>=16</v>
      </c>
      <c r="AJ258" s="1" t="str">
        <f t="shared" si="192"/>
        <v>=16</v>
      </c>
      <c r="AK258" s="1" t="str">
        <f t="shared" si="192"/>
        <v>=1</v>
      </c>
      <c r="AL258" s="1" t="str">
        <f t="shared" si="192"/>
        <v>=37</v>
      </c>
      <c r="AM258" s="1" t="str">
        <f t="shared" si="192"/>
        <v>=1</v>
      </c>
      <c r="AN258" s="1" t="str">
        <f t="shared" si="192"/>
        <v>=1</v>
      </c>
      <c r="AO258" s="1" t="str">
        <f t="shared" si="192"/>
        <v>=1</v>
      </c>
      <c r="AP258" s="1" t="str">
        <f t="shared" si="192"/>
        <v>=16</v>
      </c>
      <c r="AQ258" s="1" t="str">
        <f t="shared" si="192"/>
        <v>=37</v>
      </c>
      <c r="AR258" s="1" t="str">
        <f t="shared" si="192"/>
        <v>=1</v>
      </c>
      <c r="AS258" s="1" t="str">
        <f t="shared" si="192"/>
        <v>=1</v>
      </c>
      <c r="AT258" s="1" t="str">
        <f t="shared" si="192"/>
        <v>=16</v>
      </c>
      <c r="AU258" s="1" t="str">
        <f t="shared" si="192"/>
        <v>=1</v>
      </c>
    </row>
    <row r="261" spans="1:1">
      <c r="A261" s="1" t="s">
        <v>1018</v>
      </c>
    </row>
    <row r="262" spans="1:47">
      <c r="A262" s="1">
        <v>0</v>
      </c>
      <c r="B262" s="1">
        <f>A262+1</f>
        <v>1</v>
      </c>
      <c r="C262" s="1">
        <f>B262+1</f>
        <v>2</v>
      </c>
      <c r="D262" s="1">
        <f t="shared" ref="D262:AU262" si="193">C262+1</f>
        <v>3</v>
      </c>
      <c r="E262" s="1">
        <f t="shared" si="193"/>
        <v>4</v>
      </c>
      <c r="F262" s="1">
        <f t="shared" si="193"/>
        <v>5</v>
      </c>
      <c r="G262" s="1">
        <f t="shared" si="193"/>
        <v>6</v>
      </c>
      <c r="H262" s="1">
        <f t="shared" si="193"/>
        <v>7</v>
      </c>
      <c r="I262" s="1">
        <f t="shared" si="193"/>
        <v>8</v>
      </c>
      <c r="J262" s="1">
        <f t="shared" si="193"/>
        <v>9</v>
      </c>
      <c r="K262" s="1">
        <f t="shared" si="193"/>
        <v>10</v>
      </c>
      <c r="L262" s="1">
        <f t="shared" si="193"/>
        <v>11</v>
      </c>
      <c r="M262" s="1">
        <f t="shared" si="193"/>
        <v>12</v>
      </c>
      <c r="N262" s="1">
        <f t="shared" si="193"/>
        <v>13</v>
      </c>
      <c r="O262" s="1">
        <f t="shared" si="193"/>
        <v>14</v>
      </c>
      <c r="P262" s="1">
        <f t="shared" si="193"/>
        <v>15</v>
      </c>
      <c r="Q262" s="1">
        <f t="shared" si="193"/>
        <v>16</v>
      </c>
      <c r="R262" s="1">
        <f t="shared" si="193"/>
        <v>17</v>
      </c>
      <c r="S262" s="1">
        <f t="shared" si="193"/>
        <v>18</v>
      </c>
      <c r="T262" s="1">
        <f t="shared" si="193"/>
        <v>19</v>
      </c>
      <c r="U262" s="1">
        <f t="shared" si="193"/>
        <v>20</v>
      </c>
      <c r="V262" s="1">
        <f t="shared" si="193"/>
        <v>21</v>
      </c>
      <c r="W262" s="1">
        <f t="shared" si="193"/>
        <v>22</v>
      </c>
      <c r="X262" s="1">
        <f t="shared" si="193"/>
        <v>23</v>
      </c>
      <c r="Y262" s="1">
        <f t="shared" si="193"/>
        <v>24</v>
      </c>
      <c r="Z262" s="1">
        <f t="shared" si="193"/>
        <v>25</v>
      </c>
      <c r="AA262" s="1">
        <f t="shared" si="193"/>
        <v>26</v>
      </c>
      <c r="AB262" s="1">
        <f t="shared" si="193"/>
        <v>27</v>
      </c>
      <c r="AC262" s="1">
        <f t="shared" si="193"/>
        <v>28</v>
      </c>
      <c r="AD262" s="1">
        <f t="shared" si="193"/>
        <v>29</v>
      </c>
      <c r="AE262" s="1">
        <f t="shared" si="193"/>
        <v>30</v>
      </c>
      <c r="AF262" s="1">
        <f t="shared" si="193"/>
        <v>31</v>
      </c>
      <c r="AG262" s="1">
        <f t="shared" si="193"/>
        <v>32</v>
      </c>
      <c r="AH262" s="1">
        <f t="shared" si="193"/>
        <v>33</v>
      </c>
      <c r="AI262" s="1">
        <f t="shared" si="193"/>
        <v>34</v>
      </c>
      <c r="AJ262" s="1">
        <f t="shared" si="193"/>
        <v>35</v>
      </c>
      <c r="AK262" s="1">
        <f t="shared" si="193"/>
        <v>36</v>
      </c>
      <c r="AL262" s="1">
        <f t="shared" si="193"/>
        <v>37</v>
      </c>
      <c r="AM262" s="1">
        <f t="shared" si="193"/>
        <v>38</v>
      </c>
      <c r="AN262" s="1">
        <f t="shared" si="193"/>
        <v>39</v>
      </c>
      <c r="AO262" s="1">
        <f t="shared" si="193"/>
        <v>40</v>
      </c>
      <c r="AP262" s="1">
        <f t="shared" si="193"/>
        <v>41</v>
      </c>
      <c r="AQ262" s="1">
        <f t="shared" si="193"/>
        <v>42</v>
      </c>
      <c r="AR262" s="1">
        <f t="shared" si="193"/>
        <v>43</v>
      </c>
      <c r="AS262" s="1">
        <f t="shared" si="193"/>
        <v>44</v>
      </c>
      <c r="AT262" s="1">
        <f t="shared" si="193"/>
        <v>45</v>
      </c>
      <c r="AU262" s="1">
        <f t="shared" si="193"/>
        <v>46</v>
      </c>
    </row>
    <row r="263" spans="1:49">
      <c r="A263" s="1" t="str">
        <f>tblTerritories!S4</f>
        <v>All Regions/Groups</v>
      </c>
      <c r="B263" s="1">
        <f>INDEX(tblTerritories_2014_N!$V$3:$AI$63,B$262,$AW263)</f>
        <v>1</v>
      </c>
      <c r="C263" s="1">
        <f>INDEX(tblTerritories_2014_N!$V$3:$AI$63,C$262,$AW263)</f>
        <v>1</v>
      </c>
      <c r="D263" s="1">
        <f>INDEX(tblTerritories_2014_N!$V$3:$AI$63,D$262,$AW263)</f>
        <v>1</v>
      </c>
      <c r="E263" s="1">
        <f>INDEX(tblTerritories_2014_N!$V$3:$AI$63,E$262,$AW263)</f>
        <v>1</v>
      </c>
      <c r="F263" s="1">
        <f>INDEX(tblTerritories_2014_N!$V$3:$AI$63,F$262,$AW263)</f>
        <v>1</v>
      </c>
      <c r="G263" s="1">
        <f>INDEX(tblTerritories_2014_N!$V$3:$AI$63,G$262,$AW263)</f>
        <v>1</v>
      </c>
      <c r="H263" s="1">
        <f>INDEX(tblTerritories_2014_N!$V$3:$AI$63,H$262,$AW263)</f>
        <v>1</v>
      </c>
      <c r="I263" s="1">
        <f>INDEX(tblTerritories_2014_N!$V$3:$AI$63,I$262,$AW263)</f>
        <v>1</v>
      </c>
      <c r="J263" s="1">
        <f>INDEX(tblTerritories_2014_N!$V$3:$AI$63,J$262,$AW263)</f>
        <v>1</v>
      </c>
      <c r="K263" s="1">
        <f>INDEX(tblTerritories_2014_N!$V$3:$AI$63,K$262,$AW263)</f>
        <v>1</v>
      </c>
      <c r="L263" s="1">
        <f>INDEX(tblTerritories_2014_N!$V$3:$AI$63,L$262,$AW263)</f>
        <v>1</v>
      </c>
      <c r="M263" s="1">
        <f>INDEX(tblTerritories_2014_N!$V$3:$AI$63,M$262,$AW263)</f>
        <v>1</v>
      </c>
      <c r="N263" s="1">
        <f>INDEX(tblTerritories_2014_N!$V$3:$AI$63,N$262,$AW263)</f>
        <v>1</v>
      </c>
      <c r="O263" s="1">
        <f>INDEX(tblTerritories_2014_N!$V$3:$AI$63,O$262,$AW263)</f>
        <v>1</v>
      </c>
      <c r="P263" s="1">
        <f>INDEX(tblTerritories_2014_N!$V$3:$AI$63,P$262,$AW263)</f>
        <v>1</v>
      </c>
      <c r="Q263" s="1">
        <f>INDEX(tblTerritories_2014_N!$V$3:$AI$63,Q$262,$AW263)</f>
        <v>1</v>
      </c>
      <c r="R263" s="1">
        <f>INDEX(tblTerritories_2014_N!$V$3:$AI$63,R$262,$AW263)</f>
        <v>1</v>
      </c>
      <c r="S263" s="1">
        <f>INDEX(tblTerritories_2014_N!$V$3:$AI$63,S$262,$AW263)</f>
        <v>1</v>
      </c>
      <c r="T263" s="1">
        <f>INDEX(tblTerritories_2014_N!$V$3:$AI$63,T$262,$AW263)</f>
        <v>1</v>
      </c>
      <c r="U263" s="1">
        <f>INDEX(tblTerritories_2014_N!$V$3:$AI$63,U$262,$AW263)</f>
        <v>1</v>
      </c>
      <c r="V263" s="1">
        <f>INDEX(tblTerritories_2014_N!$V$3:$AI$63,V$262,$AW263)</f>
        <v>1</v>
      </c>
      <c r="W263" s="1">
        <f>INDEX(tblTerritories_2014_N!$V$3:$AI$63,W$262,$AW263)</f>
        <v>1</v>
      </c>
      <c r="X263" s="1">
        <f>INDEX(tblTerritories_2014_N!$V$3:$AI$63,X$262,$AW263)</f>
        <v>1</v>
      </c>
      <c r="Y263" s="1">
        <f>INDEX(tblTerritories_2014_N!$V$3:$AI$63,Y$262,$AW263)</f>
        <v>1</v>
      </c>
      <c r="Z263" s="1">
        <f>INDEX(tblTerritories_2014_N!$V$3:$AI$63,Z$262,$AW263)</f>
        <v>1</v>
      </c>
      <c r="AA263" s="1">
        <f>INDEX(tblTerritories_2014_N!$V$3:$AI$63,AA$262,$AW263)</f>
        <v>1</v>
      </c>
      <c r="AB263" s="1">
        <f>INDEX(tblTerritories_2014_N!$V$3:$AI$63,AB$262,$AW263)</f>
        <v>1</v>
      </c>
      <c r="AC263" s="1">
        <f>INDEX(tblTerritories_2014_N!$V$3:$AI$63,AC$262,$AW263)</f>
        <v>1</v>
      </c>
      <c r="AD263" s="1">
        <f>INDEX(tblTerritories_2014_N!$V$3:$AI$63,AD$262,$AW263)</f>
        <v>1</v>
      </c>
      <c r="AE263" s="1">
        <f>INDEX(tblTerritories_2014_N!$V$3:$AI$63,AE$262,$AW263)</f>
        <v>1</v>
      </c>
      <c r="AF263" s="1">
        <f>INDEX(tblTerritories_2014_N!$V$3:$AI$63,AF$262,$AW263)</f>
        <v>1</v>
      </c>
      <c r="AG263" s="1">
        <f>INDEX(tblTerritories_2014_N!$V$3:$AI$63,AG$262,$AW263)</f>
        <v>1</v>
      </c>
      <c r="AH263" s="1">
        <f>INDEX(tblTerritories_2014_N!$V$3:$AI$63,AH$262,$AW263)</f>
        <v>1</v>
      </c>
      <c r="AI263" s="1">
        <f>INDEX(tblTerritories_2014_N!$V$3:$AI$63,AI$262,$AW263)</f>
        <v>1</v>
      </c>
      <c r="AJ263" s="1">
        <f>INDEX(tblTerritories_2014_N!$V$3:$AI$63,AJ$262,$AW263)</f>
        <v>1</v>
      </c>
      <c r="AK263" s="1">
        <f>INDEX(tblTerritories_2014_N!$V$3:$AI$63,AK$262,$AW263)</f>
        <v>1</v>
      </c>
      <c r="AL263" s="1">
        <f>INDEX(tblTerritories_2014_N!$V$3:$AI$63,AL$262,$AW263)</f>
        <v>1</v>
      </c>
      <c r="AM263" s="1">
        <f>INDEX(tblTerritories_2014_N!$V$3:$AI$63,AM$262,$AW263)</f>
        <v>1</v>
      </c>
      <c r="AN263" s="1">
        <f>INDEX(tblTerritories_2014_N!$V$3:$AI$63,AN$262,$AW263)</f>
        <v>1</v>
      </c>
      <c r="AO263" s="1">
        <f>INDEX(tblTerritories_2014_N!$V$3:$AI$63,AO$262,$AW263)</f>
        <v>1</v>
      </c>
      <c r="AP263" s="1">
        <f>INDEX(tblTerritories_2014_N!$V$3:$AI$63,AP$262,$AW263)</f>
        <v>1</v>
      </c>
      <c r="AQ263" s="1">
        <f>INDEX(tblTerritories_2014_N!$V$3:$AI$63,AQ$262,$AW263)</f>
        <v>1</v>
      </c>
      <c r="AR263" s="1">
        <f>INDEX(tblTerritories_2014_N!$V$3:$AI$63,AR$262,$AW263)</f>
        <v>1</v>
      </c>
      <c r="AS263" s="1">
        <f>INDEX(tblTerritories_2014_N!$V$3:$AI$63,AS$262,$AW263)</f>
        <v>1</v>
      </c>
      <c r="AT263" s="1">
        <f>INDEX(tblTerritories_2014_N!$V$3:$AI$63,AT$262,$AW263)</f>
        <v>1</v>
      </c>
      <c r="AU263" s="1">
        <f>INDEX(tblTerritories_2014_N!$V$3:$AI$63,AU$262,$AW263)</f>
        <v>1</v>
      </c>
      <c r="AW263" s="1">
        <f>AW262+1</f>
        <v>1</v>
      </c>
    </row>
    <row r="264" spans="1:49">
      <c r="A264" s="1" t="str">
        <f>tblTerritories!S5</f>
        <v>Asia Pacific</v>
      </c>
      <c r="B264" s="1">
        <f>INDEX(tblTerritories_2014_N!$V$3:$AI$63,B$262,$AW264)</f>
        <v>0</v>
      </c>
      <c r="C264" s="1">
        <f>INDEX(tblTerritories_2014_N!$V$3:$AI$63,C$262,$AW264)</f>
        <v>0</v>
      </c>
      <c r="D264" s="1">
        <f>INDEX(tblTerritories_2014_N!$V$3:$AI$63,D$262,$AW264)</f>
        <v>1</v>
      </c>
      <c r="E264" s="1">
        <f>INDEX(tblTerritories_2014_N!$V$3:$AI$63,E$262,$AW264)</f>
        <v>0</v>
      </c>
      <c r="F264" s="1">
        <f>INDEX(tblTerritories_2014_N!$V$3:$AI$63,F$262,$AW264)</f>
        <v>1</v>
      </c>
      <c r="G264" s="1">
        <f>INDEX(tblTerritories_2014_N!$V$3:$AI$63,G$262,$AW264)</f>
        <v>0</v>
      </c>
      <c r="H264" s="1">
        <f>INDEX(tblTerritories_2014_N!$V$3:$AI$63,H$262,$AW264)</f>
        <v>0</v>
      </c>
      <c r="I264" s="1">
        <f>INDEX(tblTerritories_2014_N!$V$3:$AI$63,I$262,$AW264)</f>
        <v>0</v>
      </c>
      <c r="J264" s="1">
        <f>INDEX(tblTerritories_2014_N!$V$3:$AI$63,J$262,$AW264)</f>
        <v>1</v>
      </c>
      <c r="K264" s="1">
        <f>INDEX(tblTerritories_2014_N!$V$3:$AI$63,K$262,$AW264)</f>
        <v>0</v>
      </c>
      <c r="L264" s="1">
        <f>INDEX(tblTerritories_2014_N!$V$3:$AI$63,L$262,$AW264)</f>
        <v>0</v>
      </c>
      <c r="M264" s="1">
        <f>INDEX(tblTerritories_2014_N!$V$3:$AI$63,M$262,$AW264)</f>
        <v>1</v>
      </c>
      <c r="N264" s="1">
        <f>INDEX(tblTerritories_2014_N!$V$3:$AI$63,N$262,$AW264)</f>
        <v>1</v>
      </c>
      <c r="O264" s="1">
        <f>INDEX(tblTerritories_2014_N!$V$3:$AI$63,O$262,$AW264)</f>
        <v>0</v>
      </c>
      <c r="P264" s="1">
        <f>INDEX(tblTerritories_2014_N!$V$3:$AI$63,P$262,$AW264)</f>
        <v>1</v>
      </c>
      <c r="Q264" s="1">
        <f>INDEX(tblTerritories_2014_N!$V$3:$AI$63,Q$262,$AW264)</f>
        <v>0</v>
      </c>
      <c r="R264" s="1">
        <f>INDEX(tblTerritories_2014_N!$V$3:$AI$63,R$262,$AW264)</f>
        <v>0</v>
      </c>
      <c r="S264" s="1">
        <f>INDEX(tblTerritories_2014_N!$V$3:$AI$63,S$262,$AW264)</f>
        <v>0</v>
      </c>
      <c r="T264" s="1">
        <f>INDEX(tblTerritories_2014_N!$V$3:$AI$63,T$262,$AW264)</f>
        <v>0</v>
      </c>
      <c r="U264" s="1">
        <f>INDEX(tblTerritories_2014_N!$V$3:$AI$63,U$262,$AW264)</f>
        <v>0</v>
      </c>
      <c r="V264" s="1">
        <f>INDEX(tblTerritories_2014_N!$V$3:$AI$63,V$262,$AW264)</f>
        <v>0</v>
      </c>
      <c r="W264" s="1">
        <f>INDEX(tblTerritories_2014_N!$V$3:$AI$63,W$262,$AW264)</f>
        <v>1</v>
      </c>
      <c r="X264" s="1">
        <f>INDEX(tblTerritories_2014_N!$V$3:$AI$63,X$262,$AW264)</f>
        <v>0</v>
      </c>
      <c r="Y264" s="1">
        <f>INDEX(tblTerritories_2014_N!$V$3:$AI$63,Y$262,$AW264)</f>
        <v>0</v>
      </c>
      <c r="Z264" s="1">
        <f>INDEX(tblTerritories_2014_N!$V$3:$AI$63,Z$262,$AW264)</f>
        <v>0</v>
      </c>
      <c r="AA264" s="1">
        <f>INDEX(tblTerritories_2014_N!$V$3:$AI$63,AA$262,$AW264)</f>
        <v>1</v>
      </c>
      <c r="AB264" s="1">
        <f>INDEX(tblTerritories_2014_N!$V$3:$AI$63,AB$262,$AW264)</f>
        <v>0</v>
      </c>
      <c r="AC264" s="1">
        <f>INDEX(tblTerritories_2014_N!$V$3:$AI$63,AC$262,$AW264)</f>
        <v>1</v>
      </c>
      <c r="AD264" s="1">
        <f>INDEX(tblTerritories_2014_N!$V$3:$AI$63,AD$262,$AW264)</f>
        <v>0</v>
      </c>
      <c r="AE264" s="1">
        <f>INDEX(tblTerritories_2014_N!$V$3:$AI$63,AE$262,$AW264)</f>
        <v>0</v>
      </c>
      <c r="AF264" s="1">
        <f>INDEX(tblTerritories_2014_N!$V$3:$AI$63,AF$262,$AW264)</f>
        <v>0</v>
      </c>
      <c r="AG264" s="1">
        <f>INDEX(tblTerritories_2014_N!$V$3:$AI$63,AG$262,$AW264)</f>
        <v>0</v>
      </c>
      <c r="AH264" s="1">
        <f>INDEX(tblTerritories_2014_N!$V$3:$AI$63,AH$262,$AW264)</f>
        <v>0</v>
      </c>
      <c r="AI264" s="1">
        <f>INDEX(tblTerritories_2014_N!$V$3:$AI$63,AI$262,$AW264)</f>
        <v>0</v>
      </c>
      <c r="AJ264" s="1">
        <f>INDEX(tblTerritories_2014_N!$V$3:$AI$63,AJ$262,$AW264)</f>
        <v>0</v>
      </c>
      <c r="AK264" s="1">
        <f>INDEX(tblTerritories_2014_N!$V$3:$AI$63,AK$262,$AW264)</f>
        <v>1</v>
      </c>
      <c r="AL264" s="1">
        <f>INDEX(tblTerritories_2014_N!$V$3:$AI$63,AL$262,$AW264)</f>
        <v>1</v>
      </c>
      <c r="AM264" s="1">
        <f>INDEX(tblTerritories_2014_N!$V$3:$AI$63,AM$262,$AW264)</f>
        <v>1</v>
      </c>
      <c r="AN264" s="1">
        <f>INDEX(tblTerritories_2014_N!$V$3:$AI$63,AN$262,$AW264)</f>
        <v>0</v>
      </c>
      <c r="AO264" s="1">
        <f>INDEX(tblTerritories_2014_N!$V$3:$AI$63,AO$262,$AW264)</f>
        <v>1</v>
      </c>
      <c r="AP264" s="1">
        <f>INDEX(tblTerritories_2014_N!$V$3:$AI$63,AP$262,$AW264)</f>
        <v>1</v>
      </c>
      <c r="AQ264" s="1">
        <f>INDEX(tblTerritories_2014_N!$V$3:$AI$63,AQ$262,$AW264)</f>
        <v>0</v>
      </c>
      <c r="AR264" s="1">
        <f>INDEX(tblTerritories_2014_N!$V$3:$AI$63,AR$262,$AW264)</f>
        <v>1</v>
      </c>
      <c r="AS264" s="1">
        <f>INDEX(tblTerritories_2014_N!$V$3:$AI$63,AS$262,$AW264)</f>
        <v>0</v>
      </c>
      <c r="AT264" s="1">
        <f>INDEX(tblTerritories_2014_N!$V$3:$AI$63,AT$262,$AW264)</f>
        <v>0</v>
      </c>
      <c r="AU264" s="1">
        <f>INDEX(tblTerritories_2014_N!$V$3:$AI$63,AU$262,$AW264)</f>
        <v>0</v>
      </c>
      <c r="AW264" s="1">
        <f t="shared" ref="AW264:AW271" si="194">AW263+1</f>
        <v>2</v>
      </c>
    </row>
    <row r="265" spans="1:49">
      <c r="A265" s="1" t="str">
        <f>tblTerritories!S6</f>
        <v>Europe</v>
      </c>
      <c r="B265" s="1">
        <f>INDEX(tblTerritories_2014_N!$V$3:$AI$63,B$262,$AW265)</f>
        <v>0</v>
      </c>
      <c r="C265" s="1">
        <f>INDEX(tblTerritories_2014_N!$V$3:$AI$63,C$262,$AW265)</f>
        <v>1</v>
      </c>
      <c r="D265" s="1">
        <f>INDEX(tblTerritories_2014_N!$V$3:$AI$63,D$262,$AW265)</f>
        <v>0</v>
      </c>
      <c r="E265" s="1">
        <f>INDEX(tblTerritories_2014_N!$V$3:$AI$63,E$262,$AW265)</f>
        <v>1</v>
      </c>
      <c r="F265" s="1">
        <f>INDEX(tblTerritories_2014_N!$V$3:$AI$63,F$262,$AW265)</f>
        <v>0</v>
      </c>
      <c r="G265" s="1">
        <f>INDEX(tblTerritories_2014_N!$V$3:$AI$63,G$262,$AW265)</f>
        <v>1</v>
      </c>
      <c r="H265" s="1">
        <f>INDEX(tblTerritories_2014_N!$V$3:$AI$63,H$262,$AW265)</f>
        <v>0</v>
      </c>
      <c r="I265" s="1">
        <f>INDEX(tblTerritories_2014_N!$V$3:$AI$63,I$262,$AW265)</f>
        <v>0</v>
      </c>
      <c r="J265" s="1">
        <f>INDEX(tblTerritories_2014_N!$V$3:$AI$63,J$262,$AW265)</f>
        <v>0</v>
      </c>
      <c r="K265" s="1">
        <f>INDEX(tblTerritories_2014_N!$V$3:$AI$63,K$262,$AW265)</f>
        <v>0</v>
      </c>
      <c r="L265" s="1">
        <f>INDEX(tblTerritories_2014_N!$V$3:$AI$63,L$262,$AW265)</f>
        <v>1</v>
      </c>
      <c r="M265" s="1">
        <f>INDEX(tblTerritories_2014_N!$V$3:$AI$63,M$262,$AW265)</f>
        <v>0</v>
      </c>
      <c r="N265" s="1">
        <f>INDEX(tblTerritories_2014_N!$V$3:$AI$63,N$262,$AW265)</f>
        <v>0</v>
      </c>
      <c r="O265" s="1">
        <f>INDEX(tblTerritories_2014_N!$V$3:$AI$63,O$262,$AW265)</f>
        <v>1</v>
      </c>
      <c r="P265" s="1">
        <f>INDEX(tblTerritories_2014_N!$V$3:$AI$63,P$262,$AW265)</f>
        <v>0</v>
      </c>
      <c r="Q265" s="1">
        <f>INDEX(tblTerritories_2014_N!$V$3:$AI$63,Q$262,$AW265)</f>
        <v>0</v>
      </c>
      <c r="R265" s="1">
        <f>INDEX(tblTerritories_2014_N!$V$3:$AI$63,R$262,$AW265)</f>
        <v>0</v>
      </c>
      <c r="S265" s="1">
        <f>INDEX(tblTerritories_2014_N!$V$3:$AI$63,S$262,$AW265)</f>
        <v>0</v>
      </c>
      <c r="T265" s="1">
        <f>INDEX(tblTerritories_2014_N!$V$3:$AI$63,T$262,$AW265)</f>
        <v>1</v>
      </c>
      <c r="U265" s="1">
        <f>INDEX(tblTerritories_2014_N!$V$3:$AI$63,U$262,$AW265)</f>
        <v>0</v>
      </c>
      <c r="V265" s="1">
        <f>INDEX(tblTerritories_2014_N!$V$3:$AI$63,V$262,$AW265)</f>
        <v>1</v>
      </c>
      <c r="W265" s="1">
        <f>INDEX(tblTerritories_2014_N!$V$3:$AI$63,W$262,$AW265)</f>
        <v>0</v>
      </c>
      <c r="X265" s="1">
        <f>INDEX(tblTerritories_2014_N!$V$3:$AI$63,X$262,$AW265)</f>
        <v>0</v>
      </c>
      <c r="Y265" s="1">
        <f>INDEX(tblTerritories_2014_N!$V$3:$AI$63,Y$262,$AW265)</f>
        <v>1</v>
      </c>
      <c r="Z265" s="1">
        <f>INDEX(tblTerritories_2014_N!$V$3:$AI$63,Z$262,$AW265)</f>
        <v>1</v>
      </c>
      <c r="AA265" s="1">
        <f>INDEX(tblTerritories_2014_N!$V$3:$AI$63,AA$262,$AW265)</f>
        <v>0</v>
      </c>
      <c r="AB265" s="1">
        <f>INDEX(tblTerritories_2014_N!$V$3:$AI$63,AB$262,$AW265)</f>
        <v>0</v>
      </c>
      <c r="AC265" s="1">
        <f>INDEX(tblTerritories_2014_N!$V$3:$AI$63,AC$262,$AW265)</f>
        <v>0</v>
      </c>
      <c r="AD265" s="1">
        <f>INDEX(tblTerritories_2014_N!$V$3:$AI$63,AD$262,$AW265)</f>
        <v>1</v>
      </c>
      <c r="AE265" s="1">
        <f>INDEX(tblTerritories_2014_N!$V$3:$AI$63,AE$262,$AW265)</f>
        <v>0</v>
      </c>
      <c r="AF265" s="1">
        <f>INDEX(tblTerritories_2014_N!$V$3:$AI$63,AF$262,$AW265)</f>
        <v>0</v>
      </c>
      <c r="AG265" s="1">
        <f>INDEX(tblTerritories_2014_N!$V$3:$AI$63,AG$262,$AW265)</f>
        <v>1</v>
      </c>
      <c r="AH265" s="1">
        <f>INDEX(tblTerritories_2014_N!$V$3:$AI$63,AH$262,$AW265)</f>
        <v>0</v>
      </c>
      <c r="AI265" s="1">
        <f>INDEX(tblTerritories_2014_N!$V$3:$AI$63,AI$262,$AW265)</f>
        <v>0</v>
      </c>
      <c r="AJ265" s="1">
        <f>INDEX(tblTerritories_2014_N!$V$3:$AI$63,AJ$262,$AW265)</f>
        <v>0</v>
      </c>
      <c r="AK265" s="1">
        <f>INDEX(tblTerritories_2014_N!$V$3:$AI$63,AK$262,$AW265)</f>
        <v>0</v>
      </c>
      <c r="AL265" s="1">
        <f>INDEX(tblTerritories_2014_N!$V$3:$AI$63,AL$262,$AW265)</f>
        <v>0</v>
      </c>
      <c r="AM265" s="1">
        <f>INDEX(tblTerritories_2014_N!$V$3:$AI$63,AM$262,$AW265)</f>
        <v>0</v>
      </c>
      <c r="AN265" s="1">
        <f>INDEX(tblTerritories_2014_N!$V$3:$AI$63,AN$262,$AW265)</f>
        <v>1</v>
      </c>
      <c r="AO265" s="1">
        <f>INDEX(tblTerritories_2014_N!$V$3:$AI$63,AO$262,$AW265)</f>
        <v>0</v>
      </c>
      <c r="AP265" s="1">
        <f>INDEX(tblTerritories_2014_N!$V$3:$AI$63,AP$262,$AW265)</f>
        <v>0</v>
      </c>
      <c r="AQ265" s="1">
        <f>INDEX(tblTerritories_2014_N!$V$3:$AI$63,AQ$262,$AW265)</f>
        <v>0</v>
      </c>
      <c r="AR265" s="1">
        <f>INDEX(tblTerritories_2014_N!$V$3:$AI$63,AR$262,$AW265)</f>
        <v>0</v>
      </c>
      <c r="AS265" s="1">
        <f>INDEX(tblTerritories_2014_N!$V$3:$AI$63,AS$262,$AW265)</f>
        <v>0</v>
      </c>
      <c r="AT265" s="1">
        <f>INDEX(tblTerritories_2014_N!$V$3:$AI$63,AT$262,$AW265)</f>
        <v>0</v>
      </c>
      <c r="AU265" s="1">
        <f>INDEX(tblTerritories_2014_N!$V$3:$AI$63,AU$262,$AW265)</f>
        <v>1</v>
      </c>
      <c r="AW265" s="1">
        <f t="shared" si="194"/>
        <v>3</v>
      </c>
    </row>
    <row r="266" spans="1:49">
      <c r="A266" s="1" t="str">
        <f>tblTerritories!S7</f>
        <v>Latin America</v>
      </c>
      <c r="B266" s="1">
        <f>INDEX(tblTerritories_2014_N!$V$3:$AI$63,B$262,$AW266)</f>
        <v>0</v>
      </c>
      <c r="C266" s="1">
        <f>INDEX(tblTerritories_2014_N!$V$3:$AI$63,C$262,$AW266)</f>
        <v>0</v>
      </c>
      <c r="D266" s="1">
        <f>INDEX(tblTerritories_2014_N!$V$3:$AI$63,D$262,$AW266)</f>
        <v>0</v>
      </c>
      <c r="E266" s="1">
        <f>INDEX(tblTerritories_2014_N!$V$3:$AI$63,E$262,$AW266)</f>
        <v>0</v>
      </c>
      <c r="F266" s="1">
        <f>INDEX(tblTerritories_2014_N!$V$3:$AI$63,F$262,$AW266)</f>
        <v>0</v>
      </c>
      <c r="G266" s="1">
        <f>INDEX(tblTerritories_2014_N!$V$3:$AI$63,G$262,$AW266)</f>
        <v>0</v>
      </c>
      <c r="H266" s="1">
        <f>INDEX(tblTerritories_2014_N!$V$3:$AI$63,H$262,$AW266)</f>
        <v>1</v>
      </c>
      <c r="I266" s="1">
        <f>INDEX(tblTerritories_2014_N!$V$3:$AI$63,I$262,$AW266)</f>
        <v>0</v>
      </c>
      <c r="J266" s="1">
        <f>INDEX(tblTerritories_2014_N!$V$3:$AI$63,J$262,$AW266)</f>
        <v>0</v>
      </c>
      <c r="K266" s="1">
        <f>INDEX(tblTerritories_2014_N!$V$3:$AI$63,K$262,$AW266)</f>
        <v>0</v>
      </c>
      <c r="L266" s="1">
        <f>INDEX(tblTerritories_2014_N!$V$3:$AI$63,L$262,$AW266)</f>
        <v>0</v>
      </c>
      <c r="M266" s="1">
        <f>INDEX(tblTerritories_2014_N!$V$3:$AI$63,M$262,$AW266)</f>
        <v>0</v>
      </c>
      <c r="N266" s="1">
        <f>INDEX(tblTerritories_2014_N!$V$3:$AI$63,N$262,$AW266)</f>
        <v>0</v>
      </c>
      <c r="O266" s="1">
        <f>INDEX(tblTerritories_2014_N!$V$3:$AI$63,O$262,$AW266)</f>
        <v>0</v>
      </c>
      <c r="P266" s="1">
        <f>INDEX(tblTerritories_2014_N!$V$3:$AI$63,P$262,$AW266)</f>
        <v>0</v>
      </c>
      <c r="Q266" s="1">
        <f>INDEX(tblTerritories_2014_N!$V$3:$AI$63,Q$262,$AW266)</f>
        <v>0</v>
      </c>
      <c r="R266" s="1">
        <f>INDEX(tblTerritories_2014_N!$V$3:$AI$63,R$262,$AW266)</f>
        <v>0</v>
      </c>
      <c r="S266" s="1">
        <f>INDEX(tblTerritories_2014_N!$V$3:$AI$63,S$262,$AW266)</f>
        <v>1</v>
      </c>
      <c r="T266" s="1">
        <f>INDEX(tblTerritories_2014_N!$V$3:$AI$63,T$262,$AW266)</f>
        <v>0</v>
      </c>
      <c r="U266" s="1">
        <f>INDEX(tblTerritories_2014_N!$V$3:$AI$63,U$262,$AW266)</f>
        <v>0</v>
      </c>
      <c r="V266" s="1">
        <f>INDEX(tblTerritories_2014_N!$V$3:$AI$63,V$262,$AW266)</f>
        <v>0</v>
      </c>
      <c r="W266" s="1">
        <f>INDEX(tblTerritories_2014_N!$V$3:$AI$63,W$262,$AW266)</f>
        <v>0</v>
      </c>
      <c r="X266" s="1">
        <f>INDEX(tblTerritories_2014_N!$V$3:$AI$63,X$262,$AW266)</f>
        <v>1</v>
      </c>
      <c r="Y266" s="1">
        <f>INDEX(tblTerritories_2014_N!$V$3:$AI$63,Y$262,$AW266)</f>
        <v>0</v>
      </c>
      <c r="Z266" s="1">
        <f>INDEX(tblTerritories_2014_N!$V$3:$AI$63,Z$262,$AW266)</f>
        <v>0</v>
      </c>
      <c r="AA266" s="1">
        <f>INDEX(tblTerritories_2014_N!$V$3:$AI$63,AA$262,$AW266)</f>
        <v>0</v>
      </c>
      <c r="AB266" s="1">
        <f>INDEX(tblTerritories_2014_N!$V$3:$AI$63,AB$262,$AW266)</f>
        <v>0</v>
      </c>
      <c r="AC266" s="1">
        <f>INDEX(tblTerritories_2014_N!$V$3:$AI$63,AC$262,$AW266)</f>
        <v>0</v>
      </c>
      <c r="AD266" s="1">
        <f>INDEX(tblTerritories_2014_N!$V$3:$AI$63,AD$262,$AW266)</f>
        <v>0</v>
      </c>
      <c r="AE266" s="1">
        <f>INDEX(tblTerritories_2014_N!$V$3:$AI$63,AE$262,$AW266)</f>
        <v>1</v>
      </c>
      <c r="AF266" s="1">
        <f>INDEX(tblTerritories_2014_N!$V$3:$AI$63,AF$262,$AW266)</f>
        <v>0</v>
      </c>
      <c r="AG266" s="1">
        <f>INDEX(tblTerritories_2014_N!$V$3:$AI$63,AG$262,$AW266)</f>
        <v>0</v>
      </c>
      <c r="AH266" s="1">
        <f>INDEX(tblTerritories_2014_N!$V$3:$AI$63,AH$262,$AW266)</f>
        <v>0</v>
      </c>
      <c r="AI266" s="1">
        <f>INDEX(tblTerritories_2014_N!$V$3:$AI$63,AI$262,$AW266)</f>
        <v>1</v>
      </c>
      <c r="AJ266" s="1">
        <f>INDEX(tblTerritories_2014_N!$V$3:$AI$63,AJ$262,$AW266)</f>
        <v>1</v>
      </c>
      <c r="AK266" s="1">
        <f>INDEX(tblTerritories_2014_N!$V$3:$AI$63,AK$262,$AW266)</f>
        <v>0</v>
      </c>
      <c r="AL266" s="1">
        <f>INDEX(tblTerritories_2014_N!$V$3:$AI$63,AL$262,$AW266)</f>
        <v>0</v>
      </c>
      <c r="AM266" s="1">
        <f>INDEX(tblTerritories_2014_N!$V$3:$AI$63,AM$262,$AW266)</f>
        <v>0</v>
      </c>
      <c r="AN266" s="1">
        <f>INDEX(tblTerritories_2014_N!$V$3:$AI$63,AN$262,$AW266)</f>
        <v>0</v>
      </c>
      <c r="AO266" s="1">
        <f>INDEX(tblTerritories_2014_N!$V$3:$AI$63,AO$262,$AW266)</f>
        <v>0</v>
      </c>
      <c r="AP266" s="1">
        <f>INDEX(tblTerritories_2014_N!$V$3:$AI$63,AP$262,$AW266)</f>
        <v>0</v>
      </c>
      <c r="AQ266" s="1">
        <f>INDEX(tblTerritories_2014_N!$V$3:$AI$63,AQ$262,$AW266)</f>
        <v>0</v>
      </c>
      <c r="AR266" s="1">
        <f>INDEX(tblTerritories_2014_N!$V$3:$AI$63,AR$262,$AW266)</f>
        <v>0</v>
      </c>
      <c r="AS266" s="1">
        <f>INDEX(tblTerritories_2014_N!$V$3:$AI$63,AS$262,$AW266)</f>
        <v>0</v>
      </c>
      <c r="AT266" s="1">
        <f>INDEX(tblTerritories_2014_N!$V$3:$AI$63,AT$262,$AW266)</f>
        <v>0</v>
      </c>
      <c r="AU266" s="1">
        <f>INDEX(tblTerritories_2014_N!$V$3:$AI$63,AU$262,$AW266)</f>
        <v>0</v>
      </c>
      <c r="AW266" s="1">
        <f t="shared" si="194"/>
        <v>4</v>
      </c>
    </row>
    <row r="267" spans="1:49">
      <c r="A267" s="1" t="str">
        <f>tblTerritories!S8</f>
        <v>Middle East and Africa</v>
      </c>
      <c r="B267" s="1">
        <f>INDEX(tblTerritories_2014_N!$V$3:$AI$63,B$262,$AW267)</f>
        <v>1</v>
      </c>
      <c r="C267" s="1">
        <f>INDEX(tblTerritories_2014_N!$V$3:$AI$63,C$262,$AW267)</f>
        <v>0</v>
      </c>
      <c r="D267" s="1">
        <f>INDEX(tblTerritories_2014_N!$V$3:$AI$63,D$262,$AW267)</f>
        <v>0</v>
      </c>
      <c r="E267" s="1">
        <f>INDEX(tblTerritories_2014_N!$V$3:$AI$63,E$262,$AW267)</f>
        <v>0</v>
      </c>
      <c r="F267" s="1">
        <f>INDEX(tblTerritories_2014_N!$V$3:$AI$63,F$262,$AW267)</f>
        <v>0</v>
      </c>
      <c r="G267" s="1">
        <f>INDEX(tblTerritories_2014_N!$V$3:$AI$63,G$262,$AW267)</f>
        <v>0</v>
      </c>
      <c r="H267" s="1">
        <f>INDEX(tblTerritories_2014_N!$V$3:$AI$63,H$262,$AW267)</f>
        <v>0</v>
      </c>
      <c r="I267" s="1">
        <f>INDEX(tblTerritories_2014_N!$V$3:$AI$63,I$262,$AW267)</f>
        <v>0</v>
      </c>
      <c r="J267" s="1">
        <f>INDEX(tblTerritories_2014_N!$V$3:$AI$63,J$262,$AW267)</f>
        <v>0</v>
      </c>
      <c r="K267" s="1">
        <f>INDEX(tblTerritories_2014_N!$V$3:$AI$63,K$262,$AW267)</f>
        <v>1</v>
      </c>
      <c r="L267" s="1">
        <f>INDEX(tblTerritories_2014_N!$V$3:$AI$63,L$262,$AW267)</f>
        <v>0</v>
      </c>
      <c r="M267" s="1">
        <f>INDEX(tblTerritories_2014_N!$V$3:$AI$63,M$262,$AW267)</f>
        <v>0</v>
      </c>
      <c r="N267" s="1">
        <f>INDEX(tblTerritories_2014_N!$V$3:$AI$63,N$262,$AW267)</f>
        <v>0</v>
      </c>
      <c r="O267" s="1">
        <f>INDEX(tblTerritories_2014_N!$V$3:$AI$63,O$262,$AW267)</f>
        <v>0</v>
      </c>
      <c r="P267" s="1">
        <f>INDEX(tblTerritories_2014_N!$V$3:$AI$63,P$262,$AW267)</f>
        <v>0</v>
      </c>
      <c r="Q267" s="1">
        <f>INDEX(tblTerritories_2014_N!$V$3:$AI$63,Q$262,$AW267)</f>
        <v>1</v>
      </c>
      <c r="R267" s="1">
        <f>INDEX(tblTerritories_2014_N!$V$3:$AI$63,R$262,$AW267)</f>
        <v>1</v>
      </c>
      <c r="S267" s="1">
        <f>INDEX(tblTerritories_2014_N!$V$3:$AI$63,S$262,$AW267)</f>
        <v>0</v>
      </c>
      <c r="T267" s="1">
        <f>INDEX(tblTerritories_2014_N!$V$3:$AI$63,T$262,$AW267)</f>
        <v>0</v>
      </c>
      <c r="U267" s="1">
        <f>INDEX(tblTerritories_2014_N!$V$3:$AI$63,U$262,$AW267)</f>
        <v>0</v>
      </c>
      <c r="V267" s="1">
        <f>INDEX(tblTerritories_2014_N!$V$3:$AI$63,V$262,$AW267)</f>
        <v>0</v>
      </c>
      <c r="W267" s="1">
        <f>INDEX(tblTerritories_2014_N!$V$3:$AI$63,W$262,$AW267)</f>
        <v>0</v>
      </c>
      <c r="X267" s="1">
        <f>INDEX(tblTerritories_2014_N!$V$3:$AI$63,X$262,$AW267)</f>
        <v>0</v>
      </c>
      <c r="Y267" s="1">
        <f>INDEX(tblTerritories_2014_N!$V$3:$AI$63,Y$262,$AW267)</f>
        <v>0</v>
      </c>
      <c r="Z267" s="1">
        <f>INDEX(tblTerritories_2014_N!$V$3:$AI$63,Z$262,$AW267)</f>
        <v>0</v>
      </c>
      <c r="AA267" s="1">
        <f>INDEX(tblTerritories_2014_N!$V$3:$AI$63,AA$262,$AW267)</f>
        <v>0</v>
      </c>
      <c r="AB267" s="1">
        <f>INDEX(tblTerritories_2014_N!$V$3:$AI$63,AB$262,$AW267)</f>
        <v>0</v>
      </c>
      <c r="AC267" s="1">
        <f>INDEX(tblTerritories_2014_N!$V$3:$AI$63,AC$262,$AW267)</f>
        <v>0</v>
      </c>
      <c r="AD267" s="1">
        <f>INDEX(tblTerritories_2014_N!$V$3:$AI$63,AD$262,$AW267)</f>
        <v>0</v>
      </c>
      <c r="AE267" s="1">
        <f>INDEX(tblTerritories_2014_N!$V$3:$AI$63,AE$262,$AW267)</f>
        <v>0</v>
      </c>
      <c r="AF267" s="1">
        <f>INDEX(tblTerritories_2014_N!$V$3:$AI$63,AF$262,$AW267)</f>
        <v>1</v>
      </c>
      <c r="AG267" s="1">
        <f>INDEX(tblTerritories_2014_N!$V$3:$AI$63,AG$262,$AW267)</f>
        <v>0</v>
      </c>
      <c r="AH267" s="1">
        <f>INDEX(tblTerritories_2014_N!$V$3:$AI$63,AH$262,$AW267)</f>
        <v>0</v>
      </c>
      <c r="AI267" s="1">
        <f>INDEX(tblTerritories_2014_N!$V$3:$AI$63,AI$262,$AW267)</f>
        <v>0</v>
      </c>
      <c r="AJ267" s="1">
        <f>INDEX(tblTerritories_2014_N!$V$3:$AI$63,AJ$262,$AW267)</f>
        <v>0</v>
      </c>
      <c r="AK267" s="1">
        <f>INDEX(tblTerritories_2014_N!$V$3:$AI$63,AK$262,$AW267)</f>
        <v>0</v>
      </c>
      <c r="AL267" s="1">
        <f>INDEX(tblTerritories_2014_N!$V$3:$AI$63,AL$262,$AW267)</f>
        <v>0</v>
      </c>
      <c r="AM267" s="1">
        <f>INDEX(tblTerritories_2014_N!$V$3:$AI$63,AM$262,$AW267)</f>
        <v>0</v>
      </c>
      <c r="AN267" s="1">
        <f>INDEX(tblTerritories_2014_N!$V$3:$AI$63,AN$262,$AW267)</f>
        <v>0</v>
      </c>
      <c r="AO267" s="1">
        <f>INDEX(tblTerritories_2014_N!$V$3:$AI$63,AO$262,$AW267)</f>
        <v>0</v>
      </c>
      <c r="AP267" s="1">
        <f>INDEX(tblTerritories_2014_N!$V$3:$AI$63,AP$262,$AW267)</f>
        <v>0</v>
      </c>
      <c r="AQ267" s="1">
        <f>INDEX(tblTerritories_2014_N!$V$3:$AI$63,AQ$262,$AW267)</f>
        <v>1</v>
      </c>
      <c r="AR267" s="1">
        <f>INDEX(tblTerritories_2014_N!$V$3:$AI$63,AR$262,$AW267)</f>
        <v>0</v>
      </c>
      <c r="AS267" s="1">
        <f>INDEX(tblTerritories_2014_N!$V$3:$AI$63,AS$262,$AW267)</f>
        <v>0</v>
      </c>
      <c r="AT267" s="1">
        <f>INDEX(tblTerritories_2014_N!$V$3:$AI$63,AT$262,$AW267)</f>
        <v>0</v>
      </c>
      <c r="AU267" s="1">
        <f>INDEX(tblTerritories_2014_N!$V$3:$AI$63,AU$262,$AW267)</f>
        <v>0</v>
      </c>
      <c r="AW267" s="1">
        <f t="shared" si="194"/>
        <v>5</v>
      </c>
    </row>
    <row r="268" spans="1:49">
      <c r="A268" s="1" t="str">
        <f>tblTerritories!S9</f>
        <v>North America</v>
      </c>
      <c r="B268" s="1">
        <f>INDEX(tblTerritories_2014_N!$V$3:$AI$63,B$262,$AW268)</f>
        <v>0</v>
      </c>
      <c r="C268" s="1">
        <f>INDEX(tblTerritories_2014_N!$V$3:$AI$63,C$262,$AW268)</f>
        <v>0</v>
      </c>
      <c r="D268" s="1">
        <f>INDEX(tblTerritories_2014_N!$V$3:$AI$63,D$262,$AW268)</f>
        <v>0</v>
      </c>
      <c r="E268" s="1">
        <f>INDEX(tblTerritories_2014_N!$V$3:$AI$63,E$262,$AW268)</f>
        <v>0</v>
      </c>
      <c r="F268" s="1">
        <f>INDEX(tblTerritories_2014_N!$V$3:$AI$63,F$262,$AW268)</f>
        <v>0</v>
      </c>
      <c r="G268" s="1">
        <f>INDEX(tblTerritories_2014_N!$V$3:$AI$63,G$262,$AW268)</f>
        <v>0</v>
      </c>
      <c r="H268" s="1">
        <f>INDEX(tblTerritories_2014_N!$V$3:$AI$63,H$262,$AW268)</f>
        <v>0</v>
      </c>
      <c r="I268" s="1">
        <f>INDEX(tblTerritories_2014_N!$V$3:$AI$63,I$262,$AW268)</f>
        <v>1</v>
      </c>
      <c r="J268" s="1">
        <f>INDEX(tblTerritories_2014_N!$V$3:$AI$63,J$262,$AW268)</f>
        <v>0</v>
      </c>
      <c r="K268" s="1">
        <f>INDEX(tblTerritories_2014_N!$V$3:$AI$63,K$262,$AW268)</f>
        <v>0</v>
      </c>
      <c r="L268" s="1">
        <f>INDEX(tblTerritories_2014_N!$V$3:$AI$63,L$262,$AW268)</f>
        <v>0</v>
      </c>
      <c r="M268" s="1">
        <f>INDEX(tblTerritories_2014_N!$V$3:$AI$63,M$262,$AW268)</f>
        <v>0</v>
      </c>
      <c r="N268" s="1">
        <f>INDEX(tblTerritories_2014_N!$V$3:$AI$63,N$262,$AW268)</f>
        <v>0</v>
      </c>
      <c r="O268" s="1">
        <f>INDEX(tblTerritories_2014_N!$V$3:$AI$63,O$262,$AW268)</f>
        <v>0</v>
      </c>
      <c r="P268" s="1">
        <f>INDEX(tblTerritories_2014_N!$V$3:$AI$63,P$262,$AW268)</f>
        <v>0</v>
      </c>
      <c r="Q268" s="1">
        <f>INDEX(tblTerritories_2014_N!$V$3:$AI$63,Q$262,$AW268)</f>
        <v>0</v>
      </c>
      <c r="R268" s="1">
        <f>INDEX(tblTerritories_2014_N!$V$3:$AI$63,R$262,$AW268)</f>
        <v>0</v>
      </c>
      <c r="S268" s="1">
        <f>INDEX(tblTerritories_2014_N!$V$3:$AI$63,S$262,$AW268)</f>
        <v>0</v>
      </c>
      <c r="T268" s="1">
        <f>INDEX(tblTerritories_2014_N!$V$3:$AI$63,T$262,$AW268)</f>
        <v>0</v>
      </c>
      <c r="U268" s="1">
        <f>INDEX(tblTerritories_2014_N!$V$3:$AI$63,U$262,$AW268)</f>
        <v>1</v>
      </c>
      <c r="V268" s="1">
        <f>INDEX(tblTerritories_2014_N!$V$3:$AI$63,V$262,$AW268)</f>
        <v>0</v>
      </c>
      <c r="W268" s="1">
        <f>INDEX(tblTerritories_2014_N!$V$3:$AI$63,W$262,$AW268)</f>
        <v>0</v>
      </c>
      <c r="X268" s="1">
        <f>INDEX(tblTerritories_2014_N!$V$3:$AI$63,X$262,$AW268)</f>
        <v>0</v>
      </c>
      <c r="Y268" s="1">
        <f>INDEX(tblTerritories_2014_N!$V$3:$AI$63,Y$262,$AW268)</f>
        <v>0</v>
      </c>
      <c r="Z268" s="1">
        <f>INDEX(tblTerritories_2014_N!$V$3:$AI$63,Z$262,$AW268)</f>
        <v>0</v>
      </c>
      <c r="AA268" s="1">
        <f>INDEX(tblTerritories_2014_N!$V$3:$AI$63,AA$262,$AW268)</f>
        <v>0</v>
      </c>
      <c r="AB268" s="1">
        <f>INDEX(tblTerritories_2014_N!$V$3:$AI$63,AB$262,$AW268)</f>
        <v>1</v>
      </c>
      <c r="AC268" s="1">
        <f>INDEX(tblTerritories_2014_N!$V$3:$AI$63,AC$262,$AW268)</f>
        <v>0</v>
      </c>
      <c r="AD268" s="1">
        <f>INDEX(tblTerritories_2014_N!$V$3:$AI$63,AD$262,$AW268)</f>
        <v>0</v>
      </c>
      <c r="AE268" s="1">
        <f>INDEX(tblTerritories_2014_N!$V$3:$AI$63,AE$262,$AW268)</f>
        <v>0</v>
      </c>
      <c r="AF268" s="1">
        <f>INDEX(tblTerritories_2014_N!$V$3:$AI$63,AF$262,$AW268)</f>
        <v>0</v>
      </c>
      <c r="AG268" s="1">
        <f>INDEX(tblTerritories_2014_N!$V$3:$AI$63,AG$262,$AW268)</f>
        <v>0</v>
      </c>
      <c r="AH268" s="1">
        <f>INDEX(tblTerritories_2014_N!$V$3:$AI$63,AH$262,$AW268)</f>
        <v>1</v>
      </c>
      <c r="AI268" s="1">
        <f>INDEX(tblTerritories_2014_N!$V$3:$AI$63,AI$262,$AW268)</f>
        <v>0</v>
      </c>
      <c r="AJ268" s="1">
        <f>INDEX(tblTerritories_2014_N!$V$3:$AI$63,AJ$262,$AW268)</f>
        <v>0</v>
      </c>
      <c r="AK268" s="1">
        <f>INDEX(tblTerritories_2014_N!$V$3:$AI$63,AK$262,$AW268)</f>
        <v>0</v>
      </c>
      <c r="AL268" s="1">
        <f>INDEX(tblTerritories_2014_N!$V$3:$AI$63,AL$262,$AW268)</f>
        <v>0</v>
      </c>
      <c r="AM268" s="1">
        <f>INDEX(tblTerritories_2014_N!$V$3:$AI$63,AM$262,$AW268)</f>
        <v>0</v>
      </c>
      <c r="AN268" s="1">
        <f>INDEX(tblTerritories_2014_N!$V$3:$AI$63,AN$262,$AW268)</f>
        <v>0</v>
      </c>
      <c r="AO268" s="1">
        <f>INDEX(tblTerritories_2014_N!$V$3:$AI$63,AO$262,$AW268)</f>
        <v>0</v>
      </c>
      <c r="AP268" s="1">
        <f>INDEX(tblTerritories_2014_N!$V$3:$AI$63,AP$262,$AW268)</f>
        <v>0</v>
      </c>
      <c r="AQ268" s="1">
        <f>INDEX(tblTerritories_2014_N!$V$3:$AI$63,AQ$262,$AW268)</f>
        <v>0</v>
      </c>
      <c r="AR268" s="1">
        <f>INDEX(tblTerritories_2014_N!$V$3:$AI$63,AR$262,$AW268)</f>
        <v>0</v>
      </c>
      <c r="AS268" s="1">
        <f>INDEX(tblTerritories_2014_N!$V$3:$AI$63,AS$262,$AW268)</f>
        <v>1</v>
      </c>
      <c r="AT268" s="1">
        <f>INDEX(tblTerritories_2014_N!$V$3:$AI$63,AT$262,$AW268)</f>
        <v>1</v>
      </c>
      <c r="AU268" s="1">
        <f>INDEX(tblTerritories_2014_N!$V$3:$AI$63,AU$262,$AW268)</f>
        <v>0</v>
      </c>
      <c r="AW268" s="1">
        <f t="shared" si="194"/>
        <v>6</v>
      </c>
    </row>
    <row r="269" spans="1:49">
      <c r="A269" s="1" t="str">
        <f>tblTerritories!S10</f>
        <v>High Income</v>
      </c>
      <c r="B269" s="1">
        <f>INDEX(tblTerritories_2014_N!$V$3:$AI$63,B$262,$AW269)</f>
        <v>1</v>
      </c>
      <c r="C269" s="1">
        <f>INDEX(tblTerritories_2014_N!$V$3:$AI$63,C$262,$AW269)</f>
        <v>0</v>
      </c>
      <c r="D269" s="1">
        <f>INDEX(tblTerritories_2014_N!$V$3:$AI$63,D$262,$AW269)</f>
        <v>0</v>
      </c>
      <c r="E269" s="1">
        <f>INDEX(tblTerritories_2014_N!$V$3:$AI$63,E$262,$AW269)</f>
        <v>0</v>
      </c>
      <c r="F269" s="1">
        <f>INDEX(tblTerritories_2014_N!$V$3:$AI$63,F$262,$AW269)</f>
        <v>0</v>
      </c>
      <c r="G269" s="1">
        <f>INDEX(tblTerritories_2014_N!$V$3:$AI$63,G$262,$AW269)</f>
        <v>0</v>
      </c>
      <c r="H269" s="1">
        <f>INDEX(tblTerritories_2014_N!$V$3:$AI$63,H$262,$AW269)</f>
        <v>0</v>
      </c>
      <c r="I269" s="1">
        <f>INDEX(tblTerritories_2014_N!$V$3:$AI$63,I$262,$AW269)</f>
        <v>1</v>
      </c>
      <c r="J269" s="1">
        <f>INDEX(tblTerritories_2014_N!$V$3:$AI$63,J$262,$AW269)</f>
        <v>0</v>
      </c>
      <c r="K269" s="1">
        <f>INDEX(tblTerritories_2014_N!$V$3:$AI$63,K$262,$AW269)</f>
        <v>1</v>
      </c>
      <c r="L269" s="1">
        <f>INDEX(tblTerritories_2014_N!$V$3:$AI$63,L$262,$AW269)</f>
        <v>0</v>
      </c>
      <c r="M269" s="1">
        <f>INDEX(tblTerritories_2014_N!$V$3:$AI$63,M$262,$AW269)</f>
        <v>0</v>
      </c>
      <c r="N269" s="1">
        <f>INDEX(tblTerritories_2014_N!$V$3:$AI$63,N$262,$AW269)</f>
        <v>0</v>
      </c>
      <c r="O269" s="1">
        <f>INDEX(tblTerritories_2014_N!$V$3:$AI$63,O$262,$AW269)</f>
        <v>0</v>
      </c>
      <c r="P269" s="1">
        <f>INDEX(tblTerritories_2014_N!$V$3:$AI$63,P$262,$AW269)</f>
        <v>0</v>
      </c>
      <c r="Q269" s="1">
        <f>INDEX(tblTerritories_2014_N!$V$3:$AI$63,Q$262,$AW269)</f>
        <v>0</v>
      </c>
      <c r="R269" s="1">
        <f>INDEX(tblTerritories_2014_N!$V$3:$AI$63,R$262,$AW269)</f>
        <v>1</v>
      </c>
      <c r="S269" s="1">
        <f>INDEX(tblTerritories_2014_N!$V$3:$AI$63,S$262,$AW269)</f>
        <v>0</v>
      </c>
      <c r="T269" s="1">
        <f>INDEX(tblTerritories_2014_N!$V$3:$AI$63,T$262,$AW269)</f>
        <v>0</v>
      </c>
      <c r="U269" s="1">
        <f>INDEX(tblTerritories_2014_N!$V$3:$AI$63,U$262,$AW269)</f>
        <v>1</v>
      </c>
      <c r="V269" s="1">
        <f>INDEX(tblTerritories_2014_N!$V$3:$AI$63,V$262,$AW269)</f>
        <v>0</v>
      </c>
      <c r="W269" s="1">
        <f>INDEX(tblTerritories_2014_N!$V$3:$AI$63,W$262,$AW269)</f>
        <v>0</v>
      </c>
      <c r="X269" s="1">
        <f>INDEX(tblTerritories_2014_N!$V$3:$AI$63,X$262,$AW269)</f>
        <v>0</v>
      </c>
      <c r="Y269" s="1">
        <f>INDEX(tblTerritories_2014_N!$V$3:$AI$63,Y$262,$AW269)</f>
        <v>0</v>
      </c>
      <c r="Z269" s="1">
        <f>INDEX(tblTerritories_2014_N!$V$3:$AI$63,Z$262,$AW269)</f>
        <v>0</v>
      </c>
      <c r="AA269" s="1">
        <f>INDEX(tblTerritories_2014_N!$V$3:$AI$63,AA$262,$AW269)</f>
        <v>0</v>
      </c>
      <c r="AB269" s="1">
        <f>INDEX(tblTerritories_2014_N!$V$3:$AI$63,AB$262,$AW269)</f>
        <v>1</v>
      </c>
      <c r="AC269" s="1">
        <f>INDEX(tblTerritories_2014_N!$V$3:$AI$63,AC$262,$AW269)</f>
        <v>0</v>
      </c>
      <c r="AD269" s="1">
        <f>INDEX(tblTerritories_2014_N!$V$3:$AI$63,AD$262,$AW269)</f>
        <v>0</v>
      </c>
      <c r="AE269" s="1">
        <f>INDEX(tblTerritories_2014_N!$V$3:$AI$63,AE$262,$AW269)</f>
        <v>0</v>
      </c>
      <c r="AF269" s="1">
        <f>INDEX(tblTerritories_2014_N!$V$3:$AI$63,AF$262,$AW269)</f>
        <v>1</v>
      </c>
      <c r="AG269" s="1">
        <f>INDEX(tblTerritories_2014_N!$V$3:$AI$63,AG$262,$AW269)</f>
        <v>0</v>
      </c>
      <c r="AH269" s="1">
        <f>INDEX(tblTerritories_2014_N!$V$3:$AI$63,AH$262,$AW269)</f>
        <v>1</v>
      </c>
      <c r="AI269" s="1">
        <f>INDEX(tblTerritories_2014_N!$V$3:$AI$63,AI$262,$AW269)</f>
        <v>0</v>
      </c>
      <c r="AJ269" s="1">
        <f>INDEX(tblTerritories_2014_N!$V$3:$AI$63,AJ$262,$AW269)</f>
        <v>0</v>
      </c>
      <c r="AK269" s="1">
        <f>INDEX(tblTerritories_2014_N!$V$3:$AI$63,AK$262,$AW269)</f>
        <v>0</v>
      </c>
      <c r="AL269" s="1">
        <f>INDEX(tblTerritories_2014_N!$V$3:$AI$63,AL$262,$AW269)</f>
        <v>0</v>
      </c>
      <c r="AM269" s="1">
        <f>INDEX(tblTerritories_2014_N!$V$3:$AI$63,AM$262,$AW269)</f>
        <v>1</v>
      </c>
      <c r="AN269" s="1">
        <f>INDEX(tblTerritories_2014_N!$V$3:$AI$63,AN$262,$AW269)</f>
        <v>0</v>
      </c>
      <c r="AO269" s="1">
        <f>INDEX(tblTerritories_2014_N!$V$3:$AI$63,AO$262,$AW269)</f>
        <v>0</v>
      </c>
      <c r="AP269" s="1">
        <f>INDEX(tblTerritories_2014_N!$V$3:$AI$63,AP$262,$AW269)</f>
        <v>0</v>
      </c>
      <c r="AQ269" s="1">
        <f>INDEX(tblTerritories_2014_N!$V$3:$AI$63,AQ$262,$AW269)</f>
        <v>0</v>
      </c>
      <c r="AR269" s="1">
        <f>INDEX(tblTerritories_2014_N!$V$3:$AI$63,AR$262,$AW269)</f>
        <v>0</v>
      </c>
      <c r="AS269" s="1">
        <f>INDEX(tblTerritories_2014_N!$V$3:$AI$63,AS$262,$AW269)</f>
        <v>0</v>
      </c>
      <c r="AT269" s="1">
        <f>INDEX(tblTerritories_2014_N!$V$3:$AI$63,AT$262,$AW269)</f>
        <v>1</v>
      </c>
      <c r="AU269" s="1">
        <f>INDEX(tblTerritories_2014_N!$V$3:$AI$63,AU$262,$AW269)</f>
        <v>1</v>
      </c>
      <c r="AW269" s="1">
        <f t="shared" si="194"/>
        <v>7</v>
      </c>
    </row>
    <row r="270" spans="1:49">
      <c r="A270" s="1" t="str">
        <f>tblTerritories!S11</f>
        <v>Upper Middle Income</v>
      </c>
      <c r="B270" s="1">
        <f>INDEX(tblTerritories_2014_N!$V$3:$AI$63,B$262,$AW270)</f>
        <v>0</v>
      </c>
      <c r="C270" s="1">
        <f>INDEX(tblTerritories_2014_N!$V$3:$AI$63,C$262,$AW270)</f>
        <v>1</v>
      </c>
      <c r="D270" s="1">
        <f>INDEX(tblTerritories_2014_N!$V$3:$AI$63,D$262,$AW270)</f>
        <v>0</v>
      </c>
      <c r="E270" s="1">
        <f>INDEX(tblTerritories_2014_N!$V$3:$AI$63,E$262,$AW270)</f>
        <v>1</v>
      </c>
      <c r="F270" s="1">
        <f>INDEX(tblTerritories_2014_N!$V$3:$AI$63,F$262,$AW270)</f>
        <v>0</v>
      </c>
      <c r="G270" s="1">
        <f>INDEX(tblTerritories_2014_N!$V$3:$AI$63,G$262,$AW270)</f>
        <v>1</v>
      </c>
      <c r="H270" s="1">
        <f>INDEX(tblTerritories_2014_N!$V$3:$AI$63,H$262,$AW270)</f>
        <v>0</v>
      </c>
      <c r="I270" s="1">
        <f>INDEX(tblTerritories_2014_N!$V$3:$AI$63,I$262,$AW270)</f>
        <v>0</v>
      </c>
      <c r="J270" s="1">
        <f>INDEX(tblTerritories_2014_N!$V$3:$AI$63,J$262,$AW270)</f>
        <v>0</v>
      </c>
      <c r="K270" s="1">
        <f>INDEX(tblTerritories_2014_N!$V$3:$AI$63,K$262,$AW270)</f>
        <v>0</v>
      </c>
      <c r="L270" s="1">
        <f>INDEX(tblTerritories_2014_N!$V$3:$AI$63,L$262,$AW270)</f>
        <v>1</v>
      </c>
      <c r="M270" s="1">
        <f>INDEX(tblTerritories_2014_N!$V$3:$AI$63,M$262,$AW270)</f>
        <v>0</v>
      </c>
      <c r="N270" s="1">
        <f>INDEX(tblTerritories_2014_N!$V$3:$AI$63,N$262,$AW270)</f>
        <v>1</v>
      </c>
      <c r="O270" s="1">
        <f>INDEX(tblTerritories_2014_N!$V$3:$AI$63,O$262,$AW270)</f>
        <v>0</v>
      </c>
      <c r="P270" s="1">
        <f>INDEX(tblTerritories_2014_N!$V$3:$AI$63,P$262,$AW270)</f>
        <v>0</v>
      </c>
      <c r="Q270" s="1">
        <f>INDEX(tblTerritories_2014_N!$V$3:$AI$63,Q$262,$AW270)</f>
        <v>0</v>
      </c>
      <c r="R270" s="1">
        <f>INDEX(tblTerritories_2014_N!$V$3:$AI$63,R$262,$AW270)</f>
        <v>0</v>
      </c>
      <c r="S270" s="1">
        <f>INDEX(tblTerritories_2014_N!$V$3:$AI$63,S$262,$AW270)</f>
        <v>0</v>
      </c>
      <c r="T270" s="1">
        <f>INDEX(tblTerritories_2014_N!$V$3:$AI$63,T$262,$AW270)</f>
        <v>1</v>
      </c>
      <c r="U270" s="1">
        <f>INDEX(tblTerritories_2014_N!$V$3:$AI$63,U$262,$AW270)</f>
        <v>0</v>
      </c>
      <c r="V270" s="1">
        <f>INDEX(tblTerritories_2014_N!$V$3:$AI$63,V$262,$AW270)</f>
        <v>1</v>
      </c>
      <c r="W270" s="1">
        <f>INDEX(tblTerritories_2014_N!$V$3:$AI$63,W$262,$AW270)</f>
        <v>1</v>
      </c>
      <c r="X270" s="1">
        <f>INDEX(tblTerritories_2014_N!$V$3:$AI$63,X$262,$AW270)</f>
        <v>0</v>
      </c>
      <c r="Y270" s="1">
        <f>INDEX(tblTerritories_2014_N!$V$3:$AI$63,Y$262,$AW270)</f>
        <v>1</v>
      </c>
      <c r="Z270" s="1">
        <f>INDEX(tblTerritories_2014_N!$V$3:$AI$63,Z$262,$AW270)</f>
        <v>0</v>
      </c>
      <c r="AA270" s="1">
        <f>INDEX(tblTerritories_2014_N!$V$3:$AI$63,AA$262,$AW270)</f>
        <v>0</v>
      </c>
      <c r="AB270" s="1">
        <f>INDEX(tblTerritories_2014_N!$V$3:$AI$63,AB$262,$AW270)</f>
        <v>0</v>
      </c>
      <c r="AC270" s="1">
        <f>INDEX(tblTerritories_2014_N!$V$3:$AI$63,AC$262,$AW270)</f>
        <v>1</v>
      </c>
      <c r="AD270" s="1">
        <f>INDEX(tblTerritories_2014_N!$V$3:$AI$63,AD$262,$AW270)</f>
        <v>1</v>
      </c>
      <c r="AE270" s="1">
        <f>INDEX(tblTerritories_2014_N!$V$3:$AI$63,AE$262,$AW270)</f>
        <v>0</v>
      </c>
      <c r="AF270" s="1">
        <f>INDEX(tblTerritories_2014_N!$V$3:$AI$63,AF$262,$AW270)</f>
        <v>0</v>
      </c>
      <c r="AG270" s="1">
        <f>INDEX(tblTerritories_2014_N!$V$3:$AI$63,AG$262,$AW270)</f>
        <v>1</v>
      </c>
      <c r="AH270" s="1">
        <f>INDEX(tblTerritories_2014_N!$V$3:$AI$63,AH$262,$AW270)</f>
        <v>0</v>
      </c>
      <c r="AI270" s="1">
        <f>INDEX(tblTerritories_2014_N!$V$3:$AI$63,AI$262,$AW270)</f>
        <v>0</v>
      </c>
      <c r="AJ270" s="1">
        <f>INDEX(tblTerritories_2014_N!$V$3:$AI$63,AJ$262,$AW270)</f>
        <v>0</v>
      </c>
      <c r="AK270" s="1">
        <f>INDEX(tblTerritories_2014_N!$V$3:$AI$63,AK$262,$AW270)</f>
        <v>1</v>
      </c>
      <c r="AL270" s="1">
        <f>INDEX(tblTerritories_2014_N!$V$3:$AI$63,AL$262,$AW270)</f>
        <v>0</v>
      </c>
      <c r="AM270" s="1">
        <f>INDEX(tblTerritories_2014_N!$V$3:$AI$63,AM$262,$AW270)</f>
        <v>0</v>
      </c>
      <c r="AN270" s="1">
        <f>INDEX(tblTerritories_2014_N!$V$3:$AI$63,AN$262,$AW270)</f>
        <v>1</v>
      </c>
      <c r="AO270" s="1">
        <f>INDEX(tblTerritories_2014_N!$V$3:$AI$63,AO$262,$AW270)</f>
        <v>1</v>
      </c>
      <c r="AP270" s="1">
        <f>INDEX(tblTerritories_2014_N!$V$3:$AI$63,AP$262,$AW270)</f>
        <v>1</v>
      </c>
      <c r="AQ270" s="1">
        <f>INDEX(tblTerritories_2014_N!$V$3:$AI$63,AQ$262,$AW270)</f>
        <v>0</v>
      </c>
      <c r="AR270" s="1">
        <f>INDEX(tblTerritories_2014_N!$V$3:$AI$63,AR$262,$AW270)</f>
        <v>1</v>
      </c>
      <c r="AS270" s="1">
        <f>INDEX(tblTerritories_2014_N!$V$3:$AI$63,AS$262,$AW270)</f>
        <v>1</v>
      </c>
      <c r="AT270" s="1">
        <f>INDEX(tblTerritories_2014_N!$V$3:$AI$63,AT$262,$AW270)</f>
        <v>0</v>
      </c>
      <c r="AU270" s="1">
        <f>INDEX(tblTerritories_2014_N!$V$3:$AI$63,AU$262,$AW270)</f>
        <v>0</v>
      </c>
      <c r="AW270" s="1">
        <f t="shared" si="194"/>
        <v>8</v>
      </c>
    </row>
    <row r="271" spans="1:49">
      <c r="A271" s="1" t="str">
        <f>tblTerritories!S12</f>
        <v>Lower Middle Income</v>
      </c>
      <c r="B271" s="1">
        <f>INDEX(tblTerritories_2014_N!$V$3:$AI$63,B$262,$AW271)</f>
        <v>0</v>
      </c>
      <c r="C271" s="1">
        <f>INDEX(tblTerritories_2014_N!$V$3:$AI$63,C$262,$AW271)</f>
        <v>0</v>
      </c>
      <c r="D271" s="1">
        <f>INDEX(tblTerritories_2014_N!$V$3:$AI$63,D$262,$AW271)</f>
        <v>1</v>
      </c>
      <c r="E271" s="1">
        <f>INDEX(tblTerritories_2014_N!$V$3:$AI$63,E$262,$AW271)</f>
        <v>0</v>
      </c>
      <c r="F271" s="1">
        <f>INDEX(tblTerritories_2014_N!$V$3:$AI$63,F$262,$AW271)</f>
        <v>1</v>
      </c>
      <c r="G271" s="1">
        <f>INDEX(tblTerritories_2014_N!$V$3:$AI$63,G$262,$AW271)</f>
        <v>0</v>
      </c>
      <c r="H271" s="1">
        <f>INDEX(tblTerritories_2014_N!$V$3:$AI$63,H$262,$AW271)</f>
        <v>1</v>
      </c>
      <c r="I271" s="1">
        <f>INDEX(tblTerritories_2014_N!$V$3:$AI$63,I$262,$AW271)</f>
        <v>0</v>
      </c>
      <c r="J271" s="1">
        <f>INDEX(tblTerritories_2014_N!$V$3:$AI$63,J$262,$AW271)</f>
        <v>0</v>
      </c>
      <c r="K271" s="1">
        <f>INDEX(tblTerritories_2014_N!$V$3:$AI$63,K$262,$AW271)</f>
        <v>0</v>
      </c>
      <c r="L271" s="1">
        <f>INDEX(tblTerritories_2014_N!$V$3:$AI$63,L$262,$AW271)</f>
        <v>0</v>
      </c>
      <c r="M271" s="1">
        <f>INDEX(tblTerritories_2014_N!$V$3:$AI$63,M$262,$AW271)</f>
        <v>0</v>
      </c>
      <c r="N271" s="1">
        <f>INDEX(tblTerritories_2014_N!$V$3:$AI$63,N$262,$AW271)</f>
        <v>0</v>
      </c>
      <c r="O271" s="1">
        <f>INDEX(tblTerritories_2014_N!$V$3:$AI$63,O$262,$AW271)</f>
        <v>1</v>
      </c>
      <c r="P271" s="1">
        <f>INDEX(tblTerritories_2014_N!$V$3:$AI$63,P$262,$AW271)</f>
        <v>0</v>
      </c>
      <c r="Q271" s="1">
        <f>INDEX(tblTerritories_2014_N!$V$3:$AI$63,Q$262,$AW271)</f>
        <v>1</v>
      </c>
      <c r="R271" s="1">
        <f>INDEX(tblTerritories_2014_N!$V$3:$AI$63,R$262,$AW271)</f>
        <v>0</v>
      </c>
      <c r="S271" s="1">
        <f>INDEX(tblTerritories_2014_N!$V$3:$AI$63,S$262,$AW271)</f>
        <v>1</v>
      </c>
      <c r="T271" s="1">
        <f>INDEX(tblTerritories_2014_N!$V$3:$AI$63,T$262,$AW271)</f>
        <v>0</v>
      </c>
      <c r="U271" s="1">
        <f>INDEX(tblTerritories_2014_N!$V$3:$AI$63,U$262,$AW271)</f>
        <v>0</v>
      </c>
      <c r="V271" s="1">
        <f>INDEX(tblTerritories_2014_N!$V$3:$AI$63,V$262,$AW271)</f>
        <v>0</v>
      </c>
      <c r="W271" s="1">
        <f>INDEX(tblTerritories_2014_N!$V$3:$AI$63,W$262,$AW271)</f>
        <v>0</v>
      </c>
      <c r="X271" s="1">
        <f>INDEX(tblTerritories_2014_N!$V$3:$AI$63,X$262,$AW271)</f>
        <v>1</v>
      </c>
      <c r="Y271" s="1">
        <f>INDEX(tblTerritories_2014_N!$V$3:$AI$63,Y$262,$AW271)</f>
        <v>0</v>
      </c>
      <c r="Z271" s="1">
        <f>INDEX(tblTerritories_2014_N!$V$3:$AI$63,Z$262,$AW271)</f>
        <v>1</v>
      </c>
      <c r="AA271" s="1">
        <f>INDEX(tblTerritories_2014_N!$V$3:$AI$63,AA$262,$AW271)</f>
        <v>0</v>
      </c>
      <c r="AB271" s="1">
        <f>INDEX(tblTerritories_2014_N!$V$3:$AI$63,AB$262,$AW271)</f>
        <v>0</v>
      </c>
      <c r="AC271" s="1">
        <f>INDEX(tblTerritories_2014_N!$V$3:$AI$63,AC$262,$AW271)</f>
        <v>0</v>
      </c>
      <c r="AD271" s="1">
        <f>INDEX(tblTerritories_2014_N!$V$3:$AI$63,AD$262,$AW271)</f>
        <v>0</v>
      </c>
      <c r="AE271" s="1">
        <f>INDEX(tblTerritories_2014_N!$V$3:$AI$63,AE$262,$AW271)</f>
        <v>1</v>
      </c>
      <c r="AF271" s="1">
        <f>INDEX(tblTerritories_2014_N!$V$3:$AI$63,AF$262,$AW271)</f>
        <v>0</v>
      </c>
      <c r="AG271" s="1">
        <f>INDEX(tblTerritories_2014_N!$V$3:$AI$63,AG$262,$AW271)</f>
        <v>0</v>
      </c>
      <c r="AH271" s="1">
        <f>INDEX(tblTerritories_2014_N!$V$3:$AI$63,AH$262,$AW271)</f>
        <v>0</v>
      </c>
      <c r="AI271" s="1">
        <f>INDEX(tblTerritories_2014_N!$V$3:$AI$63,AI$262,$AW271)</f>
        <v>1</v>
      </c>
      <c r="AJ271" s="1">
        <f>INDEX(tblTerritories_2014_N!$V$3:$AI$63,AJ$262,$AW271)</f>
        <v>1</v>
      </c>
      <c r="AK271" s="1">
        <f>INDEX(tblTerritories_2014_N!$V$3:$AI$63,AK$262,$AW271)</f>
        <v>0</v>
      </c>
      <c r="AL271" s="1">
        <f>INDEX(tblTerritories_2014_N!$V$3:$AI$63,AL$262,$AW271)</f>
        <v>1</v>
      </c>
      <c r="AM271" s="1">
        <f>INDEX(tblTerritories_2014_N!$V$3:$AI$63,AM$262,$AW271)</f>
        <v>0</v>
      </c>
      <c r="AN271" s="1">
        <f>INDEX(tblTerritories_2014_N!$V$3:$AI$63,AN$262,$AW271)</f>
        <v>0</v>
      </c>
      <c r="AO271" s="1">
        <f>INDEX(tblTerritories_2014_N!$V$3:$AI$63,AO$262,$AW271)</f>
        <v>0</v>
      </c>
      <c r="AP271" s="1">
        <f>INDEX(tblTerritories_2014_N!$V$3:$AI$63,AP$262,$AW271)</f>
        <v>0</v>
      </c>
      <c r="AQ271" s="1">
        <f>INDEX(tblTerritories_2014_N!$V$3:$AI$63,AQ$262,$AW271)</f>
        <v>1</v>
      </c>
      <c r="AR271" s="1">
        <f>INDEX(tblTerritories_2014_N!$V$3:$AI$63,AR$262,$AW271)</f>
        <v>0</v>
      </c>
      <c r="AS271" s="1">
        <f>INDEX(tblTerritories_2014_N!$V$3:$AI$63,AS$262,$AW271)</f>
        <v>0</v>
      </c>
      <c r="AT271" s="1">
        <f>INDEX(tblTerritories_2014_N!$V$3:$AI$63,AT$262,$AW271)</f>
        <v>0</v>
      </c>
      <c r="AU271" s="1">
        <f>INDEX(tblTerritories_2014_N!$V$3:$AI$63,AU$262,$AW271)</f>
        <v>0</v>
      </c>
      <c r="AW271" s="1">
        <f t="shared" si="194"/>
        <v>9</v>
      </c>
    </row>
    <row r="272" spans="1:49">
      <c r="A272" s="1" t="str">
        <f>tblTerritories!S13</f>
        <v>Low Income</v>
      </c>
      <c r="B272" s="1">
        <f>INDEX(tblTerritories_2014_N!$V$3:$AI$63,B$262,$AW272)</f>
        <v>0</v>
      </c>
      <c r="C272" s="1">
        <f>INDEX(tblTerritories_2014_N!$V$3:$AI$63,C$262,$AW272)</f>
        <v>0</v>
      </c>
      <c r="D272" s="1">
        <f>INDEX(tblTerritories_2014_N!$V$3:$AI$63,D$262,$AW272)</f>
        <v>0</v>
      </c>
      <c r="E272" s="1">
        <f>INDEX(tblTerritories_2014_N!$V$3:$AI$63,E$262,$AW272)</f>
        <v>0</v>
      </c>
      <c r="F272" s="1">
        <f>INDEX(tblTerritories_2014_N!$V$3:$AI$63,F$262,$AW272)</f>
        <v>0</v>
      </c>
      <c r="G272" s="1">
        <f>INDEX(tblTerritories_2014_N!$V$3:$AI$63,G$262,$AW272)</f>
        <v>0</v>
      </c>
      <c r="H272" s="1">
        <f>INDEX(tblTerritories_2014_N!$V$3:$AI$63,H$262,$AW272)</f>
        <v>0</v>
      </c>
      <c r="I272" s="1">
        <f>INDEX(tblTerritories_2014_N!$V$3:$AI$63,I$262,$AW272)</f>
        <v>0</v>
      </c>
      <c r="J272" s="1">
        <f>INDEX(tblTerritories_2014_N!$V$3:$AI$63,J$262,$AW272)</f>
        <v>1</v>
      </c>
      <c r="K272" s="1">
        <f>INDEX(tblTerritories_2014_N!$V$3:$AI$63,K$262,$AW272)</f>
        <v>0</v>
      </c>
      <c r="L272" s="1">
        <f>INDEX(tblTerritories_2014_N!$V$3:$AI$63,L$262,$AW272)</f>
        <v>0</v>
      </c>
      <c r="M272" s="1">
        <f>INDEX(tblTerritories_2014_N!$V$3:$AI$63,M$262,$AW272)</f>
        <v>1</v>
      </c>
      <c r="N272" s="1">
        <f>INDEX(tblTerritories_2014_N!$V$3:$AI$63,N$262,$AW272)</f>
        <v>0</v>
      </c>
      <c r="O272" s="1">
        <f>INDEX(tblTerritories_2014_N!$V$3:$AI$63,O$262,$AW272)</f>
        <v>0</v>
      </c>
      <c r="P272" s="1">
        <f>INDEX(tblTerritories_2014_N!$V$3:$AI$63,P$262,$AW272)</f>
        <v>1</v>
      </c>
      <c r="Q272" s="1">
        <f>INDEX(tblTerritories_2014_N!$V$3:$AI$63,Q$262,$AW272)</f>
        <v>0</v>
      </c>
      <c r="R272" s="1">
        <f>INDEX(tblTerritories_2014_N!$V$3:$AI$63,R$262,$AW272)</f>
        <v>0</v>
      </c>
      <c r="S272" s="1">
        <f>INDEX(tblTerritories_2014_N!$V$3:$AI$63,S$262,$AW272)</f>
        <v>0</v>
      </c>
      <c r="T272" s="1">
        <f>INDEX(tblTerritories_2014_N!$V$3:$AI$63,T$262,$AW272)</f>
        <v>0</v>
      </c>
      <c r="U272" s="1">
        <f>INDEX(tblTerritories_2014_N!$V$3:$AI$63,U$262,$AW272)</f>
        <v>0</v>
      </c>
      <c r="V272" s="1">
        <f>INDEX(tblTerritories_2014_N!$V$3:$AI$63,V$262,$AW272)</f>
        <v>0</v>
      </c>
      <c r="W272" s="1">
        <f>INDEX(tblTerritories_2014_N!$V$3:$AI$63,W$262,$AW272)</f>
        <v>0</v>
      </c>
      <c r="X272" s="1">
        <f>INDEX(tblTerritories_2014_N!$V$3:$AI$63,X$262,$AW272)</f>
        <v>0</v>
      </c>
      <c r="Y272" s="1">
        <f>INDEX(tblTerritories_2014_N!$V$3:$AI$63,Y$262,$AW272)</f>
        <v>0</v>
      </c>
      <c r="Z272" s="1">
        <f>INDEX(tblTerritories_2014_N!$V$3:$AI$63,Z$262,$AW272)</f>
        <v>0</v>
      </c>
      <c r="AA272" s="1">
        <f>INDEX(tblTerritories_2014_N!$V$3:$AI$63,AA$262,$AW272)</f>
        <v>1</v>
      </c>
      <c r="AB272" s="1">
        <f>INDEX(tblTerritories_2014_N!$V$3:$AI$63,AB$262,$AW272)</f>
        <v>0</v>
      </c>
      <c r="AC272" s="1">
        <f>INDEX(tblTerritories_2014_N!$V$3:$AI$63,AC$262,$AW272)</f>
        <v>0</v>
      </c>
      <c r="AD272" s="1">
        <f>INDEX(tblTerritories_2014_N!$V$3:$AI$63,AD$262,$AW272)</f>
        <v>0</v>
      </c>
      <c r="AE272" s="1">
        <f>INDEX(tblTerritories_2014_N!$V$3:$AI$63,AE$262,$AW272)</f>
        <v>0</v>
      </c>
      <c r="AF272" s="1">
        <f>INDEX(tblTerritories_2014_N!$V$3:$AI$63,AF$262,$AW272)</f>
        <v>0</v>
      </c>
      <c r="AG272" s="1">
        <f>INDEX(tblTerritories_2014_N!$V$3:$AI$63,AG$262,$AW272)</f>
        <v>0</v>
      </c>
      <c r="AH272" s="1">
        <f>INDEX(tblTerritories_2014_N!$V$3:$AI$63,AH$262,$AW272)</f>
        <v>0</v>
      </c>
      <c r="AI272" s="1">
        <f>INDEX(tblTerritories_2014_N!$V$3:$AI$63,AI$262,$AW272)</f>
        <v>0</v>
      </c>
      <c r="AJ272" s="1">
        <f>INDEX(tblTerritories_2014_N!$V$3:$AI$63,AJ$262,$AW272)</f>
        <v>0</v>
      </c>
      <c r="AK272" s="1">
        <f>INDEX(tblTerritories_2014_N!$V$3:$AI$63,AK$262,$AW272)</f>
        <v>0</v>
      </c>
      <c r="AL272" s="1">
        <f>INDEX(tblTerritories_2014_N!$V$3:$AI$63,AL$262,$AW272)</f>
        <v>0</v>
      </c>
      <c r="AM272" s="1">
        <f>INDEX(tblTerritories_2014_N!$V$3:$AI$63,AM$262,$AW272)</f>
        <v>0</v>
      </c>
      <c r="AN272" s="1">
        <f>INDEX(tblTerritories_2014_N!$V$3:$AI$63,AN$262,$AW272)</f>
        <v>0</v>
      </c>
      <c r="AO272" s="1">
        <f>INDEX(tblTerritories_2014_N!$V$3:$AI$63,AO$262,$AW272)</f>
        <v>0</v>
      </c>
      <c r="AP272" s="1">
        <f>INDEX(tblTerritories_2014_N!$V$3:$AI$63,AP$262,$AW272)</f>
        <v>0</v>
      </c>
      <c r="AQ272" s="1">
        <f>INDEX(tblTerritories_2014_N!$V$3:$AI$63,AQ$262,$AW272)</f>
        <v>0</v>
      </c>
      <c r="AR272" s="1">
        <f>INDEX(tblTerritories_2014_N!$V$3:$AI$63,AR$262,$AW272)</f>
        <v>0</v>
      </c>
      <c r="AS272" s="1">
        <f>INDEX(tblTerritories_2014_N!$V$3:$AI$63,AS$262,$AW272)</f>
        <v>0</v>
      </c>
      <c r="AT272" s="1">
        <f>INDEX(tblTerritories_2014_N!$V$3:$AI$63,AT$262,$AW272)</f>
        <v>0</v>
      </c>
      <c r="AU272" s="1">
        <f>INDEX(tblTerritories_2014_N!$V$3:$AI$63,AU$262,$AW272)</f>
        <v>0</v>
      </c>
      <c r="AW272" s="1">
        <f t="shared" ref="AW272:AW275" si="195">AW271+1</f>
        <v>10</v>
      </c>
    </row>
    <row r="273" spans="1:49">
      <c r="A273" s="1" t="str">
        <f>tblTerritories!S14</f>
        <v>Population &lt; 5 million</v>
      </c>
      <c r="B273" s="1">
        <f>INDEX(tblTerritories_2014_N!$V$3:$AI$63,B$262,$AW273)</f>
        <v>1</v>
      </c>
      <c r="C273" s="1">
        <f>INDEX(tblTerritories_2014_N!$V$3:$AI$63,C$262,$AW273)</f>
        <v>1</v>
      </c>
      <c r="D273" s="1">
        <f>INDEX(tblTerritories_2014_N!$V$3:$AI$63,D$262,$AW273)</f>
        <v>0</v>
      </c>
      <c r="E273" s="1">
        <f>INDEX(tblTerritories_2014_N!$V$3:$AI$63,E$262,$AW273)</f>
        <v>0</v>
      </c>
      <c r="F273" s="1">
        <f>INDEX(tblTerritories_2014_N!$V$3:$AI$63,F$262,$AW273)</f>
        <v>0</v>
      </c>
      <c r="G273" s="1">
        <f>INDEX(tblTerritories_2014_N!$V$3:$AI$63,G$262,$AW273)</f>
        <v>1</v>
      </c>
      <c r="H273" s="1">
        <f>INDEX(tblTerritories_2014_N!$V$3:$AI$63,H$262,$AW273)</f>
        <v>0</v>
      </c>
      <c r="I273" s="1">
        <f>INDEX(tblTerritories_2014_N!$V$3:$AI$63,I$262,$AW273)</f>
        <v>0</v>
      </c>
      <c r="J273" s="1">
        <f>INDEX(tblTerritories_2014_N!$V$3:$AI$63,J$262,$AW273)</f>
        <v>0</v>
      </c>
      <c r="K273" s="1">
        <f>INDEX(tblTerritories_2014_N!$V$3:$AI$63,K$262,$AW273)</f>
        <v>1</v>
      </c>
      <c r="L273" s="1">
        <f>INDEX(tblTerritories_2014_N!$V$3:$AI$63,L$262,$AW273)</f>
        <v>1</v>
      </c>
      <c r="M273" s="1">
        <f>INDEX(tblTerritories_2014_N!$V$3:$AI$63,M$262,$AW273)</f>
        <v>0</v>
      </c>
      <c r="N273" s="1">
        <f>INDEX(tblTerritories_2014_N!$V$3:$AI$63,N$262,$AW273)</f>
        <v>0</v>
      </c>
      <c r="O273" s="1">
        <f>INDEX(tblTerritories_2014_N!$V$3:$AI$63,O$262,$AW273)</f>
        <v>0</v>
      </c>
      <c r="P273" s="1">
        <f>INDEX(tblTerritories_2014_N!$V$3:$AI$63,P$262,$AW273)</f>
        <v>0</v>
      </c>
      <c r="Q273" s="1">
        <f>INDEX(tblTerritories_2014_N!$V$3:$AI$63,Q$262,$AW273)</f>
        <v>0</v>
      </c>
      <c r="R273" s="1">
        <f>INDEX(tblTerritories_2014_N!$V$3:$AI$63,R$262,$AW273)</f>
        <v>1</v>
      </c>
      <c r="S273" s="1">
        <f>INDEX(tblTerritories_2014_N!$V$3:$AI$63,S$262,$AW273)</f>
        <v>0</v>
      </c>
      <c r="T273" s="1">
        <f>INDEX(tblTerritories_2014_N!$V$3:$AI$63,T$262,$AW273)</f>
        <v>0</v>
      </c>
      <c r="U273" s="1">
        <f>INDEX(tblTerritories_2014_N!$V$3:$AI$63,U$262,$AW273)</f>
        <v>0</v>
      </c>
      <c r="V273" s="1">
        <f>INDEX(tblTerritories_2014_N!$V$3:$AI$63,V$262,$AW273)</f>
        <v>0</v>
      </c>
      <c r="W273" s="1">
        <f>INDEX(tblTerritories_2014_N!$V$3:$AI$63,W$262,$AW273)</f>
        <v>1</v>
      </c>
      <c r="X273" s="1">
        <f>INDEX(tblTerritories_2014_N!$V$3:$AI$63,X$262,$AW273)</f>
        <v>0</v>
      </c>
      <c r="Y273" s="1">
        <f>INDEX(tblTerritories_2014_N!$V$3:$AI$63,Y$262,$AW273)</f>
        <v>1</v>
      </c>
      <c r="Z273" s="1">
        <f>INDEX(tblTerritories_2014_N!$V$3:$AI$63,Z$262,$AW273)</f>
        <v>0</v>
      </c>
      <c r="AA273" s="1">
        <f>INDEX(tblTerritories_2014_N!$V$3:$AI$63,AA$262,$AW273)</f>
        <v>0</v>
      </c>
      <c r="AB273" s="1">
        <f>INDEX(tblTerritories_2014_N!$V$3:$AI$63,AB$262,$AW273)</f>
        <v>0</v>
      </c>
      <c r="AC273" s="1">
        <f>INDEX(tblTerritories_2014_N!$V$3:$AI$63,AC$262,$AW273)</f>
        <v>0</v>
      </c>
      <c r="AD273" s="1">
        <f>INDEX(tblTerritories_2014_N!$V$3:$AI$63,AD$262,$AW273)</f>
        <v>0</v>
      </c>
      <c r="AE273" s="1">
        <f>INDEX(tblTerritories_2014_N!$V$3:$AI$63,AE$262,$AW273)</f>
        <v>0</v>
      </c>
      <c r="AF273" s="1">
        <f>INDEX(tblTerritories_2014_N!$V$3:$AI$63,AF$262,$AW273)</f>
        <v>0</v>
      </c>
      <c r="AG273" s="1">
        <f>INDEX(tblTerritories_2014_N!$V$3:$AI$63,AG$262,$AW273)</f>
        <v>1</v>
      </c>
      <c r="AH273" s="1">
        <f>INDEX(tblTerritories_2014_N!$V$3:$AI$63,AH$262,$AW273)</f>
        <v>1</v>
      </c>
      <c r="AI273" s="1">
        <f>INDEX(tblTerritories_2014_N!$V$3:$AI$63,AI$262,$AW273)</f>
        <v>0</v>
      </c>
      <c r="AJ273" s="1">
        <f>INDEX(tblTerritories_2014_N!$V$3:$AI$63,AJ$262,$AW273)</f>
        <v>0</v>
      </c>
      <c r="AK273" s="1">
        <f>INDEX(tblTerritories_2014_N!$V$3:$AI$63,AK$262,$AW273)</f>
        <v>0</v>
      </c>
      <c r="AL273" s="1">
        <f>INDEX(tblTerritories_2014_N!$V$3:$AI$63,AL$262,$AW273)</f>
        <v>0</v>
      </c>
      <c r="AM273" s="1">
        <f>INDEX(tblTerritories_2014_N!$V$3:$AI$63,AM$262,$AW273)</f>
        <v>0</v>
      </c>
      <c r="AN273" s="1">
        <f>INDEX(tblTerritories_2014_N!$V$3:$AI$63,AN$262,$AW273)</f>
        <v>1</v>
      </c>
      <c r="AO273" s="1">
        <f>INDEX(tblTerritories_2014_N!$V$3:$AI$63,AO$262,$AW273)</f>
        <v>1</v>
      </c>
      <c r="AP273" s="1">
        <f>INDEX(tblTerritories_2014_N!$V$3:$AI$63,AP$262,$AW273)</f>
        <v>0</v>
      </c>
      <c r="AQ273" s="1">
        <f>INDEX(tblTerritories_2014_N!$V$3:$AI$63,AQ$262,$AW273)</f>
        <v>0</v>
      </c>
      <c r="AR273" s="1">
        <f>INDEX(tblTerritories_2014_N!$V$3:$AI$63,AR$262,$AW273)</f>
        <v>0</v>
      </c>
      <c r="AS273" s="1">
        <f>INDEX(tblTerritories_2014_N!$V$3:$AI$63,AS$262,$AW273)</f>
        <v>0</v>
      </c>
      <c r="AT273" s="1">
        <f>INDEX(tblTerritories_2014_N!$V$3:$AI$63,AT$262,$AW273)</f>
        <v>0</v>
      </c>
      <c r="AU273" s="1">
        <f>INDEX(tblTerritories_2014_N!$V$3:$AI$63,AU$262,$AW273)</f>
        <v>1</v>
      </c>
      <c r="AW273" s="1">
        <f t="shared" si="195"/>
        <v>11</v>
      </c>
    </row>
    <row r="274" spans="1:49">
      <c r="A274" s="1" t="str">
        <f>tblTerritories!S15</f>
        <v>Population 5 - 10 million</v>
      </c>
      <c r="B274" s="1">
        <f>INDEX(tblTerritories_2014_N!$V$3:$AI$63,B$262,$AW274)</f>
        <v>0</v>
      </c>
      <c r="C274" s="1">
        <f>INDEX(tblTerritories_2014_N!$V$3:$AI$63,C$262,$AW274)</f>
        <v>0</v>
      </c>
      <c r="D274" s="1">
        <f>INDEX(tblTerritories_2014_N!$V$3:$AI$63,D$262,$AW274)</f>
        <v>0</v>
      </c>
      <c r="E274" s="1">
        <f>INDEX(tblTerritories_2014_N!$V$3:$AI$63,E$262,$AW274)</f>
        <v>1</v>
      </c>
      <c r="F274" s="1">
        <f>INDEX(tblTerritories_2014_N!$V$3:$AI$63,F$262,$AW274)</f>
        <v>0</v>
      </c>
      <c r="G274" s="1">
        <f>INDEX(tblTerritories_2014_N!$V$3:$AI$63,G$262,$AW274)</f>
        <v>0</v>
      </c>
      <c r="H274" s="1">
        <f>INDEX(tblTerritories_2014_N!$V$3:$AI$63,H$262,$AW274)</f>
        <v>0</v>
      </c>
      <c r="I274" s="1">
        <f>INDEX(tblTerritories_2014_N!$V$3:$AI$63,I$262,$AW274)</f>
        <v>1</v>
      </c>
      <c r="J274" s="1">
        <f>INDEX(tblTerritories_2014_N!$V$3:$AI$63,J$262,$AW274)</f>
        <v>0</v>
      </c>
      <c r="K274" s="1">
        <f>INDEX(tblTerritories_2014_N!$V$3:$AI$63,K$262,$AW274)</f>
        <v>0</v>
      </c>
      <c r="L274" s="1">
        <f>INDEX(tblTerritories_2014_N!$V$3:$AI$63,L$262,$AW274)</f>
        <v>0</v>
      </c>
      <c r="M274" s="1">
        <f>INDEX(tblTerritories_2014_N!$V$3:$AI$63,M$262,$AW274)</f>
        <v>0</v>
      </c>
      <c r="N274" s="1">
        <f>INDEX(tblTerritories_2014_N!$V$3:$AI$63,N$262,$AW274)</f>
        <v>1</v>
      </c>
      <c r="O274" s="1">
        <f>INDEX(tblTerritories_2014_N!$V$3:$AI$63,O$262,$AW274)</f>
        <v>0</v>
      </c>
      <c r="P274" s="1">
        <f>INDEX(tblTerritories_2014_N!$V$3:$AI$63,P$262,$AW274)</f>
        <v>0</v>
      </c>
      <c r="Q274" s="1">
        <f>INDEX(tblTerritories_2014_N!$V$3:$AI$63,Q$262,$AW274)</f>
        <v>1</v>
      </c>
      <c r="R274" s="1">
        <f>INDEX(tblTerritories_2014_N!$V$3:$AI$63,R$262,$AW274)</f>
        <v>0</v>
      </c>
      <c r="S274" s="1">
        <f>INDEX(tblTerritories_2014_N!$V$3:$AI$63,S$262,$AW274)</f>
        <v>0</v>
      </c>
      <c r="T274" s="1">
        <f>INDEX(tblTerritories_2014_N!$V$3:$AI$63,T$262,$AW274)</f>
        <v>0</v>
      </c>
      <c r="U274" s="1">
        <f>INDEX(tblTerritories_2014_N!$V$3:$AI$63,U$262,$AW274)</f>
        <v>0</v>
      </c>
      <c r="V274" s="1">
        <f>INDEX(tblTerritories_2014_N!$V$3:$AI$63,V$262,$AW274)</f>
        <v>1</v>
      </c>
      <c r="W274" s="1">
        <f>INDEX(tblTerritories_2014_N!$V$3:$AI$63,W$262,$AW274)</f>
        <v>0</v>
      </c>
      <c r="X274" s="1">
        <f>INDEX(tblTerritories_2014_N!$V$3:$AI$63,X$262,$AW274)</f>
        <v>0</v>
      </c>
      <c r="Y274" s="1">
        <f>INDEX(tblTerritories_2014_N!$V$3:$AI$63,Y$262,$AW274)</f>
        <v>0</v>
      </c>
      <c r="Z274" s="1">
        <f>INDEX(tblTerritories_2014_N!$V$3:$AI$63,Z$262,$AW274)</f>
        <v>0</v>
      </c>
      <c r="AA274" s="1">
        <f>INDEX(tblTerritories_2014_N!$V$3:$AI$63,AA$262,$AW274)</f>
        <v>0</v>
      </c>
      <c r="AB274" s="1">
        <f>INDEX(tblTerritories_2014_N!$V$3:$AI$63,AB$262,$AW274)</f>
        <v>0</v>
      </c>
      <c r="AC274" s="1">
        <f>INDEX(tblTerritories_2014_N!$V$3:$AI$63,AC$262,$AW274)</f>
        <v>0</v>
      </c>
      <c r="AD274" s="1">
        <f>INDEX(tblTerritories_2014_N!$V$3:$AI$63,AD$262,$AW274)</f>
        <v>0</v>
      </c>
      <c r="AE274" s="1">
        <f>INDEX(tblTerritories_2014_N!$V$3:$AI$63,AE$262,$AW274)</f>
        <v>0</v>
      </c>
      <c r="AF274" s="1">
        <f>INDEX(tblTerritories_2014_N!$V$3:$AI$63,AF$262,$AW274)</f>
        <v>1</v>
      </c>
      <c r="AG274" s="1">
        <f>INDEX(tblTerritories_2014_N!$V$3:$AI$63,AG$262,$AW274)</f>
        <v>0</v>
      </c>
      <c r="AH274" s="1">
        <f>INDEX(tblTerritories_2014_N!$V$3:$AI$63,AH$262,$AW274)</f>
        <v>0</v>
      </c>
      <c r="AI274" s="1">
        <f>INDEX(tblTerritories_2014_N!$V$3:$AI$63,AI$262,$AW274)</f>
        <v>1</v>
      </c>
      <c r="AJ274" s="1">
        <f>INDEX(tblTerritories_2014_N!$V$3:$AI$63,AJ$262,$AW274)</f>
        <v>0</v>
      </c>
      <c r="AK274" s="1">
        <f>INDEX(tblTerritories_2014_N!$V$3:$AI$63,AK$262,$AW274)</f>
        <v>0</v>
      </c>
      <c r="AL274" s="1">
        <f>INDEX(tblTerritories_2014_N!$V$3:$AI$63,AL$262,$AW274)</f>
        <v>0</v>
      </c>
      <c r="AM274" s="1">
        <f>INDEX(tblTerritories_2014_N!$V$3:$AI$63,AM$262,$AW274)</f>
        <v>1</v>
      </c>
      <c r="AN274" s="1">
        <f>INDEX(tblTerritories_2014_N!$V$3:$AI$63,AN$262,$AW274)</f>
        <v>0</v>
      </c>
      <c r="AO274" s="1">
        <f>INDEX(tblTerritories_2014_N!$V$3:$AI$63,AO$262,$AW274)</f>
        <v>0</v>
      </c>
      <c r="AP274" s="1">
        <f>INDEX(tblTerritories_2014_N!$V$3:$AI$63,AP$262,$AW274)</f>
        <v>1</v>
      </c>
      <c r="AQ274" s="1">
        <f>INDEX(tblTerritories_2014_N!$V$3:$AI$63,AQ$262,$AW274)</f>
        <v>1</v>
      </c>
      <c r="AR274" s="1">
        <f>INDEX(tblTerritories_2014_N!$V$3:$AI$63,AR$262,$AW274)</f>
        <v>0</v>
      </c>
      <c r="AS274" s="1">
        <f>INDEX(tblTerritories_2014_N!$V$3:$AI$63,AS$262,$AW274)</f>
        <v>1</v>
      </c>
      <c r="AT274" s="1">
        <f>INDEX(tblTerritories_2014_N!$V$3:$AI$63,AT$262,$AW274)</f>
        <v>1</v>
      </c>
      <c r="AU274" s="1">
        <f>INDEX(tblTerritories_2014_N!$V$3:$AI$63,AU$262,$AW274)</f>
        <v>0</v>
      </c>
      <c r="AW274" s="1">
        <f t="shared" si="195"/>
        <v>12</v>
      </c>
    </row>
    <row r="275" spans="1:49">
      <c r="A275" s="1" t="str">
        <f>tblTerritories!S17</f>
        <v>Population &gt; 15 million</v>
      </c>
      <c r="B275" s="1">
        <f>INDEX(tblTerritories_2014_N!$V$3:$AI$63,B$262,$AW275)</f>
        <v>0</v>
      </c>
      <c r="C275" s="1">
        <f>INDEX(tblTerritories_2014_N!$V$3:$AI$63,C$262,$AW275)</f>
        <v>0</v>
      </c>
      <c r="D275" s="1">
        <f>INDEX(tblTerritories_2014_N!$V$3:$AI$63,D$262,$AW275)</f>
        <v>1</v>
      </c>
      <c r="E275" s="1">
        <f>INDEX(tblTerritories_2014_N!$V$3:$AI$63,E$262,$AW275)</f>
        <v>0</v>
      </c>
      <c r="F275" s="1">
        <f>INDEX(tblTerritories_2014_N!$V$3:$AI$63,F$262,$AW275)</f>
        <v>0</v>
      </c>
      <c r="G275" s="1">
        <f>INDEX(tblTerritories_2014_N!$V$3:$AI$63,G$262,$AW275)</f>
        <v>0</v>
      </c>
      <c r="H275" s="1">
        <f>INDEX(tblTerritories_2014_N!$V$3:$AI$63,H$262,$AW275)</f>
        <v>0</v>
      </c>
      <c r="I275" s="1">
        <f>INDEX(tblTerritories_2014_N!$V$3:$AI$63,I$262,$AW275)</f>
        <v>0</v>
      </c>
      <c r="J275" s="1">
        <f>INDEX(tblTerritories_2014_N!$V$3:$AI$63,J$262,$AW275)</f>
        <v>0</v>
      </c>
      <c r="K275" s="1">
        <f>INDEX(tblTerritories_2014_N!$V$3:$AI$63,K$262,$AW275)</f>
        <v>0</v>
      </c>
      <c r="L275" s="1">
        <f>INDEX(tblTerritories_2014_N!$V$3:$AI$63,L$262,$AW275)</f>
        <v>0</v>
      </c>
      <c r="M275" s="1">
        <f>INDEX(tblTerritories_2014_N!$V$3:$AI$63,M$262,$AW275)</f>
        <v>0</v>
      </c>
      <c r="N275" s="1">
        <f>INDEX(tblTerritories_2014_N!$V$3:$AI$63,N$262,$AW275)</f>
        <v>0</v>
      </c>
      <c r="O275" s="1">
        <f>INDEX(tblTerritories_2014_N!$V$3:$AI$63,O$262,$AW275)</f>
        <v>1</v>
      </c>
      <c r="P275" s="1">
        <f>INDEX(tblTerritories_2014_N!$V$3:$AI$63,P$262,$AW275)</f>
        <v>0</v>
      </c>
      <c r="Q275" s="1">
        <f>INDEX(tblTerritories_2014_N!$V$3:$AI$63,Q$262,$AW275)</f>
        <v>0</v>
      </c>
      <c r="R275" s="1">
        <f>INDEX(tblTerritories_2014_N!$V$3:$AI$63,R$262,$AW275)</f>
        <v>0</v>
      </c>
      <c r="S275" s="1">
        <f>INDEX(tblTerritories_2014_N!$V$3:$AI$63,S$262,$AW275)</f>
        <v>1</v>
      </c>
      <c r="T275" s="1">
        <f>INDEX(tblTerritories_2014_N!$V$3:$AI$63,T$262,$AW275)</f>
        <v>1</v>
      </c>
      <c r="U275" s="1">
        <f>INDEX(tblTerritories_2014_N!$V$3:$AI$63,U$262,$AW275)</f>
        <v>1</v>
      </c>
      <c r="V275" s="1">
        <f>INDEX(tblTerritories_2014_N!$V$3:$AI$63,V$262,$AW275)</f>
        <v>0</v>
      </c>
      <c r="W275" s="1">
        <f>INDEX(tblTerritories_2014_N!$V$3:$AI$63,W$262,$AW275)</f>
        <v>0</v>
      </c>
      <c r="X275" s="1">
        <f>INDEX(tblTerritories_2014_N!$V$3:$AI$63,X$262,$AW275)</f>
        <v>0</v>
      </c>
      <c r="Y275" s="1">
        <f>INDEX(tblTerritories_2014_N!$V$3:$AI$63,Y$262,$AW275)</f>
        <v>0</v>
      </c>
      <c r="Z275" s="1">
        <f>INDEX(tblTerritories_2014_N!$V$3:$AI$63,Z$262,$AW275)</f>
        <v>1</v>
      </c>
      <c r="AA275" s="1">
        <f>INDEX(tblTerritories_2014_N!$V$3:$AI$63,AA$262,$AW275)</f>
        <v>0</v>
      </c>
      <c r="AB275" s="1">
        <f>INDEX(tblTerritories_2014_N!$V$3:$AI$63,AB$262,$AW275)</f>
        <v>0</v>
      </c>
      <c r="AC275" s="1">
        <f>INDEX(tblTerritories_2014_N!$V$3:$AI$63,AC$262,$AW275)</f>
        <v>0</v>
      </c>
      <c r="AD275" s="1">
        <f>INDEX(tblTerritories_2014_N!$V$3:$AI$63,AD$262,$AW275)</f>
        <v>1</v>
      </c>
      <c r="AE275" s="1">
        <f>INDEX(tblTerritories_2014_N!$V$3:$AI$63,AE$262,$AW275)</f>
        <v>1</v>
      </c>
      <c r="AF275" s="1">
        <f>INDEX(tblTerritories_2014_N!$V$3:$AI$63,AF$262,$AW275)</f>
        <v>0</v>
      </c>
      <c r="AG275" s="1">
        <f>INDEX(tblTerritories_2014_N!$V$3:$AI$63,AG$262,$AW275)</f>
        <v>0</v>
      </c>
      <c r="AH275" s="1">
        <f>INDEX(tblTerritories_2014_N!$V$3:$AI$63,AH$262,$AW275)</f>
        <v>0</v>
      </c>
      <c r="AI275" s="1">
        <f>INDEX(tblTerritories_2014_N!$V$3:$AI$63,AI$262,$AW275)</f>
        <v>0</v>
      </c>
      <c r="AJ275" s="1">
        <f>INDEX(tblTerritories_2014_N!$V$3:$AI$63,AJ$262,$AW275)</f>
        <v>0</v>
      </c>
      <c r="AK275" s="1">
        <f>INDEX(tblTerritories_2014_N!$V$3:$AI$63,AK$262,$AW275)</f>
        <v>0</v>
      </c>
      <c r="AL275" s="1">
        <f>INDEX(tblTerritories_2014_N!$V$3:$AI$63,AL$262,$AW275)</f>
        <v>0</v>
      </c>
      <c r="AM275" s="1">
        <f>INDEX(tblTerritories_2014_N!$V$3:$AI$63,AM$262,$AW275)</f>
        <v>0</v>
      </c>
      <c r="AN275" s="1">
        <f>INDEX(tblTerritories_2014_N!$V$3:$AI$63,AN$262,$AW275)</f>
        <v>0</v>
      </c>
      <c r="AO275" s="1">
        <f>INDEX(tblTerritories_2014_N!$V$3:$AI$63,AO$262,$AW275)</f>
        <v>0</v>
      </c>
      <c r="AP275" s="1">
        <f>INDEX(tblTerritories_2014_N!$V$3:$AI$63,AP$262,$AW275)</f>
        <v>0</v>
      </c>
      <c r="AQ275" s="1">
        <f>INDEX(tblTerritories_2014_N!$V$3:$AI$63,AQ$262,$AW275)</f>
        <v>0</v>
      </c>
      <c r="AR275" s="1">
        <f>INDEX(tblTerritories_2014_N!$V$3:$AI$63,AR$262,$AW275)</f>
        <v>0</v>
      </c>
      <c r="AS275" s="1">
        <f>INDEX(tblTerritories_2014_N!$V$3:$AI$63,AS$262,$AW275)</f>
        <v>0</v>
      </c>
      <c r="AT275" s="1">
        <f>INDEX(tblTerritories_2014_N!$V$3:$AI$63,AT$262,$AW275)</f>
        <v>0</v>
      </c>
      <c r="AU275" s="1">
        <f>INDEX(tblTerritories_2014_N!$V$3:$AI$63,AU$262,$AW275)</f>
        <v>0</v>
      </c>
      <c r="AW275" s="1">
        <f t="shared" si="195"/>
        <v>13</v>
      </c>
    </row>
    <row r="277" spans="1:1">
      <c r="A277" s="1" t="s">
        <v>1019</v>
      </c>
    </row>
    <row r="278" spans="1:1">
      <c r="A278" s="1">
        <f>uxb_works!$B$9</f>
        <v>1</v>
      </c>
    </row>
    <row r="280" spans="1:49">
      <c r="A280" s="1" t="str">
        <f>INDEX(A263:A275,$A$278)</f>
        <v>All Regions/Groups</v>
      </c>
      <c r="B280" s="1">
        <f>INDEX(B263:B275,$A$278)</f>
        <v>1</v>
      </c>
      <c r="C280" s="1">
        <f>INDEX(C263:C275,$A$278)</f>
        <v>1</v>
      </c>
      <c r="D280" s="1">
        <f t="shared" ref="D280:AU280" si="196">INDEX(D263:D275,$A$278)</f>
        <v>1</v>
      </c>
      <c r="E280" s="1">
        <f t="shared" si="196"/>
        <v>1</v>
      </c>
      <c r="F280" s="1">
        <f t="shared" si="196"/>
        <v>1</v>
      </c>
      <c r="G280" s="1">
        <f t="shared" si="196"/>
        <v>1</v>
      </c>
      <c r="H280" s="1">
        <f t="shared" si="196"/>
        <v>1</v>
      </c>
      <c r="I280" s="1">
        <f t="shared" si="196"/>
        <v>1</v>
      </c>
      <c r="J280" s="1">
        <f t="shared" si="196"/>
        <v>1</v>
      </c>
      <c r="K280" s="1">
        <f t="shared" si="196"/>
        <v>1</v>
      </c>
      <c r="L280" s="1">
        <f t="shared" si="196"/>
        <v>1</v>
      </c>
      <c r="M280" s="1">
        <f t="shared" si="196"/>
        <v>1</v>
      </c>
      <c r="N280" s="1">
        <f t="shared" si="196"/>
        <v>1</v>
      </c>
      <c r="O280" s="1">
        <f t="shared" si="196"/>
        <v>1</v>
      </c>
      <c r="P280" s="1">
        <f t="shared" si="196"/>
        <v>1</v>
      </c>
      <c r="Q280" s="1">
        <f t="shared" si="196"/>
        <v>1</v>
      </c>
      <c r="R280" s="1">
        <f t="shared" si="196"/>
        <v>1</v>
      </c>
      <c r="S280" s="1">
        <f t="shared" si="196"/>
        <v>1</v>
      </c>
      <c r="T280" s="1">
        <f t="shared" si="196"/>
        <v>1</v>
      </c>
      <c r="U280" s="1">
        <f t="shared" si="196"/>
        <v>1</v>
      </c>
      <c r="V280" s="1">
        <f t="shared" si="196"/>
        <v>1</v>
      </c>
      <c r="W280" s="1">
        <f t="shared" si="196"/>
        <v>1</v>
      </c>
      <c r="X280" s="1">
        <f t="shared" si="196"/>
        <v>1</v>
      </c>
      <c r="Y280" s="1">
        <f t="shared" si="196"/>
        <v>1</v>
      </c>
      <c r="Z280" s="1">
        <f t="shared" si="196"/>
        <v>1</v>
      </c>
      <c r="AA280" s="1">
        <f t="shared" si="196"/>
        <v>1</v>
      </c>
      <c r="AB280" s="1">
        <f t="shared" si="196"/>
        <v>1</v>
      </c>
      <c r="AC280" s="1">
        <f t="shared" si="196"/>
        <v>1</v>
      </c>
      <c r="AD280" s="1">
        <f t="shared" si="196"/>
        <v>1</v>
      </c>
      <c r="AE280" s="1">
        <f t="shared" si="196"/>
        <v>1</v>
      </c>
      <c r="AF280" s="1">
        <f t="shared" si="196"/>
        <v>1</v>
      </c>
      <c r="AG280" s="1">
        <f t="shared" si="196"/>
        <v>1</v>
      </c>
      <c r="AH280" s="1">
        <f t="shared" si="196"/>
        <v>1</v>
      </c>
      <c r="AI280" s="1">
        <f t="shared" si="196"/>
        <v>1</v>
      </c>
      <c r="AJ280" s="1">
        <f t="shared" si="196"/>
        <v>1</v>
      </c>
      <c r="AK280" s="1">
        <f t="shared" si="196"/>
        <v>1</v>
      </c>
      <c r="AL280" s="1">
        <f t="shared" si="196"/>
        <v>1</v>
      </c>
      <c r="AM280" s="1">
        <f t="shared" si="196"/>
        <v>1</v>
      </c>
      <c r="AN280" s="1">
        <f t="shared" si="196"/>
        <v>1</v>
      </c>
      <c r="AO280" s="1">
        <f t="shared" si="196"/>
        <v>1</v>
      </c>
      <c r="AP280" s="1">
        <f t="shared" si="196"/>
        <v>1</v>
      </c>
      <c r="AQ280" s="1">
        <f t="shared" si="196"/>
        <v>1</v>
      </c>
      <c r="AR280" s="1">
        <f t="shared" si="196"/>
        <v>1</v>
      </c>
      <c r="AS280" s="1">
        <f t="shared" si="196"/>
        <v>1</v>
      </c>
      <c r="AT280" s="1">
        <f t="shared" si="196"/>
        <v>1</v>
      </c>
      <c r="AU280" s="1">
        <f t="shared" si="196"/>
        <v>1</v>
      </c>
      <c r="AW280" s="1">
        <f>SUM(B280:AU280)</f>
        <v>46</v>
      </c>
    </row>
  </sheetData>
  <pageMargins left="0.551181102362205" right="0.551181102362205" top="0.590551181102362" bottom="0.78740157480315" header="0.511811023622047" footer="0.511811023622047"/>
  <pageSetup paperSize="9" scale="16" orientation="landscape"/>
  <headerFooter alignWithMargins="0">
    <oddHeader>&amp;RSafe Cities Index : 2017</oddHead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FFC000"/>
    <pageSetUpPr fitToPage="1"/>
  </sheetPr>
  <dimension ref="A1:BL280"/>
  <sheetViews>
    <sheetView showRowColHeaders="0" zoomScale="90" zoomScaleNormal="90" workbookViewId="0">
      <pane xSplit="1" ySplit="3" topLeftCell="B67" activePane="bottomRight" state="frozen"/>
      <selection/>
      <selection pane="topRight"/>
      <selection pane="bottomLeft"/>
      <selection pane="bottomRight" activeCell="B67" sqref="B67:BI128"/>
    </sheetView>
  </sheetViews>
  <sheetFormatPr defaultColWidth="9" defaultRowHeight="11.25"/>
  <cols>
    <col min="1" max="1" width="74.2857142857143" style="1" customWidth="1"/>
    <col min="2" max="16384" width="9.14285714285714" style="1"/>
  </cols>
  <sheetData>
    <row r="1" ht="12" spans="1:62">
      <c r="A1" s="2">
        <v>2</v>
      </c>
      <c r="B1" s="1" t="str">
        <f>Scores_2017!P5</f>
        <v>Abu Dhabi</v>
      </c>
      <c r="C1" s="1" t="str">
        <f>Scores_2017!Q5</f>
        <v>Amsterdam</v>
      </c>
      <c r="D1" s="1" t="str">
        <f>Scores_2017!R5</f>
        <v>Athens</v>
      </c>
      <c r="E1" s="1" t="str">
        <f>Scores_2017!S5</f>
        <v>Bangkok</v>
      </c>
      <c r="F1" s="1" t="str">
        <f>Scores_2017!T5</f>
        <v>Barcelona</v>
      </c>
      <c r="G1" s="1" t="str">
        <f>Scores_2017!U5</f>
        <v>Beijing</v>
      </c>
      <c r="H1" s="1" t="str">
        <f>Scores_2017!V5</f>
        <v>Bogota</v>
      </c>
      <c r="I1" s="1" t="str">
        <f>Scores_2017!W5</f>
        <v>Brussels</v>
      </c>
      <c r="J1" s="1" t="str">
        <f>Scores_2017!X5</f>
        <v>Buenos Aires</v>
      </c>
      <c r="K1" s="1" t="str">
        <f>Scores_2017!Y5</f>
        <v>Cairo</v>
      </c>
      <c r="L1" s="1" t="str">
        <f>Scores_2017!Z5</f>
        <v>Caracas</v>
      </c>
      <c r="M1" s="1" t="str">
        <f>Scores_2017!AA5</f>
        <v>Casablanca</v>
      </c>
      <c r="N1" s="1" t="str">
        <f>Scores_2017!AB5</f>
        <v>Chicago</v>
      </c>
      <c r="O1" s="1" t="str">
        <f>Scores_2017!AC5</f>
        <v>Dallas</v>
      </c>
      <c r="P1" s="1" t="str">
        <f>Scores_2017!AD5</f>
        <v>Delhi</v>
      </c>
      <c r="Q1" s="1" t="str">
        <f>Scores_2017!AE5</f>
        <v>Dhaka</v>
      </c>
      <c r="R1" s="1" t="str">
        <f>Scores_2017!AF5</f>
        <v>Doha</v>
      </c>
      <c r="S1" s="1" t="str">
        <f>Scores_2017!AG5</f>
        <v>Frankfurt</v>
      </c>
      <c r="T1" s="1" t="str">
        <f>Scores_2017!AH5</f>
        <v>Ho Chi Minh City</v>
      </c>
      <c r="U1" s="1" t="str">
        <f>Scores_2017!AI5</f>
        <v>Hong Kong</v>
      </c>
      <c r="V1" s="1" t="str">
        <f>Scores_2017!AJ5</f>
        <v>Istanbul</v>
      </c>
      <c r="W1" s="1" t="str">
        <f>Scores_2017!AK5</f>
        <v>Jakarta</v>
      </c>
      <c r="X1" s="1" t="str">
        <f>Scores_2017!AL5</f>
        <v>Jeddah</v>
      </c>
      <c r="Y1" s="1" t="str">
        <f>Scores_2017!AM5</f>
        <v>Johannesburg</v>
      </c>
      <c r="Z1" s="1" t="str">
        <f>Scores_2017!AN5</f>
        <v>Karachi</v>
      </c>
      <c r="AA1" s="1" t="str">
        <f>Scores_2017!AO5</f>
        <v>Kuala Lumpur</v>
      </c>
      <c r="AB1" s="1" t="str">
        <f>Scores_2017!AP5</f>
        <v>Kuwait City</v>
      </c>
      <c r="AC1" s="1" t="str">
        <f>Scores_2017!AQ5</f>
        <v>Lima</v>
      </c>
      <c r="AD1" s="1" t="str">
        <f>Scores_2017!AR5</f>
        <v>London</v>
      </c>
      <c r="AE1" s="1" t="str">
        <f>Scores_2017!AS5</f>
        <v>Los Angeles</v>
      </c>
      <c r="AF1" s="1" t="str">
        <f>Scores_2017!AT5</f>
        <v>Madrid</v>
      </c>
      <c r="AG1" s="1" t="str">
        <f>Scores_2017!AU5</f>
        <v>Manila</v>
      </c>
      <c r="AH1" s="1" t="str">
        <f>Scores_2017!AV5</f>
        <v>Melbourne</v>
      </c>
      <c r="AI1" s="1" t="str">
        <f>Scores_2017!AW5</f>
        <v>Mexico City</v>
      </c>
      <c r="AJ1" s="1" t="str">
        <f>Scores_2017!AX5</f>
        <v>Milan</v>
      </c>
      <c r="AK1" s="1" t="str">
        <f>Scores_2017!AY5</f>
        <v>Moscow</v>
      </c>
      <c r="AL1" s="1" t="str">
        <f>Scores_2017!AZ5</f>
        <v>Mumbai</v>
      </c>
      <c r="AM1" s="1" t="str">
        <f>Scores_2017!BA5</f>
        <v>New York</v>
      </c>
      <c r="AN1" s="1" t="str">
        <f>Scores_2017!BB5</f>
        <v>Osaka</v>
      </c>
      <c r="AO1" s="1" t="str">
        <f>Scores_2017!BC5</f>
        <v>Paris</v>
      </c>
      <c r="AP1" s="1" t="str">
        <f>Scores_2017!BD5</f>
        <v>Quito</v>
      </c>
      <c r="AQ1" s="1" t="str">
        <f>Scores_2017!BE5</f>
        <v>Rio de Janeiro</v>
      </c>
      <c r="AR1" s="1" t="str">
        <f>Scores_2017!BF5</f>
        <v>Riyadh</v>
      </c>
      <c r="AS1" s="1" t="str">
        <f>Scores_2017!BG5</f>
        <v>Rome</v>
      </c>
      <c r="AT1" s="1" t="str">
        <f>Scores_2017!BH5</f>
        <v>San Francisco</v>
      </c>
      <c r="AU1" s="1" t="str">
        <f>Scores_2017!BI5</f>
        <v>Santiago</v>
      </c>
      <c r="AV1" s="1" t="str">
        <f>Scores_2017!BJ5</f>
        <v>Sao Paulo</v>
      </c>
      <c r="AW1" s="1" t="str">
        <f>Scores_2017!BK5</f>
        <v>Seoul</v>
      </c>
      <c r="AX1" s="1" t="str">
        <f>Scores_2017!BL5</f>
        <v>Shanghai</v>
      </c>
      <c r="AY1" s="1" t="str">
        <f>Scores_2017!BM5</f>
        <v>Singapore</v>
      </c>
      <c r="AZ1" s="1" t="str">
        <f>Scores_2017!BN5</f>
        <v>Stockholm</v>
      </c>
      <c r="BA1" s="1" t="str">
        <f>Scores_2017!BO5</f>
        <v>Sydney</v>
      </c>
      <c r="BB1" s="1" t="str">
        <f>Scores_2017!BP5</f>
        <v>Taipei</v>
      </c>
      <c r="BC1" s="1" t="str">
        <f>Scores_2017!BQ5</f>
        <v>Tehran</v>
      </c>
      <c r="BD1" s="1" t="str">
        <f>Scores_2017!BR5</f>
        <v>Tokyo</v>
      </c>
      <c r="BE1" s="1" t="str">
        <f>Scores_2017!BS5</f>
        <v>Toronto</v>
      </c>
      <c r="BF1" s="1" t="str">
        <f>Scores_2017!BT5</f>
        <v>Washington DC</v>
      </c>
      <c r="BG1" s="1" t="str">
        <f>Scores_2017!BU5</f>
        <v>Wellington</v>
      </c>
      <c r="BH1" s="1" t="str">
        <f>Scores_2017!BV5</f>
        <v>Yangon</v>
      </c>
      <c r="BI1" s="1" t="str">
        <f>Scores_2017!BW5</f>
        <v>Zurich</v>
      </c>
      <c r="BJ1" s="1" t="str">
        <f>Scores_2017!BX5</f>
        <v>Kyoto</v>
      </c>
    </row>
    <row r="2" spans="1:64">
      <c r="A2" s="1" t="str">
        <f>Scores_2017!N6</f>
        <v>OVERALL SCORE</v>
      </c>
      <c r="B2" s="1">
        <f>ROUND(Scores_2017!P6,$A$1)</f>
        <v>76.91</v>
      </c>
      <c r="C2" s="1">
        <f>ROUND(Scores_2017!Q6,$A$1)</f>
        <v>87.26</v>
      </c>
      <c r="D2" s="1">
        <f>ROUND(Scores_2017!R6,$A$1)</f>
        <v>71.9</v>
      </c>
      <c r="E2" s="1">
        <f>ROUND(Scores_2017!S6,$A$1)</f>
        <v>60.05</v>
      </c>
      <c r="F2" s="1">
        <f>ROUND(Scores_2017!T6,$A$1)</f>
        <v>83.71</v>
      </c>
      <c r="G2" s="1">
        <f>ROUND(Scores_2017!U6,$A$1)</f>
        <v>72.06</v>
      </c>
      <c r="H2" s="1">
        <f>ROUND(Scores_2017!V6,$A$1)</f>
        <v>61.36</v>
      </c>
      <c r="I2" s="1">
        <f>ROUND(Scores_2017!W6,$A$1)</f>
        <v>83.01</v>
      </c>
      <c r="J2" s="1">
        <f>ROUND(Scores_2017!X6,$A$1)</f>
        <v>76.35</v>
      </c>
      <c r="K2" s="1">
        <f>ROUND(Scores_2017!Y6,$A$1)</f>
        <v>58.33</v>
      </c>
      <c r="L2" s="1">
        <f>ROUND(Scores_2017!Z6,$A$1)</f>
        <v>55.22</v>
      </c>
      <c r="M2" s="1">
        <f>ROUND(Scores_2017!AA6,$A$1)</f>
        <v>61.2</v>
      </c>
      <c r="N2" s="1">
        <f>ROUND(Scores_2017!AB6,$A$1)</f>
        <v>82.21</v>
      </c>
      <c r="O2" s="1">
        <f>ROUND(Scores_2017!AC6,$A$1)</f>
        <v>78.73</v>
      </c>
      <c r="P2" s="1">
        <f>ROUND(Scores_2017!AD6,$A$1)</f>
        <v>62.34</v>
      </c>
      <c r="Q2" s="1">
        <f>ROUND(Scores_2017!AE6,$A$1)</f>
        <v>47.37</v>
      </c>
      <c r="R2" s="1">
        <f>ROUND(Scores_2017!AF6,$A$1)</f>
        <v>73.59</v>
      </c>
      <c r="S2" s="1">
        <f>ROUND(Scores_2017!AG6,$A$1)</f>
        <v>84.86</v>
      </c>
      <c r="T2" s="1">
        <f>ROUND(Scores_2017!AH6,$A$1)</f>
        <v>54.33</v>
      </c>
      <c r="U2" s="1">
        <f>ROUND(Scores_2017!AI6,$A$1)</f>
        <v>86.22</v>
      </c>
      <c r="V2" s="1">
        <f>ROUND(Scores_2017!AJ6,$A$1)</f>
        <v>65.23</v>
      </c>
      <c r="W2" s="1">
        <f>ROUND(Scores_2017!AK6,$A$1)</f>
        <v>53.39</v>
      </c>
      <c r="X2" s="1">
        <f>ROUND(Scores_2017!AL6,$A$1)</f>
        <v>62.8</v>
      </c>
      <c r="Y2" s="1">
        <f>ROUND(Scores_2017!AM6,$A$1)</f>
        <v>59.17</v>
      </c>
      <c r="Z2" s="1">
        <f>ROUND(Scores_2017!AN6,$A$1)</f>
        <v>38.77</v>
      </c>
      <c r="AA2" s="1">
        <f>ROUND(Scores_2017!AO6,$A$1)</f>
        <v>73.11</v>
      </c>
      <c r="AB2" s="1">
        <f>ROUND(Scores_2017!AP6,$A$1)</f>
        <v>67.61</v>
      </c>
      <c r="AC2" s="1">
        <f>ROUND(Scores_2017!AQ6,$A$1)</f>
        <v>61.9</v>
      </c>
      <c r="AD2" s="1">
        <f>ROUND(Scores_2017!AR6,$A$1)</f>
        <v>82.1</v>
      </c>
      <c r="AE2" s="1">
        <f>ROUND(Scores_2017!AS6,$A$1)</f>
        <v>82.26</v>
      </c>
      <c r="AF2" s="1">
        <f>ROUND(Scores_2017!AT6,$A$1)</f>
        <v>83.88</v>
      </c>
      <c r="AG2" s="1">
        <f>ROUND(Scores_2017!AU6,$A$1)</f>
        <v>54.86</v>
      </c>
      <c r="AH2" s="1">
        <f>ROUND(Scores_2017!AV6,$A$1)</f>
        <v>87.3</v>
      </c>
      <c r="AI2" s="1">
        <f>ROUND(Scores_2017!AW6,$A$1)</f>
        <v>65.52</v>
      </c>
      <c r="AJ2" s="1">
        <f>ROUND(Scores_2017!AX6,$A$1)</f>
        <v>79.3</v>
      </c>
      <c r="AK2" s="1">
        <f>ROUND(Scores_2017!AY6,$A$1)</f>
        <v>63.99</v>
      </c>
      <c r="AL2" s="1">
        <f>ROUND(Scores_2017!AZ6,$A$1)</f>
        <v>61.84</v>
      </c>
      <c r="AM2" s="1">
        <f>ROUND(Scores_2017!BA6,$A$1)</f>
        <v>81.01</v>
      </c>
      <c r="AN2" s="1">
        <f>ROUND(Scores_2017!BB6,$A$1)</f>
        <v>88.87</v>
      </c>
      <c r="AO2" s="1">
        <f>ROUND(Scores_2017!BC6,$A$1)</f>
        <v>79.71</v>
      </c>
      <c r="AP2" s="1">
        <f>ROUND(Scores_2017!BD6,$A$1)</f>
        <v>56.39</v>
      </c>
      <c r="AQ2" s="1">
        <f>ROUND(Scores_2017!BE6,$A$1)</f>
        <v>66.54</v>
      </c>
      <c r="AR2" s="1">
        <f>ROUND(Scores_2017!BF6,$A$1)</f>
        <v>61.23</v>
      </c>
      <c r="AS2" s="1">
        <f>ROUND(Scores_2017!BG6,$A$1)</f>
        <v>78.67</v>
      </c>
      <c r="AT2" s="1">
        <f>ROUND(Scores_2017!BH6,$A$1)</f>
        <v>83.55</v>
      </c>
      <c r="AU2" s="1">
        <f>ROUND(Scores_2017!BI6,$A$1)</f>
        <v>70.03</v>
      </c>
      <c r="AV2" s="1">
        <f>ROUND(Scores_2017!BJ6,$A$1)</f>
        <v>66.3</v>
      </c>
      <c r="AW2" s="1">
        <f>ROUND(Scores_2017!BK6,$A$1)</f>
        <v>83.61</v>
      </c>
      <c r="AX2" s="1">
        <f>ROUND(Scores_2017!BL6,$A$1)</f>
        <v>70.93</v>
      </c>
      <c r="AY2" s="1">
        <f>ROUND(Scores_2017!BM6,$A$1)</f>
        <v>89.64</v>
      </c>
      <c r="AZ2" s="1">
        <f>ROUND(Scores_2017!BN6,$A$1)</f>
        <v>86.72</v>
      </c>
      <c r="BA2" s="1">
        <f>ROUND(Scores_2017!BO6,$A$1)</f>
        <v>86.74</v>
      </c>
      <c r="BB2" s="1">
        <f>ROUND(Scores_2017!BP6,$A$1)</f>
        <v>80.7</v>
      </c>
      <c r="BC2" s="1">
        <f>ROUND(Scores_2017!BQ6,$A$1)</f>
        <v>56.49</v>
      </c>
      <c r="BD2" s="1">
        <f>ROUND(Scores_2017!BR6,$A$1)</f>
        <v>89.8</v>
      </c>
      <c r="BE2" s="1">
        <f>ROUND(Scores_2017!BS6,$A$1)</f>
        <v>87.36</v>
      </c>
      <c r="BF2" s="1">
        <f>ROUND(Scores_2017!BT6,$A$1)</f>
        <v>80.37</v>
      </c>
      <c r="BG2" s="1">
        <f>ROUND(Scores_2017!BU6,$A$1)</f>
        <v>83.18</v>
      </c>
      <c r="BH2" s="1">
        <f>ROUND(Scores_2017!BV6,$A$1)</f>
        <v>46.47</v>
      </c>
      <c r="BI2" s="1">
        <f>ROUND(Scores_2017!BW6,$A$1)</f>
        <v>85.2</v>
      </c>
      <c r="BJ2" s="1">
        <f>ROUND(Scores_2017!BX6,$A$1)</f>
        <v>89.58</v>
      </c>
      <c r="BL2" s="1">
        <f t="shared" ref="BL2:BL6" si="0">AVERAGE(B2:BJ2)</f>
        <v>72.2808196721312</v>
      </c>
    </row>
    <row r="3" spans="1:64">
      <c r="A3" s="1" t="str">
        <f>Scores_2017!N7</f>
        <v> 1) DIGITAL SECURITY</v>
      </c>
      <c r="B3" s="1">
        <f>ROUND(Scores_2017!P7,$A$1)</f>
        <v>68.77</v>
      </c>
      <c r="C3" s="1">
        <f>ROUND(Scores_2017!Q7,$A$1)</f>
        <v>85.79</v>
      </c>
      <c r="D3" s="1">
        <f>ROUND(Scores_2017!R7,$A$1)</f>
        <v>61.94</v>
      </c>
      <c r="E3" s="1">
        <f>ROUND(Scores_2017!S7,$A$1)</f>
        <v>44.44</v>
      </c>
      <c r="F3" s="1">
        <f>ROUND(Scores_2017!T7,$A$1)</f>
        <v>74.44</v>
      </c>
      <c r="G3" s="1">
        <f>ROUND(Scores_2017!U7,$A$1)</f>
        <v>65.38</v>
      </c>
      <c r="H3" s="1">
        <f>ROUND(Scores_2017!V7,$A$1)</f>
        <v>54.62</v>
      </c>
      <c r="I3" s="1">
        <f>ROUND(Scores_2017!W7,$A$1)</f>
        <v>79.96</v>
      </c>
      <c r="J3" s="1">
        <f>ROUND(Scores_2017!X7,$A$1)</f>
        <v>74.14</v>
      </c>
      <c r="K3" s="1">
        <f>ROUND(Scores_2017!Y7,$A$1)</f>
        <v>43.29</v>
      </c>
      <c r="L3" s="1">
        <f>ROUND(Scores_2017!Z7,$A$1)</f>
        <v>58.39</v>
      </c>
      <c r="M3" s="1">
        <f>ROUND(Scores_2017!AA7,$A$1)</f>
        <v>57.37</v>
      </c>
      <c r="N3" s="1">
        <f>ROUND(Scores_2017!AB7,$A$1)</f>
        <v>86.75</v>
      </c>
      <c r="O3" s="1">
        <f>ROUND(Scores_2017!AC7,$A$1)</f>
        <v>84.65</v>
      </c>
      <c r="P3" s="1">
        <f>ROUND(Scores_2017!AD7,$A$1)</f>
        <v>54.61</v>
      </c>
      <c r="Q3" s="1">
        <f>ROUND(Scores_2017!AE7,$A$1)</f>
        <v>38.33</v>
      </c>
      <c r="R3" s="1">
        <f>ROUND(Scores_2017!AF7,$A$1)</f>
        <v>64.02</v>
      </c>
      <c r="S3" s="1">
        <f>ROUND(Scores_2017!AG7,$A$1)</f>
        <v>80.5</v>
      </c>
      <c r="T3" s="1">
        <f>ROUND(Scores_2017!AH7,$A$1)</f>
        <v>39.78</v>
      </c>
      <c r="U3" s="1">
        <f>ROUND(Scores_2017!AI7,$A$1)</f>
        <v>85.77</v>
      </c>
      <c r="V3" s="1">
        <f>ROUND(Scores_2017!AJ7,$A$1)</f>
        <v>61.71</v>
      </c>
      <c r="W3" s="1">
        <f>ROUND(Scores_2017!AK7,$A$1)</f>
        <v>36.6</v>
      </c>
      <c r="X3" s="1">
        <f>ROUND(Scores_2017!AL7,$A$1)</f>
        <v>65.86</v>
      </c>
      <c r="Y3" s="1">
        <f>ROUND(Scores_2017!AM7,$A$1)</f>
        <v>66.28</v>
      </c>
      <c r="Z3" s="1">
        <f>ROUND(Scores_2017!AN7,$A$1)</f>
        <v>43.22</v>
      </c>
      <c r="AA3" s="1">
        <f>ROUND(Scores_2017!AO7,$A$1)</f>
        <v>66.17</v>
      </c>
      <c r="AB3" s="1">
        <f>ROUND(Scores_2017!AP7,$A$1)</f>
        <v>60.17</v>
      </c>
      <c r="AC3" s="1">
        <f>ROUND(Scores_2017!AQ7,$A$1)</f>
        <v>59.78</v>
      </c>
      <c r="AD3" s="1">
        <f>ROUND(Scores_2017!AR7,$A$1)</f>
        <v>73.36</v>
      </c>
      <c r="AE3" s="1">
        <f>ROUND(Scores_2017!AS7,$A$1)</f>
        <v>85.12</v>
      </c>
      <c r="AF3" s="1">
        <f>ROUND(Scores_2017!AT7,$A$1)</f>
        <v>74.44</v>
      </c>
      <c r="AG3" s="1">
        <f>ROUND(Scores_2017!AU7,$A$1)</f>
        <v>36.61</v>
      </c>
      <c r="AH3" s="1">
        <f>ROUND(Scores_2017!AV7,$A$1)</f>
        <v>83.32</v>
      </c>
      <c r="AI3" s="1">
        <f>ROUND(Scores_2017!AW7,$A$1)</f>
        <v>53.69</v>
      </c>
      <c r="AJ3" s="1">
        <f>ROUND(Scores_2017!AX7,$A$1)</f>
        <v>73.29</v>
      </c>
      <c r="AK3" s="1">
        <f>ROUND(Scores_2017!AY7,$A$1)</f>
        <v>49.03</v>
      </c>
      <c r="AL3" s="1">
        <f>ROUND(Scores_2017!AZ7,$A$1)</f>
        <v>54.61</v>
      </c>
      <c r="AM3" s="1">
        <f>ROUND(Scores_2017!BA7,$A$1)</f>
        <v>84.95</v>
      </c>
      <c r="AN3" s="1">
        <f>ROUND(Scores_2017!BB7,$A$1)</f>
        <v>82.11</v>
      </c>
      <c r="AO3" s="1">
        <f>ROUND(Scores_2017!BC7,$A$1)</f>
        <v>70.37</v>
      </c>
      <c r="AP3" s="1">
        <f>ROUND(Scores_2017!BD7,$A$1)</f>
        <v>60.65</v>
      </c>
      <c r="AQ3" s="1">
        <f>ROUND(Scores_2017!BE7,$A$1)</f>
        <v>51.96</v>
      </c>
      <c r="AR3" s="1">
        <f>ROUND(Scores_2017!BF7,$A$1)</f>
        <v>60.86</v>
      </c>
      <c r="AS3" s="1">
        <f>ROUND(Scores_2017!BG7,$A$1)</f>
        <v>71.62</v>
      </c>
      <c r="AT3" s="1">
        <f>ROUND(Scores_2017!BH7,$A$1)</f>
        <v>85.12</v>
      </c>
      <c r="AU3" s="1">
        <f>ROUND(Scores_2017!BI7,$A$1)</f>
        <v>60.57</v>
      </c>
      <c r="AV3" s="1">
        <f>ROUND(Scores_2017!BJ7,$A$1)</f>
        <v>51.96</v>
      </c>
      <c r="AW3" s="1">
        <f>ROUND(Scores_2017!BK7,$A$1)</f>
        <v>78.42</v>
      </c>
      <c r="AX3" s="1">
        <f>ROUND(Scores_2017!BL7,$A$1)</f>
        <v>59.42</v>
      </c>
      <c r="AY3" s="1">
        <f>ROUND(Scores_2017!BM7,$A$1)</f>
        <v>86.84</v>
      </c>
      <c r="AZ3" s="1">
        <f>ROUND(Scores_2017!BN7,$A$1)</f>
        <v>82.81</v>
      </c>
      <c r="BA3" s="1">
        <f>ROUND(Scores_2017!BO7,$A$1)</f>
        <v>82.96</v>
      </c>
      <c r="BB3" s="1">
        <f>ROUND(Scores_2017!BP7,$A$1)</f>
        <v>65.98</v>
      </c>
      <c r="BC3" s="1">
        <f>ROUND(Scores_2017!BQ7,$A$1)</f>
        <v>39.88</v>
      </c>
      <c r="BD3" s="1">
        <f>ROUND(Scores_2017!BR7,$A$1)</f>
        <v>88.4</v>
      </c>
      <c r="BE3" s="1">
        <f>ROUND(Scores_2017!BS7,$A$1)</f>
        <v>85.33</v>
      </c>
      <c r="BF3" s="1">
        <f>ROUND(Scores_2017!BT7,$A$1)</f>
        <v>80.88</v>
      </c>
      <c r="BG3" s="1">
        <f>ROUND(Scores_2017!BU7,$A$1)</f>
        <v>74.8</v>
      </c>
      <c r="BH3" s="1">
        <f>ROUND(Scores_2017!BV7,$A$1)</f>
        <v>39.07</v>
      </c>
      <c r="BI3" s="1">
        <f>ROUND(Scores_2017!BW7,$A$1)</f>
        <v>77.98</v>
      </c>
      <c r="BJ3" s="1">
        <f>ROUND(Scores_2017!BX7,$A$1)</f>
        <v>82.53</v>
      </c>
      <c r="BL3" s="1">
        <f t="shared" si="0"/>
        <v>66.4208196721312</v>
      </c>
    </row>
    <row r="4" spans="1:64">
      <c r="A4" s="1" t="str">
        <f>Scores_2017!N8</f>
        <v>  1.1) Digital security (Inputs)</v>
      </c>
      <c r="B4" s="1">
        <f>ROUND(Scores_2017!P8,$A$1)</f>
        <v>63.33</v>
      </c>
      <c r="C4" s="1">
        <f>ROUND(Scores_2017!Q8,$A$1)</f>
        <v>80</v>
      </c>
      <c r="D4" s="1">
        <f>ROUND(Scores_2017!R8,$A$1)</f>
        <v>60</v>
      </c>
      <c r="E4" s="1">
        <f>ROUND(Scores_2017!S8,$A$1)</f>
        <v>28.33</v>
      </c>
      <c r="F4" s="1">
        <f>ROUND(Scores_2017!T8,$A$1)</f>
        <v>80</v>
      </c>
      <c r="G4" s="1">
        <f>ROUND(Scores_2017!U8,$A$1)</f>
        <v>63.33</v>
      </c>
      <c r="H4" s="1">
        <f>ROUND(Scores_2017!V8,$A$1)</f>
        <v>41.67</v>
      </c>
      <c r="I4" s="1">
        <f>ROUND(Scores_2017!W8,$A$1)</f>
        <v>80</v>
      </c>
      <c r="J4" s="1">
        <f>ROUND(Scores_2017!X8,$A$1)</f>
        <v>66.67</v>
      </c>
      <c r="K4" s="1">
        <f>ROUND(Scores_2017!Y8,$A$1)</f>
        <v>26.67</v>
      </c>
      <c r="L4" s="1">
        <f>ROUND(Scores_2017!Z8,$A$1)</f>
        <v>46.67</v>
      </c>
      <c r="M4" s="1">
        <f>ROUND(Scores_2017!AA8,$A$1)</f>
        <v>46.67</v>
      </c>
      <c r="N4" s="1">
        <f>ROUND(Scores_2017!AB8,$A$1)</f>
        <v>100</v>
      </c>
      <c r="O4" s="1">
        <f>ROUND(Scores_2017!AC8,$A$1)</f>
        <v>100</v>
      </c>
      <c r="P4" s="1">
        <f>ROUND(Scores_2017!AD8,$A$1)</f>
        <v>63.33</v>
      </c>
      <c r="Q4" s="1">
        <f>ROUND(Scores_2017!AE8,$A$1)</f>
        <v>26.67</v>
      </c>
      <c r="R4" s="1">
        <f>ROUND(Scores_2017!AF8,$A$1)</f>
        <v>58.33</v>
      </c>
      <c r="S4" s="1">
        <f>ROUND(Scores_2017!AG8,$A$1)</f>
        <v>80</v>
      </c>
      <c r="T4" s="1">
        <f>ROUND(Scores_2017!AH8,$A$1)</f>
        <v>21.67</v>
      </c>
      <c r="U4" s="1">
        <f>ROUND(Scores_2017!AI8,$A$1)</f>
        <v>100</v>
      </c>
      <c r="V4" s="1">
        <f>ROUND(Scores_2017!AJ8,$A$1)</f>
        <v>60</v>
      </c>
      <c r="W4" s="1">
        <f>ROUND(Scores_2017!AK8,$A$1)</f>
        <v>28.33</v>
      </c>
      <c r="X4" s="1">
        <f>ROUND(Scores_2017!AL8,$A$1)</f>
        <v>58.33</v>
      </c>
      <c r="Y4" s="1">
        <f>ROUND(Scores_2017!AM8,$A$1)</f>
        <v>58.33</v>
      </c>
      <c r="Z4" s="1">
        <f>ROUND(Scores_2017!AN8,$A$1)</f>
        <v>35</v>
      </c>
      <c r="AA4" s="1">
        <f>ROUND(Scores_2017!AO8,$A$1)</f>
        <v>58.33</v>
      </c>
      <c r="AB4" s="1">
        <f>ROUND(Scores_2017!AP8,$A$1)</f>
        <v>41.67</v>
      </c>
      <c r="AC4" s="1">
        <f>ROUND(Scores_2017!AQ8,$A$1)</f>
        <v>58.33</v>
      </c>
      <c r="AD4" s="1">
        <f>ROUND(Scores_2017!AR8,$A$1)</f>
        <v>80</v>
      </c>
      <c r="AE4" s="1">
        <f>ROUND(Scores_2017!AS8,$A$1)</f>
        <v>100</v>
      </c>
      <c r="AF4" s="1">
        <f>ROUND(Scores_2017!AT8,$A$1)</f>
        <v>80</v>
      </c>
      <c r="AG4" s="1">
        <f>ROUND(Scores_2017!AU8,$A$1)</f>
        <v>31.67</v>
      </c>
      <c r="AH4" s="1">
        <f>ROUND(Scores_2017!AV8,$A$1)</f>
        <v>90</v>
      </c>
      <c r="AI4" s="1">
        <f>ROUND(Scores_2017!AW8,$A$1)</f>
        <v>58.33</v>
      </c>
      <c r="AJ4" s="1">
        <f>ROUND(Scores_2017!AX8,$A$1)</f>
        <v>83.33</v>
      </c>
      <c r="AK4" s="1">
        <f>ROUND(Scores_2017!AY8,$A$1)</f>
        <v>41.67</v>
      </c>
      <c r="AL4" s="1">
        <f>ROUND(Scores_2017!AZ8,$A$1)</f>
        <v>63.33</v>
      </c>
      <c r="AM4" s="1">
        <f>ROUND(Scores_2017!BA8,$A$1)</f>
        <v>100</v>
      </c>
      <c r="AN4" s="1">
        <f>ROUND(Scores_2017!BB8,$A$1)</f>
        <v>78.33</v>
      </c>
      <c r="AO4" s="1">
        <f>ROUND(Scores_2017!BC8,$A$1)</f>
        <v>73.33</v>
      </c>
      <c r="AP4" s="1">
        <f>ROUND(Scores_2017!BD8,$A$1)</f>
        <v>48.33</v>
      </c>
      <c r="AQ4" s="1">
        <f>ROUND(Scores_2017!BE8,$A$1)</f>
        <v>43.33</v>
      </c>
      <c r="AR4" s="1">
        <f>ROUND(Scores_2017!BF8,$A$1)</f>
        <v>48.33</v>
      </c>
      <c r="AS4" s="1">
        <f>ROUND(Scores_2017!BG8,$A$1)</f>
        <v>80</v>
      </c>
      <c r="AT4" s="1">
        <f>ROUND(Scores_2017!BH8,$A$1)</f>
        <v>100</v>
      </c>
      <c r="AU4" s="1">
        <f>ROUND(Scores_2017!BI8,$A$1)</f>
        <v>58.33</v>
      </c>
      <c r="AV4" s="1">
        <f>ROUND(Scores_2017!BJ8,$A$1)</f>
        <v>43.33</v>
      </c>
      <c r="AW4" s="1">
        <f>ROUND(Scores_2017!BK8,$A$1)</f>
        <v>66.67</v>
      </c>
      <c r="AX4" s="1">
        <f>ROUND(Scores_2017!BL8,$A$1)</f>
        <v>53.33</v>
      </c>
      <c r="AY4" s="1">
        <f>ROUND(Scores_2017!BM8,$A$1)</f>
        <v>95</v>
      </c>
      <c r="AZ4" s="1">
        <f>ROUND(Scores_2017!BN8,$A$1)</f>
        <v>75</v>
      </c>
      <c r="BA4" s="1">
        <f>ROUND(Scores_2017!BO8,$A$1)</f>
        <v>90</v>
      </c>
      <c r="BB4" s="1">
        <f>ROUND(Scores_2017!BP8,$A$1)</f>
        <v>88.33</v>
      </c>
      <c r="BC4" s="1">
        <f>ROUND(Scores_2017!BQ8,$A$1)</f>
        <v>16.67</v>
      </c>
      <c r="BD4" s="1">
        <f>ROUND(Scores_2017!BR8,$A$1)</f>
        <v>88.33</v>
      </c>
      <c r="BE4" s="1">
        <f>ROUND(Scores_2017!BS8,$A$1)</f>
        <v>90</v>
      </c>
      <c r="BF4" s="1">
        <f>ROUND(Scores_2017!BT8,$A$1)</f>
        <v>90</v>
      </c>
      <c r="BG4" s="1">
        <f>ROUND(Scores_2017!BU8,$A$1)</f>
        <v>68.33</v>
      </c>
      <c r="BH4" s="1">
        <f>ROUND(Scores_2017!BV8,$A$1)</f>
        <v>16.67</v>
      </c>
      <c r="BI4" s="1">
        <f>ROUND(Scores_2017!BW8,$A$1)</f>
        <v>75</v>
      </c>
      <c r="BJ4" s="1">
        <f>ROUND(Scores_2017!BX8,$A$1)</f>
        <v>78.33</v>
      </c>
      <c r="BL4" s="1">
        <f t="shared" si="0"/>
        <v>64.343606557377</v>
      </c>
    </row>
    <row r="5" spans="1:64">
      <c r="A5" s="1" t="str">
        <f>Scores_2017!N9</f>
        <v>   1.1.1) Privacy policy</v>
      </c>
      <c r="B5" s="1">
        <f>ROUND(Scores_2017!P9,$A$1)</f>
        <v>50</v>
      </c>
      <c r="C5" s="1">
        <f>ROUND(Scores_2017!Q9,$A$1)</f>
        <v>100</v>
      </c>
      <c r="D5" s="1">
        <f>ROUND(Scores_2017!R9,$A$1)</f>
        <v>75</v>
      </c>
      <c r="E5" s="1">
        <f>ROUND(Scores_2017!S9,$A$1)</f>
        <v>25</v>
      </c>
      <c r="F5" s="1">
        <f>ROUND(Scores_2017!T9,$A$1)</f>
        <v>100</v>
      </c>
      <c r="G5" s="1">
        <f>ROUND(Scores_2017!U9,$A$1)</f>
        <v>75</v>
      </c>
      <c r="H5" s="1">
        <f>ROUND(Scores_2017!V9,$A$1)</f>
        <v>50</v>
      </c>
      <c r="I5" s="1">
        <f>ROUND(Scores_2017!W9,$A$1)</f>
        <v>100</v>
      </c>
      <c r="J5" s="1">
        <f>ROUND(Scores_2017!X9,$A$1)</f>
        <v>75</v>
      </c>
      <c r="K5" s="1">
        <f>ROUND(Scores_2017!Y9,$A$1)</f>
        <v>50</v>
      </c>
      <c r="L5" s="1">
        <f>ROUND(Scores_2017!Z9,$A$1)</f>
        <v>25</v>
      </c>
      <c r="M5" s="1">
        <f>ROUND(Scores_2017!AA9,$A$1)</f>
        <v>75</v>
      </c>
      <c r="N5" s="1">
        <f>ROUND(Scores_2017!AB9,$A$1)</f>
        <v>100</v>
      </c>
      <c r="O5" s="1">
        <f>ROUND(Scores_2017!AC9,$A$1)</f>
        <v>100</v>
      </c>
      <c r="P5" s="1">
        <f>ROUND(Scores_2017!AD9,$A$1)</f>
        <v>25</v>
      </c>
      <c r="Q5" s="1">
        <f>ROUND(Scores_2017!AE9,$A$1)</f>
        <v>0</v>
      </c>
      <c r="R5" s="1">
        <f>ROUND(Scores_2017!AF9,$A$1)</f>
        <v>50</v>
      </c>
      <c r="S5" s="1">
        <f>ROUND(Scores_2017!AG9,$A$1)</f>
        <v>100</v>
      </c>
      <c r="T5" s="1">
        <f>ROUND(Scores_2017!AH9,$A$1)</f>
        <v>25</v>
      </c>
      <c r="U5" s="1">
        <f>ROUND(Scores_2017!AI9,$A$1)</f>
        <v>100</v>
      </c>
      <c r="V5" s="1">
        <f>ROUND(Scores_2017!AJ9,$A$1)</f>
        <v>25</v>
      </c>
      <c r="W5" s="1">
        <f>ROUND(Scores_2017!AK9,$A$1)</f>
        <v>25</v>
      </c>
      <c r="X5" s="1">
        <f>ROUND(Scores_2017!AL9,$A$1)</f>
        <v>50</v>
      </c>
      <c r="Y5" s="1">
        <f>ROUND(Scores_2017!AM9,$A$1)</f>
        <v>50</v>
      </c>
      <c r="Z5" s="1">
        <f>ROUND(Scores_2017!AN9,$A$1)</f>
        <v>25</v>
      </c>
      <c r="AA5" s="1">
        <f>ROUND(Scores_2017!AO9,$A$1)</f>
        <v>50</v>
      </c>
      <c r="AB5" s="1">
        <f>ROUND(Scores_2017!AP9,$A$1)</f>
        <v>50</v>
      </c>
      <c r="AC5" s="1">
        <f>ROUND(Scores_2017!AQ9,$A$1)</f>
        <v>50</v>
      </c>
      <c r="AD5" s="1">
        <f>ROUND(Scores_2017!AR9,$A$1)</f>
        <v>100</v>
      </c>
      <c r="AE5" s="1">
        <f>ROUND(Scores_2017!AS9,$A$1)</f>
        <v>100</v>
      </c>
      <c r="AF5" s="1">
        <f>ROUND(Scores_2017!AT9,$A$1)</f>
        <v>100</v>
      </c>
      <c r="AG5" s="1">
        <f>ROUND(Scores_2017!AU9,$A$1)</f>
        <v>25</v>
      </c>
      <c r="AH5" s="1">
        <f>ROUND(Scores_2017!AV9,$A$1)</f>
        <v>100</v>
      </c>
      <c r="AI5" s="1">
        <f>ROUND(Scores_2017!AW9,$A$1)</f>
        <v>50</v>
      </c>
      <c r="AJ5" s="1">
        <f>ROUND(Scores_2017!AX9,$A$1)</f>
        <v>100</v>
      </c>
      <c r="AK5" s="1">
        <f>ROUND(Scores_2017!AY9,$A$1)</f>
        <v>50</v>
      </c>
      <c r="AL5" s="1">
        <f>ROUND(Scores_2017!AZ9,$A$1)</f>
        <v>25</v>
      </c>
      <c r="AM5" s="1">
        <f>ROUND(Scores_2017!BA9,$A$1)</f>
        <v>100</v>
      </c>
      <c r="AN5" s="1">
        <f>ROUND(Scores_2017!BB9,$A$1)</f>
        <v>75</v>
      </c>
      <c r="AO5" s="1">
        <f>ROUND(Scores_2017!BC9,$A$1)</f>
        <v>100</v>
      </c>
      <c r="AP5" s="1">
        <f>ROUND(Scores_2017!BD9,$A$1)</f>
        <v>0</v>
      </c>
      <c r="AQ5" s="1">
        <f>ROUND(Scores_2017!BE9,$A$1)</f>
        <v>25</v>
      </c>
      <c r="AR5" s="1">
        <f>ROUND(Scores_2017!BF9,$A$1)</f>
        <v>50</v>
      </c>
      <c r="AS5" s="1">
        <f>ROUND(Scores_2017!BG9,$A$1)</f>
        <v>100</v>
      </c>
      <c r="AT5" s="1">
        <f>ROUND(Scores_2017!BH9,$A$1)</f>
        <v>100</v>
      </c>
      <c r="AU5" s="1">
        <f>ROUND(Scores_2017!BI9,$A$1)</f>
        <v>50</v>
      </c>
      <c r="AV5" s="1">
        <f>ROUND(Scores_2017!BJ9,$A$1)</f>
        <v>25</v>
      </c>
      <c r="AW5" s="1">
        <f>ROUND(Scores_2017!BK9,$A$1)</f>
        <v>100</v>
      </c>
      <c r="AX5" s="1">
        <f>ROUND(Scores_2017!BL9,$A$1)</f>
        <v>75</v>
      </c>
      <c r="AY5" s="1">
        <f>ROUND(Scores_2017!BM9,$A$1)</f>
        <v>75</v>
      </c>
      <c r="AZ5" s="1">
        <f>ROUND(Scores_2017!BN9,$A$1)</f>
        <v>75</v>
      </c>
      <c r="BA5" s="1">
        <f>ROUND(Scores_2017!BO9,$A$1)</f>
        <v>100</v>
      </c>
      <c r="BB5" s="1">
        <f>ROUND(Scores_2017!BP9,$A$1)</f>
        <v>75</v>
      </c>
      <c r="BC5" s="1">
        <f>ROUND(Scores_2017!BQ9,$A$1)</f>
        <v>0</v>
      </c>
      <c r="BD5" s="1">
        <f>ROUND(Scores_2017!BR9,$A$1)</f>
        <v>75</v>
      </c>
      <c r="BE5" s="1">
        <f>ROUND(Scores_2017!BS9,$A$1)</f>
        <v>100</v>
      </c>
      <c r="BF5" s="1">
        <f>ROUND(Scores_2017!BT9,$A$1)</f>
        <v>100</v>
      </c>
      <c r="BG5" s="1">
        <f>ROUND(Scores_2017!BU9,$A$1)</f>
        <v>75</v>
      </c>
      <c r="BH5" s="1">
        <f>ROUND(Scores_2017!BV9,$A$1)</f>
        <v>0</v>
      </c>
      <c r="BI5" s="1">
        <f>ROUND(Scores_2017!BW9,$A$1)</f>
        <v>75</v>
      </c>
      <c r="BJ5" s="1">
        <f>ROUND(Scores_2017!BX9,$A$1)</f>
        <v>75</v>
      </c>
      <c r="BL5" s="1">
        <f t="shared" si="0"/>
        <v>63.9344262295082</v>
      </c>
    </row>
    <row r="6" spans="1:64">
      <c r="A6" s="1" t="str">
        <f>Scores_2017!N10</f>
        <v>   1.1.2) Citizen awareness of digital threats</v>
      </c>
      <c r="B6" s="1">
        <f>ROUND(Scores_2017!P10,$A$1)</f>
        <v>66.67</v>
      </c>
      <c r="C6" s="1">
        <f>ROUND(Scores_2017!Q10,$A$1)</f>
        <v>100</v>
      </c>
      <c r="D6" s="1">
        <f>ROUND(Scores_2017!R10,$A$1)</f>
        <v>100</v>
      </c>
      <c r="E6" s="1">
        <f>ROUND(Scores_2017!S10,$A$1)</f>
        <v>66.67</v>
      </c>
      <c r="F6" s="1">
        <f>ROUND(Scores_2017!T10,$A$1)</f>
        <v>100</v>
      </c>
      <c r="G6" s="1">
        <f>ROUND(Scores_2017!U10,$A$1)</f>
        <v>66.67</v>
      </c>
      <c r="H6" s="1">
        <f>ROUND(Scores_2017!V10,$A$1)</f>
        <v>33.33</v>
      </c>
      <c r="I6" s="1">
        <f>ROUND(Scores_2017!W10,$A$1)</f>
        <v>100</v>
      </c>
      <c r="J6" s="1">
        <f>ROUND(Scores_2017!X10,$A$1)</f>
        <v>33.33</v>
      </c>
      <c r="K6" s="1">
        <f>ROUND(Scores_2017!Y10,$A$1)</f>
        <v>33.33</v>
      </c>
      <c r="L6" s="1">
        <f>ROUND(Scores_2017!Z10,$A$1)</f>
        <v>33.33</v>
      </c>
      <c r="M6" s="1">
        <f>ROUND(Scores_2017!AA10,$A$1)</f>
        <v>33.33</v>
      </c>
      <c r="N6" s="1">
        <f>ROUND(Scores_2017!AB10,$A$1)</f>
        <v>100</v>
      </c>
      <c r="O6" s="1">
        <f>ROUND(Scores_2017!AC10,$A$1)</f>
        <v>100</v>
      </c>
      <c r="P6" s="1">
        <f>ROUND(Scores_2017!AD10,$A$1)</f>
        <v>66.67</v>
      </c>
      <c r="Q6" s="1">
        <f>ROUND(Scores_2017!AE10,$A$1)</f>
        <v>33.33</v>
      </c>
      <c r="R6" s="1">
        <f>ROUND(Scores_2017!AF10,$A$1)</f>
        <v>66.67</v>
      </c>
      <c r="S6" s="1">
        <f>ROUND(Scores_2017!AG10,$A$1)</f>
        <v>100</v>
      </c>
      <c r="T6" s="1">
        <f>ROUND(Scores_2017!AH10,$A$1)</f>
        <v>33.33</v>
      </c>
      <c r="U6" s="1">
        <f>ROUND(Scores_2017!AI10,$A$1)</f>
        <v>100</v>
      </c>
      <c r="V6" s="1">
        <f>ROUND(Scores_2017!AJ10,$A$1)</f>
        <v>100</v>
      </c>
      <c r="W6" s="1">
        <f>ROUND(Scores_2017!AK10,$A$1)</f>
        <v>66.67</v>
      </c>
      <c r="X6" s="1">
        <f>ROUND(Scores_2017!AL10,$A$1)</f>
        <v>66.67</v>
      </c>
      <c r="Y6" s="1">
        <f>ROUND(Scores_2017!AM10,$A$1)</f>
        <v>66.67</v>
      </c>
      <c r="Z6" s="1">
        <f>ROUND(Scores_2017!AN10,$A$1)</f>
        <v>100</v>
      </c>
      <c r="AA6" s="1">
        <f>ROUND(Scores_2017!AO10,$A$1)</f>
        <v>66.67</v>
      </c>
      <c r="AB6" s="1">
        <f>ROUND(Scores_2017!AP10,$A$1)</f>
        <v>33.33</v>
      </c>
      <c r="AC6" s="1">
        <f>ROUND(Scores_2017!AQ10,$A$1)</f>
        <v>66.67</v>
      </c>
      <c r="AD6" s="1">
        <f>ROUND(Scores_2017!AR10,$A$1)</f>
        <v>100</v>
      </c>
      <c r="AE6" s="1">
        <f>ROUND(Scores_2017!AS10,$A$1)</f>
        <v>100</v>
      </c>
      <c r="AF6" s="1">
        <f>ROUND(Scores_2017!AT10,$A$1)</f>
        <v>100</v>
      </c>
      <c r="AG6" s="1">
        <f>ROUND(Scores_2017!AU10,$A$1)</f>
        <v>33.33</v>
      </c>
      <c r="AH6" s="1">
        <f>ROUND(Scores_2017!AV10,$A$1)</f>
        <v>100</v>
      </c>
      <c r="AI6" s="1">
        <f>ROUND(Scores_2017!AW10,$A$1)</f>
        <v>66.67</v>
      </c>
      <c r="AJ6" s="1">
        <f>ROUND(Scores_2017!AX10,$A$1)</f>
        <v>66.67</v>
      </c>
      <c r="AK6" s="1">
        <f>ROUND(Scores_2017!AY10,$A$1)</f>
        <v>33.33</v>
      </c>
      <c r="AL6" s="1">
        <f>ROUND(Scores_2017!AZ10,$A$1)</f>
        <v>66.67</v>
      </c>
      <c r="AM6" s="1">
        <f>ROUND(Scores_2017!BA10,$A$1)</f>
        <v>100</v>
      </c>
      <c r="AN6" s="1">
        <f>ROUND(Scores_2017!BB10,$A$1)</f>
        <v>66.67</v>
      </c>
      <c r="AO6" s="1">
        <f>ROUND(Scores_2017!BC10,$A$1)</f>
        <v>66.67</v>
      </c>
      <c r="AP6" s="1">
        <f>ROUND(Scores_2017!BD10,$A$1)</f>
        <v>66.67</v>
      </c>
      <c r="AQ6" s="1">
        <f>ROUND(Scores_2017!BE10,$A$1)</f>
        <v>66.67</v>
      </c>
      <c r="AR6" s="1">
        <f>ROUND(Scores_2017!BF10,$A$1)</f>
        <v>66.67</v>
      </c>
      <c r="AS6" s="1">
        <f>ROUND(Scores_2017!BG10,$A$1)</f>
        <v>100</v>
      </c>
      <c r="AT6" s="1">
        <f>ROUND(Scores_2017!BH10,$A$1)</f>
        <v>100</v>
      </c>
      <c r="AU6" s="1">
        <f>ROUND(Scores_2017!BI10,$A$1)</f>
        <v>66.67</v>
      </c>
      <c r="AV6" s="1">
        <f>ROUND(Scores_2017!BJ10,$A$1)</f>
        <v>66.67</v>
      </c>
      <c r="AW6" s="1">
        <f>ROUND(Scores_2017!BK10,$A$1)</f>
        <v>33.33</v>
      </c>
      <c r="AX6" s="1">
        <f>ROUND(Scores_2017!BL10,$A$1)</f>
        <v>66.67</v>
      </c>
      <c r="AY6" s="1">
        <f>ROUND(Scores_2017!BM10,$A$1)</f>
        <v>100</v>
      </c>
      <c r="AZ6" s="1">
        <f>ROUND(Scores_2017!BN10,$A$1)</f>
        <v>100</v>
      </c>
      <c r="BA6" s="1">
        <f>ROUND(Scores_2017!BO10,$A$1)</f>
        <v>100</v>
      </c>
      <c r="BB6" s="1">
        <f>ROUND(Scores_2017!BP10,$A$1)</f>
        <v>66.67</v>
      </c>
      <c r="BC6" s="1">
        <f>ROUND(Scores_2017!BQ10,$A$1)</f>
        <v>33.33</v>
      </c>
      <c r="BD6" s="1">
        <f>ROUND(Scores_2017!BR10,$A$1)</f>
        <v>66.67</v>
      </c>
      <c r="BE6" s="1">
        <f>ROUND(Scores_2017!BS10,$A$1)</f>
        <v>100</v>
      </c>
      <c r="BF6" s="1">
        <f>ROUND(Scores_2017!BT10,$A$1)</f>
        <v>100</v>
      </c>
      <c r="BG6" s="1">
        <f>ROUND(Scores_2017!BU10,$A$1)</f>
        <v>66.67</v>
      </c>
      <c r="BH6" s="1">
        <f>ROUND(Scores_2017!BV10,$A$1)</f>
        <v>33.33</v>
      </c>
      <c r="BI6" s="1">
        <f>ROUND(Scores_2017!BW10,$A$1)</f>
        <v>100</v>
      </c>
      <c r="BJ6" s="1">
        <f>ROUND(Scores_2017!BX10,$A$1)</f>
        <v>66.67</v>
      </c>
      <c r="BL6" s="1">
        <f t="shared" si="0"/>
        <v>72.1318032786885</v>
      </c>
    </row>
    <row r="7" spans="1:64">
      <c r="A7" s="1" t="str">
        <f>Scores_2017!N11</f>
        <v>   1.1.3) Public-private partnerships</v>
      </c>
      <c r="B7" s="1">
        <f>ROUND(Scores_2017!P11,$A$1)</f>
        <v>50</v>
      </c>
      <c r="C7" s="1">
        <f>ROUND(Scores_2017!Q11,$A$1)</f>
        <v>50</v>
      </c>
      <c r="D7" s="1">
        <f>ROUND(Scores_2017!R11,$A$1)</f>
        <v>0</v>
      </c>
      <c r="E7" s="1">
        <f>ROUND(Scores_2017!S11,$A$1)</f>
        <v>0</v>
      </c>
      <c r="F7" s="1">
        <f>ROUND(Scores_2017!T11,$A$1)</f>
        <v>50</v>
      </c>
      <c r="G7" s="1">
        <f>ROUND(Scores_2017!U11,$A$1)</f>
        <v>0</v>
      </c>
      <c r="H7" s="1">
        <f>ROUND(Scores_2017!V11,$A$1)</f>
        <v>0</v>
      </c>
      <c r="I7" s="1">
        <f>ROUND(Scores_2017!W11,$A$1)</f>
        <v>50</v>
      </c>
      <c r="J7" s="1">
        <f>ROUND(Scores_2017!X11,$A$1)</f>
        <v>50</v>
      </c>
      <c r="K7" s="1">
        <f>ROUND(Scores_2017!Y11,$A$1)</f>
        <v>0</v>
      </c>
      <c r="L7" s="1">
        <f>ROUND(Scores_2017!Z11,$A$1)</f>
        <v>50</v>
      </c>
      <c r="M7" s="1">
        <f>ROUND(Scores_2017!AA11,$A$1)</f>
        <v>0</v>
      </c>
      <c r="N7" s="1">
        <f>ROUND(Scores_2017!AB11,$A$1)</f>
        <v>100</v>
      </c>
      <c r="O7" s="1">
        <f>ROUND(Scores_2017!AC11,$A$1)</f>
        <v>100</v>
      </c>
      <c r="P7" s="1">
        <f>ROUND(Scores_2017!AD11,$A$1)</f>
        <v>50</v>
      </c>
      <c r="Q7" s="1">
        <f>ROUND(Scores_2017!AE11,$A$1)</f>
        <v>50</v>
      </c>
      <c r="R7" s="1">
        <f>ROUND(Scores_2017!AF11,$A$1)</f>
        <v>50</v>
      </c>
      <c r="S7" s="1">
        <f>ROUND(Scores_2017!AG11,$A$1)</f>
        <v>50</v>
      </c>
      <c r="T7" s="1">
        <f>ROUND(Scores_2017!AH11,$A$1)</f>
        <v>0</v>
      </c>
      <c r="U7" s="1">
        <f>ROUND(Scores_2017!AI11,$A$1)</f>
        <v>100</v>
      </c>
      <c r="V7" s="1">
        <f>ROUND(Scores_2017!AJ11,$A$1)</f>
        <v>50</v>
      </c>
      <c r="W7" s="1">
        <f>ROUND(Scores_2017!AK11,$A$1)</f>
        <v>0</v>
      </c>
      <c r="X7" s="1">
        <f>ROUND(Scores_2017!AL11,$A$1)</f>
        <v>0</v>
      </c>
      <c r="Y7" s="1">
        <f>ROUND(Scores_2017!AM11,$A$1)</f>
        <v>50</v>
      </c>
      <c r="Z7" s="1">
        <f>ROUND(Scores_2017!AN11,$A$1)</f>
        <v>0</v>
      </c>
      <c r="AA7" s="1">
        <f>ROUND(Scores_2017!AO11,$A$1)</f>
        <v>50</v>
      </c>
      <c r="AB7" s="1">
        <f>ROUND(Scores_2017!AP11,$A$1)</f>
        <v>0</v>
      </c>
      <c r="AC7" s="1">
        <f>ROUND(Scores_2017!AQ11,$A$1)</f>
        <v>50</v>
      </c>
      <c r="AD7" s="1">
        <f>ROUND(Scores_2017!AR11,$A$1)</f>
        <v>50</v>
      </c>
      <c r="AE7" s="1">
        <f>ROUND(Scores_2017!AS11,$A$1)</f>
        <v>100</v>
      </c>
      <c r="AF7" s="1">
        <f>ROUND(Scores_2017!AT11,$A$1)</f>
        <v>50</v>
      </c>
      <c r="AG7" s="1">
        <f>ROUND(Scores_2017!AU11,$A$1)</f>
        <v>50</v>
      </c>
      <c r="AH7" s="1">
        <f>ROUND(Scores_2017!AV11,$A$1)</f>
        <v>50</v>
      </c>
      <c r="AI7" s="1">
        <f>ROUND(Scores_2017!AW11,$A$1)</f>
        <v>50</v>
      </c>
      <c r="AJ7" s="1">
        <f>ROUND(Scores_2017!AX11,$A$1)</f>
        <v>100</v>
      </c>
      <c r="AK7" s="1">
        <f>ROUND(Scores_2017!AY11,$A$1)</f>
        <v>0</v>
      </c>
      <c r="AL7" s="1">
        <f>ROUND(Scores_2017!AZ11,$A$1)</f>
        <v>50</v>
      </c>
      <c r="AM7" s="1">
        <f>ROUND(Scores_2017!BA11,$A$1)</f>
        <v>100</v>
      </c>
      <c r="AN7" s="1">
        <f>ROUND(Scores_2017!BB11,$A$1)</f>
        <v>50</v>
      </c>
      <c r="AO7" s="1">
        <f>ROUND(Scores_2017!BC11,$A$1)</f>
        <v>50</v>
      </c>
      <c r="AP7" s="1">
        <f>ROUND(Scores_2017!BD11,$A$1)</f>
        <v>50</v>
      </c>
      <c r="AQ7" s="1">
        <f>ROUND(Scores_2017!BE11,$A$1)</f>
        <v>0</v>
      </c>
      <c r="AR7" s="1">
        <f>ROUND(Scores_2017!BF11,$A$1)</f>
        <v>0</v>
      </c>
      <c r="AS7" s="1">
        <f>ROUND(Scores_2017!BG11,$A$1)</f>
        <v>50</v>
      </c>
      <c r="AT7" s="1">
        <f>ROUND(Scores_2017!BH11,$A$1)</f>
        <v>100</v>
      </c>
      <c r="AU7" s="1">
        <f>ROUND(Scores_2017!BI11,$A$1)</f>
        <v>50</v>
      </c>
      <c r="AV7" s="1">
        <f>ROUND(Scores_2017!BJ11,$A$1)</f>
        <v>0</v>
      </c>
      <c r="AW7" s="1">
        <f>ROUND(Scores_2017!BK11,$A$1)</f>
        <v>50</v>
      </c>
      <c r="AX7" s="1">
        <f>ROUND(Scores_2017!BL11,$A$1)</f>
        <v>0</v>
      </c>
      <c r="AY7" s="1">
        <f>ROUND(Scores_2017!BM11,$A$1)</f>
        <v>100</v>
      </c>
      <c r="AZ7" s="1">
        <f>ROUND(Scores_2017!BN11,$A$1)</f>
        <v>50</v>
      </c>
      <c r="BA7" s="1">
        <f>ROUND(Scores_2017!BO11,$A$1)</f>
        <v>50</v>
      </c>
      <c r="BB7" s="1">
        <f>ROUND(Scores_2017!BP11,$A$1)</f>
        <v>100</v>
      </c>
      <c r="BC7" s="1">
        <f>ROUND(Scores_2017!BQ11,$A$1)</f>
        <v>0</v>
      </c>
      <c r="BD7" s="1">
        <f>ROUND(Scores_2017!BR11,$A$1)</f>
        <v>100</v>
      </c>
      <c r="BE7" s="1">
        <f>ROUND(Scores_2017!BS11,$A$1)</f>
        <v>50</v>
      </c>
      <c r="BF7" s="1">
        <f>ROUND(Scores_2017!BT11,$A$1)</f>
        <v>50</v>
      </c>
      <c r="BG7" s="1">
        <f>ROUND(Scores_2017!BU11,$A$1)</f>
        <v>50</v>
      </c>
      <c r="BH7" s="1">
        <f>ROUND(Scores_2017!BV11,$A$1)</f>
        <v>0</v>
      </c>
      <c r="BI7" s="1">
        <f>ROUND(Scores_2017!BW11,$A$1)</f>
        <v>50</v>
      </c>
      <c r="BJ7" s="1">
        <f>ROUND(Scores_2017!BX11,$A$1)</f>
        <v>50</v>
      </c>
      <c r="BL7" s="1">
        <f t="shared" ref="BL7:BL63" si="1">AVERAGE(B7:BJ7)</f>
        <v>43.4426229508197</v>
      </c>
    </row>
    <row r="8" spans="1:64">
      <c r="A8" s="1" t="str">
        <f>Scores_2017!N12</f>
        <v>   1.1.4) Level of technology employed</v>
      </c>
      <c r="B8" s="1">
        <f>ROUND(Scores_2017!P12,$A$1)</f>
        <v>100</v>
      </c>
      <c r="C8" s="1">
        <f>ROUND(Scores_2017!Q12,$A$1)</f>
        <v>100</v>
      </c>
      <c r="D8" s="1">
        <f>ROUND(Scores_2017!R12,$A$1)</f>
        <v>75</v>
      </c>
      <c r="E8" s="1">
        <f>ROUND(Scores_2017!S12,$A$1)</f>
        <v>0</v>
      </c>
      <c r="F8" s="1">
        <f>ROUND(Scores_2017!T12,$A$1)</f>
        <v>100</v>
      </c>
      <c r="G8" s="1">
        <f>ROUND(Scores_2017!U12,$A$1)</f>
        <v>75</v>
      </c>
      <c r="H8" s="1">
        <f>ROUND(Scores_2017!V12,$A$1)</f>
        <v>75</v>
      </c>
      <c r="I8" s="1">
        <f>ROUND(Scores_2017!W12,$A$1)</f>
        <v>100</v>
      </c>
      <c r="J8" s="1">
        <f>ROUND(Scores_2017!X12,$A$1)</f>
        <v>75</v>
      </c>
      <c r="K8" s="1">
        <f>ROUND(Scores_2017!Y12,$A$1)</f>
        <v>0</v>
      </c>
      <c r="L8" s="1">
        <f>ROUND(Scores_2017!Z12,$A$1)</f>
        <v>75</v>
      </c>
      <c r="M8" s="1">
        <f>ROUND(Scores_2017!AA12,$A$1)</f>
        <v>75</v>
      </c>
      <c r="N8" s="1">
        <f>ROUND(Scores_2017!AB12,$A$1)</f>
        <v>100</v>
      </c>
      <c r="O8" s="1">
        <f>ROUND(Scores_2017!AC12,$A$1)</f>
        <v>100</v>
      </c>
      <c r="P8" s="1">
        <f>ROUND(Scores_2017!AD12,$A$1)</f>
        <v>75</v>
      </c>
      <c r="Q8" s="1">
        <f>ROUND(Scores_2017!AE12,$A$1)</f>
        <v>0</v>
      </c>
      <c r="R8" s="1">
        <f>ROUND(Scores_2017!AF12,$A$1)</f>
        <v>75</v>
      </c>
      <c r="S8" s="1">
        <f>ROUND(Scores_2017!AG12,$A$1)</f>
        <v>100</v>
      </c>
      <c r="T8" s="1">
        <f>ROUND(Scores_2017!AH12,$A$1)</f>
        <v>0</v>
      </c>
      <c r="U8" s="1">
        <f>ROUND(Scores_2017!AI12,$A$1)</f>
        <v>100</v>
      </c>
      <c r="V8" s="1">
        <f>ROUND(Scores_2017!AJ12,$A$1)</f>
        <v>75</v>
      </c>
      <c r="W8" s="1">
        <f>ROUND(Scores_2017!AK12,$A$1)</f>
        <v>0</v>
      </c>
      <c r="X8" s="1">
        <f>ROUND(Scores_2017!AL12,$A$1)</f>
        <v>75</v>
      </c>
      <c r="Y8" s="1">
        <f>ROUND(Scores_2017!AM12,$A$1)</f>
        <v>75</v>
      </c>
      <c r="Z8" s="1">
        <f>ROUND(Scores_2017!AN12,$A$1)</f>
        <v>0</v>
      </c>
      <c r="AA8" s="1">
        <f>ROUND(Scores_2017!AO12,$A$1)</f>
        <v>75</v>
      </c>
      <c r="AB8" s="1">
        <f>ROUND(Scores_2017!AP12,$A$1)</f>
        <v>75</v>
      </c>
      <c r="AC8" s="1">
        <f>ROUND(Scores_2017!AQ12,$A$1)</f>
        <v>75</v>
      </c>
      <c r="AD8" s="1">
        <f>ROUND(Scores_2017!AR12,$A$1)</f>
        <v>100</v>
      </c>
      <c r="AE8" s="1">
        <f>ROUND(Scores_2017!AS12,$A$1)</f>
        <v>100</v>
      </c>
      <c r="AF8" s="1">
        <f>ROUND(Scores_2017!AT12,$A$1)</f>
        <v>100</v>
      </c>
      <c r="AG8" s="1">
        <f>ROUND(Scores_2017!AU12,$A$1)</f>
        <v>0</v>
      </c>
      <c r="AH8" s="1">
        <f>ROUND(Scores_2017!AV12,$A$1)</f>
        <v>100</v>
      </c>
      <c r="AI8" s="1">
        <f>ROUND(Scores_2017!AW12,$A$1)</f>
        <v>75</v>
      </c>
      <c r="AJ8" s="1">
        <f>ROUND(Scores_2017!AX12,$A$1)</f>
        <v>100</v>
      </c>
      <c r="AK8" s="1">
        <f>ROUND(Scores_2017!AY12,$A$1)</f>
        <v>75</v>
      </c>
      <c r="AL8" s="1">
        <f>ROUND(Scores_2017!AZ12,$A$1)</f>
        <v>75</v>
      </c>
      <c r="AM8" s="1">
        <f>ROUND(Scores_2017!BA12,$A$1)</f>
        <v>100</v>
      </c>
      <c r="AN8" s="1">
        <f>ROUND(Scores_2017!BB12,$A$1)</f>
        <v>100</v>
      </c>
      <c r="AO8" s="1">
        <f>ROUND(Scores_2017!BC12,$A$1)</f>
        <v>100</v>
      </c>
      <c r="AP8" s="1">
        <f>ROUND(Scores_2017!BD12,$A$1)</f>
        <v>75</v>
      </c>
      <c r="AQ8" s="1">
        <f>ROUND(Scores_2017!BE12,$A$1)</f>
        <v>75</v>
      </c>
      <c r="AR8" s="1">
        <f>ROUND(Scores_2017!BF12,$A$1)</f>
        <v>75</v>
      </c>
      <c r="AS8" s="1">
        <f>ROUND(Scores_2017!BG12,$A$1)</f>
        <v>100</v>
      </c>
      <c r="AT8" s="1">
        <f>ROUND(Scores_2017!BH12,$A$1)</f>
        <v>100</v>
      </c>
      <c r="AU8" s="1">
        <f>ROUND(Scores_2017!BI12,$A$1)</f>
        <v>75</v>
      </c>
      <c r="AV8" s="1">
        <f>ROUND(Scores_2017!BJ12,$A$1)</f>
        <v>75</v>
      </c>
      <c r="AW8" s="1">
        <f>ROUND(Scores_2017!BK12,$A$1)</f>
        <v>100</v>
      </c>
      <c r="AX8" s="1">
        <f>ROUND(Scores_2017!BL12,$A$1)</f>
        <v>75</v>
      </c>
      <c r="AY8" s="1">
        <f>ROUND(Scores_2017!BM12,$A$1)</f>
        <v>100</v>
      </c>
      <c r="AZ8" s="1">
        <f>ROUND(Scores_2017!BN12,$A$1)</f>
        <v>100</v>
      </c>
      <c r="BA8" s="1">
        <f>ROUND(Scores_2017!BO12,$A$1)</f>
        <v>100</v>
      </c>
      <c r="BB8" s="1">
        <f>ROUND(Scores_2017!BP12,$A$1)</f>
        <v>100</v>
      </c>
      <c r="BC8" s="1">
        <f>ROUND(Scores_2017!BQ12,$A$1)</f>
        <v>0</v>
      </c>
      <c r="BD8" s="1">
        <f>ROUND(Scores_2017!BR12,$A$1)</f>
        <v>100</v>
      </c>
      <c r="BE8" s="1">
        <f>ROUND(Scores_2017!BS12,$A$1)</f>
        <v>100</v>
      </c>
      <c r="BF8" s="1">
        <f>ROUND(Scores_2017!BT12,$A$1)</f>
        <v>100</v>
      </c>
      <c r="BG8" s="1">
        <f>ROUND(Scores_2017!BU12,$A$1)</f>
        <v>100</v>
      </c>
      <c r="BH8" s="1">
        <f>ROUND(Scores_2017!BV12,$A$1)</f>
        <v>0</v>
      </c>
      <c r="BI8" s="1">
        <f>ROUND(Scores_2017!BW12,$A$1)</f>
        <v>100</v>
      </c>
      <c r="BJ8" s="1">
        <f>ROUND(Scores_2017!BX12,$A$1)</f>
        <v>100</v>
      </c>
      <c r="BL8" s="1">
        <f t="shared" si="1"/>
        <v>75.8196721311475</v>
      </c>
    </row>
    <row r="9" spans="1:64">
      <c r="A9" s="1" t="str">
        <f>Scores_2017!N13</f>
        <v>   1.1.5) Dedicated cyber security teams</v>
      </c>
      <c r="B9" s="1">
        <f>ROUND(Scores_2017!P13,$A$1)</f>
        <v>50</v>
      </c>
      <c r="C9" s="1">
        <f>ROUND(Scores_2017!Q13,$A$1)</f>
        <v>50</v>
      </c>
      <c r="D9" s="1">
        <f>ROUND(Scores_2017!R13,$A$1)</f>
        <v>50</v>
      </c>
      <c r="E9" s="1">
        <f>ROUND(Scores_2017!S13,$A$1)</f>
        <v>50</v>
      </c>
      <c r="F9" s="1">
        <f>ROUND(Scores_2017!T13,$A$1)</f>
        <v>50</v>
      </c>
      <c r="G9" s="1">
        <f>ROUND(Scores_2017!U13,$A$1)</f>
        <v>100</v>
      </c>
      <c r="H9" s="1">
        <f>ROUND(Scores_2017!V13,$A$1)</f>
        <v>50</v>
      </c>
      <c r="I9" s="1">
        <f>ROUND(Scores_2017!W13,$A$1)</f>
        <v>50</v>
      </c>
      <c r="J9" s="1">
        <f>ROUND(Scores_2017!X13,$A$1)</f>
        <v>100</v>
      </c>
      <c r="K9" s="1">
        <f>ROUND(Scores_2017!Y13,$A$1)</f>
        <v>50</v>
      </c>
      <c r="L9" s="1">
        <f>ROUND(Scores_2017!Z13,$A$1)</f>
        <v>50</v>
      </c>
      <c r="M9" s="1">
        <f>ROUND(Scores_2017!AA13,$A$1)</f>
        <v>50</v>
      </c>
      <c r="N9" s="1">
        <f>ROUND(Scores_2017!AB13,$A$1)</f>
        <v>100</v>
      </c>
      <c r="O9" s="1">
        <f>ROUND(Scores_2017!AC13,$A$1)</f>
        <v>100</v>
      </c>
      <c r="P9" s="1">
        <f>ROUND(Scores_2017!AD13,$A$1)</f>
        <v>100</v>
      </c>
      <c r="Q9" s="1">
        <f>ROUND(Scores_2017!AE13,$A$1)</f>
        <v>50</v>
      </c>
      <c r="R9" s="1">
        <f>ROUND(Scores_2017!AF13,$A$1)</f>
        <v>50</v>
      </c>
      <c r="S9" s="1">
        <f>ROUND(Scores_2017!AG13,$A$1)</f>
        <v>50</v>
      </c>
      <c r="T9" s="1">
        <f>ROUND(Scores_2017!AH13,$A$1)</f>
        <v>50</v>
      </c>
      <c r="U9" s="1">
        <f>ROUND(Scores_2017!AI13,$A$1)</f>
        <v>100</v>
      </c>
      <c r="V9" s="1">
        <f>ROUND(Scores_2017!AJ13,$A$1)</f>
        <v>50</v>
      </c>
      <c r="W9" s="1">
        <f>ROUND(Scores_2017!AK13,$A$1)</f>
        <v>50</v>
      </c>
      <c r="X9" s="1">
        <f>ROUND(Scores_2017!AL13,$A$1)</f>
        <v>100</v>
      </c>
      <c r="Y9" s="1">
        <f>ROUND(Scores_2017!AM13,$A$1)</f>
        <v>50</v>
      </c>
      <c r="Z9" s="1">
        <f>ROUND(Scores_2017!AN13,$A$1)</f>
        <v>50</v>
      </c>
      <c r="AA9" s="1">
        <f>ROUND(Scores_2017!AO13,$A$1)</f>
        <v>50</v>
      </c>
      <c r="AB9" s="1">
        <f>ROUND(Scores_2017!AP13,$A$1)</f>
        <v>50</v>
      </c>
      <c r="AC9" s="1">
        <f>ROUND(Scores_2017!AQ13,$A$1)</f>
        <v>50</v>
      </c>
      <c r="AD9" s="1">
        <f>ROUND(Scores_2017!AR13,$A$1)</f>
        <v>50</v>
      </c>
      <c r="AE9" s="1">
        <f>ROUND(Scores_2017!AS13,$A$1)</f>
        <v>100</v>
      </c>
      <c r="AF9" s="1">
        <f>ROUND(Scores_2017!AT13,$A$1)</f>
        <v>50</v>
      </c>
      <c r="AG9" s="1">
        <f>ROUND(Scores_2017!AU13,$A$1)</f>
        <v>50</v>
      </c>
      <c r="AH9" s="1">
        <f>ROUND(Scores_2017!AV13,$A$1)</f>
        <v>100</v>
      </c>
      <c r="AI9" s="1">
        <f>ROUND(Scores_2017!AW13,$A$1)</f>
        <v>50</v>
      </c>
      <c r="AJ9" s="1">
        <f>ROUND(Scores_2017!AX13,$A$1)</f>
        <v>50</v>
      </c>
      <c r="AK9" s="1">
        <f>ROUND(Scores_2017!AY13,$A$1)</f>
        <v>50</v>
      </c>
      <c r="AL9" s="1">
        <f>ROUND(Scores_2017!AZ13,$A$1)</f>
        <v>100</v>
      </c>
      <c r="AM9" s="1">
        <f>ROUND(Scores_2017!BA13,$A$1)</f>
        <v>100</v>
      </c>
      <c r="AN9" s="1">
        <f>ROUND(Scores_2017!BB13,$A$1)</f>
        <v>100</v>
      </c>
      <c r="AO9" s="1">
        <f>ROUND(Scores_2017!BC13,$A$1)</f>
        <v>50</v>
      </c>
      <c r="AP9" s="1">
        <f>ROUND(Scores_2017!BD13,$A$1)</f>
        <v>50</v>
      </c>
      <c r="AQ9" s="1">
        <f>ROUND(Scores_2017!BE13,$A$1)</f>
        <v>50</v>
      </c>
      <c r="AR9" s="1">
        <f>ROUND(Scores_2017!BF13,$A$1)</f>
        <v>50</v>
      </c>
      <c r="AS9" s="1">
        <f>ROUND(Scores_2017!BG13,$A$1)</f>
        <v>50</v>
      </c>
      <c r="AT9" s="1">
        <f>ROUND(Scores_2017!BH13,$A$1)</f>
        <v>100</v>
      </c>
      <c r="AU9" s="1">
        <f>ROUND(Scores_2017!BI13,$A$1)</f>
        <v>50</v>
      </c>
      <c r="AV9" s="1">
        <f>ROUND(Scores_2017!BJ13,$A$1)</f>
        <v>50</v>
      </c>
      <c r="AW9" s="1">
        <f>ROUND(Scores_2017!BK13,$A$1)</f>
        <v>50</v>
      </c>
      <c r="AX9" s="1">
        <f>ROUND(Scores_2017!BL13,$A$1)</f>
        <v>50</v>
      </c>
      <c r="AY9" s="1">
        <f>ROUND(Scores_2017!BM13,$A$1)</f>
        <v>100</v>
      </c>
      <c r="AZ9" s="1">
        <f>ROUND(Scores_2017!BN13,$A$1)</f>
        <v>50</v>
      </c>
      <c r="BA9" s="1">
        <f>ROUND(Scores_2017!BO13,$A$1)</f>
        <v>100</v>
      </c>
      <c r="BB9" s="1">
        <f>ROUND(Scores_2017!BP13,$A$1)</f>
        <v>100</v>
      </c>
      <c r="BC9" s="1">
        <f>ROUND(Scores_2017!BQ13,$A$1)</f>
        <v>50</v>
      </c>
      <c r="BD9" s="1">
        <f>ROUND(Scores_2017!BR13,$A$1)</f>
        <v>100</v>
      </c>
      <c r="BE9" s="1">
        <f>ROUND(Scores_2017!BS13,$A$1)</f>
        <v>100</v>
      </c>
      <c r="BF9" s="1">
        <f>ROUND(Scores_2017!BT13,$A$1)</f>
        <v>100</v>
      </c>
      <c r="BG9" s="1">
        <f>ROUND(Scores_2017!BU13,$A$1)</f>
        <v>50</v>
      </c>
      <c r="BH9" s="1">
        <f>ROUND(Scores_2017!BV13,$A$1)</f>
        <v>50</v>
      </c>
      <c r="BI9" s="1">
        <f>ROUND(Scores_2017!BW13,$A$1)</f>
        <v>50</v>
      </c>
      <c r="BJ9" s="1">
        <f>ROUND(Scores_2017!BX13,$A$1)</f>
        <v>100</v>
      </c>
      <c r="BL9" s="1">
        <f t="shared" si="1"/>
        <v>66.3934426229508</v>
      </c>
    </row>
    <row r="10" spans="1:64">
      <c r="A10" s="1" t="str">
        <f>Scores_2017!N14</f>
        <v>  1.2) Digital security (Outputs)</v>
      </c>
      <c r="B10" s="1">
        <f>ROUND(Scores_2017!P14,$A$1)</f>
        <v>74.22</v>
      </c>
      <c r="C10" s="1">
        <f>ROUND(Scores_2017!Q14,$A$1)</f>
        <v>91.58</v>
      </c>
      <c r="D10" s="1">
        <f>ROUND(Scores_2017!R14,$A$1)</f>
        <v>63.88</v>
      </c>
      <c r="E10" s="1">
        <f>ROUND(Scores_2017!S14,$A$1)</f>
        <v>60.55</v>
      </c>
      <c r="F10" s="1">
        <f>ROUND(Scores_2017!T14,$A$1)</f>
        <v>68.88</v>
      </c>
      <c r="G10" s="1">
        <f>ROUND(Scores_2017!U14,$A$1)</f>
        <v>67.42</v>
      </c>
      <c r="H10" s="1">
        <f>ROUND(Scores_2017!V14,$A$1)</f>
        <v>67.58</v>
      </c>
      <c r="I10" s="1">
        <f>ROUND(Scores_2017!W14,$A$1)</f>
        <v>79.93</v>
      </c>
      <c r="J10" s="1">
        <f>ROUND(Scores_2017!X14,$A$1)</f>
        <v>81.62</v>
      </c>
      <c r="K10" s="1">
        <f>ROUND(Scores_2017!Y14,$A$1)</f>
        <v>59.92</v>
      </c>
      <c r="L10" s="1">
        <f>ROUND(Scores_2017!Z14,$A$1)</f>
        <v>70.11</v>
      </c>
      <c r="M10" s="1">
        <f>ROUND(Scores_2017!AA14,$A$1)</f>
        <v>68.08</v>
      </c>
      <c r="N10" s="1">
        <f>ROUND(Scores_2017!AB14,$A$1)</f>
        <v>73.5</v>
      </c>
      <c r="O10" s="1">
        <f>ROUND(Scores_2017!AC14,$A$1)</f>
        <v>69.31</v>
      </c>
      <c r="P10" s="1">
        <f>ROUND(Scores_2017!AD14,$A$1)</f>
        <v>45.88</v>
      </c>
      <c r="Q10" s="1">
        <f>ROUND(Scores_2017!AE14,$A$1)</f>
        <v>50</v>
      </c>
      <c r="R10" s="1">
        <f>ROUND(Scores_2017!AF14,$A$1)</f>
        <v>69.7</v>
      </c>
      <c r="S10" s="1">
        <f>ROUND(Scores_2017!AG14,$A$1)</f>
        <v>81</v>
      </c>
      <c r="T10" s="1">
        <f>ROUND(Scores_2017!AH14,$A$1)</f>
        <v>57.9</v>
      </c>
      <c r="U10" s="1">
        <f>ROUND(Scores_2017!AI14,$A$1)</f>
        <v>71.55</v>
      </c>
      <c r="V10" s="1">
        <f>ROUND(Scores_2017!AJ14,$A$1)</f>
        <v>63.41</v>
      </c>
      <c r="W10" s="1">
        <f>ROUND(Scores_2017!AK14,$A$1)</f>
        <v>44.88</v>
      </c>
      <c r="X10" s="1">
        <f>ROUND(Scores_2017!AL14,$A$1)</f>
        <v>73.39</v>
      </c>
      <c r="Y10" s="1">
        <f>ROUND(Scores_2017!AM14,$A$1)</f>
        <v>74.22</v>
      </c>
      <c r="Z10" s="1">
        <f>ROUND(Scores_2017!AN14,$A$1)</f>
        <v>51.44</v>
      </c>
      <c r="AA10" s="1">
        <f>ROUND(Scores_2017!AO14,$A$1)</f>
        <v>74</v>
      </c>
      <c r="AB10" s="1">
        <f>ROUND(Scores_2017!AP14,$A$1)</f>
        <v>78.67</v>
      </c>
      <c r="AC10" s="1">
        <f>ROUND(Scores_2017!AQ14,$A$1)</f>
        <v>61.22</v>
      </c>
      <c r="AD10" s="1">
        <f>ROUND(Scores_2017!AR14,$A$1)</f>
        <v>66.73</v>
      </c>
      <c r="AE10" s="1">
        <f>ROUND(Scores_2017!AS14,$A$1)</f>
        <v>70.24</v>
      </c>
      <c r="AF10" s="1">
        <f>ROUND(Scores_2017!AT14,$A$1)</f>
        <v>68.88</v>
      </c>
      <c r="AG10" s="1">
        <f>ROUND(Scores_2017!AU14,$A$1)</f>
        <v>41.55</v>
      </c>
      <c r="AH10" s="1">
        <f>ROUND(Scores_2017!AV14,$A$1)</f>
        <v>76.63</v>
      </c>
      <c r="AI10" s="1">
        <f>ROUND(Scores_2017!AW14,$A$1)</f>
        <v>49.05</v>
      </c>
      <c r="AJ10" s="1">
        <f>ROUND(Scores_2017!AX14,$A$1)</f>
        <v>63.25</v>
      </c>
      <c r="AK10" s="1">
        <f>ROUND(Scores_2017!AY14,$A$1)</f>
        <v>56.39</v>
      </c>
      <c r="AL10" s="1">
        <f>ROUND(Scores_2017!AZ14,$A$1)</f>
        <v>45.88</v>
      </c>
      <c r="AM10" s="1">
        <f>ROUND(Scores_2017!BA14,$A$1)</f>
        <v>69.9</v>
      </c>
      <c r="AN10" s="1">
        <f>ROUND(Scores_2017!BB14,$A$1)</f>
        <v>85.89</v>
      </c>
      <c r="AO10" s="1">
        <f>ROUND(Scores_2017!BC14,$A$1)</f>
        <v>67.41</v>
      </c>
      <c r="AP10" s="1">
        <f>ROUND(Scores_2017!BD14,$A$1)</f>
        <v>72.96</v>
      </c>
      <c r="AQ10" s="1">
        <f>ROUND(Scores_2017!BE14,$A$1)</f>
        <v>60.59</v>
      </c>
      <c r="AR10" s="1">
        <f>ROUND(Scores_2017!BF14,$A$1)</f>
        <v>73.39</v>
      </c>
      <c r="AS10" s="1">
        <f>ROUND(Scores_2017!BG14,$A$1)</f>
        <v>63.25</v>
      </c>
      <c r="AT10" s="1">
        <f>ROUND(Scores_2017!BH14,$A$1)</f>
        <v>70.24</v>
      </c>
      <c r="AU10" s="1">
        <f>ROUND(Scores_2017!BI14,$A$1)</f>
        <v>62.8</v>
      </c>
      <c r="AV10" s="1">
        <f>ROUND(Scores_2017!BJ14,$A$1)</f>
        <v>60.59</v>
      </c>
      <c r="AW10" s="1">
        <f>ROUND(Scores_2017!BK14,$A$1)</f>
        <v>90.18</v>
      </c>
      <c r="AX10" s="1">
        <f>ROUND(Scores_2017!BL14,$A$1)</f>
        <v>65.51</v>
      </c>
      <c r="AY10" s="1">
        <f>ROUND(Scores_2017!BM14,$A$1)</f>
        <v>78.68</v>
      </c>
      <c r="AZ10" s="1">
        <f>ROUND(Scores_2017!BN14,$A$1)</f>
        <v>90.61</v>
      </c>
      <c r="BA10" s="1">
        <f>ROUND(Scores_2017!BO14,$A$1)</f>
        <v>75.91</v>
      </c>
      <c r="BB10" s="1">
        <f>ROUND(Scores_2017!BP14,$A$1)</f>
        <v>43.62</v>
      </c>
      <c r="BC10" s="1">
        <f>ROUND(Scores_2017!BQ14,$A$1)</f>
        <v>63.1</v>
      </c>
      <c r="BD10" s="1">
        <f>ROUND(Scores_2017!BR14,$A$1)</f>
        <v>88.47</v>
      </c>
      <c r="BE10" s="1">
        <f>ROUND(Scores_2017!BS14,$A$1)</f>
        <v>80.66</v>
      </c>
      <c r="BF10" s="1">
        <f>ROUND(Scores_2017!BT14,$A$1)</f>
        <v>71.76</v>
      </c>
      <c r="BG10" s="1">
        <f>ROUND(Scores_2017!BU14,$A$1)</f>
        <v>81.27</v>
      </c>
      <c r="BH10" s="1">
        <f>ROUND(Scores_2017!BV14,$A$1)</f>
        <v>61.47</v>
      </c>
      <c r="BI10" s="1">
        <f>ROUND(Scores_2017!BW14,$A$1)</f>
        <v>80.95</v>
      </c>
      <c r="BJ10" s="1">
        <f>ROUND(Scores_2017!BX14,$A$1)</f>
        <v>86.74</v>
      </c>
      <c r="BL10" s="1">
        <f t="shared" si="1"/>
        <v>68.4981967213115</v>
      </c>
    </row>
    <row r="11" spans="1:64">
      <c r="A11" s="1" t="str">
        <f>Scores_2017!N15</f>
        <v>   1.2.1) Frequency of identity theft</v>
      </c>
      <c r="B11" s="1">
        <f>ROUND(Scores_2017!P15,$A$1)</f>
        <v>100</v>
      </c>
      <c r="C11" s="1">
        <f>ROUND(Scores_2017!Q15,$A$1)</f>
        <v>99.74</v>
      </c>
      <c r="D11" s="1">
        <f>ROUND(Scores_2017!R15,$A$1)</f>
        <v>100</v>
      </c>
      <c r="E11" s="1">
        <f>ROUND(Scores_2017!S15,$A$1)</f>
        <v>100</v>
      </c>
      <c r="F11" s="1">
        <f>ROUND(Scores_2017!T15,$A$1)</f>
        <v>99.96</v>
      </c>
      <c r="G11" s="1">
        <f>ROUND(Scores_2017!U15,$A$1)</f>
        <v>100</v>
      </c>
      <c r="H11" s="1">
        <f>ROUND(Scores_2017!V15,$A$1)</f>
        <v>100</v>
      </c>
      <c r="I11" s="1">
        <f>ROUND(Scores_2017!W15,$A$1)</f>
        <v>100</v>
      </c>
      <c r="J11" s="1">
        <f>ROUND(Scores_2017!X15,$A$1)</f>
        <v>99.97</v>
      </c>
      <c r="K11" s="1">
        <f>ROUND(Scores_2017!Y15,$A$1)</f>
        <v>100</v>
      </c>
      <c r="L11" s="1">
        <f>ROUND(Scores_2017!Z15,$A$1)</f>
        <v>100</v>
      </c>
      <c r="M11" s="1">
        <f>ROUND(Scores_2017!AA15,$A$1)</f>
        <v>100</v>
      </c>
      <c r="N11" s="1">
        <f>ROUND(Scores_2017!AB15,$A$1)</f>
        <v>85.49</v>
      </c>
      <c r="O11" s="1">
        <f>ROUND(Scores_2017!AC15,$A$1)</f>
        <v>85.49</v>
      </c>
      <c r="P11" s="1">
        <f>ROUND(Scores_2017!AD15,$A$1)</f>
        <v>97.89</v>
      </c>
      <c r="Q11" s="1">
        <f>ROUND(Scores_2017!AE15,$A$1)</f>
        <v>100</v>
      </c>
      <c r="R11" s="1">
        <f>ROUND(Scores_2017!AF15,$A$1)</f>
        <v>84.38</v>
      </c>
      <c r="S11" s="1">
        <f>ROUND(Scores_2017!AG15,$A$1)</f>
        <v>100</v>
      </c>
      <c r="T11" s="1">
        <f>ROUND(Scores_2017!AH15,$A$1)</f>
        <v>100</v>
      </c>
      <c r="U11" s="1">
        <f>ROUND(Scores_2017!AI15,$A$1)</f>
        <v>100</v>
      </c>
      <c r="V11" s="1">
        <f>ROUND(Scores_2017!AJ15,$A$1)</f>
        <v>90.24</v>
      </c>
      <c r="W11" s="1">
        <f>ROUND(Scores_2017!AK15,$A$1)</f>
        <v>100</v>
      </c>
      <c r="X11" s="1">
        <f>ROUND(Scores_2017!AL15,$A$1)</f>
        <v>100</v>
      </c>
      <c r="Y11" s="1">
        <f>ROUND(Scores_2017!AM15,$A$1)</f>
        <v>99.99</v>
      </c>
      <c r="Z11" s="1">
        <f>ROUND(Scores_2017!AN15,$A$1)</f>
        <v>99.73</v>
      </c>
      <c r="AA11" s="1">
        <f>ROUND(Scores_2017!AO15,$A$1)</f>
        <v>100</v>
      </c>
      <c r="AB11" s="1">
        <f>ROUND(Scores_2017!AP15,$A$1)</f>
        <v>100</v>
      </c>
      <c r="AC11" s="1">
        <f>ROUND(Scores_2017!AQ15,$A$1)</f>
        <v>100</v>
      </c>
      <c r="AD11" s="1">
        <f>ROUND(Scores_2017!AR15,$A$1)</f>
        <v>51.57</v>
      </c>
      <c r="AE11" s="1">
        <f>ROUND(Scores_2017!AS15,$A$1)</f>
        <v>85.49</v>
      </c>
      <c r="AF11" s="1">
        <f>ROUND(Scores_2017!AT15,$A$1)</f>
        <v>99.96</v>
      </c>
      <c r="AG11" s="1">
        <f>ROUND(Scores_2017!AU15,$A$1)</f>
        <v>41.24</v>
      </c>
      <c r="AH11" s="1">
        <f>ROUND(Scores_2017!AV15,$A$1)</f>
        <v>89.81</v>
      </c>
      <c r="AI11" s="1">
        <f>ROUND(Scores_2017!AW15,$A$1)</f>
        <v>42.46</v>
      </c>
      <c r="AJ11" s="1">
        <f>ROUND(Scores_2017!AX15,$A$1)</f>
        <v>99.71</v>
      </c>
      <c r="AK11" s="1">
        <f>ROUND(Scores_2017!AY15,$A$1)</f>
        <v>98.39</v>
      </c>
      <c r="AL11" s="1">
        <f>ROUND(Scores_2017!AZ15,$A$1)</f>
        <v>97.89</v>
      </c>
      <c r="AM11" s="1">
        <f>ROUND(Scores_2017!BA15,$A$1)</f>
        <v>85.49</v>
      </c>
      <c r="AN11" s="1">
        <f>ROUND(Scores_2017!BB15,$A$1)</f>
        <v>94.73</v>
      </c>
      <c r="AO11" s="1">
        <f>ROUND(Scores_2017!BC15,$A$1)</f>
        <v>87.92</v>
      </c>
      <c r="AP11" s="1">
        <f>ROUND(Scores_2017!BD15,$A$1)</f>
        <v>100</v>
      </c>
      <c r="AQ11" s="1">
        <f>ROUND(Scores_2017!BE15,$A$1)</f>
        <v>100</v>
      </c>
      <c r="AR11" s="1">
        <f>ROUND(Scores_2017!BF15,$A$1)</f>
        <v>100</v>
      </c>
      <c r="AS11" s="1">
        <f>ROUND(Scores_2017!BG15,$A$1)</f>
        <v>99.71</v>
      </c>
      <c r="AT11" s="1">
        <f>ROUND(Scores_2017!BH15,$A$1)</f>
        <v>85.49</v>
      </c>
      <c r="AU11" s="1">
        <f>ROUND(Scores_2017!BI15,$A$1)</f>
        <v>100</v>
      </c>
      <c r="AV11" s="1">
        <f>ROUND(Scores_2017!BJ15,$A$1)</f>
        <v>100</v>
      </c>
      <c r="AW11" s="1">
        <f>ROUND(Scores_2017!BK15,$A$1)</f>
        <v>99.93</v>
      </c>
      <c r="AX11" s="1">
        <f>ROUND(Scores_2017!BL15,$A$1)</f>
        <v>100</v>
      </c>
      <c r="AY11" s="1">
        <f>ROUND(Scores_2017!BM15,$A$1)</f>
        <v>100</v>
      </c>
      <c r="AZ11" s="1">
        <f>ROUND(Scores_2017!BN15,$A$1)</f>
        <v>100</v>
      </c>
      <c r="BA11" s="1">
        <f>ROUND(Scores_2017!BO15,$A$1)</f>
        <v>89.81</v>
      </c>
      <c r="BB11" s="1">
        <f>ROUND(Scores_2017!BP15,$A$1)</f>
        <v>0</v>
      </c>
      <c r="BC11" s="1">
        <f>ROUND(Scores_2017!BQ15,$A$1)</f>
        <v>100</v>
      </c>
      <c r="BD11" s="1">
        <f>ROUND(Scores_2017!BR15,$A$1)</f>
        <v>94.73</v>
      </c>
      <c r="BE11" s="1">
        <f>ROUND(Scores_2017!BS15,$A$1)</f>
        <v>97.87</v>
      </c>
      <c r="BF11" s="1">
        <f>ROUND(Scores_2017!BT15,$A$1)</f>
        <v>85.49</v>
      </c>
      <c r="BG11" s="1">
        <f>ROUND(Scores_2017!BU15,$A$1)</f>
        <v>100</v>
      </c>
      <c r="BH11" s="1">
        <f>ROUND(Scores_2017!BV15,$A$1)</f>
        <v>100</v>
      </c>
      <c r="BI11" s="1">
        <f>ROUND(Scores_2017!BW15,$A$1)</f>
        <v>100</v>
      </c>
      <c r="BJ11" s="1">
        <f>ROUND(Scores_2017!BX15,$A$1)</f>
        <v>94.73</v>
      </c>
      <c r="BL11" s="1">
        <f t="shared" si="1"/>
        <v>92.8737704918033</v>
      </c>
    </row>
    <row r="12" spans="1:64">
      <c r="A12" s="1" t="str">
        <f>Scores_2017!N16</f>
        <v>   1.2.2) Percentage of computers infected</v>
      </c>
      <c r="B12" s="1">
        <f>ROUND(Scores_2017!P16,$A$1)</f>
        <v>25</v>
      </c>
      <c r="C12" s="1">
        <f>ROUND(Scores_2017!Q16,$A$1)</f>
        <v>75</v>
      </c>
      <c r="D12" s="1">
        <f>ROUND(Scores_2017!R16,$A$1)</f>
        <v>25</v>
      </c>
      <c r="E12" s="1">
        <f>ROUND(Scores_2017!S16,$A$1)</f>
        <v>50</v>
      </c>
      <c r="F12" s="1">
        <f>ROUND(Scores_2017!T16,$A$1)</f>
        <v>25</v>
      </c>
      <c r="G12" s="1">
        <f>ROUND(Scores_2017!U16,$A$1)</f>
        <v>25</v>
      </c>
      <c r="H12" s="1">
        <f>ROUND(Scores_2017!V16,$A$1)</f>
        <v>50</v>
      </c>
      <c r="I12" s="1">
        <f>ROUND(Scores_2017!W16,$A$1)</f>
        <v>50</v>
      </c>
      <c r="J12" s="1">
        <f>ROUND(Scores_2017!X16,$A$1)</f>
        <v>75</v>
      </c>
      <c r="K12" s="1">
        <f>ROUND(Scores_2017!Y16,$A$1)</f>
        <v>50</v>
      </c>
      <c r="L12" s="1">
        <f>ROUND(Scores_2017!Z16,$A$1)</f>
        <v>50</v>
      </c>
      <c r="M12" s="1">
        <f>ROUND(Scores_2017!AA16,$A$1)</f>
        <v>50</v>
      </c>
      <c r="N12" s="1">
        <f>ROUND(Scores_2017!AB16,$A$1)</f>
        <v>50</v>
      </c>
      <c r="O12" s="1">
        <f>ROUND(Scores_2017!AC16,$A$1)</f>
        <v>50</v>
      </c>
      <c r="P12" s="1">
        <f>ROUND(Scores_2017!AD16,$A$1)</f>
        <v>25</v>
      </c>
      <c r="Q12" s="1">
        <f>ROUND(Scores_2017!AE16,$A$1)</f>
        <v>50</v>
      </c>
      <c r="R12" s="1">
        <f>ROUND(Scores_2017!AF16,$A$1)</f>
        <v>25</v>
      </c>
      <c r="S12" s="1">
        <f>ROUND(Scores_2017!AG16,$A$1)</f>
        <v>50</v>
      </c>
      <c r="T12" s="1">
        <f>ROUND(Scores_2017!AH16,$A$1)</f>
        <v>25</v>
      </c>
      <c r="U12" s="1">
        <f>ROUND(Scores_2017!AI16,$A$1)</f>
        <v>25</v>
      </c>
      <c r="V12" s="1">
        <f>ROUND(Scores_2017!AJ16,$A$1)</f>
        <v>50</v>
      </c>
      <c r="W12" s="1">
        <f>ROUND(Scores_2017!AK16,$A$1)</f>
        <v>25</v>
      </c>
      <c r="X12" s="1">
        <f>ROUND(Scores_2017!AL16,$A$1)</f>
        <v>50</v>
      </c>
      <c r="Y12" s="1">
        <f>ROUND(Scores_2017!AM16,$A$1)</f>
        <v>75</v>
      </c>
      <c r="Z12" s="1">
        <f>ROUND(Scores_2017!AN16,$A$1)</f>
        <v>50</v>
      </c>
      <c r="AA12" s="1">
        <f>ROUND(Scores_2017!AO16,$A$1)</f>
        <v>50</v>
      </c>
      <c r="AB12" s="1">
        <f>ROUND(Scores_2017!AP16,$A$1)</f>
        <v>50</v>
      </c>
      <c r="AC12" s="1">
        <f>ROUND(Scores_2017!AQ16,$A$1)</f>
        <v>50</v>
      </c>
      <c r="AD12" s="1">
        <f>ROUND(Scores_2017!AR16,$A$1)</f>
        <v>50</v>
      </c>
      <c r="AE12" s="1">
        <f>ROUND(Scores_2017!AS16,$A$1)</f>
        <v>50</v>
      </c>
      <c r="AF12" s="1">
        <f>ROUND(Scores_2017!AT16,$A$1)</f>
        <v>25</v>
      </c>
      <c r="AG12" s="1">
        <f>ROUND(Scores_2017!AU16,$A$1)</f>
        <v>50</v>
      </c>
      <c r="AH12" s="1">
        <f>ROUND(Scores_2017!AV16,$A$1)</f>
        <v>50</v>
      </c>
      <c r="AI12" s="1">
        <f>ROUND(Scores_2017!AW16,$A$1)</f>
        <v>50</v>
      </c>
      <c r="AJ12" s="1">
        <f>ROUND(Scores_2017!AX16,$A$1)</f>
        <v>25</v>
      </c>
      <c r="AK12" s="1">
        <f>ROUND(Scores_2017!AY16,$A$1)</f>
        <v>0</v>
      </c>
      <c r="AL12" s="1">
        <f>ROUND(Scores_2017!AZ16,$A$1)</f>
        <v>25</v>
      </c>
      <c r="AM12" s="1">
        <f>ROUND(Scores_2017!BA16,$A$1)</f>
        <v>50</v>
      </c>
      <c r="AN12" s="1">
        <f>ROUND(Scores_2017!BB16,$A$1)</f>
        <v>75</v>
      </c>
      <c r="AO12" s="1">
        <f>ROUND(Scores_2017!BC16,$A$1)</f>
        <v>25</v>
      </c>
      <c r="AP12" s="1">
        <f>ROUND(Scores_2017!BD16,$A$1)</f>
        <v>75</v>
      </c>
      <c r="AQ12" s="1">
        <f>ROUND(Scores_2017!BE16,$A$1)</f>
        <v>25</v>
      </c>
      <c r="AR12" s="1">
        <f>ROUND(Scores_2017!BF16,$A$1)</f>
        <v>50</v>
      </c>
      <c r="AS12" s="1">
        <f>ROUND(Scores_2017!BG16,$A$1)</f>
        <v>25</v>
      </c>
      <c r="AT12" s="1">
        <f>ROUND(Scores_2017!BH16,$A$1)</f>
        <v>50</v>
      </c>
      <c r="AU12" s="1">
        <f>ROUND(Scores_2017!BI16,$A$1)</f>
        <v>25</v>
      </c>
      <c r="AV12" s="1">
        <f>ROUND(Scores_2017!BJ16,$A$1)</f>
        <v>25</v>
      </c>
      <c r="AW12" s="1">
        <f>ROUND(Scores_2017!BK16,$A$1)</f>
        <v>75</v>
      </c>
      <c r="AX12" s="1">
        <f>ROUND(Scores_2017!BL16,$A$1)</f>
        <v>25</v>
      </c>
      <c r="AY12" s="1">
        <f>ROUND(Scores_2017!BM16,$A$1)</f>
        <v>50</v>
      </c>
      <c r="AZ12" s="1">
        <f>ROUND(Scores_2017!BN16,$A$1)</f>
        <v>75</v>
      </c>
      <c r="BA12" s="1">
        <f>ROUND(Scores_2017!BO16,$A$1)</f>
        <v>50</v>
      </c>
      <c r="BB12" s="1">
        <f>ROUND(Scores_2017!BP16,$A$1)</f>
        <v>50</v>
      </c>
      <c r="BC12" s="1">
        <f>ROUND(Scores_2017!BQ16,$A$1)</f>
        <v>50</v>
      </c>
      <c r="BD12" s="1">
        <f>ROUND(Scores_2017!BR16,$A$1)</f>
        <v>75</v>
      </c>
      <c r="BE12" s="1">
        <f>ROUND(Scores_2017!BS16,$A$1)</f>
        <v>50</v>
      </c>
      <c r="BF12" s="1">
        <f>ROUND(Scores_2017!BT16,$A$1)</f>
        <v>50</v>
      </c>
      <c r="BG12" s="1">
        <f>ROUND(Scores_2017!BU16,$A$1)</f>
        <v>50</v>
      </c>
      <c r="BH12" s="1">
        <f>ROUND(Scores_2017!BV16,$A$1)</f>
        <v>75</v>
      </c>
      <c r="BI12" s="1">
        <f>ROUND(Scores_2017!BW16,$A$1)</f>
        <v>50</v>
      </c>
      <c r="BJ12" s="1">
        <f>ROUND(Scores_2017!BX16,$A$1)</f>
        <v>75</v>
      </c>
      <c r="BL12" s="1">
        <f t="shared" si="1"/>
        <v>45.9016393442623</v>
      </c>
    </row>
    <row r="13" spans="1:64">
      <c r="A13" s="1" t="str">
        <f>Scores_2017!N17</f>
        <v>   1.2.3) Percentage with Internet access</v>
      </c>
      <c r="B13" s="1">
        <f>ROUND(Scores_2017!P17,$A$1)</f>
        <v>97.65</v>
      </c>
      <c r="C13" s="1">
        <f>ROUND(Scores_2017!Q17,$A$1)</f>
        <v>100</v>
      </c>
      <c r="D13" s="1">
        <f>ROUND(Scores_2017!R17,$A$1)</f>
        <v>66.63</v>
      </c>
      <c r="E13" s="1">
        <f>ROUND(Scores_2017!S17,$A$1)</f>
        <v>31.66</v>
      </c>
      <c r="F13" s="1">
        <f>ROUND(Scores_2017!T17,$A$1)</f>
        <v>81.69</v>
      </c>
      <c r="G13" s="1">
        <f>ROUND(Scores_2017!U17,$A$1)</f>
        <v>77.26</v>
      </c>
      <c r="H13" s="1">
        <f>ROUND(Scores_2017!V17,$A$1)</f>
        <v>52.74</v>
      </c>
      <c r="I13" s="1">
        <f>ROUND(Scores_2017!W17,$A$1)</f>
        <v>89.78</v>
      </c>
      <c r="J13" s="1">
        <f>ROUND(Scores_2017!X17,$A$1)</f>
        <v>69.89</v>
      </c>
      <c r="K13" s="1">
        <f>ROUND(Scores_2017!Y17,$A$1)</f>
        <v>29.76</v>
      </c>
      <c r="L13" s="1">
        <f>ROUND(Scores_2017!Z17,$A$1)</f>
        <v>60.32</v>
      </c>
      <c r="M13" s="1">
        <f>ROUND(Scores_2017!AA17,$A$1)</f>
        <v>54.23</v>
      </c>
      <c r="N13" s="1">
        <f>ROUND(Scores_2017!AB17,$A$1)</f>
        <v>85.01</v>
      </c>
      <c r="O13" s="1">
        <f>ROUND(Scores_2017!AC17,$A$1)</f>
        <v>72.43</v>
      </c>
      <c r="P13" s="1">
        <f>ROUND(Scores_2017!AD17,$A$1)</f>
        <v>14.74</v>
      </c>
      <c r="Q13" s="1">
        <f>ROUND(Scores_2017!AE17,$A$1)</f>
        <v>0</v>
      </c>
      <c r="R13" s="1">
        <f>ROUND(Scores_2017!AF17,$A$1)</f>
        <v>99.73</v>
      </c>
      <c r="S13" s="1">
        <f>ROUND(Scores_2017!AG17,$A$1)</f>
        <v>93</v>
      </c>
      <c r="T13" s="1">
        <f>ROUND(Scores_2017!AH17,$A$1)</f>
        <v>48.69</v>
      </c>
      <c r="U13" s="1">
        <f>ROUND(Scores_2017!AI17,$A$1)</f>
        <v>89.65</v>
      </c>
      <c r="V13" s="1">
        <f>ROUND(Scores_2017!AJ17,$A$1)</f>
        <v>50</v>
      </c>
      <c r="W13" s="1">
        <f>ROUND(Scores_2017!AK17,$A$1)</f>
        <v>9.63</v>
      </c>
      <c r="X13" s="1">
        <f>ROUND(Scores_2017!AL17,$A$1)</f>
        <v>70.16</v>
      </c>
      <c r="Y13" s="1">
        <f>ROUND(Scores_2017!AM17,$A$1)</f>
        <v>47.68</v>
      </c>
      <c r="Z13" s="1">
        <f>ROUND(Scores_2017!AN17,$A$1)</f>
        <v>4.57</v>
      </c>
      <c r="AA13" s="1">
        <f>ROUND(Scores_2017!AO17,$A$1)</f>
        <v>72</v>
      </c>
      <c r="AB13" s="1">
        <f>ROUND(Scores_2017!AP17,$A$1)</f>
        <v>86</v>
      </c>
      <c r="AC13" s="1">
        <f>ROUND(Scores_2017!AQ17,$A$1)</f>
        <v>33.67</v>
      </c>
      <c r="AD13" s="1">
        <f>ROUND(Scores_2017!AR17,$A$1)</f>
        <v>98.61</v>
      </c>
      <c r="AE13" s="1">
        <f>ROUND(Scores_2017!AS17,$A$1)</f>
        <v>75.23</v>
      </c>
      <c r="AF13" s="1">
        <f>ROUND(Scores_2017!AT17,$A$1)</f>
        <v>81.69</v>
      </c>
      <c r="AG13" s="1">
        <f>ROUND(Scores_2017!AU17,$A$1)</f>
        <v>33.42</v>
      </c>
      <c r="AH13" s="1">
        <f>ROUND(Scores_2017!AV17,$A$1)</f>
        <v>90.09</v>
      </c>
      <c r="AI13" s="1">
        <f>ROUND(Scores_2017!AW17,$A$1)</f>
        <v>54.68</v>
      </c>
      <c r="AJ13" s="1">
        <f>ROUND(Scores_2017!AX17,$A$1)</f>
        <v>65.02</v>
      </c>
      <c r="AK13" s="1">
        <f>ROUND(Scores_2017!AY17,$A$1)</f>
        <v>70.78</v>
      </c>
      <c r="AL13" s="1">
        <f>ROUND(Scores_2017!AZ17,$A$1)</f>
        <v>14.74</v>
      </c>
      <c r="AM13" s="1">
        <f>ROUND(Scores_2017!BA17,$A$1)</f>
        <v>74.21</v>
      </c>
      <c r="AN13" s="1">
        <f>ROUND(Scores_2017!BB17,$A$1)</f>
        <v>87.93</v>
      </c>
      <c r="AO13" s="1">
        <f>ROUND(Scores_2017!BC17,$A$1)</f>
        <v>89.32</v>
      </c>
      <c r="AP13" s="1">
        <f>ROUND(Scores_2017!BD17,$A$1)</f>
        <v>43.89</v>
      </c>
      <c r="AQ13" s="1">
        <f>ROUND(Scores_2017!BE17,$A$1)</f>
        <v>56.77</v>
      </c>
      <c r="AR13" s="1">
        <f>ROUND(Scores_2017!BF17,$A$1)</f>
        <v>70.16</v>
      </c>
      <c r="AS13" s="1">
        <f>ROUND(Scores_2017!BG17,$A$1)</f>
        <v>65.02</v>
      </c>
      <c r="AT13" s="1">
        <f>ROUND(Scores_2017!BH17,$A$1)</f>
        <v>75.23</v>
      </c>
      <c r="AU13" s="1">
        <f>ROUND(Scores_2017!BI17,$A$1)</f>
        <v>63.39</v>
      </c>
      <c r="AV13" s="1">
        <f>ROUND(Scores_2017!BJ17,$A$1)</f>
        <v>56.77</v>
      </c>
      <c r="AW13" s="1">
        <f>ROUND(Scores_2017!BK17,$A$1)</f>
        <v>95.62</v>
      </c>
      <c r="AX13" s="1">
        <f>ROUND(Scores_2017!BL17,$A$1)</f>
        <v>71.54</v>
      </c>
      <c r="AY13" s="1">
        <f>ROUND(Scores_2017!BM17,$A$1)</f>
        <v>86.03</v>
      </c>
      <c r="AZ13" s="1">
        <f>ROUND(Scores_2017!BN17,$A$1)</f>
        <v>96.84</v>
      </c>
      <c r="BA13" s="1">
        <f>ROUND(Scores_2017!BO17,$A$1)</f>
        <v>87.93</v>
      </c>
      <c r="BB13" s="1">
        <f>ROUND(Scores_2017!BP17,$A$1)</f>
        <v>80.86</v>
      </c>
      <c r="BC13" s="1">
        <f>ROUND(Scores_2017!BQ17,$A$1)</f>
        <v>39.31</v>
      </c>
      <c r="BD13" s="1">
        <f>ROUND(Scores_2017!BR17,$A$1)</f>
        <v>95.68</v>
      </c>
      <c r="BE13" s="1">
        <f>ROUND(Scores_2017!BS17,$A$1)</f>
        <v>94.12</v>
      </c>
      <c r="BF13" s="1">
        <f>ROUND(Scores_2017!BT17,$A$1)</f>
        <v>79.8</v>
      </c>
      <c r="BG13" s="1">
        <f>ROUND(Scores_2017!BU17,$A$1)</f>
        <v>93.81</v>
      </c>
      <c r="BH13" s="1">
        <f>ROUND(Scores_2017!BV17,$A$1)</f>
        <v>9.4</v>
      </c>
      <c r="BI13" s="1">
        <f>ROUND(Scores_2017!BW17,$A$1)</f>
        <v>92.86</v>
      </c>
      <c r="BJ13" s="1">
        <f>ROUND(Scores_2017!BX17,$A$1)</f>
        <v>90.47</v>
      </c>
      <c r="BL13" s="1">
        <f t="shared" si="1"/>
        <v>66.717868852459</v>
      </c>
    </row>
    <row r="14" spans="1:64">
      <c r="A14" s="1" t="str">
        <f>Scores_2017!N18</f>
        <v> 2) HEALTH SECURITY</v>
      </c>
      <c r="B14" s="1">
        <f>ROUND(Scores_2017!P18,$A$1)</f>
        <v>68.54</v>
      </c>
      <c r="C14" s="1">
        <f>ROUND(Scores_2017!Q18,$A$1)</f>
        <v>79.79</v>
      </c>
      <c r="D14" s="1">
        <f>ROUND(Scores_2017!R18,$A$1)</f>
        <v>74.57</v>
      </c>
      <c r="E14" s="1">
        <f>ROUND(Scores_2017!S18,$A$1)</f>
        <v>66.64</v>
      </c>
      <c r="F14" s="1">
        <f>ROUND(Scores_2017!T18,$A$1)</f>
        <v>78.54</v>
      </c>
      <c r="G14" s="1">
        <f>ROUND(Scores_2017!U18,$A$1)</f>
        <v>67.63</v>
      </c>
      <c r="H14" s="1">
        <f>ROUND(Scores_2017!V18,$A$1)</f>
        <v>65.37</v>
      </c>
      <c r="I14" s="1">
        <f>ROUND(Scores_2017!W18,$A$1)</f>
        <v>81.41</v>
      </c>
      <c r="J14" s="1">
        <f>ROUND(Scores_2017!X18,$A$1)</f>
        <v>74.84</v>
      </c>
      <c r="K14" s="1">
        <f>ROUND(Scores_2017!Y18,$A$1)</f>
        <v>52.28</v>
      </c>
      <c r="L14" s="1">
        <f>ROUND(Scores_2017!Z18,$A$1)</f>
        <v>56.72</v>
      </c>
      <c r="M14" s="1">
        <f>ROUND(Scores_2017!AA18,$A$1)</f>
        <v>58.52</v>
      </c>
      <c r="N14" s="1">
        <f>ROUND(Scores_2017!AB18,$A$1)</f>
        <v>71.78</v>
      </c>
      <c r="O14" s="1">
        <f>ROUND(Scores_2017!AC18,$A$1)</f>
        <v>70.27</v>
      </c>
      <c r="P14" s="1">
        <f>ROUND(Scores_2017!AD18,$A$1)</f>
        <v>59.65</v>
      </c>
      <c r="Q14" s="1">
        <f>ROUND(Scores_2017!AE18,$A$1)</f>
        <v>45.59</v>
      </c>
      <c r="R14" s="1">
        <f>ROUND(Scores_2017!AF18,$A$1)</f>
        <v>62.6</v>
      </c>
      <c r="S14" s="1">
        <f>ROUND(Scores_2017!AG18,$A$1)</f>
        <v>84.06</v>
      </c>
      <c r="T14" s="1">
        <f>ROUND(Scores_2017!AH18,$A$1)</f>
        <v>61.29</v>
      </c>
      <c r="U14" s="1">
        <f>ROUND(Scores_2017!AI18,$A$1)</f>
        <v>73.29</v>
      </c>
      <c r="V14" s="1">
        <f>ROUND(Scores_2017!AJ18,$A$1)</f>
        <v>62.6</v>
      </c>
      <c r="W14" s="1">
        <f>ROUND(Scores_2017!AK18,$A$1)</f>
        <v>54.4</v>
      </c>
      <c r="X14" s="1">
        <f>ROUND(Scores_2017!AL18,$A$1)</f>
        <v>63.56</v>
      </c>
      <c r="Y14" s="1">
        <f>ROUND(Scores_2017!AM18,$A$1)</f>
        <v>57.71</v>
      </c>
      <c r="Z14" s="1">
        <f>ROUND(Scores_2017!AN18,$A$1)</f>
        <v>39.92</v>
      </c>
      <c r="AA14" s="1">
        <f>ROUND(Scores_2017!AO18,$A$1)</f>
        <v>67.15</v>
      </c>
      <c r="AB14" s="1">
        <f>ROUND(Scores_2017!AP18,$A$1)</f>
        <v>63.81</v>
      </c>
      <c r="AC14" s="1">
        <f>ROUND(Scores_2017!AQ18,$A$1)</f>
        <v>62.48</v>
      </c>
      <c r="AD14" s="1">
        <f>ROUND(Scores_2017!AR18,$A$1)</f>
        <v>76.06</v>
      </c>
      <c r="AE14" s="1">
        <f>ROUND(Scores_2017!AS18,$A$1)</f>
        <v>72.26</v>
      </c>
      <c r="AF14" s="1">
        <f>ROUND(Scores_2017!AT18,$A$1)</f>
        <v>78.69</v>
      </c>
      <c r="AG14" s="1">
        <f>ROUND(Scores_2017!AU18,$A$1)</f>
        <v>60.12</v>
      </c>
      <c r="AH14" s="1">
        <f>ROUND(Scores_2017!AV18,$A$1)</f>
        <v>81.34</v>
      </c>
      <c r="AI14" s="1">
        <f>ROUND(Scores_2017!AW18,$A$1)</f>
        <v>70.79</v>
      </c>
      <c r="AJ14" s="1">
        <f>ROUND(Scores_2017!AX18,$A$1)</f>
        <v>76.72</v>
      </c>
      <c r="AK14" s="1">
        <f>ROUND(Scores_2017!AY18,$A$1)</f>
        <v>72.59</v>
      </c>
      <c r="AL14" s="1">
        <f>ROUND(Scores_2017!AZ18,$A$1)</f>
        <v>55.74</v>
      </c>
      <c r="AM14" s="1">
        <f>ROUND(Scores_2017!BA18,$A$1)</f>
        <v>69.73</v>
      </c>
      <c r="AN14" s="1">
        <f>ROUND(Scores_2017!BB18,$A$1)</f>
        <v>87.15</v>
      </c>
      <c r="AO14" s="1">
        <f>ROUND(Scores_2017!BC18,$A$1)</f>
        <v>81.35</v>
      </c>
      <c r="AP14" s="1">
        <f>ROUND(Scores_2017!BD18,$A$1)</f>
        <v>57.46</v>
      </c>
      <c r="AQ14" s="1">
        <f>ROUND(Scores_2017!BE18,$A$1)</f>
        <v>64.8</v>
      </c>
      <c r="AR14" s="1">
        <f>ROUND(Scores_2017!BF18,$A$1)</f>
        <v>66.13</v>
      </c>
      <c r="AS14" s="1">
        <f>ROUND(Scores_2017!BG18,$A$1)</f>
        <v>76.38</v>
      </c>
      <c r="AT14" s="1">
        <f>ROUND(Scores_2017!BH18,$A$1)</f>
        <v>74.15</v>
      </c>
      <c r="AU14" s="1">
        <f>ROUND(Scores_2017!BI18,$A$1)</f>
        <v>67.17</v>
      </c>
      <c r="AV14" s="1">
        <f>ROUND(Scores_2017!BJ18,$A$1)</f>
        <v>63.74</v>
      </c>
      <c r="AW14" s="1">
        <f>ROUND(Scores_2017!BK18,$A$1)</f>
        <v>82.72</v>
      </c>
      <c r="AX14" s="1">
        <f>ROUND(Scores_2017!BL18,$A$1)</f>
        <v>69.92</v>
      </c>
      <c r="AY14" s="1">
        <f>ROUND(Scores_2017!BM18,$A$1)</f>
        <v>79.72</v>
      </c>
      <c r="AZ14" s="1">
        <f>ROUND(Scores_2017!BN18,$A$1)</f>
        <v>79.94</v>
      </c>
      <c r="BA14" s="1">
        <f>ROUND(Scores_2017!BO18,$A$1)</f>
        <v>81.8</v>
      </c>
      <c r="BB14" s="1">
        <f>ROUND(Scores_2017!BP18,$A$1)</f>
        <v>79.23</v>
      </c>
      <c r="BC14" s="1">
        <f>ROUND(Scores_2017!BQ18,$A$1)</f>
        <v>62.96</v>
      </c>
      <c r="BD14" s="1">
        <f>ROUND(Scores_2017!BR18,$A$1)</f>
        <v>85.63</v>
      </c>
      <c r="BE14" s="1">
        <f>ROUND(Scores_2017!BS18,$A$1)</f>
        <v>79.84</v>
      </c>
      <c r="BF14" s="1">
        <f>ROUND(Scores_2017!BT18,$A$1)</f>
        <v>73.38</v>
      </c>
      <c r="BG14" s="1">
        <f>ROUND(Scores_2017!BU18,$A$1)</f>
        <v>69.51</v>
      </c>
      <c r="BH14" s="1">
        <f>ROUND(Scores_2017!BV18,$A$1)</f>
        <v>45.79</v>
      </c>
      <c r="BI14" s="1">
        <f>ROUND(Scores_2017!BW18,$A$1)</f>
        <v>83.39</v>
      </c>
      <c r="BJ14" s="1">
        <f>ROUND(Scores_2017!BX18,$A$1)</f>
        <v>89.52</v>
      </c>
      <c r="BL14" s="1">
        <f t="shared" si="1"/>
        <v>69.5201639344262</v>
      </c>
    </row>
    <row r="15" spans="1:64">
      <c r="A15" s="1" t="str">
        <f>Scores_2017!N19</f>
        <v>  2.1) Health security (Inputs)</v>
      </c>
      <c r="B15" s="1">
        <f>ROUND(Scores_2017!P19,$A$1)</f>
        <v>55.91</v>
      </c>
      <c r="C15" s="1">
        <f>ROUND(Scores_2017!Q19,$A$1)</f>
        <v>78.95</v>
      </c>
      <c r="D15" s="1">
        <f>ROUND(Scores_2017!R19,$A$1)</f>
        <v>64.93</v>
      </c>
      <c r="E15" s="1">
        <f>ROUND(Scores_2017!S19,$A$1)</f>
        <v>55.28</v>
      </c>
      <c r="F15" s="1">
        <f>ROUND(Scores_2017!T19,$A$1)</f>
        <v>73.86</v>
      </c>
      <c r="G15" s="1">
        <f>ROUND(Scores_2017!U19,$A$1)</f>
        <v>69.49</v>
      </c>
      <c r="H15" s="1">
        <f>ROUND(Scores_2017!V19,$A$1)</f>
        <v>53.25</v>
      </c>
      <c r="I15" s="1">
        <f>ROUND(Scores_2017!W19,$A$1)</f>
        <v>80.66</v>
      </c>
      <c r="J15" s="1">
        <f>ROUND(Scores_2017!X19,$A$1)</f>
        <v>73.2</v>
      </c>
      <c r="K15" s="1">
        <f>ROUND(Scores_2017!Y19,$A$1)</f>
        <v>42.37</v>
      </c>
      <c r="L15" s="1">
        <f>ROUND(Scores_2017!Z19,$A$1)</f>
        <v>39.28</v>
      </c>
      <c r="M15" s="1">
        <f>ROUND(Scores_2017!AA19,$A$1)</f>
        <v>43.27</v>
      </c>
      <c r="N15" s="1">
        <f>ROUND(Scores_2017!AB19,$A$1)</f>
        <v>70.16</v>
      </c>
      <c r="O15" s="1">
        <f>ROUND(Scores_2017!AC19,$A$1)</f>
        <v>64.89</v>
      </c>
      <c r="P15" s="1">
        <f>ROUND(Scores_2017!AD19,$A$1)</f>
        <v>57.26</v>
      </c>
      <c r="Q15" s="1">
        <f>ROUND(Scores_2017!AE19,$A$1)</f>
        <v>28.62</v>
      </c>
      <c r="R15" s="1">
        <f>ROUND(Scores_2017!AF19,$A$1)</f>
        <v>50.13</v>
      </c>
      <c r="S15" s="1">
        <f>ROUND(Scores_2017!AG19,$A$1)</f>
        <v>84.16</v>
      </c>
      <c r="T15" s="1">
        <f>ROUND(Scores_2017!AH19,$A$1)</f>
        <v>47.77</v>
      </c>
      <c r="U15" s="1">
        <f>ROUND(Scores_2017!AI19,$A$1)</f>
        <v>72.89</v>
      </c>
      <c r="V15" s="1">
        <f>ROUND(Scores_2017!AJ19,$A$1)</f>
        <v>53.43</v>
      </c>
      <c r="W15" s="1">
        <f>ROUND(Scores_2017!AK19,$A$1)</f>
        <v>39.76</v>
      </c>
      <c r="X15" s="1">
        <f>ROUND(Scores_2017!AL19,$A$1)</f>
        <v>50.22</v>
      </c>
      <c r="Y15" s="1">
        <f>ROUND(Scores_2017!AM19,$A$1)</f>
        <v>56.17</v>
      </c>
      <c r="Z15" s="1">
        <f>ROUND(Scores_2017!AN19,$A$1)</f>
        <v>31.69</v>
      </c>
      <c r="AA15" s="1">
        <f>ROUND(Scores_2017!AO19,$A$1)</f>
        <v>54.17</v>
      </c>
      <c r="AB15" s="1">
        <f>ROUND(Scores_2017!AP19,$A$1)</f>
        <v>50.86</v>
      </c>
      <c r="AC15" s="1">
        <f>ROUND(Scores_2017!AQ19,$A$1)</f>
        <v>55.06</v>
      </c>
      <c r="AD15" s="1">
        <f>ROUND(Scores_2017!AR19,$A$1)</f>
        <v>68.74</v>
      </c>
      <c r="AE15" s="1">
        <f>ROUND(Scores_2017!AS19,$A$1)</f>
        <v>69.79</v>
      </c>
      <c r="AF15" s="1">
        <f>ROUND(Scores_2017!AT19,$A$1)</f>
        <v>71.78</v>
      </c>
      <c r="AG15" s="1">
        <f>ROUND(Scores_2017!AU19,$A$1)</f>
        <v>45.87</v>
      </c>
      <c r="AH15" s="1">
        <f>ROUND(Scores_2017!AV19,$A$1)</f>
        <v>75.18</v>
      </c>
      <c r="AI15" s="1">
        <f>ROUND(Scores_2017!AW19,$A$1)</f>
        <v>58.92</v>
      </c>
      <c r="AJ15" s="1">
        <f>ROUND(Scores_2017!AX19,$A$1)</f>
        <v>70.75</v>
      </c>
      <c r="AK15" s="1">
        <f>ROUND(Scores_2017!AY19,$A$1)</f>
        <v>74.02</v>
      </c>
      <c r="AL15" s="1">
        <f>ROUND(Scores_2017!AZ19,$A$1)</f>
        <v>45.33</v>
      </c>
      <c r="AM15" s="1">
        <f>ROUND(Scores_2017!BA19,$A$1)</f>
        <v>72.87</v>
      </c>
      <c r="AN15" s="1">
        <f>ROUND(Scores_2017!BB19,$A$1)</f>
        <v>86.9</v>
      </c>
      <c r="AO15" s="1">
        <f>ROUND(Scores_2017!BC19,$A$1)</f>
        <v>81.04</v>
      </c>
      <c r="AP15" s="1">
        <f>ROUND(Scores_2017!BD19,$A$1)</f>
        <v>39.97</v>
      </c>
      <c r="AQ15" s="1">
        <f>ROUND(Scores_2017!BE19,$A$1)</f>
        <v>55.47</v>
      </c>
      <c r="AR15" s="1">
        <f>ROUND(Scores_2017!BF19,$A$1)</f>
        <v>51.41</v>
      </c>
      <c r="AS15" s="1">
        <f>ROUND(Scores_2017!BG19,$A$1)</f>
        <v>68.42</v>
      </c>
      <c r="AT15" s="1">
        <f>ROUND(Scores_2017!BH19,$A$1)</f>
        <v>69.02</v>
      </c>
      <c r="AU15" s="1">
        <f>ROUND(Scores_2017!BI19,$A$1)</f>
        <v>52.85</v>
      </c>
      <c r="AV15" s="1">
        <f>ROUND(Scores_2017!BJ19,$A$1)</f>
        <v>56.58</v>
      </c>
      <c r="AW15" s="1">
        <f>ROUND(Scores_2017!BK19,$A$1)</f>
        <v>80.39</v>
      </c>
      <c r="AX15" s="1">
        <f>ROUND(Scores_2017!BL19,$A$1)</f>
        <v>66.32</v>
      </c>
      <c r="AY15" s="1">
        <f>ROUND(Scores_2017!BM19,$A$1)</f>
        <v>71.23</v>
      </c>
      <c r="AZ15" s="1">
        <f>ROUND(Scores_2017!BN19,$A$1)</f>
        <v>71.47</v>
      </c>
      <c r="BA15" s="1">
        <f>ROUND(Scores_2017!BO19,$A$1)</f>
        <v>75.95</v>
      </c>
      <c r="BB15" s="1">
        <f>ROUND(Scores_2017!BP19,$A$1)</f>
        <v>76.24</v>
      </c>
      <c r="BC15" s="1">
        <f>ROUND(Scores_2017!BQ19,$A$1)</f>
        <v>48.74</v>
      </c>
      <c r="BD15" s="1">
        <f>ROUND(Scores_2017!BR19,$A$1)</f>
        <v>83.36</v>
      </c>
      <c r="BE15" s="1">
        <f>ROUND(Scores_2017!BS19,$A$1)</f>
        <v>74.01</v>
      </c>
      <c r="BF15" s="1">
        <f>ROUND(Scores_2017!BT19,$A$1)</f>
        <v>82.23</v>
      </c>
      <c r="BG15" s="1">
        <f>ROUND(Scores_2017!BU19,$A$1)</f>
        <v>69.51</v>
      </c>
      <c r="BH15" s="1">
        <f>ROUND(Scores_2017!BV19,$A$1)</f>
        <v>35.88</v>
      </c>
      <c r="BI15" s="1">
        <f>ROUND(Scores_2017!BW19,$A$1)</f>
        <v>78.96</v>
      </c>
      <c r="BJ15" s="1">
        <f>ROUND(Scores_2017!BX19,$A$1)</f>
        <v>91.66</v>
      </c>
      <c r="BL15" s="1">
        <f t="shared" si="1"/>
        <v>62.5991803278688</v>
      </c>
    </row>
    <row r="16" spans="1:64">
      <c r="A16" s="1" t="str">
        <f>Scores_2017!N20</f>
        <v>   2.1.1) Environmental policies</v>
      </c>
      <c r="B16" s="1">
        <f>ROUND(Scores_2017!P20,$A$1)</f>
        <v>62.79</v>
      </c>
      <c r="C16" s="1">
        <f>ROUND(Scores_2017!Q20,$A$1)</f>
        <v>97.67</v>
      </c>
      <c r="D16" s="1">
        <f>ROUND(Scores_2017!R20,$A$1)</f>
        <v>41.86</v>
      </c>
      <c r="E16" s="1">
        <f>ROUND(Scores_2017!S20,$A$1)</f>
        <v>72.09</v>
      </c>
      <c r="F16" s="1">
        <f>ROUND(Scores_2017!T20,$A$1)</f>
        <v>81.4</v>
      </c>
      <c r="G16" s="1">
        <f>ROUND(Scores_2017!U20,$A$1)</f>
        <v>79.07</v>
      </c>
      <c r="H16" s="1">
        <f>ROUND(Scores_2017!V20,$A$1)</f>
        <v>62.79</v>
      </c>
      <c r="I16" s="1">
        <f>ROUND(Scores_2017!W20,$A$1)</f>
        <v>97.67</v>
      </c>
      <c r="J16" s="1">
        <f>ROUND(Scores_2017!X20,$A$1)</f>
        <v>90.7</v>
      </c>
      <c r="K16" s="1">
        <f>ROUND(Scores_2017!Y20,$A$1)</f>
        <v>46.51</v>
      </c>
      <c r="L16" s="1">
        <f>ROUND(Scores_2017!Z20,$A$1)</f>
        <v>23.26</v>
      </c>
      <c r="M16" s="1">
        <f>ROUND(Scores_2017!AA20,$A$1)</f>
        <v>62.79</v>
      </c>
      <c r="N16" s="1">
        <f>ROUND(Scores_2017!AB20,$A$1)</f>
        <v>90.7</v>
      </c>
      <c r="O16" s="1">
        <f>ROUND(Scores_2017!AC20,$A$1)</f>
        <v>74.42</v>
      </c>
      <c r="P16" s="1">
        <f>ROUND(Scores_2017!AD20,$A$1)</f>
        <v>90.7</v>
      </c>
      <c r="Q16" s="1">
        <f>ROUND(Scores_2017!AE20,$A$1)</f>
        <v>4.65</v>
      </c>
      <c r="R16" s="1">
        <f>ROUND(Scores_2017!AF20,$A$1)</f>
        <v>27.91</v>
      </c>
      <c r="S16" s="1">
        <f>ROUND(Scores_2017!AG20,$A$1)</f>
        <v>90.7</v>
      </c>
      <c r="T16" s="1">
        <f>ROUND(Scores_2017!AH20,$A$1)</f>
        <v>62.79</v>
      </c>
      <c r="U16" s="1">
        <f>ROUND(Scores_2017!AI20,$A$1)</f>
        <v>97.67</v>
      </c>
      <c r="V16" s="1">
        <f>ROUND(Scores_2017!AJ20,$A$1)</f>
        <v>72.09</v>
      </c>
      <c r="W16" s="1">
        <f>ROUND(Scores_2017!AK20,$A$1)</f>
        <v>44.19</v>
      </c>
      <c r="X16" s="1">
        <f>ROUND(Scores_2017!AL20,$A$1)</f>
        <v>32.56</v>
      </c>
      <c r="Y16" s="1">
        <f>ROUND(Scores_2017!AM20,$A$1)</f>
        <v>86.05</v>
      </c>
      <c r="Z16" s="1">
        <f>ROUND(Scores_2017!AN20,$A$1)</f>
        <v>13.95</v>
      </c>
      <c r="AA16" s="1">
        <f>ROUND(Scores_2017!AO20,$A$1)</f>
        <v>62.79</v>
      </c>
      <c r="AB16" s="1">
        <f>ROUND(Scores_2017!AP20,$A$1)</f>
        <v>0</v>
      </c>
      <c r="AC16" s="1">
        <f>ROUND(Scores_2017!AQ20,$A$1)</f>
        <v>69.77</v>
      </c>
      <c r="AD16" s="1">
        <f>ROUND(Scores_2017!AR20,$A$1)</f>
        <v>83.72</v>
      </c>
      <c r="AE16" s="1">
        <f>ROUND(Scores_2017!AS20,$A$1)</f>
        <v>95.35</v>
      </c>
      <c r="AF16" s="1">
        <f>ROUND(Scores_2017!AT20,$A$1)</f>
        <v>81.4</v>
      </c>
      <c r="AG16" s="1">
        <f>ROUND(Scores_2017!AU20,$A$1)</f>
        <v>27.91</v>
      </c>
      <c r="AH16" s="1">
        <f>ROUND(Scores_2017!AV20,$A$1)</f>
        <v>81.4</v>
      </c>
      <c r="AI16" s="1">
        <f>ROUND(Scores_2017!AW20,$A$1)</f>
        <v>86.05</v>
      </c>
      <c r="AJ16" s="1">
        <f>ROUND(Scores_2017!AX20,$A$1)</f>
        <v>83.72</v>
      </c>
      <c r="AK16" s="1">
        <f>ROUND(Scores_2017!AY20,$A$1)</f>
        <v>65.12</v>
      </c>
      <c r="AL16" s="1">
        <f>ROUND(Scores_2017!AZ20,$A$1)</f>
        <v>32.56</v>
      </c>
      <c r="AM16" s="1">
        <f>ROUND(Scores_2017!BA20,$A$1)</f>
        <v>95.35</v>
      </c>
      <c r="AN16" s="1">
        <f>ROUND(Scores_2017!BB20,$A$1)</f>
        <v>90.7</v>
      </c>
      <c r="AO16" s="1">
        <f>ROUND(Scores_2017!BC20,$A$1)</f>
        <v>97.67</v>
      </c>
      <c r="AP16" s="1">
        <f>ROUND(Scores_2017!BD20,$A$1)</f>
        <v>23.26</v>
      </c>
      <c r="AQ16" s="1">
        <f>ROUND(Scores_2017!BE20,$A$1)</f>
        <v>60.47</v>
      </c>
      <c r="AR16" s="1">
        <f>ROUND(Scores_2017!BF20,$A$1)</f>
        <v>32.56</v>
      </c>
      <c r="AS16" s="1">
        <f>ROUND(Scores_2017!BG20,$A$1)</f>
        <v>69.77</v>
      </c>
      <c r="AT16" s="1">
        <f>ROUND(Scores_2017!BH20,$A$1)</f>
        <v>90.7</v>
      </c>
      <c r="AU16" s="1">
        <f>ROUND(Scores_2017!BI20,$A$1)</f>
        <v>48.84</v>
      </c>
      <c r="AV16" s="1">
        <f>ROUND(Scores_2017!BJ20,$A$1)</f>
        <v>60.47</v>
      </c>
      <c r="AW16" s="1">
        <f>ROUND(Scores_2017!BK20,$A$1)</f>
        <v>93.02</v>
      </c>
      <c r="AX16" s="1">
        <f>ROUND(Scores_2017!BL20,$A$1)</f>
        <v>79.07</v>
      </c>
      <c r="AY16" s="1">
        <f>ROUND(Scores_2017!BM20,$A$1)</f>
        <v>97.67</v>
      </c>
      <c r="AZ16" s="1">
        <f>ROUND(Scores_2017!BN20,$A$1)</f>
        <v>86.05</v>
      </c>
      <c r="BA16" s="1">
        <f>ROUND(Scores_2017!BO20,$A$1)</f>
        <v>86.05</v>
      </c>
      <c r="BB16" s="1">
        <f>ROUND(Scores_2017!BP20,$A$1)</f>
        <v>97.67</v>
      </c>
      <c r="BC16" s="1">
        <f>ROUND(Scores_2017!BQ20,$A$1)</f>
        <v>62.79</v>
      </c>
      <c r="BD16" s="1">
        <f>ROUND(Scores_2017!BR20,$A$1)</f>
        <v>86.05</v>
      </c>
      <c r="BE16" s="1">
        <f>ROUND(Scores_2017!BS20,$A$1)</f>
        <v>95.35</v>
      </c>
      <c r="BF16" s="1">
        <f>ROUND(Scores_2017!BT20,$A$1)</f>
        <v>100</v>
      </c>
      <c r="BG16" s="1">
        <f>ROUND(Scores_2017!BU20,$A$1)</f>
        <v>86.05</v>
      </c>
      <c r="BH16" s="1">
        <f>ROUND(Scores_2017!BV20,$A$1)</f>
        <v>37.21</v>
      </c>
      <c r="BI16" s="1">
        <f>ROUND(Scores_2017!BW20,$A$1)</f>
        <v>86.05</v>
      </c>
      <c r="BJ16" s="1">
        <f>ROUND(Scores_2017!BX20,$A$1)</f>
        <v>100</v>
      </c>
      <c r="BL16" s="1">
        <f t="shared" si="1"/>
        <v>69.5014754098361</v>
      </c>
    </row>
    <row r="17" spans="1:64">
      <c r="A17" s="1" t="str">
        <f>Scores_2017!N21</f>
        <v>   2.1.2) Access to healthcare</v>
      </c>
      <c r="B17" s="1">
        <f>ROUND(Scores_2017!P21,$A$1)</f>
        <v>73.33</v>
      </c>
      <c r="C17" s="1">
        <f>ROUND(Scores_2017!Q21,$A$1)</f>
        <v>100</v>
      </c>
      <c r="D17" s="1">
        <f>ROUND(Scores_2017!R21,$A$1)</f>
        <v>73.33</v>
      </c>
      <c r="E17" s="1">
        <f>ROUND(Scores_2017!S21,$A$1)</f>
        <v>80</v>
      </c>
      <c r="F17" s="1">
        <f>ROUND(Scores_2017!T21,$A$1)</f>
        <v>93.33</v>
      </c>
      <c r="G17" s="1">
        <f>ROUND(Scores_2017!U21,$A$1)</f>
        <v>86.67</v>
      </c>
      <c r="H17" s="1">
        <f>ROUND(Scores_2017!V21,$A$1)</f>
        <v>73.33</v>
      </c>
      <c r="I17" s="1">
        <f>ROUND(Scores_2017!W21,$A$1)</f>
        <v>100</v>
      </c>
      <c r="J17" s="1">
        <f>ROUND(Scores_2017!X21,$A$1)</f>
        <v>93.33</v>
      </c>
      <c r="K17" s="1">
        <f>ROUND(Scores_2017!Y21,$A$1)</f>
        <v>60</v>
      </c>
      <c r="L17" s="1">
        <f>ROUND(Scores_2017!Z21,$A$1)</f>
        <v>53.33</v>
      </c>
      <c r="M17" s="1">
        <f>ROUND(Scores_2017!AA21,$A$1)</f>
        <v>60</v>
      </c>
      <c r="N17" s="1">
        <f>ROUND(Scores_2017!AB21,$A$1)</f>
        <v>93.33</v>
      </c>
      <c r="O17" s="1">
        <f>ROUND(Scores_2017!AC21,$A$1)</f>
        <v>86.67</v>
      </c>
      <c r="P17" s="1">
        <f>ROUND(Scores_2017!AD21,$A$1)</f>
        <v>80</v>
      </c>
      <c r="Q17" s="1">
        <f>ROUND(Scores_2017!AE21,$A$1)</f>
        <v>46.67</v>
      </c>
      <c r="R17" s="1">
        <f>ROUND(Scores_2017!AF21,$A$1)</f>
        <v>80</v>
      </c>
      <c r="S17" s="1">
        <f>ROUND(Scores_2017!AG21,$A$1)</f>
        <v>100</v>
      </c>
      <c r="T17" s="1">
        <f>ROUND(Scores_2017!AH21,$A$1)</f>
        <v>73.33</v>
      </c>
      <c r="U17" s="1">
        <f>ROUND(Scores_2017!AI21,$A$1)</f>
        <v>93.33</v>
      </c>
      <c r="V17" s="1">
        <f>ROUND(Scores_2017!AJ21,$A$1)</f>
        <v>60</v>
      </c>
      <c r="W17" s="1">
        <f>ROUND(Scores_2017!AK21,$A$1)</f>
        <v>73.33</v>
      </c>
      <c r="X17" s="1">
        <f>ROUND(Scores_2017!AL21,$A$1)</f>
        <v>73.33</v>
      </c>
      <c r="Y17" s="1">
        <f>ROUND(Scores_2017!AM21,$A$1)</f>
        <v>80</v>
      </c>
      <c r="Z17" s="1">
        <f>ROUND(Scores_2017!AN21,$A$1)</f>
        <v>66.67</v>
      </c>
      <c r="AA17" s="1">
        <f>ROUND(Scores_2017!AO21,$A$1)</f>
        <v>73.33</v>
      </c>
      <c r="AB17" s="1">
        <f>ROUND(Scores_2017!AP21,$A$1)</f>
        <v>80</v>
      </c>
      <c r="AC17" s="1">
        <f>ROUND(Scores_2017!AQ21,$A$1)</f>
        <v>86.67</v>
      </c>
      <c r="AD17" s="1">
        <f>ROUND(Scores_2017!AR21,$A$1)</f>
        <v>86.67</v>
      </c>
      <c r="AE17" s="1">
        <f>ROUND(Scores_2017!AS21,$A$1)</f>
        <v>93.33</v>
      </c>
      <c r="AF17" s="1">
        <f>ROUND(Scores_2017!AT21,$A$1)</f>
        <v>93.33</v>
      </c>
      <c r="AG17" s="1">
        <f>ROUND(Scores_2017!AU21,$A$1)</f>
        <v>73.33</v>
      </c>
      <c r="AH17" s="1">
        <f>ROUND(Scores_2017!AV21,$A$1)</f>
        <v>100</v>
      </c>
      <c r="AI17" s="1">
        <f>ROUND(Scores_2017!AW21,$A$1)</f>
        <v>86.67</v>
      </c>
      <c r="AJ17" s="1">
        <f>ROUND(Scores_2017!AX21,$A$1)</f>
        <v>93.33</v>
      </c>
      <c r="AK17" s="1">
        <f>ROUND(Scores_2017!AY21,$A$1)</f>
        <v>80</v>
      </c>
      <c r="AL17" s="1">
        <f>ROUND(Scores_2017!AZ21,$A$1)</f>
        <v>86.67</v>
      </c>
      <c r="AM17" s="1">
        <f>ROUND(Scores_2017!BA21,$A$1)</f>
        <v>93.33</v>
      </c>
      <c r="AN17" s="1">
        <f>ROUND(Scores_2017!BB21,$A$1)</f>
        <v>100</v>
      </c>
      <c r="AO17" s="1">
        <f>ROUND(Scores_2017!BC21,$A$1)</f>
        <v>100</v>
      </c>
      <c r="AP17" s="1">
        <f>ROUND(Scores_2017!BD21,$A$1)</f>
        <v>60</v>
      </c>
      <c r="AQ17" s="1">
        <f>ROUND(Scores_2017!BE21,$A$1)</f>
        <v>73.33</v>
      </c>
      <c r="AR17" s="1">
        <f>ROUND(Scores_2017!BF21,$A$1)</f>
        <v>80</v>
      </c>
      <c r="AS17" s="1">
        <f>ROUND(Scores_2017!BG21,$A$1)</f>
        <v>93.33</v>
      </c>
      <c r="AT17" s="1">
        <f>ROUND(Scores_2017!BH21,$A$1)</f>
        <v>93.33</v>
      </c>
      <c r="AU17" s="1">
        <f>ROUND(Scores_2017!BI21,$A$1)</f>
        <v>80</v>
      </c>
      <c r="AV17" s="1">
        <f>ROUND(Scores_2017!BJ21,$A$1)</f>
        <v>80</v>
      </c>
      <c r="AW17" s="1">
        <f>ROUND(Scores_2017!BK21,$A$1)</f>
        <v>93.33</v>
      </c>
      <c r="AX17" s="1">
        <f>ROUND(Scores_2017!BL21,$A$1)</f>
        <v>86.67</v>
      </c>
      <c r="AY17" s="1">
        <f>ROUND(Scores_2017!BM21,$A$1)</f>
        <v>93.33</v>
      </c>
      <c r="AZ17" s="1">
        <f>ROUND(Scores_2017!BN21,$A$1)</f>
        <v>86.67</v>
      </c>
      <c r="BA17" s="1">
        <f>ROUND(Scores_2017!BO21,$A$1)</f>
        <v>100</v>
      </c>
      <c r="BB17" s="1">
        <f>ROUND(Scores_2017!BP21,$A$1)</f>
        <v>86.67</v>
      </c>
      <c r="BC17" s="1">
        <f>ROUND(Scores_2017!BQ21,$A$1)</f>
        <v>66.67</v>
      </c>
      <c r="BD17" s="1">
        <f>ROUND(Scores_2017!BR21,$A$1)</f>
        <v>100</v>
      </c>
      <c r="BE17" s="1">
        <f>ROUND(Scores_2017!BS21,$A$1)</f>
        <v>100</v>
      </c>
      <c r="BF17" s="1">
        <f>ROUND(Scores_2017!BT21,$A$1)</f>
        <v>93.33</v>
      </c>
      <c r="BG17" s="1">
        <f>ROUND(Scores_2017!BU21,$A$1)</f>
        <v>93.33</v>
      </c>
      <c r="BH17" s="1">
        <f>ROUND(Scores_2017!BV21,$A$1)</f>
        <v>60</v>
      </c>
      <c r="BI17" s="1">
        <f>ROUND(Scores_2017!BW21,$A$1)</f>
        <v>100</v>
      </c>
      <c r="BJ17" s="1">
        <f>ROUND(Scores_2017!BX21,$A$1)</f>
        <v>100</v>
      </c>
      <c r="BL17" s="1">
        <f t="shared" si="1"/>
        <v>83.6059016393443</v>
      </c>
    </row>
    <row r="18" spans="1:64">
      <c r="A18" s="1" t="str">
        <f>Scores_2017!N22</f>
        <v>   2.1.3) No. of beds per 1,000</v>
      </c>
      <c r="B18" s="1">
        <f>ROUND(Scores_2017!P22,$A$1)</f>
        <v>8.27</v>
      </c>
      <c r="C18" s="1">
        <f>ROUND(Scores_2017!Q22,$A$1)</f>
        <v>38.02</v>
      </c>
      <c r="D18" s="1">
        <f>ROUND(Scores_2017!R22,$A$1)</f>
        <v>38.85</v>
      </c>
      <c r="E18" s="1">
        <f>ROUND(Scores_2017!S22,$A$1)</f>
        <v>16.53</v>
      </c>
      <c r="F18" s="1">
        <f>ROUND(Scores_2017!T22,$A$1)</f>
        <v>24.8</v>
      </c>
      <c r="G18" s="1">
        <f>ROUND(Scores_2017!U22,$A$1)</f>
        <v>47.9</v>
      </c>
      <c r="H18" s="1">
        <f>ROUND(Scores_2017!V22,$A$1)</f>
        <v>11.57</v>
      </c>
      <c r="I18" s="1">
        <f>ROUND(Scores_2017!W22,$A$1)</f>
        <v>52.9</v>
      </c>
      <c r="J18" s="1">
        <f>ROUND(Scores_2017!X22,$A$1)</f>
        <v>38.02</v>
      </c>
      <c r="K18" s="1">
        <f>ROUND(Scores_2017!Y22,$A$1)</f>
        <v>3.31</v>
      </c>
      <c r="L18" s="1">
        <f>ROUND(Scores_2017!Z22,$A$1)</f>
        <v>6.61</v>
      </c>
      <c r="M18" s="1">
        <f>ROUND(Scores_2017!AA22,$A$1)</f>
        <v>6.61</v>
      </c>
      <c r="N18" s="1">
        <f>ROUND(Scores_2017!AB22,$A$1)</f>
        <v>19.84</v>
      </c>
      <c r="O18" s="1">
        <f>ROUND(Scores_2017!AC22,$A$1)</f>
        <v>18.18</v>
      </c>
      <c r="P18" s="1">
        <f>ROUND(Scores_2017!AD22,$A$1)</f>
        <v>21.57</v>
      </c>
      <c r="Q18" s="1">
        <f>ROUND(Scores_2017!AE22,$A$1)</f>
        <v>4.13</v>
      </c>
      <c r="R18" s="1">
        <f>ROUND(Scores_2017!AF22,$A$1)</f>
        <v>9.09</v>
      </c>
      <c r="S18" s="1">
        <f>ROUND(Scores_2017!AG22,$A$1)</f>
        <v>66.95</v>
      </c>
      <c r="T18" s="1">
        <f>ROUND(Scores_2017!AH22,$A$1)</f>
        <v>15.7</v>
      </c>
      <c r="U18" s="1">
        <f>ROUND(Scores_2017!AI22,$A$1)</f>
        <v>42.15</v>
      </c>
      <c r="V18" s="1">
        <f>ROUND(Scores_2017!AJ22,$A$1)</f>
        <v>19.84</v>
      </c>
      <c r="W18" s="1">
        <f>ROUND(Scores_2017!AK22,$A$1)</f>
        <v>6.61</v>
      </c>
      <c r="X18" s="1">
        <f>ROUND(Scores_2017!AL22,$A$1)</f>
        <v>11.19</v>
      </c>
      <c r="Y18" s="1">
        <f>ROUND(Scores_2017!AM22,$A$1)</f>
        <v>19.84</v>
      </c>
      <c r="Z18" s="1">
        <f>ROUND(Scores_2017!AN22,$A$1)</f>
        <v>4.13</v>
      </c>
      <c r="AA18" s="1">
        <f>ROUND(Scores_2017!AO22,$A$1)</f>
        <v>14.88</v>
      </c>
      <c r="AB18" s="1">
        <f>ROUND(Scores_2017!AP22,$A$1)</f>
        <v>17.36</v>
      </c>
      <c r="AC18" s="1">
        <f>ROUND(Scores_2017!AQ22,$A$1)</f>
        <v>11.57</v>
      </c>
      <c r="AD18" s="1">
        <f>ROUND(Scores_2017!AR22,$A$1)</f>
        <v>23.14</v>
      </c>
      <c r="AE18" s="1">
        <f>ROUND(Scores_2017!AS22,$A$1)</f>
        <v>14.05</v>
      </c>
      <c r="AF18" s="1">
        <f>ROUND(Scores_2017!AT22,$A$1)</f>
        <v>24.8</v>
      </c>
      <c r="AG18" s="1">
        <f>ROUND(Scores_2017!AU22,$A$1)</f>
        <v>7.44</v>
      </c>
      <c r="AH18" s="1">
        <f>ROUND(Scores_2017!AV22,$A$1)</f>
        <v>31.41</v>
      </c>
      <c r="AI18" s="1">
        <f>ROUND(Scores_2017!AW22,$A$1)</f>
        <v>11.57</v>
      </c>
      <c r="AJ18" s="1">
        <f>ROUND(Scores_2017!AX22,$A$1)</f>
        <v>27.27</v>
      </c>
      <c r="AK18" s="1">
        <f>ROUND(Scores_2017!AY22,$A$1)</f>
        <v>89.18</v>
      </c>
      <c r="AL18" s="1">
        <f>ROUND(Scores_2017!AZ22,$A$1)</f>
        <v>26.45</v>
      </c>
      <c r="AM18" s="1">
        <f>ROUND(Scores_2017!BA22,$A$1)</f>
        <v>21.49</v>
      </c>
      <c r="AN18" s="1">
        <f>ROUND(Scores_2017!BB22,$A$1)</f>
        <v>100</v>
      </c>
      <c r="AO18" s="1">
        <f>ROUND(Scores_2017!BC22,$A$1)</f>
        <v>52.07</v>
      </c>
      <c r="AP18" s="1">
        <f>ROUND(Scores_2017!BD22,$A$1)</f>
        <v>12.4</v>
      </c>
      <c r="AQ18" s="1">
        <f>ROUND(Scores_2017!BE22,$A$1)</f>
        <v>18.18</v>
      </c>
      <c r="AR18" s="1">
        <f>ROUND(Scores_2017!BF22,$A$1)</f>
        <v>12.7</v>
      </c>
      <c r="AS18" s="1">
        <f>ROUND(Scores_2017!BG22,$A$1)</f>
        <v>27.27</v>
      </c>
      <c r="AT18" s="1">
        <f>ROUND(Scores_2017!BH22,$A$1)</f>
        <v>14.05</v>
      </c>
      <c r="AU18" s="1">
        <f>ROUND(Scores_2017!BI22,$A$1)</f>
        <v>16.53</v>
      </c>
      <c r="AV18" s="1">
        <f>ROUND(Scores_2017!BJ22,$A$1)</f>
        <v>18.18</v>
      </c>
      <c r="AW18" s="1">
        <f>ROUND(Scores_2017!BK22,$A$1)</f>
        <v>84.3</v>
      </c>
      <c r="AX18" s="1">
        <f>ROUND(Scores_2017!BL22,$A$1)</f>
        <v>44.54</v>
      </c>
      <c r="AY18" s="1">
        <f>ROUND(Scores_2017!BM22,$A$1)</f>
        <v>15.7</v>
      </c>
      <c r="AZ18" s="1">
        <f>ROUND(Scores_2017!BN22,$A$1)</f>
        <v>21.49</v>
      </c>
      <c r="BA18" s="1">
        <f>ROUND(Scores_2017!BO22,$A$1)</f>
        <v>31.41</v>
      </c>
      <c r="BB18" s="1">
        <f>ROUND(Scores_2017!BP22,$A$1)</f>
        <v>75.33</v>
      </c>
      <c r="BC18" s="1">
        <f>ROUND(Scores_2017!BQ22,$A$1)</f>
        <v>0</v>
      </c>
      <c r="BD18" s="1">
        <f>ROUND(Scores_2017!BR22,$A$1)</f>
        <v>77.55</v>
      </c>
      <c r="BE18" s="1">
        <f>ROUND(Scores_2017!BS22,$A$1)</f>
        <v>21.49</v>
      </c>
      <c r="BF18" s="1">
        <f>ROUND(Scores_2017!BT22,$A$1)</f>
        <v>13.22</v>
      </c>
      <c r="BG18" s="1">
        <f>ROUND(Scores_2017!BU22,$A$1)</f>
        <v>18.18</v>
      </c>
      <c r="BH18" s="1">
        <f>ROUND(Scores_2017!BV22,$A$1)</f>
        <v>4.96</v>
      </c>
      <c r="BI18" s="1">
        <f>ROUND(Scores_2017!BW22,$A$1)</f>
        <v>40.5</v>
      </c>
      <c r="BJ18" s="1">
        <f>ROUND(Scores_2017!BX22,$A$1)</f>
        <v>113.01</v>
      </c>
      <c r="BL18" s="1">
        <f t="shared" si="1"/>
        <v>27.9718032786885</v>
      </c>
    </row>
    <row r="19" spans="1:64">
      <c r="A19" s="1" t="str">
        <f>Scores_2017!N23</f>
        <v>   2.1.4) No. of doctors per 1,000</v>
      </c>
      <c r="B19" s="1">
        <f>ROUND(Scores_2017!P23,$A$1)</f>
        <v>16.37</v>
      </c>
      <c r="C19" s="1">
        <f>ROUND(Scores_2017!Q23,$A$1)</f>
        <v>38</v>
      </c>
      <c r="D19" s="1">
        <f>ROUND(Scores_2017!R23,$A$1)</f>
        <v>73.01</v>
      </c>
      <c r="E19" s="1">
        <f>ROUND(Scores_2017!S23,$A$1)</f>
        <v>2.33</v>
      </c>
      <c r="F19" s="1">
        <f>ROUND(Scores_2017!T23,$A$1)</f>
        <v>43.63</v>
      </c>
      <c r="G19" s="1">
        <f>ROUND(Scores_2017!U23,$A$1)</f>
        <v>44.61</v>
      </c>
      <c r="H19" s="1">
        <f>ROUND(Scores_2017!V23,$A$1)</f>
        <v>16.49</v>
      </c>
      <c r="I19" s="1">
        <f>ROUND(Scores_2017!W23,$A$1)</f>
        <v>33.41</v>
      </c>
      <c r="J19" s="1">
        <f>ROUND(Scores_2017!X23,$A$1)</f>
        <v>42.95</v>
      </c>
      <c r="K19" s="1">
        <f>ROUND(Scores_2017!Y23,$A$1)</f>
        <v>7.39</v>
      </c>
      <c r="L19" s="1">
        <f>ROUND(Scores_2017!Z23,$A$1)</f>
        <v>20.79</v>
      </c>
      <c r="M19" s="1">
        <f>ROUND(Scores_2017!AA23,$A$1)</f>
        <v>5.03</v>
      </c>
      <c r="N19" s="1">
        <f>ROUND(Scores_2017!AB23,$A$1)</f>
        <v>30.32</v>
      </c>
      <c r="O19" s="1">
        <f>ROUND(Scores_2017!AC23,$A$1)</f>
        <v>23.3</v>
      </c>
      <c r="P19" s="1">
        <f>ROUND(Scores_2017!AD23,$A$1)</f>
        <v>6.32</v>
      </c>
      <c r="Q19" s="1">
        <f>ROUND(Scores_2017!AE23,$A$1)</f>
        <v>2.27</v>
      </c>
      <c r="R19" s="1">
        <f>ROUND(Scores_2017!AF23,$A$1)</f>
        <v>21.26</v>
      </c>
      <c r="S19" s="1">
        <f>ROUND(Scores_2017!AG23,$A$1)</f>
        <v>47.32</v>
      </c>
      <c r="T19" s="1">
        <f>ROUND(Scores_2017!AH23,$A$1)</f>
        <v>11.81</v>
      </c>
      <c r="U19" s="1">
        <f>ROUND(Scores_2017!AI23,$A$1)</f>
        <v>20.49</v>
      </c>
      <c r="V19" s="1">
        <f>ROUND(Scores_2017!AJ23,$A$1)</f>
        <v>18.67</v>
      </c>
      <c r="W19" s="1">
        <f>ROUND(Scores_2017!AK23,$A$1)</f>
        <v>0</v>
      </c>
      <c r="X19" s="1">
        <f>ROUND(Scores_2017!AL23,$A$1)</f>
        <v>24.21</v>
      </c>
      <c r="Y19" s="1">
        <f>ROUND(Scores_2017!AM23,$A$1)</f>
        <v>6.83</v>
      </c>
      <c r="Z19" s="1">
        <f>ROUND(Scores_2017!AN23,$A$1)</f>
        <v>7.3</v>
      </c>
      <c r="AA19" s="1">
        <f>ROUND(Scores_2017!AO23,$A$1)</f>
        <v>13.02</v>
      </c>
      <c r="AB19" s="1">
        <f>ROUND(Scores_2017!AP23,$A$1)</f>
        <v>21.08</v>
      </c>
      <c r="AC19" s="1">
        <f>ROUND(Scores_2017!AQ23,$A$1)</f>
        <v>11.03</v>
      </c>
      <c r="AD19" s="1">
        <f>ROUND(Scores_2017!AR23,$A$1)</f>
        <v>31.42</v>
      </c>
      <c r="AE19" s="1">
        <f>ROUND(Scores_2017!AS23,$A$1)</f>
        <v>29.23</v>
      </c>
      <c r="AF19" s="1">
        <f>ROUND(Scores_2017!AT23,$A$1)</f>
        <v>43.63</v>
      </c>
      <c r="AG19" s="1">
        <f>ROUND(Scores_2017!AU23,$A$1)</f>
        <v>10.96</v>
      </c>
      <c r="AH19" s="1">
        <f>ROUND(Scores_2017!AV23,$A$1)</f>
        <v>38.27</v>
      </c>
      <c r="AI19" s="1">
        <f>ROUND(Scores_2017!AW23,$A$1)</f>
        <v>22.55</v>
      </c>
      <c r="AJ19" s="1">
        <f>ROUND(Scores_2017!AX23,$A$1)</f>
        <v>45.15</v>
      </c>
      <c r="AK19" s="1">
        <f>ROUND(Scores_2017!AY23,$A$1)</f>
        <v>37.45</v>
      </c>
      <c r="AL19" s="1">
        <f>ROUND(Scores_2017!AZ23,$A$1)</f>
        <v>6.32</v>
      </c>
      <c r="AM19" s="1">
        <f>ROUND(Scores_2017!BA23,$A$1)</f>
        <v>40.24</v>
      </c>
      <c r="AN19" s="1">
        <f>ROUND(Scores_2017!BB23,$A$1)</f>
        <v>30.69</v>
      </c>
      <c r="AO19" s="1">
        <f>ROUND(Scores_2017!BC23,$A$1)</f>
        <v>36.49</v>
      </c>
      <c r="AP19" s="1">
        <f>ROUND(Scores_2017!BD23,$A$1)</f>
        <v>17.66</v>
      </c>
      <c r="AQ19" s="1">
        <f>ROUND(Scores_2017!BE23,$A$1)</f>
        <v>19.91</v>
      </c>
      <c r="AR19" s="1">
        <f>ROUND(Scores_2017!BF23,$A$1)</f>
        <v>23.2</v>
      </c>
      <c r="AS19" s="1">
        <f>ROUND(Scores_2017!BG23,$A$1)</f>
        <v>45.15</v>
      </c>
      <c r="AT19" s="1">
        <f>ROUND(Scores_2017!BH23,$A$1)</f>
        <v>29.23</v>
      </c>
      <c r="AU19" s="1">
        <f>ROUND(Scores_2017!BI23,$A$1)</f>
        <v>10.03</v>
      </c>
      <c r="AV19" s="1">
        <f>ROUND(Scores_2017!BJ23,$A$1)</f>
        <v>19.91</v>
      </c>
      <c r="AW19" s="1">
        <f>ROUND(Scores_2017!BK23,$A$1)</f>
        <v>24.48</v>
      </c>
      <c r="AX19" s="1">
        <f>ROUND(Scores_2017!BL23,$A$1)</f>
        <v>28.93</v>
      </c>
      <c r="AY19" s="1">
        <f>ROUND(Scores_2017!BM23,$A$1)</f>
        <v>20.65</v>
      </c>
      <c r="AZ19" s="1">
        <f>ROUND(Scores_2017!BN23,$A$1)</f>
        <v>47.11</v>
      </c>
      <c r="BA19" s="1">
        <f>ROUND(Scores_2017!BO23,$A$1)</f>
        <v>38.27</v>
      </c>
      <c r="BB19" s="1">
        <f>ROUND(Scores_2017!BP23,$A$1)</f>
        <v>14.06</v>
      </c>
      <c r="BC19" s="1">
        <f>ROUND(Scores_2017!BQ23,$A$1)</f>
        <v>15.56</v>
      </c>
      <c r="BD19" s="1">
        <f>ROUND(Scores_2017!BR23,$A$1)</f>
        <v>36.58</v>
      </c>
      <c r="BE19" s="1">
        <f>ROUND(Scores_2017!BS23,$A$1)</f>
        <v>27.45</v>
      </c>
      <c r="BF19" s="1">
        <f>ROUND(Scores_2017!BT23,$A$1)</f>
        <v>100</v>
      </c>
      <c r="BG19" s="1">
        <f>ROUND(Scores_2017!BU23,$A$1)</f>
        <v>31.97</v>
      </c>
      <c r="BH19" s="1">
        <f>ROUND(Scores_2017!BV23,$A$1)</f>
        <v>4.43</v>
      </c>
      <c r="BI19" s="1">
        <f>ROUND(Scores_2017!BW23,$A$1)</f>
        <v>47.19</v>
      </c>
      <c r="BJ19" s="1">
        <f>ROUND(Scores_2017!BX23,$A$1)</f>
        <v>36.93</v>
      </c>
      <c r="BL19" s="1">
        <f t="shared" si="1"/>
        <v>26.5629508196721</v>
      </c>
    </row>
    <row r="20" spans="1:64">
      <c r="A20" s="1" t="str">
        <f>Scores_2017!N24</f>
        <v>   2.1.5) Access to safe and quality food</v>
      </c>
      <c r="B20" s="1">
        <f>ROUND(Scores_2017!P24,$A$1)</f>
        <v>99.7</v>
      </c>
      <c r="C20" s="1">
        <f>ROUND(Scores_2017!Q24,$A$1)</f>
        <v>100</v>
      </c>
      <c r="D20" s="1">
        <f>ROUND(Scores_2017!R24,$A$1)</f>
        <v>100</v>
      </c>
      <c r="E20" s="1">
        <f>ROUND(Scores_2017!S24,$A$1)</f>
        <v>98.2</v>
      </c>
      <c r="F20" s="1">
        <f>ROUND(Scores_2017!T24,$A$1)</f>
        <v>100</v>
      </c>
      <c r="G20" s="1">
        <f>ROUND(Scores_2017!U24,$A$1)</f>
        <v>96.2</v>
      </c>
      <c r="H20" s="1">
        <f>ROUND(Scores_2017!V24,$A$1)</f>
        <v>92.8</v>
      </c>
      <c r="I20" s="1">
        <f>ROUND(Scores_2017!W24,$A$1)</f>
        <v>100</v>
      </c>
      <c r="J20" s="1">
        <f>ROUND(Scores_2017!X24,$A$1)</f>
        <v>99.2</v>
      </c>
      <c r="K20" s="1">
        <f>ROUND(Scores_2017!Y24,$A$1)</f>
        <v>99.5</v>
      </c>
      <c r="L20" s="1">
        <f>ROUND(Scores_2017!Z24,$A$1)</f>
        <v>94.2</v>
      </c>
      <c r="M20" s="1">
        <f>ROUND(Scores_2017!AA24,$A$1)</f>
        <v>87.7</v>
      </c>
      <c r="N20" s="1">
        <f>ROUND(Scores_2017!AB24,$A$1)</f>
        <v>99.3</v>
      </c>
      <c r="O20" s="1">
        <f>ROUND(Scores_2017!AC24,$A$1)</f>
        <v>99.3</v>
      </c>
      <c r="P20" s="1">
        <f>ROUND(Scores_2017!AD24,$A$1)</f>
        <v>82.5</v>
      </c>
      <c r="Q20" s="1">
        <f>ROUND(Scores_2017!AE24,$A$1)</f>
        <v>76.5</v>
      </c>
      <c r="R20" s="1">
        <f>ROUND(Scores_2017!AF24,$A$1)</f>
        <v>87.5</v>
      </c>
      <c r="S20" s="1">
        <f>ROUND(Scores_2017!AG24,$A$1)</f>
        <v>100</v>
      </c>
      <c r="T20" s="1">
        <f>ROUND(Scores_2017!AH24,$A$1)</f>
        <v>85.5</v>
      </c>
      <c r="U20" s="1">
        <f>ROUND(Scores_2017!AI24,$A$1)</f>
        <v>96.2</v>
      </c>
      <c r="V20" s="1">
        <f>ROUND(Scores_2017!AJ24,$A$1)</f>
        <v>100</v>
      </c>
      <c r="W20" s="1">
        <f>ROUND(Scores_2017!AK24,$A$1)</f>
        <v>76.9</v>
      </c>
      <c r="X20" s="1">
        <f>ROUND(Scores_2017!AL24,$A$1)</f>
        <v>97.5</v>
      </c>
      <c r="Y20" s="1">
        <f>ROUND(Scores_2017!AM24,$A$1)</f>
        <v>94.3</v>
      </c>
      <c r="Z20" s="1">
        <f>ROUND(Scores_2017!AN24,$A$1)</f>
        <v>48.1</v>
      </c>
      <c r="AA20" s="1">
        <f>ROUND(Scores_2017!AO24,$A$1)</f>
        <v>98.5</v>
      </c>
      <c r="AB20" s="1">
        <f>ROUND(Scores_2017!AP24,$A$1)</f>
        <v>99.2</v>
      </c>
      <c r="AC20" s="1">
        <f>ROUND(Scores_2017!AQ24,$A$1)</f>
        <v>88.8</v>
      </c>
      <c r="AD20" s="1">
        <f>ROUND(Scores_2017!AR24,$A$1)</f>
        <v>100</v>
      </c>
      <c r="AE20" s="1">
        <f>ROUND(Scores_2017!AS24,$A$1)</f>
        <v>99.3</v>
      </c>
      <c r="AF20" s="1">
        <f>ROUND(Scores_2017!AT24,$A$1)</f>
        <v>100</v>
      </c>
      <c r="AG20" s="1">
        <f>ROUND(Scores_2017!AU24,$A$1)</f>
        <v>93.1</v>
      </c>
      <c r="AH20" s="1">
        <f>ROUND(Scores_2017!AV24,$A$1)</f>
        <v>100</v>
      </c>
      <c r="AI20" s="1">
        <f>ROUND(Scores_2017!AW24,$A$1)</f>
        <v>96.7</v>
      </c>
      <c r="AJ20" s="1">
        <f>ROUND(Scores_2017!AX24,$A$1)</f>
        <v>100</v>
      </c>
      <c r="AK20" s="1">
        <f>ROUND(Scores_2017!AY24,$A$1)</f>
        <v>97.4</v>
      </c>
      <c r="AL20" s="1">
        <f>ROUND(Scores_2017!AZ24,$A$1)</f>
        <v>82.5</v>
      </c>
      <c r="AM20" s="1">
        <f>ROUND(Scores_2017!BA24,$A$1)</f>
        <v>99.3</v>
      </c>
      <c r="AN20" s="1">
        <f>ROUND(Scores_2017!BB24,$A$1)</f>
        <v>100</v>
      </c>
      <c r="AO20" s="1">
        <f>ROUND(Scores_2017!BC24,$A$1)</f>
        <v>100</v>
      </c>
      <c r="AP20" s="1">
        <f>ROUND(Scores_2017!BD24,$A$1)</f>
        <v>89</v>
      </c>
      <c r="AQ20" s="1">
        <f>ROUND(Scores_2017!BE24,$A$1)</f>
        <v>98.4</v>
      </c>
      <c r="AR20" s="1">
        <f>ROUND(Scores_2017!BF24,$A$1)</f>
        <v>97.5</v>
      </c>
      <c r="AS20" s="1">
        <f>ROUND(Scores_2017!BG24,$A$1)</f>
        <v>100</v>
      </c>
      <c r="AT20" s="1">
        <f>ROUND(Scores_2017!BH24,$A$1)</f>
        <v>99.3</v>
      </c>
      <c r="AU20" s="1">
        <f>ROUND(Scores_2017!BI24,$A$1)</f>
        <v>99.2</v>
      </c>
      <c r="AV20" s="1">
        <f>ROUND(Scores_2017!BJ24,$A$1)</f>
        <v>98.4</v>
      </c>
      <c r="AW20" s="1">
        <f>ROUND(Scores_2017!BK24,$A$1)</f>
        <v>99.7</v>
      </c>
      <c r="AX20" s="1">
        <f>ROUND(Scores_2017!BL24,$A$1)</f>
        <v>96.2</v>
      </c>
      <c r="AY20" s="1">
        <f>ROUND(Scores_2017!BM24,$A$1)</f>
        <v>100</v>
      </c>
      <c r="AZ20" s="1">
        <f>ROUND(Scores_2017!BN24,$A$1)</f>
        <v>100</v>
      </c>
      <c r="BA20" s="1">
        <f>ROUND(Scores_2017!BO24,$A$1)</f>
        <v>100</v>
      </c>
      <c r="BB20" s="1">
        <f>ROUND(Scores_2017!BP24,$A$1)</f>
        <v>96.2</v>
      </c>
      <c r="BC20" s="1">
        <f>ROUND(Scores_2017!BQ24,$A$1)</f>
        <v>84.9</v>
      </c>
      <c r="BD20" s="1">
        <f>ROUND(Scores_2017!BR24,$A$1)</f>
        <v>100</v>
      </c>
      <c r="BE20" s="1">
        <f>ROUND(Scores_2017!BS24,$A$1)</f>
        <v>99.8</v>
      </c>
      <c r="BF20" s="1">
        <f>ROUND(Scores_2017!BT24,$A$1)</f>
        <v>99.3</v>
      </c>
      <c r="BG20" s="1">
        <f>ROUND(Scores_2017!BU24,$A$1)</f>
        <v>100</v>
      </c>
      <c r="BH20" s="1">
        <f>ROUND(Scores_2017!BV24,$A$1)</f>
        <v>71.2</v>
      </c>
      <c r="BI20" s="1">
        <f>ROUND(Scores_2017!BW24,$A$1)</f>
        <v>100</v>
      </c>
      <c r="BJ20" s="1">
        <f>ROUND(Scores_2017!BX24,$A$1)</f>
        <v>100</v>
      </c>
      <c r="BL20" s="1">
        <f t="shared" si="1"/>
        <v>95</v>
      </c>
    </row>
    <row r="21" spans="1:64">
      <c r="A21" s="1" t="str">
        <f>Scores_2017!N25</f>
        <v>   2.1.6) Quality of health services</v>
      </c>
      <c r="B21" s="1">
        <f>ROUND(Scores_2017!P25,$A$1)</f>
        <v>75</v>
      </c>
      <c r="C21" s="1">
        <f>ROUND(Scores_2017!Q25,$A$1)</f>
        <v>100</v>
      </c>
      <c r="D21" s="1">
        <f>ROUND(Scores_2017!R25,$A$1)</f>
        <v>62.5</v>
      </c>
      <c r="E21" s="1">
        <f>ROUND(Scores_2017!S25,$A$1)</f>
        <v>62.5</v>
      </c>
      <c r="F21" s="1">
        <f>ROUND(Scores_2017!T25,$A$1)</f>
        <v>100</v>
      </c>
      <c r="G21" s="1">
        <f>ROUND(Scores_2017!U25,$A$1)</f>
        <v>62.5</v>
      </c>
      <c r="H21" s="1">
        <f>ROUND(Scores_2017!V25,$A$1)</f>
        <v>62.5</v>
      </c>
      <c r="I21" s="1">
        <f>ROUND(Scores_2017!W25,$A$1)</f>
        <v>100</v>
      </c>
      <c r="J21" s="1">
        <f>ROUND(Scores_2017!X25,$A$1)</f>
        <v>75</v>
      </c>
      <c r="K21" s="1">
        <f>ROUND(Scores_2017!Y25,$A$1)</f>
        <v>37.5</v>
      </c>
      <c r="L21" s="1">
        <f>ROUND(Scores_2017!Z25,$A$1)</f>
        <v>37.5</v>
      </c>
      <c r="M21" s="1">
        <f>ROUND(Scores_2017!AA25,$A$1)</f>
        <v>37.5</v>
      </c>
      <c r="N21" s="1">
        <f>ROUND(Scores_2017!AB25,$A$1)</f>
        <v>87.5</v>
      </c>
      <c r="O21" s="1">
        <f>ROUND(Scores_2017!AC25,$A$1)</f>
        <v>87.5</v>
      </c>
      <c r="P21" s="1">
        <f>ROUND(Scores_2017!AD25,$A$1)</f>
        <v>62.5</v>
      </c>
      <c r="Q21" s="1">
        <f>ROUND(Scores_2017!AE25,$A$1)</f>
        <v>37.5</v>
      </c>
      <c r="R21" s="1">
        <f>ROUND(Scores_2017!AF25,$A$1)</f>
        <v>75</v>
      </c>
      <c r="S21" s="1">
        <f>ROUND(Scores_2017!AG25,$A$1)</f>
        <v>100</v>
      </c>
      <c r="T21" s="1">
        <f>ROUND(Scores_2017!AH25,$A$1)</f>
        <v>37.5</v>
      </c>
      <c r="U21" s="1">
        <f>ROUND(Scores_2017!AI25,$A$1)</f>
        <v>87.5</v>
      </c>
      <c r="V21" s="1">
        <f>ROUND(Scores_2017!AJ25,$A$1)</f>
        <v>50</v>
      </c>
      <c r="W21" s="1">
        <f>ROUND(Scores_2017!AK25,$A$1)</f>
        <v>37.5</v>
      </c>
      <c r="X21" s="1">
        <f>ROUND(Scores_2017!AL25,$A$1)</f>
        <v>62.5</v>
      </c>
      <c r="Y21" s="1">
        <f>ROUND(Scores_2017!AM25,$A$1)</f>
        <v>50</v>
      </c>
      <c r="Z21" s="1">
        <f>ROUND(Scores_2017!AN25,$A$1)</f>
        <v>50</v>
      </c>
      <c r="AA21" s="1">
        <f>ROUND(Scores_2017!AO25,$A$1)</f>
        <v>62.5</v>
      </c>
      <c r="AB21" s="1">
        <f>ROUND(Scores_2017!AP25,$A$1)</f>
        <v>87.5</v>
      </c>
      <c r="AC21" s="1">
        <f>ROUND(Scores_2017!AQ25,$A$1)</f>
        <v>62.5</v>
      </c>
      <c r="AD21" s="1">
        <f>ROUND(Scores_2017!AR25,$A$1)</f>
        <v>87.5</v>
      </c>
      <c r="AE21" s="1">
        <f>ROUND(Scores_2017!AS25,$A$1)</f>
        <v>87.5</v>
      </c>
      <c r="AF21" s="1">
        <f>ROUND(Scores_2017!AT25,$A$1)</f>
        <v>87.5</v>
      </c>
      <c r="AG21" s="1">
        <f>ROUND(Scores_2017!AU25,$A$1)</f>
        <v>62.5</v>
      </c>
      <c r="AH21" s="1">
        <f>ROUND(Scores_2017!AV25,$A$1)</f>
        <v>100</v>
      </c>
      <c r="AI21" s="1">
        <f>ROUND(Scores_2017!AW25,$A$1)</f>
        <v>50</v>
      </c>
      <c r="AJ21" s="1">
        <f>ROUND(Scores_2017!AX25,$A$1)</f>
        <v>75</v>
      </c>
      <c r="AK21" s="1">
        <f>ROUND(Scores_2017!AY25,$A$1)</f>
        <v>75</v>
      </c>
      <c r="AL21" s="1">
        <f>ROUND(Scores_2017!AZ25,$A$1)</f>
        <v>37.5</v>
      </c>
      <c r="AM21" s="1">
        <f>ROUND(Scores_2017!BA25,$A$1)</f>
        <v>87.5</v>
      </c>
      <c r="AN21" s="1">
        <f>ROUND(Scores_2017!BB25,$A$1)</f>
        <v>100</v>
      </c>
      <c r="AO21" s="1">
        <f>ROUND(Scores_2017!BC25,$A$1)</f>
        <v>100</v>
      </c>
      <c r="AP21" s="1">
        <f>ROUND(Scores_2017!BD25,$A$1)</f>
        <v>37.5</v>
      </c>
      <c r="AQ21" s="1">
        <f>ROUND(Scores_2017!BE25,$A$1)</f>
        <v>62.5</v>
      </c>
      <c r="AR21" s="1">
        <f>ROUND(Scores_2017!BF25,$A$1)</f>
        <v>62.5</v>
      </c>
      <c r="AS21" s="1">
        <f>ROUND(Scores_2017!BG25,$A$1)</f>
        <v>75</v>
      </c>
      <c r="AT21" s="1">
        <f>ROUND(Scores_2017!BH25,$A$1)</f>
        <v>87.5</v>
      </c>
      <c r="AU21" s="1">
        <f>ROUND(Scores_2017!BI25,$A$1)</f>
        <v>62.5</v>
      </c>
      <c r="AV21" s="1">
        <f>ROUND(Scores_2017!BJ25,$A$1)</f>
        <v>62.5</v>
      </c>
      <c r="AW21" s="1">
        <f>ROUND(Scores_2017!BK25,$A$1)</f>
        <v>87.5</v>
      </c>
      <c r="AX21" s="1">
        <f>ROUND(Scores_2017!BL25,$A$1)</f>
        <v>62.5</v>
      </c>
      <c r="AY21" s="1">
        <f>ROUND(Scores_2017!BM25,$A$1)</f>
        <v>100</v>
      </c>
      <c r="AZ21" s="1">
        <f>ROUND(Scores_2017!BN25,$A$1)</f>
        <v>87.5</v>
      </c>
      <c r="BA21" s="1">
        <f>ROUND(Scores_2017!BO25,$A$1)</f>
        <v>100</v>
      </c>
      <c r="BB21" s="1">
        <f>ROUND(Scores_2017!BP25,$A$1)</f>
        <v>87.5</v>
      </c>
      <c r="BC21" s="1">
        <f>ROUND(Scores_2017!BQ25,$A$1)</f>
        <v>62.5</v>
      </c>
      <c r="BD21" s="1">
        <f>ROUND(Scores_2017!BR25,$A$1)</f>
        <v>100</v>
      </c>
      <c r="BE21" s="1">
        <f>ROUND(Scores_2017!BS25,$A$1)</f>
        <v>100</v>
      </c>
      <c r="BF21" s="1">
        <f>ROUND(Scores_2017!BT25,$A$1)</f>
        <v>87.5</v>
      </c>
      <c r="BG21" s="1">
        <f>ROUND(Scores_2017!BU25,$A$1)</f>
        <v>87.5</v>
      </c>
      <c r="BH21" s="1">
        <f>ROUND(Scores_2017!BV25,$A$1)</f>
        <v>37.5</v>
      </c>
      <c r="BI21" s="1">
        <f>ROUND(Scores_2017!BW25,$A$1)</f>
        <v>100</v>
      </c>
      <c r="BJ21" s="1">
        <f>ROUND(Scores_2017!BX25,$A$1)</f>
        <v>100</v>
      </c>
      <c r="BL21" s="1">
        <f t="shared" si="1"/>
        <v>72.9508196721311</v>
      </c>
    </row>
    <row r="22" spans="1:64">
      <c r="A22" s="1" t="str">
        <f>Scores_2017!N26</f>
        <v>  2.2) Health security (Outputs)</v>
      </c>
      <c r="B22" s="1">
        <f>ROUND(Scores_2017!P26,$A$1)</f>
        <v>81.17</v>
      </c>
      <c r="C22" s="1">
        <f>ROUND(Scores_2017!Q26,$A$1)</f>
        <v>80.64</v>
      </c>
      <c r="D22" s="1">
        <f>ROUND(Scores_2017!R26,$A$1)</f>
        <v>84.22</v>
      </c>
      <c r="E22" s="1">
        <f>ROUND(Scores_2017!S26,$A$1)</f>
        <v>78</v>
      </c>
      <c r="F22" s="1">
        <f>ROUND(Scores_2017!T26,$A$1)</f>
        <v>83.22</v>
      </c>
      <c r="G22" s="1">
        <f>ROUND(Scores_2017!U26,$A$1)</f>
        <v>65.77</v>
      </c>
      <c r="H22" s="1">
        <f>ROUND(Scores_2017!V26,$A$1)</f>
        <v>77.5</v>
      </c>
      <c r="I22" s="1">
        <f>ROUND(Scores_2017!W26,$A$1)</f>
        <v>82.16</v>
      </c>
      <c r="J22" s="1">
        <f>ROUND(Scores_2017!X26,$A$1)</f>
        <v>76.49</v>
      </c>
      <c r="K22" s="1">
        <f>ROUND(Scores_2017!Y26,$A$1)</f>
        <v>62.19</v>
      </c>
      <c r="L22" s="1">
        <f>ROUND(Scores_2017!Z26,$A$1)</f>
        <v>74.16</v>
      </c>
      <c r="M22" s="1">
        <f>ROUND(Scores_2017!AA26,$A$1)</f>
        <v>73.77</v>
      </c>
      <c r="N22" s="1">
        <f>ROUND(Scores_2017!AB26,$A$1)</f>
        <v>73.4</v>
      </c>
      <c r="O22" s="1">
        <f>ROUND(Scores_2017!AC26,$A$1)</f>
        <v>75.65</v>
      </c>
      <c r="P22" s="1">
        <f>ROUND(Scores_2017!AD26,$A$1)</f>
        <v>62.03</v>
      </c>
      <c r="Q22" s="1">
        <f>ROUND(Scores_2017!AE26,$A$1)</f>
        <v>62.55</v>
      </c>
      <c r="R22" s="1">
        <f>ROUND(Scores_2017!AF26,$A$1)</f>
        <v>75.08</v>
      </c>
      <c r="S22" s="1">
        <f>ROUND(Scores_2017!AG26,$A$1)</f>
        <v>83.97</v>
      </c>
      <c r="T22" s="1">
        <f>ROUND(Scores_2017!AH26,$A$1)</f>
        <v>74.8</v>
      </c>
      <c r="U22" s="1">
        <f>ROUND(Scores_2017!AI26,$A$1)</f>
        <v>73.69</v>
      </c>
      <c r="V22" s="1">
        <f>ROUND(Scores_2017!AJ26,$A$1)</f>
        <v>71.76</v>
      </c>
      <c r="W22" s="1">
        <f>ROUND(Scores_2017!AK26,$A$1)</f>
        <v>69.05</v>
      </c>
      <c r="X22" s="1">
        <f>ROUND(Scores_2017!AL26,$A$1)</f>
        <v>76.9</v>
      </c>
      <c r="Y22" s="1">
        <f>ROUND(Scores_2017!AM26,$A$1)</f>
        <v>59.25</v>
      </c>
      <c r="Z22" s="1">
        <f>ROUND(Scores_2017!AN26,$A$1)</f>
        <v>48.15</v>
      </c>
      <c r="AA22" s="1">
        <f>ROUND(Scores_2017!AO26,$A$1)</f>
        <v>80.13</v>
      </c>
      <c r="AB22" s="1">
        <f>ROUND(Scores_2017!AP26,$A$1)</f>
        <v>76.76</v>
      </c>
      <c r="AC22" s="1">
        <f>ROUND(Scores_2017!AQ26,$A$1)</f>
        <v>69.9</v>
      </c>
      <c r="AD22" s="1">
        <f>ROUND(Scores_2017!AR26,$A$1)</f>
        <v>83.39</v>
      </c>
      <c r="AE22" s="1">
        <f>ROUND(Scores_2017!AS26,$A$1)</f>
        <v>74.73</v>
      </c>
      <c r="AF22" s="1">
        <f>ROUND(Scores_2017!AT26,$A$1)</f>
        <v>85.61</v>
      </c>
      <c r="AG22" s="1">
        <f>ROUND(Scores_2017!AU26,$A$1)</f>
        <v>74.36</v>
      </c>
      <c r="AH22" s="1">
        <f>ROUND(Scores_2017!AV26,$A$1)</f>
        <v>87.5</v>
      </c>
      <c r="AI22" s="1">
        <f>ROUND(Scores_2017!AW26,$A$1)</f>
        <v>82.65</v>
      </c>
      <c r="AJ22" s="1">
        <f>ROUND(Scores_2017!AX26,$A$1)</f>
        <v>82.7</v>
      </c>
      <c r="AK22" s="1">
        <f>ROUND(Scores_2017!AY26,$A$1)</f>
        <v>71.16</v>
      </c>
      <c r="AL22" s="1">
        <f>ROUND(Scores_2017!AZ26,$A$1)</f>
        <v>66.15</v>
      </c>
      <c r="AM22" s="1">
        <f>ROUND(Scores_2017!BA26,$A$1)</f>
        <v>66.59</v>
      </c>
      <c r="AN22" s="1">
        <f>ROUND(Scores_2017!BB26,$A$1)</f>
        <v>87.4</v>
      </c>
      <c r="AO22" s="1">
        <f>ROUND(Scores_2017!BC26,$A$1)</f>
        <v>81.66</v>
      </c>
      <c r="AP22" s="1">
        <f>ROUND(Scores_2017!BD26,$A$1)</f>
        <v>74.96</v>
      </c>
      <c r="AQ22" s="1">
        <f>ROUND(Scores_2017!BE26,$A$1)</f>
        <v>74.14</v>
      </c>
      <c r="AR22" s="1">
        <f>ROUND(Scores_2017!BF26,$A$1)</f>
        <v>80.86</v>
      </c>
      <c r="AS22" s="1">
        <f>ROUND(Scores_2017!BG26,$A$1)</f>
        <v>84.33</v>
      </c>
      <c r="AT22" s="1">
        <f>ROUND(Scores_2017!BH26,$A$1)</f>
        <v>79.27</v>
      </c>
      <c r="AU22" s="1">
        <f>ROUND(Scores_2017!BI26,$A$1)</f>
        <v>81.48</v>
      </c>
      <c r="AV22" s="1">
        <f>ROUND(Scores_2017!BJ26,$A$1)</f>
        <v>70.9</v>
      </c>
      <c r="AW22" s="1">
        <f>ROUND(Scores_2017!BK26,$A$1)</f>
        <v>85.05</v>
      </c>
      <c r="AX22" s="1">
        <f>ROUND(Scores_2017!BL26,$A$1)</f>
        <v>73.52</v>
      </c>
      <c r="AY22" s="1">
        <f>ROUND(Scores_2017!BM26,$A$1)</f>
        <v>88.21</v>
      </c>
      <c r="AZ22" s="1">
        <f>ROUND(Scores_2017!BN26,$A$1)</f>
        <v>88.42</v>
      </c>
      <c r="BA22" s="1">
        <f>ROUND(Scores_2017!BO26,$A$1)</f>
        <v>87.64</v>
      </c>
      <c r="BB22" s="1">
        <f>ROUND(Scores_2017!BP26,$A$1)</f>
        <v>82.21</v>
      </c>
      <c r="BC22" s="1">
        <f>ROUND(Scores_2017!BQ26,$A$1)</f>
        <v>77.19</v>
      </c>
      <c r="BD22" s="1">
        <f>ROUND(Scores_2017!BR26,$A$1)</f>
        <v>87.89</v>
      </c>
      <c r="BE22" s="1">
        <f>ROUND(Scores_2017!BS26,$A$1)</f>
        <v>85.66</v>
      </c>
      <c r="BF22" s="1">
        <f>ROUND(Scores_2017!BT26,$A$1)</f>
        <v>64.53</v>
      </c>
      <c r="BG22" s="1">
        <f>ROUND(Scores_2017!BU26,$A$1)</f>
        <v>69.52</v>
      </c>
      <c r="BH22" s="1">
        <f>ROUND(Scores_2017!BV26,$A$1)</f>
        <v>55.7</v>
      </c>
      <c r="BI22" s="1">
        <f>ROUND(Scores_2017!BW26,$A$1)</f>
        <v>87.82</v>
      </c>
      <c r="BJ22" s="1">
        <f>ROUND(Scores_2017!BX26,$A$1)</f>
        <v>87.38</v>
      </c>
      <c r="BL22" s="1">
        <f t="shared" si="1"/>
        <v>76.4416393442623</v>
      </c>
    </row>
    <row r="23" spans="1:64">
      <c r="A23" s="1" t="str">
        <f>Scores_2017!N27</f>
        <v>   2.2.1) Air quality (PM 2.5 levels)</v>
      </c>
      <c r="B23" s="1">
        <f>ROUND(Scores_2017!P27,$A$1)</f>
        <v>44.22</v>
      </c>
      <c r="C23" s="1">
        <f>ROUND(Scores_2017!Q27,$A$1)</f>
        <v>84.44</v>
      </c>
      <c r="D23" s="1">
        <f>ROUND(Scores_2017!R27,$A$1)</f>
        <v>85</v>
      </c>
      <c r="E23" s="1">
        <f>ROUND(Scores_2017!S27,$A$1)</f>
        <v>76.48</v>
      </c>
      <c r="F23" s="1">
        <f>ROUND(Scores_2017!T27,$A$1)</f>
        <v>84.75</v>
      </c>
      <c r="G23" s="1">
        <f>ROUND(Scores_2017!U27,$A$1)</f>
        <v>14.76</v>
      </c>
      <c r="H23" s="1">
        <f>ROUND(Scores_2017!V27,$A$1)</f>
        <v>76</v>
      </c>
      <c r="I23" s="1">
        <f>ROUND(Scores_2017!W27,$A$1)</f>
        <v>81.75</v>
      </c>
      <c r="J23" s="1">
        <f>ROUND(Scores_2017!X27,$A$1)</f>
        <v>85.84</v>
      </c>
      <c r="K23" s="1">
        <f>ROUND(Scores_2017!Y27,$A$1)</f>
        <v>24.36</v>
      </c>
      <c r="L23" s="1">
        <f>ROUND(Scores_2017!Z27,$A$1)</f>
        <v>74.55</v>
      </c>
      <c r="M23" s="1">
        <f>ROUND(Scores_2017!AA27,$A$1)</f>
        <v>74.43</v>
      </c>
      <c r="N23" s="1">
        <f>ROUND(Scores_2017!AB27,$A$1)</f>
        <v>88.34</v>
      </c>
      <c r="O23" s="1">
        <f>ROUND(Scores_2017!AC27,$A$1)</f>
        <v>90</v>
      </c>
      <c r="P23" s="1">
        <f>ROUND(Scores_2017!AD27,$A$1)</f>
        <v>22.11</v>
      </c>
      <c r="Q23" s="1">
        <f>ROUND(Scores_2017!AE27,$A$1)</f>
        <v>10.3</v>
      </c>
      <c r="R23" s="1">
        <f>ROUND(Scores_2017!AF27,$A$1)</f>
        <v>6.57</v>
      </c>
      <c r="S23" s="1">
        <f>ROUND(Scores_2017!AG27,$A$1)</f>
        <v>81.74</v>
      </c>
      <c r="T23" s="1">
        <f>ROUND(Scores_2017!AH27,$A$1)</f>
        <v>71.75</v>
      </c>
      <c r="U23" s="1">
        <f>ROUND(Scores_2017!AI27,$A$1)</f>
        <v>70.53</v>
      </c>
      <c r="V23" s="1">
        <f>ROUND(Scores_2017!AJ27,$A$1)</f>
        <v>67.46</v>
      </c>
      <c r="W23" s="1">
        <f>ROUND(Scores_2017!AK27,$A$1)</f>
        <v>84.59</v>
      </c>
      <c r="X23" s="1">
        <f>ROUND(Scores_2017!AL27,$A$1)</f>
        <v>31.96</v>
      </c>
      <c r="Y23" s="1">
        <f>ROUND(Scores_2017!AM27,$A$1)</f>
        <v>59.38</v>
      </c>
      <c r="Z23" s="1">
        <f>ROUND(Scores_2017!AN27,$A$1)</f>
        <v>11.65</v>
      </c>
      <c r="AA23" s="1">
        <f>ROUND(Scores_2017!AO27,$A$1)</f>
        <v>75.13</v>
      </c>
      <c r="AB23" s="1">
        <f>ROUND(Scores_2017!AP27,$A$1)</f>
        <v>32.57</v>
      </c>
      <c r="AC23" s="1">
        <f>ROUND(Scores_2017!AQ27,$A$1)</f>
        <v>52.46</v>
      </c>
      <c r="AD23" s="1">
        <f>ROUND(Scores_2017!AR27,$A$1)</f>
        <v>91</v>
      </c>
      <c r="AE23" s="1">
        <f>ROUND(Scores_2017!AS27,$A$1)</f>
        <v>89.21</v>
      </c>
      <c r="AF23" s="1">
        <f>ROUND(Scores_2017!AT27,$A$1)</f>
        <v>90.05</v>
      </c>
      <c r="AG23" s="1">
        <f>ROUND(Scores_2017!AU27,$A$1)</f>
        <v>82.8</v>
      </c>
      <c r="AH23" s="1">
        <f>ROUND(Scores_2017!AV27,$A$1)</f>
        <v>92.3</v>
      </c>
      <c r="AI23" s="1">
        <f>ROUND(Scores_2017!AW27,$A$1)</f>
        <v>80.22</v>
      </c>
      <c r="AJ23" s="1">
        <f>ROUND(Scores_2017!AX27,$A$1)</f>
        <v>69.82</v>
      </c>
      <c r="AK23" s="1">
        <f>ROUND(Scores_2017!AY27,$A$1)</f>
        <v>80.18</v>
      </c>
      <c r="AL23" s="1">
        <f>ROUND(Scores_2017!AZ27,$A$1)</f>
        <v>37.06</v>
      </c>
      <c r="AM23" s="1">
        <f>ROUND(Scores_2017!BA27,$A$1)</f>
        <v>91.19</v>
      </c>
      <c r="AN23" s="1">
        <f>ROUND(Scores_2017!BB27,$A$1)</f>
        <v>83.16</v>
      </c>
      <c r="AO23" s="1">
        <f>ROUND(Scores_2017!BC27,$A$1)</f>
        <v>82.5</v>
      </c>
      <c r="AP23" s="1">
        <f>ROUND(Scores_2017!BD27,$A$1)</f>
        <v>81.55</v>
      </c>
      <c r="AQ23" s="1">
        <f>ROUND(Scores_2017!BE27,$A$1)</f>
        <v>84.12</v>
      </c>
      <c r="AR23" s="1">
        <f>ROUND(Scores_2017!BF27,$A$1)</f>
        <v>55.51</v>
      </c>
      <c r="AS23" s="1">
        <f>ROUND(Scores_2017!BG27,$A$1)</f>
        <v>82.98</v>
      </c>
      <c r="AT23" s="1">
        <f>ROUND(Scores_2017!BH27,$A$1)</f>
        <v>91.46</v>
      </c>
      <c r="AU23" s="1">
        <f>ROUND(Scores_2017!BI27,$A$1)</f>
        <v>71.23</v>
      </c>
      <c r="AV23" s="1">
        <f>ROUND(Scores_2017!BJ27,$A$1)</f>
        <v>81.38</v>
      </c>
      <c r="AW23" s="1">
        <f>ROUND(Scores_2017!BK27,$A$1)</f>
        <v>75.77</v>
      </c>
      <c r="AX23" s="1">
        <f>ROUND(Scores_2017!BL27,$A$1)</f>
        <v>48.4</v>
      </c>
      <c r="AY23" s="1">
        <f>ROUND(Scores_2017!BM27,$A$1)</f>
        <v>82</v>
      </c>
      <c r="AZ23" s="1">
        <f>ROUND(Scores_2017!BN27,$A$1)</f>
        <v>94.49</v>
      </c>
      <c r="BA23" s="1">
        <f>ROUND(Scores_2017!BO27,$A$1)</f>
        <v>92.32</v>
      </c>
      <c r="BB23" s="1">
        <f>ROUND(Scores_2017!BP27,$A$1)</f>
        <v>81.29</v>
      </c>
      <c r="BC23" s="1">
        <f>ROUND(Scores_2017!BQ27,$A$1)</f>
        <v>68.34</v>
      </c>
      <c r="BD23" s="1">
        <f>ROUND(Scores_2017!BR27,$A$1)</f>
        <v>85.1</v>
      </c>
      <c r="BE23" s="1">
        <f>ROUND(Scores_2017!BS27,$A$1)</f>
        <v>91.6</v>
      </c>
      <c r="BF23" s="1">
        <f>ROUND(Scores_2017!BT27,$A$1)</f>
        <v>91.11</v>
      </c>
      <c r="BG23" s="1">
        <f>ROUND(Scores_2017!BU27,$A$1)</f>
        <v>93.71</v>
      </c>
      <c r="BH23" s="1">
        <f>ROUND(Scores_2017!BV27,$A$1)</f>
        <v>45.61</v>
      </c>
      <c r="BI23" s="1">
        <f>ROUND(Scores_2017!BW27,$A$1)</f>
        <v>85.7</v>
      </c>
      <c r="BJ23" s="1">
        <f>ROUND(Scores_2017!BX27,$A$1)</f>
        <v>85.03</v>
      </c>
      <c r="BL23" s="1">
        <f t="shared" si="1"/>
        <v>70.5132786885246</v>
      </c>
    </row>
    <row r="24" spans="1:64">
      <c r="A24" s="1" t="str">
        <f>Scores_2017!N28</f>
        <v>   2.2.2) Water quality</v>
      </c>
      <c r="B24" s="1">
        <f>ROUND(Scores_2017!P28,$A$1)</f>
        <v>91.34</v>
      </c>
      <c r="C24" s="1">
        <f>ROUND(Scores_2017!Q28,$A$1)</f>
        <v>94.5</v>
      </c>
      <c r="D24" s="1">
        <f>ROUND(Scores_2017!R28,$A$1)</f>
        <v>87.65</v>
      </c>
      <c r="E24" s="1">
        <f>ROUND(Scores_2017!S28,$A$1)</f>
        <v>79.33</v>
      </c>
      <c r="F24" s="1">
        <f>ROUND(Scores_2017!T28,$A$1)</f>
        <v>78.29</v>
      </c>
      <c r="G24" s="1">
        <f>ROUND(Scores_2017!U28,$A$1)</f>
        <v>85.95</v>
      </c>
      <c r="H24" s="1">
        <f>ROUND(Scores_2017!V28,$A$1)</f>
        <v>71.41</v>
      </c>
      <c r="I24" s="1">
        <f>ROUND(Scores_2017!W28,$A$1)</f>
        <v>94.88</v>
      </c>
      <c r="J24" s="1">
        <f>ROUND(Scores_2017!X28,$A$1)</f>
        <v>80.58</v>
      </c>
      <c r="K24" s="1">
        <f>ROUND(Scores_2017!Y28,$A$1)</f>
        <v>74.48</v>
      </c>
      <c r="L24" s="1">
        <f>ROUND(Scores_2017!Z28,$A$1)</f>
        <v>51.47</v>
      </c>
      <c r="M24" s="1">
        <f>ROUND(Scores_2017!AA28,$A$1)</f>
        <v>68.92</v>
      </c>
      <c r="N24" s="1">
        <f>ROUND(Scores_2017!AB28,$A$1)</f>
        <v>74.68</v>
      </c>
      <c r="O24" s="1">
        <f>ROUND(Scores_2017!AC28,$A$1)</f>
        <v>74.6</v>
      </c>
      <c r="P24" s="1">
        <f>ROUND(Scores_2017!AD28,$A$1)</f>
        <v>74.6</v>
      </c>
      <c r="Q24" s="1">
        <f>ROUND(Scores_2017!AE28,$A$1)</f>
        <v>75.63</v>
      </c>
      <c r="R24" s="1">
        <f>ROUND(Scores_2017!AF28,$A$1)</f>
        <v>86.33</v>
      </c>
      <c r="S24" s="1">
        <f>ROUND(Scores_2017!AG28,$A$1)</f>
        <v>96.99</v>
      </c>
      <c r="T24" s="1">
        <f>ROUND(Scores_2017!AH28,$A$1)</f>
        <v>75.81</v>
      </c>
      <c r="U24" s="1">
        <f>ROUND(Scores_2017!AI28,$A$1)</f>
        <v>83.13</v>
      </c>
      <c r="V24" s="1">
        <f>ROUND(Scores_2017!AJ28,$A$1)</f>
        <v>72.85</v>
      </c>
      <c r="W24" s="1">
        <f>ROUND(Scores_2017!AK28,$A$1)</f>
        <v>58.82</v>
      </c>
      <c r="X24" s="1">
        <f>ROUND(Scores_2017!AL28,$A$1)</f>
        <v>83.02</v>
      </c>
      <c r="Y24" s="1">
        <f>ROUND(Scores_2017!AM28,$A$1)</f>
        <v>85.15</v>
      </c>
      <c r="Z24" s="1">
        <f>ROUND(Scores_2017!AN28,$A$1)</f>
        <v>64.84</v>
      </c>
      <c r="AA24" s="1">
        <f>ROUND(Scores_2017!AO28,$A$1)</f>
        <v>77.86</v>
      </c>
      <c r="AB24" s="1">
        <f>ROUND(Scores_2017!AP28,$A$1)</f>
        <v>79.1</v>
      </c>
      <c r="AC24" s="1">
        <f>ROUND(Scores_2017!AQ28,$A$1)</f>
        <v>61.25</v>
      </c>
      <c r="AD24" s="1">
        <f>ROUND(Scores_2017!AR28,$A$1)</f>
        <v>90.37</v>
      </c>
      <c r="AE24" s="1">
        <f>ROUND(Scores_2017!AS28,$A$1)</f>
        <v>75.13</v>
      </c>
      <c r="AF24" s="1">
        <f>ROUND(Scores_2017!AT28,$A$1)</f>
        <v>87.29</v>
      </c>
      <c r="AG24" s="1">
        <f>ROUND(Scores_2017!AU28,$A$1)</f>
        <v>83.09</v>
      </c>
      <c r="AH24" s="1">
        <f>ROUND(Scores_2017!AV28,$A$1)</f>
        <v>92.34</v>
      </c>
      <c r="AI24" s="1">
        <f>ROUND(Scores_2017!AW28,$A$1)</f>
        <v>68.19</v>
      </c>
      <c r="AJ24" s="1">
        <f>ROUND(Scores_2017!AX28,$A$1)</f>
        <v>86.4</v>
      </c>
      <c r="AK24" s="1">
        <f>ROUND(Scores_2017!AY28,$A$1)</f>
        <v>87.94</v>
      </c>
      <c r="AL24" s="1">
        <f>ROUND(Scores_2017!AZ28,$A$1)</f>
        <v>84.36</v>
      </c>
      <c r="AM24" s="1">
        <f>ROUND(Scores_2017!BA28,$A$1)</f>
        <v>83.43</v>
      </c>
      <c r="AN24" s="1">
        <f>ROUND(Scores_2017!BB28,$A$1)</f>
        <v>89.14</v>
      </c>
      <c r="AO24" s="1">
        <f>ROUND(Scores_2017!BC28,$A$1)</f>
        <v>90.28</v>
      </c>
      <c r="AP24" s="1">
        <f>ROUND(Scores_2017!BD28,$A$1)</f>
        <v>65.93</v>
      </c>
      <c r="AQ24" s="1">
        <f>ROUND(Scores_2017!BE28,$A$1)</f>
        <v>66.88</v>
      </c>
      <c r="AR24" s="1">
        <f>ROUND(Scores_2017!BF28,$A$1)</f>
        <v>83.21</v>
      </c>
      <c r="AS24" s="1">
        <f>ROUND(Scores_2017!BG28,$A$1)</f>
        <v>83.06</v>
      </c>
      <c r="AT24" s="1">
        <f>ROUND(Scores_2017!BH28,$A$1)</f>
        <v>75.13</v>
      </c>
      <c r="AU24" s="1">
        <f>ROUND(Scores_2017!BI28,$A$1)</f>
        <v>86.16</v>
      </c>
      <c r="AV24" s="1">
        <f>ROUND(Scores_2017!BJ28,$A$1)</f>
        <v>50.18</v>
      </c>
      <c r="AW24" s="1">
        <f>ROUND(Scores_2017!BK28,$A$1)</f>
        <v>93.81</v>
      </c>
      <c r="AX24" s="1">
        <f>ROUND(Scores_2017!BL28,$A$1)</f>
        <v>82.77</v>
      </c>
      <c r="AY24" s="1">
        <f>ROUND(Scores_2017!BM28,$A$1)</f>
        <v>94.87</v>
      </c>
      <c r="AZ24" s="1">
        <f>ROUND(Scores_2017!BN28,$A$1)</f>
        <v>94.56</v>
      </c>
      <c r="BA24" s="1">
        <f>ROUND(Scores_2017!BO28,$A$1)</f>
        <v>93.18</v>
      </c>
      <c r="BB24" s="1">
        <f>ROUND(Scores_2017!BP28,$A$1)</f>
        <v>87.92</v>
      </c>
      <c r="BC24" s="1">
        <f>ROUND(Scores_2017!BQ28,$A$1)</f>
        <v>73.37</v>
      </c>
      <c r="BD24" s="1">
        <f>ROUND(Scores_2017!BR28,$A$1)</f>
        <v>90.14</v>
      </c>
      <c r="BE24" s="1">
        <f>ROUND(Scores_2017!BS28,$A$1)</f>
        <v>93.41</v>
      </c>
      <c r="BF24" s="1">
        <f>ROUND(Scores_2017!BT28,$A$1)</f>
        <v>79.6</v>
      </c>
      <c r="BG24" s="1">
        <f>ROUND(Scores_2017!BU28,$A$1)</f>
        <v>90.03</v>
      </c>
      <c r="BH24" s="1">
        <f>ROUND(Scores_2017!BV28,$A$1)</f>
        <v>64.49</v>
      </c>
      <c r="BI24" s="1">
        <f>ROUND(Scores_2017!BW28,$A$1)</f>
        <v>92.08</v>
      </c>
      <c r="BJ24" s="1">
        <f>ROUND(Scores_2017!BX28,$A$1)</f>
        <v>87.14</v>
      </c>
      <c r="BL24" s="1">
        <f t="shared" si="1"/>
        <v>80.8088524590164</v>
      </c>
    </row>
    <row r="25" spans="1:64">
      <c r="A25" s="1" t="str">
        <f>Scores_2017!N29</f>
        <v>   2.2.3) Life expectancy years</v>
      </c>
      <c r="B25" s="1">
        <f>ROUND(Scores_2017!P29,$A$1)</f>
        <v>74.9</v>
      </c>
      <c r="C25" s="1">
        <f>ROUND(Scores_2017!Q29,$A$1)</f>
        <v>90.42</v>
      </c>
      <c r="D25" s="1">
        <f>ROUND(Scores_2017!R29,$A$1)</f>
        <v>89.98</v>
      </c>
      <c r="E25" s="1">
        <f>ROUND(Scores_2017!S29,$A$1)</f>
        <v>63.94</v>
      </c>
      <c r="F25" s="1">
        <f>ROUND(Scores_2017!T29,$A$1)</f>
        <v>96.66</v>
      </c>
      <c r="G25" s="1">
        <f>ROUND(Scores_2017!U29,$A$1)</f>
        <v>69.1</v>
      </c>
      <c r="H25" s="1">
        <f>ROUND(Scores_2017!V29,$A$1)</f>
        <v>62.38</v>
      </c>
      <c r="I25" s="1">
        <f>ROUND(Scores_2017!W29,$A$1)</f>
        <v>88.86</v>
      </c>
      <c r="J25" s="1">
        <f>ROUND(Scores_2017!X29,$A$1)</f>
        <v>70.4</v>
      </c>
      <c r="K25" s="1">
        <f>ROUND(Scores_2017!Y29,$A$1)</f>
        <v>51.7</v>
      </c>
      <c r="L25" s="1">
        <f>ROUND(Scores_2017!Z29,$A$1)</f>
        <v>63.23</v>
      </c>
      <c r="M25" s="1">
        <f>ROUND(Scores_2017!AA29,$A$1)</f>
        <v>62.78</v>
      </c>
      <c r="N25" s="1">
        <f>ROUND(Scores_2017!AB29,$A$1)</f>
        <v>80.19</v>
      </c>
      <c r="O25" s="1">
        <f>ROUND(Scores_2017!AC29,$A$1)</f>
        <v>78.3</v>
      </c>
      <c r="P25" s="1">
        <f>ROUND(Scores_2017!AD29,$A$1)</f>
        <v>40.64</v>
      </c>
      <c r="Q25" s="1">
        <f>ROUND(Scores_2017!AE29,$A$1)</f>
        <v>54.25</v>
      </c>
      <c r="R25" s="1">
        <f>ROUND(Scores_2017!AF29,$A$1)</f>
        <v>79.45</v>
      </c>
      <c r="S25" s="1">
        <f>ROUND(Scores_2017!AG29,$A$1)</f>
        <v>88.12</v>
      </c>
      <c r="T25" s="1">
        <f>ROUND(Scores_2017!AH29,$A$1)</f>
        <v>68.33</v>
      </c>
      <c r="U25" s="1">
        <f>ROUND(Scores_2017!AI29,$A$1)</f>
        <v>100</v>
      </c>
      <c r="V25" s="1">
        <f>ROUND(Scores_2017!AJ29,$A$1)</f>
        <v>67.02</v>
      </c>
      <c r="W25" s="1">
        <f>ROUND(Scores_2017!AK29,$A$1)</f>
        <v>43.34</v>
      </c>
      <c r="X25" s="1">
        <f>ROUND(Scores_2017!AL29,$A$1)</f>
        <v>63.54</v>
      </c>
      <c r="Y25" s="1">
        <f>ROUND(Scores_2017!AM29,$A$1)</f>
        <v>0</v>
      </c>
      <c r="Z25" s="1">
        <f>ROUND(Scores_2017!AN29,$A$1)</f>
        <v>33.3</v>
      </c>
      <c r="AA25" s="1">
        <f>ROUND(Scores_2017!AO29,$A$1)</f>
        <v>64.96</v>
      </c>
      <c r="AB25" s="1">
        <f>ROUND(Scores_2017!AP29,$A$1)</f>
        <v>64.3</v>
      </c>
      <c r="AC25" s="1">
        <f>ROUND(Scores_2017!AQ29,$A$1)</f>
        <v>64.61</v>
      </c>
      <c r="AD25" s="1">
        <f>ROUND(Scores_2017!AR29,$A$1)</f>
        <v>90.04</v>
      </c>
      <c r="AE25" s="1">
        <f>ROUND(Scores_2017!AS29,$A$1)</f>
        <v>86.94</v>
      </c>
      <c r="AF25" s="1">
        <f>ROUND(Scores_2017!AT29,$A$1)</f>
        <v>96.66</v>
      </c>
      <c r="AG25" s="1">
        <f>ROUND(Scores_2017!AU29,$A$1)</f>
        <v>40.86</v>
      </c>
      <c r="AH25" s="1">
        <f>ROUND(Scores_2017!AV29,$A$1)</f>
        <v>93.19</v>
      </c>
      <c r="AI25" s="1">
        <f>ROUND(Scores_2017!AW29,$A$1)</f>
        <v>72.59</v>
      </c>
      <c r="AJ25" s="1">
        <f>ROUND(Scores_2017!AX29,$A$1)</f>
        <v>97.06</v>
      </c>
      <c r="AK25" s="1">
        <f>ROUND(Scores_2017!AY29,$A$1)</f>
        <v>50.18</v>
      </c>
      <c r="AL25" s="1">
        <f>ROUND(Scores_2017!AZ29,$A$1)</f>
        <v>40.64</v>
      </c>
      <c r="AM25" s="1">
        <f>ROUND(Scores_2017!BA29,$A$1)</f>
        <v>85.85</v>
      </c>
      <c r="AN25" s="1">
        <f>ROUND(Scores_2017!BB29,$A$1)</f>
        <v>98.38</v>
      </c>
      <c r="AO25" s="1">
        <f>ROUND(Scores_2017!BC29,$A$1)</f>
        <v>94.01</v>
      </c>
      <c r="AP25" s="1">
        <f>ROUND(Scores_2017!BD29,$A$1)</f>
        <v>69.54</v>
      </c>
      <c r="AQ25" s="1">
        <f>ROUND(Scores_2017!BE29,$A$1)</f>
        <v>64.22</v>
      </c>
      <c r="AR25" s="1">
        <f>ROUND(Scores_2017!BF29,$A$1)</f>
        <v>63.54</v>
      </c>
      <c r="AS25" s="1">
        <f>ROUND(Scores_2017!BG29,$A$1)</f>
        <v>97.06</v>
      </c>
      <c r="AT25" s="1">
        <f>ROUND(Scores_2017!BH29,$A$1)</f>
        <v>86.94</v>
      </c>
      <c r="AU25" s="1">
        <f>ROUND(Scores_2017!BI29,$A$1)</f>
        <v>90.72</v>
      </c>
      <c r="AV25" s="1">
        <f>ROUND(Scores_2017!BJ29,$A$1)</f>
        <v>64.22</v>
      </c>
      <c r="AW25" s="1">
        <f>ROUND(Scores_2017!BK29,$A$1)</f>
        <v>92.09</v>
      </c>
      <c r="AX25" s="1">
        <f>ROUND(Scores_2017!BL29,$A$1)</f>
        <v>69.1</v>
      </c>
      <c r="AY25" s="1">
        <f>ROUND(Scores_2017!BM29,$A$1)</f>
        <v>93.73</v>
      </c>
      <c r="AZ25" s="1">
        <f>ROUND(Scores_2017!BN29,$A$1)</f>
        <v>93.57</v>
      </c>
      <c r="BA25" s="1">
        <f>ROUND(Scores_2017!BO29,$A$1)</f>
        <v>93.19</v>
      </c>
      <c r="BB25" s="1">
        <f>ROUND(Scores_2017!BP29,$A$1)</f>
        <v>84.8</v>
      </c>
      <c r="BC25" s="1">
        <f>ROUND(Scores_2017!BQ29,$A$1)</f>
        <v>67.63</v>
      </c>
      <c r="BD25" s="1">
        <f>ROUND(Scores_2017!BR29,$A$1)</f>
        <v>98.38</v>
      </c>
      <c r="BE25" s="1">
        <f>ROUND(Scores_2017!BS29,$A$1)</f>
        <v>92.02</v>
      </c>
      <c r="BF25" s="1">
        <f>ROUND(Scores_2017!BT29,$A$1)</f>
        <v>71.14</v>
      </c>
      <c r="BG25" s="1">
        <f>ROUND(Scores_2017!BU29,$A$1)</f>
        <v>89.49</v>
      </c>
      <c r="BH25" s="1">
        <f>ROUND(Scores_2017!BV29,$A$1)</f>
        <v>32.05</v>
      </c>
      <c r="BI25" s="1">
        <f>ROUND(Scores_2017!BW29,$A$1)</f>
        <v>95.97</v>
      </c>
      <c r="BJ25" s="1">
        <f>ROUND(Scores_2017!BX29,$A$1)</f>
        <v>98.38</v>
      </c>
      <c r="BL25" s="1">
        <f t="shared" si="1"/>
        <v>74.2439344262295</v>
      </c>
    </row>
    <row r="26" spans="1:64">
      <c r="A26" s="1" t="str">
        <f>Scores_2017!N30</f>
        <v>   2.2.4) Infant mortality</v>
      </c>
      <c r="B26" s="1">
        <f>ROUND(Scores_2017!P30,$A$1)</f>
        <v>93.16</v>
      </c>
      <c r="C26" s="1">
        <f>ROUND(Scores_2017!Q30,$A$1)</f>
        <v>97.36</v>
      </c>
      <c r="D26" s="1">
        <f>ROUND(Scores_2017!R30,$A$1)</f>
        <v>96.73</v>
      </c>
      <c r="E26" s="1">
        <f>ROUND(Scores_2017!S30,$A$1)</f>
        <v>86</v>
      </c>
      <c r="F26" s="1">
        <f>ROUND(Scores_2017!T30,$A$1)</f>
        <v>96.89</v>
      </c>
      <c r="G26" s="1">
        <f>ROUND(Scores_2017!U30,$A$1)</f>
        <v>88.02</v>
      </c>
      <c r="H26" s="1">
        <f>ROUND(Scores_2017!V30,$A$1)</f>
        <v>81.18</v>
      </c>
      <c r="I26" s="1">
        <f>ROUND(Scores_2017!W30,$A$1)</f>
        <v>97.2</v>
      </c>
      <c r="J26" s="1">
        <f>ROUND(Scores_2017!X30,$A$1)</f>
        <v>85.07</v>
      </c>
      <c r="K26" s="1">
        <f>ROUND(Scores_2017!Y30,$A$1)</f>
        <v>70.76</v>
      </c>
      <c r="L26" s="1">
        <f>ROUND(Scores_2017!Z30,$A$1)</f>
        <v>82.27</v>
      </c>
      <c r="M26" s="1">
        <f>ROUND(Scores_2017!AA30,$A$1)</f>
        <v>65.47</v>
      </c>
      <c r="N26" s="1">
        <f>ROUND(Scores_2017!AB30,$A$1)</f>
        <v>92.07</v>
      </c>
      <c r="O26" s="1">
        <f>ROUND(Scores_2017!AC30,$A$1)</f>
        <v>93.31</v>
      </c>
      <c r="P26" s="1">
        <f>ROUND(Scores_2017!AD30,$A$1)</f>
        <v>43.39</v>
      </c>
      <c r="Q26" s="1">
        <f>ROUND(Scores_2017!AE30,$A$1)</f>
        <v>54.59</v>
      </c>
      <c r="R26" s="1">
        <f>ROUND(Scores_2017!AF30,$A$1)</f>
        <v>91.76</v>
      </c>
      <c r="S26" s="1">
        <f>ROUND(Scores_2017!AG30,$A$1)</f>
        <v>97.51</v>
      </c>
      <c r="T26" s="1">
        <f>ROUND(Scores_2017!AH30,$A$1)</f>
        <v>75.43</v>
      </c>
      <c r="U26" s="1">
        <f>ROUND(Scores_2017!AI30,$A$1)</f>
        <v>100</v>
      </c>
      <c r="V26" s="1">
        <f>ROUND(Scores_2017!AJ30,$A$1)</f>
        <v>84.29</v>
      </c>
      <c r="W26" s="1">
        <f>ROUND(Scores_2017!AK30,$A$1)</f>
        <v>66.87</v>
      </c>
      <c r="X26" s="1">
        <f>ROUND(Scores_2017!AL30,$A$1)</f>
        <v>82.89</v>
      </c>
      <c r="Y26" s="1">
        <f>ROUND(Scores_2017!AM30,$A$1)</f>
        <v>50.08</v>
      </c>
      <c r="Z26" s="1">
        <f>ROUND(Scores_2017!AN30,$A$1)</f>
        <v>0</v>
      </c>
      <c r="AA26" s="1">
        <f>ROUND(Scores_2017!AO30,$A$1)</f>
        <v>93</v>
      </c>
      <c r="AB26" s="1">
        <f>ROUND(Scores_2017!AP30,$A$1)</f>
        <v>90.98</v>
      </c>
      <c r="AC26" s="1">
        <f>ROUND(Scores_2017!AQ30,$A$1)</f>
        <v>81.96</v>
      </c>
      <c r="AD26" s="1">
        <f>ROUND(Scores_2017!AR30,$A$1)</f>
        <v>96.89</v>
      </c>
      <c r="AE26" s="1">
        <f>ROUND(Scores_2017!AS30,$A$1)</f>
        <v>95.65</v>
      </c>
      <c r="AF26" s="1">
        <f>ROUND(Scores_2017!AT30,$A$1)</f>
        <v>96.89</v>
      </c>
      <c r="AG26" s="1">
        <f>ROUND(Scores_2017!AU30,$A$1)</f>
        <v>67.81</v>
      </c>
      <c r="AH26" s="1">
        <f>ROUND(Scores_2017!AV30,$A$1)</f>
        <v>97.67</v>
      </c>
      <c r="AI26" s="1">
        <f>ROUND(Scores_2017!AW30,$A$1)</f>
        <v>84.76</v>
      </c>
      <c r="AJ26" s="1">
        <f>ROUND(Scores_2017!AX30,$A$1)</f>
        <v>97.82</v>
      </c>
      <c r="AK26" s="1">
        <f>ROUND(Scores_2017!AY30,$A$1)</f>
        <v>89.58</v>
      </c>
      <c r="AL26" s="1">
        <f>ROUND(Scores_2017!AZ30,$A$1)</f>
        <v>43.39</v>
      </c>
      <c r="AM26" s="1">
        <f>ROUND(Scores_2017!BA30,$A$1)</f>
        <v>95.18</v>
      </c>
      <c r="AN26" s="1">
        <f>ROUND(Scores_2017!BB30,$A$1)</f>
        <v>99.22</v>
      </c>
      <c r="AO26" s="1">
        <f>ROUND(Scores_2017!BC30,$A$1)</f>
        <v>96.89</v>
      </c>
      <c r="AP26" s="1">
        <f>ROUND(Scores_2017!BD30,$A$1)</f>
        <v>73.72</v>
      </c>
      <c r="AQ26" s="1">
        <f>ROUND(Scores_2017!BE30,$A$1)</f>
        <v>79.63</v>
      </c>
      <c r="AR26" s="1">
        <f>ROUND(Scores_2017!BF30,$A$1)</f>
        <v>82.89</v>
      </c>
      <c r="AS26" s="1">
        <f>ROUND(Scores_2017!BG30,$A$1)</f>
        <v>97.82</v>
      </c>
      <c r="AT26" s="1">
        <f>ROUND(Scores_2017!BH30,$A$1)</f>
        <v>95.65</v>
      </c>
      <c r="AU26" s="1">
        <f>ROUND(Scores_2017!BI30,$A$1)</f>
        <v>91.45</v>
      </c>
      <c r="AV26" s="1">
        <f>ROUND(Scores_2017!BJ30,$A$1)</f>
        <v>79.63</v>
      </c>
      <c r="AW26" s="1">
        <f>ROUND(Scores_2017!BK30,$A$1)</f>
        <v>97.82</v>
      </c>
      <c r="AX26" s="1">
        <f>ROUND(Scores_2017!BL30,$A$1)</f>
        <v>88.02</v>
      </c>
      <c r="AY26" s="1">
        <f>ROUND(Scores_2017!BM30,$A$1)</f>
        <v>99.07</v>
      </c>
      <c r="AZ26" s="1">
        <f>ROUND(Scores_2017!BN30,$A$1)</f>
        <v>98.6</v>
      </c>
      <c r="BA26" s="1">
        <f>ROUND(Scores_2017!BO30,$A$1)</f>
        <v>97.67</v>
      </c>
      <c r="BB26" s="1">
        <f>ROUND(Scores_2017!BP30,$A$1)</f>
        <v>95.96</v>
      </c>
      <c r="BC26" s="1">
        <f>ROUND(Scores_2017!BQ30,$A$1)</f>
        <v>81.49</v>
      </c>
      <c r="BD26" s="1">
        <f>ROUND(Scores_2017!BR30,$A$1)</f>
        <v>99.22</v>
      </c>
      <c r="BE26" s="1">
        <f>ROUND(Scores_2017!BS30,$A$1)</f>
        <v>95.65</v>
      </c>
      <c r="BF26" s="1">
        <f>ROUND(Scores_2017!BT30,$A$1)</f>
        <v>95.33</v>
      </c>
      <c r="BG26" s="1">
        <f>ROUND(Scores_2017!BU30,$A$1)</f>
        <v>95.02</v>
      </c>
      <c r="BH26" s="1">
        <f>ROUND(Scores_2017!BV30,$A$1)</f>
        <v>40.9</v>
      </c>
      <c r="BI26" s="1">
        <f>ROUND(Scores_2017!BW30,$A$1)</f>
        <v>97.05</v>
      </c>
      <c r="BJ26" s="1">
        <f>ROUND(Scores_2017!BX30,$A$1)</f>
        <v>99.22</v>
      </c>
      <c r="BL26" s="1">
        <f t="shared" si="1"/>
        <v>84.9475409836066</v>
      </c>
    </row>
    <row r="27" spans="1:64">
      <c r="A27" s="1" t="str">
        <f>Scores_2017!N31</f>
        <v>   2.2.5) Cancer mortality rate</v>
      </c>
      <c r="B27" s="1">
        <f>ROUND(Scores_2017!P31,$A$1)</f>
        <v>83.41</v>
      </c>
      <c r="C27" s="1">
        <f>ROUND(Scores_2017!Q31,$A$1)</f>
        <v>17.11</v>
      </c>
      <c r="D27" s="1">
        <f>ROUND(Scores_2017!R31,$A$1)</f>
        <v>45.95</v>
      </c>
      <c r="E27" s="1">
        <f>ROUND(Scores_2017!S31,$A$1)</f>
        <v>62.24</v>
      </c>
      <c r="F27" s="1">
        <f>ROUND(Scores_2017!T31,$A$1)</f>
        <v>42.76</v>
      </c>
      <c r="G27" s="1">
        <f>ROUND(Scores_2017!U31,$A$1)</f>
        <v>36.77</v>
      </c>
      <c r="H27" s="1">
        <f>ROUND(Scores_2017!V31,$A$1)</f>
        <v>74.03</v>
      </c>
      <c r="I27" s="1">
        <f>ROUND(Scores_2017!W31,$A$1)</f>
        <v>30.28</v>
      </c>
      <c r="J27" s="1">
        <f>ROUND(Scores_2017!X31,$A$1)</f>
        <v>37.04</v>
      </c>
      <c r="K27" s="1">
        <f>ROUND(Scores_2017!Y31,$A$1)</f>
        <v>51.86</v>
      </c>
      <c r="L27" s="1">
        <f>ROUND(Scores_2017!Z31,$A$1)</f>
        <v>73.46</v>
      </c>
      <c r="M27" s="1">
        <f>ROUND(Scores_2017!AA31,$A$1)</f>
        <v>71.02</v>
      </c>
      <c r="N27" s="1">
        <f>ROUND(Scores_2017!AB31,$A$1)</f>
        <v>5.11</v>
      </c>
      <c r="O27" s="1">
        <f>ROUND(Scores_2017!AC31,$A$1)</f>
        <v>17.7</v>
      </c>
      <c r="P27" s="1">
        <f>ROUND(Scores_2017!AD31,$A$1)</f>
        <v>91.46</v>
      </c>
      <c r="Q27" s="1">
        <f>ROUND(Scores_2017!AE31,$A$1)</f>
        <v>80.54</v>
      </c>
      <c r="R27" s="1">
        <f>ROUND(Scores_2017!AF31,$A$1)</f>
        <v>86.37</v>
      </c>
      <c r="S27" s="1">
        <f>ROUND(Scores_2017!AG31,$A$1)</f>
        <v>39.42</v>
      </c>
      <c r="T27" s="1">
        <f>ROUND(Scores_2017!AH31,$A$1)</f>
        <v>57.51</v>
      </c>
      <c r="U27" s="1">
        <f>ROUND(Scores_2017!AI31,$A$1)</f>
        <v>63.49</v>
      </c>
      <c r="V27" s="1">
        <f>ROUND(Scores_2017!AJ31,$A$1)</f>
        <v>38.96</v>
      </c>
      <c r="W27" s="1">
        <f>ROUND(Scores_2017!AK31,$A$1)</f>
        <v>60.71</v>
      </c>
      <c r="X27" s="1">
        <f>ROUND(Scores_2017!AL31,$A$1)</f>
        <v>100</v>
      </c>
      <c r="Y27" s="1">
        <f>ROUND(Scores_2017!AM31,$A$1)</f>
        <v>60.89</v>
      </c>
      <c r="Z27" s="1">
        <f>ROUND(Scores_2017!AN31,$A$1)</f>
        <v>79.11</v>
      </c>
      <c r="AA27" s="1">
        <f>ROUND(Scores_2017!AO31,$A$1)</f>
        <v>69.81</v>
      </c>
      <c r="AB27" s="1">
        <f>ROUND(Scores_2017!AP31,$A$1)</f>
        <v>93.64</v>
      </c>
      <c r="AC27" s="1">
        <f>ROUND(Scores_2017!AQ31,$A$1)</f>
        <v>59.14</v>
      </c>
      <c r="AD27" s="1">
        <f>ROUND(Scores_2017!AR31,$A$1)</f>
        <v>32.03</v>
      </c>
      <c r="AE27" s="1">
        <f>ROUND(Scores_2017!AS31,$A$1)</f>
        <v>26.47</v>
      </c>
      <c r="AF27" s="1">
        <f>ROUND(Scores_2017!AT31,$A$1)</f>
        <v>42.76</v>
      </c>
      <c r="AG27" s="1">
        <f>ROUND(Scores_2017!AU31,$A$1)</f>
        <v>71.63</v>
      </c>
      <c r="AH27" s="1">
        <f>ROUND(Scores_2017!AV31,$A$1)</f>
        <v>49.51</v>
      </c>
      <c r="AI27" s="1">
        <f>ROUND(Scores_2017!AW31,$A$1)</f>
        <v>90.17</v>
      </c>
      <c r="AJ27" s="1">
        <f>ROUND(Scores_2017!AX31,$A$1)</f>
        <v>45.08</v>
      </c>
      <c r="AK27" s="1">
        <f>ROUND(Scores_2017!AY31,$A$1)</f>
        <v>19.08</v>
      </c>
      <c r="AL27" s="1">
        <f>ROUND(Scores_2017!AZ31,$A$1)</f>
        <v>91.46</v>
      </c>
      <c r="AM27" s="1">
        <f>ROUND(Scores_2017!BA31,$A$1)</f>
        <v>18.89</v>
      </c>
      <c r="AN27" s="1">
        <f>ROUND(Scores_2017!BB31,$A$1)</f>
        <v>54.49</v>
      </c>
      <c r="AO27" s="1">
        <f>ROUND(Scores_2017!BC31,$A$1)</f>
        <v>26.3</v>
      </c>
      <c r="AP27" s="1">
        <f>ROUND(Scores_2017!BD31,$A$1)</f>
        <v>59.02</v>
      </c>
      <c r="AQ27" s="1">
        <f>ROUND(Scores_2017!BE31,$A$1)</f>
        <v>50.01</v>
      </c>
      <c r="AR27" s="1">
        <f>ROUND(Scores_2017!BF31,$A$1)</f>
        <v>100</v>
      </c>
      <c r="AS27" s="1">
        <f>ROUND(Scores_2017!BG31,$A$1)</f>
        <v>45.08</v>
      </c>
      <c r="AT27" s="1">
        <f>ROUND(Scores_2017!BH31,$A$1)</f>
        <v>26.47</v>
      </c>
      <c r="AU27" s="1">
        <f>ROUND(Scores_2017!BI31,$A$1)</f>
        <v>49.34</v>
      </c>
      <c r="AV27" s="1">
        <f>ROUND(Scores_2017!BJ31,$A$1)</f>
        <v>50.01</v>
      </c>
      <c r="AW27" s="1">
        <f>ROUND(Scores_2017!BK31,$A$1)</f>
        <v>50.83</v>
      </c>
      <c r="AX27" s="1">
        <f>ROUND(Scores_2017!BL31,$A$1)</f>
        <v>52.85</v>
      </c>
      <c r="AY27" s="1">
        <f>ROUND(Scores_2017!BM31,$A$1)</f>
        <v>59.63</v>
      </c>
      <c r="AZ27" s="1">
        <f>ROUND(Scores_2017!BN31,$A$1)</f>
        <v>49.3</v>
      </c>
      <c r="BA27" s="1">
        <f>ROUND(Scores_2017!BO31,$A$1)</f>
        <v>49.51</v>
      </c>
      <c r="BB27" s="1">
        <f>ROUND(Scores_2017!BP31,$A$1)</f>
        <v>43.32</v>
      </c>
      <c r="BC27" s="1">
        <f>ROUND(Scores_2017!BQ31,$A$1)</f>
        <v>72.3</v>
      </c>
      <c r="BD27" s="1">
        <f>ROUND(Scores_2017!BR31,$A$1)</f>
        <v>54.49</v>
      </c>
      <c r="BE27" s="1">
        <f>ROUND(Scores_2017!BS31,$A$1)</f>
        <v>41.27</v>
      </c>
      <c r="BF27" s="1">
        <f>ROUND(Scores_2017!BT31,$A$1)</f>
        <v>0</v>
      </c>
      <c r="BG27" s="1">
        <f>ROUND(Scores_2017!BU31,$A$1)</f>
        <v>48.87</v>
      </c>
      <c r="BH27" s="1">
        <f>ROUND(Scores_2017!BV31,$A$1)</f>
        <v>51.12</v>
      </c>
      <c r="BI27" s="1">
        <f>ROUND(Scores_2017!BW31,$A$1)</f>
        <v>56.1</v>
      </c>
      <c r="BJ27" s="1">
        <f>ROUND(Scores_2017!BX31,$A$1)</f>
        <v>54.49</v>
      </c>
      <c r="BL27" s="1">
        <f t="shared" si="1"/>
        <v>53.47</v>
      </c>
    </row>
    <row r="28" spans="1:64">
      <c r="A28" s="1" t="str">
        <f>Scores_2017!N32</f>
        <v>   2.2.6) Number of attacks using biological, chemical and/or radiological weapons</v>
      </c>
      <c r="B28" s="1">
        <f>ROUND(Scores_2017!P32,$A$1)</f>
        <v>100</v>
      </c>
      <c r="C28" s="1">
        <f>ROUND(Scores_2017!Q32,$A$1)</f>
        <v>100</v>
      </c>
      <c r="D28" s="1">
        <f>ROUND(Scores_2017!R32,$A$1)</f>
        <v>100</v>
      </c>
      <c r="E28" s="1">
        <f>ROUND(Scores_2017!S32,$A$1)</f>
        <v>100</v>
      </c>
      <c r="F28" s="1">
        <f>ROUND(Scores_2017!T32,$A$1)</f>
        <v>100</v>
      </c>
      <c r="G28" s="1">
        <f>ROUND(Scores_2017!U32,$A$1)</f>
        <v>100</v>
      </c>
      <c r="H28" s="1">
        <f>ROUND(Scores_2017!V32,$A$1)</f>
        <v>100</v>
      </c>
      <c r="I28" s="1">
        <f>ROUND(Scores_2017!W32,$A$1)</f>
        <v>100</v>
      </c>
      <c r="J28" s="1">
        <f>ROUND(Scores_2017!X32,$A$1)</f>
        <v>100</v>
      </c>
      <c r="K28" s="1">
        <f>ROUND(Scores_2017!Y32,$A$1)</f>
        <v>100</v>
      </c>
      <c r="L28" s="1">
        <f>ROUND(Scores_2017!Z32,$A$1)</f>
        <v>100</v>
      </c>
      <c r="M28" s="1">
        <f>ROUND(Scores_2017!AA32,$A$1)</f>
        <v>100</v>
      </c>
      <c r="N28" s="1">
        <f>ROUND(Scores_2017!AB32,$A$1)</f>
        <v>100</v>
      </c>
      <c r="O28" s="1">
        <f>ROUND(Scores_2017!AC32,$A$1)</f>
        <v>100</v>
      </c>
      <c r="P28" s="1">
        <f>ROUND(Scores_2017!AD32,$A$1)</f>
        <v>100</v>
      </c>
      <c r="Q28" s="1">
        <f>ROUND(Scores_2017!AE32,$A$1)</f>
        <v>100</v>
      </c>
      <c r="R28" s="1">
        <f>ROUND(Scores_2017!AF32,$A$1)</f>
        <v>100</v>
      </c>
      <c r="S28" s="1">
        <f>ROUND(Scores_2017!AG32,$A$1)</f>
        <v>100</v>
      </c>
      <c r="T28" s="1">
        <f>ROUND(Scores_2017!AH32,$A$1)</f>
        <v>100</v>
      </c>
      <c r="U28" s="1">
        <f>ROUND(Scores_2017!AI32,$A$1)</f>
        <v>25</v>
      </c>
      <c r="V28" s="1">
        <f>ROUND(Scores_2017!AJ32,$A$1)</f>
        <v>100</v>
      </c>
      <c r="W28" s="1">
        <f>ROUND(Scores_2017!AK32,$A$1)</f>
        <v>100</v>
      </c>
      <c r="X28" s="1">
        <f>ROUND(Scores_2017!AL32,$A$1)</f>
        <v>100</v>
      </c>
      <c r="Y28" s="1">
        <f>ROUND(Scores_2017!AM32,$A$1)</f>
        <v>100</v>
      </c>
      <c r="Z28" s="1">
        <f>ROUND(Scores_2017!AN32,$A$1)</f>
        <v>100</v>
      </c>
      <c r="AA28" s="1">
        <f>ROUND(Scores_2017!AO32,$A$1)</f>
        <v>100</v>
      </c>
      <c r="AB28" s="1">
        <f>ROUND(Scores_2017!AP32,$A$1)</f>
        <v>100</v>
      </c>
      <c r="AC28" s="1">
        <f>ROUND(Scores_2017!AQ32,$A$1)</f>
        <v>100</v>
      </c>
      <c r="AD28" s="1">
        <f>ROUND(Scores_2017!AR32,$A$1)</f>
        <v>100</v>
      </c>
      <c r="AE28" s="1">
        <f>ROUND(Scores_2017!AS32,$A$1)</f>
        <v>75</v>
      </c>
      <c r="AF28" s="1">
        <f>ROUND(Scores_2017!AT32,$A$1)</f>
        <v>100</v>
      </c>
      <c r="AG28" s="1">
        <f>ROUND(Scores_2017!AU32,$A$1)</f>
        <v>100</v>
      </c>
      <c r="AH28" s="1">
        <f>ROUND(Scores_2017!AV32,$A$1)</f>
        <v>100</v>
      </c>
      <c r="AI28" s="1">
        <f>ROUND(Scores_2017!AW32,$A$1)</f>
        <v>100</v>
      </c>
      <c r="AJ28" s="1">
        <f>ROUND(Scores_2017!AX32,$A$1)</f>
        <v>100</v>
      </c>
      <c r="AK28" s="1">
        <f>ROUND(Scores_2017!AY32,$A$1)</f>
        <v>100</v>
      </c>
      <c r="AL28" s="1">
        <f>ROUND(Scores_2017!AZ32,$A$1)</f>
        <v>100</v>
      </c>
      <c r="AM28" s="1">
        <f>ROUND(Scores_2017!BA32,$A$1)</f>
        <v>25</v>
      </c>
      <c r="AN28" s="1">
        <f>ROUND(Scores_2017!BB32,$A$1)</f>
        <v>100</v>
      </c>
      <c r="AO28" s="1">
        <f>ROUND(Scores_2017!BC32,$A$1)</f>
        <v>100</v>
      </c>
      <c r="AP28" s="1">
        <f>ROUND(Scores_2017!BD32,$A$1)</f>
        <v>100</v>
      </c>
      <c r="AQ28" s="1">
        <f>ROUND(Scores_2017!BE32,$A$1)</f>
        <v>100</v>
      </c>
      <c r="AR28" s="1">
        <f>ROUND(Scores_2017!BF32,$A$1)</f>
        <v>100</v>
      </c>
      <c r="AS28" s="1">
        <f>ROUND(Scores_2017!BG32,$A$1)</f>
        <v>100</v>
      </c>
      <c r="AT28" s="1">
        <f>ROUND(Scores_2017!BH32,$A$1)</f>
        <v>100</v>
      </c>
      <c r="AU28" s="1">
        <f>ROUND(Scores_2017!BI32,$A$1)</f>
        <v>100</v>
      </c>
      <c r="AV28" s="1">
        <f>ROUND(Scores_2017!BJ32,$A$1)</f>
        <v>100</v>
      </c>
      <c r="AW28" s="1">
        <f>ROUND(Scores_2017!BK32,$A$1)</f>
        <v>100</v>
      </c>
      <c r="AX28" s="1">
        <f>ROUND(Scores_2017!BL32,$A$1)</f>
        <v>100</v>
      </c>
      <c r="AY28" s="1">
        <f>ROUND(Scores_2017!BM32,$A$1)</f>
        <v>100</v>
      </c>
      <c r="AZ28" s="1">
        <f>ROUND(Scores_2017!BN32,$A$1)</f>
        <v>100</v>
      </c>
      <c r="BA28" s="1">
        <f>ROUND(Scores_2017!BO32,$A$1)</f>
        <v>100</v>
      </c>
      <c r="BB28" s="1">
        <f>ROUND(Scores_2017!BP32,$A$1)</f>
        <v>100</v>
      </c>
      <c r="BC28" s="1">
        <f>ROUND(Scores_2017!BQ32,$A$1)</f>
        <v>100</v>
      </c>
      <c r="BD28" s="1">
        <f>ROUND(Scores_2017!BR32,$A$1)</f>
        <v>100</v>
      </c>
      <c r="BE28" s="1">
        <f>ROUND(Scores_2017!BS32,$A$1)</f>
        <v>100</v>
      </c>
      <c r="BF28" s="1">
        <f>ROUND(Scores_2017!BT32,$A$1)</f>
        <v>50</v>
      </c>
      <c r="BG28" s="1">
        <f>ROUND(Scores_2017!BU32,$A$1)</f>
        <v>0</v>
      </c>
      <c r="BH28" s="1">
        <f>ROUND(Scores_2017!BV32,$A$1)</f>
        <v>100</v>
      </c>
      <c r="BI28" s="1">
        <f>ROUND(Scores_2017!BW32,$A$1)</f>
        <v>100</v>
      </c>
      <c r="BJ28" s="1">
        <f>ROUND(Scores_2017!BX32,$A$1)</f>
        <v>100</v>
      </c>
      <c r="BL28" s="1">
        <f t="shared" si="1"/>
        <v>94.672131147541</v>
      </c>
    </row>
    <row r="29" spans="1:64">
      <c r="A29" s="1" t="str">
        <f>Scores_2017!N33</f>
        <v> 3) INFRASTRUCTURE SECURITY</v>
      </c>
      <c r="B29" s="1">
        <f>ROUND(Scores_2017!P33,$A$1)</f>
        <v>91.36</v>
      </c>
      <c r="C29" s="1">
        <f>ROUND(Scores_2017!Q33,$A$1)</f>
        <v>96.05</v>
      </c>
      <c r="D29" s="1">
        <f>ROUND(Scores_2017!R33,$A$1)</f>
        <v>82.05</v>
      </c>
      <c r="E29" s="1">
        <f>ROUND(Scores_2017!S33,$A$1)</f>
        <v>68.33</v>
      </c>
      <c r="F29" s="1">
        <f>ROUND(Scores_2017!T33,$A$1)</f>
        <v>96.59</v>
      </c>
      <c r="G29" s="1">
        <f>ROUND(Scores_2017!U33,$A$1)</f>
        <v>74.49</v>
      </c>
      <c r="H29" s="1">
        <f>ROUND(Scores_2017!V33,$A$1)</f>
        <v>69.79</v>
      </c>
      <c r="I29" s="1">
        <f>ROUND(Scores_2017!W33,$A$1)</f>
        <v>88.56</v>
      </c>
      <c r="J29" s="1">
        <f>ROUND(Scores_2017!X33,$A$1)</f>
        <v>87.99</v>
      </c>
      <c r="K29" s="1">
        <f>ROUND(Scores_2017!Y33,$A$1)</f>
        <v>68</v>
      </c>
      <c r="L29" s="1">
        <f>ROUND(Scores_2017!Z33,$A$1)</f>
        <v>58.42</v>
      </c>
      <c r="M29" s="1">
        <f>ROUND(Scores_2017!AA33,$A$1)</f>
        <v>66.27</v>
      </c>
      <c r="N29" s="1">
        <f>ROUND(Scores_2017!AB33,$A$1)</f>
        <v>87.47</v>
      </c>
      <c r="O29" s="1">
        <f>ROUND(Scores_2017!AC33,$A$1)</f>
        <v>79.23</v>
      </c>
      <c r="P29" s="1">
        <f>ROUND(Scores_2017!AD33,$A$1)</f>
        <v>58.49</v>
      </c>
      <c r="Q29" s="1">
        <f>ROUND(Scores_2017!AE33,$A$1)</f>
        <v>38.42</v>
      </c>
      <c r="R29" s="1">
        <f>ROUND(Scores_2017!AF33,$A$1)</f>
        <v>81.72</v>
      </c>
      <c r="S29" s="1">
        <f>ROUND(Scores_2017!AG33,$A$1)</f>
        <v>88.16</v>
      </c>
      <c r="T29" s="1">
        <f>ROUND(Scores_2017!AH33,$A$1)</f>
        <v>65.73</v>
      </c>
      <c r="U29" s="1">
        <f>ROUND(Scores_2017!AI33,$A$1)</f>
        <v>96.04</v>
      </c>
      <c r="V29" s="1">
        <f>ROUND(Scores_2017!AJ33,$A$1)</f>
        <v>70.79</v>
      </c>
      <c r="W29" s="1">
        <f>ROUND(Scores_2017!AK33,$A$1)</f>
        <v>63.32</v>
      </c>
      <c r="X29" s="1">
        <f>ROUND(Scores_2017!AL33,$A$1)</f>
        <v>61.74</v>
      </c>
      <c r="Y29" s="1">
        <f>ROUND(Scores_2017!AM33,$A$1)</f>
        <v>55.06</v>
      </c>
      <c r="Z29" s="1">
        <f>ROUND(Scores_2017!AN33,$A$1)</f>
        <v>40.11</v>
      </c>
      <c r="AA29" s="1">
        <f>ROUND(Scores_2017!AO33,$A$1)</f>
        <v>78.12</v>
      </c>
      <c r="AB29" s="1">
        <f>ROUND(Scores_2017!AP33,$A$1)</f>
        <v>71.66</v>
      </c>
      <c r="AC29" s="1">
        <f>ROUND(Scores_2017!AQ33,$A$1)</f>
        <v>64.47</v>
      </c>
      <c r="AD29" s="1">
        <f>ROUND(Scores_2017!AR33,$A$1)</f>
        <v>93.44</v>
      </c>
      <c r="AE29" s="1">
        <f>ROUND(Scores_2017!AS33,$A$1)</f>
        <v>88.27</v>
      </c>
      <c r="AF29" s="1">
        <f>ROUND(Scores_2017!AT33,$A$1)</f>
        <v>96.76</v>
      </c>
      <c r="AG29" s="1">
        <f>ROUND(Scores_2017!AU33,$A$1)</f>
        <v>52.89</v>
      </c>
      <c r="AH29" s="1">
        <f>ROUND(Scores_2017!AV33,$A$1)</f>
        <v>96.04</v>
      </c>
      <c r="AI29" s="1">
        <f>ROUND(Scores_2017!AW33,$A$1)</f>
        <v>72.98</v>
      </c>
      <c r="AJ29" s="1">
        <f>ROUND(Scores_2017!AX33,$A$1)</f>
        <v>90.36</v>
      </c>
      <c r="AK29" s="1">
        <f>ROUND(Scores_2017!AY33,$A$1)</f>
        <v>76.36</v>
      </c>
      <c r="AL29" s="1">
        <f>ROUND(Scores_2017!AZ33,$A$1)</f>
        <v>59.12</v>
      </c>
      <c r="AM29" s="1">
        <f>ROUND(Scores_2017!BA33,$A$1)</f>
        <v>88.39</v>
      </c>
      <c r="AN29" s="1">
        <f>ROUND(Scores_2017!BB33,$A$1)</f>
        <v>94.61</v>
      </c>
      <c r="AO29" s="1">
        <f>ROUND(Scores_2017!BC33,$A$1)</f>
        <v>89.9</v>
      </c>
      <c r="AP29" s="1">
        <f>ROUND(Scores_2017!BD33,$A$1)</f>
        <v>52.03</v>
      </c>
      <c r="AQ29" s="1">
        <f>ROUND(Scores_2017!BE33,$A$1)</f>
        <v>79.53</v>
      </c>
      <c r="AR29" s="1">
        <f>ROUND(Scores_2017!BF33,$A$1)</f>
        <v>56.88</v>
      </c>
      <c r="AS29" s="1">
        <f>ROUND(Scores_2017!BG33,$A$1)</f>
        <v>92.31</v>
      </c>
      <c r="AT29" s="1">
        <f>ROUND(Scores_2017!BH33,$A$1)</f>
        <v>91.21</v>
      </c>
      <c r="AU29" s="1">
        <f>ROUND(Scores_2017!BI33,$A$1)</f>
        <v>81.35</v>
      </c>
      <c r="AV29" s="1">
        <f>ROUND(Scores_2017!BJ33,$A$1)</f>
        <v>79.44</v>
      </c>
      <c r="AW29" s="1">
        <f>ROUND(Scores_2017!BK33,$A$1)</f>
        <v>87.93</v>
      </c>
      <c r="AX29" s="1">
        <f>ROUND(Scores_2017!BL33,$A$1)</f>
        <v>74.3</v>
      </c>
      <c r="AY29" s="1">
        <f>ROUND(Scores_2017!BM33,$A$1)</f>
        <v>97.05</v>
      </c>
      <c r="AZ29" s="1">
        <f>ROUND(Scores_2017!BN33,$A$1)</f>
        <v>96.18</v>
      </c>
      <c r="BA29" s="1">
        <f>ROUND(Scores_2017!BO33,$A$1)</f>
        <v>95.73</v>
      </c>
      <c r="BB29" s="1">
        <f>ROUND(Scores_2017!BP33,$A$1)</f>
        <v>87.59</v>
      </c>
      <c r="BC29" s="1">
        <f>ROUND(Scores_2017!BQ33,$A$1)</f>
        <v>63.95</v>
      </c>
      <c r="BD29" s="1">
        <f>ROUND(Scores_2017!BR33,$A$1)</f>
        <v>93.59</v>
      </c>
      <c r="BE29" s="1">
        <f>ROUND(Scores_2017!BS33,$A$1)</f>
        <v>92.75</v>
      </c>
      <c r="BF29" s="1">
        <f>ROUND(Scores_2017!BT33,$A$1)</f>
        <v>82.38</v>
      </c>
      <c r="BG29" s="1">
        <f>ROUND(Scores_2017!BU33,$A$1)</f>
        <v>96.13</v>
      </c>
      <c r="BH29" s="1">
        <f>ROUND(Scores_2017!BV33,$A$1)</f>
        <v>48.58</v>
      </c>
      <c r="BI29" s="1">
        <f>ROUND(Scores_2017!BW33,$A$1)</f>
        <v>95.71</v>
      </c>
      <c r="BJ29" s="1">
        <f>ROUND(Scores_2017!BX33,$A$1)</f>
        <v>94.66</v>
      </c>
      <c r="BL29" s="1">
        <f t="shared" si="1"/>
        <v>78.4726229508197</v>
      </c>
    </row>
    <row r="30" spans="1:64">
      <c r="A30" s="1" t="str">
        <f>Scores_2017!N34</f>
        <v>  3.1) Infrastructure security (Inputs)</v>
      </c>
      <c r="B30" s="1">
        <f>ROUND(Scores_2017!P34,$A$1)</f>
        <v>90</v>
      </c>
      <c r="C30" s="1">
        <f>ROUND(Scores_2017!Q34,$A$1)</f>
        <v>94</v>
      </c>
      <c r="D30" s="1">
        <f>ROUND(Scores_2017!R34,$A$1)</f>
        <v>72</v>
      </c>
      <c r="E30" s="1">
        <f>ROUND(Scores_2017!S34,$A$1)</f>
        <v>60.5</v>
      </c>
      <c r="F30" s="1">
        <f>ROUND(Scores_2017!T34,$A$1)</f>
        <v>96.5</v>
      </c>
      <c r="G30" s="1">
        <f>ROUND(Scores_2017!U34,$A$1)</f>
        <v>70.5</v>
      </c>
      <c r="H30" s="1">
        <f>ROUND(Scores_2017!V34,$A$1)</f>
        <v>63</v>
      </c>
      <c r="I30" s="1">
        <f>ROUND(Scores_2017!W34,$A$1)</f>
        <v>88.5</v>
      </c>
      <c r="J30" s="1">
        <f>ROUND(Scores_2017!X34,$A$1)</f>
        <v>87.5</v>
      </c>
      <c r="K30" s="1">
        <f>ROUND(Scores_2017!Y34,$A$1)</f>
        <v>57</v>
      </c>
      <c r="L30" s="1">
        <f>ROUND(Scores_2017!Z34,$A$1)</f>
        <v>38</v>
      </c>
      <c r="M30" s="1">
        <f>ROUND(Scores_2017!AA34,$A$1)</f>
        <v>51.5</v>
      </c>
      <c r="N30" s="1">
        <f>ROUND(Scores_2017!AB34,$A$1)</f>
        <v>90.5</v>
      </c>
      <c r="O30" s="1">
        <f>ROUND(Scores_2017!AC34,$A$1)</f>
        <v>80.5</v>
      </c>
      <c r="P30" s="1">
        <f>ROUND(Scores_2017!AD34,$A$1)</f>
        <v>37.5</v>
      </c>
      <c r="Q30" s="1">
        <f>ROUND(Scores_2017!AE34,$A$1)</f>
        <v>21</v>
      </c>
      <c r="R30" s="1">
        <f>ROUND(Scores_2017!AF34,$A$1)</f>
        <v>75.5</v>
      </c>
      <c r="S30" s="1">
        <f>ROUND(Scores_2017!AG34,$A$1)</f>
        <v>95</v>
      </c>
      <c r="T30" s="1">
        <f>ROUND(Scores_2017!AH34,$A$1)</f>
        <v>43</v>
      </c>
      <c r="U30" s="1">
        <f>ROUND(Scores_2017!AI34,$A$1)</f>
        <v>95.5</v>
      </c>
      <c r="V30" s="1">
        <f>ROUND(Scores_2017!AJ34,$A$1)</f>
        <v>66</v>
      </c>
      <c r="W30" s="1">
        <f>ROUND(Scores_2017!AK34,$A$1)</f>
        <v>43</v>
      </c>
      <c r="X30" s="1">
        <f>ROUND(Scores_2017!AL34,$A$1)</f>
        <v>47</v>
      </c>
      <c r="Y30" s="1">
        <f>ROUND(Scores_2017!AM34,$A$1)</f>
        <v>52</v>
      </c>
      <c r="Z30" s="1">
        <f>ROUND(Scores_2017!AN34,$A$1)</f>
        <v>26</v>
      </c>
      <c r="AA30" s="1">
        <f>ROUND(Scores_2017!AO34,$A$1)</f>
        <v>70</v>
      </c>
      <c r="AB30" s="1">
        <f>ROUND(Scores_2017!AP34,$A$1)</f>
        <v>72.5</v>
      </c>
      <c r="AC30" s="1">
        <f>ROUND(Scores_2017!AQ34,$A$1)</f>
        <v>57.5</v>
      </c>
      <c r="AD30" s="1">
        <f>ROUND(Scores_2017!AR34,$A$1)</f>
        <v>92.5</v>
      </c>
      <c r="AE30" s="1">
        <f>ROUND(Scores_2017!AS34,$A$1)</f>
        <v>90.5</v>
      </c>
      <c r="AF30" s="1">
        <f>ROUND(Scores_2017!AT34,$A$1)</f>
        <v>96.5</v>
      </c>
      <c r="AG30" s="1">
        <f>ROUND(Scores_2017!AU34,$A$1)</f>
        <v>48.5</v>
      </c>
      <c r="AH30" s="1">
        <f>ROUND(Scores_2017!AV34,$A$1)</f>
        <v>95.5</v>
      </c>
      <c r="AI30" s="1">
        <f>ROUND(Scores_2017!AW34,$A$1)</f>
        <v>63.5</v>
      </c>
      <c r="AJ30" s="1">
        <f>ROUND(Scores_2017!AX34,$A$1)</f>
        <v>89.5</v>
      </c>
      <c r="AK30" s="1">
        <f>ROUND(Scores_2017!AY34,$A$1)</f>
        <v>83.5</v>
      </c>
      <c r="AL30" s="1">
        <f>ROUND(Scores_2017!AZ34,$A$1)</f>
        <v>32.5</v>
      </c>
      <c r="AM30" s="1">
        <f>ROUND(Scores_2017!BA34,$A$1)</f>
        <v>90.5</v>
      </c>
      <c r="AN30" s="1">
        <f>ROUND(Scores_2017!BB34,$A$1)</f>
        <v>96.5</v>
      </c>
      <c r="AO30" s="1">
        <f>ROUND(Scores_2017!BC34,$A$1)</f>
        <v>92.5</v>
      </c>
      <c r="AP30" s="1">
        <f>ROUND(Scores_2017!BD34,$A$1)</f>
        <v>41</v>
      </c>
      <c r="AQ30" s="1">
        <f>ROUND(Scores_2017!BE34,$A$1)</f>
        <v>79</v>
      </c>
      <c r="AR30" s="1">
        <f>ROUND(Scores_2017!BF34,$A$1)</f>
        <v>37</v>
      </c>
      <c r="AS30" s="1">
        <f>ROUND(Scores_2017!BG34,$A$1)</f>
        <v>94.5</v>
      </c>
      <c r="AT30" s="1">
        <f>ROUND(Scores_2017!BH34,$A$1)</f>
        <v>90.5</v>
      </c>
      <c r="AU30" s="1">
        <f>ROUND(Scores_2017!BI34,$A$1)</f>
        <v>84</v>
      </c>
      <c r="AV30" s="1">
        <f>ROUND(Scores_2017!BJ34,$A$1)</f>
        <v>79</v>
      </c>
      <c r="AW30" s="1">
        <f>ROUND(Scores_2017!BK34,$A$1)</f>
        <v>89.5</v>
      </c>
      <c r="AX30" s="1">
        <f>ROUND(Scores_2017!BL34,$A$1)</f>
        <v>70.5</v>
      </c>
      <c r="AY30" s="1">
        <f>ROUND(Scores_2017!BM34,$A$1)</f>
        <v>96.5</v>
      </c>
      <c r="AZ30" s="1">
        <f>ROUND(Scores_2017!BN34,$A$1)</f>
        <v>95</v>
      </c>
      <c r="BA30" s="1">
        <f>ROUND(Scores_2017!BO34,$A$1)</f>
        <v>95.5</v>
      </c>
      <c r="BB30" s="1">
        <f>ROUND(Scores_2017!BP34,$A$1)</f>
        <v>80.5</v>
      </c>
      <c r="BC30" s="1">
        <f>ROUND(Scores_2017!BQ34,$A$1)</f>
        <v>68.5</v>
      </c>
      <c r="BD30" s="1">
        <f>ROUND(Scores_2017!BR34,$A$1)</f>
        <v>96.5</v>
      </c>
      <c r="BE30" s="1">
        <f>ROUND(Scores_2017!BS34,$A$1)</f>
        <v>90.5</v>
      </c>
      <c r="BF30" s="1">
        <f>ROUND(Scores_2017!BT34,$A$1)</f>
        <v>90.5</v>
      </c>
      <c r="BG30" s="1">
        <f>ROUND(Scores_2017!BU34,$A$1)</f>
        <v>97.5</v>
      </c>
      <c r="BH30" s="1">
        <f>ROUND(Scores_2017!BV34,$A$1)</f>
        <v>30</v>
      </c>
      <c r="BI30" s="1">
        <f>ROUND(Scores_2017!BW34,$A$1)</f>
        <v>95</v>
      </c>
      <c r="BJ30" s="1">
        <f>ROUND(Scores_2017!BX34,$A$1)</f>
        <v>96.5</v>
      </c>
      <c r="BL30" s="1">
        <f t="shared" si="1"/>
        <v>73.9508196721311</v>
      </c>
    </row>
    <row r="31" spans="1:64">
      <c r="A31" s="1" t="str">
        <f>Scores_2017!N35</f>
        <v>   3.1.1) Enforcement of transport safety</v>
      </c>
      <c r="B31" s="1">
        <f>ROUND(Scores_2017!P35,$A$1)</f>
        <v>100</v>
      </c>
      <c r="C31" s="1">
        <f>ROUND(Scores_2017!Q35,$A$1)</f>
        <v>70</v>
      </c>
      <c r="D31" s="1">
        <f>ROUND(Scores_2017!R35,$A$1)</f>
        <v>60</v>
      </c>
      <c r="E31" s="1">
        <f>ROUND(Scores_2017!S35,$A$1)</f>
        <v>52.5</v>
      </c>
      <c r="F31" s="1">
        <f>ROUND(Scores_2017!T35,$A$1)</f>
        <v>82.5</v>
      </c>
      <c r="G31" s="1">
        <f>ROUND(Scores_2017!U35,$A$1)</f>
        <v>77.5</v>
      </c>
      <c r="H31" s="1">
        <f>ROUND(Scores_2017!V35,$A$1)</f>
        <v>40</v>
      </c>
      <c r="I31" s="1">
        <f>ROUND(Scores_2017!W35,$A$1)</f>
        <v>67.5</v>
      </c>
      <c r="J31" s="1">
        <f>ROUND(Scores_2017!X35,$A$1)</f>
        <v>62.5</v>
      </c>
      <c r="K31" s="1">
        <f>ROUND(Scores_2017!Y35,$A$1)</f>
        <v>60</v>
      </c>
      <c r="L31" s="1">
        <f>ROUND(Scores_2017!Z35,$A$1)</f>
        <v>40</v>
      </c>
      <c r="M31" s="1">
        <f>ROUND(Scores_2017!AA35,$A$1)</f>
        <v>57.5</v>
      </c>
      <c r="N31" s="1">
        <f>ROUND(Scores_2017!AB35,$A$1)</f>
        <v>77.5</v>
      </c>
      <c r="O31" s="1">
        <f>ROUND(Scores_2017!AC35,$A$1)</f>
        <v>77.5</v>
      </c>
      <c r="P31" s="1">
        <f>ROUND(Scores_2017!AD35,$A$1)</f>
        <v>37.5</v>
      </c>
      <c r="Q31" s="1">
        <f>ROUND(Scores_2017!AE35,$A$1)</f>
        <v>30</v>
      </c>
      <c r="R31" s="1">
        <f>ROUND(Scores_2017!AF35,$A$1)</f>
        <v>77.5</v>
      </c>
      <c r="S31" s="1">
        <f>ROUND(Scores_2017!AG35,$A$1)</f>
        <v>75</v>
      </c>
      <c r="T31" s="1">
        <f>ROUND(Scores_2017!AH35,$A$1)</f>
        <v>65</v>
      </c>
      <c r="U31" s="1">
        <f>ROUND(Scores_2017!AI35,$A$1)</f>
        <v>77.5</v>
      </c>
      <c r="V31" s="1">
        <f>ROUND(Scores_2017!AJ35,$A$1)</f>
        <v>30</v>
      </c>
      <c r="W31" s="1">
        <f>ROUND(Scores_2017!AK35,$A$1)</f>
        <v>65</v>
      </c>
      <c r="X31" s="1">
        <f>ROUND(Scores_2017!AL35,$A$1)</f>
        <v>60</v>
      </c>
      <c r="Y31" s="1">
        <f>ROUND(Scores_2017!AM35,$A$1)</f>
        <v>35</v>
      </c>
      <c r="Z31" s="1">
        <f>ROUND(Scores_2017!AN35,$A$1)</f>
        <v>30</v>
      </c>
      <c r="AA31" s="1">
        <f>ROUND(Scores_2017!AO35,$A$1)</f>
        <v>50</v>
      </c>
      <c r="AB31" s="1">
        <f>ROUND(Scores_2017!AP35,$A$1)</f>
        <v>62.5</v>
      </c>
      <c r="AC31" s="1">
        <f>ROUND(Scores_2017!AQ35,$A$1)</f>
        <v>37.5</v>
      </c>
      <c r="AD31" s="1">
        <f>ROUND(Scores_2017!AR35,$A$1)</f>
        <v>87.5</v>
      </c>
      <c r="AE31" s="1">
        <f>ROUND(Scores_2017!AS35,$A$1)</f>
        <v>77.5</v>
      </c>
      <c r="AF31" s="1">
        <f>ROUND(Scores_2017!AT35,$A$1)</f>
        <v>82.5</v>
      </c>
      <c r="AG31" s="1">
        <f>ROUND(Scores_2017!AU35,$A$1)</f>
        <v>42.5</v>
      </c>
      <c r="AH31" s="1">
        <f>ROUND(Scores_2017!AV35,$A$1)</f>
        <v>77.5</v>
      </c>
      <c r="AI31" s="1">
        <f>ROUND(Scores_2017!AW35,$A$1)</f>
        <v>42.5</v>
      </c>
      <c r="AJ31" s="1">
        <f>ROUND(Scores_2017!AX35,$A$1)</f>
        <v>72.5</v>
      </c>
      <c r="AK31" s="1">
        <f>ROUND(Scores_2017!AY35,$A$1)</f>
        <v>67.5</v>
      </c>
      <c r="AL31" s="1">
        <f>ROUND(Scores_2017!AZ35,$A$1)</f>
        <v>37.5</v>
      </c>
      <c r="AM31" s="1">
        <f>ROUND(Scores_2017!BA35,$A$1)</f>
        <v>77.5</v>
      </c>
      <c r="AN31" s="1">
        <f>ROUND(Scores_2017!BB35,$A$1)</f>
        <v>82.5</v>
      </c>
      <c r="AO31" s="1">
        <f>ROUND(Scores_2017!BC35,$A$1)</f>
        <v>87.5</v>
      </c>
      <c r="AP31" s="1">
        <f>ROUND(Scores_2017!BD35,$A$1)</f>
        <v>55</v>
      </c>
      <c r="AQ31" s="1">
        <f>ROUND(Scores_2017!BE35,$A$1)</f>
        <v>70</v>
      </c>
      <c r="AR31" s="1">
        <f>ROUND(Scores_2017!BF35,$A$1)</f>
        <v>60</v>
      </c>
      <c r="AS31" s="1">
        <f>ROUND(Scores_2017!BG35,$A$1)</f>
        <v>72.5</v>
      </c>
      <c r="AT31" s="1">
        <f>ROUND(Scores_2017!BH35,$A$1)</f>
        <v>77.5</v>
      </c>
      <c r="AU31" s="1">
        <f>ROUND(Scores_2017!BI35,$A$1)</f>
        <v>45</v>
      </c>
      <c r="AV31" s="1">
        <f>ROUND(Scores_2017!BJ35,$A$1)</f>
        <v>70</v>
      </c>
      <c r="AW31" s="1">
        <f>ROUND(Scores_2017!BK35,$A$1)</f>
        <v>72.5</v>
      </c>
      <c r="AX31" s="1">
        <f>ROUND(Scores_2017!BL35,$A$1)</f>
        <v>77.5</v>
      </c>
      <c r="AY31" s="1">
        <f>ROUND(Scores_2017!BM35,$A$1)</f>
        <v>82.5</v>
      </c>
      <c r="AZ31" s="1">
        <f>ROUND(Scores_2017!BN35,$A$1)</f>
        <v>75</v>
      </c>
      <c r="BA31" s="1">
        <f>ROUND(Scores_2017!BO35,$A$1)</f>
        <v>77.5</v>
      </c>
      <c r="BB31" s="1">
        <f>ROUND(Scores_2017!BP35,$A$1)</f>
        <v>77.5</v>
      </c>
      <c r="BC31" s="1">
        <f>ROUND(Scores_2017!BQ35,$A$1)</f>
        <v>67.5</v>
      </c>
      <c r="BD31" s="1">
        <f>ROUND(Scores_2017!BR35,$A$1)</f>
        <v>82.5</v>
      </c>
      <c r="BE31" s="1">
        <f>ROUND(Scores_2017!BS35,$A$1)</f>
        <v>77.5</v>
      </c>
      <c r="BF31" s="1">
        <f>ROUND(Scores_2017!BT35,$A$1)</f>
        <v>77.5</v>
      </c>
      <c r="BG31" s="1">
        <f>ROUND(Scores_2017!BU35,$A$1)</f>
        <v>87.5</v>
      </c>
      <c r="BH31" s="1">
        <f>ROUND(Scores_2017!BV35,$A$1)</f>
        <v>50</v>
      </c>
      <c r="BI31" s="1">
        <f>ROUND(Scores_2017!BW35,$A$1)</f>
        <v>75</v>
      </c>
      <c r="BJ31" s="1">
        <f>ROUND(Scores_2017!BX35,$A$1)</f>
        <v>82.5</v>
      </c>
      <c r="BL31" s="1">
        <f t="shared" si="1"/>
        <v>65.655737704918</v>
      </c>
    </row>
    <row r="32" spans="1:64">
      <c r="A32" s="1" t="str">
        <f>Scores_2017!N36</f>
        <v>   3.1.2) Pedestrian friendliness</v>
      </c>
      <c r="B32" s="1">
        <f>ROUND(Scores_2017!P36,$A$1)</f>
        <v>100</v>
      </c>
      <c r="C32" s="1">
        <f>ROUND(Scores_2017!Q36,$A$1)</f>
        <v>100</v>
      </c>
      <c r="D32" s="1">
        <f>ROUND(Scores_2017!R36,$A$1)</f>
        <v>100</v>
      </c>
      <c r="E32" s="1">
        <f>ROUND(Scores_2017!S36,$A$1)</f>
        <v>50</v>
      </c>
      <c r="F32" s="1">
        <f>ROUND(Scores_2017!T36,$A$1)</f>
        <v>100</v>
      </c>
      <c r="G32" s="1">
        <f>ROUND(Scores_2017!U36,$A$1)</f>
        <v>50</v>
      </c>
      <c r="H32" s="1">
        <f>ROUND(Scores_2017!V36,$A$1)</f>
        <v>100</v>
      </c>
      <c r="I32" s="1">
        <f>ROUND(Scores_2017!W36,$A$1)</f>
        <v>100</v>
      </c>
      <c r="J32" s="1">
        <f>ROUND(Scores_2017!X36,$A$1)</f>
        <v>100</v>
      </c>
      <c r="K32" s="1">
        <f>ROUND(Scores_2017!Y36,$A$1)</f>
        <v>50</v>
      </c>
      <c r="L32" s="1">
        <f>ROUND(Scores_2017!Z36,$A$1)</f>
        <v>0</v>
      </c>
      <c r="M32" s="1">
        <f>ROUND(Scores_2017!AA36,$A$1)</f>
        <v>0</v>
      </c>
      <c r="N32" s="1">
        <f>ROUND(Scores_2017!AB36,$A$1)</f>
        <v>100</v>
      </c>
      <c r="O32" s="1">
        <f>ROUND(Scores_2017!AC36,$A$1)</f>
        <v>50</v>
      </c>
      <c r="P32" s="1">
        <f>ROUND(Scores_2017!AD36,$A$1)</f>
        <v>0</v>
      </c>
      <c r="Q32" s="1">
        <f>ROUND(Scores_2017!AE36,$A$1)</f>
        <v>0</v>
      </c>
      <c r="R32" s="1">
        <f>ROUND(Scores_2017!AF36,$A$1)</f>
        <v>50</v>
      </c>
      <c r="S32" s="1">
        <f>ROUND(Scores_2017!AG36,$A$1)</f>
        <v>100</v>
      </c>
      <c r="T32" s="1">
        <f>ROUND(Scores_2017!AH36,$A$1)</f>
        <v>50</v>
      </c>
      <c r="U32" s="1">
        <f>ROUND(Scores_2017!AI36,$A$1)</f>
        <v>100</v>
      </c>
      <c r="V32" s="1">
        <f>ROUND(Scores_2017!AJ36,$A$1)</f>
        <v>100</v>
      </c>
      <c r="W32" s="1">
        <f>ROUND(Scores_2017!AK36,$A$1)</f>
        <v>0</v>
      </c>
      <c r="X32" s="1">
        <f>ROUND(Scores_2017!AL36,$A$1)</f>
        <v>0</v>
      </c>
      <c r="Y32" s="1">
        <f>ROUND(Scores_2017!AM36,$A$1)</f>
        <v>50</v>
      </c>
      <c r="Z32" s="1">
        <f>ROUND(Scores_2017!AN36,$A$1)</f>
        <v>50</v>
      </c>
      <c r="AA32" s="1">
        <f>ROUND(Scores_2017!AO36,$A$1)</f>
        <v>50</v>
      </c>
      <c r="AB32" s="1">
        <f>ROUND(Scores_2017!AP36,$A$1)</f>
        <v>50</v>
      </c>
      <c r="AC32" s="1">
        <f>ROUND(Scores_2017!AQ36,$A$1)</f>
        <v>0</v>
      </c>
      <c r="AD32" s="1">
        <f>ROUND(Scores_2017!AR36,$A$1)</f>
        <v>100</v>
      </c>
      <c r="AE32" s="1">
        <f>ROUND(Scores_2017!AS36,$A$1)</f>
        <v>100</v>
      </c>
      <c r="AF32" s="1">
        <f>ROUND(Scores_2017!AT36,$A$1)</f>
        <v>100</v>
      </c>
      <c r="AG32" s="1">
        <f>ROUND(Scores_2017!AU36,$A$1)</f>
        <v>50</v>
      </c>
      <c r="AH32" s="1">
        <f>ROUND(Scores_2017!AV36,$A$1)</f>
        <v>100</v>
      </c>
      <c r="AI32" s="1">
        <f>ROUND(Scores_2017!AW36,$A$1)</f>
        <v>100</v>
      </c>
      <c r="AJ32" s="1">
        <f>ROUND(Scores_2017!AX36,$A$1)</f>
        <v>100</v>
      </c>
      <c r="AK32" s="1">
        <f>ROUND(Scores_2017!AY36,$A$1)</f>
        <v>100</v>
      </c>
      <c r="AL32" s="1">
        <f>ROUND(Scores_2017!AZ36,$A$1)</f>
        <v>0</v>
      </c>
      <c r="AM32" s="1">
        <f>ROUND(Scores_2017!BA36,$A$1)</f>
        <v>100</v>
      </c>
      <c r="AN32" s="1">
        <f>ROUND(Scores_2017!BB36,$A$1)</f>
        <v>100</v>
      </c>
      <c r="AO32" s="1">
        <f>ROUND(Scores_2017!BC36,$A$1)</f>
        <v>100</v>
      </c>
      <c r="AP32" s="1">
        <f>ROUND(Scores_2017!BD36,$A$1)</f>
        <v>0</v>
      </c>
      <c r="AQ32" s="1">
        <f>ROUND(Scores_2017!BE36,$A$1)</f>
        <v>100</v>
      </c>
      <c r="AR32" s="1">
        <f>ROUND(Scores_2017!BF36,$A$1)</f>
        <v>0</v>
      </c>
      <c r="AS32" s="1">
        <f>ROUND(Scores_2017!BG36,$A$1)</f>
        <v>100</v>
      </c>
      <c r="AT32" s="1">
        <f>ROUND(Scores_2017!BH36,$A$1)</f>
        <v>100</v>
      </c>
      <c r="AU32" s="1">
        <f>ROUND(Scores_2017!BI36,$A$1)</f>
        <v>100</v>
      </c>
      <c r="AV32" s="1">
        <f>ROUND(Scores_2017!BJ36,$A$1)</f>
        <v>100</v>
      </c>
      <c r="AW32" s="1">
        <f>ROUND(Scores_2017!BK36,$A$1)</f>
        <v>100</v>
      </c>
      <c r="AX32" s="1">
        <f>ROUND(Scores_2017!BL36,$A$1)</f>
        <v>50</v>
      </c>
      <c r="AY32" s="1">
        <f>ROUND(Scores_2017!BM36,$A$1)</f>
        <v>100</v>
      </c>
      <c r="AZ32" s="1">
        <f>ROUND(Scores_2017!BN36,$A$1)</f>
        <v>100</v>
      </c>
      <c r="BA32" s="1">
        <f>ROUND(Scores_2017!BO36,$A$1)</f>
        <v>100</v>
      </c>
      <c r="BB32" s="1">
        <f>ROUND(Scores_2017!BP36,$A$1)</f>
        <v>100</v>
      </c>
      <c r="BC32" s="1">
        <f>ROUND(Scores_2017!BQ36,$A$1)</f>
        <v>100</v>
      </c>
      <c r="BD32" s="1">
        <f>ROUND(Scores_2017!BR36,$A$1)</f>
        <v>100</v>
      </c>
      <c r="BE32" s="1">
        <f>ROUND(Scores_2017!BS36,$A$1)</f>
        <v>100</v>
      </c>
      <c r="BF32" s="1">
        <f>ROUND(Scores_2017!BT36,$A$1)</f>
        <v>100</v>
      </c>
      <c r="BG32" s="1">
        <f>ROUND(Scores_2017!BU36,$A$1)</f>
        <v>100</v>
      </c>
      <c r="BH32" s="1">
        <f>ROUND(Scores_2017!BV36,$A$1)</f>
        <v>0</v>
      </c>
      <c r="BI32" s="1">
        <f>ROUND(Scores_2017!BW36,$A$1)</f>
        <v>100</v>
      </c>
      <c r="BJ32" s="1">
        <f>ROUND(Scores_2017!BX36,$A$1)</f>
        <v>100</v>
      </c>
      <c r="BL32" s="1">
        <f t="shared" si="1"/>
        <v>72.1311475409836</v>
      </c>
    </row>
    <row r="33" spans="1:64">
      <c r="A33" s="1" t="str">
        <f>Scores_2017!N37</f>
        <v>   3.1.3) Quality of road infrastructure</v>
      </c>
      <c r="B33" s="1">
        <f>ROUND(Scores_2017!P37,$A$1)</f>
        <v>100</v>
      </c>
      <c r="C33" s="1">
        <f>ROUND(Scores_2017!Q37,$A$1)</f>
        <v>100</v>
      </c>
      <c r="D33" s="1">
        <f>ROUND(Scores_2017!R37,$A$1)</f>
        <v>50</v>
      </c>
      <c r="E33" s="1">
        <f>ROUND(Scores_2017!S37,$A$1)</f>
        <v>25</v>
      </c>
      <c r="F33" s="1">
        <f>ROUND(Scores_2017!T37,$A$1)</f>
        <v>100</v>
      </c>
      <c r="G33" s="1">
        <f>ROUND(Scores_2017!U37,$A$1)</f>
        <v>75</v>
      </c>
      <c r="H33" s="1">
        <f>ROUND(Scores_2017!V37,$A$1)</f>
        <v>50</v>
      </c>
      <c r="I33" s="1">
        <f>ROUND(Scores_2017!W37,$A$1)</f>
        <v>75</v>
      </c>
      <c r="J33" s="1">
        <f>ROUND(Scores_2017!X37,$A$1)</f>
        <v>75</v>
      </c>
      <c r="K33" s="1">
        <f>ROUND(Scores_2017!Y37,$A$1)</f>
        <v>50</v>
      </c>
      <c r="L33" s="1">
        <f>ROUND(Scores_2017!Z37,$A$1)</f>
        <v>50</v>
      </c>
      <c r="M33" s="1">
        <f>ROUND(Scores_2017!AA37,$A$1)</f>
        <v>50</v>
      </c>
      <c r="N33" s="1">
        <f>ROUND(Scores_2017!AB37,$A$1)</f>
        <v>75</v>
      </c>
      <c r="O33" s="1">
        <f>ROUND(Scores_2017!AC37,$A$1)</f>
        <v>75</v>
      </c>
      <c r="P33" s="1">
        <f>ROUND(Scores_2017!AD37,$A$1)</f>
        <v>50</v>
      </c>
      <c r="Q33" s="1">
        <f>ROUND(Scores_2017!AE37,$A$1)</f>
        <v>0</v>
      </c>
      <c r="R33" s="1">
        <f>ROUND(Scores_2017!AF37,$A$1)</f>
        <v>75</v>
      </c>
      <c r="S33" s="1">
        <f>ROUND(Scores_2017!AG37,$A$1)</f>
        <v>100</v>
      </c>
      <c r="T33" s="1">
        <f>ROUND(Scores_2017!AH37,$A$1)</f>
        <v>25</v>
      </c>
      <c r="U33" s="1">
        <f>ROUND(Scores_2017!AI37,$A$1)</f>
        <v>100</v>
      </c>
      <c r="V33" s="1">
        <f>ROUND(Scores_2017!AJ37,$A$1)</f>
        <v>50</v>
      </c>
      <c r="W33" s="1">
        <f>ROUND(Scores_2017!AK37,$A$1)</f>
        <v>50</v>
      </c>
      <c r="X33" s="1">
        <f>ROUND(Scores_2017!AL37,$A$1)</f>
        <v>75</v>
      </c>
      <c r="Y33" s="1">
        <f>ROUND(Scores_2017!AM37,$A$1)</f>
        <v>50</v>
      </c>
      <c r="Z33" s="1">
        <f>ROUND(Scores_2017!AN37,$A$1)</f>
        <v>25</v>
      </c>
      <c r="AA33" s="1">
        <f>ROUND(Scores_2017!AO37,$A$1)</f>
        <v>75</v>
      </c>
      <c r="AB33" s="1">
        <f>ROUND(Scores_2017!AP37,$A$1)</f>
        <v>75</v>
      </c>
      <c r="AC33" s="1">
        <f>ROUND(Scores_2017!AQ37,$A$1)</f>
        <v>75</v>
      </c>
      <c r="AD33" s="1">
        <f>ROUND(Scores_2017!AR37,$A$1)</f>
        <v>75</v>
      </c>
      <c r="AE33" s="1">
        <f>ROUND(Scores_2017!AS37,$A$1)</f>
        <v>75</v>
      </c>
      <c r="AF33" s="1">
        <f>ROUND(Scores_2017!AT37,$A$1)</f>
        <v>100</v>
      </c>
      <c r="AG33" s="1">
        <f>ROUND(Scores_2017!AU37,$A$1)</f>
        <v>50</v>
      </c>
      <c r="AH33" s="1">
        <f>ROUND(Scores_2017!AV37,$A$1)</f>
        <v>100</v>
      </c>
      <c r="AI33" s="1">
        <f>ROUND(Scores_2017!AW37,$A$1)</f>
        <v>50</v>
      </c>
      <c r="AJ33" s="1">
        <f>ROUND(Scores_2017!AX37,$A$1)</f>
        <v>75</v>
      </c>
      <c r="AK33" s="1">
        <f>ROUND(Scores_2017!AY37,$A$1)</f>
        <v>75</v>
      </c>
      <c r="AL33" s="1">
        <f>ROUND(Scores_2017!AZ37,$A$1)</f>
        <v>0</v>
      </c>
      <c r="AM33" s="1">
        <f>ROUND(Scores_2017!BA37,$A$1)</f>
        <v>75</v>
      </c>
      <c r="AN33" s="1">
        <f>ROUND(Scores_2017!BB37,$A$1)</f>
        <v>100</v>
      </c>
      <c r="AO33" s="1">
        <f>ROUND(Scores_2017!BC37,$A$1)</f>
        <v>75</v>
      </c>
      <c r="AP33" s="1">
        <f>ROUND(Scores_2017!BD37,$A$1)</f>
        <v>50</v>
      </c>
      <c r="AQ33" s="1">
        <f>ROUND(Scores_2017!BE37,$A$1)</f>
        <v>50</v>
      </c>
      <c r="AR33" s="1">
        <f>ROUND(Scores_2017!BF37,$A$1)</f>
        <v>50</v>
      </c>
      <c r="AS33" s="1">
        <f>ROUND(Scores_2017!BG37,$A$1)</f>
        <v>100</v>
      </c>
      <c r="AT33" s="1">
        <f>ROUND(Scores_2017!BH37,$A$1)</f>
        <v>75</v>
      </c>
      <c r="AU33" s="1">
        <f>ROUND(Scores_2017!BI37,$A$1)</f>
        <v>75</v>
      </c>
      <c r="AV33" s="1">
        <f>ROUND(Scores_2017!BJ37,$A$1)</f>
        <v>75</v>
      </c>
      <c r="AW33" s="1">
        <f>ROUND(Scores_2017!BK37,$A$1)</f>
        <v>75</v>
      </c>
      <c r="AX33" s="1">
        <f>ROUND(Scores_2017!BL37,$A$1)</f>
        <v>75</v>
      </c>
      <c r="AY33" s="1">
        <f>ROUND(Scores_2017!BM37,$A$1)</f>
        <v>100</v>
      </c>
      <c r="AZ33" s="1">
        <f>ROUND(Scores_2017!BN37,$A$1)</f>
        <v>100</v>
      </c>
      <c r="BA33" s="1">
        <f>ROUND(Scores_2017!BO37,$A$1)</f>
        <v>100</v>
      </c>
      <c r="BB33" s="1">
        <f>ROUND(Scores_2017!BP37,$A$1)</f>
        <v>75</v>
      </c>
      <c r="BC33" s="1">
        <f>ROUND(Scores_2017!BQ37,$A$1)</f>
        <v>50</v>
      </c>
      <c r="BD33" s="1">
        <f>ROUND(Scores_2017!BR37,$A$1)</f>
        <v>100</v>
      </c>
      <c r="BE33" s="1">
        <f>ROUND(Scores_2017!BS37,$A$1)</f>
        <v>75</v>
      </c>
      <c r="BF33" s="1">
        <f>ROUND(Scores_2017!BT37,$A$1)</f>
        <v>75</v>
      </c>
      <c r="BG33" s="1">
        <f>ROUND(Scores_2017!BU37,$A$1)</f>
        <v>100</v>
      </c>
      <c r="BH33" s="1">
        <f>ROUND(Scores_2017!BV37,$A$1)</f>
        <v>25</v>
      </c>
      <c r="BI33" s="1">
        <f>ROUND(Scores_2017!BW37,$A$1)</f>
        <v>100</v>
      </c>
      <c r="BJ33" s="1">
        <f>ROUND(Scores_2017!BX37,$A$1)</f>
        <v>100</v>
      </c>
      <c r="BL33" s="1">
        <f t="shared" si="1"/>
        <v>69.672131147541</v>
      </c>
    </row>
    <row r="34" spans="1:64">
      <c r="A34" s="1" t="str">
        <f>Scores_2017!N38</f>
        <v>   3.1.4) Quality of electricity infrastructure</v>
      </c>
      <c r="B34" s="1">
        <f>ROUND(Scores_2017!P38,$A$1)</f>
        <v>75</v>
      </c>
      <c r="C34" s="1">
        <f>ROUND(Scores_2017!Q38,$A$1)</f>
        <v>100</v>
      </c>
      <c r="D34" s="1">
        <f>ROUND(Scores_2017!R38,$A$1)</f>
        <v>75</v>
      </c>
      <c r="E34" s="1">
        <f>ROUND(Scores_2017!S38,$A$1)</f>
        <v>100</v>
      </c>
      <c r="F34" s="1">
        <f>ROUND(Scores_2017!T38,$A$1)</f>
        <v>100</v>
      </c>
      <c r="G34" s="1">
        <f>ROUND(Scores_2017!U38,$A$1)</f>
        <v>100</v>
      </c>
      <c r="H34" s="1">
        <f>ROUND(Scores_2017!V38,$A$1)</f>
        <v>75</v>
      </c>
      <c r="I34" s="1">
        <f>ROUND(Scores_2017!W38,$A$1)</f>
        <v>100</v>
      </c>
      <c r="J34" s="1">
        <f>ROUND(Scores_2017!X38,$A$1)</f>
        <v>100</v>
      </c>
      <c r="K34" s="1">
        <f>ROUND(Scores_2017!Y38,$A$1)</f>
        <v>75</v>
      </c>
      <c r="L34" s="1">
        <f>ROUND(Scores_2017!Z38,$A$1)</f>
        <v>50</v>
      </c>
      <c r="M34" s="1">
        <f>ROUND(Scores_2017!AA38,$A$1)</f>
        <v>75</v>
      </c>
      <c r="N34" s="1">
        <f>ROUND(Scores_2017!AB38,$A$1)</f>
        <v>100</v>
      </c>
      <c r="O34" s="1">
        <f>ROUND(Scores_2017!AC38,$A$1)</f>
        <v>100</v>
      </c>
      <c r="P34" s="1">
        <f>ROUND(Scores_2017!AD38,$A$1)</f>
        <v>50</v>
      </c>
      <c r="Q34" s="1">
        <f>ROUND(Scores_2017!AE38,$A$1)</f>
        <v>50</v>
      </c>
      <c r="R34" s="1">
        <f>ROUND(Scores_2017!AF38,$A$1)</f>
        <v>75</v>
      </c>
      <c r="S34" s="1">
        <f>ROUND(Scores_2017!AG38,$A$1)</f>
        <v>100</v>
      </c>
      <c r="T34" s="1">
        <f>ROUND(Scores_2017!AH38,$A$1)</f>
        <v>50</v>
      </c>
      <c r="U34" s="1">
        <f>ROUND(Scores_2017!AI38,$A$1)</f>
        <v>100</v>
      </c>
      <c r="V34" s="1">
        <f>ROUND(Scores_2017!AJ38,$A$1)</f>
        <v>75</v>
      </c>
      <c r="W34" s="1">
        <f>ROUND(Scores_2017!AK38,$A$1)</f>
        <v>50</v>
      </c>
      <c r="X34" s="1">
        <f>ROUND(Scores_2017!AL38,$A$1)</f>
        <v>100</v>
      </c>
      <c r="Y34" s="1">
        <f>ROUND(Scores_2017!AM38,$A$1)</f>
        <v>50</v>
      </c>
      <c r="Z34" s="1">
        <f>ROUND(Scores_2017!AN38,$A$1)</f>
        <v>25</v>
      </c>
      <c r="AA34" s="1">
        <f>ROUND(Scores_2017!AO38,$A$1)</f>
        <v>100</v>
      </c>
      <c r="AB34" s="1">
        <f>ROUND(Scores_2017!AP38,$A$1)</f>
        <v>100</v>
      </c>
      <c r="AC34" s="1">
        <f>ROUND(Scores_2017!AQ38,$A$1)</f>
        <v>100</v>
      </c>
      <c r="AD34" s="1">
        <f>ROUND(Scores_2017!AR38,$A$1)</f>
        <v>100</v>
      </c>
      <c r="AE34" s="1">
        <f>ROUND(Scores_2017!AS38,$A$1)</f>
        <v>100</v>
      </c>
      <c r="AF34" s="1">
        <f>ROUND(Scores_2017!AT38,$A$1)</f>
        <v>100</v>
      </c>
      <c r="AG34" s="1">
        <f>ROUND(Scores_2017!AU38,$A$1)</f>
        <v>75</v>
      </c>
      <c r="AH34" s="1">
        <f>ROUND(Scores_2017!AV38,$A$1)</f>
        <v>100</v>
      </c>
      <c r="AI34" s="1">
        <f>ROUND(Scores_2017!AW38,$A$1)</f>
        <v>50</v>
      </c>
      <c r="AJ34" s="1">
        <f>ROUND(Scores_2017!AX38,$A$1)</f>
        <v>100</v>
      </c>
      <c r="AK34" s="1">
        <f>ROUND(Scores_2017!AY38,$A$1)</f>
        <v>100</v>
      </c>
      <c r="AL34" s="1">
        <f>ROUND(Scores_2017!AZ38,$A$1)</f>
        <v>75</v>
      </c>
      <c r="AM34" s="1">
        <f>ROUND(Scores_2017!BA38,$A$1)</f>
        <v>100</v>
      </c>
      <c r="AN34" s="1">
        <f>ROUND(Scores_2017!BB38,$A$1)</f>
        <v>100</v>
      </c>
      <c r="AO34" s="1">
        <f>ROUND(Scores_2017!BC38,$A$1)</f>
        <v>100</v>
      </c>
      <c r="AP34" s="1">
        <f>ROUND(Scores_2017!BD38,$A$1)</f>
        <v>75</v>
      </c>
      <c r="AQ34" s="1">
        <f>ROUND(Scores_2017!BE38,$A$1)</f>
        <v>100</v>
      </c>
      <c r="AR34" s="1">
        <f>ROUND(Scores_2017!BF38,$A$1)</f>
        <v>75</v>
      </c>
      <c r="AS34" s="1">
        <f>ROUND(Scores_2017!BG38,$A$1)</f>
        <v>100</v>
      </c>
      <c r="AT34" s="1">
        <f>ROUND(Scores_2017!BH38,$A$1)</f>
        <v>100</v>
      </c>
      <c r="AU34" s="1">
        <f>ROUND(Scores_2017!BI38,$A$1)</f>
        <v>100</v>
      </c>
      <c r="AV34" s="1">
        <f>ROUND(Scores_2017!BJ38,$A$1)</f>
        <v>75</v>
      </c>
      <c r="AW34" s="1">
        <f>ROUND(Scores_2017!BK38,$A$1)</f>
        <v>100</v>
      </c>
      <c r="AX34" s="1">
        <f>ROUND(Scores_2017!BL38,$A$1)</f>
        <v>100</v>
      </c>
      <c r="AY34" s="1">
        <f>ROUND(Scores_2017!BM38,$A$1)</f>
        <v>100</v>
      </c>
      <c r="AZ34" s="1">
        <f>ROUND(Scores_2017!BN38,$A$1)</f>
        <v>100</v>
      </c>
      <c r="BA34" s="1">
        <f>ROUND(Scores_2017!BO38,$A$1)</f>
        <v>100</v>
      </c>
      <c r="BB34" s="1">
        <f>ROUND(Scores_2017!BP38,$A$1)</f>
        <v>75</v>
      </c>
      <c r="BC34" s="1">
        <f>ROUND(Scores_2017!BQ38,$A$1)</f>
        <v>50</v>
      </c>
      <c r="BD34" s="1">
        <f>ROUND(Scores_2017!BR38,$A$1)</f>
        <v>100</v>
      </c>
      <c r="BE34" s="1">
        <f>ROUND(Scores_2017!BS38,$A$1)</f>
        <v>100</v>
      </c>
      <c r="BF34" s="1">
        <f>ROUND(Scores_2017!BT38,$A$1)</f>
        <v>100</v>
      </c>
      <c r="BG34" s="1">
        <f>ROUND(Scores_2017!BU38,$A$1)</f>
        <v>100</v>
      </c>
      <c r="BH34" s="1">
        <f>ROUND(Scores_2017!BV38,$A$1)</f>
        <v>50</v>
      </c>
      <c r="BI34" s="1">
        <f>ROUND(Scores_2017!BW38,$A$1)</f>
        <v>100</v>
      </c>
      <c r="BJ34" s="1">
        <f>ROUND(Scores_2017!BX38,$A$1)</f>
        <v>100</v>
      </c>
      <c r="BL34" s="1">
        <f t="shared" si="1"/>
        <v>86.0655737704918</v>
      </c>
    </row>
    <row r="35" spans="1:64">
      <c r="A35" s="1" t="str">
        <f>Scores_2017!N39</f>
        <v>   3.1.5) Disaster management/business continuity plan</v>
      </c>
      <c r="B35" s="1">
        <f>ROUND(Scores_2017!P39,$A$1)</f>
        <v>75</v>
      </c>
      <c r="C35" s="1">
        <f>ROUND(Scores_2017!Q39,$A$1)</f>
        <v>100</v>
      </c>
      <c r="D35" s="1">
        <f>ROUND(Scores_2017!R39,$A$1)</f>
        <v>75</v>
      </c>
      <c r="E35" s="1">
        <f>ROUND(Scores_2017!S39,$A$1)</f>
        <v>75</v>
      </c>
      <c r="F35" s="1">
        <f>ROUND(Scores_2017!T39,$A$1)</f>
        <v>100</v>
      </c>
      <c r="G35" s="1">
        <f>ROUND(Scores_2017!U39,$A$1)</f>
        <v>50</v>
      </c>
      <c r="H35" s="1">
        <f>ROUND(Scores_2017!V39,$A$1)</f>
        <v>50</v>
      </c>
      <c r="I35" s="1">
        <f>ROUND(Scores_2017!W39,$A$1)</f>
        <v>100</v>
      </c>
      <c r="J35" s="1">
        <f>ROUND(Scores_2017!X39,$A$1)</f>
        <v>100</v>
      </c>
      <c r="K35" s="1">
        <f>ROUND(Scores_2017!Y39,$A$1)</f>
        <v>50</v>
      </c>
      <c r="L35" s="1">
        <f>ROUND(Scores_2017!Z39,$A$1)</f>
        <v>50</v>
      </c>
      <c r="M35" s="1">
        <f>ROUND(Scores_2017!AA39,$A$1)</f>
        <v>75</v>
      </c>
      <c r="N35" s="1">
        <f>ROUND(Scores_2017!AB39,$A$1)</f>
        <v>100</v>
      </c>
      <c r="O35" s="1">
        <f>ROUND(Scores_2017!AC39,$A$1)</f>
        <v>100</v>
      </c>
      <c r="P35" s="1">
        <f>ROUND(Scores_2017!AD39,$A$1)</f>
        <v>50</v>
      </c>
      <c r="Q35" s="1">
        <f>ROUND(Scores_2017!AE39,$A$1)</f>
        <v>25</v>
      </c>
      <c r="R35" s="1">
        <f>ROUND(Scores_2017!AF39,$A$1)</f>
        <v>100</v>
      </c>
      <c r="S35" s="1">
        <f>ROUND(Scores_2017!AG39,$A$1)</f>
        <v>100</v>
      </c>
      <c r="T35" s="1">
        <f>ROUND(Scores_2017!AH39,$A$1)</f>
        <v>25</v>
      </c>
      <c r="U35" s="1">
        <f>ROUND(Scores_2017!AI39,$A$1)</f>
        <v>100</v>
      </c>
      <c r="V35" s="1">
        <f>ROUND(Scores_2017!AJ39,$A$1)</f>
        <v>75</v>
      </c>
      <c r="W35" s="1">
        <f>ROUND(Scores_2017!AK39,$A$1)</f>
        <v>50</v>
      </c>
      <c r="X35" s="1">
        <f>ROUND(Scores_2017!AL39,$A$1)</f>
        <v>0</v>
      </c>
      <c r="Y35" s="1">
        <f>ROUND(Scores_2017!AM39,$A$1)</f>
        <v>75</v>
      </c>
      <c r="Z35" s="1">
        <f>ROUND(Scores_2017!AN39,$A$1)</f>
        <v>0</v>
      </c>
      <c r="AA35" s="1">
        <f>ROUND(Scores_2017!AO39,$A$1)</f>
        <v>75</v>
      </c>
      <c r="AB35" s="1">
        <f>ROUND(Scores_2017!AP39,$A$1)</f>
        <v>75</v>
      </c>
      <c r="AC35" s="1">
        <f>ROUND(Scores_2017!AQ39,$A$1)</f>
        <v>75</v>
      </c>
      <c r="AD35" s="1">
        <f>ROUND(Scores_2017!AR39,$A$1)</f>
        <v>100</v>
      </c>
      <c r="AE35" s="1">
        <f>ROUND(Scores_2017!AS39,$A$1)</f>
        <v>100</v>
      </c>
      <c r="AF35" s="1">
        <f>ROUND(Scores_2017!AT39,$A$1)</f>
        <v>100</v>
      </c>
      <c r="AG35" s="1">
        <f>ROUND(Scores_2017!AU39,$A$1)</f>
        <v>25</v>
      </c>
      <c r="AH35" s="1">
        <f>ROUND(Scores_2017!AV39,$A$1)</f>
        <v>100</v>
      </c>
      <c r="AI35" s="1">
        <f>ROUND(Scores_2017!AW39,$A$1)</f>
        <v>75</v>
      </c>
      <c r="AJ35" s="1">
        <f>ROUND(Scores_2017!AX39,$A$1)</f>
        <v>100</v>
      </c>
      <c r="AK35" s="1">
        <f>ROUND(Scores_2017!AY39,$A$1)</f>
        <v>75</v>
      </c>
      <c r="AL35" s="1">
        <f>ROUND(Scores_2017!AZ39,$A$1)</f>
        <v>50</v>
      </c>
      <c r="AM35" s="1">
        <f>ROUND(Scores_2017!BA39,$A$1)</f>
        <v>100</v>
      </c>
      <c r="AN35" s="1">
        <f>ROUND(Scores_2017!BB39,$A$1)</f>
        <v>100</v>
      </c>
      <c r="AO35" s="1">
        <f>ROUND(Scores_2017!BC39,$A$1)</f>
        <v>100</v>
      </c>
      <c r="AP35" s="1">
        <f>ROUND(Scores_2017!BD39,$A$1)</f>
        <v>25</v>
      </c>
      <c r="AQ35" s="1">
        <f>ROUND(Scores_2017!BE39,$A$1)</f>
        <v>75</v>
      </c>
      <c r="AR35" s="1">
        <f>ROUND(Scores_2017!BF39,$A$1)</f>
        <v>0</v>
      </c>
      <c r="AS35" s="1">
        <f>ROUND(Scores_2017!BG39,$A$1)</f>
        <v>100</v>
      </c>
      <c r="AT35" s="1">
        <f>ROUND(Scores_2017!BH39,$A$1)</f>
        <v>100</v>
      </c>
      <c r="AU35" s="1">
        <f>ROUND(Scores_2017!BI39,$A$1)</f>
        <v>100</v>
      </c>
      <c r="AV35" s="1">
        <f>ROUND(Scores_2017!BJ39,$A$1)</f>
        <v>75</v>
      </c>
      <c r="AW35" s="1">
        <f>ROUND(Scores_2017!BK39,$A$1)</f>
        <v>100</v>
      </c>
      <c r="AX35" s="1">
        <f>ROUND(Scores_2017!BL39,$A$1)</f>
        <v>50</v>
      </c>
      <c r="AY35" s="1">
        <f>ROUND(Scores_2017!BM39,$A$1)</f>
        <v>100</v>
      </c>
      <c r="AZ35" s="1">
        <f>ROUND(Scores_2017!BN39,$A$1)</f>
        <v>100</v>
      </c>
      <c r="BA35" s="1">
        <f>ROUND(Scores_2017!BO39,$A$1)</f>
        <v>100</v>
      </c>
      <c r="BB35" s="1">
        <f>ROUND(Scores_2017!BP39,$A$1)</f>
        <v>75</v>
      </c>
      <c r="BC35" s="1">
        <f>ROUND(Scores_2017!BQ39,$A$1)</f>
        <v>75</v>
      </c>
      <c r="BD35" s="1">
        <f>ROUND(Scores_2017!BR39,$A$1)</f>
        <v>100</v>
      </c>
      <c r="BE35" s="1">
        <f>ROUND(Scores_2017!BS39,$A$1)</f>
        <v>100</v>
      </c>
      <c r="BF35" s="1">
        <f>ROUND(Scores_2017!BT39,$A$1)</f>
        <v>100</v>
      </c>
      <c r="BG35" s="1">
        <f>ROUND(Scores_2017!BU39,$A$1)</f>
        <v>100</v>
      </c>
      <c r="BH35" s="1">
        <f>ROUND(Scores_2017!BV39,$A$1)</f>
        <v>25</v>
      </c>
      <c r="BI35" s="1">
        <f>ROUND(Scores_2017!BW39,$A$1)</f>
        <v>100</v>
      </c>
      <c r="BJ35" s="1">
        <f>ROUND(Scores_2017!BX39,$A$1)</f>
        <v>100</v>
      </c>
      <c r="BL35" s="1">
        <f t="shared" si="1"/>
        <v>76.2295081967213</v>
      </c>
    </row>
    <row r="36" spans="1:64">
      <c r="A36" s="1" t="str">
        <f>Scores_2017!N40</f>
        <v>  3.2) Infrastructure security (Outputs)</v>
      </c>
      <c r="B36" s="1">
        <f>ROUND(Scores_2017!P40,$A$1)</f>
        <v>92.73</v>
      </c>
      <c r="C36" s="1">
        <f>ROUND(Scores_2017!Q40,$A$1)</f>
        <v>98.1</v>
      </c>
      <c r="D36" s="1">
        <f>ROUND(Scores_2017!R40,$A$1)</f>
        <v>92.09</v>
      </c>
      <c r="E36" s="1">
        <f>ROUND(Scores_2017!S40,$A$1)</f>
        <v>76.16</v>
      </c>
      <c r="F36" s="1">
        <f>ROUND(Scores_2017!T40,$A$1)</f>
        <v>96.69</v>
      </c>
      <c r="G36" s="1">
        <f>ROUND(Scores_2017!U40,$A$1)</f>
        <v>78.48</v>
      </c>
      <c r="H36" s="1">
        <f>ROUND(Scores_2017!V40,$A$1)</f>
        <v>76.57</v>
      </c>
      <c r="I36" s="1">
        <f>ROUND(Scores_2017!W40,$A$1)</f>
        <v>88.62</v>
      </c>
      <c r="J36" s="1">
        <f>ROUND(Scores_2017!X40,$A$1)</f>
        <v>88.48</v>
      </c>
      <c r="K36" s="1">
        <f>ROUND(Scores_2017!Y40,$A$1)</f>
        <v>79</v>
      </c>
      <c r="L36" s="1">
        <f>ROUND(Scores_2017!Z40,$A$1)</f>
        <v>78.83</v>
      </c>
      <c r="M36" s="1">
        <f>ROUND(Scores_2017!AA40,$A$1)</f>
        <v>81.04</v>
      </c>
      <c r="N36" s="1">
        <f>ROUND(Scores_2017!AB40,$A$1)</f>
        <v>84.43</v>
      </c>
      <c r="O36" s="1">
        <f>ROUND(Scores_2017!AC40,$A$1)</f>
        <v>77.96</v>
      </c>
      <c r="P36" s="1">
        <f>ROUND(Scores_2017!AD40,$A$1)</f>
        <v>79.47</v>
      </c>
      <c r="Q36" s="1">
        <f>ROUND(Scores_2017!AE40,$A$1)</f>
        <v>55.84</v>
      </c>
      <c r="R36" s="1">
        <f>ROUND(Scores_2017!AF40,$A$1)</f>
        <v>87.94</v>
      </c>
      <c r="S36" s="1">
        <f>ROUND(Scores_2017!AG40,$A$1)</f>
        <v>81.32</v>
      </c>
      <c r="T36" s="1">
        <f>ROUND(Scores_2017!AH40,$A$1)</f>
        <v>88.46</v>
      </c>
      <c r="U36" s="1">
        <f>ROUND(Scores_2017!AI40,$A$1)</f>
        <v>96.58</v>
      </c>
      <c r="V36" s="1">
        <f>ROUND(Scores_2017!AJ40,$A$1)</f>
        <v>75.58</v>
      </c>
      <c r="W36" s="1">
        <f>ROUND(Scores_2017!AK40,$A$1)</f>
        <v>83.64</v>
      </c>
      <c r="X36" s="1">
        <f>ROUND(Scores_2017!AL40,$A$1)</f>
        <v>76.48</v>
      </c>
      <c r="Y36" s="1">
        <f>ROUND(Scores_2017!AM40,$A$1)</f>
        <v>58.12</v>
      </c>
      <c r="Z36" s="1">
        <f>ROUND(Scores_2017!AN40,$A$1)</f>
        <v>54.22</v>
      </c>
      <c r="AA36" s="1">
        <f>ROUND(Scores_2017!AO40,$A$1)</f>
        <v>86.24</v>
      </c>
      <c r="AB36" s="1">
        <f>ROUND(Scores_2017!AP40,$A$1)</f>
        <v>70.82</v>
      </c>
      <c r="AC36" s="1">
        <f>ROUND(Scores_2017!AQ40,$A$1)</f>
        <v>71.44</v>
      </c>
      <c r="AD36" s="1">
        <f>ROUND(Scores_2017!AR40,$A$1)</f>
        <v>94.38</v>
      </c>
      <c r="AE36" s="1">
        <f>ROUND(Scores_2017!AS40,$A$1)</f>
        <v>86.03</v>
      </c>
      <c r="AF36" s="1">
        <f>ROUND(Scores_2017!AT40,$A$1)</f>
        <v>97.03</v>
      </c>
      <c r="AG36" s="1">
        <f>ROUND(Scores_2017!AU40,$A$1)</f>
        <v>57.28</v>
      </c>
      <c r="AH36" s="1">
        <f>ROUND(Scores_2017!AV40,$A$1)</f>
        <v>96.57</v>
      </c>
      <c r="AI36" s="1">
        <f>ROUND(Scores_2017!AW40,$A$1)</f>
        <v>82.45</v>
      </c>
      <c r="AJ36" s="1">
        <f>ROUND(Scores_2017!AX40,$A$1)</f>
        <v>91.22</v>
      </c>
      <c r="AK36" s="1">
        <f>ROUND(Scores_2017!AY40,$A$1)</f>
        <v>69.21</v>
      </c>
      <c r="AL36" s="1">
        <f>ROUND(Scores_2017!AZ40,$A$1)</f>
        <v>85.73</v>
      </c>
      <c r="AM36" s="1">
        <f>ROUND(Scores_2017!BA40,$A$1)</f>
        <v>86.28</v>
      </c>
      <c r="AN36" s="1">
        <f>ROUND(Scores_2017!BB40,$A$1)</f>
        <v>92.72</v>
      </c>
      <c r="AO36" s="1">
        <f>ROUND(Scores_2017!BC40,$A$1)</f>
        <v>87.3</v>
      </c>
      <c r="AP36" s="1">
        <f>ROUND(Scores_2017!BD40,$A$1)</f>
        <v>63.06</v>
      </c>
      <c r="AQ36" s="1">
        <f>ROUND(Scores_2017!BE40,$A$1)</f>
        <v>80.07</v>
      </c>
      <c r="AR36" s="1">
        <f>ROUND(Scores_2017!BF40,$A$1)</f>
        <v>76.76</v>
      </c>
      <c r="AS36" s="1">
        <f>ROUND(Scores_2017!BG40,$A$1)</f>
        <v>90.11</v>
      </c>
      <c r="AT36" s="1">
        <f>ROUND(Scores_2017!BH40,$A$1)</f>
        <v>91.92</v>
      </c>
      <c r="AU36" s="1">
        <f>ROUND(Scores_2017!BI40,$A$1)</f>
        <v>78.7</v>
      </c>
      <c r="AV36" s="1">
        <f>ROUND(Scores_2017!BJ40,$A$1)</f>
        <v>79.87</v>
      </c>
      <c r="AW36" s="1">
        <f>ROUND(Scores_2017!BK40,$A$1)</f>
        <v>86.37</v>
      </c>
      <c r="AX36" s="1">
        <f>ROUND(Scores_2017!BL40,$A$1)</f>
        <v>78.1</v>
      </c>
      <c r="AY36" s="1">
        <f>ROUND(Scores_2017!BM40,$A$1)</f>
        <v>97.59</v>
      </c>
      <c r="AZ36" s="1">
        <f>ROUND(Scores_2017!BN40,$A$1)</f>
        <v>97.36</v>
      </c>
      <c r="BA36" s="1">
        <f>ROUND(Scores_2017!BO40,$A$1)</f>
        <v>95.95</v>
      </c>
      <c r="BB36" s="1">
        <f>ROUND(Scores_2017!BP40,$A$1)</f>
        <v>94.67</v>
      </c>
      <c r="BC36" s="1">
        <f>ROUND(Scores_2017!BQ40,$A$1)</f>
        <v>59.4</v>
      </c>
      <c r="BD36" s="1">
        <f>ROUND(Scores_2017!BR40,$A$1)</f>
        <v>90.68</v>
      </c>
      <c r="BE36" s="1">
        <f>ROUND(Scores_2017!BS40,$A$1)</f>
        <v>95.01</v>
      </c>
      <c r="BF36" s="1">
        <f>ROUND(Scores_2017!BT40,$A$1)</f>
        <v>74.26</v>
      </c>
      <c r="BG36" s="1">
        <f>ROUND(Scores_2017!BU40,$A$1)</f>
        <v>94.77</v>
      </c>
      <c r="BH36" s="1">
        <f>ROUND(Scores_2017!BV40,$A$1)</f>
        <v>67.16</v>
      </c>
      <c r="BI36" s="1">
        <f>ROUND(Scores_2017!BW40,$A$1)</f>
        <v>96.42</v>
      </c>
      <c r="BJ36" s="1">
        <f>ROUND(Scores_2017!BX40,$A$1)</f>
        <v>92.83</v>
      </c>
      <c r="BL36" s="1">
        <f t="shared" si="1"/>
        <v>82.9932786885246</v>
      </c>
    </row>
    <row r="37" spans="1:64">
      <c r="A37" s="1" t="str">
        <f>Scores_2017!N41</f>
        <v>   3.2.1) Deaths from natural disaster</v>
      </c>
      <c r="B37" s="1">
        <f>ROUND(Scores_2017!P41,$A$1)</f>
        <v>100</v>
      </c>
      <c r="C37" s="1">
        <f>ROUND(Scores_2017!Q41,$A$1)</f>
        <v>99.73</v>
      </c>
      <c r="D37" s="1">
        <f>ROUND(Scores_2017!R41,$A$1)</f>
        <v>98.36</v>
      </c>
      <c r="E37" s="1">
        <f>ROUND(Scores_2017!S41,$A$1)</f>
        <v>97.17</v>
      </c>
      <c r="F37" s="1">
        <f>ROUND(Scores_2017!T41,$A$1)</f>
        <v>99.41</v>
      </c>
      <c r="G37" s="1">
        <f>ROUND(Scores_2017!U41,$A$1)</f>
        <v>96.35</v>
      </c>
      <c r="H37" s="1">
        <f>ROUND(Scores_2017!V41,$A$1)</f>
        <v>93.16</v>
      </c>
      <c r="I37" s="1">
        <f>ROUND(Scores_2017!W41,$A$1)</f>
        <v>66.78</v>
      </c>
      <c r="J37" s="1">
        <f>ROUND(Scores_2017!X41,$A$1)</f>
        <v>97.31</v>
      </c>
      <c r="K37" s="1">
        <f>ROUND(Scores_2017!Y41,$A$1)</f>
        <v>95.89</v>
      </c>
      <c r="L37" s="1">
        <f>ROUND(Scores_2017!Z41,$A$1)</f>
        <v>100</v>
      </c>
      <c r="M37" s="1">
        <f>ROUND(Scores_2017!AA41,$A$1)</f>
        <v>97.33</v>
      </c>
      <c r="N37" s="1">
        <f>ROUND(Scores_2017!AB41,$A$1)</f>
        <v>96.29</v>
      </c>
      <c r="O37" s="1">
        <f>ROUND(Scores_2017!AC41,$A$1)</f>
        <v>96.29</v>
      </c>
      <c r="P37" s="1">
        <f>ROUND(Scores_2017!AD41,$A$1)</f>
        <v>90.66</v>
      </c>
      <c r="Q37" s="1">
        <f>ROUND(Scores_2017!AE41,$A$1)</f>
        <v>95.27</v>
      </c>
      <c r="R37" s="1">
        <f>ROUND(Scores_2017!AF41,$A$1)</f>
        <v>100</v>
      </c>
      <c r="S37" s="1">
        <f>ROUND(Scores_2017!AG41,$A$1)</f>
        <v>99.55</v>
      </c>
      <c r="T37" s="1">
        <f>ROUND(Scores_2017!AH41,$A$1)</f>
        <v>94.23</v>
      </c>
      <c r="U37" s="1">
        <f>ROUND(Scores_2017!AI41,$A$1)</f>
        <v>100</v>
      </c>
      <c r="V37" s="1">
        <f>ROUND(Scores_2017!AJ41,$A$1)</f>
        <v>99.46</v>
      </c>
      <c r="W37" s="1">
        <f>ROUND(Scores_2017!AK41,$A$1)</f>
        <v>96.88</v>
      </c>
      <c r="X37" s="1">
        <f>ROUND(Scores_2017!AL41,$A$1)</f>
        <v>96.18</v>
      </c>
      <c r="Y37" s="1">
        <f>ROUND(Scores_2017!AM41,$A$1)</f>
        <v>98.78</v>
      </c>
      <c r="Z37" s="1">
        <f>ROUND(Scores_2017!AN41,$A$1)</f>
        <v>79.67</v>
      </c>
      <c r="AA37" s="1">
        <f>ROUND(Scores_2017!AO41,$A$1)</f>
        <v>98.27</v>
      </c>
      <c r="AB37" s="1">
        <f>ROUND(Scores_2017!AP41,$A$1)</f>
        <v>100</v>
      </c>
      <c r="AC37" s="1">
        <f>ROUND(Scores_2017!AQ41,$A$1)</f>
        <v>70.9</v>
      </c>
      <c r="AD37" s="1">
        <f>ROUND(Scores_2017!AR41,$A$1)</f>
        <v>86.05</v>
      </c>
      <c r="AE37" s="1">
        <f>ROUND(Scores_2017!AS41,$A$1)</f>
        <v>96.29</v>
      </c>
      <c r="AF37" s="1">
        <f>ROUND(Scores_2017!AT41,$A$1)</f>
        <v>99.41</v>
      </c>
      <c r="AG37" s="1">
        <f>ROUND(Scores_2017!AU41,$A$1)</f>
        <v>0</v>
      </c>
      <c r="AH37" s="1">
        <f>ROUND(Scores_2017!AV41,$A$1)</f>
        <v>93.19</v>
      </c>
      <c r="AI37" s="1">
        <f>ROUND(Scores_2017!AW41,$A$1)</f>
        <v>97.15</v>
      </c>
      <c r="AJ37" s="1">
        <f>ROUND(Scores_2017!AX41,$A$1)</f>
        <v>93.74</v>
      </c>
      <c r="AK37" s="1">
        <f>ROUND(Scores_2017!AY41,$A$1)</f>
        <v>97.13</v>
      </c>
      <c r="AL37" s="1">
        <f>ROUND(Scores_2017!AZ41,$A$1)</f>
        <v>90.66</v>
      </c>
      <c r="AM37" s="1">
        <f>ROUND(Scores_2017!BA41,$A$1)</f>
        <v>96.29</v>
      </c>
      <c r="AN37" s="1">
        <f>ROUND(Scores_2017!BB41,$A$1)</f>
        <v>92.58</v>
      </c>
      <c r="AO37" s="1">
        <f>ROUND(Scores_2017!BC41,$A$1)</f>
        <v>53.08</v>
      </c>
      <c r="AP37" s="1">
        <f>ROUND(Scores_2017!BD41,$A$1)</f>
        <v>57.59</v>
      </c>
      <c r="AQ37" s="1">
        <f>ROUND(Scores_2017!BE41,$A$1)</f>
        <v>98.41</v>
      </c>
      <c r="AR37" s="1">
        <f>ROUND(Scores_2017!BF41,$A$1)</f>
        <v>96.18</v>
      </c>
      <c r="AS37" s="1">
        <f>ROUND(Scores_2017!BG41,$A$1)</f>
        <v>93.74</v>
      </c>
      <c r="AT37" s="1">
        <f>ROUND(Scores_2017!BH41,$A$1)</f>
        <v>96.29</v>
      </c>
      <c r="AU37" s="1">
        <f>ROUND(Scores_2017!BI41,$A$1)</f>
        <v>87.79</v>
      </c>
      <c r="AV37" s="1">
        <f>ROUND(Scores_2017!BJ41,$A$1)</f>
        <v>98.41</v>
      </c>
      <c r="AW37" s="1">
        <f>ROUND(Scores_2017!BK41,$A$1)</f>
        <v>97.41</v>
      </c>
      <c r="AX37" s="1">
        <f>ROUND(Scores_2017!BL41,$A$1)</f>
        <v>96.35</v>
      </c>
      <c r="AY37" s="1">
        <f>ROUND(Scores_2017!BM41,$A$1)</f>
        <v>100</v>
      </c>
      <c r="AZ37" s="1">
        <f>ROUND(Scores_2017!BN41,$A$1)</f>
        <v>96.72</v>
      </c>
      <c r="BA37" s="1">
        <f>ROUND(Scores_2017!BO41,$A$1)</f>
        <v>93.19</v>
      </c>
      <c r="BB37" s="1">
        <f>ROUND(Scores_2017!BP41,$A$1)</f>
        <v>90.35</v>
      </c>
      <c r="BC37" s="1">
        <f>ROUND(Scores_2017!BQ41,$A$1)</f>
        <v>94.65</v>
      </c>
      <c r="BD37" s="1">
        <f>ROUND(Scores_2017!BR41,$A$1)</f>
        <v>92.58</v>
      </c>
      <c r="BE37" s="1">
        <f>ROUND(Scores_2017!BS41,$A$1)</f>
        <v>99.64</v>
      </c>
      <c r="BF37" s="1">
        <f>ROUND(Scores_2017!BT41,$A$1)</f>
        <v>96.29</v>
      </c>
      <c r="BG37" s="1">
        <f>ROUND(Scores_2017!BU41,$A$1)</f>
        <v>98.5</v>
      </c>
      <c r="BH37" s="1">
        <f>ROUND(Scores_2017!BV41,$A$1)</f>
        <v>93.17</v>
      </c>
      <c r="BI37" s="1">
        <f>ROUND(Scores_2017!BW41,$A$1)</f>
        <v>97.55</v>
      </c>
      <c r="BJ37" s="1">
        <f>ROUND(Scores_2017!BX41,$A$1)</f>
        <v>92.58</v>
      </c>
      <c r="BL37" s="1">
        <f t="shared" si="1"/>
        <v>92.08</v>
      </c>
    </row>
    <row r="38" spans="1:64">
      <c r="A38" s="1" t="str">
        <f>Scores_2017!N42</f>
        <v>   3.2.2) Frequency of vehicular accidents</v>
      </c>
      <c r="B38" s="1">
        <f>ROUND(Scores_2017!P42,$A$1)</f>
        <v>95.69</v>
      </c>
      <c r="C38" s="1">
        <f>ROUND(Scores_2017!Q42,$A$1)</f>
        <v>96.56</v>
      </c>
      <c r="D38" s="1">
        <f>ROUND(Scores_2017!R42,$A$1)</f>
        <v>97.16</v>
      </c>
      <c r="E38" s="1">
        <f>ROUND(Scores_2017!S42,$A$1)</f>
        <v>90.56</v>
      </c>
      <c r="F38" s="1">
        <f>ROUND(Scores_2017!T42,$A$1)</f>
        <v>90.18</v>
      </c>
      <c r="G38" s="1">
        <f>ROUND(Scores_2017!U42,$A$1)</f>
        <v>99.66</v>
      </c>
      <c r="H38" s="1">
        <f>ROUND(Scores_2017!V42,$A$1)</f>
        <v>96.44</v>
      </c>
      <c r="I38" s="1">
        <f>ROUND(Scores_2017!W42,$A$1)</f>
        <v>89.04</v>
      </c>
      <c r="J38" s="1">
        <f>ROUND(Scores_2017!X42,$A$1)</f>
        <v>91.93</v>
      </c>
      <c r="K38" s="1">
        <f>ROUND(Scores_2017!Y42,$A$1)</f>
        <v>99.6</v>
      </c>
      <c r="L38" s="1">
        <f>ROUND(Scores_2017!Z42,$A$1)</f>
        <v>97.12</v>
      </c>
      <c r="M38" s="1">
        <f>ROUND(Scores_2017!AA42,$A$1)</f>
        <v>93.55</v>
      </c>
      <c r="N38" s="1">
        <f>ROUND(Scores_2017!AB42,$A$1)</f>
        <v>38.44</v>
      </c>
      <c r="O38" s="1">
        <f>ROUND(Scores_2017!AC42,$A$1)</f>
        <v>24.76</v>
      </c>
      <c r="P38" s="1">
        <f>ROUND(Scores_2017!AD42,$A$1)</f>
        <v>98.86</v>
      </c>
      <c r="Q38" s="1">
        <f>ROUND(Scores_2017!AE42,$A$1)</f>
        <v>100</v>
      </c>
      <c r="R38" s="1">
        <f>ROUND(Scores_2017!AF42,$A$1)</f>
        <v>92.63</v>
      </c>
      <c r="S38" s="1">
        <f>ROUND(Scores_2017!AG42,$A$1)</f>
        <v>15.16</v>
      </c>
      <c r="T38" s="1">
        <f>ROUND(Scores_2017!AH42,$A$1)</f>
        <v>99.37</v>
      </c>
      <c r="U38" s="1">
        <f>ROUND(Scores_2017!AI42,$A$1)</f>
        <v>93.99</v>
      </c>
      <c r="V38" s="1">
        <f>ROUND(Scores_2017!AJ42,$A$1)</f>
        <v>53.93</v>
      </c>
      <c r="W38" s="1">
        <f>ROUND(Scores_2017!AK42,$A$1)</f>
        <v>99.48</v>
      </c>
      <c r="X38" s="1">
        <f>ROUND(Scores_2017!AL42,$A$1)</f>
        <v>49.15</v>
      </c>
      <c r="Y38" s="1">
        <f>ROUND(Scores_2017!AM42,$A$1)</f>
        <v>33.55</v>
      </c>
      <c r="Z38" s="1">
        <f>ROUND(Scores_2017!AN42,$A$1)</f>
        <v>99.9</v>
      </c>
      <c r="AA38" s="1">
        <f>ROUND(Scores_2017!AO42,$A$1)</f>
        <v>52.03</v>
      </c>
      <c r="AB38" s="1">
        <f>ROUND(Scores_2017!AP42,$A$1)</f>
        <v>22.88</v>
      </c>
      <c r="AC38" s="1">
        <f>ROUND(Scores_2017!AQ42,$A$1)</f>
        <v>86.53</v>
      </c>
      <c r="AD38" s="1">
        <f>ROUND(Scores_2017!AR42,$A$1)</f>
        <v>94.64</v>
      </c>
      <c r="AE38" s="1">
        <f>ROUND(Scores_2017!AS42,$A$1)</f>
        <v>61.59</v>
      </c>
      <c r="AF38" s="1">
        <f>ROUND(Scores_2017!AT42,$A$1)</f>
        <v>93.38</v>
      </c>
      <c r="AG38" s="1">
        <f>ROUND(Scores_2017!AU42,$A$1)</f>
        <v>76.59</v>
      </c>
      <c r="AH38" s="1">
        <f>ROUND(Scores_2017!AV42,$A$1)</f>
        <v>93.42</v>
      </c>
      <c r="AI38" s="1">
        <f>ROUND(Scores_2017!AW42,$A$1)</f>
        <v>96.17</v>
      </c>
      <c r="AJ38" s="1">
        <f>ROUND(Scores_2017!AX42,$A$1)</f>
        <v>87.92</v>
      </c>
      <c r="AK38" s="1">
        <f>ROUND(Scores_2017!AY42,$A$1)</f>
        <v>25.97</v>
      </c>
      <c r="AL38" s="1">
        <f>ROUND(Scores_2017!AZ42,$A$1)</f>
        <v>96.52</v>
      </c>
      <c r="AM38" s="1">
        <f>ROUND(Scores_2017!BA42,$A$1)</f>
        <v>58.83</v>
      </c>
      <c r="AN38" s="1">
        <f>ROUND(Scores_2017!BB42,$A$1)</f>
        <v>88.32</v>
      </c>
      <c r="AO38" s="1">
        <f>ROUND(Scores_2017!BC42,$A$1)</f>
        <v>92.42</v>
      </c>
      <c r="AP38" s="1">
        <f>ROUND(Scores_2017!BD42,$A$1)</f>
        <v>93.93</v>
      </c>
      <c r="AQ38" s="1">
        <f>ROUND(Scores_2017!BE42,$A$1)</f>
        <v>95.22</v>
      </c>
      <c r="AR38" s="1">
        <f>ROUND(Scores_2017!BF42,$A$1)</f>
        <v>50.5</v>
      </c>
      <c r="AS38" s="1">
        <f>ROUND(Scores_2017!BG42,$A$1)</f>
        <v>89.49</v>
      </c>
      <c r="AT38" s="1">
        <f>ROUND(Scores_2017!BH42,$A$1)</f>
        <v>89.93</v>
      </c>
      <c r="AU38" s="1">
        <f>ROUND(Scores_2017!BI42,$A$1)</f>
        <v>87.73</v>
      </c>
      <c r="AV38" s="1">
        <f>ROUND(Scores_2017!BJ42,$A$1)</f>
        <v>96.37</v>
      </c>
      <c r="AW38" s="1">
        <f>ROUND(Scores_2017!BK42,$A$1)</f>
        <v>87.12</v>
      </c>
      <c r="AX38" s="1">
        <f>ROUND(Scores_2017!BL42,$A$1)</f>
        <v>99.91</v>
      </c>
      <c r="AY38" s="1">
        <f>ROUND(Scores_2017!BM42,$A$1)</f>
        <v>95.9</v>
      </c>
      <c r="AZ38" s="1">
        <f>ROUND(Scores_2017!BN42,$A$1)</f>
        <v>95.23</v>
      </c>
      <c r="BA38" s="1">
        <f>ROUND(Scores_2017!BO42,$A$1)</f>
        <v>93.4</v>
      </c>
      <c r="BB38" s="1">
        <f>ROUND(Scores_2017!BP42,$A$1)</f>
        <v>91.97</v>
      </c>
      <c r="BC38" s="1">
        <f>ROUND(Scores_2017!BQ42,$A$1)</f>
        <v>83.1</v>
      </c>
      <c r="BD38" s="1">
        <f>ROUND(Scores_2017!BR42,$A$1)</f>
        <v>88.32</v>
      </c>
      <c r="BE38" s="1">
        <f>ROUND(Scores_2017!BS42,$A$1)</f>
        <v>86.51</v>
      </c>
      <c r="BF38" s="1">
        <f>ROUND(Scores_2017!BT42,$A$1)</f>
        <v>0</v>
      </c>
      <c r="BG38" s="1">
        <f>ROUND(Scores_2017!BU42,$A$1)</f>
        <v>81.34</v>
      </c>
      <c r="BH38" s="1">
        <f>ROUND(Scores_2017!BV42,$A$1)</f>
        <v>90.2</v>
      </c>
      <c r="BI38" s="1">
        <f>ROUND(Scores_2017!BW42,$A$1)</f>
        <v>94.1</v>
      </c>
      <c r="BJ38" s="1">
        <f>ROUND(Scores_2017!BX42,$A$1)</f>
        <v>88.32</v>
      </c>
      <c r="BL38" s="1">
        <f t="shared" si="1"/>
        <v>81.0247540983607</v>
      </c>
    </row>
    <row r="39" spans="1:64">
      <c r="A39" s="1" t="str">
        <f>Scores_2017!N43</f>
        <v>   3.2.3) Frequency of pedestrian deaths</v>
      </c>
      <c r="B39" s="1">
        <f>ROUND(Scores_2017!P43,$A$1)</f>
        <v>67.95</v>
      </c>
      <c r="C39" s="1">
        <f>ROUND(Scores_2017!Q43,$A$1)</f>
        <v>100</v>
      </c>
      <c r="D39" s="1">
        <f>ROUND(Scores_2017!R43,$A$1)</f>
        <v>84.87</v>
      </c>
      <c r="E39" s="1">
        <f>ROUND(Scores_2017!S43,$A$1)</f>
        <v>68.25</v>
      </c>
      <c r="F39" s="1">
        <f>ROUND(Scores_2017!T43,$A$1)</f>
        <v>93.83</v>
      </c>
      <c r="G39" s="1">
        <f>ROUND(Scores_2017!U43,$A$1)</f>
        <v>42.12</v>
      </c>
      <c r="H39" s="1">
        <f>ROUND(Scores_2017!V43,$A$1)</f>
        <v>42.56</v>
      </c>
      <c r="I39" s="1">
        <f>ROUND(Scores_2017!W43,$A$1)</f>
        <v>92.87</v>
      </c>
      <c r="J39" s="1">
        <f>ROUND(Scores_2017!X43,$A$1)</f>
        <v>87.75</v>
      </c>
      <c r="K39" s="1">
        <f>ROUND(Scores_2017!Y43,$A$1)</f>
        <v>61.32</v>
      </c>
      <c r="L39" s="1">
        <f>ROUND(Scores_2017!Z43,$A$1)</f>
        <v>55.13</v>
      </c>
      <c r="M39" s="1">
        <f>ROUND(Scores_2017!AA43,$A$1)</f>
        <v>38.11</v>
      </c>
      <c r="N39" s="1">
        <f>ROUND(Scores_2017!AB43,$A$1)</f>
        <v>89.76</v>
      </c>
      <c r="O39" s="1">
        <f>ROUND(Scores_2017!AC43,$A$1)</f>
        <v>70.01</v>
      </c>
      <c r="P39" s="1">
        <f>ROUND(Scores_2017!AD43,$A$1)</f>
        <v>59.9</v>
      </c>
      <c r="Q39" s="1">
        <f>ROUND(Scores_2017!AE43,$A$1)</f>
        <v>49.88</v>
      </c>
      <c r="R39" s="1">
        <f>ROUND(Scores_2017!AF43,$A$1)</f>
        <v>47.07</v>
      </c>
      <c r="S39" s="1">
        <f>ROUND(Scores_2017!AG43,$A$1)</f>
        <v>95.13</v>
      </c>
      <c r="T39" s="1">
        <f>ROUND(Scores_2017!AH43,$A$1)</f>
        <v>98.05</v>
      </c>
      <c r="U39" s="1">
        <f>ROUND(Scores_2017!AI43,$A$1)</f>
        <v>90.07</v>
      </c>
      <c r="V39" s="1">
        <f>ROUND(Scores_2017!AJ43,$A$1)</f>
        <v>75.92</v>
      </c>
      <c r="W39" s="1">
        <f>ROUND(Scores_2017!AK43,$A$1)</f>
        <v>63.53</v>
      </c>
      <c r="X39" s="1">
        <f>ROUND(Scores_2017!AL43,$A$1)</f>
        <v>69.76</v>
      </c>
      <c r="Y39" s="1">
        <f>ROUND(Scores_2017!AM43,$A$1)</f>
        <v>0</v>
      </c>
      <c r="Z39" s="1">
        <f>ROUND(Scores_2017!AN43,$A$1)</f>
        <v>74.11</v>
      </c>
      <c r="AA39" s="1">
        <f>ROUND(Scores_2017!AO43,$A$1)</f>
        <v>84.52</v>
      </c>
      <c r="AB39" s="1">
        <f>ROUND(Scores_2017!AP43,$A$1)</f>
        <v>31.2</v>
      </c>
      <c r="AC39" s="1">
        <f>ROUND(Scores_2017!AQ43,$A$1)</f>
        <v>63.95</v>
      </c>
      <c r="AD39" s="1">
        <f>ROUND(Scores_2017!AR43,$A$1)</f>
        <v>96.09</v>
      </c>
      <c r="AE39" s="1">
        <f>ROUND(Scores_2017!AS43,$A$1)</f>
        <v>77.37</v>
      </c>
      <c r="AF39" s="1">
        <f>ROUND(Scores_2017!AT43,$A$1)</f>
        <v>93.83</v>
      </c>
      <c r="AG39" s="1">
        <f>ROUND(Scores_2017!AU43,$A$1)</f>
        <v>79.32</v>
      </c>
      <c r="AH39" s="1">
        <f>ROUND(Scores_2017!AV43,$A$1)</f>
        <v>97.37</v>
      </c>
      <c r="AI39" s="1">
        <f>ROUND(Scores_2017!AW43,$A$1)</f>
        <v>58.25</v>
      </c>
      <c r="AJ39" s="1">
        <f>ROUND(Scores_2017!AX43,$A$1)</f>
        <v>91.84</v>
      </c>
      <c r="AK39" s="1">
        <f>ROUND(Scores_2017!AY43,$A$1)</f>
        <v>37.28</v>
      </c>
      <c r="AL39" s="1">
        <f>ROUND(Scores_2017!AZ43,$A$1)</f>
        <v>91.43</v>
      </c>
      <c r="AM39" s="1">
        <f>ROUND(Scores_2017!BA43,$A$1)</f>
        <v>84.24</v>
      </c>
      <c r="AN39" s="1">
        <f>ROUND(Scores_2017!BB43,$A$1)</f>
        <v>83.23</v>
      </c>
      <c r="AO39" s="1">
        <f>ROUND(Scores_2017!BC43,$A$1)</f>
        <v>95.2</v>
      </c>
      <c r="AP39" s="1">
        <f>ROUND(Scores_2017!BD43,$A$1)</f>
        <v>29.09</v>
      </c>
      <c r="AQ39" s="1">
        <f>ROUND(Scores_2017!BE43,$A$1)</f>
        <v>47.18</v>
      </c>
      <c r="AR39" s="1">
        <f>ROUND(Scores_2017!BF43,$A$1)</f>
        <v>69.76</v>
      </c>
      <c r="AS39" s="1">
        <f>ROUND(Scores_2017!BG43,$A$1)</f>
        <v>86.87</v>
      </c>
      <c r="AT39" s="1">
        <f>ROUND(Scores_2017!BH43,$A$1)</f>
        <v>77.37</v>
      </c>
      <c r="AU39" s="1">
        <f>ROUND(Scores_2017!BI43,$A$1)</f>
        <v>44.95</v>
      </c>
      <c r="AV39" s="1">
        <f>ROUND(Scores_2017!BJ43,$A$1)</f>
        <v>47.18</v>
      </c>
      <c r="AW39" s="1">
        <f>ROUND(Scores_2017!BK43,$A$1)</f>
        <v>47.33</v>
      </c>
      <c r="AX39" s="1">
        <f>ROUND(Scores_2017!BL43,$A$1)</f>
        <v>42.12</v>
      </c>
      <c r="AY39" s="1">
        <f>ROUND(Scores_2017!BM43,$A$1)</f>
        <v>92.07</v>
      </c>
      <c r="AZ39" s="1">
        <f>ROUND(Scores_2017!BN43,$A$1)</f>
        <v>98.51</v>
      </c>
      <c r="BA39" s="1">
        <f>ROUND(Scores_2017!BO43,$A$1)</f>
        <v>94.29</v>
      </c>
      <c r="BB39" s="1">
        <f>ROUND(Scores_2017!BP43,$A$1)</f>
        <v>91.04</v>
      </c>
      <c r="BC39" s="1">
        <f>ROUND(Scores_2017!BQ43,$A$1)</f>
        <v>13.44</v>
      </c>
      <c r="BD39" s="1">
        <f>ROUND(Scores_2017!BR43,$A$1)</f>
        <v>83.23</v>
      </c>
      <c r="BE39" s="1">
        <f>ROUND(Scores_2017!BS43,$A$1)</f>
        <v>92.44</v>
      </c>
      <c r="BF39" s="1">
        <f>ROUND(Scores_2017!BT43,$A$1)</f>
        <v>76.76</v>
      </c>
      <c r="BG39" s="1">
        <f>ROUND(Scores_2017!BU43,$A$1)</f>
        <v>95.26</v>
      </c>
      <c r="BH39" s="1">
        <f>ROUND(Scores_2017!BV43,$A$1)</f>
        <v>37.47</v>
      </c>
      <c r="BI39" s="1">
        <f>ROUND(Scores_2017!BW43,$A$1)</f>
        <v>93.56</v>
      </c>
      <c r="BJ39" s="1">
        <f>ROUND(Scores_2017!BX43,$A$1)</f>
        <v>83.23</v>
      </c>
      <c r="BL39" s="1">
        <f t="shared" si="1"/>
        <v>70.9216393442623</v>
      </c>
    </row>
    <row r="40" spans="1:64">
      <c r="A40" s="1" t="str">
        <f>Scores_2017!N44</f>
        <v>   3.2.4) Percentage living in slums</v>
      </c>
      <c r="B40" s="1">
        <f>ROUND(Scores_2017!P44,$A$1)</f>
        <v>100</v>
      </c>
      <c r="C40" s="1">
        <f>ROUND(Scores_2017!Q44,$A$1)</f>
        <v>94.19</v>
      </c>
      <c r="D40" s="1">
        <f>ROUND(Scores_2017!R44,$A$1)</f>
        <v>88.57</v>
      </c>
      <c r="E40" s="1">
        <f>ROUND(Scores_2017!S44,$A$1)</f>
        <v>54.63</v>
      </c>
      <c r="F40" s="1">
        <f>ROUND(Scores_2017!T44,$A$1)</f>
        <v>100</v>
      </c>
      <c r="G40" s="1">
        <f>ROUND(Scores_2017!U44,$A$1)</f>
        <v>54.26</v>
      </c>
      <c r="H40" s="1">
        <f>ROUND(Scores_2017!V44,$A$1)</f>
        <v>76.23</v>
      </c>
      <c r="I40" s="1">
        <f>ROUND(Scores_2017!W44,$A$1)</f>
        <v>96.55</v>
      </c>
      <c r="J40" s="1">
        <f>ROUND(Scores_2017!X44,$A$1)</f>
        <v>69.69</v>
      </c>
      <c r="K40" s="1">
        <f>ROUND(Scores_2017!Y44,$A$1)</f>
        <v>80.76</v>
      </c>
      <c r="L40" s="1">
        <f>ROUND(Scores_2017!Z44,$A$1)</f>
        <v>41.92</v>
      </c>
      <c r="M40" s="1">
        <f>ROUND(Scores_2017!AA44,$A$1)</f>
        <v>76.23</v>
      </c>
      <c r="N40" s="1">
        <f>ROUND(Scores_2017!AB44,$A$1)</f>
        <v>97.67</v>
      </c>
      <c r="O40" s="1">
        <f>ROUND(Scores_2017!AC44,$A$1)</f>
        <v>98.73</v>
      </c>
      <c r="P40" s="1">
        <f>ROUND(Scores_2017!AD44,$A$1)</f>
        <v>56.44</v>
      </c>
      <c r="Q40" s="1">
        <f>ROUND(Scores_2017!AE44,$A$1)</f>
        <v>0</v>
      </c>
      <c r="R40" s="1">
        <f>ROUND(Scores_2017!AF44,$A$1)</f>
        <v>100</v>
      </c>
      <c r="S40" s="1">
        <f>ROUND(Scores_2017!AG44,$A$1)</f>
        <v>96.73</v>
      </c>
      <c r="T40" s="1">
        <f>ROUND(Scores_2017!AH44,$A$1)</f>
        <v>50.64</v>
      </c>
      <c r="U40" s="1">
        <f>ROUND(Scores_2017!AI44,$A$1)</f>
        <v>98.84</v>
      </c>
      <c r="V40" s="1">
        <f>ROUND(Scores_2017!AJ44,$A$1)</f>
        <v>78.4</v>
      </c>
      <c r="W40" s="1">
        <f>ROUND(Scores_2017!AK44,$A$1)</f>
        <v>60.44</v>
      </c>
      <c r="X40" s="1">
        <f>ROUND(Scores_2017!AL44,$A$1)</f>
        <v>67.33</v>
      </c>
      <c r="Y40" s="1">
        <f>ROUND(Scores_2017!AM44,$A$1)</f>
        <v>58.26</v>
      </c>
      <c r="Z40" s="1">
        <f>ROUND(Scores_2017!AN44,$A$1)</f>
        <v>17.42</v>
      </c>
      <c r="AA40" s="1">
        <f>ROUND(Scores_2017!AO44,$A$1)</f>
        <v>96.37</v>
      </c>
      <c r="AB40" s="1">
        <f>ROUND(Scores_2017!AP44,$A$1)</f>
        <v>100</v>
      </c>
      <c r="AC40" s="1">
        <f>ROUND(Scores_2017!AQ44,$A$1)</f>
        <v>37.93</v>
      </c>
      <c r="AD40" s="1">
        <f>ROUND(Scores_2017!AR44,$A$1)</f>
        <v>99.36</v>
      </c>
      <c r="AE40" s="1">
        <f>ROUND(Scores_2017!AS44,$A$1)</f>
        <v>97.04</v>
      </c>
      <c r="AF40" s="1">
        <f>ROUND(Scores_2017!AT44,$A$1)</f>
        <v>98.51</v>
      </c>
      <c r="AG40" s="1">
        <f>ROUND(Scores_2017!AU44,$A$1)</f>
        <v>30.49</v>
      </c>
      <c r="AH40" s="1">
        <f>ROUND(Scores_2017!AV44,$A$1)</f>
        <v>98.87</v>
      </c>
      <c r="AI40" s="1">
        <f>ROUND(Scores_2017!AW44,$A$1)</f>
        <v>79.85</v>
      </c>
      <c r="AJ40" s="1">
        <f>ROUND(Scores_2017!AX44,$A$1)</f>
        <v>82.58</v>
      </c>
      <c r="AK40" s="1">
        <f>ROUND(Scores_2017!AY44,$A$1)</f>
        <v>94.19</v>
      </c>
      <c r="AL40" s="1">
        <f>ROUND(Scores_2017!AZ44,$A$1)</f>
        <v>56.44</v>
      </c>
      <c r="AM40" s="1">
        <f>ROUND(Scores_2017!BA44,$A$1)</f>
        <v>94.18</v>
      </c>
      <c r="AN40" s="1">
        <f>ROUND(Scores_2017!BB44,$A$1)</f>
        <v>99.49</v>
      </c>
      <c r="AO40" s="1">
        <f>ROUND(Scores_2017!BC44,$A$1)</f>
        <v>95.83</v>
      </c>
      <c r="AP40" s="1">
        <f>ROUND(Scores_2017!BD44,$A$1)</f>
        <v>34.66</v>
      </c>
      <c r="AQ40" s="1">
        <f>ROUND(Scores_2017!BE44,$A$1)</f>
        <v>59.53</v>
      </c>
      <c r="AR40" s="1">
        <f>ROUND(Scores_2017!BF44,$A$1)</f>
        <v>67.33</v>
      </c>
      <c r="AS40" s="1">
        <f>ROUND(Scores_2017!BG44,$A$1)</f>
        <v>82.58</v>
      </c>
      <c r="AT40" s="1">
        <f>ROUND(Scores_2017!BH44,$A$1)</f>
        <v>96</v>
      </c>
      <c r="AU40" s="1">
        <f>ROUND(Scores_2017!BI44,$A$1)</f>
        <v>83.67</v>
      </c>
      <c r="AV40" s="1">
        <f>ROUND(Scores_2017!BJ44,$A$1)</f>
        <v>59.53</v>
      </c>
      <c r="AW40" s="1">
        <f>ROUND(Scores_2017!BK44,$A$1)</f>
        <v>99.98</v>
      </c>
      <c r="AX40" s="1">
        <f>ROUND(Scores_2017!BL44,$A$1)</f>
        <v>54.26</v>
      </c>
      <c r="AY40" s="1">
        <f>ROUND(Scores_2017!BM44,$A$1)</f>
        <v>100</v>
      </c>
      <c r="AZ40" s="1">
        <f>ROUND(Scores_2017!BN44,$A$1)</f>
        <v>96.37</v>
      </c>
      <c r="BA40" s="1">
        <f>ROUND(Scores_2017!BO44,$A$1)</f>
        <v>98.87</v>
      </c>
      <c r="BB40" s="1">
        <f>ROUND(Scores_2017!BP44,$A$1)</f>
        <v>100</v>
      </c>
      <c r="BC40" s="1">
        <f>ROUND(Scores_2017!BQ44,$A$1)</f>
        <v>5.81</v>
      </c>
      <c r="BD40" s="1">
        <f>ROUND(Scores_2017!BR44,$A$1)</f>
        <v>99.92</v>
      </c>
      <c r="BE40" s="1">
        <f>ROUND(Scores_2017!BS44,$A$1)</f>
        <v>96.46</v>
      </c>
      <c r="BF40" s="1">
        <f>ROUND(Scores_2017!BT44,$A$1)</f>
        <v>98.26</v>
      </c>
      <c r="BG40" s="1">
        <f>ROUND(Scores_2017!BU44,$A$1)</f>
        <v>98.73</v>
      </c>
      <c r="BH40" s="1">
        <f>ROUND(Scores_2017!BV44,$A$1)</f>
        <v>25.59</v>
      </c>
      <c r="BI40" s="1">
        <f>ROUND(Scores_2017!BW44,$A$1)</f>
        <v>96.91</v>
      </c>
      <c r="BJ40" s="1">
        <f>ROUND(Scores_2017!BX44,$A$1)</f>
        <v>100</v>
      </c>
      <c r="BL40" s="1">
        <f t="shared" si="1"/>
        <v>77.5331147540984</v>
      </c>
    </row>
    <row r="41" spans="1:64">
      <c r="A41" s="1" t="str">
        <f>Scores_2017!N45</f>
        <v>   3.2.5) Number of attacks on facilities/infrastructure</v>
      </c>
      <c r="B41" s="1">
        <f>ROUND(Scores_2017!P45,$A$1)</f>
        <v>100</v>
      </c>
      <c r="C41" s="1">
        <f>ROUND(Scores_2017!Q45,$A$1)</f>
        <v>100</v>
      </c>
      <c r="D41" s="1">
        <f>ROUND(Scores_2017!R45,$A$1)</f>
        <v>91.49</v>
      </c>
      <c r="E41" s="1">
        <f>ROUND(Scores_2017!S45,$A$1)</f>
        <v>70.21</v>
      </c>
      <c r="F41" s="1">
        <f>ROUND(Scores_2017!T45,$A$1)</f>
        <v>100</v>
      </c>
      <c r="G41" s="1">
        <f>ROUND(Scores_2017!U45,$A$1)</f>
        <v>100</v>
      </c>
      <c r="H41" s="1">
        <f>ROUND(Scores_2017!V45,$A$1)</f>
        <v>74.47</v>
      </c>
      <c r="I41" s="1">
        <f>ROUND(Scores_2017!W45,$A$1)</f>
        <v>97.87</v>
      </c>
      <c r="J41" s="1">
        <f>ROUND(Scores_2017!X45,$A$1)</f>
        <v>95.74</v>
      </c>
      <c r="K41" s="1">
        <f>ROUND(Scores_2017!Y45,$A$1)</f>
        <v>57.45</v>
      </c>
      <c r="L41" s="1">
        <f>ROUND(Scores_2017!Z45,$A$1)</f>
        <v>100</v>
      </c>
      <c r="M41" s="1">
        <f>ROUND(Scores_2017!AA45,$A$1)</f>
        <v>100</v>
      </c>
      <c r="N41" s="1">
        <f>ROUND(Scores_2017!AB45,$A$1)</f>
        <v>100</v>
      </c>
      <c r="O41" s="1">
        <f>ROUND(Scores_2017!AC45,$A$1)</f>
        <v>100</v>
      </c>
      <c r="P41" s="1">
        <f>ROUND(Scores_2017!AD45,$A$1)</f>
        <v>91.49</v>
      </c>
      <c r="Q41" s="1">
        <f>ROUND(Scores_2017!AE45,$A$1)</f>
        <v>34.04</v>
      </c>
      <c r="R41" s="1">
        <f>ROUND(Scores_2017!AF45,$A$1)</f>
        <v>100</v>
      </c>
      <c r="S41" s="1">
        <f>ROUND(Scores_2017!AG45,$A$1)</f>
        <v>100</v>
      </c>
      <c r="T41" s="1">
        <f>ROUND(Scores_2017!AH45,$A$1)</f>
        <v>100</v>
      </c>
      <c r="U41" s="1">
        <f>ROUND(Scores_2017!AI45,$A$1)</f>
        <v>100</v>
      </c>
      <c r="V41" s="1">
        <f>ROUND(Scores_2017!AJ45,$A$1)</f>
        <v>70.21</v>
      </c>
      <c r="W41" s="1">
        <f>ROUND(Scores_2017!AK45,$A$1)</f>
        <v>97.87</v>
      </c>
      <c r="X41" s="1">
        <f>ROUND(Scores_2017!AL45,$A$1)</f>
        <v>100</v>
      </c>
      <c r="Y41" s="1">
        <f>ROUND(Scores_2017!AM45,$A$1)</f>
        <v>100</v>
      </c>
      <c r="Z41" s="1">
        <f>ROUND(Scores_2017!AN45,$A$1)</f>
        <v>0</v>
      </c>
      <c r="AA41" s="1">
        <f>ROUND(Scores_2017!AO45,$A$1)</f>
        <v>100</v>
      </c>
      <c r="AB41" s="1">
        <f>ROUND(Scores_2017!AP45,$A$1)</f>
        <v>100</v>
      </c>
      <c r="AC41" s="1">
        <f>ROUND(Scores_2017!AQ45,$A$1)</f>
        <v>97.87</v>
      </c>
      <c r="AD41" s="1">
        <f>ROUND(Scores_2017!AR45,$A$1)</f>
        <v>95.74</v>
      </c>
      <c r="AE41" s="1">
        <f>ROUND(Scores_2017!AS45,$A$1)</f>
        <v>97.87</v>
      </c>
      <c r="AF41" s="1">
        <f>ROUND(Scores_2017!AT45,$A$1)</f>
        <v>100</v>
      </c>
      <c r="AG41" s="1">
        <f>ROUND(Scores_2017!AU45,$A$1)</f>
        <v>100</v>
      </c>
      <c r="AH41" s="1">
        <f>ROUND(Scores_2017!AV45,$A$1)</f>
        <v>100</v>
      </c>
      <c r="AI41" s="1">
        <f>ROUND(Scores_2017!AW45,$A$1)</f>
        <v>80.85</v>
      </c>
      <c r="AJ41" s="1">
        <f>ROUND(Scores_2017!AX45,$A$1)</f>
        <v>100</v>
      </c>
      <c r="AK41" s="1">
        <f>ROUND(Scores_2017!AY45,$A$1)</f>
        <v>91.49</v>
      </c>
      <c r="AL41" s="1">
        <f>ROUND(Scores_2017!AZ45,$A$1)</f>
        <v>93.62</v>
      </c>
      <c r="AM41" s="1">
        <f>ROUND(Scores_2017!BA45,$A$1)</f>
        <v>97.87</v>
      </c>
      <c r="AN41" s="1">
        <f>ROUND(Scores_2017!BB45,$A$1)</f>
        <v>100</v>
      </c>
      <c r="AO41" s="1">
        <f>ROUND(Scores_2017!BC45,$A$1)</f>
        <v>100</v>
      </c>
      <c r="AP41" s="1">
        <f>ROUND(Scores_2017!BD45,$A$1)</f>
        <v>100</v>
      </c>
      <c r="AQ41" s="1">
        <f>ROUND(Scores_2017!BE45,$A$1)</f>
        <v>100</v>
      </c>
      <c r="AR41" s="1">
        <f>ROUND(Scores_2017!BF45,$A$1)</f>
        <v>100</v>
      </c>
      <c r="AS41" s="1">
        <f>ROUND(Scores_2017!BG45,$A$1)</f>
        <v>97.87</v>
      </c>
      <c r="AT41" s="1">
        <f>ROUND(Scores_2017!BH45,$A$1)</f>
        <v>100</v>
      </c>
      <c r="AU41" s="1">
        <f>ROUND(Scores_2017!BI45,$A$1)</f>
        <v>89.36</v>
      </c>
      <c r="AV41" s="1">
        <f>ROUND(Scores_2017!BJ45,$A$1)</f>
        <v>97.87</v>
      </c>
      <c r="AW41" s="1">
        <f>ROUND(Scores_2017!BK45,$A$1)</f>
        <v>100</v>
      </c>
      <c r="AX41" s="1">
        <f>ROUND(Scores_2017!BL45,$A$1)</f>
        <v>97.87</v>
      </c>
      <c r="AY41" s="1">
        <f>ROUND(Scores_2017!BM45,$A$1)</f>
        <v>100</v>
      </c>
      <c r="AZ41" s="1">
        <f>ROUND(Scores_2017!BN45,$A$1)</f>
        <v>100</v>
      </c>
      <c r="BA41" s="1">
        <f>ROUND(Scores_2017!BO45,$A$1)</f>
        <v>100</v>
      </c>
      <c r="BB41" s="1">
        <f>ROUND(Scores_2017!BP45,$A$1)</f>
        <v>100</v>
      </c>
      <c r="BC41" s="1">
        <f>ROUND(Scores_2017!BQ45,$A$1)</f>
        <v>100</v>
      </c>
      <c r="BD41" s="1">
        <f>ROUND(Scores_2017!BR45,$A$1)</f>
        <v>89.36</v>
      </c>
      <c r="BE41" s="1">
        <f>ROUND(Scores_2017!BS45,$A$1)</f>
        <v>100</v>
      </c>
      <c r="BF41" s="1">
        <f>ROUND(Scores_2017!BT45,$A$1)</f>
        <v>100</v>
      </c>
      <c r="BG41" s="1">
        <f>ROUND(Scores_2017!BU45,$A$1)</f>
        <v>100</v>
      </c>
      <c r="BH41" s="1">
        <f>ROUND(Scores_2017!BV45,$A$1)</f>
        <v>89.36</v>
      </c>
      <c r="BI41" s="1">
        <f>ROUND(Scores_2017!BW45,$A$1)</f>
        <v>100</v>
      </c>
      <c r="BJ41" s="1">
        <f>ROUND(Scores_2017!BX45,$A$1)</f>
        <v>100</v>
      </c>
      <c r="BL41" s="1">
        <f t="shared" si="1"/>
        <v>93.4072131147541</v>
      </c>
    </row>
    <row r="42" spans="1:64">
      <c r="A42" s="1" t="str">
        <f>Scores_2017!N46</f>
        <v> 4) PERSONAL SECURITY</v>
      </c>
      <c r="B42" s="1">
        <f>ROUND(Scores_2017!P46,$A$1)</f>
        <v>78.95</v>
      </c>
      <c r="C42" s="1">
        <f>ROUND(Scores_2017!Q46,$A$1)</f>
        <v>87.42</v>
      </c>
      <c r="D42" s="1">
        <f>ROUND(Scores_2017!R46,$A$1)</f>
        <v>69.03</v>
      </c>
      <c r="E42" s="1">
        <f>ROUND(Scores_2017!S46,$A$1)</f>
        <v>60.8</v>
      </c>
      <c r="F42" s="1">
        <f>ROUND(Scores_2017!T46,$A$1)</f>
        <v>85.28</v>
      </c>
      <c r="G42" s="1">
        <f>ROUND(Scores_2017!U46,$A$1)</f>
        <v>80.76</v>
      </c>
      <c r="H42" s="1">
        <f>ROUND(Scores_2017!V46,$A$1)</f>
        <v>55.66</v>
      </c>
      <c r="I42" s="1">
        <f>ROUND(Scores_2017!W46,$A$1)</f>
        <v>82.09</v>
      </c>
      <c r="J42" s="1">
        <f>ROUND(Scores_2017!X46,$A$1)</f>
        <v>68.41</v>
      </c>
      <c r="K42" s="1">
        <f>ROUND(Scores_2017!Y46,$A$1)</f>
        <v>69.75</v>
      </c>
      <c r="L42" s="1">
        <f>ROUND(Scores_2017!Z46,$A$1)</f>
        <v>47.36</v>
      </c>
      <c r="M42" s="1">
        <f>ROUND(Scores_2017!AA46,$A$1)</f>
        <v>62.63</v>
      </c>
      <c r="N42" s="1">
        <f>ROUND(Scores_2017!AB46,$A$1)</f>
        <v>82.84</v>
      </c>
      <c r="O42" s="1">
        <f>ROUND(Scores_2017!AC46,$A$1)</f>
        <v>80.76</v>
      </c>
      <c r="P42" s="1">
        <f>ROUND(Scores_2017!AD46,$A$1)</f>
        <v>76.61</v>
      </c>
      <c r="Q42" s="1">
        <f>ROUND(Scores_2017!AE46,$A$1)</f>
        <v>67.15</v>
      </c>
      <c r="R42" s="1">
        <f>ROUND(Scores_2017!AF46,$A$1)</f>
        <v>86.04</v>
      </c>
      <c r="S42" s="1">
        <f>ROUND(Scores_2017!AG46,$A$1)</f>
        <v>86.7</v>
      </c>
      <c r="T42" s="1">
        <f>ROUND(Scores_2017!AH46,$A$1)</f>
        <v>50.53</v>
      </c>
      <c r="U42" s="1">
        <f>ROUND(Scores_2017!AI46,$A$1)</f>
        <v>89.75</v>
      </c>
      <c r="V42" s="1">
        <f>ROUND(Scores_2017!AJ46,$A$1)</f>
        <v>65.84</v>
      </c>
      <c r="W42" s="1">
        <f>ROUND(Scores_2017!AK46,$A$1)</f>
        <v>59.24</v>
      </c>
      <c r="X42" s="1">
        <f>ROUND(Scores_2017!AL46,$A$1)</f>
        <v>60.05</v>
      </c>
      <c r="Y42" s="1">
        <f>ROUND(Scores_2017!AM46,$A$1)</f>
        <v>57.65</v>
      </c>
      <c r="Z42" s="1">
        <f>ROUND(Scores_2017!AN46,$A$1)</f>
        <v>31.85</v>
      </c>
      <c r="AA42" s="1">
        <f>ROUND(Scores_2017!AO46,$A$1)</f>
        <v>81.02</v>
      </c>
      <c r="AB42" s="1">
        <f>ROUND(Scores_2017!AP46,$A$1)</f>
        <v>74.82</v>
      </c>
      <c r="AC42" s="1">
        <f>ROUND(Scores_2017!AQ46,$A$1)</f>
        <v>60.87</v>
      </c>
      <c r="AD42" s="1">
        <f>ROUND(Scores_2017!AR46,$A$1)</f>
        <v>85.52</v>
      </c>
      <c r="AE42" s="1">
        <f>ROUND(Scores_2017!AS46,$A$1)</f>
        <v>83.4</v>
      </c>
      <c r="AF42" s="1">
        <f>ROUND(Scores_2017!AT46,$A$1)</f>
        <v>85.61</v>
      </c>
      <c r="AG42" s="1">
        <f>ROUND(Scores_2017!AU46,$A$1)</f>
        <v>69.83</v>
      </c>
      <c r="AH42" s="1">
        <f>ROUND(Scores_2017!AV46,$A$1)</f>
        <v>88.52</v>
      </c>
      <c r="AI42" s="1">
        <f>ROUND(Scores_2017!AW46,$A$1)</f>
        <v>64.62</v>
      </c>
      <c r="AJ42" s="1">
        <f>ROUND(Scores_2017!AX46,$A$1)</f>
        <v>76.83</v>
      </c>
      <c r="AK42" s="1">
        <f>ROUND(Scores_2017!AY46,$A$1)</f>
        <v>58</v>
      </c>
      <c r="AL42" s="1">
        <f>ROUND(Scores_2017!AZ46,$A$1)</f>
        <v>77.89</v>
      </c>
      <c r="AM42" s="1">
        <f>ROUND(Scores_2017!BA46,$A$1)</f>
        <v>80.98</v>
      </c>
      <c r="AN42" s="1">
        <f>ROUND(Scores_2017!BB46,$A$1)</f>
        <v>91.59</v>
      </c>
      <c r="AO42" s="1">
        <f>ROUND(Scores_2017!BC46,$A$1)</f>
        <v>77.23</v>
      </c>
      <c r="AP42" s="1">
        <f>ROUND(Scores_2017!BD46,$A$1)</f>
        <v>55.41</v>
      </c>
      <c r="AQ42" s="1">
        <f>ROUND(Scores_2017!BE46,$A$1)</f>
        <v>69.85</v>
      </c>
      <c r="AR42" s="1">
        <f>ROUND(Scores_2017!BF46,$A$1)</f>
        <v>61.04</v>
      </c>
      <c r="AS42" s="1">
        <f>ROUND(Scores_2017!BG46,$A$1)</f>
        <v>74.39</v>
      </c>
      <c r="AT42" s="1">
        <f>ROUND(Scores_2017!BH46,$A$1)</f>
        <v>83.74</v>
      </c>
      <c r="AU42" s="1">
        <f>ROUND(Scores_2017!BI46,$A$1)</f>
        <v>71.02</v>
      </c>
      <c r="AV42" s="1">
        <f>ROUND(Scores_2017!BJ46,$A$1)</f>
        <v>70.08</v>
      </c>
      <c r="AW42" s="1">
        <f>ROUND(Scores_2017!BK46,$A$1)</f>
        <v>85.34</v>
      </c>
      <c r="AX42" s="1">
        <f>ROUND(Scores_2017!BL46,$A$1)</f>
        <v>80.07</v>
      </c>
      <c r="AY42" s="1">
        <f>ROUND(Scores_2017!BM46,$A$1)</f>
        <v>94.94</v>
      </c>
      <c r="AZ42" s="1">
        <f>ROUND(Scores_2017!BN46,$A$1)</f>
        <v>87.93</v>
      </c>
      <c r="BA42" s="1">
        <f>ROUND(Scores_2017!BO46,$A$1)</f>
        <v>86.46</v>
      </c>
      <c r="BB42" s="1">
        <f>ROUND(Scores_2017!BP46,$A$1)</f>
        <v>90.02</v>
      </c>
      <c r="BC42" s="1">
        <f>ROUND(Scores_2017!BQ46,$A$1)</f>
        <v>59.18</v>
      </c>
      <c r="BD42" s="1">
        <f>ROUND(Scores_2017!BR46,$A$1)</f>
        <v>91.57</v>
      </c>
      <c r="BE42" s="1">
        <f>ROUND(Scores_2017!BS46,$A$1)</f>
        <v>91.52</v>
      </c>
      <c r="BF42" s="1">
        <f>ROUND(Scores_2017!BT46,$A$1)</f>
        <v>84.82</v>
      </c>
      <c r="BG42" s="1">
        <f>ROUND(Scores_2017!BU46,$A$1)</f>
        <v>92.28</v>
      </c>
      <c r="BH42" s="1">
        <f>ROUND(Scores_2017!BV46,$A$1)</f>
        <v>52.43</v>
      </c>
      <c r="BI42" s="1">
        <f>ROUND(Scores_2017!BW46,$A$1)</f>
        <v>83.72</v>
      </c>
      <c r="BJ42" s="1">
        <f>ROUND(Scores_2017!BX46,$A$1)</f>
        <v>91.59</v>
      </c>
      <c r="BL42" s="1">
        <f t="shared" si="1"/>
        <v>74.7095081967213</v>
      </c>
    </row>
    <row r="43" spans="1:64">
      <c r="A43" s="1" t="str">
        <f>Scores_2017!N47</f>
        <v>  4.1) Personal security (Inputs)</v>
      </c>
      <c r="B43" s="1">
        <f>ROUND(Scores_2017!P47,$A$1)</f>
        <v>71.8</v>
      </c>
      <c r="C43" s="1">
        <f>ROUND(Scores_2017!Q47,$A$1)</f>
        <v>92.61</v>
      </c>
      <c r="D43" s="1">
        <f>ROUND(Scores_2017!R47,$A$1)</f>
        <v>64.54</v>
      </c>
      <c r="E43" s="1">
        <f>ROUND(Scores_2017!S47,$A$1)</f>
        <v>61.61</v>
      </c>
      <c r="F43" s="1">
        <f>ROUND(Scores_2017!T47,$A$1)</f>
        <v>90.95</v>
      </c>
      <c r="G43" s="1">
        <f>ROUND(Scores_2017!U47,$A$1)</f>
        <v>85</v>
      </c>
      <c r="H43" s="1">
        <f>ROUND(Scores_2017!V47,$A$1)</f>
        <v>65.18</v>
      </c>
      <c r="I43" s="1">
        <f>ROUND(Scores_2017!W47,$A$1)</f>
        <v>83.39</v>
      </c>
      <c r="J43" s="1">
        <f>ROUND(Scores_2017!X47,$A$1)</f>
        <v>68.32</v>
      </c>
      <c r="K43" s="1">
        <f>ROUND(Scores_2017!Y47,$A$1)</f>
        <v>77.32</v>
      </c>
      <c r="L43" s="1">
        <f>ROUND(Scores_2017!Z47,$A$1)</f>
        <v>52.21</v>
      </c>
      <c r="M43" s="1">
        <f>ROUND(Scores_2017!AA47,$A$1)</f>
        <v>57.19</v>
      </c>
      <c r="N43" s="1">
        <f>ROUND(Scores_2017!AB47,$A$1)</f>
        <v>88.75</v>
      </c>
      <c r="O43" s="1">
        <f>ROUND(Scores_2017!AC47,$A$1)</f>
        <v>82.86</v>
      </c>
      <c r="P43" s="1">
        <f>ROUND(Scores_2017!AD47,$A$1)</f>
        <v>89.17</v>
      </c>
      <c r="Q43" s="1">
        <f>ROUND(Scores_2017!AE47,$A$1)</f>
        <v>74.46</v>
      </c>
      <c r="R43" s="1">
        <f>ROUND(Scores_2017!AF47,$A$1)</f>
        <v>88.62</v>
      </c>
      <c r="S43" s="1">
        <f>ROUND(Scores_2017!AG47,$A$1)</f>
        <v>91.73</v>
      </c>
      <c r="T43" s="1">
        <f>ROUND(Scores_2017!AH47,$A$1)</f>
        <v>35</v>
      </c>
      <c r="U43" s="1">
        <f>ROUND(Scores_2017!AI47,$A$1)</f>
        <v>92.02</v>
      </c>
      <c r="V43" s="1">
        <f>ROUND(Scores_2017!AJ47,$A$1)</f>
        <v>71.78</v>
      </c>
      <c r="W43" s="1">
        <f>ROUND(Scores_2017!AK47,$A$1)</f>
        <v>54.94</v>
      </c>
      <c r="X43" s="1">
        <f>ROUND(Scores_2017!AL47,$A$1)</f>
        <v>42.82</v>
      </c>
      <c r="Y43" s="1">
        <f>ROUND(Scores_2017!AM47,$A$1)</f>
        <v>61.1</v>
      </c>
      <c r="Z43" s="1">
        <f>ROUND(Scores_2017!AN47,$A$1)</f>
        <v>37.01</v>
      </c>
      <c r="AA43" s="1">
        <f>ROUND(Scores_2017!AO47,$A$1)</f>
        <v>84.46</v>
      </c>
      <c r="AB43" s="1">
        <f>ROUND(Scores_2017!AP47,$A$1)</f>
        <v>69.43</v>
      </c>
      <c r="AC43" s="1">
        <f>ROUND(Scores_2017!AQ47,$A$1)</f>
        <v>61.1</v>
      </c>
      <c r="AD43" s="1">
        <f>ROUND(Scores_2017!AR47,$A$1)</f>
        <v>94.16</v>
      </c>
      <c r="AE43" s="1">
        <f>ROUND(Scores_2017!AS47,$A$1)</f>
        <v>89.55</v>
      </c>
      <c r="AF43" s="1">
        <f>ROUND(Scores_2017!AT47,$A$1)</f>
        <v>90.95</v>
      </c>
      <c r="AG43" s="1">
        <f>ROUND(Scores_2017!AU47,$A$1)</f>
        <v>75.96</v>
      </c>
      <c r="AH43" s="1">
        <f>ROUND(Scores_2017!AV47,$A$1)</f>
        <v>95.17</v>
      </c>
      <c r="AI43" s="1">
        <f>ROUND(Scores_2017!AW47,$A$1)</f>
        <v>78</v>
      </c>
      <c r="AJ43" s="1">
        <f>ROUND(Scores_2017!AX47,$A$1)</f>
        <v>80.11</v>
      </c>
      <c r="AK43" s="1">
        <f>ROUND(Scores_2017!AY47,$A$1)</f>
        <v>56.96</v>
      </c>
      <c r="AL43" s="1">
        <f>ROUND(Scores_2017!AZ47,$A$1)</f>
        <v>89.17</v>
      </c>
      <c r="AM43" s="1">
        <f>ROUND(Scores_2017!BA47,$A$1)</f>
        <v>87.85</v>
      </c>
      <c r="AN43" s="1">
        <f>ROUND(Scores_2017!BB47,$A$1)</f>
        <v>95.59</v>
      </c>
      <c r="AO43" s="1">
        <f>ROUND(Scores_2017!BC47,$A$1)</f>
        <v>79.92</v>
      </c>
      <c r="AP43" s="1">
        <f>ROUND(Scores_2017!BD47,$A$1)</f>
        <v>48.75</v>
      </c>
      <c r="AQ43" s="1">
        <f>ROUND(Scores_2017!BE47,$A$1)</f>
        <v>80.34</v>
      </c>
      <c r="AR43" s="1">
        <f>ROUND(Scores_2017!BF47,$A$1)</f>
        <v>42.82</v>
      </c>
      <c r="AS43" s="1">
        <f>ROUND(Scores_2017!BG47,$A$1)</f>
        <v>80.11</v>
      </c>
      <c r="AT43" s="1">
        <f>ROUND(Scores_2017!BH47,$A$1)</f>
        <v>89.55</v>
      </c>
      <c r="AU43" s="1">
        <f>ROUND(Scores_2017!BI47,$A$1)</f>
        <v>66.19</v>
      </c>
      <c r="AV43" s="1">
        <f>ROUND(Scores_2017!BJ47,$A$1)</f>
        <v>80.34</v>
      </c>
      <c r="AW43" s="1">
        <f>ROUND(Scores_2017!BK47,$A$1)</f>
        <v>90.17</v>
      </c>
      <c r="AX43" s="1">
        <f>ROUND(Scores_2017!BL47,$A$1)</f>
        <v>85</v>
      </c>
      <c r="AY43" s="1">
        <f>ROUND(Scores_2017!BM47,$A$1)</f>
        <v>94.88</v>
      </c>
      <c r="AZ43" s="1">
        <f>ROUND(Scores_2017!BN47,$A$1)</f>
        <v>84.59</v>
      </c>
      <c r="BA43" s="1">
        <f>ROUND(Scores_2017!BO47,$A$1)</f>
        <v>95.17</v>
      </c>
      <c r="BB43" s="1">
        <f>ROUND(Scores_2017!BP47,$A$1)</f>
        <v>93.87</v>
      </c>
      <c r="BC43" s="1">
        <f>ROUND(Scores_2017!BQ47,$A$1)</f>
        <v>47.26</v>
      </c>
      <c r="BD43" s="1">
        <f>ROUND(Scores_2017!BR47,$A$1)</f>
        <v>95.59</v>
      </c>
      <c r="BE43" s="1">
        <f>ROUND(Scores_2017!BS47,$A$1)</f>
        <v>93.62</v>
      </c>
      <c r="BF43" s="1">
        <f>ROUND(Scores_2017!BT47,$A$1)</f>
        <v>93.74</v>
      </c>
      <c r="BG43" s="1">
        <f>ROUND(Scores_2017!BU47,$A$1)</f>
        <v>94.46</v>
      </c>
      <c r="BH43" s="1">
        <f>ROUND(Scores_2017!BV47,$A$1)</f>
        <v>38.32</v>
      </c>
      <c r="BI43" s="1">
        <f>ROUND(Scores_2017!BW47,$A$1)</f>
        <v>78.36</v>
      </c>
      <c r="BJ43" s="1">
        <f>ROUND(Scores_2017!BX47,$A$1)</f>
        <v>95.59</v>
      </c>
      <c r="BL43" s="1">
        <f t="shared" si="1"/>
        <v>76.68</v>
      </c>
    </row>
    <row r="44" spans="1:64">
      <c r="A44" s="1" t="str">
        <f>Scores_2017!N48</f>
        <v>   4.1.1) Level of police engagement</v>
      </c>
      <c r="B44" s="1">
        <f>ROUND(Scores_2017!P48,$A$1)</f>
        <v>100</v>
      </c>
      <c r="C44" s="1">
        <f>ROUND(Scores_2017!Q48,$A$1)</f>
        <v>100</v>
      </c>
      <c r="D44" s="1">
        <f>ROUND(Scores_2017!R48,$A$1)</f>
        <v>50</v>
      </c>
      <c r="E44" s="1">
        <f>ROUND(Scores_2017!S48,$A$1)</f>
        <v>50</v>
      </c>
      <c r="F44" s="1">
        <f>ROUND(Scores_2017!T48,$A$1)</f>
        <v>100</v>
      </c>
      <c r="G44" s="1">
        <f>ROUND(Scores_2017!U48,$A$1)</f>
        <v>50</v>
      </c>
      <c r="H44" s="1">
        <f>ROUND(Scores_2017!V48,$A$1)</f>
        <v>50</v>
      </c>
      <c r="I44" s="1">
        <f>ROUND(Scores_2017!W48,$A$1)</f>
        <v>50</v>
      </c>
      <c r="J44" s="1">
        <f>ROUND(Scores_2017!X48,$A$1)</f>
        <v>50</v>
      </c>
      <c r="K44" s="1">
        <f>ROUND(Scores_2017!Y48,$A$1)</f>
        <v>50</v>
      </c>
      <c r="L44" s="1">
        <f>ROUND(Scores_2017!Z48,$A$1)</f>
        <v>50</v>
      </c>
      <c r="M44" s="1">
        <f>ROUND(Scores_2017!AA48,$A$1)</f>
        <v>100</v>
      </c>
      <c r="N44" s="1">
        <f>ROUND(Scores_2017!AB48,$A$1)</f>
        <v>100</v>
      </c>
      <c r="O44" s="1">
        <f>ROUND(Scores_2017!AC48,$A$1)</f>
        <v>100</v>
      </c>
      <c r="P44" s="1">
        <f>ROUND(Scores_2017!AD48,$A$1)</f>
        <v>100</v>
      </c>
      <c r="Q44" s="1">
        <f>ROUND(Scores_2017!AE48,$A$1)</f>
        <v>100</v>
      </c>
      <c r="R44" s="1">
        <f>ROUND(Scores_2017!AF48,$A$1)</f>
        <v>100</v>
      </c>
      <c r="S44" s="1">
        <f>ROUND(Scores_2017!AG48,$A$1)</f>
        <v>100</v>
      </c>
      <c r="T44" s="1">
        <f>ROUND(Scores_2017!AH48,$A$1)</f>
        <v>0</v>
      </c>
      <c r="U44" s="1">
        <f>ROUND(Scores_2017!AI48,$A$1)</f>
        <v>100</v>
      </c>
      <c r="V44" s="1">
        <f>ROUND(Scores_2017!AJ48,$A$1)</f>
        <v>50</v>
      </c>
      <c r="W44" s="1">
        <f>ROUND(Scores_2017!AK48,$A$1)</f>
        <v>50</v>
      </c>
      <c r="X44" s="1">
        <f>ROUND(Scores_2017!AL48,$A$1)</f>
        <v>50</v>
      </c>
      <c r="Y44" s="1">
        <f>ROUND(Scores_2017!AM48,$A$1)</f>
        <v>50</v>
      </c>
      <c r="Z44" s="1">
        <f>ROUND(Scores_2017!AN48,$A$1)</f>
        <v>100</v>
      </c>
      <c r="AA44" s="1">
        <f>ROUND(Scores_2017!AO48,$A$1)</f>
        <v>50</v>
      </c>
      <c r="AB44" s="1">
        <f>ROUND(Scores_2017!AP48,$A$1)</f>
        <v>50</v>
      </c>
      <c r="AC44" s="1">
        <f>ROUND(Scores_2017!AQ48,$A$1)</f>
        <v>50</v>
      </c>
      <c r="AD44" s="1">
        <f>ROUND(Scores_2017!AR48,$A$1)</f>
        <v>100</v>
      </c>
      <c r="AE44" s="1">
        <f>ROUND(Scores_2017!AS48,$A$1)</f>
        <v>100</v>
      </c>
      <c r="AF44" s="1">
        <f>ROUND(Scores_2017!AT48,$A$1)</f>
        <v>100</v>
      </c>
      <c r="AG44" s="1">
        <f>ROUND(Scores_2017!AU48,$A$1)</f>
        <v>50</v>
      </c>
      <c r="AH44" s="1">
        <f>ROUND(Scores_2017!AV48,$A$1)</f>
        <v>100</v>
      </c>
      <c r="AI44" s="1">
        <f>ROUND(Scores_2017!AW48,$A$1)</f>
        <v>50</v>
      </c>
      <c r="AJ44" s="1">
        <f>ROUND(Scores_2017!AX48,$A$1)</f>
        <v>50</v>
      </c>
      <c r="AK44" s="1">
        <f>ROUND(Scores_2017!AY48,$A$1)</f>
        <v>0</v>
      </c>
      <c r="AL44" s="1">
        <f>ROUND(Scores_2017!AZ48,$A$1)</f>
        <v>100</v>
      </c>
      <c r="AM44" s="1">
        <f>ROUND(Scores_2017!BA48,$A$1)</f>
        <v>100</v>
      </c>
      <c r="AN44" s="1">
        <f>ROUND(Scores_2017!BB48,$A$1)</f>
        <v>100</v>
      </c>
      <c r="AO44" s="1">
        <f>ROUND(Scores_2017!BC48,$A$1)</f>
        <v>50</v>
      </c>
      <c r="AP44" s="1">
        <f>ROUND(Scores_2017!BD48,$A$1)</f>
        <v>50</v>
      </c>
      <c r="AQ44" s="1">
        <f>ROUND(Scores_2017!BE48,$A$1)</f>
        <v>50</v>
      </c>
      <c r="AR44" s="1">
        <f>ROUND(Scores_2017!BF48,$A$1)</f>
        <v>50</v>
      </c>
      <c r="AS44" s="1">
        <f>ROUND(Scores_2017!BG48,$A$1)</f>
        <v>50</v>
      </c>
      <c r="AT44" s="1">
        <f>ROUND(Scores_2017!BH48,$A$1)</f>
        <v>100</v>
      </c>
      <c r="AU44" s="1">
        <f>ROUND(Scores_2017!BI48,$A$1)</f>
        <v>50</v>
      </c>
      <c r="AV44" s="1">
        <f>ROUND(Scores_2017!BJ48,$A$1)</f>
        <v>50</v>
      </c>
      <c r="AW44" s="1">
        <f>ROUND(Scores_2017!BK48,$A$1)</f>
        <v>100</v>
      </c>
      <c r="AX44" s="1">
        <f>ROUND(Scores_2017!BL48,$A$1)</f>
        <v>50</v>
      </c>
      <c r="AY44" s="1">
        <f>ROUND(Scores_2017!BM48,$A$1)</f>
        <v>100</v>
      </c>
      <c r="AZ44" s="1">
        <f>ROUND(Scores_2017!BN48,$A$1)</f>
        <v>50</v>
      </c>
      <c r="BA44" s="1">
        <f>ROUND(Scores_2017!BO48,$A$1)</f>
        <v>100</v>
      </c>
      <c r="BB44" s="1">
        <f>ROUND(Scores_2017!BP48,$A$1)</f>
        <v>100</v>
      </c>
      <c r="BC44" s="1">
        <f>ROUND(Scores_2017!BQ48,$A$1)</f>
        <v>50</v>
      </c>
      <c r="BD44" s="1">
        <f>ROUND(Scores_2017!BR48,$A$1)</f>
        <v>100</v>
      </c>
      <c r="BE44" s="1">
        <f>ROUND(Scores_2017!BS48,$A$1)</f>
        <v>100</v>
      </c>
      <c r="BF44" s="1">
        <f>ROUND(Scores_2017!BT48,$A$1)</f>
        <v>100</v>
      </c>
      <c r="BG44" s="1">
        <f>ROUND(Scores_2017!BU48,$A$1)</f>
        <v>100</v>
      </c>
      <c r="BH44" s="1">
        <f>ROUND(Scores_2017!BV48,$A$1)</f>
        <v>50</v>
      </c>
      <c r="BI44" s="1">
        <f>ROUND(Scores_2017!BW48,$A$1)</f>
        <v>50</v>
      </c>
      <c r="BJ44" s="1">
        <f>ROUND(Scores_2017!BX48,$A$1)</f>
        <v>100</v>
      </c>
      <c r="BL44" s="1">
        <f t="shared" si="1"/>
        <v>72.1311475409836</v>
      </c>
    </row>
    <row r="45" spans="1:64">
      <c r="A45" s="1" t="str">
        <f>Scores_2017!N49</f>
        <v>   4.1.2) Community-based patrolling</v>
      </c>
      <c r="B45" s="1">
        <f>ROUND(Scores_2017!P49,$A$1)</f>
        <v>100</v>
      </c>
      <c r="C45" s="1">
        <f>ROUND(Scores_2017!Q49,$A$1)</f>
        <v>100</v>
      </c>
      <c r="D45" s="1">
        <f>ROUND(Scores_2017!R49,$A$1)</f>
        <v>0</v>
      </c>
      <c r="E45" s="1">
        <f>ROUND(Scores_2017!S49,$A$1)</f>
        <v>100</v>
      </c>
      <c r="F45" s="1">
        <f>ROUND(Scores_2017!T49,$A$1)</f>
        <v>100</v>
      </c>
      <c r="G45" s="1">
        <f>ROUND(Scores_2017!U49,$A$1)</f>
        <v>100</v>
      </c>
      <c r="H45" s="1">
        <f>ROUND(Scores_2017!V49,$A$1)</f>
        <v>100</v>
      </c>
      <c r="I45" s="1">
        <f>ROUND(Scores_2017!W49,$A$1)</f>
        <v>100</v>
      </c>
      <c r="J45" s="1">
        <f>ROUND(Scores_2017!X49,$A$1)</f>
        <v>0</v>
      </c>
      <c r="K45" s="1">
        <f>ROUND(Scores_2017!Y49,$A$1)</f>
        <v>100</v>
      </c>
      <c r="L45" s="1">
        <f>ROUND(Scores_2017!Z49,$A$1)</f>
        <v>100</v>
      </c>
      <c r="M45" s="1">
        <f>ROUND(Scores_2017!AA49,$A$1)</f>
        <v>0</v>
      </c>
      <c r="N45" s="1">
        <f>ROUND(Scores_2017!AB49,$A$1)</f>
        <v>100</v>
      </c>
      <c r="O45" s="1">
        <f>ROUND(Scores_2017!AC49,$A$1)</f>
        <v>100</v>
      </c>
      <c r="P45" s="1">
        <f>ROUND(Scores_2017!AD49,$A$1)</f>
        <v>100</v>
      </c>
      <c r="Q45" s="1">
        <f>ROUND(Scores_2017!AE49,$A$1)</f>
        <v>100</v>
      </c>
      <c r="R45" s="1">
        <f>ROUND(Scores_2017!AF49,$A$1)</f>
        <v>100</v>
      </c>
      <c r="S45" s="1">
        <f>ROUND(Scores_2017!AG49,$A$1)</f>
        <v>100</v>
      </c>
      <c r="T45" s="1">
        <f>ROUND(Scores_2017!AH49,$A$1)</f>
        <v>0</v>
      </c>
      <c r="U45" s="1">
        <f>ROUND(Scores_2017!AI49,$A$1)</f>
        <v>100</v>
      </c>
      <c r="V45" s="1">
        <f>ROUND(Scores_2017!AJ49,$A$1)</f>
        <v>100</v>
      </c>
      <c r="W45" s="1">
        <f>ROUND(Scores_2017!AK49,$A$1)</f>
        <v>100</v>
      </c>
      <c r="X45" s="1">
        <f>ROUND(Scores_2017!AL49,$A$1)</f>
        <v>100</v>
      </c>
      <c r="Y45" s="1">
        <f>ROUND(Scores_2017!AM49,$A$1)</f>
        <v>100</v>
      </c>
      <c r="Z45" s="1">
        <f>ROUND(Scores_2017!AN49,$A$1)</f>
        <v>100</v>
      </c>
      <c r="AA45" s="1">
        <f>ROUND(Scores_2017!AO49,$A$1)</f>
        <v>100</v>
      </c>
      <c r="AB45" s="1">
        <f>ROUND(Scores_2017!AP49,$A$1)</f>
        <v>100</v>
      </c>
      <c r="AC45" s="1">
        <f>ROUND(Scores_2017!AQ49,$A$1)</f>
        <v>100</v>
      </c>
      <c r="AD45" s="1">
        <f>ROUND(Scores_2017!AR49,$A$1)</f>
        <v>100</v>
      </c>
      <c r="AE45" s="1">
        <f>ROUND(Scores_2017!AS49,$A$1)</f>
        <v>100</v>
      </c>
      <c r="AF45" s="1">
        <f>ROUND(Scores_2017!AT49,$A$1)</f>
        <v>100</v>
      </c>
      <c r="AG45" s="1">
        <f>ROUND(Scores_2017!AU49,$A$1)</f>
        <v>100</v>
      </c>
      <c r="AH45" s="1">
        <f>ROUND(Scores_2017!AV49,$A$1)</f>
        <v>100</v>
      </c>
      <c r="AI45" s="1">
        <f>ROUND(Scores_2017!AW49,$A$1)</f>
        <v>100</v>
      </c>
      <c r="AJ45" s="1">
        <f>ROUND(Scores_2017!AX49,$A$1)</f>
        <v>100</v>
      </c>
      <c r="AK45" s="1">
        <f>ROUND(Scores_2017!AY49,$A$1)</f>
        <v>100</v>
      </c>
      <c r="AL45" s="1">
        <f>ROUND(Scores_2017!AZ49,$A$1)</f>
        <v>100</v>
      </c>
      <c r="AM45" s="1">
        <f>ROUND(Scores_2017!BA49,$A$1)</f>
        <v>100</v>
      </c>
      <c r="AN45" s="1">
        <f>ROUND(Scores_2017!BB49,$A$1)</f>
        <v>100</v>
      </c>
      <c r="AO45" s="1">
        <f>ROUND(Scores_2017!BC49,$A$1)</f>
        <v>100</v>
      </c>
      <c r="AP45" s="1">
        <f>ROUND(Scores_2017!BD49,$A$1)</f>
        <v>0</v>
      </c>
      <c r="AQ45" s="1">
        <f>ROUND(Scores_2017!BE49,$A$1)</f>
        <v>100</v>
      </c>
      <c r="AR45" s="1">
        <f>ROUND(Scores_2017!BF49,$A$1)</f>
        <v>100</v>
      </c>
      <c r="AS45" s="1">
        <f>ROUND(Scores_2017!BG49,$A$1)</f>
        <v>100</v>
      </c>
      <c r="AT45" s="1">
        <f>ROUND(Scores_2017!BH49,$A$1)</f>
        <v>100</v>
      </c>
      <c r="AU45" s="1">
        <f>ROUND(Scores_2017!BI49,$A$1)</f>
        <v>0</v>
      </c>
      <c r="AV45" s="1">
        <f>ROUND(Scores_2017!BJ49,$A$1)</f>
        <v>100</v>
      </c>
      <c r="AW45" s="1">
        <f>ROUND(Scores_2017!BK49,$A$1)</f>
        <v>100</v>
      </c>
      <c r="AX45" s="1">
        <f>ROUND(Scores_2017!BL49,$A$1)</f>
        <v>100</v>
      </c>
      <c r="AY45" s="1">
        <f>ROUND(Scores_2017!BM49,$A$1)</f>
        <v>100</v>
      </c>
      <c r="AZ45" s="1">
        <f>ROUND(Scores_2017!BN49,$A$1)</f>
        <v>100</v>
      </c>
      <c r="BA45" s="1">
        <f>ROUND(Scores_2017!BO49,$A$1)</f>
        <v>100</v>
      </c>
      <c r="BB45" s="1">
        <f>ROUND(Scores_2017!BP49,$A$1)</f>
        <v>100</v>
      </c>
      <c r="BC45" s="1">
        <f>ROUND(Scores_2017!BQ49,$A$1)</f>
        <v>0</v>
      </c>
      <c r="BD45" s="1">
        <f>ROUND(Scores_2017!BR49,$A$1)</f>
        <v>100</v>
      </c>
      <c r="BE45" s="1">
        <f>ROUND(Scores_2017!BS49,$A$1)</f>
        <v>100</v>
      </c>
      <c r="BF45" s="1">
        <f>ROUND(Scores_2017!BT49,$A$1)</f>
        <v>100</v>
      </c>
      <c r="BG45" s="1">
        <f>ROUND(Scores_2017!BU49,$A$1)</f>
        <v>100</v>
      </c>
      <c r="BH45" s="1">
        <f>ROUND(Scores_2017!BV49,$A$1)</f>
        <v>100</v>
      </c>
      <c r="BI45" s="1">
        <f>ROUND(Scores_2017!BW49,$A$1)</f>
        <v>100</v>
      </c>
      <c r="BJ45" s="1">
        <f>ROUND(Scores_2017!BX49,$A$1)</f>
        <v>100</v>
      </c>
      <c r="BL45" s="1">
        <f t="shared" si="1"/>
        <v>88.5245901639344</v>
      </c>
    </row>
    <row r="46" spans="1:64">
      <c r="A46" s="1" t="str">
        <f>Scores_2017!N50</f>
        <v>   4.1.3) Available street-level crime data</v>
      </c>
      <c r="B46" s="1">
        <f>ROUND(Scores_2017!P50,$A$1)</f>
        <v>100</v>
      </c>
      <c r="C46" s="1">
        <f>ROUND(Scores_2017!Q50,$A$1)</f>
        <v>100</v>
      </c>
      <c r="D46" s="1">
        <f>ROUND(Scores_2017!R50,$A$1)</f>
        <v>100</v>
      </c>
      <c r="E46" s="1">
        <f>ROUND(Scores_2017!S50,$A$1)</f>
        <v>0</v>
      </c>
      <c r="F46" s="1">
        <f>ROUND(Scores_2017!T50,$A$1)</f>
        <v>100</v>
      </c>
      <c r="G46" s="1">
        <f>ROUND(Scores_2017!U50,$A$1)</f>
        <v>100</v>
      </c>
      <c r="H46" s="1">
        <f>ROUND(Scores_2017!V50,$A$1)</f>
        <v>0</v>
      </c>
      <c r="I46" s="1">
        <f>ROUND(Scores_2017!W50,$A$1)</f>
        <v>100</v>
      </c>
      <c r="J46" s="1">
        <f>ROUND(Scores_2017!X50,$A$1)</f>
        <v>100</v>
      </c>
      <c r="K46" s="1">
        <f>ROUND(Scores_2017!Y50,$A$1)</f>
        <v>100</v>
      </c>
      <c r="L46" s="1">
        <f>ROUND(Scores_2017!Z50,$A$1)</f>
        <v>0</v>
      </c>
      <c r="M46" s="1">
        <f>ROUND(Scores_2017!AA50,$A$1)</f>
        <v>100</v>
      </c>
      <c r="N46" s="1">
        <f>ROUND(Scores_2017!AB50,$A$1)</f>
        <v>100</v>
      </c>
      <c r="O46" s="1">
        <f>ROUND(Scores_2017!AC50,$A$1)</f>
        <v>100</v>
      </c>
      <c r="P46" s="1">
        <f>ROUND(Scores_2017!AD50,$A$1)</f>
        <v>100</v>
      </c>
      <c r="Q46" s="1">
        <f>ROUND(Scores_2017!AE50,$A$1)</f>
        <v>0</v>
      </c>
      <c r="R46" s="1">
        <f>ROUND(Scores_2017!AF50,$A$1)</f>
        <v>100</v>
      </c>
      <c r="S46" s="1">
        <f>ROUND(Scores_2017!AG50,$A$1)</f>
        <v>100</v>
      </c>
      <c r="T46" s="1">
        <f>ROUND(Scores_2017!AH50,$A$1)</f>
        <v>0</v>
      </c>
      <c r="U46" s="1">
        <f>ROUND(Scores_2017!AI50,$A$1)</f>
        <v>100</v>
      </c>
      <c r="V46" s="1">
        <f>ROUND(Scores_2017!AJ50,$A$1)</f>
        <v>100</v>
      </c>
      <c r="W46" s="1">
        <f>ROUND(Scores_2017!AK50,$A$1)</f>
        <v>100</v>
      </c>
      <c r="X46" s="1">
        <f>ROUND(Scores_2017!AL50,$A$1)</f>
        <v>0</v>
      </c>
      <c r="Y46" s="1">
        <f>ROUND(Scores_2017!AM50,$A$1)</f>
        <v>100</v>
      </c>
      <c r="Z46" s="1">
        <f>ROUND(Scores_2017!AN50,$A$1)</f>
        <v>0</v>
      </c>
      <c r="AA46" s="1">
        <f>ROUND(Scores_2017!AO50,$A$1)</f>
        <v>100</v>
      </c>
      <c r="AB46" s="1">
        <f>ROUND(Scores_2017!AP50,$A$1)</f>
        <v>100</v>
      </c>
      <c r="AC46" s="1">
        <f>ROUND(Scores_2017!AQ50,$A$1)</f>
        <v>100</v>
      </c>
      <c r="AD46" s="1">
        <f>ROUND(Scores_2017!AR50,$A$1)</f>
        <v>100</v>
      </c>
      <c r="AE46" s="1">
        <f>ROUND(Scores_2017!AS50,$A$1)</f>
        <v>100</v>
      </c>
      <c r="AF46" s="1">
        <f>ROUND(Scores_2017!AT50,$A$1)</f>
        <v>100</v>
      </c>
      <c r="AG46" s="1">
        <f>ROUND(Scores_2017!AU50,$A$1)</f>
        <v>100</v>
      </c>
      <c r="AH46" s="1">
        <f>ROUND(Scores_2017!AV50,$A$1)</f>
        <v>100</v>
      </c>
      <c r="AI46" s="1">
        <f>ROUND(Scores_2017!AW50,$A$1)</f>
        <v>100</v>
      </c>
      <c r="AJ46" s="1">
        <f>ROUND(Scores_2017!AX50,$A$1)</f>
        <v>100</v>
      </c>
      <c r="AK46" s="1">
        <f>ROUND(Scores_2017!AY50,$A$1)</f>
        <v>100</v>
      </c>
      <c r="AL46" s="1">
        <f>ROUND(Scores_2017!AZ50,$A$1)</f>
        <v>100</v>
      </c>
      <c r="AM46" s="1">
        <f>ROUND(Scores_2017!BA50,$A$1)</f>
        <v>100</v>
      </c>
      <c r="AN46" s="1">
        <f>ROUND(Scores_2017!BB50,$A$1)</f>
        <v>100</v>
      </c>
      <c r="AO46" s="1">
        <f>ROUND(Scores_2017!BC50,$A$1)</f>
        <v>100</v>
      </c>
      <c r="AP46" s="1">
        <f>ROUND(Scores_2017!BD50,$A$1)</f>
        <v>0</v>
      </c>
      <c r="AQ46" s="1">
        <f>ROUND(Scores_2017!BE50,$A$1)</f>
        <v>100</v>
      </c>
      <c r="AR46" s="1">
        <f>ROUND(Scores_2017!BF50,$A$1)</f>
        <v>0</v>
      </c>
      <c r="AS46" s="1">
        <f>ROUND(Scores_2017!BG50,$A$1)</f>
        <v>100</v>
      </c>
      <c r="AT46" s="1">
        <f>ROUND(Scores_2017!BH50,$A$1)</f>
        <v>100</v>
      </c>
      <c r="AU46" s="1">
        <f>ROUND(Scores_2017!BI50,$A$1)</f>
        <v>100</v>
      </c>
      <c r="AV46" s="1">
        <f>ROUND(Scores_2017!BJ50,$A$1)</f>
        <v>100</v>
      </c>
      <c r="AW46" s="1">
        <f>ROUND(Scores_2017!BK50,$A$1)</f>
        <v>100</v>
      </c>
      <c r="AX46" s="1">
        <f>ROUND(Scores_2017!BL50,$A$1)</f>
        <v>100</v>
      </c>
      <c r="AY46" s="1">
        <f>ROUND(Scores_2017!BM50,$A$1)</f>
        <v>100</v>
      </c>
      <c r="AZ46" s="1">
        <f>ROUND(Scores_2017!BN50,$A$1)</f>
        <v>100</v>
      </c>
      <c r="BA46" s="1">
        <f>ROUND(Scores_2017!BO50,$A$1)</f>
        <v>100</v>
      </c>
      <c r="BB46" s="1">
        <f>ROUND(Scores_2017!BP50,$A$1)</f>
        <v>100</v>
      </c>
      <c r="BC46" s="1">
        <f>ROUND(Scores_2017!BQ50,$A$1)</f>
        <v>100</v>
      </c>
      <c r="BD46" s="1">
        <f>ROUND(Scores_2017!BR50,$A$1)</f>
        <v>100</v>
      </c>
      <c r="BE46" s="1">
        <f>ROUND(Scores_2017!BS50,$A$1)</f>
        <v>100</v>
      </c>
      <c r="BF46" s="1">
        <f>ROUND(Scores_2017!BT50,$A$1)</f>
        <v>100</v>
      </c>
      <c r="BG46" s="1">
        <f>ROUND(Scores_2017!BU50,$A$1)</f>
        <v>100</v>
      </c>
      <c r="BH46" s="1">
        <f>ROUND(Scores_2017!BV50,$A$1)</f>
        <v>0</v>
      </c>
      <c r="BI46" s="1">
        <f>ROUND(Scores_2017!BW50,$A$1)</f>
        <v>100</v>
      </c>
      <c r="BJ46" s="1">
        <f>ROUND(Scores_2017!BX50,$A$1)</f>
        <v>100</v>
      </c>
      <c r="BL46" s="1">
        <f t="shared" si="1"/>
        <v>83.6065573770492</v>
      </c>
    </row>
    <row r="47" spans="1:64">
      <c r="A47" s="1" t="str">
        <f>Scores_2017!N51</f>
        <v>   4.1.4) Use of data-driven techniques for crime</v>
      </c>
      <c r="B47" s="1">
        <f>ROUND(Scores_2017!P51,$A$1)</f>
        <v>0</v>
      </c>
      <c r="C47" s="1">
        <f>ROUND(Scores_2017!Q51,$A$1)</f>
        <v>100</v>
      </c>
      <c r="D47" s="1">
        <f>ROUND(Scores_2017!R51,$A$1)</f>
        <v>100</v>
      </c>
      <c r="E47" s="1">
        <f>ROUND(Scores_2017!S51,$A$1)</f>
        <v>100</v>
      </c>
      <c r="F47" s="1">
        <f>ROUND(Scores_2017!T51,$A$1)</f>
        <v>100</v>
      </c>
      <c r="G47" s="1">
        <f>ROUND(Scores_2017!U51,$A$1)</f>
        <v>100</v>
      </c>
      <c r="H47" s="1">
        <f>ROUND(Scores_2017!V51,$A$1)</f>
        <v>100</v>
      </c>
      <c r="I47" s="1">
        <f>ROUND(Scores_2017!W51,$A$1)</f>
        <v>100</v>
      </c>
      <c r="J47" s="1">
        <f>ROUND(Scores_2017!X51,$A$1)</f>
        <v>100</v>
      </c>
      <c r="K47" s="1">
        <f>ROUND(Scores_2017!Y51,$A$1)</f>
        <v>100</v>
      </c>
      <c r="L47" s="1">
        <f>ROUND(Scores_2017!Z51,$A$1)</f>
        <v>0</v>
      </c>
      <c r="M47" s="1">
        <f>ROUND(Scores_2017!AA51,$A$1)</f>
        <v>0</v>
      </c>
      <c r="N47" s="1">
        <f>ROUND(Scores_2017!AB51,$A$1)</f>
        <v>100</v>
      </c>
      <c r="O47" s="1">
        <f>ROUND(Scores_2017!AC51,$A$1)</f>
        <v>100</v>
      </c>
      <c r="P47" s="1">
        <f>ROUND(Scores_2017!AD51,$A$1)</f>
        <v>100</v>
      </c>
      <c r="Q47" s="1">
        <f>ROUND(Scores_2017!AE51,$A$1)</f>
        <v>100</v>
      </c>
      <c r="R47" s="1">
        <f>ROUND(Scores_2017!AF51,$A$1)</f>
        <v>100</v>
      </c>
      <c r="S47" s="1">
        <f>ROUND(Scores_2017!AG51,$A$1)</f>
        <v>100</v>
      </c>
      <c r="T47" s="1">
        <f>ROUND(Scores_2017!AH51,$A$1)</f>
        <v>0</v>
      </c>
      <c r="U47" s="1">
        <f>ROUND(Scores_2017!AI51,$A$1)</f>
        <v>100</v>
      </c>
      <c r="V47" s="1">
        <f>ROUND(Scores_2017!AJ51,$A$1)</f>
        <v>100</v>
      </c>
      <c r="W47" s="1">
        <f>ROUND(Scores_2017!AK51,$A$1)</f>
        <v>0</v>
      </c>
      <c r="X47" s="1">
        <f>ROUND(Scores_2017!AL51,$A$1)</f>
        <v>100</v>
      </c>
      <c r="Y47" s="1">
        <f>ROUND(Scores_2017!AM51,$A$1)</f>
        <v>0</v>
      </c>
      <c r="Z47" s="1">
        <f>ROUND(Scores_2017!AN51,$A$1)</f>
        <v>0</v>
      </c>
      <c r="AA47" s="1">
        <f>ROUND(Scores_2017!AO51,$A$1)</f>
        <v>100</v>
      </c>
      <c r="AB47" s="1">
        <f>ROUND(Scores_2017!AP51,$A$1)</f>
        <v>0</v>
      </c>
      <c r="AC47" s="1">
        <f>ROUND(Scores_2017!AQ51,$A$1)</f>
        <v>0</v>
      </c>
      <c r="AD47" s="1">
        <f>ROUND(Scores_2017!AR51,$A$1)</f>
        <v>100</v>
      </c>
      <c r="AE47" s="1">
        <f>ROUND(Scores_2017!AS51,$A$1)</f>
        <v>100</v>
      </c>
      <c r="AF47" s="1">
        <f>ROUND(Scores_2017!AT51,$A$1)</f>
        <v>100</v>
      </c>
      <c r="AG47" s="1">
        <f>ROUND(Scores_2017!AU51,$A$1)</f>
        <v>100</v>
      </c>
      <c r="AH47" s="1">
        <f>ROUND(Scores_2017!AV51,$A$1)</f>
        <v>100</v>
      </c>
      <c r="AI47" s="1">
        <f>ROUND(Scores_2017!AW51,$A$1)</f>
        <v>100</v>
      </c>
      <c r="AJ47" s="1">
        <f>ROUND(Scores_2017!AX51,$A$1)</f>
        <v>100</v>
      </c>
      <c r="AK47" s="1">
        <f>ROUND(Scores_2017!AY51,$A$1)</f>
        <v>0</v>
      </c>
      <c r="AL47" s="1">
        <f>ROUND(Scores_2017!AZ51,$A$1)</f>
        <v>100</v>
      </c>
      <c r="AM47" s="1">
        <f>ROUND(Scores_2017!BA51,$A$1)</f>
        <v>100</v>
      </c>
      <c r="AN47" s="1">
        <f>ROUND(Scores_2017!BB51,$A$1)</f>
        <v>100</v>
      </c>
      <c r="AO47" s="1">
        <f>ROUND(Scores_2017!BC51,$A$1)</f>
        <v>100</v>
      </c>
      <c r="AP47" s="1">
        <f>ROUND(Scores_2017!BD51,$A$1)</f>
        <v>100</v>
      </c>
      <c r="AQ47" s="1">
        <f>ROUND(Scores_2017!BE51,$A$1)</f>
        <v>100</v>
      </c>
      <c r="AR47" s="1">
        <f>ROUND(Scores_2017!BF51,$A$1)</f>
        <v>100</v>
      </c>
      <c r="AS47" s="1">
        <f>ROUND(Scores_2017!BG51,$A$1)</f>
        <v>100</v>
      </c>
      <c r="AT47" s="1">
        <f>ROUND(Scores_2017!BH51,$A$1)</f>
        <v>100</v>
      </c>
      <c r="AU47" s="1">
        <f>ROUND(Scores_2017!BI51,$A$1)</f>
        <v>100</v>
      </c>
      <c r="AV47" s="1">
        <f>ROUND(Scores_2017!BJ51,$A$1)</f>
        <v>100</v>
      </c>
      <c r="AW47" s="1">
        <f>ROUND(Scores_2017!BK51,$A$1)</f>
        <v>100</v>
      </c>
      <c r="AX47" s="1">
        <f>ROUND(Scores_2017!BL51,$A$1)</f>
        <v>100</v>
      </c>
      <c r="AY47" s="1">
        <f>ROUND(Scores_2017!BM51,$A$1)</f>
        <v>100</v>
      </c>
      <c r="AZ47" s="1">
        <f>ROUND(Scores_2017!BN51,$A$1)</f>
        <v>100</v>
      </c>
      <c r="BA47" s="1">
        <f>ROUND(Scores_2017!BO51,$A$1)</f>
        <v>100</v>
      </c>
      <c r="BB47" s="1">
        <f>ROUND(Scores_2017!BP51,$A$1)</f>
        <v>100</v>
      </c>
      <c r="BC47" s="1">
        <f>ROUND(Scores_2017!BQ51,$A$1)</f>
        <v>0</v>
      </c>
      <c r="BD47" s="1">
        <f>ROUND(Scores_2017!BR51,$A$1)</f>
        <v>100</v>
      </c>
      <c r="BE47" s="1">
        <f>ROUND(Scores_2017!BS51,$A$1)</f>
        <v>100</v>
      </c>
      <c r="BF47" s="1">
        <f>ROUND(Scores_2017!BT51,$A$1)</f>
        <v>100</v>
      </c>
      <c r="BG47" s="1">
        <f>ROUND(Scores_2017!BU51,$A$1)</f>
        <v>100</v>
      </c>
      <c r="BH47" s="1">
        <f>ROUND(Scores_2017!BV51,$A$1)</f>
        <v>0</v>
      </c>
      <c r="BI47" s="1">
        <f>ROUND(Scores_2017!BW51,$A$1)</f>
        <v>100</v>
      </c>
      <c r="BJ47" s="1">
        <f>ROUND(Scores_2017!BX51,$A$1)</f>
        <v>100</v>
      </c>
      <c r="BL47" s="1">
        <f t="shared" si="1"/>
        <v>80.327868852459</v>
      </c>
    </row>
    <row r="48" spans="1:64">
      <c r="A48" s="1" t="str">
        <f>Scores_2017!N52</f>
        <v>   4.1.5) Private security measures</v>
      </c>
      <c r="B48" s="1">
        <f>ROUND(Scores_2017!P52,$A$1)</f>
        <v>100</v>
      </c>
      <c r="C48" s="1">
        <f>ROUND(Scores_2017!Q52,$A$1)</f>
        <v>100</v>
      </c>
      <c r="D48" s="1">
        <f>ROUND(Scores_2017!R52,$A$1)</f>
        <v>100</v>
      </c>
      <c r="E48" s="1">
        <f>ROUND(Scores_2017!S52,$A$1)</f>
        <v>100</v>
      </c>
      <c r="F48" s="1">
        <f>ROUND(Scores_2017!T52,$A$1)</f>
        <v>100</v>
      </c>
      <c r="G48" s="1">
        <f>ROUND(Scores_2017!U52,$A$1)</f>
        <v>100</v>
      </c>
      <c r="H48" s="1">
        <f>ROUND(Scores_2017!V52,$A$1)</f>
        <v>100</v>
      </c>
      <c r="I48" s="1">
        <f>ROUND(Scores_2017!W52,$A$1)</f>
        <v>100</v>
      </c>
      <c r="J48" s="1">
        <f>ROUND(Scores_2017!X52,$A$1)</f>
        <v>100</v>
      </c>
      <c r="K48" s="1">
        <f>ROUND(Scores_2017!Y52,$A$1)</f>
        <v>100</v>
      </c>
      <c r="L48" s="1">
        <f>ROUND(Scores_2017!Z52,$A$1)</f>
        <v>100</v>
      </c>
      <c r="M48" s="1">
        <f>ROUND(Scores_2017!AA52,$A$1)</f>
        <v>100</v>
      </c>
      <c r="N48" s="1">
        <f>ROUND(Scores_2017!AB52,$A$1)</f>
        <v>100</v>
      </c>
      <c r="O48" s="1">
        <f>ROUND(Scores_2017!AC52,$A$1)</f>
        <v>100</v>
      </c>
      <c r="P48" s="1">
        <f>ROUND(Scores_2017!AD52,$A$1)</f>
        <v>100</v>
      </c>
      <c r="Q48" s="1">
        <f>ROUND(Scores_2017!AE52,$A$1)</f>
        <v>100</v>
      </c>
      <c r="R48" s="1">
        <f>ROUND(Scores_2017!AF52,$A$1)</f>
        <v>100</v>
      </c>
      <c r="S48" s="1">
        <f>ROUND(Scores_2017!AG52,$A$1)</f>
        <v>100</v>
      </c>
      <c r="T48" s="1">
        <f>ROUND(Scores_2017!AH52,$A$1)</f>
        <v>100</v>
      </c>
      <c r="U48" s="1">
        <f>ROUND(Scores_2017!AI52,$A$1)</f>
        <v>100</v>
      </c>
      <c r="V48" s="1">
        <f>ROUND(Scores_2017!AJ52,$A$1)</f>
        <v>100</v>
      </c>
      <c r="W48" s="1">
        <f>ROUND(Scores_2017!AK52,$A$1)</f>
        <v>0</v>
      </c>
      <c r="X48" s="1">
        <f>ROUND(Scores_2017!AL52,$A$1)</f>
        <v>0</v>
      </c>
      <c r="Y48" s="1">
        <f>ROUND(Scores_2017!AM52,$A$1)</f>
        <v>100</v>
      </c>
      <c r="Z48" s="1">
        <f>ROUND(Scores_2017!AN52,$A$1)</f>
        <v>0</v>
      </c>
      <c r="AA48" s="1">
        <f>ROUND(Scores_2017!AO52,$A$1)</f>
        <v>100</v>
      </c>
      <c r="AB48" s="1">
        <f>ROUND(Scores_2017!AP52,$A$1)</f>
        <v>100</v>
      </c>
      <c r="AC48" s="1">
        <f>ROUND(Scores_2017!AQ52,$A$1)</f>
        <v>100</v>
      </c>
      <c r="AD48" s="1">
        <f>ROUND(Scores_2017!AR52,$A$1)</f>
        <v>100</v>
      </c>
      <c r="AE48" s="1">
        <f>ROUND(Scores_2017!AS52,$A$1)</f>
        <v>100</v>
      </c>
      <c r="AF48" s="1">
        <f>ROUND(Scores_2017!AT52,$A$1)</f>
        <v>100</v>
      </c>
      <c r="AG48" s="1">
        <f>ROUND(Scores_2017!AU52,$A$1)</f>
        <v>100</v>
      </c>
      <c r="AH48" s="1">
        <f>ROUND(Scores_2017!AV52,$A$1)</f>
        <v>100</v>
      </c>
      <c r="AI48" s="1">
        <f>ROUND(Scores_2017!AW52,$A$1)</f>
        <v>100</v>
      </c>
      <c r="AJ48" s="1">
        <f>ROUND(Scores_2017!AX52,$A$1)</f>
        <v>100</v>
      </c>
      <c r="AK48" s="1">
        <f>ROUND(Scores_2017!AY52,$A$1)</f>
        <v>100</v>
      </c>
      <c r="AL48" s="1">
        <f>ROUND(Scores_2017!AZ52,$A$1)</f>
        <v>100</v>
      </c>
      <c r="AM48" s="1">
        <f>ROUND(Scores_2017!BA52,$A$1)</f>
        <v>100</v>
      </c>
      <c r="AN48" s="1">
        <f>ROUND(Scores_2017!BB52,$A$1)</f>
        <v>100</v>
      </c>
      <c r="AO48" s="1">
        <f>ROUND(Scores_2017!BC52,$A$1)</f>
        <v>100</v>
      </c>
      <c r="AP48" s="1">
        <f>ROUND(Scores_2017!BD52,$A$1)</f>
        <v>100</v>
      </c>
      <c r="AQ48" s="1">
        <f>ROUND(Scores_2017!BE52,$A$1)</f>
        <v>100</v>
      </c>
      <c r="AR48" s="1">
        <f>ROUND(Scores_2017!BF52,$A$1)</f>
        <v>0</v>
      </c>
      <c r="AS48" s="1">
        <f>ROUND(Scores_2017!BG52,$A$1)</f>
        <v>100</v>
      </c>
      <c r="AT48" s="1">
        <f>ROUND(Scores_2017!BH52,$A$1)</f>
        <v>100</v>
      </c>
      <c r="AU48" s="1">
        <f>ROUND(Scores_2017!BI52,$A$1)</f>
        <v>100</v>
      </c>
      <c r="AV48" s="1">
        <f>ROUND(Scores_2017!BJ52,$A$1)</f>
        <v>100</v>
      </c>
      <c r="AW48" s="1">
        <f>ROUND(Scores_2017!BK52,$A$1)</f>
        <v>100</v>
      </c>
      <c r="AX48" s="1">
        <f>ROUND(Scores_2017!BL52,$A$1)</f>
        <v>100</v>
      </c>
      <c r="AY48" s="1">
        <f>ROUND(Scores_2017!BM52,$A$1)</f>
        <v>100</v>
      </c>
      <c r="AZ48" s="1">
        <f>ROUND(Scores_2017!BN52,$A$1)</f>
        <v>100</v>
      </c>
      <c r="BA48" s="1">
        <f>ROUND(Scores_2017!BO52,$A$1)</f>
        <v>100</v>
      </c>
      <c r="BB48" s="1">
        <f>ROUND(Scores_2017!BP52,$A$1)</f>
        <v>100</v>
      </c>
      <c r="BC48" s="1">
        <f>ROUND(Scores_2017!BQ52,$A$1)</f>
        <v>100</v>
      </c>
      <c r="BD48" s="1">
        <f>ROUND(Scores_2017!BR52,$A$1)</f>
        <v>100</v>
      </c>
      <c r="BE48" s="1">
        <f>ROUND(Scores_2017!BS52,$A$1)</f>
        <v>100</v>
      </c>
      <c r="BF48" s="1">
        <f>ROUND(Scores_2017!BT52,$A$1)</f>
        <v>100</v>
      </c>
      <c r="BG48" s="1">
        <f>ROUND(Scores_2017!BU52,$A$1)</f>
        <v>100</v>
      </c>
      <c r="BH48" s="1">
        <f>ROUND(Scores_2017!BV52,$A$1)</f>
        <v>0</v>
      </c>
      <c r="BI48" s="1">
        <f>ROUND(Scores_2017!BW52,$A$1)</f>
        <v>100</v>
      </c>
      <c r="BJ48" s="1">
        <f>ROUND(Scores_2017!BX52,$A$1)</f>
        <v>100</v>
      </c>
      <c r="BL48" s="1">
        <f t="shared" si="1"/>
        <v>91.8032786885246</v>
      </c>
    </row>
    <row r="49" spans="1:64">
      <c r="A49" s="1" t="str">
        <f>Scores_2017!N53</f>
        <v>   4.1.6) Gun regulation and enforcement</v>
      </c>
      <c r="B49" s="1">
        <f>ROUND(Scores_2017!P53,$A$1)</f>
        <v>47.62</v>
      </c>
      <c r="C49" s="1">
        <f>ROUND(Scores_2017!Q53,$A$1)</f>
        <v>68.25</v>
      </c>
      <c r="D49" s="1">
        <f>ROUND(Scores_2017!R53,$A$1)</f>
        <v>31.75</v>
      </c>
      <c r="E49" s="1">
        <f>ROUND(Scores_2017!S53,$A$1)</f>
        <v>41.27</v>
      </c>
      <c r="F49" s="1">
        <f>ROUND(Scores_2017!T53,$A$1)</f>
        <v>66.67</v>
      </c>
      <c r="G49" s="1">
        <f>ROUND(Scores_2017!U53,$A$1)</f>
        <v>100</v>
      </c>
      <c r="H49" s="1">
        <f>ROUND(Scores_2017!V53,$A$1)</f>
        <v>41.27</v>
      </c>
      <c r="I49" s="1">
        <f>ROUND(Scores_2017!W53,$A$1)</f>
        <v>58.73</v>
      </c>
      <c r="J49" s="1">
        <f>ROUND(Scores_2017!X53,$A$1)</f>
        <v>68.25</v>
      </c>
      <c r="K49" s="1">
        <f>ROUND(Scores_2017!Y53,$A$1)</f>
        <v>41.27</v>
      </c>
      <c r="L49" s="1">
        <f>ROUND(Scores_2017!Z53,$A$1)</f>
        <v>90.48</v>
      </c>
      <c r="M49" s="1">
        <f>ROUND(Scores_2017!AA53,$A$1)</f>
        <v>60.32</v>
      </c>
      <c r="N49" s="1">
        <f>ROUND(Scores_2017!AB53,$A$1)</f>
        <v>41.27</v>
      </c>
      <c r="O49" s="1">
        <f>ROUND(Scores_2017!AC53,$A$1)</f>
        <v>0</v>
      </c>
      <c r="P49" s="1">
        <f>ROUND(Scores_2017!AD53,$A$1)</f>
        <v>49.21</v>
      </c>
      <c r="Q49" s="1">
        <f>ROUND(Scores_2017!AE53,$A$1)</f>
        <v>76.19</v>
      </c>
      <c r="R49" s="1">
        <f>ROUND(Scores_2017!AF53,$A$1)</f>
        <v>60.32</v>
      </c>
      <c r="S49" s="1">
        <f>ROUND(Scores_2017!AG53,$A$1)</f>
        <v>57.14</v>
      </c>
      <c r="T49" s="1">
        <f>ROUND(Scores_2017!AH53,$A$1)</f>
        <v>100</v>
      </c>
      <c r="U49" s="1">
        <f>ROUND(Scores_2017!AI53,$A$1)</f>
        <v>84.13</v>
      </c>
      <c r="V49" s="1">
        <f>ROUND(Scores_2017!AJ53,$A$1)</f>
        <v>17.46</v>
      </c>
      <c r="W49" s="1">
        <f>ROUND(Scores_2017!AK53,$A$1)</f>
        <v>74.6</v>
      </c>
      <c r="X49" s="1">
        <f>ROUND(Scores_2017!AL53,$A$1)</f>
        <v>4.76</v>
      </c>
      <c r="Y49" s="1">
        <f>ROUND(Scores_2017!AM53,$A$1)</f>
        <v>12.7</v>
      </c>
      <c r="Z49" s="1">
        <f>ROUND(Scores_2017!AN53,$A$1)</f>
        <v>19.05</v>
      </c>
      <c r="AA49" s="1">
        <f>ROUND(Scores_2017!AO53,$A$1)</f>
        <v>76.19</v>
      </c>
      <c r="AB49" s="1">
        <f>ROUND(Scores_2017!AP53,$A$1)</f>
        <v>96.03</v>
      </c>
      <c r="AC49" s="1">
        <f>ROUND(Scores_2017!AQ53,$A$1)</f>
        <v>12.7</v>
      </c>
      <c r="AD49" s="1">
        <f>ROUND(Scores_2017!AR53,$A$1)</f>
        <v>84.13</v>
      </c>
      <c r="AE49" s="1">
        <f>ROUND(Scores_2017!AS53,$A$1)</f>
        <v>46.83</v>
      </c>
      <c r="AF49" s="1">
        <f>ROUND(Scores_2017!AT53,$A$1)</f>
        <v>66.67</v>
      </c>
      <c r="AG49" s="1">
        <f>ROUND(Scores_2017!AU53,$A$1)</f>
        <v>31.75</v>
      </c>
      <c r="AH49" s="1">
        <f>ROUND(Scores_2017!AV53,$A$1)</f>
        <v>76.19</v>
      </c>
      <c r="AI49" s="1">
        <f>ROUND(Scores_2017!AW53,$A$1)</f>
        <v>46.03</v>
      </c>
      <c r="AJ49" s="1">
        <f>ROUND(Scores_2017!AX53,$A$1)</f>
        <v>50.79</v>
      </c>
      <c r="AK49" s="1">
        <f>ROUND(Scores_2017!AY53,$A$1)</f>
        <v>58.73</v>
      </c>
      <c r="AL49" s="1">
        <f>ROUND(Scores_2017!AZ53,$A$1)</f>
        <v>49.21</v>
      </c>
      <c r="AM49" s="1">
        <f>ROUND(Scores_2017!BA53,$A$1)</f>
        <v>34.92</v>
      </c>
      <c r="AN49" s="1">
        <f>ROUND(Scores_2017!BB53,$A$1)</f>
        <v>84.13</v>
      </c>
      <c r="AO49" s="1">
        <f>ROUND(Scores_2017!BC53,$A$1)</f>
        <v>44.44</v>
      </c>
      <c r="AP49" s="1">
        <f>ROUND(Scores_2017!BD53,$A$1)</f>
        <v>41.27</v>
      </c>
      <c r="AQ49" s="1">
        <f>ROUND(Scores_2017!BE53,$A$1)</f>
        <v>52.38</v>
      </c>
      <c r="AR49" s="1">
        <f>ROUND(Scores_2017!BF53,$A$1)</f>
        <v>4.76</v>
      </c>
      <c r="AS49" s="1">
        <f>ROUND(Scores_2017!BG53,$A$1)</f>
        <v>50.79</v>
      </c>
      <c r="AT49" s="1">
        <f>ROUND(Scores_2017!BH53,$A$1)</f>
        <v>46.83</v>
      </c>
      <c r="AU49" s="1">
        <f>ROUND(Scores_2017!BI53,$A$1)</f>
        <v>33.33</v>
      </c>
      <c r="AV49" s="1">
        <f>ROUND(Scores_2017!BJ53,$A$1)</f>
        <v>52.38</v>
      </c>
      <c r="AW49" s="1">
        <f>ROUND(Scores_2017!BK53,$A$1)</f>
        <v>76.19</v>
      </c>
      <c r="AX49" s="1">
        <f>ROUND(Scores_2017!BL53,$A$1)</f>
        <v>100</v>
      </c>
      <c r="AY49" s="1">
        <f>ROUND(Scores_2017!BM53,$A$1)</f>
        <v>84.13</v>
      </c>
      <c r="AZ49" s="1">
        <f>ROUND(Scores_2017!BN53,$A$1)</f>
        <v>57.14</v>
      </c>
      <c r="BA49" s="1">
        <f>ROUND(Scores_2017!BO53,$A$1)</f>
        <v>76.19</v>
      </c>
      <c r="BB49" s="1">
        <f>ROUND(Scores_2017!BP53,$A$1)</f>
        <v>92.06</v>
      </c>
      <c r="BC49" s="1">
        <f>ROUND(Scores_2017!BQ53,$A$1)</f>
        <v>50.79</v>
      </c>
      <c r="BD49" s="1">
        <f>ROUND(Scores_2017!BR53,$A$1)</f>
        <v>84.13</v>
      </c>
      <c r="BE49" s="1">
        <f>ROUND(Scores_2017!BS53,$A$1)</f>
        <v>60.32</v>
      </c>
      <c r="BF49" s="1">
        <f>ROUND(Scores_2017!BT53,$A$1)</f>
        <v>76.19</v>
      </c>
      <c r="BG49" s="1">
        <f>ROUND(Scores_2017!BU53,$A$1)</f>
        <v>76.19</v>
      </c>
      <c r="BH49" s="1">
        <f>ROUND(Scores_2017!BV53,$A$1)</f>
        <v>68.25</v>
      </c>
      <c r="BI49" s="1">
        <f>ROUND(Scores_2017!BW53,$A$1)</f>
        <v>13.49</v>
      </c>
      <c r="BJ49" s="1">
        <f>ROUND(Scores_2017!BX53,$A$1)</f>
        <v>84.13</v>
      </c>
      <c r="BL49" s="1">
        <f t="shared" si="1"/>
        <v>56.5965573770492</v>
      </c>
    </row>
    <row r="50" spans="1:64">
      <c r="A50" s="1" t="str">
        <f>Scores_2017!N54</f>
        <v>   4.1.7) Political stability risk</v>
      </c>
      <c r="B50" s="1">
        <f>ROUND(Scores_2017!P54,$A$1)</f>
        <v>55</v>
      </c>
      <c r="C50" s="1">
        <f>ROUND(Scores_2017!Q54,$A$1)</f>
        <v>80</v>
      </c>
      <c r="D50" s="1">
        <f>ROUND(Scores_2017!R54,$A$1)</f>
        <v>70</v>
      </c>
      <c r="E50" s="1">
        <f>ROUND(Scores_2017!S54,$A$1)</f>
        <v>40</v>
      </c>
      <c r="F50" s="1">
        <f>ROUND(Scores_2017!T54,$A$1)</f>
        <v>70</v>
      </c>
      <c r="G50" s="1">
        <f>ROUND(Scores_2017!U54,$A$1)</f>
        <v>45</v>
      </c>
      <c r="H50" s="1">
        <f>ROUND(Scores_2017!V54,$A$1)</f>
        <v>65</v>
      </c>
      <c r="I50" s="1">
        <f>ROUND(Scores_2017!W54,$A$1)</f>
        <v>75</v>
      </c>
      <c r="J50" s="1">
        <f>ROUND(Scores_2017!X54,$A$1)</f>
        <v>60</v>
      </c>
      <c r="K50" s="1">
        <f>ROUND(Scores_2017!Y54,$A$1)</f>
        <v>50</v>
      </c>
      <c r="L50" s="1">
        <f>ROUND(Scores_2017!Z54,$A$1)</f>
        <v>25</v>
      </c>
      <c r="M50" s="1">
        <f>ROUND(Scores_2017!AA54,$A$1)</f>
        <v>40</v>
      </c>
      <c r="N50" s="1">
        <f>ROUND(Scores_2017!AB54,$A$1)</f>
        <v>80</v>
      </c>
      <c r="O50" s="1">
        <f>ROUND(Scores_2017!AC54,$A$1)</f>
        <v>80</v>
      </c>
      <c r="P50" s="1">
        <f>ROUND(Scores_2017!AD54,$A$1)</f>
        <v>75</v>
      </c>
      <c r="Q50" s="1">
        <f>ROUND(Scores_2017!AE54,$A$1)</f>
        <v>45</v>
      </c>
      <c r="R50" s="1">
        <f>ROUND(Scores_2017!AF54,$A$1)</f>
        <v>60</v>
      </c>
      <c r="S50" s="1">
        <f>ROUND(Scores_2017!AG54,$A$1)</f>
        <v>85</v>
      </c>
      <c r="T50" s="1">
        <f>ROUND(Scores_2017!AH54,$A$1)</f>
        <v>45</v>
      </c>
      <c r="U50" s="1">
        <f>ROUND(Scores_2017!AI54,$A$1)</f>
        <v>60</v>
      </c>
      <c r="V50" s="1">
        <f>ROUND(Scores_2017!AJ54,$A$1)</f>
        <v>35</v>
      </c>
      <c r="W50" s="1">
        <f>ROUND(Scores_2017!AK54,$A$1)</f>
        <v>60</v>
      </c>
      <c r="X50" s="1">
        <f>ROUND(Scores_2017!AL54,$A$1)</f>
        <v>45</v>
      </c>
      <c r="Y50" s="1">
        <f>ROUND(Scores_2017!AM54,$A$1)</f>
        <v>65</v>
      </c>
      <c r="Z50" s="1">
        <f>ROUND(Scores_2017!AN54,$A$1)</f>
        <v>40</v>
      </c>
      <c r="AA50" s="1">
        <f>ROUND(Scores_2017!AO54,$A$1)</f>
        <v>65</v>
      </c>
      <c r="AB50" s="1">
        <f>ROUND(Scores_2017!AP54,$A$1)</f>
        <v>40</v>
      </c>
      <c r="AC50" s="1">
        <f>ROUND(Scores_2017!AQ54,$A$1)</f>
        <v>65</v>
      </c>
      <c r="AD50" s="1">
        <f>ROUND(Scores_2017!AR54,$A$1)</f>
        <v>75</v>
      </c>
      <c r="AE50" s="1">
        <f>ROUND(Scores_2017!AS54,$A$1)</f>
        <v>80</v>
      </c>
      <c r="AF50" s="1">
        <f>ROUND(Scores_2017!AT54,$A$1)</f>
        <v>70</v>
      </c>
      <c r="AG50" s="1">
        <f>ROUND(Scores_2017!AU54,$A$1)</f>
        <v>50</v>
      </c>
      <c r="AH50" s="1">
        <f>ROUND(Scores_2017!AV54,$A$1)</f>
        <v>90</v>
      </c>
      <c r="AI50" s="1">
        <f>ROUND(Scores_2017!AW54,$A$1)</f>
        <v>50</v>
      </c>
      <c r="AJ50" s="1">
        <f>ROUND(Scores_2017!AX54,$A$1)</f>
        <v>60</v>
      </c>
      <c r="AK50" s="1">
        <f>ROUND(Scores_2017!AY54,$A$1)</f>
        <v>40</v>
      </c>
      <c r="AL50" s="1">
        <f>ROUND(Scores_2017!AZ54,$A$1)</f>
        <v>75</v>
      </c>
      <c r="AM50" s="1">
        <f>ROUND(Scores_2017!BA54,$A$1)</f>
        <v>80</v>
      </c>
      <c r="AN50" s="1">
        <f>ROUND(Scores_2017!BB54,$A$1)</f>
        <v>85</v>
      </c>
      <c r="AO50" s="1">
        <f>ROUND(Scores_2017!BC54,$A$1)</f>
        <v>65</v>
      </c>
      <c r="AP50" s="1">
        <f>ROUND(Scores_2017!BD54,$A$1)</f>
        <v>50</v>
      </c>
      <c r="AQ50" s="1">
        <f>ROUND(Scores_2017!BE54,$A$1)</f>
        <v>60</v>
      </c>
      <c r="AR50" s="1">
        <f>ROUND(Scores_2017!BF54,$A$1)</f>
        <v>45</v>
      </c>
      <c r="AS50" s="1">
        <f>ROUND(Scores_2017!BG54,$A$1)</f>
        <v>60</v>
      </c>
      <c r="AT50" s="1">
        <f>ROUND(Scores_2017!BH54,$A$1)</f>
        <v>80</v>
      </c>
      <c r="AU50" s="1">
        <f>ROUND(Scores_2017!BI54,$A$1)</f>
        <v>80</v>
      </c>
      <c r="AV50" s="1">
        <f>ROUND(Scores_2017!BJ54,$A$1)</f>
        <v>60</v>
      </c>
      <c r="AW50" s="1">
        <f>ROUND(Scores_2017!BK54,$A$1)</f>
        <v>55</v>
      </c>
      <c r="AX50" s="1">
        <f>ROUND(Scores_2017!BL54,$A$1)</f>
        <v>45</v>
      </c>
      <c r="AY50" s="1">
        <f>ROUND(Scores_2017!BM54,$A$1)</f>
        <v>80</v>
      </c>
      <c r="AZ50" s="1">
        <f>ROUND(Scores_2017!BN54,$A$1)</f>
        <v>85</v>
      </c>
      <c r="BA50" s="1">
        <f>ROUND(Scores_2017!BO54,$A$1)</f>
        <v>90</v>
      </c>
      <c r="BB50" s="1">
        <f>ROUND(Scores_2017!BP54,$A$1)</f>
        <v>65</v>
      </c>
      <c r="BC50" s="1">
        <f>ROUND(Scores_2017!BQ54,$A$1)</f>
        <v>30</v>
      </c>
      <c r="BD50" s="1">
        <f>ROUND(Scores_2017!BR54,$A$1)</f>
        <v>85</v>
      </c>
      <c r="BE50" s="1">
        <f>ROUND(Scores_2017!BS54,$A$1)</f>
        <v>95</v>
      </c>
      <c r="BF50" s="1">
        <f>ROUND(Scores_2017!BT54,$A$1)</f>
        <v>80</v>
      </c>
      <c r="BG50" s="1">
        <f>ROUND(Scores_2017!BU54,$A$1)</f>
        <v>85</v>
      </c>
      <c r="BH50" s="1">
        <f>ROUND(Scores_2017!BV54,$A$1)</f>
        <v>50</v>
      </c>
      <c r="BI50" s="1">
        <f>ROUND(Scores_2017!BW54,$A$1)</f>
        <v>85</v>
      </c>
      <c r="BJ50" s="1">
        <f>ROUND(Scores_2017!BX54,$A$1)</f>
        <v>85</v>
      </c>
      <c r="BL50" s="1">
        <f t="shared" si="1"/>
        <v>63.7704918032787</v>
      </c>
    </row>
    <row r="51" spans="1:64">
      <c r="A51" s="1" t="str">
        <f>Scores_2017!N55</f>
        <v>  4.2) Personal security (Outputs)</v>
      </c>
      <c r="B51" s="1">
        <f>ROUND(Scores_2017!P55,$A$1)</f>
        <v>86.1</v>
      </c>
      <c r="C51" s="1">
        <f>ROUND(Scores_2017!Q55,$A$1)</f>
        <v>82.24</v>
      </c>
      <c r="D51" s="1">
        <f>ROUND(Scores_2017!R55,$A$1)</f>
        <v>73.53</v>
      </c>
      <c r="E51" s="1">
        <f>ROUND(Scores_2017!S55,$A$1)</f>
        <v>59.99</v>
      </c>
      <c r="F51" s="1">
        <f>ROUND(Scores_2017!T55,$A$1)</f>
        <v>79.61</v>
      </c>
      <c r="G51" s="1">
        <f>ROUND(Scores_2017!U55,$A$1)</f>
        <v>76.53</v>
      </c>
      <c r="H51" s="1">
        <f>ROUND(Scores_2017!V55,$A$1)</f>
        <v>46.13</v>
      </c>
      <c r="I51" s="1">
        <f>ROUND(Scores_2017!W55,$A$1)</f>
        <v>80.78</v>
      </c>
      <c r="J51" s="1">
        <f>ROUND(Scores_2017!X55,$A$1)</f>
        <v>68.51</v>
      </c>
      <c r="K51" s="1">
        <f>ROUND(Scores_2017!Y55,$A$1)</f>
        <v>62.18</v>
      </c>
      <c r="L51" s="1">
        <f>ROUND(Scores_2017!Z55,$A$1)</f>
        <v>42.5</v>
      </c>
      <c r="M51" s="1">
        <f>ROUND(Scores_2017!AA55,$A$1)</f>
        <v>68.07</v>
      </c>
      <c r="N51" s="1">
        <f>ROUND(Scores_2017!AB55,$A$1)</f>
        <v>76.92</v>
      </c>
      <c r="O51" s="1">
        <f>ROUND(Scores_2017!AC55,$A$1)</f>
        <v>78.66</v>
      </c>
      <c r="P51" s="1">
        <f>ROUND(Scores_2017!AD55,$A$1)</f>
        <v>64.05</v>
      </c>
      <c r="Q51" s="1">
        <f>ROUND(Scores_2017!AE55,$A$1)</f>
        <v>59.85</v>
      </c>
      <c r="R51" s="1">
        <f>ROUND(Scores_2017!AF55,$A$1)</f>
        <v>83.45</v>
      </c>
      <c r="S51" s="1">
        <f>ROUND(Scores_2017!AG55,$A$1)</f>
        <v>81.67</v>
      </c>
      <c r="T51" s="1">
        <f>ROUND(Scores_2017!AH55,$A$1)</f>
        <v>66.06</v>
      </c>
      <c r="U51" s="1">
        <f>ROUND(Scores_2017!AI55,$A$1)</f>
        <v>87.49</v>
      </c>
      <c r="V51" s="1">
        <f>ROUND(Scores_2017!AJ55,$A$1)</f>
        <v>59.9</v>
      </c>
      <c r="W51" s="1">
        <f>ROUND(Scores_2017!AK55,$A$1)</f>
        <v>63.54</v>
      </c>
      <c r="X51" s="1">
        <f>ROUND(Scores_2017!AL55,$A$1)</f>
        <v>77.27</v>
      </c>
      <c r="Y51" s="1">
        <f>ROUND(Scores_2017!AM55,$A$1)</f>
        <v>54.2</v>
      </c>
      <c r="Z51" s="1">
        <f>ROUND(Scores_2017!AN55,$A$1)</f>
        <v>26.68</v>
      </c>
      <c r="AA51" s="1">
        <f>ROUND(Scores_2017!AO55,$A$1)</f>
        <v>77.58</v>
      </c>
      <c r="AB51" s="1">
        <f>ROUND(Scores_2017!AP55,$A$1)</f>
        <v>80.21</v>
      </c>
      <c r="AC51" s="1">
        <f>ROUND(Scores_2017!AQ55,$A$1)</f>
        <v>60.63</v>
      </c>
      <c r="AD51" s="1">
        <f>ROUND(Scores_2017!AR55,$A$1)</f>
        <v>76.87</v>
      </c>
      <c r="AE51" s="1">
        <f>ROUND(Scores_2017!AS55,$A$1)</f>
        <v>77.26</v>
      </c>
      <c r="AF51" s="1">
        <f>ROUND(Scores_2017!AT55,$A$1)</f>
        <v>80.26</v>
      </c>
      <c r="AG51" s="1">
        <f>ROUND(Scores_2017!AU55,$A$1)</f>
        <v>63.69</v>
      </c>
      <c r="AH51" s="1">
        <f>ROUND(Scores_2017!AV55,$A$1)</f>
        <v>81.87</v>
      </c>
      <c r="AI51" s="1">
        <f>ROUND(Scores_2017!AW55,$A$1)</f>
        <v>51.24</v>
      </c>
      <c r="AJ51" s="1">
        <f>ROUND(Scores_2017!AX55,$A$1)</f>
        <v>73.55</v>
      </c>
      <c r="AK51" s="1">
        <f>ROUND(Scores_2017!AY55,$A$1)</f>
        <v>59.04</v>
      </c>
      <c r="AL51" s="1">
        <f>ROUND(Scores_2017!AZ55,$A$1)</f>
        <v>66.62</v>
      </c>
      <c r="AM51" s="1">
        <f>ROUND(Scores_2017!BA55,$A$1)</f>
        <v>74.11</v>
      </c>
      <c r="AN51" s="1">
        <f>ROUND(Scores_2017!BB55,$A$1)</f>
        <v>87.59</v>
      </c>
      <c r="AO51" s="1">
        <f>ROUND(Scores_2017!BC55,$A$1)</f>
        <v>74.53</v>
      </c>
      <c r="AP51" s="1">
        <f>ROUND(Scores_2017!BD55,$A$1)</f>
        <v>62.07</v>
      </c>
      <c r="AQ51" s="1">
        <f>ROUND(Scores_2017!BE55,$A$1)</f>
        <v>59.36</v>
      </c>
      <c r="AR51" s="1">
        <f>ROUND(Scores_2017!BF55,$A$1)</f>
        <v>79.25</v>
      </c>
      <c r="AS51" s="1">
        <f>ROUND(Scores_2017!BG55,$A$1)</f>
        <v>68.67</v>
      </c>
      <c r="AT51" s="1">
        <f>ROUND(Scores_2017!BH55,$A$1)</f>
        <v>77.93</v>
      </c>
      <c r="AU51" s="1">
        <f>ROUND(Scores_2017!BI55,$A$1)</f>
        <v>75.85</v>
      </c>
      <c r="AV51" s="1">
        <f>ROUND(Scores_2017!BJ55,$A$1)</f>
        <v>59.82</v>
      </c>
      <c r="AW51" s="1">
        <f>ROUND(Scores_2017!BK55,$A$1)</f>
        <v>80.51</v>
      </c>
      <c r="AX51" s="1">
        <f>ROUND(Scores_2017!BL55,$A$1)</f>
        <v>75.13</v>
      </c>
      <c r="AY51" s="1">
        <f>ROUND(Scores_2017!BM55,$A$1)</f>
        <v>95.01</v>
      </c>
      <c r="AZ51" s="1">
        <f>ROUND(Scores_2017!BN55,$A$1)</f>
        <v>91.28</v>
      </c>
      <c r="BA51" s="1">
        <f>ROUND(Scores_2017!BO55,$A$1)</f>
        <v>77.75</v>
      </c>
      <c r="BB51" s="1">
        <f>ROUND(Scores_2017!BP55,$A$1)</f>
        <v>86.17</v>
      </c>
      <c r="BC51" s="1">
        <f>ROUND(Scores_2017!BQ55,$A$1)</f>
        <v>71.1</v>
      </c>
      <c r="BD51" s="1">
        <f>ROUND(Scores_2017!BR55,$A$1)</f>
        <v>87.55</v>
      </c>
      <c r="BE51" s="1">
        <f>ROUND(Scores_2017!BS55,$A$1)</f>
        <v>89.42</v>
      </c>
      <c r="BF51" s="1">
        <f>ROUND(Scores_2017!BT55,$A$1)</f>
        <v>75.91</v>
      </c>
      <c r="BG51" s="1">
        <f>ROUND(Scores_2017!BU55,$A$1)</f>
        <v>90.1</v>
      </c>
      <c r="BH51" s="1">
        <f>ROUND(Scores_2017!BV55,$A$1)</f>
        <v>66.54</v>
      </c>
      <c r="BI51" s="1">
        <f>ROUND(Scores_2017!BW55,$A$1)</f>
        <v>89.08</v>
      </c>
      <c r="BJ51" s="1">
        <f>ROUND(Scores_2017!BX55,$A$1)</f>
        <v>87.59</v>
      </c>
      <c r="BL51" s="1">
        <f t="shared" si="1"/>
        <v>72.738524590164</v>
      </c>
    </row>
    <row r="52" spans="1:64">
      <c r="A52" s="1" t="str">
        <f>Scores_2017!N56</f>
        <v>   4.2.1) Prevalence of petty crime</v>
      </c>
      <c r="B52" s="1">
        <f>ROUND(Scores_2017!P56,$A$1)</f>
        <v>75</v>
      </c>
      <c r="C52" s="1">
        <f>ROUND(Scores_2017!Q56,$A$1)</f>
        <v>50</v>
      </c>
      <c r="D52" s="1">
        <f>ROUND(Scores_2017!R56,$A$1)</f>
        <v>75</v>
      </c>
      <c r="E52" s="1">
        <f>ROUND(Scores_2017!S56,$A$1)</f>
        <v>50</v>
      </c>
      <c r="F52" s="1">
        <f>ROUND(Scores_2017!T56,$A$1)</f>
        <v>75</v>
      </c>
      <c r="G52" s="1">
        <f>ROUND(Scores_2017!U56,$A$1)</f>
        <v>50</v>
      </c>
      <c r="H52" s="1">
        <f>ROUND(Scores_2017!V56,$A$1)</f>
        <v>0</v>
      </c>
      <c r="I52" s="1">
        <f>ROUND(Scores_2017!W56,$A$1)</f>
        <v>75</v>
      </c>
      <c r="J52" s="1">
        <f>ROUND(Scores_2017!X56,$A$1)</f>
        <v>50</v>
      </c>
      <c r="K52" s="1">
        <f>ROUND(Scores_2017!Y56,$A$1)</f>
        <v>50</v>
      </c>
      <c r="L52" s="1">
        <f>ROUND(Scores_2017!Z56,$A$1)</f>
        <v>0</v>
      </c>
      <c r="M52" s="1">
        <f>ROUND(Scores_2017!AA56,$A$1)</f>
        <v>75</v>
      </c>
      <c r="N52" s="1">
        <f>ROUND(Scores_2017!AB56,$A$1)</f>
        <v>75</v>
      </c>
      <c r="O52" s="1">
        <f>ROUND(Scores_2017!AC56,$A$1)</f>
        <v>75</v>
      </c>
      <c r="P52" s="1">
        <f>ROUND(Scores_2017!AD56,$A$1)</f>
        <v>50</v>
      </c>
      <c r="Q52" s="1">
        <f>ROUND(Scores_2017!AE56,$A$1)</f>
        <v>50</v>
      </c>
      <c r="R52" s="1">
        <f>ROUND(Scores_2017!AF56,$A$1)</f>
        <v>75</v>
      </c>
      <c r="S52" s="1">
        <f>ROUND(Scores_2017!AG56,$A$1)</f>
        <v>75</v>
      </c>
      <c r="T52" s="1">
        <f>ROUND(Scores_2017!AH56,$A$1)</f>
        <v>25</v>
      </c>
      <c r="U52" s="1">
        <f>ROUND(Scores_2017!AI56,$A$1)</f>
        <v>75</v>
      </c>
      <c r="V52" s="1">
        <f>ROUND(Scores_2017!AJ56,$A$1)</f>
        <v>50</v>
      </c>
      <c r="W52" s="1">
        <f>ROUND(Scores_2017!AK56,$A$1)</f>
        <v>25</v>
      </c>
      <c r="X52" s="1">
        <f>ROUND(Scores_2017!AL56,$A$1)</f>
        <v>75</v>
      </c>
      <c r="Y52" s="1">
        <f>ROUND(Scores_2017!AM56,$A$1)</f>
        <v>0</v>
      </c>
      <c r="Z52" s="1">
        <f>ROUND(Scores_2017!AN56,$A$1)</f>
        <v>25</v>
      </c>
      <c r="AA52" s="1">
        <f>ROUND(Scores_2017!AO56,$A$1)</f>
        <v>50</v>
      </c>
      <c r="AB52" s="1">
        <f>ROUND(Scores_2017!AP56,$A$1)</f>
        <v>75</v>
      </c>
      <c r="AC52" s="1">
        <f>ROUND(Scores_2017!AQ56,$A$1)</f>
        <v>50</v>
      </c>
      <c r="AD52" s="1">
        <f>ROUND(Scores_2017!AR56,$A$1)</f>
        <v>50</v>
      </c>
      <c r="AE52" s="1">
        <f>ROUND(Scores_2017!AS56,$A$1)</f>
        <v>75</v>
      </c>
      <c r="AF52" s="1">
        <f>ROUND(Scores_2017!AT56,$A$1)</f>
        <v>75</v>
      </c>
      <c r="AG52" s="1">
        <f>ROUND(Scores_2017!AU56,$A$1)</f>
        <v>50</v>
      </c>
      <c r="AH52" s="1">
        <f>ROUND(Scores_2017!AV56,$A$1)</f>
        <v>75</v>
      </c>
      <c r="AI52" s="1">
        <f>ROUND(Scores_2017!AW56,$A$1)</f>
        <v>0</v>
      </c>
      <c r="AJ52" s="1">
        <f>ROUND(Scores_2017!AX56,$A$1)</f>
        <v>75</v>
      </c>
      <c r="AK52" s="1">
        <f>ROUND(Scores_2017!AY56,$A$1)</f>
        <v>50</v>
      </c>
      <c r="AL52" s="1">
        <f>ROUND(Scores_2017!AZ56,$A$1)</f>
        <v>25</v>
      </c>
      <c r="AM52" s="1">
        <f>ROUND(Scores_2017!BA56,$A$1)</f>
        <v>50</v>
      </c>
      <c r="AN52" s="1">
        <f>ROUND(Scores_2017!BB56,$A$1)</f>
        <v>75</v>
      </c>
      <c r="AO52" s="1">
        <f>ROUND(Scores_2017!BC56,$A$1)</f>
        <v>75</v>
      </c>
      <c r="AP52" s="1">
        <f>ROUND(Scores_2017!BD56,$A$1)</f>
        <v>0</v>
      </c>
      <c r="AQ52" s="1">
        <f>ROUND(Scores_2017!BE56,$A$1)</f>
        <v>25</v>
      </c>
      <c r="AR52" s="1">
        <f>ROUND(Scores_2017!BF56,$A$1)</f>
        <v>75</v>
      </c>
      <c r="AS52" s="1">
        <f>ROUND(Scores_2017!BG56,$A$1)</f>
        <v>50</v>
      </c>
      <c r="AT52" s="1">
        <f>ROUND(Scores_2017!BH56,$A$1)</f>
        <v>75</v>
      </c>
      <c r="AU52" s="1">
        <f>ROUND(Scores_2017!BI56,$A$1)</f>
        <v>50</v>
      </c>
      <c r="AV52" s="1">
        <f>ROUND(Scores_2017!BJ56,$A$1)</f>
        <v>25</v>
      </c>
      <c r="AW52" s="1">
        <f>ROUND(Scores_2017!BK56,$A$1)</f>
        <v>75</v>
      </c>
      <c r="AX52" s="1">
        <f>ROUND(Scores_2017!BL56,$A$1)</f>
        <v>50</v>
      </c>
      <c r="AY52" s="1">
        <f>ROUND(Scores_2017!BM56,$A$1)</f>
        <v>100</v>
      </c>
      <c r="AZ52" s="1">
        <f>ROUND(Scores_2017!BN56,$A$1)</f>
        <v>75</v>
      </c>
      <c r="BA52" s="1">
        <f>ROUND(Scores_2017!BO56,$A$1)</f>
        <v>75</v>
      </c>
      <c r="BB52" s="1">
        <f>ROUND(Scores_2017!BP56,$A$1)</f>
        <v>75</v>
      </c>
      <c r="BC52" s="1">
        <f>ROUND(Scores_2017!BQ56,$A$1)</f>
        <v>50</v>
      </c>
      <c r="BD52" s="1">
        <f>ROUND(Scores_2017!BR56,$A$1)</f>
        <v>75</v>
      </c>
      <c r="BE52" s="1">
        <f>ROUND(Scores_2017!BS56,$A$1)</f>
        <v>100</v>
      </c>
      <c r="BF52" s="1">
        <f>ROUND(Scores_2017!BT56,$A$1)</f>
        <v>75</v>
      </c>
      <c r="BG52" s="1">
        <f>ROUND(Scores_2017!BU56,$A$1)</f>
        <v>75</v>
      </c>
      <c r="BH52" s="1">
        <f>ROUND(Scores_2017!BV56,$A$1)</f>
        <v>50</v>
      </c>
      <c r="BI52" s="1">
        <f>ROUND(Scores_2017!BW56,$A$1)</f>
        <v>75</v>
      </c>
      <c r="BJ52" s="1">
        <f>ROUND(Scores_2017!BX56,$A$1)</f>
        <v>75</v>
      </c>
      <c r="BL52" s="1">
        <f t="shared" si="1"/>
        <v>56.9672131147541</v>
      </c>
    </row>
    <row r="53" spans="1:64">
      <c r="A53" s="1" t="str">
        <f>Scores_2017!N57</f>
        <v>   4.2.2) Prevalence of violent crime</v>
      </c>
      <c r="B53" s="1">
        <f>ROUND(Scores_2017!P57,$A$1)</f>
        <v>100</v>
      </c>
      <c r="C53" s="1">
        <f>ROUND(Scores_2017!Q57,$A$1)</f>
        <v>75</v>
      </c>
      <c r="D53" s="1">
        <f>ROUND(Scores_2017!R57,$A$1)</f>
        <v>100</v>
      </c>
      <c r="E53" s="1">
        <f>ROUND(Scores_2017!S57,$A$1)</f>
        <v>75</v>
      </c>
      <c r="F53" s="1">
        <f>ROUND(Scores_2017!T57,$A$1)</f>
        <v>75</v>
      </c>
      <c r="G53" s="1">
        <f>ROUND(Scores_2017!U57,$A$1)</f>
        <v>75</v>
      </c>
      <c r="H53" s="1">
        <f>ROUND(Scores_2017!V57,$A$1)</f>
        <v>25</v>
      </c>
      <c r="I53" s="1">
        <f>ROUND(Scores_2017!W57,$A$1)</f>
        <v>75</v>
      </c>
      <c r="J53" s="1">
        <f>ROUND(Scores_2017!X57,$A$1)</f>
        <v>50</v>
      </c>
      <c r="K53" s="1">
        <f>ROUND(Scores_2017!Y57,$A$1)</f>
        <v>75</v>
      </c>
      <c r="L53" s="1">
        <f>ROUND(Scores_2017!Z57,$A$1)</f>
        <v>0</v>
      </c>
      <c r="M53" s="1">
        <f>ROUND(Scores_2017!AA57,$A$1)</f>
        <v>75</v>
      </c>
      <c r="N53" s="1">
        <f>ROUND(Scores_2017!AB57,$A$1)</f>
        <v>75</v>
      </c>
      <c r="O53" s="1">
        <f>ROUND(Scores_2017!AC57,$A$1)</f>
        <v>50</v>
      </c>
      <c r="P53" s="1">
        <f>ROUND(Scores_2017!AD57,$A$1)</f>
        <v>50</v>
      </c>
      <c r="Q53" s="1">
        <f>ROUND(Scores_2017!AE57,$A$1)</f>
        <v>50</v>
      </c>
      <c r="R53" s="1">
        <f>ROUND(Scores_2017!AF57,$A$1)</f>
        <v>100</v>
      </c>
      <c r="S53" s="1">
        <f>ROUND(Scores_2017!AG57,$A$1)</f>
        <v>75</v>
      </c>
      <c r="T53" s="1">
        <f>ROUND(Scores_2017!AH57,$A$1)</f>
        <v>50</v>
      </c>
      <c r="U53" s="1">
        <f>ROUND(Scores_2017!AI57,$A$1)</f>
        <v>100</v>
      </c>
      <c r="V53" s="1">
        <f>ROUND(Scores_2017!AJ57,$A$1)</f>
        <v>50</v>
      </c>
      <c r="W53" s="1">
        <f>ROUND(Scores_2017!AK57,$A$1)</f>
        <v>75</v>
      </c>
      <c r="X53" s="1">
        <f>ROUND(Scores_2017!AL57,$A$1)</f>
        <v>100</v>
      </c>
      <c r="Y53" s="1">
        <f>ROUND(Scores_2017!AM57,$A$1)</f>
        <v>25</v>
      </c>
      <c r="Z53" s="1">
        <f>ROUND(Scores_2017!AN57,$A$1)</f>
        <v>25</v>
      </c>
      <c r="AA53" s="1">
        <f>ROUND(Scores_2017!AO57,$A$1)</f>
        <v>75</v>
      </c>
      <c r="AB53" s="1">
        <f>ROUND(Scores_2017!AP57,$A$1)</f>
        <v>100</v>
      </c>
      <c r="AC53" s="1">
        <f>ROUND(Scores_2017!AQ57,$A$1)</f>
        <v>50</v>
      </c>
      <c r="AD53" s="1">
        <f>ROUND(Scores_2017!AR57,$A$1)</f>
        <v>75</v>
      </c>
      <c r="AE53" s="1">
        <f>ROUND(Scores_2017!AS57,$A$1)</f>
        <v>75</v>
      </c>
      <c r="AF53" s="1">
        <f>ROUND(Scores_2017!AT57,$A$1)</f>
        <v>75</v>
      </c>
      <c r="AG53" s="1">
        <f>ROUND(Scores_2017!AU57,$A$1)</f>
        <v>75</v>
      </c>
      <c r="AH53" s="1">
        <f>ROUND(Scores_2017!AV57,$A$1)</f>
        <v>100</v>
      </c>
      <c r="AI53" s="1">
        <f>ROUND(Scores_2017!AW57,$A$1)</f>
        <v>0</v>
      </c>
      <c r="AJ53" s="1">
        <f>ROUND(Scores_2017!AX57,$A$1)</f>
        <v>75</v>
      </c>
      <c r="AK53" s="1">
        <f>ROUND(Scores_2017!AY57,$A$1)</f>
        <v>75</v>
      </c>
      <c r="AL53" s="1">
        <f>ROUND(Scores_2017!AZ57,$A$1)</f>
        <v>75</v>
      </c>
      <c r="AM53" s="1">
        <f>ROUND(Scores_2017!BA57,$A$1)</f>
        <v>75</v>
      </c>
      <c r="AN53" s="1">
        <f>ROUND(Scores_2017!BB57,$A$1)</f>
        <v>100</v>
      </c>
      <c r="AO53" s="1">
        <f>ROUND(Scores_2017!BC57,$A$1)</f>
        <v>75</v>
      </c>
      <c r="AP53" s="1">
        <f>ROUND(Scores_2017!BD57,$A$1)</f>
        <v>25</v>
      </c>
      <c r="AQ53" s="1">
        <f>ROUND(Scores_2017!BE57,$A$1)</f>
        <v>25</v>
      </c>
      <c r="AR53" s="1">
        <f>ROUND(Scores_2017!BF57,$A$1)</f>
        <v>100</v>
      </c>
      <c r="AS53" s="1">
        <f>ROUND(Scores_2017!BG57,$A$1)</f>
        <v>75</v>
      </c>
      <c r="AT53" s="1">
        <f>ROUND(Scores_2017!BH57,$A$1)</f>
        <v>75</v>
      </c>
      <c r="AU53" s="1">
        <f>ROUND(Scores_2017!BI57,$A$1)</f>
        <v>50</v>
      </c>
      <c r="AV53" s="1">
        <f>ROUND(Scores_2017!BJ57,$A$1)</f>
        <v>25</v>
      </c>
      <c r="AW53" s="1">
        <f>ROUND(Scores_2017!BK57,$A$1)</f>
        <v>100</v>
      </c>
      <c r="AX53" s="1">
        <f>ROUND(Scores_2017!BL57,$A$1)</f>
        <v>75</v>
      </c>
      <c r="AY53" s="1">
        <f>ROUND(Scores_2017!BM57,$A$1)</f>
        <v>100</v>
      </c>
      <c r="AZ53" s="1">
        <f>ROUND(Scores_2017!BN57,$A$1)</f>
        <v>100</v>
      </c>
      <c r="BA53" s="1">
        <f>ROUND(Scores_2017!BO57,$A$1)</f>
        <v>75</v>
      </c>
      <c r="BB53" s="1">
        <f>ROUND(Scores_2017!BP57,$A$1)</f>
        <v>75</v>
      </c>
      <c r="BC53" s="1">
        <f>ROUND(Scores_2017!BQ57,$A$1)</f>
        <v>75</v>
      </c>
      <c r="BD53" s="1">
        <f>ROUND(Scores_2017!BR57,$A$1)</f>
        <v>100</v>
      </c>
      <c r="BE53" s="1">
        <f>ROUND(Scores_2017!BS57,$A$1)</f>
        <v>100</v>
      </c>
      <c r="BF53" s="1">
        <f>ROUND(Scores_2017!BT57,$A$1)</f>
        <v>75</v>
      </c>
      <c r="BG53" s="1">
        <f>ROUND(Scores_2017!BU57,$A$1)</f>
        <v>100</v>
      </c>
      <c r="BH53" s="1">
        <f>ROUND(Scores_2017!BV57,$A$1)</f>
        <v>75</v>
      </c>
      <c r="BI53" s="1">
        <f>ROUND(Scores_2017!BW57,$A$1)</f>
        <v>100</v>
      </c>
      <c r="BJ53" s="1">
        <f>ROUND(Scores_2017!BX57,$A$1)</f>
        <v>100</v>
      </c>
      <c r="BL53" s="1">
        <f t="shared" si="1"/>
        <v>71.3114754098361</v>
      </c>
    </row>
    <row r="54" spans="1:64">
      <c r="A54" s="1" t="str">
        <f>Scores_2017!N58</f>
        <v>   4.2.3) Organised crime</v>
      </c>
      <c r="B54" s="1">
        <f>ROUND(Scores_2017!P58,$A$1)</f>
        <v>75</v>
      </c>
      <c r="C54" s="1">
        <f>ROUND(Scores_2017!Q58,$A$1)</f>
        <v>100</v>
      </c>
      <c r="D54" s="1">
        <f>ROUND(Scores_2017!R58,$A$1)</f>
        <v>50</v>
      </c>
      <c r="E54" s="1">
        <f>ROUND(Scores_2017!S58,$A$1)</f>
        <v>50</v>
      </c>
      <c r="F54" s="1">
        <f>ROUND(Scores_2017!T58,$A$1)</f>
        <v>75</v>
      </c>
      <c r="G54" s="1">
        <f>ROUND(Scores_2017!U58,$A$1)</f>
        <v>50</v>
      </c>
      <c r="H54" s="1">
        <f>ROUND(Scores_2017!V58,$A$1)</f>
        <v>25</v>
      </c>
      <c r="I54" s="1">
        <f>ROUND(Scores_2017!W58,$A$1)</f>
        <v>75</v>
      </c>
      <c r="J54" s="1">
        <f>ROUND(Scores_2017!X58,$A$1)</f>
        <v>50</v>
      </c>
      <c r="K54" s="1">
        <f>ROUND(Scores_2017!Y58,$A$1)</f>
        <v>50</v>
      </c>
      <c r="L54" s="1">
        <f>ROUND(Scores_2017!Z58,$A$1)</f>
        <v>0</v>
      </c>
      <c r="M54" s="1">
        <f>ROUND(Scores_2017!AA58,$A$1)</f>
        <v>25</v>
      </c>
      <c r="N54" s="1">
        <f>ROUND(Scores_2017!AB58,$A$1)</f>
        <v>75</v>
      </c>
      <c r="O54" s="1">
        <f>ROUND(Scores_2017!AC58,$A$1)</f>
        <v>75</v>
      </c>
      <c r="P54" s="1">
        <f>ROUND(Scores_2017!AD58,$A$1)</f>
        <v>50</v>
      </c>
      <c r="Q54" s="1">
        <f>ROUND(Scores_2017!AE58,$A$1)</f>
        <v>75</v>
      </c>
      <c r="R54" s="1">
        <f>ROUND(Scores_2017!AF58,$A$1)</f>
        <v>100</v>
      </c>
      <c r="S54" s="1">
        <f>ROUND(Scores_2017!AG58,$A$1)</f>
        <v>75</v>
      </c>
      <c r="T54" s="1">
        <f>ROUND(Scores_2017!AH58,$A$1)</f>
        <v>50</v>
      </c>
      <c r="U54" s="1">
        <f>ROUND(Scores_2017!AI58,$A$1)</f>
        <v>75</v>
      </c>
      <c r="V54" s="1">
        <f>ROUND(Scores_2017!AJ58,$A$1)</f>
        <v>50</v>
      </c>
      <c r="W54" s="1">
        <f>ROUND(Scores_2017!AK58,$A$1)</f>
        <v>50</v>
      </c>
      <c r="X54" s="1">
        <f>ROUND(Scores_2017!AL58,$A$1)</f>
        <v>75</v>
      </c>
      <c r="Y54" s="1">
        <f>ROUND(Scores_2017!AM58,$A$1)</f>
        <v>25</v>
      </c>
      <c r="Z54" s="1">
        <f>ROUND(Scores_2017!AN58,$A$1)</f>
        <v>25</v>
      </c>
      <c r="AA54" s="1">
        <f>ROUND(Scores_2017!AO58,$A$1)</f>
        <v>75</v>
      </c>
      <c r="AB54" s="1">
        <f>ROUND(Scores_2017!AP58,$A$1)</f>
        <v>75</v>
      </c>
      <c r="AC54" s="1">
        <f>ROUND(Scores_2017!AQ58,$A$1)</f>
        <v>25</v>
      </c>
      <c r="AD54" s="1">
        <f>ROUND(Scores_2017!AR58,$A$1)</f>
        <v>75</v>
      </c>
      <c r="AE54" s="1">
        <f>ROUND(Scores_2017!AS58,$A$1)</f>
        <v>75</v>
      </c>
      <c r="AF54" s="1">
        <f>ROUND(Scores_2017!AT58,$A$1)</f>
        <v>75</v>
      </c>
      <c r="AG54" s="1">
        <f>ROUND(Scores_2017!AU58,$A$1)</f>
        <v>25</v>
      </c>
      <c r="AH54" s="1">
        <f>ROUND(Scores_2017!AV58,$A$1)</f>
        <v>75</v>
      </c>
      <c r="AI54" s="1">
        <f>ROUND(Scores_2017!AW58,$A$1)</f>
        <v>0</v>
      </c>
      <c r="AJ54" s="1">
        <f>ROUND(Scores_2017!AX58,$A$1)</f>
        <v>25</v>
      </c>
      <c r="AK54" s="1">
        <f>ROUND(Scores_2017!AY58,$A$1)</f>
        <v>25</v>
      </c>
      <c r="AL54" s="1">
        <f>ROUND(Scores_2017!AZ58,$A$1)</f>
        <v>50</v>
      </c>
      <c r="AM54" s="1">
        <f>ROUND(Scores_2017!BA58,$A$1)</f>
        <v>75</v>
      </c>
      <c r="AN54" s="1">
        <f>ROUND(Scores_2017!BB58,$A$1)</f>
        <v>50</v>
      </c>
      <c r="AO54" s="1">
        <f>ROUND(Scores_2017!BC58,$A$1)</f>
        <v>75</v>
      </c>
      <c r="AP54" s="1">
        <f>ROUND(Scores_2017!BD58,$A$1)</f>
        <v>50</v>
      </c>
      <c r="AQ54" s="1">
        <f>ROUND(Scores_2017!BE58,$A$1)</f>
        <v>50</v>
      </c>
      <c r="AR54" s="1">
        <f>ROUND(Scores_2017!BF58,$A$1)</f>
        <v>75</v>
      </c>
      <c r="AS54" s="1">
        <f>ROUND(Scores_2017!BG58,$A$1)</f>
        <v>25</v>
      </c>
      <c r="AT54" s="1">
        <f>ROUND(Scores_2017!BH58,$A$1)</f>
        <v>75</v>
      </c>
      <c r="AU54" s="1">
        <f>ROUND(Scores_2017!BI58,$A$1)</f>
        <v>75</v>
      </c>
      <c r="AV54" s="1">
        <f>ROUND(Scores_2017!BJ58,$A$1)</f>
        <v>50</v>
      </c>
      <c r="AW54" s="1">
        <f>ROUND(Scores_2017!BK58,$A$1)</f>
        <v>75</v>
      </c>
      <c r="AX54" s="1">
        <f>ROUND(Scores_2017!BL58,$A$1)</f>
        <v>50</v>
      </c>
      <c r="AY54" s="1">
        <f>ROUND(Scores_2017!BM58,$A$1)</f>
        <v>100</v>
      </c>
      <c r="AZ54" s="1">
        <f>ROUND(Scores_2017!BN58,$A$1)</f>
        <v>100</v>
      </c>
      <c r="BA54" s="1">
        <f>ROUND(Scores_2017!BO58,$A$1)</f>
        <v>75</v>
      </c>
      <c r="BB54" s="1">
        <f>ROUND(Scores_2017!BP58,$A$1)</f>
        <v>75</v>
      </c>
      <c r="BC54" s="1">
        <f>ROUND(Scores_2017!BQ58,$A$1)</f>
        <v>75</v>
      </c>
      <c r="BD54" s="1">
        <f>ROUND(Scores_2017!BR58,$A$1)</f>
        <v>50</v>
      </c>
      <c r="BE54" s="1">
        <f>ROUND(Scores_2017!BS58,$A$1)</f>
        <v>75</v>
      </c>
      <c r="BF54" s="1">
        <f>ROUND(Scores_2017!BT58,$A$1)</f>
        <v>75</v>
      </c>
      <c r="BG54" s="1">
        <f>ROUND(Scores_2017!BU58,$A$1)</f>
        <v>100</v>
      </c>
      <c r="BH54" s="1">
        <f>ROUND(Scores_2017!BV58,$A$1)</f>
        <v>25</v>
      </c>
      <c r="BI54" s="1">
        <f>ROUND(Scores_2017!BW58,$A$1)</f>
        <v>75</v>
      </c>
      <c r="BJ54" s="1">
        <f>ROUND(Scores_2017!BX58,$A$1)</f>
        <v>50</v>
      </c>
      <c r="BL54" s="1">
        <f t="shared" si="1"/>
        <v>59.4262295081967</v>
      </c>
    </row>
    <row r="55" spans="1:64">
      <c r="A55" s="1" t="str">
        <f>Scores_2017!N59</f>
        <v>   4.2.4) Level of corruption</v>
      </c>
      <c r="B55" s="1">
        <f>ROUND(Scores_2017!P59,$A$1)</f>
        <v>66</v>
      </c>
      <c r="C55" s="1">
        <f>ROUND(Scores_2017!Q59,$A$1)</f>
        <v>83</v>
      </c>
      <c r="D55" s="1">
        <f>ROUND(Scores_2017!R59,$A$1)</f>
        <v>44</v>
      </c>
      <c r="E55" s="1">
        <f>ROUND(Scores_2017!S59,$A$1)</f>
        <v>35</v>
      </c>
      <c r="F55" s="1">
        <f>ROUND(Scores_2017!T59,$A$1)</f>
        <v>58</v>
      </c>
      <c r="G55" s="1">
        <f>ROUND(Scores_2017!U59,$A$1)</f>
        <v>40</v>
      </c>
      <c r="H55" s="1">
        <f>ROUND(Scores_2017!V59,$A$1)</f>
        <v>37</v>
      </c>
      <c r="I55" s="1">
        <f>ROUND(Scores_2017!W59,$A$1)</f>
        <v>77</v>
      </c>
      <c r="J55" s="1">
        <f>ROUND(Scores_2017!X59,$A$1)</f>
        <v>36</v>
      </c>
      <c r="K55" s="1">
        <f>ROUND(Scores_2017!Y59,$A$1)</f>
        <v>34</v>
      </c>
      <c r="L55" s="1">
        <f>ROUND(Scores_2017!Z59,$A$1)</f>
        <v>17</v>
      </c>
      <c r="M55" s="1">
        <f>ROUND(Scores_2017!AA59,$A$1)</f>
        <v>37</v>
      </c>
      <c r="N55" s="1">
        <f>ROUND(Scores_2017!AB59,$A$1)</f>
        <v>74</v>
      </c>
      <c r="O55" s="1">
        <f>ROUND(Scores_2017!AC59,$A$1)</f>
        <v>74</v>
      </c>
      <c r="P55" s="1">
        <f>ROUND(Scores_2017!AD59,$A$1)</f>
        <v>40</v>
      </c>
      <c r="Q55" s="1">
        <f>ROUND(Scores_2017!AE59,$A$1)</f>
        <v>26</v>
      </c>
      <c r="R55" s="1">
        <f>ROUND(Scores_2017!AF59,$A$1)</f>
        <v>61</v>
      </c>
      <c r="S55" s="1">
        <f>ROUND(Scores_2017!AG59,$A$1)</f>
        <v>81</v>
      </c>
      <c r="T55" s="1">
        <f>ROUND(Scores_2017!AH59,$A$1)</f>
        <v>33</v>
      </c>
      <c r="U55" s="1">
        <f>ROUND(Scores_2017!AI59,$A$1)</f>
        <v>77</v>
      </c>
      <c r="V55" s="1">
        <f>ROUND(Scores_2017!AJ59,$A$1)</f>
        <v>41</v>
      </c>
      <c r="W55" s="1">
        <f>ROUND(Scores_2017!AK59,$A$1)</f>
        <v>37</v>
      </c>
      <c r="X55" s="1">
        <f>ROUND(Scores_2017!AL59,$A$1)</f>
        <v>46</v>
      </c>
      <c r="Y55" s="1">
        <f>ROUND(Scores_2017!AM59,$A$1)</f>
        <v>45</v>
      </c>
      <c r="Z55" s="1">
        <f>ROUND(Scores_2017!AN59,$A$1)</f>
        <v>32</v>
      </c>
      <c r="AA55" s="1">
        <f>ROUND(Scores_2017!AO59,$A$1)</f>
        <v>49</v>
      </c>
      <c r="AB55" s="1">
        <f>ROUND(Scores_2017!AP59,$A$1)</f>
        <v>41</v>
      </c>
      <c r="AC55" s="1">
        <f>ROUND(Scores_2017!AQ59,$A$1)</f>
        <v>35</v>
      </c>
      <c r="AD55" s="1">
        <f>ROUND(Scores_2017!AR59,$A$1)</f>
        <v>81</v>
      </c>
      <c r="AE55" s="1">
        <f>ROUND(Scores_2017!AS59,$A$1)</f>
        <v>74</v>
      </c>
      <c r="AF55" s="1">
        <f>ROUND(Scores_2017!AT59,$A$1)</f>
        <v>58</v>
      </c>
      <c r="AG55" s="1">
        <f>ROUND(Scores_2017!AU59,$A$1)</f>
        <v>35</v>
      </c>
      <c r="AH55" s="1">
        <f>ROUND(Scores_2017!AV59,$A$1)</f>
        <v>79</v>
      </c>
      <c r="AI55" s="1">
        <f>ROUND(Scores_2017!AW59,$A$1)</f>
        <v>30</v>
      </c>
      <c r="AJ55" s="1">
        <f>ROUND(Scores_2017!AX59,$A$1)</f>
        <v>47</v>
      </c>
      <c r="AK55" s="1">
        <f>ROUND(Scores_2017!AY59,$A$1)</f>
        <v>29</v>
      </c>
      <c r="AL55" s="1">
        <f>ROUND(Scores_2017!AZ59,$A$1)</f>
        <v>40</v>
      </c>
      <c r="AM55" s="1">
        <f>ROUND(Scores_2017!BA59,$A$1)</f>
        <v>74</v>
      </c>
      <c r="AN55" s="1">
        <f>ROUND(Scores_2017!BB59,$A$1)</f>
        <v>72</v>
      </c>
      <c r="AO55" s="1">
        <f>ROUND(Scores_2017!BC59,$A$1)</f>
        <v>69</v>
      </c>
      <c r="AP55" s="1">
        <f>ROUND(Scores_2017!BD59,$A$1)</f>
        <v>31</v>
      </c>
      <c r="AQ55" s="1">
        <f>ROUND(Scores_2017!BE59,$A$1)</f>
        <v>40</v>
      </c>
      <c r="AR55" s="1">
        <f>ROUND(Scores_2017!BF59,$A$1)</f>
        <v>46</v>
      </c>
      <c r="AS55" s="1">
        <f>ROUND(Scores_2017!BG59,$A$1)</f>
        <v>47</v>
      </c>
      <c r="AT55" s="1">
        <f>ROUND(Scores_2017!BH59,$A$1)</f>
        <v>74</v>
      </c>
      <c r="AU55" s="1">
        <f>ROUND(Scores_2017!BI59,$A$1)</f>
        <v>66</v>
      </c>
      <c r="AV55" s="1">
        <f>ROUND(Scores_2017!BJ59,$A$1)</f>
        <v>40</v>
      </c>
      <c r="AW55" s="1">
        <f>ROUND(Scores_2017!BK59,$A$1)</f>
        <v>53</v>
      </c>
      <c r="AX55" s="1">
        <f>ROUND(Scores_2017!BL59,$A$1)</f>
        <v>40</v>
      </c>
      <c r="AY55" s="1">
        <f>ROUND(Scores_2017!BM59,$A$1)</f>
        <v>84</v>
      </c>
      <c r="AZ55" s="1">
        <f>ROUND(Scores_2017!BN59,$A$1)</f>
        <v>88</v>
      </c>
      <c r="BA55" s="1">
        <f>ROUND(Scores_2017!BO59,$A$1)</f>
        <v>79</v>
      </c>
      <c r="BB55" s="1">
        <f>ROUND(Scores_2017!BP59,$A$1)</f>
        <v>61</v>
      </c>
      <c r="BC55" s="1">
        <f>ROUND(Scores_2017!BQ59,$A$1)</f>
        <v>29</v>
      </c>
      <c r="BD55" s="1">
        <f>ROUND(Scores_2017!BR59,$A$1)</f>
        <v>72</v>
      </c>
      <c r="BE55" s="1">
        <f>ROUND(Scores_2017!BS59,$A$1)</f>
        <v>82</v>
      </c>
      <c r="BF55" s="1">
        <f>ROUND(Scores_2017!BT59,$A$1)</f>
        <v>74</v>
      </c>
      <c r="BG55" s="1">
        <f>ROUND(Scores_2017!BU59,$A$1)</f>
        <v>90</v>
      </c>
      <c r="BH55" s="1">
        <f>ROUND(Scores_2017!BV59,$A$1)</f>
        <v>28</v>
      </c>
      <c r="BI55" s="1">
        <f>ROUND(Scores_2017!BW59,$A$1)</f>
        <v>86</v>
      </c>
      <c r="BJ55" s="1">
        <f>ROUND(Scores_2017!BX59,$A$1)</f>
        <v>72</v>
      </c>
      <c r="BL55" s="1">
        <f t="shared" si="1"/>
        <v>54.5245901639344</v>
      </c>
    </row>
    <row r="56" spans="1:64">
      <c r="A56" s="1" t="str">
        <f>Scores_2017!N60</f>
        <v>   4.2.5) Rate of drug use </v>
      </c>
      <c r="B56" s="1">
        <f>ROUND(Scores_2017!P60,$A$1)</f>
        <v>86.76</v>
      </c>
      <c r="C56" s="1">
        <f>ROUND(Scores_2017!Q60,$A$1)</f>
        <v>64.62</v>
      </c>
      <c r="D56" s="1">
        <f>ROUND(Scores_2017!R60,$A$1)</f>
        <v>92.51</v>
      </c>
      <c r="E56" s="1">
        <f>ROUND(Scores_2017!S60,$A$1)</f>
        <v>92.43</v>
      </c>
      <c r="F56" s="1">
        <f>ROUND(Scores_2017!T60,$A$1)</f>
        <v>65.18</v>
      </c>
      <c r="G56" s="1">
        <f>ROUND(Scores_2017!U60,$A$1)</f>
        <v>100</v>
      </c>
      <c r="H56" s="1">
        <f>ROUND(Scores_2017!V60,$A$1)</f>
        <v>88.16</v>
      </c>
      <c r="I56" s="1">
        <f>ROUND(Scores_2017!W60,$A$1)</f>
        <v>83.36</v>
      </c>
      <c r="J56" s="1">
        <f>ROUND(Scores_2017!X60,$A$1)</f>
        <v>85.4</v>
      </c>
      <c r="K56" s="1">
        <f>ROUND(Scores_2017!Y60,$A$1)</f>
        <v>82.13</v>
      </c>
      <c r="L56" s="1">
        <f>ROUND(Scores_2017!Z60,$A$1)</f>
        <v>86.86</v>
      </c>
      <c r="M56" s="1">
        <f>ROUND(Scores_2017!AA60,$A$1)</f>
        <v>88.85</v>
      </c>
      <c r="N56" s="1">
        <f>ROUND(Scores_2017!AB60,$A$1)</f>
        <v>73.51</v>
      </c>
      <c r="O56" s="1">
        <f>ROUND(Scores_2017!AC60,$A$1)</f>
        <v>82.96</v>
      </c>
      <c r="P56" s="1">
        <f>ROUND(Scores_2017!AD60,$A$1)</f>
        <v>86.59</v>
      </c>
      <c r="Q56" s="1">
        <f>ROUND(Scores_2017!AE60,$A$1)</f>
        <v>90.01</v>
      </c>
      <c r="R56" s="1">
        <f>ROUND(Scores_2017!AF60,$A$1)</f>
        <v>92.82</v>
      </c>
      <c r="S56" s="1">
        <f>ROUND(Scores_2017!AG60,$A$1)</f>
        <v>67.79</v>
      </c>
      <c r="T56" s="1">
        <f>ROUND(Scores_2017!AH60,$A$1)</f>
        <v>98.01</v>
      </c>
      <c r="U56" s="1">
        <f>ROUND(Scores_2017!AI60,$A$1)</f>
        <v>96.75</v>
      </c>
      <c r="V56" s="1">
        <f>ROUND(Scores_2017!AJ60,$A$1)</f>
        <v>85.33</v>
      </c>
      <c r="W56" s="1">
        <f>ROUND(Scores_2017!AK60,$A$1)</f>
        <v>95.81</v>
      </c>
      <c r="X56" s="1">
        <f>ROUND(Scores_2017!AL60,$A$1)</f>
        <v>98.54</v>
      </c>
      <c r="Y56" s="1">
        <f>ROUND(Scores_2017!AM60,$A$1)</f>
        <v>82.59</v>
      </c>
      <c r="Z56" s="1">
        <f>ROUND(Scores_2017!AN60,$A$1)</f>
        <v>74.59</v>
      </c>
      <c r="AA56" s="1">
        <f>ROUND(Scores_2017!AO60,$A$1)</f>
        <v>91.46</v>
      </c>
      <c r="AB56" s="1">
        <f>ROUND(Scores_2017!AP60,$A$1)</f>
        <v>91.33</v>
      </c>
      <c r="AC56" s="1">
        <f>ROUND(Scores_2017!AQ60,$A$1)</f>
        <v>91.49</v>
      </c>
      <c r="AD56" s="1">
        <f>ROUND(Scores_2017!AR60,$A$1)</f>
        <v>70.51</v>
      </c>
      <c r="AE56" s="1">
        <f>ROUND(Scores_2017!AS60,$A$1)</f>
        <v>72.56</v>
      </c>
      <c r="AF56" s="1">
        <f>ROUND(Scores_2017!AT60,$A$1)</f>
        <v>65.18</v>
      </c>
      <c r="AG56" s="1">
        <f>ROUND(Scores_2017!AU60,$A$1)</f>
        <v>92.38</v>
      </c>
      <c r="AH56" s="1">
        <f>ROUND(Scores_2017!AV60,$A$1)</f>
        <v>0</v>
      </c>
      <c r="AI56" s="1">
        <f>ROUND(Scores_2017!AW60,$A$1)</f>
        <v>93.38</v>
      </c>
      <c r="AJ56" s="1">
        <f>ROUND(Scores_2017!AX60,$A$1)</f>
        <v>35.3</v>
      </c>
      <c r="AK56" s="1">
        <f>ROUND(Scores_2017!AY60,$A$1)</f>
        <v>78.81</v>
      </c>
      <c r="AL56" s="1">
        <f>ROUND(Scores_2017!AZ60,$A$1)</f>
        <v>86.59</v>
      </c>
      <c r="AM56" s="1">
        <f>ROUND(Scores_2017!BA60,$A$1)</f>
        <v>73.88</v>
      </c>
      <c r="AN56" s="1">
        <f>ROUND(Scores_2017!BB60,$A$1)</f>
        <v>98.7</v>
      </c>
      <c r="AO56" s="1">
        <f>ROUND(Scores_2017!BC60,$A$1)</f>
        <v>64.9</v>
      </c>
      <c r="AP56" s="1">
        <f>ROUND(Scores_2017!BD60,$A$1)</f>
        <v>93.92</v>
      </c>
      <c r="AQ56" s="1">
        <f>ROUND(Scores_2017!BE60,$A$1)</f>
        <v>79.8</v>
      </c>
      <c r="AR56" s="1">
        <f>ROUND(Scores_2017!BF60,$A$1)</f>
        <v>98.54</v>
      </c>
      <c r="AS56" s="1">
        <f>ROUND(Scores_2017!BG60,$A$1)</f>
        <v>35.3</v>
      </c>
      <c r="AT56" s="1">
        <f>ROUND(Scores_2017!BH60,$A$1)</f>
        <v>50.73</v>
      </c>
      <c r="AU56" s="1">
        <f>ROUND(Scores_2017!BI60,$A$1)</f>
        <v>59.07</v>
      </c>
      <c r="AV56" s="1">
        <f>ROUND(Scores_2017!BJ60,$A$1)</f>
        <v>79.8</v>
      </c>
      <c r="AW56" s="1">
        <f>ROUND(Scores_2017!BK60,$A$1)</f>
        <v>98.95</v>
      </c>
      <c r="AX56" s="1">
        <f>ROUND(Scores_2017!BL60,$A$1)</f>
        <v>100</v>
      </c>
      <c r="AY56" s="1">
        <f>ROUND(Scores_2017!BM60,$A$1)</f>
        <v>98.82</v>
      </c>
      <c r="AZ56" s="1">
        <f>ROUND(Scores_2017!BN60,$A$1)</f>
        <v>81.6</v>
      </c>
      <c r="BA56" s="1">
        <f>ROUND(Scores_2017!BO60,$A$1)</f>
        <v>0</v>
      </c>
      <c r="BB56" s="1">
        <f>ROUND(Scores_2017!BP60,$A$1)</f>
        <v>96.09</v>
      </c>
      <c r="BC56" s="1">
        <f>ROUND(Scores_2017!BQ60,$A$1)</f>
        <v>94.33</v>
      </c>
      <c r="BD56" s="1">
        <f>ROUND(Scores_2017!BR60,$A$1)</f>
        <v>98.7</v>
      </c>
      <c r="BE56" s="1">
        <f>ROUND(Scores_2017!BS60,$A$1)</f>
        <v>57.39</v>
      </c>
      <c r="BF56" s="1">
        <f>ROUND(Scores_2017!BT60,$A$1)</f>
        <v>62.64</v>
      </c>
      <c r="BG56" s="1">
        <f>ROUND(Scores_2017!BU60,$A$1)</f>
        <v>52.17</v>
      </c>
      <c r="BH56" s="1">
        <f>ROUND(Scores_2017!BV60,$A$1)</f>
        <v>95.14</v>
      </c>
      <c r="BI56" s="1">
        <f>ROUND(Scores_2017!BW60,$A$1)</f>
        <v>80.57</v>
      </c>
      <c r="BJ56" s="1">
        <f>ROUND(Scores_2017!BX60,$A$1)</f>
        <v>98.7</v>
      </c>
      <c r="BL56" s="1">
        <f t="shared" si="1"/>
        <v>79.6768852459017</v>
      </c>
    </row>
    <row r="57" spans="1:64">
      <c r="A57" s="1" t="str">
        <f>Scores_2017!N61</f>
        <v>   4.2.6) Frequency of terrorist attacks </v>
      </c>
      <c r="B57" s="1">
        <f>ROUND(Scores_2017!P61,$A$1)</f>
        <v>99.86</v>
      </c>
      <c r="C57" s="1">
        <f>ROUND(Scores_2017!Q61,$A$1)</f>
        <v>99.93</v>
      </c>
      <c r="D57" s="1">
        <f>ROUND(Scores_2017!R61,$A$1)</f>
        <v>79.66</v>
      </c>
      <c r="E57" s="1">
        <f>ROUND(Scores_2017!S61,$A$1)</f>
        <v>89.51</v>
      </c>
      <c r="F57" s="1">
        <f>ROUND(Scores_2017!T61,$A$1)</f>
        <v>100</v>
      </c>
      <c r="G57" s="1">
        <f>ROUND(Scores_2017!U61,$A$1)</f>
        <v>99.79</v>
      </c>
      <c r="H57" s="1">
        <f>ROUND(Scores_2017!V61,$A$1)</f>
        <v>95.43</v>
      </c>
      <c r="I57" s="1">
        <f>ROUND(Scores_2017!W61,$A$1)</f>
        <v>99.43</v>
      </c>
      <c r="J57" s="1">
        <f>ROUND(Scores_2017!X61,$A$1)</f>
        <v>99.43</v>
      </c>
      <c r="K57" s="1">
        <f>ROUND(Scores_2017!Y61,$A$1)</f>
        <v>91.15</v>
      </c>
      <c r="L57" s="1">
        <f>ROUND(Scores_2017!Z61,$A$1)</f>
        <v>99.36</v>
      </c>
      <c r="M57" s="1">
        <f>ROUND(Scores_2017!AA61,$A$1)</f>
        <v>99.57</v>
      </c>
      <c r="N57" s="1">
        <f>ROUND(Scores_2017!AB61,$A$1)</f>
        <v>100</v>
      </c>
      <c r="O57" s="1">
        <f>ROUND(Scores_2017!AC61,$A$1)</f>
        <v>99.86</v>
      </c>
      <c r="P57" s="1">
        <f>ROUND(Scores_2017!AD61,$A$1)</f>
        <v>98.36</v>
      </c>
      <c r="Q57" s="1">
        <f>ROUND(Scores_2017!AE61,$A$1)</f>
        <v>76.02</v>
      </c>
      <c r="R57" s="1">
        <f>ROUND(Scores_2017!AF61,$A$1)</f>
        <v>99.93</v>
      </c>
      <c r="S57" s="1">
        <f>ROUND(Scores_2017!AG61,$A$1)</f>
        <v>99.86</v>
      </c>
      <c r="T57" s="1">
        <f>ROUND(Scores_2017!AH61,$A$1)</f>
        <v>100</v>
      </c>
      <c r="U57" s="1">
        <f>ROUND(Scores_2017!AI61,$A$1)</f>
        <v>99.71</v>
      </c>
      <c r="V57" s="1">
        <f>ROUND(Scores_2017!AJ61,$A$1)</f>
        <v>91.29</v>
      </c>
      <c r="W57" s="1">
        <f>ROUND(Scores_2017!AK61,$A$1)</f>
        <v>98.57</v>
      </c>
      <c r="X57" s="1">
        <f>ROUND(Scores_2017!AL61,$A$1)</f>
        <v>99.64</v>
      </c>
      <c r="Y57" s="1">
        <f>ROUND(Scores_2017!AM61,$A$1)</f>
        <v>99.79</v>
      </c>
      <c r="Z57" s="1">
        <f>ROUND(Scores_2017!AN61,$A$1)</f>
        <v>0</v>
      </c>
      <c r="AA57" s="1">
        <f>ROUND(Scores_2017!AO61,$A$1)</f>
        <v>99.71</v>
      </c>
      <c r="AB57" s="1">
        <f>ROUND(Scores_2017!AP61,$A$1)</f>
        <v>99.93</v>
      </c>
      <c r="AC57" s="1">
        <f>ROUND(Scores_2017!AQ61,$A$1)</f>
        <v>99.79</v>
      </c>
      <c r="AD57" s="1">
        <f>ROUND(Scores_2017!AR61,$A$1)</f>
        <v>98.64</v>
      </c>
      <c r="AE57" s="1">
        <f>ROUND(Scores_2017!AS61,$A$1)</f>
        <v>99.57</v>
      </c>
      <c r="AF57" s="1">
        <f>ROUND(Scores_2017!AT61,$A$1)</f>
        <v>99.64</v>
      </c>
      <c r="AG57" s="1">
        <f>ROUND(Scores_2017!AU61,$A$1)</f>
        <v>97.79</v>
      </c>
      <c r="AH57" s="1">
        <f>ROUND(Scores_2017!AV61,$A$1)</f>
        <v>99.86</v>
      </c>
      <c r="AI57" s="1">
        <f>ROUND(Scores_2017!AW61,$A$1)</f>
        <v>98.93</v>
      </c>
      <c r="AJ57" s="1">
        <f>ROUND(Scores_2017!AX61,$A$1)</f>
        <v>99.43</v>
      </c>
      <c r="AK57" s="1">
        <f>ROUND(Scores_2017!AY61,$A$1)</f>
        <v>97.86</v>
      </c>
      <c r="AL57" s="1">
        <f>ROUND(Scores_2017!AZ61,$A$1)</f>
        <v>99.21</v>
      </c>
      <c r="AM57" s="1">
        <f>ROUND(Scores_2017!BA61,$A$1)</f>
        <v>98.57</v>
      </c>
      <c r="AN57" s="1">
        <f>ROUND(Scores_2017!BB61,$A$1)</f>
        <v>100</v>
      </c>
      <c r="AO57" s="1">
        <f>ROUND(Scores_2017!BC61,$A$1)</f>
        <v>98.36</v>
      </c>
      <c r="AP57" s="1">
        <f>ROUND(Scores_2017!BD61,$A$1)</f>
        <v>99.93</v>
      </c>
      <c r="AQ57" s="1">
        <f>ROUND(Scores_2017!BE61,$A$1)</f>
        <v>100</v>
      </c>
      <c r="AR57" s="1">
        <f>ROUND(Scores_2017!BF61,$A$1)</f>
        <v>98.72</v>
      </c>
      <c r="AS57" s="1">
        <f>ROUND(Scores_2017!BG61,$A$1)</f>
        <v>99.14</v>
      </c>
      <c r="AT57" s="1">
        <f>ROUND(Scores_2017!BH61,$A$1)</f>
        <v>99.93</v>
      </c>
      <c r="AU57" s="1">
        <f>ROUND(Scores_2017!BI61,$A$1)</f>
        <v>97</v>
      </c>
      <c r="AV57" s="1">
        <f>ROUND(Scores_2017!BJ61,$A$1)</f>
        <v>99.86</v>
      </c>
      <c r="AW57" s="1">
        <f>ROUND(Scores_2017!BK61,$A$1)</f>
        <v>99.93</v>
      </c>
      <c r="AX57" s="1">
        <f>ROUND(Scores_2017!BL61,$A$1)</f>
        <v>99.93</v>
      </c>
      <c r="AY57" s="1">
        <f>ROUND(Scores_2017!BM61,$A$1)</f>
        <v>100</v>
      </c>
      <c r="AZ57" s="1">
        <f>ROUND(Scores_2017!BN61,$A$1)</f>
        <v>99.64</v>
      </c>
      <c r="BA57" s="1">
        <f>ROUND(Scores_2017!BO61,$A$1)</f>
        <v>99.71</v>
      </c>
      <c r="BB57" s="1">
        <f>ROUND(Scores_2017!BP61,$A$1)</f>
        <v>99.86</v>
      </c>
      <c r="BC57" s="1">
        <f>ROUND(Scores_2017!BQ61,$A$1)</f>
        <v>99.29</v>
      </c>
      <c r="BD57" s="1">
        <f>ROUND(Scores_2017!BR61,$A$1)</f>
        <v>99.5</v>
      </c>
      <c r="BE57" s="1">
        <f>ROUND(Scores_2017!BS61,$A$1)</f>
        <v>99.86</v>
      </c>
      <c r="BF57" s="1">
        <f>ROUND(Scores_2017!BT61,$A$1)</f>
        <v>99.57</v>
      </c>
      <c r="BG57" s="1">
        <f>ROUND(Scores_2017!BU61,$A$1)</f>
        <v>99.64</v>
      </c>
      <c r="BH57" s="1">
        <f>ROUND(Scores_2017!BV61,$A$1)</f>
        <v>98.5</v>
      </c>
      <c r="BI57" s="1">
        <f>ROUND(Scores_2017!BW61,$A$1)</f>
        <v>99.86</v>
      </c>
      <c r="BJ57" s="1">
        <f>ROUND(Scores_2017!BX61,$A$1)</f>
        <v>100</v>
      </c>
      <c r="BL57" s="1">
        <f t="shared" si="1"/>
        <v>96.6116393442623</v>
      </c>
    </row>
    <row r="58" spans="1:64">
      <c r="A58" s="1" t="str">
        <f>Scores_2017!N62</f>
        <v>   4.2.7) Severity of terrorist attacks</v>
      </c>
      <c r="B58" s="1">
        <f>ROUND(Scores_2017!P62,$A$1)</f>
        <v>99.98</v>
      </c>
      <c r="C58" s="1">
        <f>ROUND(Scores_2017!Q62,$A$1)</f>
        <v>100</v>
      </c>
      <c r="D58" s="1">
        <f>ROUND(Scores_2017!R62,$A$1)</f>
        <v>99.28</v>
      </c>
      <c r="E58" s="1">
        <f>ROUND(Scores_2017!S62,$A$1)</f>
        <v>88.56</v>
      </c>
      <c r="F58" s="1">
        <f>ROUND(Scores_2017!T62,$A$1)</f>
        <v>100</v>
      </c>
      <c r="G58" s="1">
        <f>ROUND(Scores_2017!U62,$A$1)</f>
        <v>98.65</v>
      </c>
      <c r="H58" s="1">
        <f>ROUND(Scores_2017!V62,$A$1)</f>
        <v>96.62</v>
      </c>
      <c r="I58" s="1">
        <f>ROUND(Scores_2017!W62,$A$1)</f>
        <v>96.72</v>
      </c>
      <c r="J58" s="1">
        <f>ROUND(Scores_2017!X62,$A$1)</f>
        <v>99.96</v>
      </c>
      <c r="K58" s="1">
        <f>ROUND(Scores_2017!Y62,$A$1)</f>
        <v>90.68</v>
      </c>
      <c r="L58" s="1">
        <f>ROUND(Scores_2017!Z62,$A$1)</f>
        <v>99.78</v>
      </c>
      <c r="M58" s="1">
        <f>ROUND(Scores_2017!AA62,$A$1)</f>
        <v>99.34</v>
      </c>
      <c r="N58" s="1">
        <f>ROUND(Scores_2017!AB62,$A$1)</f>
        <v>100</v>
      </c>
      <c r="O58" s="1">
        <f>ROUND(Scores_2017!AC62,$A$1)</f>
        <v>99.68</v>
      </c>
      <c r="P58" s="1">
        <f>ROUND(Scores_2017!AD62,$A$1)</f>
        <v>96.32</v>
      </c>
      <c r="Q58" s="1">
        <f>ROUND(Scores_2017!AE62,$A$1)</f>
        <v>89.25</v>
      </c>
      <c r="R58" s="1">
        <f>ROUND(Scores_2017!AF62,$A$1)</f>
        <v>99.98</v>
      </c>
      <c r="S58" s="1">
        <f>ROUND(Scores_2017!AG62,$A$1)</f>
        <v>99.92</v>
      </c>
      <c r="T58" s="1">
        <f>ROUND(Scores_2017!AH62,$A$1)</f>
        <v>100</v>
      </c>
      <c r="U58" s="1">
        <f>ROUND(Scores_2017!AI62,$A$1)</f>
        <v>97.99</v>
      </c>
      <c r="V58" s="1">
        <f>ROUND(Scores_2017!AJ62,$A$1)</f>
        <v>80.57</v>
      </c>
      <c r="W58" s="1">
        <f>ROUND(Scores_2017!AK62,$A$1)</f>
        <v>97.93</v>
      </c>
      <c r="X58" s="1">
        <f>ROUND(Scores_2017!AL62,$A$1)</f>
        <v>99.72</v>
      </c>
      <c r="Y58" s="1">
        <f>ROUND(Scores_2017!AM62,$A$1)</f>
        <v>99.9</v>
      </c>
      <c r="Z58" s="1">
        <f>ROUND(Scores_2017!AN62,$A$1)</f>
        <v>0</v>
      </c>
      <c r="AA58" s="1">
        <f>ROUND(Scores_2017!AO62,$A$1)</f>
        <v>100</v>
      </c>
      <c r="AB58" s="1">
        <f>ROUND(Scores_2017!AP62,$A$1)</f>
        <v>94.93</v>
      </c>
      <c r="AC58" s="1">
        <f>ROUND(Scores_2017!AQ62,$A$1)</f>
        <v>99.88</v>
      </c>
      <c r="AD58" s="1">
        <f>ROUND(Scores_2017!AR62,$A$1)</f>
        <v>99.64</v>
      </c>
      <c r="AE58" s="1">
        <f>ROUND(Scores_2017!AS62,$A$1)</f>
        <v>99.9</v>
      </c>
      <c r="AF58" s="1">
        <f>ROUND(Scores_2017!AT62,$A$1)</f>
        <v>99.98</v>
      </c>
      <c r="AG58" s="1">
        <f>ROUND(Scores_2017!AU62,$A$1)</f>
        <v>99.09</v>
      </c>
      <c r="AH58" s="1">
        <f>ROUND(Scores_2017!AV62,$A$1)</f>
        <v>99.94</v>
      </c>
      <c r="AI58" s="1">
        <f>ROUND(Scores_2017!AW62,$A$1)</f>
        <v>97.14</v>
      </c>
      <c r="AJ58" s="1">
        <f>ROUND(Scores_2017!AX62,$A$1)</f>
        <v>99.88</v>
      </c>
      <c r="AK58" s="1">
        <f>ROUND(Scores_2017!AY62,$A$1)</f>
        <v>98.07</v>
      </c>
      <c r="AL58" s="1">
        <f>ROUND(Scores_2017!AZ62,$A$1)</f>
        <v>88.34</v>
      </c>
      <c r="AM58" s="1">
        <f>ROUND(Scores_2017!BA62,$A$1)</f>
        <v>99.19</v>
      </c>
      <c r="AN58" s="1">
        <f>ROUND(Scores_2017!BB62,$A$1)</f>
        <v>100</v>
      </c>
      <c r="AO58" s="1">
        <f>ROUND(Scores_2017!BC62,$A$1)</f>
        <v>93.66</v>
      </c>
      <c r="AP58" s="1">
        <f>ROUND(Scores_2017!BD62,$A$1)</f>
        <v>100</v>
      </c>
      <c r="AQ58" s="1">
        <f>ROUND(Scores_2017!BE62,$A$1)</f>
        <v>100</v>
      </c>
      <c r="AR58" s="1">
        <f>ROUND(Scores_2017!BF62,$A$1)</f>
        <v>99.36</v>
      </c>
      <c r="AS58" s="1">
        <f>ROUND(Scores_2017!BG62,$A$1)</f>
        <v>99.88</v>
      </c>
      <c r="AT58" s="1">
        <f>ROUND(Scores_2017!BH62,$A$1)</f>
        <v>100</v>
      </c>
      <c r="AU58" s="1">
        <f>ROUND(Scores_2017!BI62,$A$1)</f>
        <v>99.6</v>
      </c>
      <c r="AV58" s="1">
        <f>ROUND(Scores_2017!BJ62,$A$1)</f>
        <v>100</v>
      </c>
      <c r="AW58" s="1">
        <f>ROUND(Scores_2017!BK62,$A$1)</f>
        <v>99.98</v>
      </c>
      <c r="AX58" s="1">
        <f>ROUND(Scores_2017!BL62,$A$1)</f>
        <v>99.7</v>
      </c>
      <c r="AY58" s="1">
        <f>ROUND(Scores_2017!BM62,$A$1)</f>
        <v>100</v>
      </c>
      <c r="AZ58" s="1">
        <f>ROUND(Scores_2017!BN62,$A$1)</f>
        <v>99.94</v>
      </c>
      <c r="BA58" s="1">
        <f>ROUND(Scores_2017!BO62,$A$1)</f>
        <v>99.86</v>
      </c>
      <c r="BB58" s="1">
        <f>ROUND(Scores_2017!BP62,$A$1)</f>
        <v>99.98</v>
      </c>
      <c r="BC58" s="1">
        <f>ROUND(Scores_2017!BQ62,$A$1)</f>
        <v>97.95</v>
      </c>
      <c r="BD58" s="1">
        <f>ROUND(Scores_2017!BR62,$A$1)</f>
        <v>100</v>
      </c>
      <c r="BE58" s="1">
        <f>ROUND(Scores_2017!BS62,$A$1)</f>
        <v>99.94</v>
      </c>
      <c r="BF58" s="1">
        <f>ROUND(Scores_2017!BT62,$A$1)</f>
        <v>99.96</v>
      </c>
      <c r="BG58" s="1">
        <f>ROUND(Scores_2017!BU62,$A$1)</f>
        <v>100</v>
      </c>
      <c r="BH58" s="1">
        <f>ROUND(Scores_2017!BV62,$A$1)</f>
        <v>98.21</v>
      </c>
      <c r="BI58" s="1">
        <f>ROUND(Scores_2017!BW62,$A$1)</f>
        <v>100</v>
      </c>
      <c r="BJ58" s="1">
        <f>ROUND(Scores_2017!BX62,$A$1)</f>
        <v>100</v>
      </c>
      <c r="BL58" s="1">
        <f t="shared" si="1"/>
        <v>96.6365573770491</v>
      </c>
    </row>
    <row r="59" spans="1:64">
      <c r="A59" s="1" t="str">
        <f>Scores_2017!N63</f>
        <v>   4.2.8) Gender safety</v>
      </c>
      <c r="B59" s="1">
        <f>ROUND(Scores_2017!P63,$A$1)</f>
        <v>96.12</v>
      </c>
      <c r="C59" s="1">
        <f>ROUND(Scores_2017!Q63,$A$1)</f>
        <v>96.88</v>
      </c>
      <c r="D59" s="1">
        <f>ROUND(Scores_2017!R63,$A$1)</f>
        <v>92.62</v>
      </c>
      <c r="E59" s="1">
        <f>ROUND(Scores_2017!S63,$A$1)</f>
        <v>87.89</v>
      </c>
      <c r="F59" s="1">
        <f>ROUND(Scores_2017!T63,$A$1)</f>
        <v>96.82</v>
      </c>
      <c r="G59" s="1">
        <f>ROUND(Scores_2017!U63,$A$1)</f>
        <v>96.56</v>
      </c>
      <c r="H59" s="1">
        <f>ROUND(Scores_2017!V63,$A$1)</f>
        <v>0</v>
      </c>
      <c r="I59" s="1">
        <f>ROUND(Scores_2017!W63,$A$1)</f>
        <v>92.42</v>
      </c>
      <c r="J59" s="1">
        <f>ROUND(Scores_2017!X63,$A$1)</f>
        <v>87.38</v>
      </c>
      <c r="K59" s="1">
        <f>ROUND(Scores_2017!Y63,$A$1)</f>
        <v>79.1</v>
      </c>
      <c r="L59" s="1">
        <f>ROUND(Scores_2017!Z63,$A$1)</f>
        <v>18.63</v>
      </c>
      <c r="M59" s="1">
        <f>ROUND(Scores_2017!AA63,$A$1)</f>
        <v>96.32</v>
      </c>
      <c r="N59" s="1">
        <f>ROUND(Scores_2017!AB63,$A$1)</f>
        <v>65.92</v>
      </c>
      <c r="O59" s="1">
        <f>ROUND(Scores_2017!AC63,$A$1)</f>
        <v>80.87</v>
      </c>
      <c r="P59" s="1">
        <f>ROUND(Scores_2017!AD63,$A$1)</f>
        <v>83.07</v>
      </c>
      <c r="Q59" s="1">
        <f>ROUND(Scores_2017!AE63,$A$1)</f>
        <v>81.02</v>
      </c>
      <c r="R59" s="1">
        <f>ROUND(Scores_2017!AF63,$A$1)</f>
        <v>64.3</v>
      </c>
      <c r="S59" s="1">
        <f>ROUND(Scores_2017!AG63,$A$1)</f>
        <v>95.6</v>
      </c>
      <c r="T59" s="1">
        <f>ROUND(Scores_2017!AH63,$A$1)</f>
        <v>94.87</v>
      </c>
      <c r="U59" s="1">
        <f>ROUND(Scores_2017!AI63,$A$1)</f>
        <v>99.1</v>
      </c>
      <c r="V59" s="1">
        <f>ROUND(Scores_2017!AJ63,$A$1)</f>
        <v>95.77</v>
      </c>
      <c r="W59" s="1">
        <f>ROUND(Scores_2017!AK63,$A$1)</f>
        <v>85.96</v>
      </c>
      <c r="X59" s="1">
        <f>ROUND(Scores_2017!AL63,$A$1)</f>
        <v>79.19</v>
      </c>
      <c r="Y59" s="1">
        <f>ROUND(Scores_2017!AM63,$A$1)</f>
        <v>1.65</v>
      </c>
      <c r="Z59" s="1">
        <f>ROUND(Scores_2017!AN63,$A$1)</f>
        <v>52.79</v>
      </c>
      <c r="AA59" s="1">
        <f>ROUND(Scores_2017!AO63,$A$1)</f>
        <v>85.32</v>
      </c>
      <c r="AB59" s="1">
        <f>ROUND(Scores_2017!AP63,$A$1)</f>
        <v>92.97</v>
      </c>
      <c r="AC59" s="1">
        <f>ROUND(Scores_2017!AQ63,$A$1)</f>
        <v>44.7</v>
      </c>
      <c r="AD59" s="1">
        <f>ROUND(Scores_2017!AR63,$A$1)</f>
        <v>93.85</v>
      </c>
      <c r="AE59" s="1">
        <f>ROUND(Scores_2017!AS63,$A$1)</f>
        <v>85.76</v>
      </c>
      <c r="AF59" s="1">
        <f>ROUND(Scores_2017!AT63,$A$1)</f>
        <v>96.82</v>
      </c>
      <c r="AG59" s="1">
        <f>ROUND(Scores_2017!AU63,$A$1)</f>
        <v>75.94</v>
      </c>
      <c r="AH59" s="1">
        <f>ROUND(Scores_2017!AV63,$A$1)</f>
        <v>94.72</v>
      </c>
      <c r="AI59" s="1">
        <f>ROUND(Scores_2017!AW63,$A$1)</f>
        <v>61.51</v>
      </c>
      <c r="AJ59" s="1">
        <f>ROUND(Scores_2017!AX63,$A$1)</f>
        <v>98.18</v>
      </c>
      <c r="AK59" s="1">
        <f>ROUND(Scores_2017!AY63,$A$1)</f>
        <v>50.03</v>
      </c>
      <c r="AL59" s="1">
        <f>ROUND(Scores_2017!AZ63,$A$1)</f>
        <v>83.07</v>
      </c>
      <c r="AM59" s="1">
        <f>ROUND(Scores_2017!BA63,$A$1)</f>
        <v>91.3</v>
      </c>
      <c r="AN59" s="1">
        <f>ROUND(Scores_2017!BB63,$A$1)</f>
        <v>100</v>
      </c>
      <c r="AO59" s="1">
        <f>ROUND(Scores_2017!BC63,$A$1)</f>
        <v>96.22</v>
      </c>
      <c r="AP59" s="1">
        <f>ROUND(Scores_2017!BD63,$A$1)</f>
        <v>74.93</v>
      </c>
      <c r="AQ59" s="1">
        <f>ROUND(Scores_2017!BE63,$A$1)</f>
        <v>45.4</v>
      </c>
      <c r="AR59" s="1">
        <f>ROUND(Scores_2017!BF63,$A$1)</f>
        <v>79.19</v>
      </c>
      <c r="AS59" s="1">
        <f>ROUND(Scores_2017!BG63,$A$1)</f>
        <v>98.18</v>
      </c>
      <c r="AT59" s="1">
        <f>ROUND(Scores_2017!BH63,$A$1)</f>
        <v>85.76</v>
      </c>
      <c r="AU59" s="1">
        <f>ROUND(Scores_2017!BI63,$A$1)</f>
        <v>91.04</v>
      </c>
      <c r="AV59" s="1">
        <f>ROUND(Scores_2017!BJ63,$A$1)</f>
        <v>45.4</v>
      </c>
      <c r="AW59" s="1">
        <f>ROUND(Scores_2017!BK63,$A$1)</f>
        <v>88.06</v>
      </c>
      <c r="AX59" s="1">
        <f>ROUND(Scores_2017!BL63,$A$1)</f>
        <v>96.56</v>
      </c>
      <c r="AY59" s="1">
        <f>ROUND(Scores_2017!BM63,$A$1)</f>
        <v>98.93</v>
      </c>
      <c r="AZ59" s="1">
        <f>ROUND(Scores_2017!BN63,$A$1)</f>
        <v>96.91</v>
      </c>
      <c r="BA59" s="1">
        <f>ROUND(Scores_2017!BO63,$A$1)</f>
        <v>94.72</v>
      </c>
      <c r="BB59" s="1">
        <f>ROUND(Scores_2017!BP63,$A$1)</f>
        <v>92.88</v>
      </c>
      <c r="BC59" s="1">
        <f>ROUND(Scores_2017!BQ63,$A$1)</f>
        <v>88.04</v>
      </c>
      <c r="BD59" s="1">
        <f>ROUND(Scores_2017!BR63,$A$1)</f>
        <v>100</v>
      </c>
      <c r="BE59" s="1">
        <f>ROUND(Scores_2017!BS63,$A$1)</f>
        <v>93.77</v>
      </c>
      <c r="BF59" s="1">
        <f>ROUND(Scores_2017!BT63,$A$1)</f>
        <v>63.91</v>
      </c>
      <c r="BG59" s="1">
        <f>ROUND(Scores_2017!BU63,$A$1)</f>
        <v>94.22</v>
      </c>
      <c r="BH59" s="1">
        <f>ROUND(Scores_2017!BV63,$A$1)</f>
        <v>85.38</v>
      </c>
      <c r="BI59" s="1">
        <f>ROUND(Scores_2017!BW63,$A$1)</f>
        <v>95.71</v>
      </c>
      <c r="BJ59" s="1">
        <f>ROUND(Scores_2017!BX63,$A$1)</f>
        <v>100</v>
      </c>
      <c r="BL59" s="1">
        <f t="shared" si="1"/>
        <v>81.6431147540984</v>
      </c>
    </row>
    <row r="60" spans="1:64">
      <c r="A60" s="1" t="str">
        <f>Scores_2017!N64</f>
        <v>   4.2.9) Perceptions of safety</v>
      </c>
      <c r="B60" s="1">
        <f>ROUND(Scores_2017!P64,$A$1)</f>
        <v>84.49</v>
      </c>
      <c r="C60" s="1">
        <f>ROUND(Scores_2017!Q64,$A$1)</f>
        <v>67.4</v>
      </c>
      <c r="D60" s="1">
        <f>ROUND(Scores_2017!R64,$A$1)</f>
        <v>49.28</v>
      </c>
      <c r="E60" s="1">
        <f>ROUND(Scores_2017!S64,$A$1)</f>
        <v>51.44</v>
      </c>
      <c r="F60" s="1">
        <f>ROUND(Scores_2017!T64,$A$1)</f>
        <v>60.35</v>
      </c>
      <c r="G60" s="1">
        <f>ROUND(Scores_2017!U64,$A$1)</f>
        <v>58.35</v>
      </c>
      <c r="H60" s="1">
        <f>ROUND(Scores_2017!V64,$A$1)</f>
        <v>36.36</v>
      </c>
      <c r="I60" s="1">
        <f>ROUND(Scores_2017!W64,$A$1)</f>
        <v>45.48</v>
      </c>
      <c r="J60" s="1">
        <f>ROUND(Scores_2017!X64,$A$1)</f>
        <v>38.89</v>
      </c>
      <c r="K60" s="1">
        <f>ROUND(Scores_2017!Y64,$A$1)</f>
        <v>44.09</v>
      </c>
      <c r="L60" s="1">
        <f>ROUND(Scores_2017!Z64,$A$1)</f>
        <v>13.39</v>
      </c>
      <c r="M60" s="1">
        <f>ROUND(Scores_2017!AA64,$A$1)</f>
        <v>45.72</v>
      </c>
      <c r="N60" s="1">
        <f>ROUND(Scores_2017!AB64,$A$1)</f>
        <v>34.61</v>
      </c>
      <c r="O60" s="1">
        <f>ROUND(Scores_2017!AC64,$A$1)</f>
        <v>56.5</v>
      </c>
      <c r="P60" s="1">
        <f>ROUND(Scores_2017!AD64,$A$1)</f>
        <v>39.21</v>
      </c>
      <c r="Q60" s="1">
        <f>ROUND(Scores_2017!AE64,$A$1)</f>
        <v>30.89</v>
      </c>
      <c r="R60" s="1">
        <f>ROUND(Scores_2017!AF64,$A$1)</f>
        <v>83.43</v>
      </c>
      <c r="S60" s="1">
        <f>ROUND(Scores_2017!AG64,$A$1)</f>
        <v>60.89</v>
      </c>
      <c r="T60" s="1">
        <f>ROUND(Scores_2017!AH64,$A$1)</f>
        <v>41.89</v>
      </c>
      <c r="U60" s="1">
        <f>ROUND(Scores_2017!AI64,$A$1)</f>
        <v>79.32</v>
      </c>
      <c r="V60" s="1">
        <f>ROUND(Scores_2017!AJ64,$A$1)</f>
        <v>49.8</v>
      </c>
      <c r="W60" s="1">
        <f>ROUND(Scores_2017!AK64,$A$1)</f>
        <v>47.22</v>
      </c>
      <c r="X60" s="1">
        <f>ROUND(Scores_2017!AL64,$A$1)</f>
        <v>79.19</v>
      </c>
      <c r="Y60" s="1">
        <f>ROUND(Scores_2017!AM64,$A$1)</f>
        <v>21.51</v>
      </c>
      <c r="Z60" s="1">
        <f>ROUND(Scores_2017!AN64,$A$1)</f>
        <v>35.82</v>
      </c>
      <c r="AA60" s="1">
        <f>ROUND(Scores_2017!AO64,$A$1)</f>
        <v>30.41</v>
      </c>
      <c r="AB60" s="1">
        <f>ROUND(Scores_2017!AP64,$A$1)</f>
        <v>67.31</v>
      </c>
      <c r="AC60" s="1">
        <f>ROUND(Scores_2017!AQ64,$A$1)</f>
        <v>31.73</v>
      </c>
      <c r="AD60" s="1">
        <f>ROUND(Scores_2017!AR64,$A$1)</f>
        <v>53.83</v>
      </c>
      <c r="AE60" s="1">
        <f>ROUND(Scores_2017!AS64,$A$1)</f>
        <v>45.33</v>
      </c>
      <c r="AF60" s="1">
        <f>ROUND(Scores_2017!AT64,$A$1)</f>
        <v>68.54</v>
      </c>
      <c r="AG60" s="1">
        <f>ROUND(Scores_2017!AU64,$A$1)</f>
        <v>39.08</v>
      </c>
      <c r="AH60" s="1">
        <f>ROUND(Scores_2017!AV64,$A$1)</f>
        <v>58.98</v>
      </c>
      <c r="AI60" s="1">
        <f>ROUND(Scores_2017!AW64,$A$1)</f>
        <v>33.9</v>
      </c>
      <c r="AJ60" s="1">
        <f>ROUND(Scores_2017!AX64,$A$1)</f>
        <v>52.81</v>
      </c>
      <c r="AK60" s="1">
        <f>ROUND(Scores_2017!AY64,$A$1)</f>
        <v>54.68</v>
      </c>
      <c r="AL60" s="1">
        <f>ROUND(Scores_2017!AZ64,$A$1)</f>
        <v>52.19</v>
      </c>
      <c r="AM60" s="1">
        <f>ROUND(Scores_2017!BA64,$A$1)</f>
        <v>52.38</v>
      </c>
      <c r="AN60" s="1">
        <f>ROUND(Scores_2017!BB64,$A$1)</f>
        <v>80.36</v>
      </c>
      <c r="AO60" s="1">
        <f>ROUND(Scores_2017!BC64,$A$1)</f>
        <v>47.25</v>
      </c>
      <c r="AP60" s="1">
        <f>ROUND(Scores_2017!BD64,$A$1)</f>
        <v>45.04</v>
      </c>
      <c r="AQ60" s="1">
        <f>ROUND(Scores_2017!BE64,$A$1)</f>
        <v>22.13</v>
      </c>
      <c r="AR60" s="1">
        <f>ROUND(Scores_2017!BF64,$A$1)</f>
        <v>79.19</v>
      </c>
      <c r="AS60" s="1">
        <f>ROUND(Scores_2017!BG64,$A$1)</f>
        <v>44.53</v>
      </c>
      <c r="AT60" s="1">
        <f>ROUND(Scores_2017!BH64,$A$1)</f>
        <v>49.7</v>
      </c>
      <c r="AU60" s="1">
        <f>ROUND(Scores_2017!BI64,$A$1)</f>
        <v>47.45</v>
      </c>
      <c r="AV60" s="1">
        <f>ROUND(Scores_2017!BJ64,$A$1)</f>
        <v>27.81</v>
      </c>
      <c r="AW60" s="1">
        <f>ROUND(Scores_2017!BK64,$A$1)</f>
        <v>76.2</v>
      </c>
      <c r="AX60" s="1">
        <f>ROUND(Scores_2017!BL64,$A$1)</f>
        <v>65.41</v>
      </c>
      <c r="AY60" s="1">
        <f>ROUND(Scores_2017!BM64,$A$1)</f>
        <v>83.42</v>
      </c>
      <c r="AZ60" s="1">
        <f>ROUND(Scores_2017!BN64,$A$1)</f>
        <v>54.22</v>
      </c>
      <c r="BA60" s="1">
        <f>ROUND(Scores_2017!BO64,$A$1)</f>
        <v>59.76</v>
      </c>
      <c r="BB60" s="1">
        <f>ROUND(Scores_2017!BP64,$A$1)</f>
        <v>84.24</v>
      </c>
      <c r="BC60" s="1">
        <f>ROUND(Scores_2017!BQ64,$A$1)</f>
        <v>44.56</v>
      </c>
      <c r="BD60" s="1">
        <f>ROUND(Scores_2017!BR64,$A$1)</f>
        <v>80.36</v>
      </c>
      <c r="BE60" s="1">
        <f>ROUND(Scores_2017!BS64,$A$1)</f>
        <v>65.06</v>
      </c>
      <c r="BF60" s="1">
        <f>ROUND(Scores_2017!BT64,$A$1)</f>
        <v>35.81</v>
      </c>
      <c r="BG60" s="1">
        <f>ROUND(Scores_2017!BU64,$A$1)</f>
        <v>70.15</v>
      </c>
      <c r="BH60" s="1">
        <f>ROUND(Scores_2017!BV64,$A$1)</f>
        <v>43.22</v>
      </c>
      <c r="BI60" s="1">
        <f>ROUND(Scores_2017!BW64,$A$1)</f>
        <v>81.86</v>
      </c>
      <c r="BJ60" s="1">
        <f>ROUND(Scores_2017!BX64,$A$1)</f>
        <v>80.36</v>
      </c>
      <c r="BL60" s="1">
        <f t="shared" si="1"/>
        <v>53.5209836065574</v>
      </c>
    </row>
    <row r="61" spans="1:64">
      <c r="A61" s="1" t="str">
        <f>Scores_2017!N65</f>
        <v>   4.2.10) Threat of terrorism</v>
      </c>
      <c r="B61" s="1">
        <f>ROUND(Scores_2017!P65,$A$1)</f>
        <v>75</v>
      </c>
      <c r="C61" s="1">
        <f>ROUND(Scores_2017!Q65,$A$1)</f>
        <v>75</v>
      </c>
      <c r="D61" s="1">
        <f>ROUND(Scores_2017!R65,$A$1)</f>
        <v>75</v>
      </c>
      <c r="E61" s="1">
        <f>ROUND(Scores_2017!S65,$A$1)</f>
        <v>25</v>
      </c>
      <c r="F61" s="1">
        <f>ROUND(Scores_2017!T65,$A$1)</f>
        <v>75</v>
      </c>
      <c r="G61" s="1">
        <f>ROUND(Scores_2017!U65,$A$1)</f>
        <v>100</v>
      </c>
      <c r="H61" s="1">
        <f>ROUND(Scores_2017!V65,$A$1)</f>
        <v>50</v>
      </c>
      <c r="I61" s="1">
        <f>ROUND(Scores_2017!W65,$A$1)</f>
        <v>50</v>
      </c>
      <c r="J61" s="1">
        <f>ROUND(Scores_2017!X65,$A$1)</f>
        <v>75</v>
      </c>
      <c r="K61" s="1">
        <f>ROUND(Scores_2017!Y65,$A$1)</f>
        <v>50</v>
      </c>
      <c r="L61" s="1">
        <f>ROUND(Scores_2017!Z65,$A$1)</f>
        <v>75</v>
      </c>
      <c r="M61" s="1">
        <f>ROUND(Scores_2017!AA65,$A$1)</f>
        <v>50</v>
      </c>
      <c r="N61" s="1">
        <f>ROUND(Scores_2017!AB65,$A$1)</f>
        <v>75</v>
      </c>
      <c r="O61" s="1">
        <f>ROUND(Scores_2017!AC65,$A$1)</f>
        <v>75</v>
      </c>
      <c r="P61" s="1">
        <f>ROUND(Scores_2017!AD65,$A$1)</f>
        <v>50</v>
      </c>
      <c r="Q61" s="1">
        <f>ROUND(Scores_2017!AE65,$A$1)</f>
        <v>25</v>
      </c>
      <c r="R61" s="1">
        <f>ROUND(Scores_2017!AF65,$A$1)</f>
        <v>75</v>
      </c>
      <c r="S61" s="1">
        <f>ROUND(Scores_2017!AG65,$A$1)</f>
        <v>75</v>
      </c>
      <c r="T61" s="1">
        <f>ROUND(Scores_2017!AH65,$A$1)</f>
        <v>75</v>
      </c>
      <c r="U61" s="1">
        <f>ROUND(Scores_2017!AI65,$A$1)</f>
        <v>100</v>
      </c>
      <c r="V61" s="1">
        <f>ROUND(Scores_2017!AJ65,$A$1)</f>
        <v>25</v>
      </c>
      <c r="W61" s="1">
        <f>ROUND(Scores_2017!AK65,$A$1)</f>
        <v>25</v>
      </c>
      <c r="X61" s="1">
        <f>ROUND(Scores_2017!AL65,$A$1)</f>
        <v>25</v>
      </c>
      <c r="Y61" s="1">
        <f>ROUND(Scores_2017!AM65,$A$1)</f>
        <v>75</v>
      </c>
      <c r="Z61" s="1">
        <f>ROUND(Scores_2017!AN65,$A$1)</f>
        <v>0</v>
      </c>
      <c r="AA61" s="1">
        <f>ROUND(Scores_2017!AO65,$A$1)</f>
        <v>75</v>
      </c>
      <c r="AB61" s="1">
        <f>ROUND(Scores_2017!AP65,$A$1)</f>
        <v>75</v>
      </c>
      <c r="AC61" s="1">
        <f>ROUND(Scores_2017!AQ65,$A$1)</f>
        <v>75</v>
      </c>
      <c r="AD61" s="1">
        <f>ROUND(Scores_2017!AR65,$A$1)</f>
        <v>50</v>
      </c>
      <c r="AE61" s="1">
        <f>ROUND(Scores_2017!AS65,$A$1)</f>
        <v>75</v>
      </c>
      <c r="AF61" s="1">
        <f>ROUND(Scores_2017!AT65,$A$1)</f>
        <v>75</v>
      </c>
      <c r="AG61" s="1">
        <f>ROUND(Scores_2017!AU65,$A$1)</f>
        <v>50</v>
      </c>
      <c r="AH61" s="1">
        <f>ROUND(Scores_2017!AV65,$A$1)</f>
        <v>100</v>
      </c>
      <c r="AI61" s="1">
        <f>ROUND(Scores_2017!AW65,$A$1)</f>
        <v>50</v>
      </c>
      <c r="AJ61" s="1">
        <f>ROUND(Scores_2017!AX65,$A$1)</f>
        <v>100</v>
      </c>
      <c r="AK61" s="1">
        <f>ROUND(Scores_2017!AY65,$A$1)</f>
        <v>50</v>
      </c>
      <c r="AL61" s="1">
        <f>ROUND(Scores_2017!AZ65,$A$1)</f>
        <v>50</v>
      </c>
      <c r="AM61" s="1">
        <f>ROUND(Scores_2017!BA65,$A$1)</f>
        <v>50</v>
      </c>
      <c r="AN61" s="1">
        <f>ROUND(Scores_2017!BB65,$A$1)</f>
        <v>75</v>
      </c>
      <c r="AO61" s="1">
        <f>ROUND(Scores_2017!BC65,$A$1)</f>
        <v>25</v>
      </c>
      <c r="AP61" s="1">
        <f>ROUND(Scores_2017!BD65,$A$1)</f>
        <v>75</v>
      </c>
      <c r="AQ61" s="1">
        <f>ROUND(Scores_2017!BE65,$A$1)</f>
        <v>75</v>
      </c>
      <c r="AR61" s="1">
        <f>ROUND(Scores_2017!BF65,$A$1)</f>
        <v>50</v>
      </c>
      <c r="AS61" s="1">
        <f>ROUND(Scores_2017!BG65,$A$1)</f>
        <v>75</v>
      </c>
      <c r="AT61" s="1">
        <f>ROUND(Scores_2017!BH65,$A$1)</f>
        <v>75</v>
      </c>
      <c r="AU61" s="1">
        <f>ROUND(Scores_2017!BI65,$A$1)</f>
        <v>100</v>
      </c>
      <c r="AV61" s="1">
        <f>ROUND(Scores_2017!BJ65,$A$1)</f>
        <v>75</v>
      </c>
      <c r="AW61" s="1">
        <f>ROUND(Scores_2017!BK65,$A$1)</f>
        <v>75</v>
      </c>
      <c r="AX61" s="1">
        <f>ROUND(Scores_2017!BL65,$A$1)</f>
        <v>100</v>
      </c>
      <c r="AY61" s="1">
        <f>ROUND(Scores_2017!BM65,$A$1)</f>
        <v>75</v>
      </c>
      <c r="AZ61" s="1">
        <f>ROUND(Scores_2017!BN65,$A$1)</f>
        <v>100</v>
      </c>
      <c r="BA61" s="1">
        <f>ROUND(Scores_2017!BO65,$A$1)</f>
        <v>75</v>
      </c>
      <c r="BB61" s="1">
        <f>ROUND(Scores_2017!BP65,$A$1)</f>
        <v>100</v>
      </c>
      <c r="BC61" s="1">
        <f>ROUND(Scores_2017!BQ65,$A$1)</f>
        <v>50</v>
      </c>
      <c r="BD61" s="1">
        <f>ROUND(Scores_2017!BR65,$A$1)</f>
        <v>75</v>
      </c>
      <c r="BE61" s="1">
        <f>ROUND(Scores_2017!BS65,$A$1)</f>
        <v>100</v>
      </c>
      <c r="BF61" s="1">
        <f>ROUND(Scores_2017!BT65,$A$1)</f>
        <v>75</v>
      </c>
      <c r="BG61" s="1">
        <f>ROUND(Scores_2017!BU65,$A$1)</f>
        <v>100</v>
      </c>
      <c r="BH61" s="1">
        <f>ROUND(Scores_2017!BV65,$A$1)</f>
        <v>75</v>
      </c>
      <c r="BI61" s="1">
        <f>ROUND(Scores_2017!BW65,$A$1)</f>
        <v>75</v>
      </c>
      <c r="BJ61" s="1">
        <f>ROUND(Scores_2017!BX65,$A$1)</f>
        <v>75</v>
      </c>
      <c r="BL61" s="1">
        <f t="shared" si="1"/>
        <v>67.6229508196721</v>
      </c>
    </row>
    <row r="62" spans="1:64">
      <c r="A62" s="1" t="str">
        <f>Scores_2017!N66</f>
        <v>   4.2.11) Threat of military conflict</v>
      </c>
      <c r="B62" s="1">
        <f>ROUND(Scores_2017!P66,$A$1)</f>
        <v>100</v>
      </c>
      <c r="C62" s="1">
        <f>ROUND(Scores_2017!Q66,$A$1)</f>
        <v>100</v>
      </c>
      <c r="D62" s="1">
        <f>ROUND(Scores_2017!R66,$A$1)</f>
        <v>75</v>
      </c>
      <c r="E62" s="1">
        <f>ROUND(Scores_2017!S66,$A$1)</f>
        <v>50</v>
      </c>
      <c r="F62" s="1">
        <f>ROUND(Scores_2017!T66,$A$1)</f>
        <v>100</v>
      </c>
      <c r="G62" s="1">
        <f>ROUND(Scores_2017!U66,$A$1)</f>
        <v>75</v>
      </c>
      <c r="H62" s="1">
        <f>ROUND(Scores_2017!V66,$A$1)</f>
        <v>50</v>
      </c>
      <c r="I62" s="1">
        <f>ROUND(Scores_2017!W66,$A$1)</f>
        <v>100</v>
      </c>
      <c r="J62" s="1">
        <f>ROUND(Scores_2017!X66,$A$1)</f>
        <v>100</v>
      </c>
      <c r="K62" s="1">
        <f>ROUND(Scores_2017!Y66,$A$1)</f>
        <v>75</v>
      </c>
      <c r="L62" s="1">
        <f>ROUND(Scores_2017!Z66,$A$1)</f>
        <v>75</v>
      </c>
      <c r="M62" s="1">
        <f>ROUND(Scores_2017!AA66,$A$1)</f>
        <v>75</v>
      </c>
      <c r="N62" s="1">
        <f>ROUND(Scores_2017!AB66,$A$1)</f>
        <v>100</v>
      </c>
      <c r="O62" s="1">
        <f>ROUND(Scores_2017!AC66,$A$1)</f>
        <v>100</v>
      </c>
      <c r="P62" s="1">
        <f>ROUND(Scores_2017!AD66,$A$1)</f>
        <v>75</v>
      </c>
      <c r="Q62" s="1">
        <f>ROUND(Scores_2017!AE66,$A$1)</f>
        <v>75</v>
      </c>
      <c r="R62" s="1">
        <f>ROUND(Scores_2017!AF66,$A$1)</f>
        <v>75</v>
      </c>
      <c r="S62" s="1">
        <f>ROUND(Scores_2017!AG66,$A$1)</f>
        <v>100</v>
      </c>
      <c r="T62" s="1">
        <f>ROUND(Scores_2017!AH66,$A$1)</f>
        <v>75</v>
      </c>
      <c r="U62" s="1">
        <f>ROUND(Scores_2017!AI66,$A$1)</f>
        <v>100</v>
      </c>
      <c r="V62" s="1">
        <f>ROUND(Scores_2017!AJ66,$A$1)</f>
        <v>50</v>
      </c>
      <c r="W62" s="1">
        <f>ROUND(Scores_2017!AK66,$A$1)</f>
        <v>100</v>
      </c>
      <c r="X62" s="1">
        <f>ROUND(Scores_2017!AL66,$A$1)</f>
        <v>75</v>
      </c>
      <c r="Y62" s="1">
        <f>ROUND(Scores_2017!AM66,$A$1)</f>
        <v>100</v>
      </c>
      <c r="Z62" s="1">
        <f>ROUND(Scores_2017!AN66,$A$1)</f>
        <v>25</v>
      </c>
      <c r="AA62" s="1">
        <f>ROUND(Scores_2017!AO66,$A$1)</f>
        <v>100</v>
      </c>
      <c r="AB62" s="1">
        <f>ROUND(Scores_2017!AP66,$A$1)</f>
        <v>75</v>
      </c>
      <c r="AC62" s="1">
        <f>ROUND(Scores_2017!AQ66,$A$1)</f>
        <v>75</v>
      </c>
      <c r="AD62" s="1">
        <f>ROUND(Scores_2017!AR66,$A$1)</f>
        <v>100</v>
      </c>
      <c r="AE62" s="1">
        <f>ROUND(Scores_2017!AS66,$A$1)</f>
        <v>100</v>
      </c>
      <c r="AF62" s="1">
        <f>ROUND(Scores_2017!AT66,$A$1)</f>
        <v>100</v>
      </c>
      <c r="AG62" s="1">
        <f>ROUND(Scores_2017!AU66,$A$1)</f>
        <v>75</v>
      </c>
      <c r="AH62" s="1">
        <f>ROUND(Scores_2017!AV66,$A$1)</f>
        <v>100</v>
      </c>
      <c r="AI62" s="1">
        <f>ROUND(Scores_2017!AW66,$A$1)</f>
        <v>100</v>
      </c>
      <c r="AJ62" s="1">
        <f>ROUND(Scores_2017!AX66,$A$1)</f>
        <v>100</v>
      </c>
      <c r="AK62" s="1">
        <f>ROUND(Scores_2017!AY66,$A$1)</f>
        <v>50</v>
      </c>
      <c r="AL62" s="1">
        <f>ROUND(Scores_2017!AZ66,$A$1)</f>
        <v>75</v>
      </c>
      <c r="AM62" s="1">
        <f>ROUND(Scores_2017!BA66,$A$1)</f>
        <v>100</v>
      </c>
      <c r="AN62" s="1">
        <f>ROUND(Scores_2017!BB66,$A$1)</f>
        <v>100</v>
      </c>
      <c r="AO62" s="1">
        <f>ROUND(Scores_2017!BC66,$A$1)</f>
        <v>100</v>
      </c>
      <c r="AP62" s="1">
        <f>ROUND(Scores_2017!BD66,$A$1)</f>
        <v>100</v>
      </c>
      <c r="AQ62" s="1">
        <f>ROUND(Scores_2017!BE66,$A$1)</f>
        <v>100</v>
      </c>
      <c r="AR62" s="1">
        <f>ROUND(Scores_2017!BF66,$A$1)</f>
        <v>75</v>
      </c>
      <c r="AS62" s="1">
        <f>ROUND(Scores_2017!BG66,$A$1)</f>
        <v>100</v>
      </c>
      <c r="AT62" s="1">
        <f>ROUND(Scores_2017!BH66,$A$1)</f>
        <v>100</v>
      </c>
      <c r="AU62" s="1">
        <f>ROUND(Scores_2017!BI66,$A$1)</f>
        <v>100</v>
      </c>
      <c r="AV62" s="1">
        <f>ROUND(Scores_2017!BJ66,$A$1)</f>
        <v>100</v>
      </c>
      <c r="AW62" s="1">
        <f>ROUND(Scores_2017!BK66,$A$1)</f>
        <v>50</v>
      </c>
      <c r="AX62" s="1">
        <f>ROUND(Scores_2017!BL66,$A$1)</f>
        <v>75</v>
      </c>
      <c r="AY62" s="1">
        <f>ROUND(Scores_2017!BM66,$A$1)</f>
        <v>100</v>
      </c>
      <c r="AZ62" s="1">
        <f>ROUND(Scores_2017!BN66,$A$1)</f>
        <v>100</v>
      </c>
      <c r="BA62" s="1">
        <f>ROUND(Scores_2017!BO66,$A$1)</f>
        <v>100</v>
      </c>
      <c r="BB62" s="1">
        <f>ROUND(Scores_2017!BP66,$A$1)</f>
        <v>100</v>
      </c>
      <c r="BC62" s="1">
        <f>ROUND(Scores_2017!BQ66,$A$1)</f>
        <v>75</v>
      </c>
      <c r="BD62" s="1">
        <f>ROUND(Scores_2017!BR66,$A$1)</f>
        <v>100</v>
      </c>
      <c r="BE62" s="1">
        <f>ROUND(Scores_2017!BS66,$A$1)</f>
        <v>100</v>
      </c>
      <c r="BF62" s="1">
        <f>ROUND(Scores_2017!BT66,$A$1)</f>
        <v>100</v>
      </c>
      <c r="BG62" s="1">
        <f>ROUND(Scores_2017!BU66,$A$1)</f>
        <v>100</v>
      </c>
      <c r="BH62" s="1">
        <f>ROUND(Scores_2017!BV66,$A$1)</f>
        <v>75</v>
      </c>
      <c r="BI62" s="1">
        <f>ROUND(Scores_2017!BW66,$A$1)</f>
        <v>100</v>
      </c>
      <c r="BJ62" s="1">
        <f>ROUND(Scores_2017!BX66,$A$1)</f>
        <v>100</v>
      </c>
      <c r="BL62" s="1">
        <f t="shared" si="1"/>
        <v>87.2950819672131</v>
      </c>
    </row>
    <row r="63" spans="1:64">
      <c r="A63" s="1" t="str">
        <f>Scores_2017!N67</f>
        <v>   4.2.12) Threat of civil unrest</v>
      </c>
      <c r="B63" s="1">
        <f>ROUND(Scores_2017!P67,$A$1)</f>
        <v>75</v>
      </c>
      <c r="C63" s="1">
        <f>ROUND(Scores_2017!Q67,$A$1)</f>
        <v>75</v>
      </c>
      <c r="D63" s="1">
        <f>ROUND(Scores_2017!R67,$A$1)</f>
        <v>50</v>
      </c>
      <c r="E63" s="1">
        <f>ROUND(Scores_2017!S67,$A$1)</f>
        <v>25</v>
      </c>
      <c r="F63" s="1">
        <f>ROUND(Scores_2017!T67,$A$1)</f>
        <v>75</v>
      </c>
      <c r="G63" s="1">
        <f>ROUND(Scores_2017!U67,$A$1)</f>
        <v>75</v>
      </c>
      <c r="H63" s="1">
        <f>ROUND(Scores_2017!V67,$A$1)</f>
        <v>50</v>
      </c>
      <c r="I63" s="1">
        <f>ROUND(Scores_2017!W67,$A$1)</f>
        <v>100</v>
      </c>
      <c r="J63" s="1">
        <f>ROUND(Scores_2017!X67,$A$1)</f>
        <v>50</v>
      </c>
      <c r="K63" s="1">
        <f>ROUND(Scores_2017!Y67,$A$1)</f>
        <v>25</v>
      </c>
      <c r="L63" s="1">
        <f>ROUND(Scores_2017!Z67,$A$1)</f>
        <v>25</v>
      </c>
      <c r="M63" s="1">
        <f>ROUND(Scores_2017!AA67,$A$1)</f>
        <v>50</v>
      </c>
      <c r="N63" s="1">
        <f>ROUND(Scores_2017!AB67,$A$1)</f>
        <v>75</v>
      </c>
      <c r="O63" s="1">
        <f>ROUND(Scores_2017!AC67,$A$1)</f>
        <v>75</v>
      </c>
      <c r="P63" s="1">
        <f>ROUND(Scores_2017!AD67,$A$1)</f>
        <v>50</v>
      </c>
      <c r="Q63" s="1">
        <f>ROUND(Scores_2017!AE67,$A$1)</f>
        <v>50</v>
      </c>
      <c r="R63" s="1">
        <f>ROUND(Scores_2017!AF67,$A$1)</f>
        <v>75</v>
      </c>
      <c r="S63" s="1">
        <f>ROUND(Scores_2017!AG67,$A$1)</f>
        <v>75</v>
      </c>
      <c r="T63" s="1">
        <f>ROUND(Scores_2017!AH67,$A$1)</f>
        <v>50</v>
      </c>
      <c r="U63" s="1">
        <f>ROUND(Scores_2017!AI67,$A$1)</f>
        <v>50</v>
      </c>
      <c r="V63" s="1">
        <f>ROUND(Scores_2017!AJ67,$A$1)</f>
        <v>50</v>
      </c>
      <c r="W63" s="1">
        <f>ROUND(Scores_2017!AK67,$A$1)</f>
        <v>25</v>
      </c>
      <c r="X63" s="1">
        <f>ROUND(Scores_2017!AL67,$A$1)</f>
        <v>75</v>
      </c>
      <c r="Y63" s="1">
        <f>ROUND(Scores_2017!AM67,$A$1)</f>
        <v>75</v>
      </c>
      <c r="Z63" s="1">
        <f>ROUND(Scores_2017!AN67,$A$1)</f>
        <v>25</v>
      </c>
      <c r="AA63" s="1">
        <f>ROUND(Scores_2017!AO67,$A$1)</f>
        <v>100</v>
      </c>
      <c r="AB63" s="1">
        <f>ROUND(Scores_2017!AP67,$A$1)</f>
        <v>75</v>
      </c>
      <c r="AC63" s="1">
        <f>ROUND(Scores_2017!AQ67,$A$1)</f>
        <v>50</v>
      </c>
      <c r="AD63" s="1">
        <f>ROUND(Scores_2017!AR67,$A$1)</f>
        <v>75</v>
      </c>
      <c r="AE63" s="1">
        <f>ROUND(Scores_2017!AS67,$A$1)</f>
        <v>50</v>
      </c>
      <c r="AF63" s="1">
        <f>ROUND(Scores_2017!AT67,$A$1)</f>
        <v>75</v>
      </c>
      <c r="AG63" s="1">
        <f>ROUND(Scores_2017!AU67,$A$1)</f>
        <v>50</v>
      </c>
      <c r="AH63" s="1">
        <f>ROUND(Scores_2017!AV67,$A$1)</f>
        <v>100</v>
      </c>
      <c r="AI63" s="1">
        <f>ROUND(Scores_2017!AW67,$A$1)</f>
        <v>50</v>
      </c>
      <c r="AJ63" s="1">
        <f>ROUND(Scores_2017!AX67,$A$1)</f>
        <v>75</v>
      </c>
      <c r="AK63" s="1">
        <f>ROUND(Scores_2017!AY67,$A$1)</f>
        <v>50</v>
      </c>
      <c r="AL63" s="1">
        <f>ROUND(Scores_2017!AZ67,$A$1)</f>
        <v>75</v>
      </c>
      <c r="AM63" s="1">
        <f>ROUND(Scores_2017!BA67,$A$1)</f>
        <v>50</v>
      </c>
      <c r="AN63" s="1">
        <f>ROUND(Scores_2017!BB67,$A$1)</f>
        <v>100</v>
      </c>
      <c r="AO63" s="1">
        <f>ROUND(Scores_2017!BC67,$A$1)</f>
        <v>75</v>
      </c>
      <c r="AP63" s="1">
        <f>ROUND(Scores_2017!BD67,$A$1)</f>
        <v>50</v>
      </c>
      <c r="AQ63" s="1">
        <f>ROUND(Scores_2017!BE67,$A$1)</f>
        <v>50</v>
      </c>
      <c r="AR63" s="1">
        <f>ROUND(Scores_2017!BF67,$A$1)</f>
        <v>75</v>
      </c>
      <c r="AS63" s="1">
        <f>ROUND(Scores_2017!BG67,$A$1)</f>
        <v>75</v>
      </c>
      <c r="AT63" s="1">
        <f>ROUND(Scores_2017!BH67,$A$1)</f>
        <v>75</v>
      </c>
      <c r="AU63" s="1">
        <f>ROUND(Scores_2017!BI67,$A$1)</f>
        <v>75</v>
      </c>
      <c r="AV63" s="1">
        <f>ROUND(Scores_2017!BJ67,$A$1)</f>
        <v>50</v>
      </c>
      <c r="AW63" s="1">
        <f>ROUND(Scores_2017!BK67,$A$1)</f>
        <v>75</v>
      </c>
      <c r="AX63" s="1">
        <f>ROUND(Scores_2017!BL67,$A$1)</f>
        <v>50</v>
      </c>
      <c r="AY63" s="1">
        <f>ROUND(Scores_2017!BM67,$A$1)</f>
        <v>100</v>
      </c>
      <c r="AZ63" s="1">
        <f>ROUND(Scores_2017!BN67,$A$1)</f>
        <v>100</v>
      </c>
      <c r="BA63" s="1">
        <f>ROUND(Scores_2017!BO67,$A$1)</f>
        <v>100</v>
      </c>
      <c r="BB63" s="1">
        <f>ROUND(Scores_2017!BP67,$A$1)</f>
        <v>75</v>
      </c>
      <c r="BC63" s="1">
        <f>ROUND(Scores_2017!BQ67,$A$1)</f>
        <v>75</v>
      </c>
      <c r="BD63" s="1">
        <f>ROUND(Scores_2017!BR67,$A$1)</f>
        <v>100</v>
      </c>
      <c r="BE63" s="1">
        <f>ROUND(Scores_2017!BS67,$A$1)</f>
        <v>100</v>
      </c>
      <c r="BF63" s="1">
        <f>ROUND(Scores_2017!BT67,$A$1)</f>
        <v>75</v>
      </c>
      <c r="BG63" s="1">
        <f>ROUND(Scores_2017!BU67,$A$1)</f>
        <v>100</v>
      </c>
      <c r="BH63" s="1">
        <f>ROUND(Scores_2017!BV67,$A$1)</f>
        <v>50</v>
      </c>
      <c r="BI63" s="1">
        <f>ROUND(Scores_2017!BW67,$A$1)</f>
        <v>100</v>
      </c>
      <c r="BJ63" s="1">
        <f>ROUND(Scores_2017!BX67,$A$1)</f>
        <v>100</v>
      </c>
      <c r="BL63" s="1">
        <f t="shared" si="1"/>
        <v>67.6229508196721</v>
      </c>
    </row>
    <row r="65" spans="1:1">
      <c r="A65" s="1" t="s">
        <v>1017</v>
      </c>
    </row>
    <row r="67" spans="1:62">
      <c r="A67" s="1" t="str">
        <f>A2</f>
        <v>OVERALL SCORE</v>
      </c>
      <c r="B67" s="1">
        <f>RANK(B2,$B2:$BI2,0)</f>
        <v>28</v>
      </c>
      <c r="C67" s="1">
        <f t="shared" ref="C67:BI71" si="2">RANK(C2,$B2:$BI2,0)</f>
        <v>6</v>
      </c>
      <c r="D67" s="1">
        <f t="shared" si="2"/>
        <v>33</v>
      </c>
      <c r="E67" s="1">
        <f t="shared" si="2"/>
        <v>49</v>
      </c>
      <c r="F67" s="1">
        <f t="shared" si="2"/>
        <v>13</v>
      </c>
      <c r="G67" s="1">
        <f t="shared" si="2"/>
        <v>32</v>
      </c>
      <c r="H67" s="1">
        <f t="shared" si="2"/>
        <v>46</v>
      </c>
      <c r="I67" s="1">
        <f t="shared" si="2"/>
        <v>17</v>
      </c>
      <c r="J67" s="1">
        <f t="shared" si="2"/>
        <v>29</v>
      </c>
      <c r="K67" s="1">
        <f t="shared" si="2"/>
        <v>51</v>
      </c>
      <c r="L67" s="1">
        <f t="shared" si="2"/>
        <v>54</v>
      </c>
      <c r="M67" s="1">
        <f t="shared" si="2"/>
        <v>48</v>
      </c>
      <c r="N67" s="1">
        <f t="shared" si="2"/>
        <v>19</v>
      </c>
      <c r="O67" s="1">
        <f t="shared" si="2"/>
        <v>26</v>
      </c>
      <c r="P67" s="1">
        <f t="shared" si="2"/>
        <v>43</v>
      </c>
      <c r="Q67" s="1">
        <f t="shared" si="2"/>
        <v>58</v>
      </c>
      <c r="R67" s="1">
        <f t="shared" si="2"/>
        <v>30</v>
      </c>
      <c r="S67" s="1">
        <f t="shared" si="2"/>
        <v>11</v>
      </c>
      <c r="T67" s="1">
        <f t="shared" si="2"/>
        <v>56</v>
      </c>
      <c r="U67" s="1">
        <f t="shared" si="2"/>
        <v>9</v>
      </c>
      <c r="V67" s="1">
        <f t="shared" si="2"/>
        <v>40</v>
      </c>
      <c r="W67" s="1">
        <f t="shared" si="2"/>
        <v>57</v>
      </c>
      <c r="X67" s="1">
        <f t="shared" si="2"/>
        <v>42</v>
      </c>
      <c r="Y67" s="1">
        <f t="shared" si="2"/>
        <v>50</v>
      </c>
      <c r="Z67" s="1">
        <f t="shared" si="2"/>
        <v>60</v>
      </c>
      <c r="AA67" s="1">
        <f t="shared" si="2"/>
        <v>31</v>
      </c>
      <c r="AB67" s="1">
        <f t="shared" si="2"/>
        <v>36</v>
      </c>
      <c r="AC67" s="1">
        <f t="shared" si="2"/>
        <v>44</v>
      </c>
      <c r="AD67" s="1">
        <f t="shared" si="2"/>
        <v>20</v>
      </c>
      <c r="AE67" s="1">
        <f t="shared" si="2"/>
        <v>18</v>
      </c>
      <c r="AF67" s="1">
        <f t="shared" si="2"/>
        <v>12</v>
      </c>
      <c r="AG67" s="1">
        <f t="shared" si="2"/>
        <v>55</v>
      </c>
      <c r="AH67" s="1">
        <f t="shared" si="2"/>
        <v>5</v>
      </c>
      <c r="AI67" s="1">
        <f t="shared" si="2"/>
        <v>39</v>
      </c>
      <c r="AJ67" s="1">
        <f t="shared" si="2"/>
        <v>25</v>
      </c>
      <c r="AK67" s="1">
        <f t="shared" si="2"/>
        <v>41</v>
      </c>
      <c r="AL67" s="1">
        <f t="shared" si="2"/>
        <v>45</v>
      </c>
      <c r="AM67" s="1">
        <f t="shared" si="2"/>
        <v>21</v>
      </c>
      <c r="AN67" s="1">
        <f t="shared" si="2"/>
        <v>3</v>
      </c>
      <c r="AO67" s="1">
        <f t="shared" si="2"/>
        <v>24</v>
      </c>
      <c r="AP67" s="1">
        <f t="shared" si="2"/>
        <v>53</v>
      </c>
      <c r="AQ67" s="1">
        <f t="shared" si="2"/>
        <v>37</v>
      </c>
      <c r="AR67" s="1">
        <f t="shared" si="2"/>
        <v>47</v>
      </c>
      <c r="AS67" s="1">
        <f t="shared" si="2"/>
        <v>27</v>
      </c>
      <c r="AT67" s="1">
        <f t="shared" si="2"/>
        <v>15</v>
      </c>
      <c r="AU67" s="1">
        <f t="shared" si="2"/>
        <v>35</v>
      </c>
      <c r="AV67" s="1">
        <f t="shared" si="2"/>
        <v>38</v>
      </c>
      <c r="AW67" s="1">
        <f t="shared" si="2"/>
        <v>14</v>
      </c>
      <c r="AX67" s="1">
        <f t="shared" si="2"/>
        <v>34</v>
      </c>
      <c r="AY67" s="1">
        <f t="shared" si="2"/>
        <v>2</v>
      </c>
      <c r="AZ67" s="1">
        <f t="shared" si="2"/>
        <v>8</v>
      </c>
      <c r="BA67" s="1">
        <f t="shared" si="2"/>
        <v>7</v>
      </c>
      <c r="BB67" s="1">
        <f t="shared" si="2"/>
        <v>22</v>
      </c>
      <c r="BC67" s="1">
        <f t="shared" si="2"/>
        <v>52</v>
      </c>
      <c r="BD67" s="1">
        <f t="shared" si="2"/>
        <v>1</v>
      </c>
      <c r="BE67" s="1">
        <f t="shared" si="2"/>
        <v>4</v>
      </c>
      <c r="BF67" s="1">
        <f t="shared" si="2"/>
        <v>23</v>
      </c>
      <c r="BG67" s="1">
        <f t="shared" si="2"/>
        <v>16</v>
      </c>
      <c r="BH67" s="1">
        <f t="shared" si="2"/>
        <v>59</v>
      </c>
      <c r="BI67" s="1">
        <f t="shared" si="2"/>
        <v>10</v>
      </c>
      <c r="BJ67" s="1">
        <f t="shared" ref="BJ67" si="3">RANK(BJ2,$B2:$BJ2,0)</f>
        <v>3</v>
      </c>
    </row>
    <row r="68" spans="1:62">
      <c r="A68" s="1" t="str">
        <f t="shared" ref="A68:A128" si="4">A3</f>
        <v> 1) DIGITAL SECURITY</v>
      </c>
      <c r="B68" s="1">
        <f t="shared" ref="B68:Q128" si="5">RANK(B3,$B3:$BI3,0)</f>
        <v>28</v>
      </c>
      <c r="C68" s="1">
        <f t="shared" si="5"/>
        <v>4</v>
      </c>
      <c r="D68" s="1">
        <f t="shared" si="5"/>
        <v>35</v>
      </c>
      <c r="E68" s="1">
        <f t="shared" si="5"/>
        <v>52</v>
      </c>
      <c r="F68" s="1">
        <f t="shared" si="5"/>
        <v>21</v>
      </c>
      <c r="G68" s="1">
        <f t="shared" si="5"/>
        <v>33</v>
      </c>
      <c r="H68" s="1">
        <f t="shared" si="5"/>
        <v>45</v>
      </c>
      <c r="I68" s="1">
        <f t="shared" si="5"/>
        <v>17</v>
      </c>
      <c r="J68" s="1">
        <f t="shared" si="5"/>
        <v>23</v>
      </c>
      <c r="K68" s="1">
        <f t="shared" si="5"/>
        <v>53</v>
      </c>
      <c r="L68" s="1">
        <f t="shared" si="5"/>
        <v>43</v>
      </c>
      <c r="M68" s="1">
        <f t="shared" si="5"/>
        <v>44</v>
      </c>
      <c r="N68" s="1">
        <f t="shared" si="5"/>
        <v>3</v>
      </c>
      <c r="O68" s="1">
        <f t="shared" si="5"/>
        <v>10</v>
      </c>
      <c r="P68" s="1">
        <f t="shared" si="5"/>
        <v>46</v>
      </c>
      <c r="Q68" s="1">
        <f t="shared" si="5"/>
        <v>58</v>
      </c>
      <c r="R68" s="1">
        <f t="shared" si="2"/>
        <v>34</v>
      </c>
      <c r="S68" s="1">
        <f t="shared" si="2"/>
        <v>16</v>
      </c>
      <c r="T68" s="1">
        <f t="shared" si="2"/>
        <v>56</v>
      </c>
      <c r="U68" s="1">
        <f t="shared" si="2"/>
        <v>5</v>
      </c>
      <c r="V68" s="1">
        <f t="shared" si="2"/>
        <v>36</v>
      </c>
      <c r="W68" s="1">
        <f t="shared" si="2"/>
        <v>60</v>
      </c>
      <c r="X68" s="1">
        <f t="shared" si="2"/>
        <v>32</v>
      </c>
      <c r="Y68" s="1">
        <f t="shared" si="2"/>
        <v>29</v>
      </c>
      <c r="Z68" s="1">
        <f t="shared" si="2"/>
        <v>54</v>
      </c>
      <c r="AA68" s="1">
        <f t="shared" si="2"/>
        <v>30</v>
      </c>
      <c r="AB68" s="1">
        <f t="shared" si="2"/>
        <v>40</v>
      </c>
      <c r="AC68" s="1">
        <f t="shared" si="2"/>
        <v>41</v>
      </c>
      <c r="AD68" s="1">
        <f t="shared" si="2"/>
        <v>24</v>
      </c>
      <c r="AE68" s="1">
        <f t="shared" si="2"/>
        <v>7</v>
      </c>
      <c r="AF68" s="1">
        <f t="shared" si="2"/>
        <v>21</v>
      </c>
      <c r="AG68" s="1">
        <f t="shared" si="2"/>
        <v>59</v>
      </c>
      <c r="AH68" s="1">
        <f t="shared" si="2"/>
        <v>11</v>
      </c>
      <c r="AI68" s="1">
        <f t="shared" si="2"/>
        <v>48</v>
      </c>
      <c r="AJ68" s="1">
        <f t="shared" si="2"/>
        <v>25</v>
      </c>
      <c r="AK68" s="1">
        <f t="shared" si="2"/>
        <v>51</v>
      </c>
      <c r="AL68" s="1">
        <f t="shared" si="2"/>
        <v>46</v>
      </c>
      <c r="AM68" s="1">
        <f t="shared" si="2"/>
        <v>9</v>
      </c>
      <c r="AN68" s="1">
        <f t="shared" si="2"/>
        <v>14</v>
      </c>
      <c r="AO68" s="1">
        <f t="shared" si="2"/>
        <v>27</v>
      </c>
      <c r="AP68" s="1">
        <f t="shared" si="2"/>
        <v>38</v>
      </c>
      <c r="AQ68" s="1">
        <f t="shared" si="2"/>
        <v>49</v>
      </c>
      <c r="AR68" s="1">
        <f t="shared" si="2"/>
        <v>37</v>
      </c>
      <c r="AS68" s="1">
        <f t="shared" si="2"/>
        <v>26</v>
      </c>
      <c r="AT68" s="1">
        <f t="shared" si="2"/>
        <v>7</v>
      </c>
      <c r="AU68" s="1">
        <f t="shared" si="2"/>
        <v>39</v>
      </c>
      <c r="AV68" s="1">
        <f t="shared" si="2"/>
        <v>49</v>
      </c>
      <c r="AW68" s="1">
        <f t="shared" si="2"/>
        <v>18</v>
      </c>
      <c r="AX68" s="1">
        <f t="shared" si="2"/>
        <v>42</v>
      </c>
      <c r="AY68" s="1">
        <f t="shared" si="2"/>
        <v>2</v>
      </c>
      <c r="AZ68" s="1">
        <f t="shared" si="2"/>
        <v>13</v>
      </c>
      <c r="BA68" s="1">
        <f t="shared" si="2"/>
        <v>12</v>
      </c>
      <c r="BB68" s="1">
        <f t="shared" si="2"/>
        <v>31</v>
      </c>
      <c r="BC68" s="1">
        <f t="shared" si="2"/>
        <v>55</v>
      </c>
      <c r="BD68" s="1">
        <f t="shared" si="2"/>
        <v>1</v>
      </c>
      <c r="BE68" s="1">
        <f t="shared" si="2"/>
        <v>6</v>
      </c>
      <c r="BF68" s="1">
        <f t="shared" si="2"/>
        <v>15</v>
      </c>
      <c r="BG68" s="1">
        <f t="shared" si="2"/>
        <v>20</v>
      </c>
      <c r="BH68" s="1">
        <f t="shared" si="2"/>
        <v>57</v>
      </c>
      <c r="BI68" s="1">
        <f t="shared" si="2"/>
        <v>19</v>
      </c>
      <c r="BJ68" s="1">
        <f t="shared" ref="BJ68" si="6">RANK(BJ3,$B3:$BJ3,0)</f>
        <v>14</v>
      </c>
    </row>
    <row r="69" spans="1:62">
      <c r="A69" s="1" t="str">
        <f t="shared" si="4"/>
        <v>  1.1) Digital security (Inputs)</v>
      </c>
      <c r="B69" s="1">
        <f t="shared" si="5"/>
        <v>29</v>
      </c>
      <c r="C69" s="1">
        <f t="shared" si="2"/>
        <v>15</v>
      </c>
      <c r="D69" s="1">
        <f t="shared" si="2"/>
        <v>33</v>
      </c>
      <c r="E69" s="1">
        <f t="shared" si="2"/>
        <v>54</v>
      </c>
      <c r="F69" s="1">
        <f t="shared" si="2"/>
        <v>15</v>
      </c>
      <c r="G69" s="1">
        <f t="shared" si="2"/>
        <v>29</v>
      </c>
      <c r="H69" s="1">
        <f t="shared" si="2"/>
        <v>49</v>
      </c>
      <c r="I69" s="1">
        <f t="shared" si="2"/>
        <v>15</v>
      </c>
      <c r="J69" s="1">
        <f t="shared" si="2"/>
        <v>27</v>
      </c>
      <c r="K69" s="1">
        <f t="shared" si="2"/>
        <v>56</v>
      </c>
      <c r="L69" s="1">
        <f t="shared" si="2"/>
        <v>45</v>
      </c>
      <c r="M69" s="1">
        <f t="shared" si="2"/>
        <v>45</v>
      </c>
      <c r="N69" s="1">
        <f t="shared" si="2"/>
        <v>1</v>
      </c>
      <c r="O69" s="1">
        <f t="shared" si="2"/>
        <v>1</v>
      </c>
      <c r="P69" s="1">
        <f t="shared" si="2"/>
        <v>29</v>
      </c>
      <c r="Q69" s="1">
        <f t="shared" si="2"/>
        <v>56</v>
      </c>
      <c r="R69" s="1">
        <f t="shared" si="2"/>
        <v>35</v>
      </c>
      <c r="S69" s="1">
        <f t="shared" si="2"/>
        <v>15</v>
      </c>
      <c r="T69" s="1">
        <f t="shared" si="2"/>
        <v>58</v>
      </c>
      <c r="U69" s="1">
        <f t="shared" si="2"/>
        <v>1</v>
      </c>
      <c r="V69" s="1">
        <f t="shared" si="2"/>
        <v>33</v>
      </c>
      <c r="W69" s="1">
        <f t="shared" si="2"/>
        <v>54</v>
      </c>
      <c r="X69" s="1">
        <f t="shared" si="2"/>
        <v>35</v>
      </c>
      <c r="Y69" s="1">
        <f t="shared" si="2"/>
        <v>35</v>
      </c>
      <c r="Z69" s="1">
        <f t="shared" si="2"/>
        <v>52</v>
      </c>
      <c r="AA69" s="1">
        <f t="shared" si="2"/>
        <v>35</v>
      </c>
      <c r="AB69" s="1">
        <f t="shared" si="2"/>
        <v>49</v>
      </c>
      <c r="AC69" s="1">
        <f t="shared" si="2"/>
        <v>35</v>
      </c>
      <c r="AD69" s="1">
        <f t="shared" si="2"/>
        <v>15</v>
      </c>
      <c r="AE69" s="1">
        <f t="shared" si="2"/>
        <v>1</v>
      </c>
      <c r="AF69" s="1">
        <f t="shared" si="2"/>
        <v>15</v>
      </c>
      <c r="AG69" s="1">
        <f t="shared" si="2"/>
        <v>53</v>
      </c>
      <c r="AH69" s="1">
        <f t="shared" si="2"/>
        <v>8</v>
      </c>
      <c r="AI69" s="1">
        <f t="shared" si="2"/>
        <v>35</v>
      </c>
      <c r="AJ69" s="1">
        <f t="shared" si="2"/>
        <v>14</v>
      </c>
      <c r="AK69" s="1">
        <f t="shared" si="2"/>
        <v>49</v>
      </c>
      <c r="AL69" s="1">
        <f t="shared" si="2"/>
        <v>29</v>
      </c>
      <c r="AM69" s="1">
        <f t="shared" si="2"/>
        <v>1</v>
      </c>
      <c r="AN69" s="1">
        <f t="shared" si="2"/>
        <v>22</v>
      </c>
      <c r="AO69" s="1">
        <f t="shared" si="2"/>
        <v>25</v>
      </c>
      <c r="AP69" s="1">
        <f t="shared" si="2"/>
        <v>43</v>
      </c>
      <c r="AQ69" s="1">
        <f t="shared" si="2"/>
        <v>47</v>
      </c>
      <c r="AR69" s="1">
        <f t="shared" si="2"/>
        <v>43</v>
      </c>
      <c r="AS69" s="1">
        <f t="shared" si="2"/>
        <v>15</v>
      </c>
      <c r="AT69" s="1">
        <f t="shared" si="2"/>
        <v>1</v>
      </c>
      <c r="AU69" s="1">
        <f t="shared" si="2"/>
        <v>35</v>
      </c>
      <c r="AV69" s="1">
        <f t="shared" si="2"/>
        <v>47</v>
      </c>
      <c r="AW69" s="1">
        <f t="shared" si="2"/>
        <v>27</v>
      </c>
      <c r="AX69" s="1">
        <f t="shared" si="2"/>
        <v>42</v>
      </c>
      <c r="AY69" s="1">
        <f t="shared" si="2"/>
        <v>7</v>
      </c>
      <c r="AZ69" s="1">
        <f t="shared" si="2"/>
        <v>23</v>
      </c>
      <c r="BA69" s="1">
        <f t="shared" si="2"/>
        <v>8</v>
      </c>
      <c r="BB69" s="1">
        <f t="shared" si="2"/>
        <v>12</v>
      </c>
      <c r="BC69" s="1">
        <f t="shared" si="2"/>
        <v>59</v>
      </c>
      <c r="BD69" s="1">
        <f t="shared" si="2"/>
        <v>12</v>
      </c>
      <c r="BE69" s="1">
        <f t="shared" si="2"/>
        <v>8</v>
      </c>
      <c r="BF69" s="1">
        <f t="shared" si="2"/>
        <v>8</v>
      </c>
      <c r="BG69" s="1">
        <f t="shared" si="2"/>
        <v>26</v>
      </c>
      <c r="BH69" s="1">
        <f t="shared" si="2"/>
        <v>59</v>
      </c>
      <c r="BI69" s="1">
        <f t="shared" si="2"/>
        <v>23</v>
      </c>
      <c r="BJ69" s="1">
        <f t="shared" ref="BJ69" si="7">RANK(BJ4,$B4:$BJ4,0)</f>
        <v>22</v>
      </c>
    </row>
    <row r="70" spans="1:62">
      <c r="A70" s="1" t="str">
        <f t="shared" si="4"/>
        <v>   1.1.1) Privacy policy</v>
      </c>
      <c r="B70" s="1">
        <f t="shared" si="5"/>
        <v>33</v>
      </c>
      <c r="C70" s="1">
        <f t="shared" si="2"/>
        <v>1</v>
      </c>
      <c r="D70" s="1">
        <f t="shared" si="2"/>
        <v>21</v>
      </c>
      <c r="E70" s="1">
        <f t="shared" si="2"/>
        <v>46</v>
      </c>
      <c r="F70" s="1">
        <f t="shared" si="2"/>
        <v>1</v>
      </c>
      <c r="G70" s="1">
        <f t="shared" si="2"/>
        <v>21</v>
      </c>
      <c r="H70" s="1">
        <f t="shared" si="2"/>
        <v>33</v>
      </c>
      <c r="I70" s="1">
        <f t="shared" si="2"/>
        <v>1</v>
      </c>
      <c r="J70" s="1">
        <f t="shared" si="2"/>
        <v>21</v>
      </c>
      <c r="K70" s="1">
        <f t="shared" si="2"/>
        <v>33</v>
      </c>
      <c r="L70" s="1">
        <f t="shared" si="2"/>
        <v>46</v>
      </c>
      <c r="M70" s="1">
        <f t="shared" si="2"/>
        <v>21</v>
      </c>
      <c r="N70" s="1">
        <f t="shared" si="2"/>
        <v>1</v>
      </c>
      <c r="O70" s="1">
        <f t="shared" si="2"/>
        <v>1</v>
      </c>
      <c r="P70" s="1">
        <f t="shared" si="2"/>
        <v>46</v>
      </c>
      <c r="Q70" s="1">
        <f t="shared" si="2"/>
        <v>57</v>
      </c>
      <c r="R70" s="1">
        <f t="shared" si="2"/>
        <v>33</v>
      </c>
      <c r="S70" s="1">
        <f t="shared" si="2"/>
        <v>1</v>
      </c>
      <c r="T70" s="1">
        <f t="shared" si="2"/>
        <v>46</v>
      </c>
      <c r="U70" s="1">
        <f t="shared" si="2"/>
        <v>1</v>
      </c>
      <c r="V70" s="1">
        <f t="shared" si="2"/>
        <v>46</v>
      </c>
      <c r="W70" s="1">
        <f t="shared" si="2"/>
        <v>46</v>
      </c>
      <c r="X70" s="1">
        <f t="shared" si="2"/>
        <v>33</v>
      </c>
      <c r="Y70" s="1">
        <f t="shared" si="2"/>
        <v>33</v>
      </c>
      <c r="Z70" s="1">
        <f t="shared" si="2"/>
        <v>46</v>
      </c>
      <c r="AA70" s="1">
        <f t="shared" si="2"/>
        <v>33</v>
      </c>
      <c r="AB70" s="1">
        <f t="shared" si="2"/>
        <v>33</v>
      </c>
      <c r="AC70" s="1">
        <f t="shared" si="2"/>
        <v>33</v>
      </c>
      <c r="AD70" s="1">
        <f t="shared" si="2"/>
        <v>1</v>
      </c>
      <c r="AE70" s="1">
        <f t="shared" si="2"/>
        <v>1</v>
      </c>
      <c r="AF70" s="1">
        <f t="shared" si="2"/>
        <v>1</v>
      </c>
      <c r="AG70" s="1">
        <f t="shared" si="2"/>
        <v>46</v>
      </c>
      <c r="AH70" s="1">
        <f t="shared" si="2"/>
        <v>1</v>
      </c>
      <c r="AI70" s="1">
        <f t="shared" si="2"/>
        <v>33</v>
      </c>
      <c r="AJ70" s="1">
        <f t="shared" si="2"/>
        <v>1</v>
      </c>
      <c r="AK70" s="1">
        <f t="shared" si="2"/>
        <v>33</v>
      </c>
      <c r="AL70" s="1">
        <f t="shared" si="2"/>
        <v>46</v>
      </c>
      <c r="AM70" s="1">
        <f t="shared" si="2"/>
        <v>1</v>
      </c>
      <c r="AN70" s="1">
        <f t="shared" si="2"/>
        <v>21</v>
      </c>
      <c r="AO70" s="1">
        <f t="shared" si="2"/>
        <v>1</v>
      </c>
      <c r="AP70" s="1">
        <f t="shared" si="2"/>
        <v>57</v>
      </c>
      <c r="AQ70" s="1">
        <f t="shared" si="2"/>
        <v>46</v>
      </c>
      <c r="AR70" s="1">
        <f t="shared" si="2"/>
        <v>33</v>
      </c>
      <c r="AS70" s="1">
        <f t="shared" si="2"/>
        <v>1</v>
      </c>
      <c r="AT70" s="1">
        <f t="shared" si="2"/>
        <v>1</v>
      </c>
      <c r="AU70" s="1">
        <f t="shared" si="2"/>
        <v>33</v>
      </c>
      <c r="AV70" s="1">
        <f t="shared" si="2"/>
        <v>46</v>
      </c>
      <c r="AW70" s="1">
        <f t="shared" si="2"/>
        <v>1</v>
      </c>
      <c r="AX70" s="1">
        <f t="shared" si="2"/>
        <v>21</v>
      </c>
      <c r="AY70" s="1">
        <f t="shared" si="2"/>
        <v>21</v>
      </c>
      <c r="AZ70" s="1">
        <f t="shared" si="2"/>
        <v>21</v>
      </c>
      <c r="BA70" s="1">
        <f t="shared" si="2"/>
        <v>1</v>
      </c>
      <c r="BB70" s="1">
        <f t="shared" si="2"/>
        <v>21</v>
      </c>
      <c r="BC70" s="1">
        <f t="shared" si="2"/>
        <v>57</v>
      </c>
      <c r="BD70" s="1">
        <f t="shared" si="2"/>
        <v>21</v>
      </c>
      <c r="BE70" s="1">
        <f t="shared" si="2"/>
        <v>1</v>
      </c>
      <c r="BF70" s="1">
        <f t="shared" si="2"/>
        <v>1</v>
      </c>
      <c r="BG70" s="1">
        <f t="shared" si="2"/>
        <v>21</v>
      </c>
      <c r="BH70" s="1">
        <f t="shared" si="2"/>
        <v>57</v>
      </c>
      <c r="BI70" s="1">
        <f t="shared" si="2"/>
        <v>21</v>
      </c>
      <c r="BJ70" s="1">
        <f t="shared" ref="BJ70" si="8">RANK(BJ5,$B5:$BJ5,0)</f>
        <v>21</v>
      </c>
    </row>
    <row r="71" spans="1:62">
      <c r="A71" s="1" t="str">
        <f t="shared" si="4"/>
        <v>   1.1.2) Citizen awareness of digital threats</v>
      </c>
      <c r="B71" s="1">
        <f t="shared" si="5"/>
        <v>24</v>
      </c>
      <c r="C71" s="1">
        <f t="shared" si="2"/>
        <v>1</v>
      </c>
      <c r="D71" s="1">
        <f t="shared" si="2"/>
        <v>1</v>
      </c>
      <c r="E71" s="1">
        <f t="shared" si="2"/>
        <v>24</v>
      </c>
      <c r="F71" s="1">
        <f t="shared" si="2"/>
        <v>1</v>
      </c>
      <c r="G71" s="1">
        <f t="shared" si="2"/>
        <v>24</v>
      </c>
      <c r="H71" s="1">
        <f t="shared" si="2"/>
        <v>48</v>
      </c>
      <c r="I71" s="1">
        <f t="shared" si="2"/>
        <v>1</v>
      </c>
      <c r="J71" s="1">
        <f t="shared" si="2"/>
        <v>48</v>
      </c>
      <c r="K71" s="1">
        <f t="shared" si="2"/>
        <v>48</v>
      </c>
      <c r="L71" s="1">
        <f t="shared" si="2"/>
        <v>48</v>
      </c>
      <c r="M71" s="1">
        <f t="shared" si="2"/>
        <v>48</v>
      </c>
      <c r="N71" s="1">
        <f t="shared" si="2"/>
        <v>1</v>
      </c>
      <c r="O71" s="1">
        <f t="shared" si="2"/>
        <v>1</v>
      </c>
      <c r="P71" s="1">
        <f t="shared" si="2"/>
        <v>24</v>
      </c>
      <c r="Q71" s="1">
        <f t="shared" si="2"/>
        <v>48</v>
      </c>
      <c r="R71" s="1">
        <f t="shared" si="2"/>
        <v>24</v>
      </c>
      <c r="S71" s="1">
        <f t="shared" si="2"/>
        <v>1</v>
      </c>
      <c r="T71" s="1">
        <f t="shared" si="2"/>
        <v>48</v>
      </c>
      <c r="U71" s="1">
        <f t="shared" si="2"/>
        <v>1</v>
      </c>
      <c r="V71" s="1">
        <f t="shared" si="2"/>
        <v>1</v>
      </c>
      <c r="W71" s="1">
        <f t="shared" si="2"/>
        <v>24</v>
      </c>
      <c r="X71" s="1">
        <f t="shared" si="2"/>
        <v>24</v>
      </c>
      <c r="Y71" s="1">
        <f t="shared" si="2"/>
        <v>24</v>
      </c>
      <c r="Z71" s="1">
        <f t="shared" si="2"/>
        <v>1</v>
      </c>
      <c r="AA71" s="1">
        <f t="shared" si="2"/>
        <v>24</v>
      </c>
      <c r="AB71" s="1">
        <f t="shared" si="2"/>
        <v>48</v>
      </c>
      <c r="AC71" s="1">
        <f t="shared" si="2"/>
        <v>24</v>
      </c>
      <c r="AD71" s="1">
        <f t="shared" si="2"/>
        <v>1</v>
      </c>
      <c r="AE71" s="1">
        <f t="shared" si="2"/>
        <v>1</v>
      </c>
      <c r="AF71" s="1">
        <f t="shared" si="2"/>
        <v>1</v>
      </c>
      <c r="AG71" s="1">
        <f t="shared" si="2"/>
        <v>48</v>
      </c>
      <c r="AH71" s="1">
        <f t="shared" si="2"/>
        <v>1</v>
      </c>
      <c r="AI71" s="1">
        <f t="shared" si="2"/>
        <v>24</v>
      </c>
      <c r="AJ71" s="1">
        <f t="shared" si="2"/>
        <v>24</v>
      </c>
      <c r="AK71" s="1">
        <f t="shared" ref="C71:BI75" si="9">RANK(AK6,$B6:$BI6,0)</f>
        <v>48</v>
      </c>
      <c r="AL71" s="1">
        <f t="shared" si="9"/>
        <v>24</v>
      </c>
      <c r="AM71" s="1">
        <f t="shared" si="9"/>
        <v>1</v>
      </c>
      <c r="AN71" s="1">
        <f t="shared" si="9"/>
        <v>24</v>
      </c>
      <c r="AO71" s="1">
        <f t="shared" si="9"/>
        <v>24</v>
      </c>
      <c r="AP71" s="1">
        <f t="shared" si="9"/>
        <v>24</v>
      </c>
      <c r="AQ71" s="1">
        <f t="shared" si="9"/>
        <v>24</v>
      </c>
      <c r="AR71" s="1">
        <f t="shared" si="9"/>
        <v>24</v>
      </c>
      <c r="AS71" s="1">
        <f t="shared" si="9"/>
        <v>1</v>
      </c>
      <c r="AT71" s="1">
        <f t="shared" si="9"/>
        <v>1</v>
      </c>
      <c r="AU71" s="1">
        <f t="shared" si="9"/>
        <v>24</v>
      </c>
      <c r="AV71" s="1">
        <f t="shared" si="9"/>
        <v>24</v>
      </c>
      <c r="AW71" s="1">
        <f t="shared" si="9"/>
        <v>48</v>
      </c>
      <c r="AX71" s="1">
        <f t="shared" si="9"/>
        <v>24</v>
      </c>
      <c r="AY71" s="1">
        <f t="shared" si="9"/>
        <v>1</v>
      </c>
      <c r="AZ71" s="1">
        <f t="shared" si="9"/>
        <v>1</v>
      </c>
      <c r="BA71" s="1">
        <f t="shared" si="9"/>
        <v>1</v>
      </c>
      <c r="BB71" s="1">
        <f t="shared" si="9"/>
        <v>24</v>
      </c>
      <c r="BC71" s="1">
        <f t="shared" si="9"/>
        <v>48</v>
      </c>
      <c r="BD71" s="1">
        <f t="shared" si="9"/>
        <v>24</v>
      </c>
      <c r="BE71" s="1">
        <f t="shared" si="9"/>
        <v>1</v>
      </c>
      <c r="BF71" s="1">
        <f t="shared" si="9"/>
        <v>1</v>
      </c>
      <c r="BG71" s="1">
        <f t="shared" si="9"/>
        <v>24</v>
      </c>
      <c r="BH71" s="1">
        <f t="shared" si="9"/>
        <v>48</v>
      </c>
      <c r="BI71" s="1">
        <f t="shared" si="9"/>
        <v>1</v>
      </c>
      <c r="BJ71" s="1">
        <f t="shared" ref="BJ71" si="10">RANK(BJ6,$B6:$BJ6,0)</f>
        <v>24</v>
      </c>
    </row>
    <row r="72" spans="1:62">
      <c r="A72" s="1" t="str">
        <f t="shared" si="4"/>
        <v>   1.1.3) Public-private partnerships</v>
      </c>
      <c r="B72" s="1">
        <f t="shared" si="5"/>
        <v>11</v>
      </c>
      <c r="C72" s="1">
        <f t="shared" si="9"/>
        <v>11</v>
      </c>
      <c r="D72" s="1">
        <f t="shared" si="9"/>
        <v>43</v>
      </c>
      <c r="E72" s="1">
        <f t="shared" si="9"/>
        <v>43</v>
      </c>
      <c r="F72" s="1">
        <f t="shared" si="9"/>
        <v>11</v>
      </c>
      <c r="G72" s="1">
        <f t="shared" si="9"/>
        <v>43</v>
      </c>
      <c r="H72" s="1">
        <f t="shared" si="9"/>
        <v>43</v>
      </c>
      <c r="I72" s="1">
        <f t="shared" si="9"/>
        <v>11</v>
      </c>
      <c r="J72" s="1">
        <f t="shared" si="9"/>
        <v>11</v>
      </c>
      <c r="K72" s="1">
        <f t="shared" si="9"/>
        <v>43</v>
      </c>
      <c r="L72" s="1">
        <f t="shared" si="9"/>
        <v>11</v>
      </c>
      <c r="M72" s="1">
        <f t="shared" si="9"/>
        <v>43</v>
      </c>
      <c r="N72" s="1">
        <f t="shared" si="9"/>
        <v>1</v>
      </c>
      <c r="O72" s="1">
        <f t="shared" si="9"/>
        <v>1</v>
      </c>
      <c r="P72" s="1">
        <f t="shared" si="9"/>
        <v>11</v>
      </c>
      <c r="Q72" s="1">
        <f t="shared" si="9"/>
        <v>11</v>
      </c>
      <c r="R72" s="1">
        <f t="shared" si="9"/>
        <v>11</v>
      </c>
      <c r="S72" s="1">
        <f t="shared" si="9"/>
        <v>11</v>
      </c>
      <c r="T72" s="1">
        <f t="shared" si="9"/>
        <v>43</v>
      </c>
      <c r="U72" s="1">
        <f t="shared" si="9"/>
        <v>1</v>
      </c>
      <c r="V72" s="1">
        <f t="shared" si="9"/>
        <v>11</v>
      </c>
      <c r="W72" s="1">
        <f t="shared" si="9"/>
        <v>43</v>
      </c>
      <c r="X72" s="1">
        <f t="shared" si="9"/>
        <v>43</v>
      </c>
      <c r="Y72" s="1">
        <f t="shared" si="9"/>
        <v>11</v>
      </c>
      <c r="Z72" s="1">
        <f t="shared" si="9"/>
        <v>43</v>
      </c>
      <c r="AA72" s="1">
        <f t="shared" si="9"/>
        <v>11</v>
      </c>
      <c r="AB72" s="1">
        <f t="shared" si="9"/>
        <v>43</v>
      </c>
      <c r="AC72" s="1">
        <f t="shared" si="9"/>
        <v>11</v>
      </c>
      <c r="AD72" s="1">
        <f t="shared" si="9"/>
        <v>11</v>
      </c>
      <c r="AE72" s="1">
        <f t="shared" si="9"/>
        <v>1</v>
      </c>
      <c r="AF72" s="1">
        <f t="shared" si="9"/>
        <v>11</v>
      </c>
      <c r="AG72" s="1">
        <f t="shared" si="9"/>
        <v>11</v>
      </c>
      <c r="AH72" s="1">
        <f t="shared" si="9"/>
        <v>11</v>
      </c>
      <c r="AI72" s="1">
        <f t="shared" si="9"/>
        <v>11</v>
      </c>
      <c r="AJ72" s="1">
        <f t="shared" si="9"/>
        <v>1</v>
      </c>
      <c r="AK72" s="1">
        <f t="shared" si="9"/>
        <v>43</v>
      </c>
      <c r="AL72" s="1">
        <f t="shared" si="9"/>
        <v>11</v>
      </c>
      <c r="AM72" s="1">
        <f t="shared" si="9"/>
        <v>1</v>
      </c>
      <c r="AN72" s="1">
        <f t="shared" si="9"/>
        <v>11</v>
      </c>
      <c r="AO72" s="1">
        <f t="shared" si="9"/>
        <v>11</v>
      </c>
      <c r="AP72" s="1">
        <f t="shared" si="9"/>
        <v>11</v>
      </c>
      <c r="AQ72" s="1">
        <f t="shared" si="9"/>
        <v>43</v>
      </c>
      <c r="AR72" s="1">
        <f t="shared" si="9"/>
        <v>43</v>
      </c>
      <c r="AS72" s="1">
        <f t="shared" si="9"/>
        <v>11</v>
      </c>
      <c r="AT72" s="1">
        <f t="shared" si="9"/>
        <v>1</v>
      </c>
      <c r="AU72" s="1">
        <f t="shared" si="9"/>
        <v>11</v>
      </c>
      <c r="AV72" s="1">
        <f t="shared" si="9"/>
        <v>43</v>
      </c>
      <c r="AW72" s="1">
        <f t="shared" si="9"/>
        <v>11</v>
      </c>
      <c r="AX72" s="1">
        <f t="shared" si="9"/>
        <v>43</v>
      </c>
      <c r="AY72" s="1">
        <f t="shared" si="9"/>
        <v>1</v>
      </c>
      <c r="AZ72" s="1">
        <f t="shared" si="9"/>
        <v>11</v>
      </c>
      <c r="BA72" s="1">
        <f t="shared" si="9"/>
        <v>11</v>
      </c>
      <c r="BB72" s="1">
        <f t="shared" si="9"/>
        <v>1</v>
      </c>
      <c r="BC72" s="1">
        <f t="shared" si="9"/>
        <v>43</v>
      </c>
      <c r="BD72" s="1">
        <f t="shared" si="9"/>
        <v>1</v>
      </c>
      <c r="BE72" s="1">
        <f t="shared" si="9"/>
        <v>11</v>
      </c>
      <c r="BF72" s="1">
        <f t="shared" si="9"/>
        <v>11</v>
      </c>
      <c r="BG72" s="1">
        <f t="shared" si="9"/>
        <v>11</v>
      </c>
      <c r="BH72" s="1">
        <f t="shared" si="9"/>
        <v>43</v>
      </c>
      <c r="BI72" s="1">
        <f t="shared" si="9"/>
        <v>11</v>
      </c>
      <c r="BJ72" s="1">
        <f t="shared" ref="BJ72" si="11">RANK(BJ7,$B7:$BJ7,0)</f>
        <v>11</v>
      </c>
    </row>
    <row r="73" spans="1:62">
      <c r="A73" s="1" t="str">
        <f t="shared" si="4"/>
        <v>   1.1.4) Level of technology employed</v>
      </c>
      <c r="B73" s="1">
        <f t="shared" si="5"/>
        <v>1</v>
      </c>
      <c r="C73" s="1">
        <f t="shared" si="9"/>
        <v>1</v>
      </c>
      <c r="D73" s="1">
        <f t="shared" si="9"/>
        <v>29</v>
      </c>
      <c r="E73" s="1">
        <f t="shared" si="9"/>
        <v>52</v>
      </c>
      <c r="F73" s="1">
        <f t="shared" si="9"/>
        <v>1</v>
      </c>
      <c r="G73" s="1">
        <f t="shared" si="9"/>
        <v>29</v>
      </c>
      <c r="H73" s="1">
        <f t="shared" si="9"/>
        <v>29</v>
      </c>
      <c r="I73" s="1">
        <f t="shared" si="9"/>
        <v>1</v>
      </c>
      <c r="J73" s="1">
        <f t="shared" si="9"/>
        <v>29</v>
      </c>
      <c r="K73" s="1">
        <f t="shared" si="9"/>
        <v>52</v>
      </c>
      <c r="L73" s="1">
        <f t="shared" si="9"/>
        <v>29</v>
      </c>
      <c r="M73" s="1">
        <f t="shared" si="9"/>
        <v>29</v>
      </c>
      <c r="N73" s="1">
        <f t="shared" si="9"/>
        <v>1</v>
      </c>
      <c r="O73" s="1">
        <f t="shared" si="9"/>
        <v>1</v>
      </c>
      <c r="P73" s="1">
        <f t="shared" si="9"/>
        <v>29</v>
      </c>
      <c r="Q73" s="1">
        <f t="shared" si="9"/>
        <v>52</v>
      </c>
      <c r="R73" s="1">
        <f t="shared" si="9"/>
        <v>29</v>
      </c>
      <c r="S73" s="1">
        <f t="shared" si="9"/>
        <v>1</v>
      </c>
      <c r="T73" s="1">
        <f t="shared" si="9"/>
        <v>52</v>
      </c>
      <c r="U73" s="1">
        <f t="shared" si="9"/>
        <v>1</v>
      </c>
      <c r="V73" s="1">
        <f t="shared" si="9"/>
        <v>29</v>
      </c>
      <c r="W73" s="1">
        <f t="shared" si="9"/>
        <v>52</v>
      </c>
      <c r="X73" s="1">
        <f t="shared" si="9"/>
        <v>29</v>
      </c>
      <c r="Y73" s="1">
        <f t="shared" si="9"/>
        <v>29</v>
      </c>
      <c r="Z73" s="1">
        <f t="shared" si="9"/>
        <v>52</v>
      </c>
      <c r="AA73" s="1">
        <f t="shared" si="9"/>
        <v>29</v>
      </c>
      <c r="AB73" s="1">
        <f t="shared" si="9"/>
        <v>29</v>
      </c>
      <c r="AC73" s="1">
        <f t="shared" si="9"/>
        <v>29</v>
      </c>
      <c r="AD73" s="1">
        <f t="shared" si="9"/>
        <v>1</v>
      </c>
      <c r="AE73" s="1">
        <f t="shared" si="9"/>
        <v>1</v>
      </c>
      <c r="AF73" s="1">
        <f t="shared" si="9"/>
        <v>1</v>
      </c>
      <c r="AG73" s="1">
        <f t="shared" si="9"/>
        <v>52</v>
      </c>
      <c r="AH73" s="1">
        <f t="shared" si="9"/>
        <v>1</v>
      </c>
      <c r="AI73" s="1">
        <f t="shared" si="9"/>
        <v>29</v>
      </c>
      <c r="AJ73" s="1">
        <f t="shared" si="9"/>
        <v>1</v>
      </c>
      <c r="AK73" s="1">
        <f t="shared" si="9"/>
        <v>29</v>
      </c>
      <c r="AL73" s="1">
        <f t="shared" si="9"/>
        <v>29</v>
      </c>
      <c r="AM73" s="1">
        <f t="shared" si="9"/>
        <v>1</v>
      </c>
      <c r="AN73" s="1">
        <f t="shared" si="9"/>
        <v>1</v>
      </c>
      <c r="AO73" s="1">
        <f t="shared" si="9"/>
        <v>1</v>
      </c>
      <c r="AP73" s="1">
        <f t="shared" si="9"/>
        <v>29</v>
      </c>
      <c r="AQ73" s="1">
        <f t="shared" si="9"/>
        <v>29</v>
      </c>
      <c r="AR73" s="1">
        <f t="shared" si="9"/>
        <v>29</v>
      </c>
      <c r="AS73" s="1">
        <f t="shared" si="9"/>
        <v>1</v>
      </c>
      <c r="AT73" s="1">
        <f t="shared" si="9"/>
        <v>1</v>
      </c>
      <c r="AU73" s="1">
        <f t="shared" si="9"/>
        <v>29</v>
      </c>
      <c r="AV73" s="1">
        <f t="shared" si="9"/>
        <v>29</v>
      </c>
      <c r="AW73" s="1">
        <f t="shared" si="9"/>
        <v>1</v>
      </c>
      <c r="AX73" s="1">
        <f t="shared" si="9"/>
        <v>29</v>
      </c>
      <c r="AY73" s="1">
        <f t="shared" si="9"/>
        <v>1</v>
      </c>
      <c r="AZ73" s="1">
        <f t="shared" si="9"/>
        <v>1</v>
      </c>
      <c r="BA73" s="1">
        <f t="shared" si="9"/>
        <v>1</v>
      </c>
      <c r="BB73" s="1">
        <f t="shared" si="9"/>
        <v>1</v>
      </c>
      <c r="BC73" s="1">
        <f t="shared" si="9"/>
        <v>52</v>
      </c>
      <c r="BD73" s="1">
        <f t="shared" si="9"/>
        <v>1</v>
      </c>
      <c r="BE73" s="1">
        <f t="shared" si="9"/>
        <v>1</v>
      </c>
      <c r="BF73" s="1">
        <f t="shared" si="9"/>
        <v>1</v>
      </c>
      <c r="BG73" s="1">
        <f t="shared" si="9"/>
        <v>1</v>
      </c>
      <c r="BH73" s="1">
        <f t="shared" si="9"/>
        <v>52</v>
      </c>
      <c r="BI73" s="1">
        <f t="shared" si="9"/>
        <v>1</v>
      </c>
      <c r="BJ73" s="1">
        <f t="shared" ref="BJ73" si="12">RANK(BJ8,$B8:$BJ8,0)</f>
        <v>1</v>
      </c>
    </row>
    <row r="74" spans="1:62">
      <c r="A74" s="1" t="str">
        <f t="shared" si="4"/>
        <v>   1.1.5) Dedicated cyber security teams</v>
      </c>
      <c r="B74" s="1">
        <f t="shared" si="5"/>
        <v>20</v>
      </c>
      <c r="C74" s="1">
        <f t="shared" si="9"/>
        <v>20</v>
      </c>
      <c r="D74" s="1">
        <f t="shared" si="9"/>
        <v>20</v>
      </c>
      <c r="E74" s="1">
        <f t="shared" si="9"/>
        <v>20</v>
      </c>
      <c r="F74" s="1">
        <f t="shared" si="9"/>
        <v>20</v>
      </c>
      <c r="G74" s="1">
        <f t="shared" si="9"/>
        <v>1</v>
      </c>
      <c r="H74" s="1">
        <f t="shared" si="9"/>
        <v>20</v>
      </c>
      <c r="I74" s="1">
        <f t="shared" si="9"/>
        <v>20</v>
      </c>
      <c r="J74" s="1">
        <f t="shared" si="9"/>
        <v>1</v>
      </c>
      <c r="K74" s="1">
        <f t="shared" si="9"/>
        <v>20</v>
      </c>
      <c r="L74" s="1">
        <f t="shared" si="9"/>
        <v>20</v>
      </c>
      <c r="M74" s="1">
        <f t="shared" si="9"/>
        <v>20</v>
      </c>
      <c r="N74" s="1">
        <f t="shared" si="9"/>
        <v>1</v>
      </c>
      <c r="O74" s="1">
        <f t="shared" si="9"/>
        <v>1</v>
      </c>
      <c r="P74" s="1">
        <f t="shared" si="9"/>
        <v>1</v>
      </c>
      <c r="Q74" s="1">
        <f t="shared" si="9"/>
        <v>20</v>
      </c>
      <c r="R74" s="1">
        <f t="shared" si="9"/>
        <v>20</v>
      </c>
      <c r="S74" s="1">
        <f t="shared" si="9"/>
        <v>20</v>
      </c>
      <c r="T74" s="1">
        <f t="shared" si="9"/>
        <v>20</v>
      </c>
      <c r="U74" s="1">
        <f t="shared" si="9"/>
        <v>1</v>
      </c>
      <c r="V74" s="1">
        <f t="shared" si="9"/>
        <v>20</v>
      </c>
      <c r="W74" s="1">
        <f t="shared" si="9"/>
        <v>20</v>
      </c>
      <c r="X74" s="1">
        <f t="shared" si="9"/>
        <v>1</v>
      </c>
      <c r="Y74" s="1">
        <f t="shared" si="9"/>
        <v>20</v>
      </c>
      <c r="Z74" s="1">
        <f t="shared" si="9"/>
        <v>20</v>
      </c>
      <c r="AA74" s="1">
        <f t="shared" si="9"/>
        <v>20</v>
      </c>
      <c r="AB74" s="1">
        <f t="shared" si="9"/>
        <v>20</v>
      </c>
      <c r="AC74" s="1">
        <f t="shared" si="9"/>
        <v>20</v>
      </c>
      <c r="AD74" s="1">
        <f t="shared" si="9"/>
        <v>20</v>
      </c>
      <c r="AE74" s="1">
        <f t="shared" si="9"/>
        <v>1</v>
      </c>
      <c r="AF74" s="1">
        <f t="shared" si="9"/>
        <v>20</v>
      </c>
      <c r="AG74" s="1">
        <f t="shared" si="9"/>
        <v>20</v>
      </c>
      <c r="AH74" s="1">
        <f t="shared" si="9"/>
        <v>1</v>
      </c>
      <c r="AI74" s="1">
        <f t="shared" si="9"/>
        <v>20</v>
      </c>
      <c r="AJ74" s="1">
        <f t="shared" si="9"/>
        <v>20</v>
      </c>
      <c r="AK74" s="1">
        <f t="shared" si="9"/>
        <v>20</v>
      </c>
      <c r="AL74" s="1">
        <f t="shared" si="9"/>
        <v>1</v>
      </c>
      <c r="AM74" s="1">
        <f t="shared" si="9"/>
        <v>1</v>
      </c>
      <c r="AN74" s="1">
        <f t="shared" si="9"/>
        <v>1</v>
      </c>
      <c r="AO74" s="1">
        <f t="shared" si="9"/>
        <v>20</v>
      </c>
      <c r="AP74" s="1">
        <f t="shared" si="9"/>
        <v>20</v>
      </c>
      <c r="AQ74" s="1">
        <f t="shared" si="9"/>
        <v>20</v>
      </c>
      <c r="AR74" s="1">
        <f t="shared" si="9"/>
        <v>20</v>
      </c>
      <c r="AS74" s="1">
        <f t="shared" si="9"/>
        <v>20</v>
      </c>
      <c r="AT74" s="1">
        <f t="shared" si="9"/>
        <v>1</v>
      </c>
      <c r="AU74" s="1">
        <f t="shared" si="9"/>
        <v>20</v>
      </c>
      <c r="AV74" s="1">
        <f t="shared" si="9"/>
        <v>20</v>
      </c>
      <c r="AW74" s="1">
        <f t="shared" si="9"/>
        <v>20</v>
      </c>
      <c r="AX74" s="1">
        <f t="shared" si="9"/>
        <v>20</v>
      </c>
      <c r="AY74" s="1">
        <f t="shared" si="9"/>
        <v>1</v>
      </c>
      <c r="AZ74" s="1">
        <f t="shared" si="9"/>
        <v>20</v>
      </c>
      <c r="BA74" s="1">
        <f t="shared" si="9"/>
        <v>1</v>
      </c>
      <c r="BB74" s="1">
        <f t="shared" si="9"/>
        <v>1</v>
      </c>
      <c r="BC74" s="1">
        <f t="shared" si="9"/>
        <v>20</v>
      </c>
      <c r="BD74" s="1">
        <f t="shared" si="9"/>
        <v>1</v>
      </c>
      <c r="BE74" s="1">
        <f t="shared" si="9"/>
        <v>1</v>
      </c>
      <c r="BF74" s="1">
        <f t="shared" si="9"/>
        <v>1</v>
      </c>
      <c r="BG74" s="1">
        <f t="shared" si="9"/>
        <v>20</v>
      </c>
      <c r="BH74" s="1">
        <f t="shared" si="9"/>
        <v>20</v>
      </c>
      <c r="BI74" s="1">
        <f t="shared" si="9"/>
        <v>20</v>
      </c>
      <c r="BJ74" s="1">
        <f t="shared" ref="BJ74" si="13">RANK(BJ9,$B9:$BJ9,0)</f>
        <v>1</v>
      </c>
    </row>
    <row r="75" spans="1:62">
      <c r="A75" s="1" t="str">
        <f t="shared" si="4"/>
        <v>  1.2) Digital security (Outputs)</v>
      </c>
      <c r="B75" s="1">
        <f t="shared" si="5"/>
        <v>16</v>
      </c>
      <c r="C75" s="1">
        <f t="shared" si="9"/>
        <v>1</v>
      </c>
      <c r="D75" s="1">
        <f t="shared" si="9"/>
        <v>39</v>
      </c>
      <c r="E75" s="1">
        <f t="shared" si="9"/>
        <v>49</v>
      </c>
      <c r="F75" s="1">
        <f t="shared" si="9"/>
        <v>31</v>
      </c>
      <c r="G75" s="1">
        <f t="shared" si="9"/>
        <v>35</v>
      </c>
      <c r="H75" s="1">
        <f t="shared" si="9"/>
        <v>34</v>
      </c>
      <c r="I75" s="1">
        <f t="shared" si="9"/>
        <v>11</v>
      </c>
      <c r="J75" s="1">
        <f t="shared" si="9"/>
        <v>6</v>
      </c>
      <c r="K75" s="1">
        <f t="shared" si="9"/>
        <v>50</v>
      </c>
      <c r="L75" s="1">
        <f t="shared" si="9"/>
        <v>27</v>
      </c>
      <c r="M75" s="1">
        <f t="shared" si="9"/>
        <v>33</v>
      </c>
      <c r="N75" s="1">
        <f t="shared" si="9"/>
        <v>19</v>
      </c>
      <c r="O75" s="1">
        <f t="shared" si="9"/>
        <v>30</v>
      </c>
      <c r="P75" s="1">
        <f t="shared" si="9"/>
        <v>56</v>
      </c>
      <c r="Q75" s="1">
        <f t="shared" si="9"/>
        <v>54</v>
      </c>
      <c r="R75" s="1">
        <f t="shared" si="9"/>
        <v>29</v>
      </c>
      <c r="S75" s="1">
        <f t="shared" si="9"/>
        <v>8</v>
      </c>
      <c r="T75" s="1">
        <f t="shared" si="9"/>
        <v>51</v>
      </c>
      <c r="U75" s="1">
        <f t="shared" si="9"/>
        <v>24</v>
      </c>
      <c r="V75" s="1">
        <f t="shared" si="9"/>
        <v>40</v>
      </c>
      <c r="W75" s="1">
        <f t="shared" si="9"/>
        <v>58</v>
      </c>
      <c r="X75" s="1">
        <f t="shared" si="9"/>
        <v>20</v>
      </c>
      <c r="Y75" s="1">
        <f t="shared" si="9"/>
        <v>16</v>
      </c>
      <c r="Z75" s="1">
        <f t="shared" si="9"/>
        <v>53</v>
      </c>
      <c r="AA75" s="1">
        <f t="shared" si="9"/>
        <v>18</v>
      </c>
      <c r="AB75" s="1">
        <f t="shared" si="9"/>
        <v>13</v>
      </c>
      <c r="AC75" s="1">
        <f t="shared" si="9"/>
        <v>46</v>
      </c>
      <c r="AD75" s="1">
        <f t="shared" si="9"/>
        <v>37</v>
      </c>
      <c r="AE75" s="1">
        <f t="shared" si="9"/>
        <v>25</v>
      </c>
      <c r="AF75" s="1">
        <f t="shared" si="9"/>
        <v>31</v>
      </c>
      <c r="AG75" s="1">
        <f t="shared" si="9"/>
        <v>60</v>
      </c>
      <c r="AH75" s="1">
        <f t="shared" si="9"/>
        <v>14</v>
      </c>
      <c r="AI75" s="1">
        <f t="shared" si="9"/>
        <v>55</v>
      </c>
      <c r="AJ75" s="1">
        <f t="shared" si="9"/>
        <v>41</v>
      </c>
      <c r="AK75" s="1">
        <f t="shared" si="9"/>
        <v>52</v>
      </c>
      <c r="AL75" s="1">
        <f t="shared" si="9"/>
        <v>56</v>
      </c>
      <c r="AM75" s="1">
        <f t="shared" si="9"/>
        <v>28</v>
      </c>
      <c r="AN75" s="1">
        <f t="shared" si="9"/>
        <v>5</v>
      </c>
      <c r="AO75" s="1">
        <f t="shared" si="9"/>
        <v>36</v>
      </c>
      <c r="AP75" s="1">
        <f t="shared" si="9"/>
        <v>22</v>
      </c>
      <c r="AQ75" s="1">
        <f t="shared" si="9"/>
        <v>47</v>
      </c>
      <c r="AR75" s="1">
        <f t="shared" si="9"/>
        <v>20</v>
      </c>
      <c r="AS75" s="1">
        <f t="shared" si="9"/>
        <v>41</v>
      </c>
      <c r="AT75" s="1">
        <f t="shared" si="9"/>
        <v>25</v>
      </c>
      <c r="AU75" s="1">
        <f t="shared" si="9"/>
        <v>44</v>
      </c>
      <c r="AV75" s="1">
        <f t="shared" si="9"/>
        <v>47</v>
      </c>
      <c r="AW75" s="1">
        <f t="shared" si="9"/>
        <v>3</v>
      </c>
      <c r="AX75" s="1">
        <f t="shared" si="9"/>
        <v>38</v>
      </c>
      <c r="AY75" s="1">
        <f t="shared" si="9"/>
        <v>12</v>
      </c>
      <c r="AZ75" s="1">
        <f t="shared" si="9"/>
        <v>2</v>
      </c>
      <c r="BA75" s="1">
        <f t="shared" si="9"/>
        <v>15</v>
      </c>
      <c r="BB75" s="1">
        <f t="shared" si="9"/>
        <v>59</v>
      </c>
      <c r="BC75" s="1">
        <f t="shared" si="9"/>
        <v>43</v>
      </c>
      <c r="BD75" s="1">
        <f t="shared" ref="C75:BI80" si="14">RANK(BD10,$B10:$BI10,0)</f>
        <v>4</v>
      </c>
      <c r="BE75" s="1">
        <f t="shared" si="14"/>
        <v>10</v>
      </c>
      <c r="BF75" s="1">
        <f t="shared" si="14"/>
        <v>23</v>
      </c>
      <c r="BG75" s="1">
        <f t="shared" si="14"/>
        <v>7</v>
      </c>
      <c r="BH75" s="1">
        <f t="shared" si="14"/>
        <v>45</v>
      </c>
      <c r="BI75" s="1">
        <f t="shared" si="14"/>
        <v>9</v>
      </c>
      <c r="BJ75" s="1">
        <f t="shared" ref="BJ75" si="15">RANK(BJ10,$B10:$BJ10,0)</f>
        <v>5</v>
      </c>
    </row>
    <row r="76" spans="1:62">
      <c r="A76" s="1" t="str">
        <f t="shared" si="4"/>
        <v>   1.2.1) Frequency of identity theft</v>
      </c>
      <c r="B76" s="1">
        <f t="shared" si="5"/>
        <v>1</v>
      </c>
      <c r="C76" s="1">
        <f t="shared" si="14"/>
        <v>36</v>
      </c>
      <c r="D76" s="1">
        <f t="shared" si="14"/>
        <v>1</v>
      </c>
      <c r="E76" s="1">
        <f t="shared" si="14"/>
        <v>1</v>
      </c>
      <c r="F76" s="1">
        <f t="shared" si="14"/>
        <v>33</v>
      </c>
      <c r="G76" s="1">
        <f t="shared" si="14"/>
        <v>1</v>
      </c>
      <c r="H76" s="1">
        <f t="shared" si="14"/>
        <v>1</v>
      </c>
      <c r="I76" s="1">
        <f t="shared" si="14"/>
        <v>1</v>
      </c>
      <c r="J76" s="1">
        <f t="shared" si="14"/>
        <v>32</v>
      </c>
      <c r="K76" s="1">
        <f t="shared" si="14"/>
        <v>1</v>
      </c>
      <c r="L76" s="1">
        <f t="shared" si="14"/>
        <v>1</v>
      </c>
      <c r="M76" s="1">
        <f t="shared" si="14"/>
        <v>1</v>
      </c>
      <c r="N76" s="1">
        <f t="shared" si="14"/>
        <v>50</v>
      </c>
      <c r="O76" s="1">
        <f t="shared" si="14"/>
        <v>50</v>
      </c>
      <c r="P76" s="1">
        <f t="shared" si="14"/>
        <v>41</v>
      </c>
      <c r="Q76" s="1">
        <f t="shared" si="14"/>
        <v>1</v>
      </c>
      <c r="R76" s="1">
        <f t="shared" si="14"/>
        <v>56</v>
      </c>
      <c r="S76" s="1">
        <f t="shared" si="14"/>
        <v>1</v>
      </c>
      <c r="T76" s="1">
        <f t="shared" si="14"/>
        <v>1</v>
      </c>
      <c r="U76" s="1">
        <f t="shared" si="14"/>
        <v>1</v>
      </c>
      <c r="V76" s="1">
        <f t="shared" si="14"/>
        <v>46</v>
      </c>
      <c r="W76" s="1">
        <f t="shared" si="14"/>
        <v>1</v>
      </c>
      <c r="X76" s="1">
        <f t="shared" si="14"/>
        <v>1</v>
      </c>
      <c r="Y76" s="1">
        <f t="shared" si="14"/>
        <v>31</v>
      </c>
      <c r="Z76" s="1">
        <f t="shared" si="14"/>
        <v>37</v>
      </c>
      <c r="AA76" s="1">
        <f t="shared" si="14"/>
        <v>1</v>
      </c>
      <c r="AB76" s="1">
        <f t="shared" si="14"/>
        <v>1</v>
      </c>
      <c r="AC76" s="1">
        <f t="shared" si="14"/>
        <v>1</v>
      </c>
      <c r="AD76" s="1">
        <f t="shared" si="14"/>
        <v>57</v>
      </c>
      <c r="AE76" s="1">
        <f t="shared" si="14"/>
        <v>50</v>
      </c>
      <c r="AF76" s="1">
        <f t="shared" si="14"/>
        <v>33</v>
      </c>
      <c r="AG76" s="1">
        <f t="shared" si="14"/>
        <v>59</v>
      </c>
      <c r="AH76" s="1">
        <f t="shared" si="14"/>
        <v>47</v>
      </c>
      <c r="AI76" s="1">
        <f t="shared" si="14"/>
        <v>58</v>
      </c>
      <c r="AJ76" s="1">
        <f t="shared" si="14"/>
        <v>38</v>
      </c>
      <c r="AK76" s="1">
        <f t="shared" si="14"/>
        <v>40</v>
      </c>
      <c r="AL76" s="1">
        <f t="shared" si="14"/>
        <v>41</v>
      </c>
      <c r="AM76" s="1">
        <f t="shared" si="14"/>
        <v>50</v>
      </c>
      <c r="AN76" s="1">
        <f t="shared" si="14"/>
        <v>44</v>
      </c>
      <c r="AO76" s="1">
        <f t="shared" si="14"/>
        <v>49</v>
      </c>
      <c r="AP76" s="1">
        <f t="shared" si="14"/>
        <v>1</v>
      </c>
      <c r="AQ76" s="1">
        <f t="shared" si="14"/>
        <v>1</v>
      </c>
      <c r="AR76" s="1">
        <f t="shared" si="14"/>
        <v>1</v>
      </c>
      <c r="AS76" s="1">
        <f t="shared" si="14"/>
        <v>38</v>
      </c>
      <c r="AT76" s="1">
        <f t="shared" si="14"/>
        <v>50</v>
      </c>
      <c r="AU76" s="1">
        <f t="shared" si="14"/>
        <v>1</v>
      </c>
      <c r="AV76" s="1">
        <f t="shared" si="14"/>
        <v>1</v>
      </c>
      <c r="AW76" s="1">
        <f t="shared" si="14"/>
        <v>35</v>
      </c>
      <c r="AX76" s="1">
        <f t="shared" si="14"/>
        <v>1</v>
      </c>
      <c r="AY76" s="1">
        <f t="shared" si="14"/>
        <v>1</v>
      </c>
      <c r="AZ76" s="1">
        <f t="shared" si="14"/>
        <v>1</v>
      </c>
      <c r="BA76" s="1">
        <f t="shared" si="14"/>
        <v>47</v>
      </c>
      <c r="BB76" s="1">
        <f t="shared" si="14"/>
        <v>60</v>
      </c>
      <c r="BC76" s="1">
        <f t="shared" si="14"/>
        <v>1</v>
      </c>
      <c r="BD76" s="1">
        <f t="shared" si="14"/>
        <v>44</v>
      </c>
      <c r="BE76" s="1">
        <f t="shared" si="14"/>
        <v>43</v>
      </c>
      <c r="BF76" s="1">
        <f t="shared" si="14"/>
        <v>50</v>
      </c>
      <c r="BG76" s="1">
        <f t="shared" si="14"/>
        <v>1</v>
      </c>
      <c r="BH76" s="1">
        <f t="shared" si="14"/>
        <v>1</v>
      </c>
      <c r="BI76" s="1">
        <f t="shared" si="14"/>
        <v>1</v>
      </c>
      <c r="BJ76" s="1">
        <f t="shared" ref="BJ76" si="16">RANK(BJ11,$B11:$BJ11,0)</f>
        <v>44</v>
      </c>
    </row>
    <row r="77" spans="1:62">
      <c r="A77" s="1" t="str">
        <f t="shared" si="4"/>
        <v>   1.2.2) Percentage of computers infected</v>
      </c>
      <c r="B77" s="1">
        <f t="shared" si="5"/>
        <v>42</v>
      </c>
      <c r="C77" s="1">
        <f t="shared" si="14"/>
        <v>1</v>
      </c>
      <c r="D77" s="1">
        <f t="shared" si="14"/>
        <v>42</v>
      </c>
      <c r="E77" s="1">
        <f t="shared" si="14"/>
        <v>10</v>
      </c>
      <c r="F77" s="1">
        <f t="shared" si="14"/>
        <v>42</v>
      </c>
      <c r="G77" s="1">
        <f t="shared" si="14"/>
        <v>42</v>
      </c>
      <c r="H77" s="1">
        <f t="shared" si="14"/>
        <v>10</v>
      </c>
      <c r="I77" s="1">
        <f t="shared" si="14"/>
        <v>10</v>
      </c>
      <c r="J77" s="1">
        <f t="shared" si="14"/>
        <v>1</v>
      </c>
      <c r="K77" s="1">
        <f t="shared" si="14"/>
        <v>10</v>
      </c>
      <c r="L77" s="1">
        <f t="shared" si="14"/>
        <v>10</v>
      </c>
      <c r="M77" s="1">
        <f t="shared" si="14"/>
        <v>10</v>
      </c>
      <c r="N77" s="1">
        <f t="shared" si="14"/>
        <v>10</v>
      </c>
      <c r="O77" s="1">
        <f t="shared" si="14"/>
        <v>10</v>
      </c>
      <c r="P77" s="1">
        <f t="shared" si="14"/>
        <v>42</v>
      </c>
      <c r="Q77" s="1">
        <f t="shared" si="14"/>
        <v>10</v>
      </c>
      <c r="R77" s="1">
        <f t="shared" si="14"/>
        <v>42</v>
      </c>
      <c r="S77" s="1">
        <f t="shared" si="14"/>
        <v>10</v>
      </c>
      <c r="T77" s="1">
        <f t="shared" si="14"/>
        <v>42</v>
      </c>
      <c r="U77" s="1">
        <f t="shared" si="14"/>
        <v>42</v>
      </c>
      <c r="V77" s="1">
        <f t="shared" si="14"/>
        <v>10</v>
      </c>
      <c r="W77" s="1">
        <f t="shared" si="14"/>
        <v>42</v>
      </c>
      <c r="X77" s="1">
        <f t="shared" si="14"/>
        <v>10</v>
      </c>
      <c r="Y77" s="1">
        <f t="shared" si="14"/>
        <v>1</v>
      </c>
      <c r="Z77" s="1">
        <f t="shared" si="14"/>
        <v>10</v>
      </c>
      <c r="AA77" s="1">
        <f t="shared" si="14"/>
        <v>10</v>
      </c>
      <c r="AB77" s="1">
        <f t="shared" si="14"/>
        <v>10</v>
      </c>
      <c r="AC77" s="1">
        <f t="shared" si="14"/>
        <v>10</v>
      </c>
      <c r="AD77" s="1">
        <f t="shared" si="14"/>
        <v>10</v>
      </c>
      <c r="AE77" s="1">
        <f t="shared" si="14"/>
        <v>10</v>
      </c>
      <c r="AF77" s="1">
        <f t="shared" si="14"/>
        <v>42</v>
      </c>
      <c r="AG77" s="1">
        <f t="shared" si="14"/>
        <v>10</v>
      </c>
      <c r="AH77" s="1">
        <f t="shared" si="14"/>
        <v>10</v>
      </c>
      <c r="AI77" s="1">
        <f t="shared" si="14"/>
        <v>10</v>
      </c>
      <c r="AJ77" s="1">
        <f t="shared" si="14"/>
        <v>42</v>
      </c>
      <c r="AK77" s="1">
        <f t="shared" si="14"/>
        <v>60</v>
      </c>
      <c r="AL77" s="1">
        <f t="shared" si="14"/>
        <v>42</v>
      </c>
      <c r="AM77" s="1">
        <f t="shared" si="14"/>
        <v>10</v>
      </c>
      <c r="AN77" s="1">
        <f t="shared" si="14"/>
        <v>1</v>
      </c>
      <c r="AO77" s="1">
        <f t="shared" si="14"/>
        <v>42</v>
      </c>
      <c r="AP77" s="1">
        <f t="shared" si="14"/>
        <v>1</v>
      </c>
      <c r="AQ77" s="1">
        <f t="shared" si="14"/>
        <v>42</v>
      </c>
      <c r="AR77" s="1">
        <f t="shared" si="14"/>
        <v>10</v>
      </c>
      <c r="AS77" s="1">
        <f t="shared" si="14"/>
        <v>42</v>
      </c>
      <c r="AT77" s="1">
        <f t="shared" si="14"/>
        <v>10</v>
      </c>
      <c r="AU77" s="1">
        <f t="shared" si="14"/>
        <v>42</v>
      </c>
      <c r="AV77" s="1">
        <f t="shared" si="14"/>
        <v>42</v>
      </c>
      <c r="AW77" s="1">
        <f t="shared" si="14"/>
        <v>1</v>
      </c>
      <c r="AX77" s="1">
        <f t="shared" si="14"/>
        <v>42</v>
      </c>
      <c r="AY77" s="1">
        <f t="shared" si="14"/>
        <v>10</v>
      </c>
      <c r="AZ77" s="1">
        <f t="shared" si="14"/>
        <v>1</v>
      </c>
      <c r="BA77" s="1">
        <f t="shared" si="14"/>
        <v>10</v>
      </c>
      <c r="BB77" s="1">
        <f t="shared" si="14"/>
        <v>10</v>
      </c>
      <c r="BC77" s="1">
        <f t="shared" si="14"/>
        <v>10</v>
      </c>
      <c r="BD77" s="1">
        <f t="shared" si="14"/>
        <v>1</v>
      </c>
      <c r="BE77" s="1">
        <f t="shared" si="14"/>
        <v>10</v>
      </c>
      <c r="BF77" s="1">
        <f t="shared" si="14"/>
        <v>10</v>
      </c>
      <c r="BG77" s="1">
        <f t="shared" si="14"/>
        <v>10</v>
      </c>
      <c r="BH77" s="1">
        <f t="shared" si="14"/>
        <v>1</v>
      </c>
      <c r="BI77" s="1">
        <f t="shared" si="14"/>
        <v>10</v>
      </c>
      <c r="BJ77" s="1">
        <f t="shared" ref="BJ77" si="17">RANK(BJ12,$B12:$BJ12,0)</f>
        <v>1</v>
      </c>
    </row>
    <row r="78" spans="1:62">
      <c r="A78" s="1" t="str">
        <f t="shared" si="4"/>
        <v>   1.2.3) Percentage with Internet access</v>
      </c>
      <c r="B78" s="1">
        <f t="shared" si="5"/>
        <v>4</v>
      </c>
      <c r="C78" s="1">
        <f t="shared" si="14"/>
        <v>1</v>
      </c>
      <c r="D78" s="1">
        <f t="shared" si="14"/>
        <v>36</v>
      </c>
      <c r="E78" s="1">
        <f t="shared" si="14"/>
        <v>53</v>
      </c>
      <c r="F78" s="1">
        <f t="shared" si="14"/>
        <v>21</v>
      </c>
      <c r="G78" s="1">
        <f t="shared" si="14"/>
        <v>25</v>
      </c>
      <c r="H78" s="1">
        <f t="shared" si="14"/>
        <v>45</v>
      </c>
      <c r="I78" s="1">
        <f t="shared" si="14"/>
        <v>13</v>
      </c>
      <c r="J78" s="1">
        <f t="shared" si="14"/>
        <v>35</v>
      </c>
      <c r="K78" s="1">
        <f t="shared" si="14"/>
        <v>54</v>
      </c>
      <c r="L78" s="1">
        <f t="shared" si="14"/>
        <v>40</v>
      </c>
      <c r="M78" s="1">
        <f t="shared" si="14"/>
        <v>44</v>
      </c>
      <c r="N78" s="1">
        <f t="shared" si="14"/>
        <v>20</v>
      </c>
      <c r="O78" s="1">
        <f t="shared" si="14"/>
        <v>29</v>
      </c>
      <c r="P78" s="1">
        <f t="shared" si="14"/>
        <v>55</v>
      </c>
      <c r="Q78" s="1">
        <f t="shared" si="14"/>
        <v>60</v>
      </c>
      <c r="R78" s="1">
        <f t="shared" si="14"/>
        <v>2</v>
      </c>
      <c r="S78" s="1">
        <f t="shared" si="14"/>
        <v>10</v>
      </c>
      <c r="T78" s="1">
        <f t="shared" si="14"/>
        <v>47</v>
      </c>
      <c r="U78" s="1">
        <f t="shared" si="14"/>
        <v>14</v>
      </c>
      <c r="V78" s="1">
        <f t="shared" si="14"/>
        <v>46</v>
      </c>
      <c r="W78" s="1">
        <f t="shared" si="14"/>
        <v>57</v>
      </c>
      <c r="X78" s="1">
        <f t="shared" si="14"/>
        <v>33</v>
      </c>
      <c r="Y78" s="1">
        <f t="shared" si="14"/>
        <v>48</v>
      </c>
      <c r="Z78" s="1">
        <f t="shared" si="14"/>
        <v>59</v>
      </c>
      <c r="AA78" s="1">
        <f t="shared" si="14"/>
        <v>30</v>
      </c>
      <c r="AB78" s="1">
        <f t="shared" si="14"/>
        <v>19</v>
      </c>
      <c r="AC78" s="1">
        <f t="shared" si="14"/>
        <v>51</v>
      </c>
      <c r="AD78" s="1">
        <f t="shared" si="14"/>
        <v>3</v>
      </c>
      <c r="AE78" s="1">
        <f t="shared" si="14"/>
        <v>26</v>
      </c>
      <c r="AF78" s="1">
        <f t="shared" si="14"/>
        <v>21</v>
      </c>
      <c r="AG78" s="1">
        <f t="shared" si="14"/>
        <v>52</v>
      </c>
      <c r="AH78" s="1">
        <f t="shared" si="14"/>
        <v>12</v>
      </c>
      <c r="AI78" s="1">
        <f t="shared" si="14"/>
        <v>43</v>
      </c>
      <c r="AJ78" s="1">
        <f t="shared" si="14"/>
        <v>37</v>
      </c>
      <c r="AK78" s="1">
        <f t="shared" si="14"/>
        <v>32</v>
      </c>
      <c r="AL78" s="1">
        <f t="shared" si="14"/>
        <v>55</v>
      </c>
      <c r="AM78" s="1">
        <f t="shared" si="14"/>
        <v>28</v>
      </c>
      <c r="AN78" s="1">
        <f t="shared" si="14"/>
        <v>16</v>
      </c>
      <c r="AO78" s="1">
        <f t="shared" si="14"/>
        <v>15</v>
      </c>
      <c r="AP78" s="1">
        <f t="shared" si="14"/>
        <v>49</v>
      </c>
      <c r="AQ78" s="1">
        <f t="shared" si="14"/>
        <v>41</v>
      </c>
      <c r="AR78" s="1">
        <f t="shared" si="14"/>
        <v>33</v>
      </c>
      <c r="AS78" s="1">
        <f t="shared" si="14"/>
        <v>37</v>
      </c>
      <c r="AT78" s="1">
        <f t="shared" si="14"/>
        <v>26</v>
      </c>
      <c r="AU78" s="1">
        <f t="shared" si="14"/>
        <v>39</v>
      </c>
      <c r="AV78" s="1">
        <f t="shared" si="14"/>
        <v>41</v>
      </c>
      <c r="AW78" s="1">
        <f t="shared" si="14"/>
        <v>7</v>
      </c>
      <c r="AX78" s="1">
        <f t="shared" si="14"/>
        <v>31</v>
      </c>
      <c r="AY78" s="1">
        <f t="shared" si="14"/>
        <v>18</v>
      </c>
      <c r="AZ78" s="1">
        <f t="shared" si="14"/>
        <v>5</v>
      </c>
      <c r="BA78" s="1">
        <f t="shared" si="14"/>
        <v>16</v>
      </c>
      <c r="BB78" s="1">
        <f t="shared" si="14"/>
        <v>23</v>
      </c>
      <c r="BC78" s="1">
        <f t="shared" si="14"/>
        <v>50</v>
      </c>
      <c r="BD78" s="1">
        <f t="shared" si="14"/>
        <v>6</v>
      </c>
      <c r="BE78" s="1">
        <f t="shared" si="14"/>
        <v>8</v>
      </c>
      <c r="BF78" s="1">
        <f t="shared" si="14"/>
        <v>24</v>
      </c>
      <c r="BG78" s="1">
        <f t="shared" si="14"/>
        <v>9</v>
      </c>
      <c r="BH78" s="1">
        <f t="shared" si="14"/>
        <v>58</v>
      </c>
      <c r="BI78" s="1">
        <f t="shared" si="14"/>
        <v>11</v>
      </c>
      <c r="BJ78" s="1">
        <f t="shared" ref="BJ78" si="18">RANK(BJ13,$B13:$BJ13,0)</f>
        <v>12</v>
      </c>
    </row>
    <row r="79" spans="1:62">
      <c r="A79" s="1" t="str">
        <f t="shared" si="4"/>
        <v> 2) HEALTH SECURITY</v>
      </c>
      <c r="B79" s="1">
        <f t="shared" si="5"/>
        <v>33</v>
      </c>
      <c r="C79" s="1">
        <f t="shared" si="14"/>
        <v>12</v>
      </c>
      <c r="D79" s="1">
        <f t="shared" si="14"/>
        <v>21</v>
      </c>
      <c r="E79" s="1">
        <f t="shared" si="14"/>
        <v>37</v>
      </c>
      <c r="F79" s="1">
        <f t="shared" si="14"/>
        <v>16</v>
      </c>
      <c r="G79" s="1">
        <f t="shared" si="14"/>
        <v>34</v>
      </c>
      <c r="H79" s="1">
        <f t="shared" si="14"/>
        <v>39</v>
      </c>
      <c r="I79" s="1">
        <f t="shared" si="14"/>
        <v>7</v>
      </c>
      <c r="J79" s="1">
        <f t="shared" si="14"/>
        <v>20</v>
      </c>
      <c r="K79" s="1">
        <f t="shared" si="14"/>
        <v>57</v>
      </c>
      <c r="L79" s="1">
        <f t="shared" si="14"/>
        <v>54</v>
      </c>
      <c r="M79" s="1">
        <f t="shared" si="14"/>
        <v>51</v>
      </c>
      <c r="N79" s="1">
        <f t="shared" si="14"/>
        <v>27</v>
      </c>
      <c r="O79" s="1">
        <f t="shared" si="14"/>
        <v>29</v>
      </c>
      <c r="P79" s="1">
        <f t="shared" si="14"/>
        <v>50</v>
      </c>
      <c r="Q79" s="1">
        <f t="shared" si="14"/>
        <v>59</v>
      </c>
      <c r="R79" s="1">
        <f t="shared" si="14"/>
        <v>45</v>
      </c>
      <c r="S79" s="1">
        <f t="shared" si="14"/>
        <v>3</v>
      </c>
      <c r="T79" s="1">
        <f t="shared" si="14"/>
        <v>48</v>
      </c>
      <c r="U79" s="1">
        <f t="shared" si="14"/>
        <v>24</v>
      </c>
      <c r="V79" s="1">
        <f t="shared" si="14"/>
        <v>45</v>
      </c>
      <c r="W79" s="1">
        <f t="shared" si="14"/>
        <v>56</v>
      </c>
      <c r="X79" s="1">
        <f t="shared" si="14"/>
        <v>43</v>
      </c>
      <c r="Y79" s="1">
        <f t="shared" si="14"/>
        <v>52</v>
      </c>
      <c r="Z79" s="1">
        <f t="shared" si="14"/>
        <v>60</v>
      </c>
      <c r="AA79" s="1">
        <f t="shared" si="14"/>
        <v>36</v>
      </c>
      <c r="AB79" s="1">
        <f t="shared" si="14"/>
        <v>41</v>
      </c>
      <c r="AC79" s="1">
        <f t="shared" si="14"/>
        <v>47</v>
      </c>
      <c r="AD79" s="1">
        <f t="shared" si="14"/>
        <v>19</v>
      </c>
      <c r="AE79" s="1">
        <f t="shared" si="14"/>
        <v>26</v>
      </c>
      <c r="AF79" s="1">
        <f t="shared" si="14"/>
        <v>15</v>
      </c>
      <c r="AG79" s="1">
        <f t="shared" si="14"/>
        <v>49</v>
      </c>
      <c r="AH79" s="1">
        <f t="shared" si="14"/>
        <v>9</v>
      </c>
      <c r="AI79" s="1">
        <f t="shared" si="14"/>
        <v>28</v>
      </c>
      <c r="AJ79" s="1">
        <f t="shared" si="14"/>
        <v>17</v>
      </c>
      <c r="AK79" s="1">
        <f t="shared" si="14"/>
        <v>25</v>
      </c>
      <c r="AL79" s="1">
        <f t="shared" si="14"/>
        <v>55</v>
      </c>
      <c r="AM79" s="1">
        <f t="shared" si="14"/>
        <v>31</v>
      </c>
      <c r="AN79" s="1">
        <f t="shared" si="14"/>
        <v>1</v>
      </c>
      <c r="AO79" s="1">
        <f t="shared" si="14"/>
        <v>8</v>
      </c>
      <c r="AP79" s="1">
        <f t="shared" si="14"/>
        <v>53</v>
      </c>
      <c r="AQ79" s="1">
        <f t="shared" si="14"/>
        <v>40</v>
      </c>
      <c r="AR79" s="1">
        <f t="shared" si="14"/>
        <v>38</v>
      </c>
      <c r="AS79" s="1">
        <f t="shared" si="14"/>
        <v>18</v>
      </c>
      <c r="AT79" s="1">
        <f t="shared" si="14"/>
        <v>22</v>
      </c>
      <c r="AU79" s="1">
        <f t="shared" si="14"/>
        <v>35</v>
      </c>
      <c r="AV79" s="1">
        <f t="shared" si="14"/>
        <v>42</v>
      </c>
      <c r="AW79" s="1">
        <f t="shared" si="14"/>
        <v>5</v>
      </c>
      <c r="AX79" s="1">
        <f t="shared" si="14"/>
        <v>30</v>
      </c>
      <c r="AY79" s="1">
        <f t="shared" si="14"/>
        <v>13</v>
      </c>
      <c r="AZ79" s="1">
        <f t="shared" si="14"/>
        <v>10</v>
      </c>
      <c r="BA79" s="1">
        <f t="shared" si="14"/>
        <v>6</v>
      </c>
      <c r="BB79" s="1">
        <f t="shared" si="14"/>
        <v>14</v>
      </c>
      <c r="BC79" s="1">
        <f t="shared" si="14"/>
        <v>44</v>
      </c>
      <c r="BD79" s="1">
        <f t="shared" si="14"/>
        <v>2</v>
      </c>
      <c r="BE79" s="1">
        <f t="shared" si="14"/>
        <v>11</v>
      </c>
      <c r="BF79" s="1">
        <f t="shared" si="14"/>
        <v>23</v>
      </c>
      <c r="BG79" s="1">
        <f t="shared" si="14"/>
        <v>32</v>
      </c>
      <c r="BH79" s="1">
        <f t="shared" si="14"/>
        <v>58</v>
      </c>
      <c r="BI79" s="1">
        <f t="shared" si="14"/>
        <v>4</v>
      </c>
      <c r="BJ79" s="1">
        <f t="shared" ref="BJ79" si="19">RANK(BJ14,$B14:$BJ14,0)</f>
        <v>1</v>
      </c>
    </row>
    <row r="80" spans="1:62">
      <c r="A80" s="1" t="str">
        <f t="shared" si="4"/>
        <v>  2.1) Health security (Inputs)</v>
      </c>
      <c r="B80" s="1">
        <f t="shared" si="5"/>
        <v>37</v>
      </c>
      <c r="C80" s="1">
        <f t="shared" si="14"/>
        <v>9</v>
      </c>
      <c r="D80" s="1">
        <f t="shared" si="14"/>
        <v>31</v>
      </c>
      <c r="E80" s="1">
        <f t="shared" si="14"/>
        <v>39</v>
      </c>
      <c r="F80" s="1">
        <f t="shared" si="14"/>
        <v>15</v>
      </c>
      <c r="G80" s="1">
        <f t="shared" si="14"/>
        <v>26</v>
      </c>
      <c r="H80" s="1">
        <f t="shared" si="14"/>
        <v>43</v>
      </c>
      <c r="I80" s="1">
        <f t="shared" si="14"/>
        <v>6</v>
      </c>
      <c r="J80" s="1">
        <f t="shared" si="14"/>
        <v>16</v>
      </c>
      <c r="K80" s="1">
        <f t="shared" si="14"/>
        <v>54</v>
      </c>
      <c r="L80" s="1">
        <f t="shared" si="14"/>
        <v>57</v>
      </c>
      <c r="M80" s="1">
        <f t="shared" si="14"/>
        <v>53</v>
      </c>
      <c r="N80" s="1">
        <f t="shared" si="14"/>
        <v>23</v>
      </c>
      <c r="O80" s="1">
        <f t="shared" si="14"/>
        <v>32</v>
      </c>
      <c r="P80" s="1">
        <f t="shared" ref="C80:BI84" si="20">RANK(P15,$B15:$BI15,0)</f>
        <v>34</v>
      </c>
      <c r="Q80" s="1">
        <f t="shared" si="20"/>
        <v>60</v>
      </c>
      <c r="R80" s="1">
        <f t="shared" si="20"/>
        <v>48</v>
      </c>
      <c r="S80" s="1">
        <f t="shared" si="20"/>
        <v>2</v>
      </c>
      <c r="T80" s="1">
        <f t="shared" si="20"/>
        <v>50</v>
      </c>
      <c r="U80" s="1">
        <f t="shared" si="20"/>
        <v>17</v>
      </c>
      <c r="V80" s="1">
        <f t="shared" si="20"/>
        <v>42</v>
      </c>
      <c r="W80" s="1">
        <f t="shared" si="20"/>
        <v>56</v>
      </c>
      <c r="X80" s="1">
        <f t="shared" si="20"/>
        <v>47</v>
      </c>
      <c r="Y80" s="1">
        <f t="shared" si="20"/>
        <v>36</v>
      </c>
      <c r="Z80" s="1">
        <f t="shared" si="20"/>
        <v>59</v>
      </c>
      <c r="AA80" s="1">
        <f t="shared" si="20"/>
        <v>41</v>
      </c>
      <c r="AB80" s="1">
        <f t="shared" si="20"/>
        <v>46</v>
      </c>
      <c r="AC80" s="1">
        <f t="shared" si="20"/>
        <v>40</v>
      </c>
      <c r="AD80" s="1">
        <f t="shared" si="20"/>
        <v>28</v>
      </c>
      <c r="AE80" s="1">
        <f t="shared" si="20"/>
        <v>24</v>
      </c>
      <c r="AF80" s="1">
        <f t="shared" si="20"/>
        <v>19</v>
      </c>
      <c r="AG80" s="1">
        <f t="shared" si="20"/>
        <v>51</v>
      </c>
      <c r="AH80" s="1">
        <f t="shared" si="20"/>
        <v>12</v>
      </c>
      <c r="AI80" s="1">
        <f t="shared" si="20"/>
        <v>33</v>
      </c>
      <c r="AJ80" s="1">
        <f t="shared" si="20"/>
        <v>22</v>
      </c>
      <c r="AK80" s="1">
        <f t="shared" si="20"/>
        <v>13</v>
      </c>
      <c r="AL80" s="1">
        <f t="shared" si="20"/>
        <v>52</v>
      </c>
      <c r="AM80" s="1">
        <f t="shared" si="20"/>
        <v>18</v>
      </c>
      <c r="AN80" s="1">
        <f t="shared" si="20"/>
        <v>1</v>
      </c>
      <c r="AO80" s="1">
        <f t="shared" si="20"/>
        <v>5</v>
      </c>
      <c r="AP80" s="1">
        <f t="shared" si="20"/>
        <v>55</v>
      </c>
      <c r="AQ80" s="1">
        <f t="shared" si="20"/>
        <v>38</v>
      </c>
      <c r="AR80" s="1">
        <f t="shared" si="20"/>
        <v>45</v>
      </c>
      <c r="AS80" s="1">
        <f t="shared" si="20"/>
        <v>29</v>
      </c>
      <c r="AT80" s="1">
        <f t="shared" si="20"/>
        <v>27</v>
      </c>
      <c r="AU80" s="1">
        <f t="shared" si="20"/>
        <v>44</v>
      </c>
      <c r="AV80" s="1">
        <f t="shared" si="20"/>
        <v>35</v>
      </c>
      <c r="AW80" s="1">
        <f t="shared" si="20"/>
        <v>7</v>
      </c>
      <c r="AX80" s="1">
        <f t="shared" si="20"/>
        <v>30</v>
      </c>
      <c r="AY80" s="1">
        <f t="shared" si="20"/>
        <v>21</v>
      </c>
      <c r="AZ80" s="1">
        <f t="shared" si="20"/>
        <v>20</v>
      </c>
      <c r="BA80" s="1">
        <f t="shared" si="20"/>
        <v>11</v>
      </c>
      <c r="BB80" s="1">
        <f t="shared" si="20"/>
        <v>10</v>
      </c>
      <c r="BC80" s="1">
        <f t="shared" si="20"/>
        <v>49</v>
      </c>
      <c r="BD80" s="1">
        <f t="shared" si="20"/>
        <v>3</v>
      </c>
      <c r="BE80" s="1">
        <f t="shared" si="20"/>
        <v>14</v>
      </c>
      <c r="BF80" s="1">
        <f t="shared" si="20"/>
        <v>4</v>
      </c>
      <c r="BG80" s="1">
        <f t="shared" si="20"/>
        <v>25</v>
      </c>
      <c r="BH80" s="1">
        <f t="shared" si="20"/>
        <v>58</v>
      </c>
      <c r="BI80" s="1">
        <f t="shared" si="20"/>
        <v>8</v>
      </c>
      <c r="BJ80" s="1">
        <f t="shared" ref="BJ80" si="21">RANK(BJ15,$B15:$BJ15,0)</f>
        <v>1</v>
      </c>
    </row>
    <row r="81" spans="1:62">
      <c r="A81" s="1" t="str">
        <f t="shared" si="4"/>
        <v>   2.1.1) Environmental policies</v>
      </c>
      <c r="B81" s="1">
        <f t="shared" si="5"/>
        <v>38</v>
      </c>
      <c r="C81" s="1">
        <f t="shared" si="20"/>
        <v>2</v>
      </c>
      <c r="D81" s="1">
        <f t="shared" si="20"/>
        <v>49</v>
      </c>
      <c r="E81" s="1">
        <f t="shared" si="20"/>
        <v>33</v>
      </c>
      <c r="F81" s="1">
        <f t="shared" si="20"/>
        <v>27</v>
      </c>
      <c r="G81" s="1">
        <f t="shared" si="20"/>
        <v>30</v>
      </c>
      <c r="H81" s="1">
        <f t="shared" si="20"/>
        <v>38</v>
      </c>
      <c r="I81" s="1">
        <f t="shared" si="20"/>
        <v>2</v>
      </c>
      <c r="J81" s="1">
        <f t="shared" si="20"/>
        <v>12</v>
      </c>
      <c r="K81" s="1">
        <f t="shared" si="20"/>
        <v>47</v>
      </c>
      <c r="L81" s="1">
        <f t="shared" si="20"/>
        <v>56</v>
      </c>
      <c r="M81" s="1">
        <f t="shared" si="20"/>
        <v>38</v>
      </c>
      <c r="N81" s="1">
        <f t="shared" si="20"/>
        <v>12</v>
      </c>
      <c r="O81" s="1">
        <f t="shared" si="20"/>
        <v>32</v>
      </c>
      <c r="P81" s="1">
        <f t="shared" si="20"/>
        <v>12</v>
      </c>
      <c r="Q81" s="1">
        <f t="shared" si="20"/>
        <v>59</v>
      </c>
      <c r="R81" s="1">
        <f t="shared" si="20"/>
        <v>54</v>
      </c>
      <c r="S81" s="1">
        <f t="shared" si="20"/>
        <v>12</v>
      </c>
      <c r="T81" s="1">
        <f t="shared" si="20"/>
        <v>38</v>
      </c>
      <c r="U81" s="1">
        <f t="shared" si="20"/>
        <v>2</v>
      </c>
      <c r="V81" s="1">
        <f t="shared" si="20"/>
        <v>33</v>
      </c>
      <c r="W81" s="1">
        <f t="shared" si="20"/>
        <v>48</v>
      </c>
      <c r="X81" s="1">
        <f t="shared" si="20"/>
        <v>51</v>
      </c>
      <c r="Y81" s="1">
        <f t="shared" si="20"/>
        <v>18</v>
      </c>
      <c r="Z81" s="1">
        <f t="shared" si="20"/>
        <v>58</v>
      </c>
      <c r="AA81" s="1">
        <f t="shared" si="20"/>
        <v>38</v>
      </c>
      <c r="AB81" s="1">
        <f t="shared" si="20"/>
        <v>60</v>
      </c>
      <c r="AC81" s="1">
        <f t="shared" si="20"/>
        <v>35</v>
      </c>
      <c r="AD81" s="1">
        <f t="shared" si="20"/>
        <v>25</v>
      </c>
      <c r="AE81" s="1">
        <f t="shared" si="20"/>
        <v>8</v>
      </c>
      <c r="AF81" s="1">
        <f t="shared" si="20"/>
        <v>27</v>
      </c>
      <c r="AG81" s="1">
        <f t="shared" si="20"/>
        <v>54</v>
      </c>
      <c r="AH81" s="1">
        <f t="shared" si="20"/>
        <v>27</v>
      </c>
      <c r="AI81" s="1">
        <f t="shared" si="20"/>
        <v>18</v>
      </c>
      <c r="AJ81" s="1">
        <f t="shared" si="20"/>
        <v>25</v>
      </c>
      <c r="AK81" s="1">
        <f t="shared" si="20"/>
        <v>37</v>
      </c>
      <c r="AL81" s="1">
        <f t="shared" si="20"/>
        <v>51</v>
      </c>
      <c r="AM81" s="1">
        <f t="shared" si="20"/>
        <v>8</v>
      </c>
      <c r="AN81" s="1">
        <f t="shared" si="20"/>
        <v>12</v>
      </c>
      <c r="AO81" s="1">
        <f t="shared" si="20"/>
        <v>2</v>
      </c>
      <c r="AP81" s="1">
        <f t="shared" si="20"/>
        <v>56</v>
      </c>
      <c r="AQ81" s="1">
        <f t="shared" si="20"/>
        <v>44</v>
      </c>
      <c r="AR81" s="1">
        <f t="shared" si="20"/>
        <v>51</v>
      </c>
      <c r="AS81" s="1">
        <f t="shared" si="20"/>
        <v>35</v>
      </c>
      <c r="AT81" s="1">
        <f t="shared" si="20"/>
        <v>12</v>
      </c>
      <c r="AU81" s="1">
        <f t="shared" si="20"/>
        <v>46</v>
      </c>
      <c r="AV81" s="1">
        <f t="shared" si="20"/>
        <v>44</v>
      </c>
      <c r="AW81" s="1">
        <f t="shared" si="20"/>
        <v>11</v>
      </c>
      <c r="AX81" s="1">
        <f t="shared" si="20"/>
        <v>30</v>
      </c>
      <c r="AY81" s="1">
        <f t="shared" si="20"/>
        <v>2</v>
      </c>
      <c r="AZ81" s="1">
        <f t="shared" si="20"/>
        <v>18</v>
      </c>
      <c r="BA81" s="1">
        <f t="shared" si="20"/>
        <v>18</v>
      </c>
      <c r="BB81" s="1">
        <f t="shared" si="20"/>
        <v>2</v>
      </c>
      <c r="BC81" s="1">
        <f t="shared" si="20"/>
        <v>38</v>
      </c>
      <c r="BD81" s="1">
        <f t="shared" si="20"/>
        <v>18</v>
      </c>
      <c r="BE81" s="1">
        <f t="shared" si="20"/>
        <v>8</v>
      </c>
      <c r="BF81" s="1">
        <f t="shared" si="20"/>
        <v>1</v>
      </c>
      <c r="BG81" s="1">
        <f t="shared" si="20"/>
        <v>18</v>
      </c>
      <c r="BH81" s="1">
        <f t="shared" si="20"/>
        <v>50</v>
      </c>
      <c r="BI81" s="1">
        <f t="shared" si="20"/>
        <v>18</v>
      </c>
      <c r="BJ81" s="1">
        <f t="shared" ref="BJ81" si="22">RANK(BJ16,$B16:$BJ16,0)</f>
        <v>1</v>
      </c>
    </row>
    <row r="82" spans="1:62">
      <c r="A82" s="1" t="str">
        <f t="shared" si="4"/>
        <v>   2.1.2) Access to healthcare</v>
      </c>
      <c r="B82" s="1">
        <f t="shared" si="5"/>
        <v>43</v>
      </c>
      <c r="C82" s="1">
        <f t="shared" si="20"/>
        <v>1</v>
      </c>
      <c r="D82" s="1">
        <f t="shared" si="20"/>
        <v>43</v>
      </c>
      <c r="E82" s="1">
        <f t="shared" si="20"/>
        <v>34</v>
      </c>
      <c r="F82" s="1">
        <f t="shared" si="20"/>
        <v>11</v>
      </c>
      <c r="G82" s="1">
        <f t="shared" si="20"/>
        <v>25</v>
      </c>
      <c r="H82" s="1">
        <f t="shared" si="20"/>
        <v>43</v>
      </c>
      <c r="I82" s="1">
        <f t="shared" si="20"/>
        <v>1</v>
      </c>
      <c r="J82" s="1">
        <f t="shared" si="20"/>
        <v>11</v>
      </c>
      <c r="K82" s="1">
        <f t="shared" si="20"/>
        <v>54</v>
      </c>
      <c r="L82" s="1">
        <f t="shared" si="20"/>
        <v>59</v>
      </c>
      <c r="M82" s="1">
        <f t="shared" si="20"/>
        <v>54</v>
      </c>
      <c r="N82" s="1">
        <f t="shared" si="20"/>
        <v>11</v>
      </c>
      <c r="O82" s="1">
        <f t="shared" si="20"/>
        <v>25</v>
      </c>
      <c r="P82" s="1">
        <f t="shared" si="20"/>
        <v>34</v>
      </c>
      <c r="Q82" s="1">
        <f t="shared" si="20"/>
        <v>60</v>
      </c>
      <c r="R82" s="1">
        <f t="shared" si="20"/>
        <v>34</v>
      </c>
      <c r="S82" s="1">
        <f t="shared" si="20"/>
        <v>1</v>
      </c>
      <c r="T82" s="1">
        <f t="shared" si="20"/>
        <v>43</v>
      </c>
      <c r="U82" s="1">
        <f t="shared" si="20"/>
        <v>11</v>
      </c>
      <c r="V82" s="1">
        <f t="shared" si="20"/>
        <v>54</v>
      </c>
      <c r="W82" s="1">
        <f t="shared" si="20"/>
        <v>43</v>
      </c>
      <c r="X82" s="1">
        <f t="shared" si="20"/>
        <v>43</v>
      </c>
      <c r="Y82" s="1">
        <f t="shared" si="20"/>
        <v>34</v>
      </c>
      <c r="Z82" s="1">
        <f t="shared" si="20"/>
        <v>52</v>
      </c>
      <c r="AA82" s="1">
        <f t="shared" si="20"/>
        <v>43</v>
      </c>
      <c r="AB82" s="1">
        <f t="shared" si="20"/>
        <v>34</v>
      </c>
      <c r="AC82" s="1">
        <f t="shared" si="20"/>
        <v>25</v>
      </c>
      <c r="AD82" s="1">
        <f t="shared" si="20"/>
        <v>25</v>
      </c>
      <c r="AE82" s="1">
        <f t="shared" si="20"/>
        <v>11</v>
      </c>
      <c r="AF82" s="1">
        <f t="shared" si="20"/>
        <v>11</v>
      </c>
      <c r="AG82" s="1">
        <f t="shared" si="20"/>
        <v>43</v>
      </c>
      <c r="AH82" s="1">
        <f t="shared" si="20"/>
        <v>1</v>
      </c>
      <c r="AI82" s="1">
        <f t="shared" si="20"/>
        <v>25</v>
      </c>
      <c r="AJ82" s="1">
        <f t="shared" si="20"/>
        <v>11</v>
      </c>
      <c r="AK82" s="1">
        <f t="shared" si="20"/>
        <v>34</v>
      </c>
      <c r="AL82" s="1">
        <f t="shared" si="20"/>
        <v>25</v>
      </c>
      <c r="AM82" s="1">
        <f t="shared" si="20"/>
        <v>11</v>
      </c>
      <c r="AN82" s="1">
        <f t="shared" si="20"/>
        <v>1</v>
      </c>
      <c r="AO82" s="1">
        <f t="shared" si="20"/>
        <v>1</v>
      </c>
      <c r="AP82" s="1">
        <f t="shared" si="20"/>
        <v>54</v>
      </c>
      <c r="AQ82" s="1">
        <f t="shared" si="20"/>
        <v>43</v>
      </c>
      <c r="AR82" s="1">
        <f t="shared" si="20"/>
        <v>34</v>
      </c>
      <c r="AS82" s="1">
        <f t="shared" si="20"/>
        <v>11</v>
      </c>
      <c r="AT82" s="1">
        <f t="shared" si="20"/>
        <v>11</v>
      </c>
      <c r="AU82" s="1">
        <f t="shared" si="20"/>
        <v>34</v>
      </c>
      <c r="AV82" s="1">
        <f t="shared" si="20"/>
        <v>34</v>
      </c>
      <c r="AW82" s="1">
        <f t="shared" si="20"/>
        <v>11</v>
      </c>
      <c r="AX82" s="1">
        <f t="shared" si="20"/>
        <v>25</v>
      </c>
      <c r="AY82" s="1">
        <f t="shared" si="20"/>
        <v>11</v>
      </c>
      <c r="AZ82" s="1">
        <f t="shared" si="20"/>
        <v>25</v>
      </c>
      <c r="BA82" s="1">
        <f t="shared" si="20"/>
        <v>1</v>
      </c>
      <c r="BB82" s="1">
        <f t="shared" si="20"/>
        <v>25</v>
      </c>
      <c r="BC82" s="1">
        <f t="shared" si="20"/>
        <v>52</v>
      </c>
      <c r="BD82" s="1">
        <f t="shared" si="20"/>
        <v>1</v>
      </c>
      <c r="BE82" s="1">
        <f t="shared" si="20"/>
        <v>1</v>
      </c>
      <c r="BF82" s="1">
        <f t="shared" si="20"/>
        <v>11</v>
      </c>
      <c r="BG82" s="1">
        <f t="shared" si="20"/>
        <v>11</v>
      </c>
      <c r="BH82" s="1">
        <f t="shared" si="20"/>
        <v>54</v>
      </c>
      <c r="BI82" s="1">
        <f t="shared" si="20"/>
        <v>1</v>
      </c>
      <c r="BJ82" s="1">
        <f t="shared" ref="BJ82" si="23">RANK(BJ17,$B17:$BJ17,0)</f>
        <v>1</v>
      </c>
    </row>
    <row r="83" spans="1:62">
      <c r="A83" s="1" t="str">
        <f t="shared" si="4"/>
        <v>   2.1.3) No. of beds per 1,000</v>
      </c>
      <c r="B83" s="1">
        <f t="shared" si="5"/>
        <v>51</v>
      </c>
      <c r="C83" s="1">
        <f t="shared" si="20"/>
        <v>14</v>
      </c>
      <c r="D83" s="1">
        <f t="shared" si="20"/>
        <v>13</v>
      </c>
      <c r="E83" s="1">
        <f t="shared" si="20"/>
        <v>36</v>
      </c>
      <c r="F83" s="1">
        <f t="shared" si="20"/>
        <v>21</v>
      </c>
      <c r="G83" s="1">
        <f t="shared" si="20"/>
        <v>9</v>
      </c>
      <c r="H83" s="1">
        <f t="shared" si="20"/>
        <v>46</v>
      </c>
      <c r="I83" s="1">
        <f t="shared" si="20"/>
        <v>7</v>
      </c>
      <c r="J83" s="1">
        <f t="shared" si="20"/>
        <v>14</v>
      </c>
      <c r="K83" s="1">
        <f t="shared" si="20"/>
        <v>59</v>
      </c>
      <c r="L83" s="1">
        <f t="shared" si="20"/>
        <v>53</v>
      </c>
      <c r="M83" s="1">
        <f t="shared" si="20"/>
        <v>53</v>
      </c>
      <c r="N83" s="1">
        <f t="shared" si="20"/>
        <v>28</v>
      </c>
      <c r="O83" s="1">
        <f t="shared" si="20"/>
        <v>31</v>
      </c>
      <c r="P83" s="1">
        <f t="shared" si="20"/>
        <v>24</v>
      </c>
      <c r="Q83" s="1">
        <f t="shared" si="20"/>
        <v>57</v>
      </c>
      <c r="R83" s="1">
        <f t="shared" si="20"/>
        <v>50</v>
      </c>
      <c r="S83" s="1">
        <f t="shared" si="20"/>
        <v>6</v>
      </c>
      <c r="T83" s="1">
        <f t="shared" si="20"/>
        <v>38</v>
      </c>
      <c r="U83" s="1">
        <f t="shared" si="20"/>
        <v>11</v>
      </c>
      <c r="V83" s="1">
        <f t="shared" si="20"/>
        <v>28</v>
      </c>
      <c r="W83" s="1">
        <f t="shared" si="20"/>
        <v>53</v>
      </c>
      <c r="X83" s="1">
        <f t="shared" si="20"/>
        <v>49</v>
      </c>
      <c r="Y83" s="1">
        <f t="shared" si="20"/>
        <v>28</v>
      </c>
      <c r="Z83" s="1">
        <f t="shared" si="20"/>
        <v>57</v>
      </c>
      <c r="AA83" s="1">
        <f t="shared" si="20"/>
        <v>40</v>
      </c>
      <c r="AB83" s="1">
        <f t="shared" si="20"/>
        <v>35</v>
      </c>
      <c r="AC83" s="1">
        <f t="shared" si="20"/>
        <v>46</v>
      </c>
      <c r="AD83" s="1">
        <f t="shared" si="20"/>
        <v>23</v>
      </c>
      <c r="AE83" s="1">
        <f t="shared" si="20"/>
        <v>41</v>
      </c>
      <c r="AF83" s="1">
        <f t="shared" si="20"/>
        <v>21</v>
      </c>
      <c r="AG83" s="1">
        <f t="shared" si="20"/>
        <v>52</v>
      </c>
      <c r="AH83" s="1">
        <f t="shared" si="20"/>
        <v>16</v>
      </c>
      <c r="AI83" s="1">
        <f t="shared" si="20"/>
        <v>46</v>
      </c>
      <c r="AJ83" s="1">
        <f t="shared" si="20"/>
        <v>18</v>
      </c>
      <c r="AK83" s="1">
        <f t="shared" si="20"/>
        <v>2</v>
      </c>
      <c r="AL83" s="1">
        <f t="shared" si="20"/>
        <v>20</v>
      </c>
      <c r="AM83" s="1">
        <f t="shared" si="20"/>
        <v>25</v>
      </c>
      <c r="AN83" s="1">
        <f t="shared" si="20"/>
        <v>1</v>
      </c>
      <c r="AO83" s="1">
        <f t="shared" si="20"/>
        <v>8</v>
      </c>
      <c r="AP83" s="1">
        <f t="shared" si="20"/>
        <v>45</v>
      </c>
      <c r="AQ83" s="1">
        <f t="shared" si="20"/>
        <v>31</v>
      </c>
      <c r="AR83" s="1">
        <f t="shared" si="20"/>
        <v>44</v>
      </c>
      <c r="AS83" s="1">
        <f t="shared" si="20"/>
        <v>18</v>
      </c>
      <c r="AT83" s="1">
        <f t="shared" si="20"/>
        <v>41</v>
      </c>
      <c r="AU83" s="1">
        <f t="shared" si="20"/>
        <v>36</v>
      </c>
      <c r="AV83" s="1">
        <f t="shared" si="20"/>
        <v>31</v>
      </c>
      <c r="AW83" s="1">
        <f t="shared" si="20"/>
        <v>3</v>
      </c>
      <c r="AX83" s="1">
        <f t="shared" si="20"/>
        <v>10</v>
      </c>
      <c r="AY83" s="1">
        <f t="shared" si="20"/>
        <v>38</v>
      </c>
      <c r="AZ83" s="1">
        <f t="shared" si="20"/>
        <v>25</v>
      </c>
      <c r="BA83" s="1">
        <f t="shared" si="20"/>
        <v>16</v>
      </c>
      <c r="BB83" s="1">
        <f t="shared" si="20"/>
        <v>5</v>
      </c>
      <c r="BC83" s="1">
        <f t="shared" si="20"/>
        <v>60</v>
      </c>
      <c r="BD83" s="1">
        <f t="shared" si="20"/>
        <v>4</v>
      </c>
      <c r="BE83" s="1">
        <f t="shared" si="20"/>
        <v>25</v>
      </c>
      <c r="BF83" s="1">
        <f t="shared" si="20"/>
        <v>43</v>
      </c>
      <c r="BG83" s="1">
        <f t="shared" si="20"/>
        <v>31</v>
      </c>
      <c r="BH83" s="1">
        <f t="shared" si="20"/>
        <v>56</v>
      </c>
      <c r="BI83" s="1">
        <f t="shared" si="20"/>
        <v>12</v>
      </c>
      <c r="BJ83" s="1">
        <f t="shared" ref="BJ83" si="24">RANK(BJ18,$B18:$BJ18,0)</f>
        <v>1</v>
      </c>
    </row>
    <row r="84" spans="1:62">
      <c r="A84" s="1" t="str">
        <f t="shared" si="4"/>
        <v>   2.1.4) No. of doctors per 1,000</v>
      </c>
      <c r="B84" s="1">
        <f t="shared" si="5"/>
        <v>43</v>
      </c>
      <c r="C84" s="1">
        <f t="shared" si="20"/>
        <v>15</v>
      </c>
      <c r="D84" s="1">
        <f t="shared" si="20"/>
        <v>2</v>
      </c>
      <c r="E84" s="1">
        <f t="shared" si="20"/>
        <v>58</v>
      </c>
      <c r="F84" s="1">
        <f t="shared" si="20"/>
        <v>9</v>
      </c>
      <c r="G84" s="1">
        <f t="shared" si="20"/>
        <v>8</v>
      </c>
      <c r="H84" s="1">
        <f t="shared" si="20"/>
        <v>42</v>
      </c>
      <c r="I84" s="1">
        <f t="shared" si="20"/>
        <v>19</v>
      </c>
      <c r="J84" s="1">
        <f t="shared" si="20"/>
        <v>11</v>
      </c>
      <c r="K84" s="1">
        <f t="shared" si="20"/>
        <v>51</v>
      </c>
      <c r="L84" s="1">
        <f t="shared" si="20"/>
        <v>35</v>
      </c>
      <c r="M84" s="1">
        <f t="shared" si="20"/>
        <v>56</v>
      </c>
      <c r="N84" s="1">
        <f t="shared" si="20"/>
        <v>23</v>
      </c>
      <c r="O84" s="1">
        <f t="shared" si="20"/>
        <v>30</v>
      </c>
      <c r="P84" s="1">
        <f t="shared" si="20"/>
        <v>54</v>
      </c>
      <c r="Q84" s="1">
        <f t="shared" si="20"/>
        <v>59</v>
      </c>
      <c r="R84" s="1">
        <f t="shared" si="20"/>
        <v>33</v>
      </c>
      <c r="S84" s="1">
        <f t="shared" si="20"/>
        <v>3</v>
      </c>
      <c r="T84" s="1">
        <f t="shared" si="20"/>
        <v>47</v>
      </c>
      <c r="U84" s="1">
        <f t="shared" si="20"/>
        <v>37</v>
      </c>
      <c r="V84" s="1">
        <f t="shared" si="20"/>
        <v>40</v>
      </c>
      <c r="W84" s="1">
        <f t="shared" si="20"/>
        <v>60</v>
      </c>
      <c r="X84" s="1">
        <f t="shared" si="20"/>
        <v>29</v>
      </c>
      <c r="Y84" s="1">
        <f t="shared" si="20"/>
        <v>53</v>
      </c>
      <c r="Z84" s="1">
        <f t="shared" si="20"/>
        <v>52</v>
      </c>
      <c r="AA84" s="1">
        <f t="shared" si="20"/>
        <v>46</v>
      </c>
      <c r="AB84" s="1">
        <f t="shared" si="20"/>
        <v>34</v>
      </c>
      <c r="AC84" s="1">
        <f t="shared" si="20"/>
        <v>48</v>
      </c>
      <c r="AD84" s="1">
        <f t="shared" si="20"/>
        <v>21</v>
      </c>
      <c r="AE84" s="1">
        <f t="shared" si="20"/>
        <v>24</v>
      </c>
      <c r="AF84" s="1">
        <f t="shared" si="20"/>
        <v>9</v>
      </c>
      <c r="AG84" s="1">
        <f t="shared" si="20"/>
        <v>49</v>
      </c>
      <c r="AH84" s="1">
        <f t="shared" si="20"/>
        <v>13</v>
      </c>
      <c r="AI84" s="1">
        <f t="shared" ref="C84:BI88" si="25">RANK(AI19,$B19:$BI19,0)</f>
        <v>32</v>
      </c>
      <c r="AJ84" s="1">
        <f t="shared" si="25"/>
        <v>6</v>
      </c>
      <c r="AK84" s="1">
        <f t="shared" si="25"/>
        <v>16</v>
      </c>
      <c r="AL84" s="1">
        <f t="shared" si="25"/>
        <v>54</v>
      </c>
      <c r="AM84" s="1">
        <f t="shared" si="25"/>
        <v>12</v>
      </c>
      <c r="AN84" s="1">
        <f t="shared" si="25"/>
        <v>22</v>
      </c>
      <c r="AO84" s="1">
        <f t="shared" si="25"/>
        <v>18</v>
      </c>
      <c r="AP84" s="1">
        <f t="shared" si="25"/>
        <v>41</v>
      </c>
      <c r="AQ84" s="1">
        <f t="shared" si="25"/>
        <v>38</v>
      </c>
      <c r="AR84" s="1">
        <f t="shared" si="25"/>
        <v>31</v>
      </c>
      <c r="AS84" s="1">
        <f t="shared" si="25"/>
        <v>6</v>
      </c>
      <c r="AT84" s="1">
        <f t="shared" si="25"/>
        <v>24</v>
      </c>
      <c r="AU84" s="1">
        <f t="shared" si="25"/>
        <v>50</v>
      </c>
      <c r="AV84" s="1">
        <f t="shared" si="25"/>
        <v>38</v>
      </c>
      <c r="AW84" s="1">
        <f t="shared" si="25"/>
        <v>28</v>
      </c>
      <c r="AX84" s="1">
        <f t="shared" si="25"/>
        <v>26</v>
      </c>
      <c r="AY84" s="1">
        <f t="shared" si="25"/>
        <v>36</v>
      </c>
      <c r="AZ84" s="1">
        <f t="shared" si="25"/>
        <v>5</v>
      </c>
      <c r="BA84" s="1">
        <f t="shared" si="25"/>
        <v>13</v>
      </c>
      <c r="BB84" s="1">
        <f t="shared" si="25"/>
        <v>45</v>
      </c>
      <c r="BC84" s="1">
        <f t="shared" si="25"/>
        <v>44</v>
      </c>
      <c r="BD84" s="1">
        <f t="shared" si="25"/>
        <v>17</v>
      </c>
      <c r="BE84" s="1">
        <f t="shared" si="25"/>
        <v>27</v>
      </c>
      <c r="BF84" s="1">
        <f t="shared" si="25"/>
        <v>1</v>
      </c>
      <c r="BG84" s="1">
        <f t="shared" si="25"/>
        <v>20</v>
      </c>
      <c r="BH84" s="1">
        <f t="shared" si="25"/>
        <v>57</v>
      </c>
      <c r="BI84" s="1">
        <f t="shared" si="25"/>
        <v>4</v>
      </c>
      <c r="BJ84" s="1">
        <f t="shared" ref="BJ84" si="26">RANK(BJ19,$B19:$BJ19,0)</f>
        <v>17</v>
      </c>
    </row>
    <row r="85" spans="1:62">
      <c r="A85" s="1" t="str">
        <f t="shared" si="4"/>
        <v>   2.1.5) Access to safe and quality food</v>
      </c>
      <c r="B85" s="1">
        <f t="shared" si="5"/>
        <v>21</v>
      </c>
      <c r="C85" s="1">
        <f t="shared" si="25"/>
        <v>1</v>
      </c>
      <c r="D85" s="1">
        <f t="shared" si="25"/>
        <v>1</v>
      </c>
      <c r="E85" s="1">
        <f t="shared" si="25"/>
        <v>36</v>
      </c>
      <c r="F85" s="1">
        <f t="shared" si="25"/>
        <v>1</v>
      </c>
      <c r="G85" s="1">
        <f t="shared" si="25"/>
        <v>41</v>
      </c>
      <c r="H85" s="1">
        <f t="shared" si="25"/>
        <v>48</v>
      </c>
      <c r="I85" s="1">
        <f t="shared" si="25"/>
        <v>1</v>
      </c>
      <c r="J85" s="1">
        <f t="shared" si="25"/>
        <v>30</v>
      </c>
      <c r="K85" s="1">
        <f t="shared" si="25"/>
        <v>23</v>
      </c>
      <c r="L85" s="1">
        <f t="shared" si="25"/>
        <v>46</v>
      </c>
      <c r="M85" s="1">
        <f t="shared" si="25"/>
        <v>51</v>
      </c>
      <c r="N85" s="1">
        <f t="shared" si="25"/>
        <v>24</v>
      </c>
      <c r="O85" s="1">
        <f t="shared" si="25"/>
        <v>24</v>
      </c>
      <c r="P85" s="1">
        <f t="shared" si="25"/>
        <v>55</v>
      </c>
      <c r="Q85" s="1">
        <f t="shared" si="25"/>
        <v>58</v>
      </c>
      <c r="R85" s="1">
        <f t="shared" si="25"/>
        <v>52</v>
      </c>
      <c r="S85" s="1">
        <f t="shared" si="25"/>
        <v>1</v>
      </c>
      <c r="T85" s="1">
        <f t="shared" si="25"/>
        <v>53</v>
      </c>
      <c r="U85" s="1">
        <f t="shared" si="25"/>
        <v>41</v>
      </c>
      <c r="V85" s="1">
        <f t="shared" si="25"/>
        <v>1</v>
      </c>
      <c r="W85" s="1">
        <f t="shared" si="25"/>
        <v>57</v>
      </c>
      <c r="X85" s="1">
        <f t="shared" si="25"/>
        <v>37</v>
      </c>
      <c r="Y85" s="1">
        <f t="shared" si="25"/>
        <v>45</v>
      </c>
      <c r="Z85" s="1">
        <f t="shared" si="25"/>
        <v>60</v>
      </c>
      <c r="AA85" s="1">
        <f t="shared" si="25"/>
        <v>33</v>
      </c>
      <c r="AB85" s="1">
        <f t="shared" si="25"/>
        <v>30</v>
      </c>
      <c r="AC85" s="1">
        <f t="shared" si="25"/>
        <v>50</v>
      </c>
      <c r="AD85" s="1">
        <f t="shared" si="25"/>
        <v>1</v>
      </c>
      <c r="AE85" s="1">
        <f t="shared" si="25"/>
        <v>24</v>
      </c>
      <c r="AF85" s="1">
        <f t="shared" si="25"/>
        <v>1</v>
      </c>
      <c r="AG85" s="1">
        <f t="shared" si="25"/>
        <v>47</v>
      </c>
      <c r="AH85" s="1">
        <f t="shared" si="25"/>
        <v>1</v>
      </c>
      <c r="AI85" s="1">
        <f t="shared" si="25"/>
        <v>40</v>
      </c>
      <c r="AJ85" s="1">
        <f t="shared" si="25"/>
        <v>1</v>
      </c>
      <c r="AK85" s="1">
        <f t="shared" si="25"/>
        <v>39</v>
      </c>
      <c r="AL85" s="1">
        <f t="shared" si="25"/>
        <v>55</v>
      </c>
      <c r="AM85" s="1">
        <f t="shared" si="25"/>
        <v>24</v>
      </c>
      <c r="AN85" s="1">
        <f t="shared" si="25"/>
        <v>1</v>
      </c>
      <c r="AO85" s="1">
        <f t="shared" si="25"/>
        <v>1</v>
      </c>
      <c r="AP85" s="1">
        <f t="shared" si="25"/>
        <v>49</v>
      </c>
      <c r="AQ85" s="1">
        <f t="shared" si="25"/>
        <v>34</v>
      </c>
      <c r="AR85" s="1">
        <f t="shared" si="25"/>
        <v>37</v>
      </c>
      <c r="AS85" s="1">
        <f t="shared" si="25"/>
        <v>1</v>
      </c>
      <c r="AT85" s="1">
        <f t="shared" si="25"/>
        <v>24</v>
      </c>
      <c r="AU85" s="1">
        <f t="shared" si="25"/>
        <v>30</v>
      </c>
      <c r="AV85" s="1">
        <f t="shared" si="25"/>
        <v>34</v>
      </c>
      <c r="AW85" s="1">
        <f t="shared" si="25"/>
        <v>21</v>
      </c>
      <c r="AX85" s="1">
        <f t="shared" si="25"/>
        <v>41</v>
      </c>
      <c r="AY85" s="1">
        <f t="shared" si="25"/>
        <v>1</v>
      </c>
      <c r="AZ85" s="1">
        <f t="shared" si="25"/>
        <v>1</v>
      </c>
      <c r="BA85" s="1">
        <f t="shared" si="25"/>
        <v>1</v>
      </c>
      <c r="BB85" s="1">
        <f t="shared" si="25"/>
        <v>41</v>
      </c>
      <c r="BC85" s="1">
        <f t="shared" si="25"/>
        <v>54</v>
      </c>
      <c r="BD85" s="1">
        <f t="shared" si="25"/>
        <v>1</v>
      </c>
      <c r="BE85" s="1">
        <f t="shared" si="25"/>
        <v>20</v>
      </c>
      <c r="BF85" s="1">
        <f t="shared" si="25"/>
        <v>24</v>
      </c>
      <c r="BG85" s="1">
        <f t="shared" si="25"/>
        <v>1</v>
      </c>
      <c r="BH85" s="1">
        <f t="shared" si="25"/>
        <v>59</v>
      </c>
      <c r="BI85" s="1">
        <f t="shared" si="25"/>
        <v>1</v>
      </c>
      <c r="BJ85" s="1">
        <f t="shared" ref="BJ85" si="27">RANK(BJ20,$B20:$BJ20,0)</f>
        <v>1</v>
      </c>
    </row>
    <row r="86" spans="1:62">
      <c r="A86" s="1" t="str">
        <f t="shared" si="4"/>
        <v>   2.1.6) Quality of health services</v>
      </c>
      <c r="B86" s="1">
        <f t="shared" si="5"/>
        <v>27</v>
      </c>
      <c r="C86" s="1">
        <f t="shared" si="25"/>
        <v>1</v>
      </c>
      <c r="D86" s="1">
        <f t="shared" si="25"/>
        <v>33</v>
      </c>
      <c r="E86" s="1">
        <f t="shared" si="25"/>
        <v>33</v>
      </c>
      <c r="F86" s="1">
        <f t="shared" si="25"/>
        <v>1</v>
      </c>
      <c r="G86" s="1">
        <f t="shared" si="25"/>
        <v>33</v>
      </c>
      <c r="H86" s="1">
        <f t="shared" si="25"/>
        <v>33</v>
      </c>
      <c r="I86" s="1">
        <f t="shared" si="25"/>
        <v>1</v>
      </c>
      <c r="J86" s="1">
        <f t="shared" si="25"/>
        <v>27</v>
      </c>
      <c r="K86" s="1">
        <f t="shared" si="25"/>
        <v>52</v>
      </c>
      <c r="L86" s="1">
        <f t="shared" si="25"/>
        <v>52</v>
      </c>
      <c r="M86" s="1">
        <f t="shared" si="25"/>
        <v>52</v>
      </c>
      <c r="N86" s="1">
        <f t="shared" si="25"/>
        <v>13</v>
      </c>
      <c r="O86" s="1">
        <f t="shared" si="25"/>
        <v>13</v>
      </c>
      <c r="P86" s="1">
        <f t="shared" si="25"/>
        <v>33</v>
      </c>
      <c r="Q86" s="1">
        <f t="shared" si="25"/>
        <v>52</v>
      </c>
      <c r="R86" s="1">
        <f t="shared" si="25"/>
        <v>27</v>
      </c>
      <c r="S86" s="1">
        <f t="shared" si="25"/>
        <v>1</v>
      </c>
      <c r="T86" s="1">
        <f t="shared" si="25"/>
        <v>52</v>
      </c>
      <c r="U86" s="1">
        <f t="shared" si="25"/>
        <v>13</v>
      </c>
      <c r="V86" s="1">
        <f t="shared" si="25"/>
        <v>48</v>
      </c>
      <c r="W86" s="1">
        <f t="shared" si="25"/>
        <v>52</v>
      </c>
      <c r="X86" s="1">
        <f t="shared" si="25"/>
        <v>33</v>
      </c>
      <c r="Y86" s="1">
        <f t="shared" si="25"/>
        <v>48</v>
      </c>
      <c r="Z86" s="1">
        <f t="shared" si="25"/>
        <v>48</v>
      </c>
      <c r="AA86" s="1">
        <f t="shared" si="25"/>
        <v>33</v>
      </c>
      <c r="AB86" s="1">
        <f t="shared" si="25"/>
        <v>13</v>
      </c>
      <c r="AC86" s="1">
        <f t="shared" si="25"/>
        <v>33</v>
      </c>
      <c r="AD86" s="1">
        <f t="shared" si="25"/>
        <v>13</v>
      </c>
      <c r="AE86" s="1">
        <f t="shared" si="25"/>
        <v>13</v>
      </c>
      <c r="AF86" s="1">
        <f t="shared" si="25"/>
        <v>13</v>
      </c>
      <c r="AG86" s="1">
        <f t="shared" si="25"/>
        <v>33</v>
      </c>
      <c r="AH86" s="1">
        <f t="shared" si="25"/>
        <v>1</v>
      </c>
      <c r="AI86" s="1">
        <f t="shared" si="25"/>
        <v>48</v>
      </c>
      <c r="AJ86" s="1">
        <f t="shared" si="25"/>
        <v>27</v>
      </c>
      <c r="AK86" s="1">
        <f t="shared" si="25"/>
        <v>27</v>
      </c>
      <c r="AL86" s="1">
        <f t="shared" si="25"/>
        <v>52</v>
      </c>
      <c r="AM86" s="1">
        <f t="shared" si="25"/>
        <v>13</v>
      </c>
      <c r="AN86" s="1">
        <f t="shared" si="25"/>
        <v>1</v>
      </c>
      <c r="AO86" s="1">
        <f t="shared" si="25"/>
        <v>1</v>
      </c>
      <c r="AP86" s="1">
        <f t="shared" si="25"/>
        <v>52</v>
      </c>
      <c r="AQ86" s="1">
        <f t="shared" si="25"/>
        <v>33</v>
      </c>
      <c r="AR86" s="1">
        <f t="shared" si="25"/>
        <v>33</v>
      </c>
      <c r="AS86" s="1">
        <f t="shared" si="25"/>
        <v>27</v>
      </c>
      <c r="AT86" s="1">
        <f t="shared" si="25"/>
        <v>13</v>
      </c>
      <c r="AU86" s="1">
        <f t="shared" si="25"/>
        <v>33</v>
      </c>
      <c r="AV86" s="1">
        <f t="shared" si="25"/>
        <v>33</v>
      </c>
      <c r="AW86" s="1">
        <f t="shared" si="25"/>
        <v>13</v>
      </c>
      <c r="AX86" s="1">
        <f t="shared" si="25"/>
        <v>33</v>
      </c>
      <c r="AY86" s="1">
        <f t="shared" si="25"/>
        <v>1</v>
      </c>
      <c r="AZ86" s="1">
        <f t="shared" si="25"/>
        <v>13</v>
      </c>
      <c r="BA86" s="1">
        <f t="shared" si="25"/>
        <v>1</v>
      </c>
      <c r="BB86" s="1">
        <f t="shared" si="25"/>
        <v>13</v>
      </c>
      <c r="BC86" s="1">
        <f t="shared" si="25"/>
        <v>33</v>
      </c>
      <c r="BD86" s="1">
        <f t="shared" si="25"/>
        <v>1</v>
      </c>
      <c r="BE86" s="1">
        <f t="shared" si="25"/>
        <v>1</v>
      </c>
      <c r="BF86" s="1">
        <f t="shared" si="25"/>
        <v>13</v>
      </c>
      <c r="BG86" s="1">
        <f t="shared" si="25"/>
        <v>13</v>
      </c>
      <c r="BH86" s="1">
        <f t="shared" si="25"/>
        <v>52</v>
      </c>
      <c r="BI86" s="1">
        <f t="shared" si="25"/>
        <v>1</v>
      </c>
      <c r="BJ86" s="1">
        <f t="shared" ref="BJ86" si="28">RANK(BJ21,$B21:$BJ21,0)</f>
        <v>1</v>
      </c>
    </row>
    <row r="87" spans="1:62">
      <c r="A87" s="1" t="str">
        <f t="shared" si="4"/>
        <v>  2.2) Health security (Outputs)</v>
      </c>
      <c r="B87" s="1">
        <f t="shared" si="5"/>
        <v>22</v>
      </c>
      <c r="C87" s="1">
        <f t="shared" si="25"/>
        <v>24</v>
      </c>
      <c r="D87" s="1">
        <f t="shared" si="25"/>
        <v>12</v>
      </c>
      <c r="E87" s="1">
        <f t="shared" si="25"/>
        <v>27</v>
      </c>
      <c r="F87" s="1">
        <f t="shared" si="25"/>
        <v>15</v>
      </c>
      <c r="G87" s="1">
        <f t="shared" si="25"/>
        <v>53</v>
      </c>
      <c r="H87" s="1">
        <f t="shared" si="25"/>
        <v>28</v>
      </c>
      <c r="I87" s="1">
        <f t="shared" si="25"/>
        <v>19</v>
      </c>
      <c r="J87" s="1">
        <f t="shared" si="25"/>
        <v>32</v>
      </c>
      <c r="K87" s="1">
        <f t="shared" si="25"/>
        <v>56</v>
      </c>
      <c r="L87" s="1">
        <f t="shared" si="25"/>
        <v>39</v>
      </c>
      <c r="M87" s="1">
        <f t="shared" si="25"/>
        <v>41</v>
      </c>
      <c r="N87" s="1">
        <f t="shared" si="25"/>
        <v>44</v>
      </c>
      <c r="O87" s="1">
        <f t="shared" si="25"/>
        <v>33</v>
      </c>
      <c r="P87" s="1">
        <f t="shared" si="25"/>
        <v>57</v>
      </c>
      <c r="Q87" s="1">
        <f t="shared" si="25"/>
        <v>55</v>
      </c>
      <c r="R87" s="1">
        <f t="shared" si="25"/>
        <v>34</v>
      </c>
      <c r="S87" s="1">
        <f t="shared" si="25"/>
        <v>13</v>
      </c>
      <c r="T87" s="1">
        <f t="shared" si="25"/>
        <v>36</v>
      </c>
      <c r="U87" s="1">
        <f t="shared" si="25"/>
        <v>42</v>
      </c>
      <c r="V87" s="1">
        <f t="shared" si="25"/>
        <v>45</v>
      </c>
      <c r="W87" s="1">
        <f t="shared" si="25"/>
        <v>50</v>
      </c>
      <c r="X87" s="1">
        <f t="shared" si="25"/>
        <v>30</v>
      </c>
      <c r="Y87" s="1">
        <f t="shared" si="25"/>
        <v>58</v>
      </c>
      <c r="Z87" s="1">
        <f t="shared" si="25"/>
        <v>60</v>
      </c>
      <c r="AA87" s="1">
        <f t="shared" si="25"/>
        <v>25</v>
      </c>
      <c r="AB87" s="1">
        <f t="shared" si="25"/>
        <v>31</v>
      </c>
      <c r="AC87" s="1">
        <f t="shared" si="25"/>
        <v>48</v>
      </c>
      <c r="AD87" s="1">
        <f t="shared" si="25"/>
        <v>14</v>
      </c>
      <c r="AE87" s="1">
        <f t="shared" si="25"/>
        <v>37</v>
      </c>
      <c r="AF87" s="1">
        <f t="shared" si="25"/>
        <v>9</v>
      </c>
      <c r="AG87" s="1">
        <f t="shared" si="25"/>
        <v>38</v>
      </c>
      <c r="AH87" s="1">
        <f t="shared" si="25"/>
        <v>6</v>
      </c>
      <c r="AI87" s="1">
        <f t="shared" si="25"/>
        <v>17</v>
      </c>
      <c r="AJ87" s="1">
        <f t="shared" si="25"/>
        <v>16</v>
      </c>
      <c r="AK87" s="1">
        <f t="shared" si="25"/>
        <v>46</v>
      </c>
      <c r="AL87" s="1">
        <f t="shared" si="25"/>
        <v>52</v>
      </c>
      <c r="AM87" s="1">
        <f t="shared" si="25"/>
        <v>51</v>
      </c>
      <c r="AN87" s="1">
        <f t="shared" si="25"/>
        <v>7</v>
      </c>
      <c r="AO87" s="1">
        <f t="shared" si="25"/>
        <v>20</v>
      </c>
      <c r="AP87" s="1">
        <f t="shared" si="25"/>
        <v>35</v>
      </c>
      <c r="AQ87" s="1">
        <f t="shared" si="25"/>
        <v>40</v>
      </c>
      <c r="AR87" s="1">
        <f t="shared" si="25"/>
        <v>23</v>
      </c>
      <c r="AS87" s="1">
        <f t="shared" si="25"/>
        <v>11</v>
      </c>
      <c r="AT87" s="1">
        <f t="shared" si="25"/>
        <v>26</v>
      </c>
      <c r="AU87" s="1">
        <f t="shared" si="25"/>
        <v>21</v>
      </c>
      <c r="AV87" s="1">
        <f t="shared" si="25"/>
        <v>47</v>
      </c>
      <c r="AW87" s="1">
        <f t="shared" si="25"/>
        <v>10</v>
      </c>
      <c r="AX87" s="1">
        <f t="shared" si="25"/>
        <v>43</v>
      </c>
      <c r="AY87" s="1">
        <f t="shared" si="25"/>
        <v>2</v>
      </c>
      <c r="AZ87" s="1">
        <f t="shared" si="25"/>
        <v>1</v>
      </c>
      <c r="BA87" s="1">
        <f t="shared" si="25"/>
        <v>5</v>
      </c>
      <c r="BB87" s="1">
        <f t="shared" si="25"/>
        <v>18</v>
      </c>
      <c r="BC87" s="1">
        <f t="shared" si="25"/>
        <v>29</v>
      </c>
      <c r="BD87" s="1">
        <f t="shared" si="25"/>
        <v>3</v>
      </c>
      <c r="BE87" s="1">
        <f t="shared" si="25"/>
        <v>8</v>
      </c>
      <c r="BF87" s="1">
        <f t="shared" si="25"/>
        <v>54</v>
      </c>
      <c r="BG87" s="1">
        <f t="shared" si="25"/>
        <v>49</v>
      </c>
      <c r="BH87" s="1">
        <f t="shared" si="25"/>
        <v>59</v>
      </c>
      <c r="BI87" s="1">
        <f t="shared" si="25"/>
        <v>4</v>
      </c>
      <c r="BJ87" s="1">
        <f t="shared" ref="BJ87" si="29">RANK(BJ22,$B22:$BJ22,0)</f>
        <v>8</v>
      </c>
    </row>
    <row r="88" spans="1:62">
      <c r="A88" s="1" t="str">
        <f t="shared" si="4"/>
        <v>   2.2.1) Air quality (PM 2.5 levels)</v>
      </c>
      <c r="B88" s="1">
        <f t="shared" si="5"/>
        <v>51</v>
      </c>
      <c r="C88" s="1">
        <f t="shared" si="25"/>
        <v>20</v>
      </c>
      <c r="D88" s="1">
        <f t="shared" si="25"/>
        <v>17</v>
      </c>
      <c r="E88" s="1">
        <f t="shared" si="25"/>
        <v>34</v>
      </c>
      <c r="F88" s="1">
        <f t="shared" si="25"/>
        <v>18</v>
      </c>
      <c r="G88" s="1">
        <f t="shared" si="25"/>
        <v>57</v>
      </c>
      <c r="H88" s="1">
        <f t="shared" si="25"/>
        <v>35</v>
      </c>
      <c r="I88" s="1">
        <f t="shared" si="25"/>
        <v>27</v>
      </c>
      <c r="J88" s="1">
        <f t="shared" si="25"/>
        <v>14</v>
      </c>
      <c r="K88" s="1">
        <f t="shared" si="25"/>
        <v>55</v>
      </c>
      <c r="L88" s="1">
        <f t="shared" si="25"/>
        <v>38</v>
      </c>
      <c r="M88" s="1">
        <f t="shared" si="25"/>
        <v>39</v>
      </c>
      <c r="N88" s="1">
        <f t="shared" si="25"/>
        <v>13</v>
      </c>
      <c r="O88" s="1">
        <f t="shared" si="25"/>
        <v>11</v>
      </c>
      <c r="P88" s="1">
        <f t="shared" si="25"/>
        <v>56</v>
      </c>
      <c r="Q88" s="1">
        <f t="shared" si="25"/>
        <v>59</v>
      </c>
      <c r="R88" s="1">
        <f t="shared" si="25"/>
        <v>60</v>
      </c>
      <c r="S88" s="1">
        <f t="shared" si="25"/>
        <v>28</v>
      </c>
      <c r="T88" s="1">
        <f t="shared" si="25"/>
        <v>40</v>
      </c>
      <c r="U88" s="1">
        <f t="shared" si="25"/>
        <v>42</v>
      </c>
      <c r="V88" s="1">
        <f t="shared" si="25"/>
        <v>45</v>
      </c>
      <c r="W88" s="1">
        <f t="shared" si="25"/>
        <v>19</v>
      </c>
      <c r="X88" s="1">
        <f t="shared" si="25"/>
        <v>54</v>
      </c>
      <c r="Y88" s="1">
        <f t="shared" si="25"/>
        <v>46</v>
      </c>
      <c r="Z88" s="1">
        <f t="shared" si="25"/>
        <v>58</v>
      </c>
      <c r="AA88" s="1">
        <f t="shared" si="25"/>
        <v>37</v>
      </c>
      <c r="AB88" s="1">
        <f t="shared" si="25"/>
        <v>53</v>
      </c>
      <c r="AC88" s="1">
        <f t="shared" si="25"/>
        <v>48</v>
      </c>
      <c r="AD88" s="1">
        <f t="shared" si="25"/>
        <v>9</v>
      </c>
      <c r="AE88" s="1">
        <f t="shared" si="25"/>
        <v>12</v>
      </c>
      <c r="AF88" s="1">
        <f t="shared" si="25"/>
        <v>10</v>
      </c>
      <c r="AG88" s="1">
        <f t="shared" si="25"/>
        <v>24</v>
      </c>
      <c r="AH88" s="1">
        <f t="shared" si="25"/>
        <v>4</v>
      </c>
      <c r="AI88" s="1">
        <f t="shared" si="25"/>
        <v>32</v>
      </c>
      <c r="AJ88" s="1">
        <f t="shared" si="25"/>
        <v>43</v>
      </c>
      <c r="AK88" s="1">
        <f t="shared" si="25"/>
        <v>33</v>
      </c>
      <c r="AL88" s="1">
        <f t="shared" si="25"/>
        <v>52</v>
      </c>
      <c r="AM88" s="1">
        <f t="shared" si="25"/>
        <v>7</v>
      </c>
      <c r="AN88" s="1">
        <f t="shared" si="25"/>
        <v>22</v>
      </c>
      <c r="AO88" s="1">
        <f t="shared" si="25"/>
        <v>25</v>
      </c>
      <c r="AP88" s="1">
        <f t="shared" si="25"/>
        <v>29</v>
      </c>
      <c r="AQ88" s="1">
        <f t="shared" si="25"/>
        <v>21</v>
      </c>
      <c r="AR88" s="1">
        <f t="shared" si="25"/>
        <v>47</v>
      </c>
      <c r="AS88" s="1">
        <f t="shared" si="25"/>
        <v>23</v>
      </c>
      <c r="AT88" s="1">
        <f t="shared" si="25"/>
        <v>6</v>
      </c>
      <c r="AU88" s="1">
        <f t="shared" si="25"/>
        <v>41</v>
      </c>
      <c r="AV88" s="1">
        <f t="shared" si="25"/>
        <v>30</v>
      </c>
      <c r="AW88" s="1">
        <f t="shared" si="25"/>
        <v>36</v>
      </c>
      <c r="AX88" s="1">
        <f t="shared" si="25"/>
        <v>49</v>
      </c>
      <c r="AY88" s="1">
        <f t="shared" si="25"/>
        <v>26</v>
      </c>
      <c r="AZ88" s="1">
        <f t="shared" si="25"/>
        <v>1</v>
      </c>
      <c r="BA88" s="1">
        <f t="shared" si="25"/>
        <v>3</v>
      </c>
      <c r="BB88" s="1">
        <f t="shared" ref="C88:BI93" si="30">RANK(BB23,$B23:$BI23,0)</f>
        <v>31</v>
      </c>
      <c r="BC88" s="1">
        <f t="shared" si="30"/>
        <v>44</v>
      </c>
      <c r="BD88" s="1">
        <f t="shared" si="30"/>
        <v>16</v>
      </c>
      <c r="BE88" s="1">
        <f t="shared" si="30"/>
        <v>5</v>
      </c>
      <c r="BF88" s="1">
        <f t="shared" si="30"/>
        <v>8</v>
      </c>
      <c r="BG88" s="1">
        <f t="shared" si="30"/>
        <v>2</v>
      </c>
      <c r="BH88" s="1">
        <f t="shared" si="30"/>
        <v>50</v>
      </c>
      <c r="BI88" s="1">
        <f t="shared" si="30"/>
        <v>15</v>
      </c>
      <c r="BJ88" s="1">
        <f t="shared" ref="BJ88" si="31">RANK(BJ23,$B23:$BJ23,0)</f>
        <v>17</v>
      </c>
    </row>
    <row r="89" spans="1:62">
      <c r="A89" s="1" t="str">
        <f t="shared" si="4"/>
        <v>   2.2.2) Water quality</v>
      </c>
      <c r="B89" s="1">
        <f t="shared" si="5"/>
        <v>11</v>
      </c>
      <c r="C89" s="1">
        <f t="shared" si="30"/>
        <v>5</v>
      </c>
      <c r="D89" s="1">
        <f t="shared" si="30"/>
        <v>19</v>
      </c>
      <c r="E89" s="1">
        <f t="shared" si="30"/>
        <v>36</v>
      </c>
      <c r="F89" s="1">
        <f t="shared" si="30"/>
        <v>38</v>
      </c>
      <c r="G89" s="1">
        <f t="shared" si="30"/>
        <v>24</v>
      </c>
      <c r="H89" s="1">
        <f t="shared" si="30"/>
        <v>50</v>
      </c>
      <c r="I89" s="1">
        <f t="shared" si="30"/>
        <v>2</v>
      </c>
      <c r="J89" s="1">
        <f t="shared" si="30"/>
        <v>34</v>
      </c>
      <c r="K89" s="1">
        <f t="shared" si="30"/>
        <v>47</v>
      </c>
      <c r="L89" s="1">
        <f t="shared" si="30"/>
        <v>59</v>
      </c>
      <c r="M89" s="1">
        <f t="shared" si="30"/>
        <v>51</v>
      </c>
      <c r="N89" s="1">
        <f t="shared" si="30"/>
        <v>44</v>
      </c>
      <c r="O89" s="1">
        <f t="shared" si="30"/>
        <v>45</v>
      </c>
      <c r="P89" s="1">
        <f t="shared" si="30"/>
        <v>45</v>
      </c>
      <c r="Q89" s="1">
        <f t="shared" si="30"/>
        <v>41</v>
      </c>
      <c r="R89" s="1">
        <f t="shared" si="30"/>
        <v>22</v>
      </c>
      <c r="S89" s="1">
        <f t="shared" si="30"/>
        <v>1</v>
      </c>
      <c r="T89" s="1">
        <f t="shared" si="30"/>
        <v>40</v>
      </c>
      <c r="U89" s="1">
        <f t="shared" si="30"/>
        <v>29</v>
      </c>
      <c r="V89" s="1">
        <f t="shared" si="30"/>
        <v>49</v>
      </c>
      <c r="W89" s="1">
        <f t="shared" si="30"/>
        <v>58</v>
      </c>
      <c r="X89" s="1">
        <f t="shared" si="30"/>
        <v>32</v>
      </c>
      <c r="Y89" s="1">
        <f t="shared" si="30"/>
        <v>25</v>
      </c>
      <c r="Z89" s="1">
        <f t="shared" si="30"/>
        <v>55</v>
      </c>
      <c r="AA89" s="1">
        <f t="shared" si="30"/>
        <v>39</v>
      </c>
      <c r="AB89" s="1">
        <f t="shared" si="30"/>
        <v>37</v>
      </c>
      <c r="AC89" s="1">
        <f t="shared" si="30"/>
        <v>57</v>
      </c>
      <c r="AD89" s="1">
        <f t="shared" si="30"/>
        <v>12</v>
      </c>
      <c r="AE89" s="1">
        <f t="shared" si="30"/>
        <v>42</v>
      </c>
      <c r="AF89" s="1">
        <f t="shared" si="30"/>
        <v>20</v>
      </c>
      <c r="AG89" s="1">
        <f t="shared" si="30"/>
        <v>30</v>
      </c>
      <c r="AH89" s="1">
        <f t="shared" si="30"/>
        <v>9</v>
      </c>
      <c r="AI89" s="1">
        <f t="shared" si="30"/>
        <v>52</v>
      </c>
      <c r="AJ89" s="1">
        <f t="shared" si="30"/>
        <v>21</v>
      </c>
      <c r="AK89" s="1">
        <f t="shared" si="30"/>
        <v>17</v>
      </c>
      <c r="AL89" s="1">
        <f t="shared" si="30"/>
        <v>26</v>
      </c>
      <c r="AM89" s="1">
        <f t="shared" si="30"/>
        <v>27</v>
      </c>
      <c r="AN89" s="1">
        <f t="shared" si="30"/>
        <v>16</v>
      </c>
      <c r="AO89" s="1">
        <f t="shared" si="30"/>
        <v>13</v>
      </c>
      <c r="AP89" s="1">
        <f t="shared" si="30"/>
        <v>54</v>
      </c>
      <c r="AQ89" s="1">
        <f t="shared" si="30"/>
        <v>53</v>
      </c>
      <c r="AR89" s="1">
        <f t="shared" si="30"/>
        <v>28</v>
      </c>
      <c r="AS89" s="1">
        <f t="shared" si="30"/>
        <v>31</v>
      </c>
      <c r="AT89" s="1">
        <f t="shared" si="30"/>
        <v>42</v>
      </c>
      <c r="AU89" s="1">
        <f t="shared" si="30"/>
        <v>23</v>
      </c>
      <c r="AV89" s="1">
        <f t="shared" si="30"/>
        <v>60</v>
      </c>
      <c r="AW89" s="1">
        <f t="shared" si="30"/>
        <v>6</v>
      </c>
      <c r="AX89" s="1">
        <f t="shared" si="30"/>
        <v>33</v>
      </c>
      <c r="AY89" s="1">
        <f t="shared" si="30"/>
        <v>3</v>
      </c>
      <c r="AZ89" s="1">
        <f t="shared" si="30"/>
        <v>4</v>
      </c>
      <c r="BA89" s="1">
        <f t="shared" si="30"/>
        <v>8</v>
      </c>
      <c r="BB89" s="1">
        <f t="shared" si="30"/>
        <v>18</v>
      </c>
      <c r="BC89" s="1">
        <f t="shared" si="30"/>
        <v>48</v>
      </c>
      <c r="BD89" s="1">
        <f t="shared" si="30"/>
        <v>14</v>
      </c>
      <c r="BE89" s="1">
        <f t="shared" si="30"/>
        <v>7</v>
      </c>
      <c r="BF89" s="1">
        <f t="shared" si="30"/>
        <v>35</v>
      </c>
      <c r="BG89" s="1">
        <f t="shared" si="30"/>
        <v>15</v>
      </c>
      <c r="BH89" s="1">
        <f t="shared" si="30"/>
        <v>56</v>
      </c>
      <c r="BI89" s="1">
        <f t="shared" si="30"/>
        <v>10</v>
      </c>
      <c r="BJ89" s="1">
        <f t="shared" ref="BJ89" si="32">RANK(BJ24,$B24:$BJ24,0)</f>
        <v>21</v>
      </c>
    </row>
    <row r="90" spans="1:62">
      <c r="A90" s="1" t="str">
        <f t="shared" si="4"/>
        <v>   2.2.3) Life expectancy years</v>
      </c>
      <c r="B90" s="1">
        <f t="shared" si="5"/>
        <v>30</v>
      </c>
      <c r="C90" s="1">
        <f t="shared" si="30"/>
        <v>17</v>
      </c>
      <c r="D90" s="1">
        <f t="shared" si="30"/>
        <v>19</v>
      </c>
      <c r="E90" s="1">
        <f t="shared" si="30"/>
        <v>45</v>
      </c>
      <c r="F90" s="1">
        <f t="shared" si="30"/>
        <v>6</v>
      </c>
      <c r="G90" s="1">
        <f t="shared" si="30"/>
        <v>35</v>
      </c>
      <c r="H90" s="1">
        <f t="shared" si="30"/>
        <v>50</v>
      </c>
      <c r="I90" s="1">
        <f t="shared" si="30"/>
        <v>21</v>
      </c>
      <c r="J90" s="1">
        <f t="shared" si="30"/>
        <v>33</v>
      </c>
      <c r="K90" s="1">
        <f t="shared" si="30"/>
        <v>52</v>
      </c>
      <c r="L90" s="1">
        <f t="shared" si="30"/>
        <v>48</v>
      </c>
      <c r="M90" s="1">
        <f t="shared" si="30"/>
        <v>49</v>
      </c>
      <c r="N90" s="1">
        <f t="shared" si="30"/>
        <v>27</v>
      </c>
      <c r="O90" s="1">
        <f t="shared" si="30"/>
        <v>29</v>
      </c>
      <c r="P90" s="1">
        <f t="shared" si="30"/>
        <v>56</v>
      </c>
      <c r="Q90" s="1">
        <f t="shared" si="30"/>
        <v>51</v>
      </c>
      <c r="R90" s="1">
        <f t="shared" si="30"/>
        <v>28</v>
      </c>
      <c r="S90" s="1">
        <f t="shared" si="30"/>
        <v>22</v>
      </c>
      <c r="T90" s="1">
        <f t="shared" si="30"/>
        <v>37</v>
      </c>
      <c r="U90" s="1">
        <f t="shared" si="30"/>
        <v>1</v>
      </c>
      <c r="V90" s="1">
        <f t="shared" si="30"/>
        <v>39</v>
      </c>
      <c r="W90" s="1">
        <f t="shared" si="30"/>
        <v>54</v>
      </c>
      <c r="X90" s="1">
        <f t="shared" si="30"/>
        <v>46</v>
      </c>
      <c r="Y90" s="1">
        <f t="shared" si="30"/>
        <v>60</v>
      </c>
      <c r="Z90" s="1">
        <f t="shared" si="30"/>
        <v>58</v>
      </c>
      <c r="AA90" s="1">
        <f t="shared" si="30"/>
        <v>40</v>
      </c>
      <c r="AB90" s="1">
        <f t="shared" si="30"/>
        <v>42</v>
      </c>
      <c r="AC90" s="1">
        <f t="shared" si="30"/>
        <v>41</v>
      </c>
      <c r="AD90" s="1">
        <f t="shared" si="30"/>
        <v>18</v>
      </c>
      <c r="AE90" s="1">
        <f t="shared" si="30"/>
        <v>23</v>
      </c>
      <c r="AF90" s="1">
        <f t="shared" si="30"/>
        <v>6</v>
      </c>
      <c r="AG90" s="1">
        <f t="shared" si="30"/>
        <v>55</v>
      </c>
      <c r="AH90" s="1">
        <f t="shared" si="30"/>
        <v>12</v>
      </c>
      <c r="AI90" s="1">
        <f t="shared" si="30"/>
        <v>31</v>
      </c>
      <c r="AJ90" s="1">
        <f t="shared" si="30"/>
        <v>4</v>
      </c>
      <c r="AK90" s="1">
        <f t="shared" si="30"/>
        <v>53</v>
      </c>
      <c r="AL90" s="1">
        <f t="shared" si="30"/>
        <v>56</v>
      </c>
      <c r="AM90" s="1">
        <f t="shared" si="30"/>
        <v>25</v>
      </c>
      <c r="AN90" s="1">
        <f t="shared" si="30"/>
        <v>2</v>
      </c>
      <c r="AO90" s="1">
        <f t="shared" si="30"/>
        <v>9</v>
      </c>
      <c r="AP90" s="1">
        <f t="shared" si="30"/>
        <v>34</v>
      </c>
      <c r="AQ90" s="1">
        <f t="shared" si="30"/>
        <v>43</v>
      </c>
      <c r="AR90" s="1">
        <f t="shared" si="30"/>
        <v>46</v>
      </c>
      <c r="AS90" s="1">
        <f t="shared" si="30"/>
        <v>4</v>
      </c>
      <c r="AT90" s="1">
        <f t="shared" si="30"/>
        <v>23</v>
      </c>
      <c r="AU90" s="1">
        <f t="shared" si="30"/>
        <v>16</v>
      </c>
      <c r="AV90" s="1">
        <f t="shared" si="30"/>
        <v>43</v>
      </c>
      <c r="AW90" s="1">
        <f t="shared" si="30"/>
        <v>14</v>
      </c>
      <c r="AX90" s="1">
        <f t="shared" si="30"/>
        <v>35</v>
      </c>
      <c r="AY90" s="1">
        <f t="shared" si="30"/>
        <v>10</v>
      </c>
      <c r="AZ90" s="1">
        <f t="shared" si="30"/>
        <v>11</v>
      </c>
      <c r="BA90" s="1">
        <f t="shared" si="30"/>
        <v>12</v>
      </c>
      <c r="BB90" s="1">
        <f t="shared" si="30"/>
        <v>26</v>
      </c>
      <c r="BC90" s="1">
        <f t="shared" si="30"/>
        <v>38</v>
      </c>
      <c r="BD90" s="1">
        <f t="shared" si="30"/>
        <v>2</v>
      </c>
      <c r="BE90" s="1">
        <f t="shared" si="30"/>
        <v>15</v>
      </c>
      <c r="BF90" s="1">
        <f t="shared" si="30"/>
        <v>32</v>
      </c>
      <c r="BG90" s="1">
        <f t="shared" si="30"/>
        <v>20</v>
      </c>
      <c r="BH90" s="1">
        <f t="shared" si="30"/>
        <v>59</v>
      </c>
      <c r="BI90" s="1">
        <f t="shared" si="30"/>
        <v>8</v>
      </c>
      <c r="BJ90" s="1">
        <f t="shared" ref="BJ90" si="33">RANK(BJ25,$B25:$BJ25,0)</f>
        <v>2</v>
      </c>
    </row>
    <row r="91" spans="1:62">
      <c r="A91" s="1" t="str">
        <f t="shared" si="4"/>
        <v>   2.2.4) Infant mortality</v>
      </c>
      <c r="B91" s="1">
        <f t="shared" si="5"/>
        <v>28</v>
      </c>
      <c r="C91" s="1">
        <f t="shared" si="30"/>
        <v>12</v>
      </c>
      <c r="D91" s="1">
        <f t="shared" si="30"/>
        <v>19</v>
      </c>
      <c r="E91" s="1">
        <f t="shared" si="30"/>
        <v>37</v>
      </c>
      <c r="F91" s="1">
        <f t="shared" si="30"/>
        <v>15</v>
      </c>
      <c r="G91" s="1">
        <f t="shared" si="30"/>
        <v>35</v>
      </c>
      <c r="H91" s="1">
        <f t="shared" si="30"/>
        <v>46</v>
      </c>
      <c r="I91" s="1">
        <f t="shared" si="30"/>
        <v>13</v>
      </c>
      <c r="J91" s="1">
        <f t="shared" si="30"/>
        <v>38</v>
      </c>
      <c r="K91" s="1">
        <f t="shared" si="30"/>
        <v>51</v>
      </c>
      <c r="L91" s="1">
        <f t="shared" si="30"/>
        <v>43</v>
      </c>
      <c r="M91" s="1">
        <f t="shared" si="30"/>
        <v>54</v>
      </c>
      <c r="N91" s="1">
        <f t="shared" si="30"/>
        <v>30</v>
      </c>
      <c r="O91" s="1">
        <f t="shared" si="30"/>
        <v>27</v>
      </c>
      <c r="P91" s="1">
        <f t="shared" si="30"/>
        <v>57</v>
      </c>
      <c r="Q91" s="1">
        <f t="shared" si="30"/>
        <v>55</v>
      </c>
      <c r="R91" s="1">
        <f t="shared" si="30"/>
        <v>31</v>
      </c>
      <c r="S91" s="1">
        <f t="shared" si="30"/>
        <v>11</v>
      </c>
      <c r="T91" s="1">
        <f t="shared" si="30"/>
        <v>49</v>
      </c>
      <c r="U91" s="1">
        <f t="shared" si="30"/>
        <v>1</v>
      </c>
      <c r="V91" s="1">
        <f t="shared" si="30"/>
        <v>40</v>
      </c>
      <c r="W91" s="1">
        <f t="shared" si="30"/>
        <v>53</v>
      </c>
      <c r="X91" s="1">
        <f t="shared" si="30"/>
        <v>41</v>
      </c>
      <c r="Y91" s="1">
        <f t="shared" si="30"/>
        <v>56</v>
      </c>
      <c r="Z91" s="1">
        <f t="shared" si="30"/>
        <v>60</v>
      </c>
      <c r="AA91" s="1">
        <f t="shared" si="30"/>
        <v>29</v>
      </c>
      <c r="AB91" s="1">
        <f t="shared" si="30"/>
        <v>33</v>
      </c>
      <c r="AC91" s="1">
        <f t="shared" si="30"/>
        <v>44</v>
      </c>
      <c r="AD91" s="1">
        <f t="shared" si="30"/>
        <v>15</v>
      </c>
      <c r="AE91" s="1">
        <f t="shared" si="30"/>
        <v>21</v>
      </c>
      <c r="AF91" s="1">
        <f t="shared" si="30"/>
        <v>15</v>
      </c>
      <c r="AG91" s="1">
        <f t="shared" si="30"/>
        <v>52</v>
      </c>
      <c r="AH91" s="1">
        <f t="shared" si="30"/>
        <v>9</v>
      </c>
      <c r="AI91" s="1">
        <f t="shared" si="30"/>
        <v>39</v>
      </c>
      <c r="AJ91" s="1">
        <f t="shared" si="30"/>
        <v>6</v>
      </c>
      <c r="AK91" s="1">
        <f t="shared" si="30"/>
        <v>34</v>
      </c>
      <c r="AL91" s="1">
        <f t="shared" si="30"/>
        <v>57</v>
      </c>
      <c r="AM91" s="1">
        <f t="shared" si="30"/>
        <v>25</v>
      </c>
      <c r="AN91" s="1">
        <f t="shared" si="30"/>
        <v>2</v>
      </c>
      <c r="AO91" s="1">
        <f t="shared" si="30"/>
        <v>15</v>
      </c>
      <c r="AP91" s="1">
        <f t="shared" si="30"/>
        <v>50</v>
      </c>
      <c r="AQ91" s="1">
        <f t="shared" si="30"/>
        <v>47</v>
      </c>
      <c r="AR91" s="1">
        <f t="shared" si="30"/>
        <v>41</v>
      </c>
      <c r="AS91" s="1">
        <f t="shared" si="30"/>
        <v>6</v>
      </c>
      <c r="AT91" s="1">
        <f t="shared" si="30"/>
        <v>21</v>
      </c>
      <c r="AU91" s="1">
        <f t="shared" si="30"/>
        <v>32</v>
      </c>
      <c r="AV91" s="1">
        <f t="shared" si="30"/>
        <v>47</v>
      </c>
      <c r="AW91" s="1">
        <f t="shared" si="30"/>
        <v>6</v>
      </c>
      <c r="AX91" s="1">
        <f t="shared" si="30"/>
        <v>35</v>
      </c>
      <c r="AY91" s="1">
        <f t="shared" si="30"/>
        <v>4</v>
      </c>
      <c r="AZ91" s="1">
        <f t="shared" si="30"/>
        <v>5</v>
      </c>
      <c r="BA91" s="1">
        <f t="shared" si="30"/>
        <v>9</v>
      </c>
      <c r="BB91" s="1">
        <f t="shared" si="30"/>
        <v>20</v>
      </c>
      <c r="BC91" s="1">
        <f t="shared" si="30"/>
        <v>45</v>
      </c>
      <c r="BD91" s="1">
        <f t="shared" si="30"/>
        <v>2</v>
      </c>
      <c r="BE91" s="1">
        <f t="shared" si="30"/>
        <v>21</v>
      </c>
      <c r="BF91" s="1">
        <f t="shared" si="30"/>
        <v>24</v>
      </c>
      <c r="BG91" s="1">
        <f t="shared" si="30"/>
        <v>26</v>
      </c>
      <c r="BH91" s="1">
        <f t="shared" si="30"/>
        <v>59</v>
      </c>
      <c r="BI91" s="1">
        <f t="shared" si="30"/>
        <v>14</v>
      </c>
      <c r="BJ91" s="1">
        <f t="shared" ref="BJ91" si="34">RANK(BJ26,$B26:$BJ26,0)</f>
        <v>2</v>
      </c>
    </row>
    <row r="92" spans="1:62">
      <c r="A92" s="1" t="str">
        <f t="shared" si="4"/>
        <v>   2.2.5) Cancer mortality rate</v>
      </c>
      <c r="B92" s="1">
        <f t="shared" si="5"/>
        <v>8</v>
      </c>
      <c r="C92" s="1">
        <f t="shared" si="30"/>
        <v>58</v>
      </c>
      <c r="D92" s="1">
        <f t="shared" si="30"/>
        <v>39</v>
      </c>
      <c r="E92" s="1">
        <f t="shared" si="30"/>
        <v>18</v>
      </c>
      <c r="F92" s="1">
        <f t="shared" si="30"/>
        <v>43</v>
      </c>
      <c r="G92" s="1">
        <f t="shared" si="30"/>
        <v>49</v>
      </c>
      <c r="H92" s="1">
        <f t="shared" si="30"/>
        <v>11</v>
      </c>
      <c r="I92" s="1">
        <f t="shared" si="30"/>
        <v>51</v>
      </c>
      <c r="J92" s="1">
        <f t="shared" si="30"/>
        <v>48</v>
      </c>
      <c r="K92" s="1">
        <f t="shared" si="30"/>
        <v>29</v>
      </c>
      <c r="L92" s="1">
        <f t="shared" si="30"/>
        <v>12</v>
      </c>
      <c r="M92" s="1">
        <f t="shared" si="30"/>
        <v>15</v>
      </c>
      <c r="N92" s="1">
        <f t="shared" si="30"/>
        <v>59</v>
      </c>
      <c r="O92" s="1">
        <f t="shared" si="30"/>
        <v>57</v>
      </c>
      <c r="P92" s="1">
        <f t="shared" si="30"/>
        <v>4</v>
      </c>
      <c r="Q92" s="1">
        <f t="shared" si="30"/>
        <v>9</v>
      </c>
      <c r="R92" s="1">
        <f t="shared" si="30"/>
        <v>7</v>
      </c>
      <c r="S92" s="1">
        <f t="shared" si="30"/>
        <v>46</v>
      </c>
      <c r="T92" s="1">
        <f t="shared" si="30"/>
        <v>24</v>
      </c>
      <c r="U92" s="1">
        <f t="shared" si="30"/>
        <v>17</v>
      </c>
      <c r="V92" s="1">
        <f t="shared" si="30"/>
        <v>47</v>
      </c>
      <c r="W92" s="1">
        <f t="shared" si="30"/>
        <v>20</v>
      </c>
      <c r="X92" s="1">
        <f t="shared" si="30"/>
        <v>1</v>
      </c>
      <c r="Y92" s="1">
        <f t="shared" si="30"/>
        <v>19</v>
      </c>
      <c r="Z92" s="1">
        <f t="shared" si="30"/>
        <v>10</v>
      </c>
      <c r="AA92" s="1">
        <f t="shared" si="30"/>
        <v>16</v>
      </c>
      <c r="AB92" s="1">
        <f t="shared" si="30"/>
        <v>3</v>
      </c>
      <c r="AC92" s="1">
        <f t="shared" si="30"/>
        <v>22</v>
      </c>
      <c r="AD92" s="1">
        <f t="shared" si="30"/>
        <v>50</v>
      </c>
      <c r="AE92" s="1">
        <f t="shared" si="30"/>
        <v>52</v>
      </c>
      <c r="AF92" s="1">
        <f t="shared" si="30"/>
        <v>43</v>
      </c>
      <c r="AG92" s="1">
        <f t="shared" si="30"/>
        <v>14</v>
      </c>
      <c r="AH92" s="1">
        <f t="shared" si="30"/>
        <v>34</v>
      </c>
      <c r="AI92" s="1">
        <f t="shared" si="30"/>
        <v>6</v>
      </c>
      <c r="AJ92" s="1">
        <f t="shared" si="30"/>
        <v>40</v>
      </c>
      <c r="AK92" s="1">
        <f t="shared" si="30"/>
        <v>55</v>
      </c>
      <c r="AL92" s="1">
        <f t="shared" si="30"/>
        <v>4</v>
      </c>
      <c r="AM92" s="1">
        <f t="shared" si="30"/>
        <v>56</v>
      </c>
      <c r="AN92" s="1">
        <f t="shared" si="30"/>
        <v>26</v>
      </c>
      <c r="AO92" s="1">
        <f t="shared" si="30"/>
        <v>54</v>
      </c>
      <c r="AP92" s="1">
        <f t="shared" si="30"/>
        <v>23</v>
      </c>
      <c r="AQ92" s="1">
        <f t="shared" si="30"/>
        <v>32</v>
      </c>
      <c r="AR92" s="1">
        <f t="shared" si="30"/>
        <v>1</v>
      </c>
      <c r="AS92" s="1">
        <f t="shared" si="30"/>
        <v>40</v>
      </c>
      <c r="AT92" s="1">
        <f t="shared" si="30"/>
        <v>52</v>
      </c>
      <c r="AU92" s="1">
        <f t="shared" si="30"/>
        <v>36</v>
      </c>
      <c r="AV92" s="1">
        <f t="shared" si="30"/>
        <v>32</v>
      </c>
      <c r="AW92" s="1">
        <f t="shared" si="30"/>
        <v>31</v>
      </c>
      <c r="AX92" s="1">
        <f t="shared" si="30"/>
        <v>28</v>
      </c>
      <c r="AY92" s="1">
        <f t="shared" si="30"/>
        <v>21</v>
      </c>
      <c r="AZ92" s="1">
        <f t="shared" si="30"/>
        <v>37</v>
      </c>
      <c r="BA92" s="1">
        <f t="shared" si="30"/>
        <v>34</v>
      </c>
      <c r="BB92" s="1">
        <f t="shared" si="30"/>
        <v>42</v>
      </c>
      <c r="BC92" s="1">
        <f t="shared" si="30"/>
        <v>13</v>
      </c>
      <c r="BD92" s="1">
        <f t="shared" si="30"/>
        <v>26</v>
      </c>
      <c r="BE92" s="1">
        <f t="shared" si="30"/>
        <v>45</v>
      </c>
      <c r="BF92" s="1">
        <f t="shared" si="30"/>
        <v>60</v>
      </c>
      <c r="BG92" s="1">
        <f t="shared" si="30"/>
        <v>38</v>
      </c>
      <c r="BH92" s="1">
        <f t="shared" si="30"/>
        <v>30</v>
      </c>
      <c r="BI92" s="1">
        <f t="shared" si="30"/>
        <v>25</v>
      </c>
      <c r="BJ92" s="1">
        <f t="shared" ref="BJ92" si="35">RANK(BJ27,$B27:$BJ27,0)</f>
        <v>26</v>
      </c>
    </row>
    <row r="93" spans="1:62">
      <c r="A93" s="1" t="str">
        <f t="shared" si="4"/>
        <v>   2.2.6) Number of attacks using biological, chemical and/or radiological weapons</v>
      </c>
      <c r="B93" s="1">
        <f t="shared" si="5"/>
        <v>1</v>
      </c>
      <c r="C93" s="1">
        <f t="shared" si="30"/>
        <v>1</v>
      </c>
      <c r="D93" s="1">
        <f t="shared" si="30"/>
        <v>1</v>
      </c>
      <c r="E93" s="1">
        <f t="shared" si="30"/>
        <v>1</v>
      </c>
      <c r="F93" s="1">
        <f t="shared" si="30"/>
        <v>1</v>
      </c>
      <c r="G93" s="1">
        <f t="shared" si="30"/>
        <v>1</v>
      </c>
      <c r="H93" s="1">
        <f t="shared" si="30"/>
        <v>1</v>
      </c>
      <c r="I93" s="1">
        <f t="shared" si="30"/>
        <v>1</v>
      </c>
      <c r="J93" s="1">
        <f t="shared" si="30"/>
        <v>1</v>
      </c>
      <c r="K93" s="1">
        <f t="shared" si="30"/>
        <v>1</v>
      </c>
      <c r="L93" s="1">
        <f t="shared" si="30"/>
        <v>1</v>
      </c>
      <c r="M93" s="1">
        <f t="shared" si="30"/>
        <v>1</v>
      </c>
      <c r="N93" s="1">
        <f t="shared" ref="C93:BI97" si="36">RANK(N28,$B28:$BI28,0)</f>
        <v>1</v>
      </c>
      <c r="O93" s="1">
        <f t="shared" si="36"/>
        <v>1</v>
      </c>
      <c r="P93" s="1">
        <f t="shared" si="36"/>
        <v>1</v>
      </c>
      <c r="Q93" s="1">
        <f t="shared" si="36"/>
        <v>1</v>
      </c>
      <c r="R93" s="1">
        <f t="shared" si="36"/>
        <v>1</v>
      </c>
      <c r="S93" s="1">
        <f t="shared" si="36"/>
        <v>1</v>
      </c>
      <c r="T93" s="1">
        <f t="shared" si="36"/>
        <v>1</v>
      </c>
      <c r="U93" s="1">
        <f t="shared" si="36"/>
        <v>58</v>
      </c>
      <c r="V93" s="1">
        <f t="shared" si="36"/>
        <v>1</v>
      </c>
      <c r="W93" s="1">
        <f t="shared" si="36"/>
        <v>1</v>
      </c>
      <c r="X93" s="1">
        <f t="shared" si="36"/>
        <v>1</v>
      </c>
      <c r="Y93" s="1">
        <f t="shared" si="36"/>
        <v>1</v>
      </c>
      <c r="Z93" s="1">
        <f t="shared" si="36"/>
        <v>1</v>
      </c>
      <c r="AA93" s="1">
        <f t="shared" si="36"/>
        <v>1</v>
      </c>
      <c r="AB93" s="1">
        <f t="shared" si="36"/>
        <v>1</v>
      </c>
      <c r="AC93" s="1">
        <f t="shared" si="36"/>
        <v>1</v>
      </c>
      <c r="AD93" s="1">
        <f t="shared" si="36"/>
        <v>1</v>
      </c>
      <c r="AE93" s="1">
        <f t="shared" si="36"/>
        <v>56</v>
      </c>
      <c r="AF93" s="1">
        <f t="shared" si="36"/>
        <v>1</v>
      </c>
      <c r="AG93" s="1">
        <f t="shared" si="36"/>
        <v>1</v>
      </c>
      <c r="AH93" s="1">
        <f t="shared" si="36"/>
        <v>1</v>
      </c>
      <c r="AI93" s="1">
        <f t="shared" si="36"/>
        <v>1</v>
      </c>
      <c r="AJ93" s="1">
        <f t="shared" si="36"/>
        <v>1</v>
      </c>
      <c r="AK93" s="1">
        <f t="shared" si="36"/>
        <v>1</v>
      </c>
      <c r="AL93" s="1">
        <f t="shared" si="36"/>
        <v>1</v>
      </c>
      <c r="AM93" s="1">
        <f t="shared" si="36"/>
        <v>58</v>
      </c>
      <c r="AN93" s="1">
        <f t="shared" si="36"/>
        <v>1</v>
      </c>
      <c r="AO93" s="1">
        <f t="shared" si="36"/>
        <v>1</v>
      </c>
      <c r="AP93" s="1">
        <f t="shared" si="36"/>
        <v>1</v>
      </c>
      <c r="AQ93" s="1">
        <f t="shared" si="36"/>
        <v>1</v>
      </c>
      <c r="AR93" s="1">
        <f t="shared" si="36"/>
        <v>1</v>
      </c>
      <c r="AS93" s="1">
        <f t="shared" si="36"/>
        <v>1</v>
      </c>
      <c r="AT93" s="1">
        <f t="shared" si="36"/>
        <v>1</v>
      </c>
      <c r="AU93" s="1">
        <f t="shared" si="36"/>
        <v>1</v>
      </c>
      <c r="AV93" s="1">
        <f t="shared" si="36"/>
        <v>1</v>
      </c>
      <c r="AW93" s="1">
        <f t="shared" si="36"/>
        <v>1</v>
      </c>
      <c r="AX93" s="1">
        <f t="shared" si="36"/>
        <v>1</v>
      </c>
      <c r="AY93" s="1">
        <f t="shared" si="36"/>
        <v>1</v>
      </c>
      <c r="AZ93" s="1">
        <f t="shared" si="36"/>
        <v>1</v>
      </c>
      <c r="BA93" s="1">
        <f t="shared" si="36"/>
        <v>1</v>
      </c>
      <c r="BB93" s="1">
        <f t="shared" si="36"/>
        <v>1</v>
      </c>
      <c r="BC93" s="1">
        <f t="shared" si="36"/>
        <v>1</v>
      </c>
      <c r="BD93" s="1">
        <f t="shared" si="36"/>
        <v>1</v>
      </c>
      <c r="BE93" s="1">
        <f t="shared" si="36"/>
        <v>1</v>
      </c>
      <c r="BF93" s="1">
        <f t="shared" si="36"/>
        <v>57</v>
      </c>
      <c r="BG93" s="1">
        <f t="shared" si="36"/>
        <v>60</v>
      </c>
      <c r="BH93" s="1">
        <f t="shared" si="36"/>
        <v>1</v>
      </c>
      <c r="BI93" s="1">
        <f t="shared" si="36"/>
        <v>1</v>
      </c>
      <c r="BJ93" s="1">
        <f t="shared" ref="BJ93" si="37">RANK(BJ28,$B28:$BJ28,0)</f>
        <v>1</v>
      </c>
    </row>
    <row r="94" spans="1:62">
      <c r="A94" s="1" t="str">
        <f t="shared" si="4"/>
        <v> 3) INFRASTRUCTURE SECURITY</v>
      </c>
      <c r="B94" s="1">
        <f t="shared" si="5"/>
        <v>16</v>
      </c>
      <c r="C94" s="1">
        <f t="shared" si="36"/>
        <v>6</v>
      </c>
      <c r="D94" s="1">
        <f t="shared" si="36"/>
        <v>29</v>
      </c>
      <c r="E94" s="1">
        <f t="shared" si="36"/>
        <v>43</v>
      </c>
      <c r="F94" s="1">
        <f t="shared" si="36"/>
        <v>3</v>
      </c>
      <c r="G94" s="1">
        <f t="shared" si="36"/>
        <v>37</v>
      </c>
      <c r="H94" s="1">
        <f t="shared" si="36"/>
        <v>42</v>
      </c>
      <c r="I94" s="1">
        <f t="shared" si="36"/>
        <v>20</v>
      </c>
      <c r="J94" s="1">
        <f t="shared" si="36"/>
        <v>24</v>
      </c>
      <c r="K94" s="1">
        <f t="shared" si="36"/>
        <v>44</v>
      </c>
      <c r="L94" s="1">
        <f t="shared" si="36"/>
        <v>53</v>
      </c>
      <c r="M94" s="1">
        <f t="shared" si="36"/>
        <v>45</v>
      </c>
      <c r="N94" s="1">
        <f t="shared" si="36"/>
        <v>27</v>
      </c>
      <c r="O94" s="1">
        <f t="shared" si="36"/>
        <v>34</v>
      </c>
      <c r="P94" s="1">
        <f t="shared" si="36"/>
        <v>52</v>
      </c>
      <c r="Q94" s="1">
        <f t="shared" si="36"/>
        <v>60</v>
      </c>
      <c r="R94" s="1">
        <f t="shared" si="36"/>
        <v>30</v>
      </c>
      <c r="S94" s="1">
        <f t="shared" si="36"/>
        <v>23</v>
      </c>
      <c r="T94" s="1">
        <f t="shared" si="36"/>
        <v>46</v>
      </c>
      <c r="U94" s="1">
        <f t="shared" si="36"/>
        <v>7</v>
      </c>
      <c r="V94" s="1">
        <f t="shared" si="36"/>
        <v>41</v>
      </c>
      <c r="W94" s="1">
        <f t="shared" si="36"/>
        <v>49</v>
      </c>
      <c r="X94" s="1">
        <f t="shared" si="36"/>
        <v>50</v>
      </c>
      <c r="Y94" s="1">
        <f t="shared" si="36"/>
        <v>55</v>
      </c>
      <c r="Z94" s="1">
        <f t="shared" si="36"/>
        <v>59</v>
      </c>
      <c r="AA94" s="1">
        <f t="shared" si="36"/>
        <v>35</v>
      </c>
      <c r="AB94" s="1">
        <f t="shared" si="36"/>
        <v>40</v>
      </c>
      <c r="AC94" s="1">
        <f t="shared" si="36"/>
        <v>47</v>
      </c>
      <c r="AD94" s="1">
        <f t="shared" si="36"/>
        <v>13</v>
      </c>
      <c r="AE94" s="1">
        <f t="shared" si="36"/>
        <v>22</v>
      </c>
      <c r="AF94" s="1">
        <f t="shared" si="36"/>
        <v>2</v>
      </c>
      <c r="AG94" s="1">
        <f t="shared" si="36"/>
        <v>56</v>
      </c>
      <c r="AH94" s="1">
        <f t="shared" si="36"/>
        <v>7</v>
      </c>
      <c r="AI94" s="1">
        <f t="shared" si="36"/>
        <v>39</v>
      </c>
      <c r="AJ94" s="1">
        <f t="shared" si="36"/>
        <v>18</v>
      </c>
      <c r="AK94" s="1">
        <f t="shared" si="36"/>
        <v>36</v>
      </c>
      <c r="AL94" s="1">
        <f t="shared" si="36"/>
        <v>51</v>
      </c>
      <c r="AM94" s="1">
        <f t="shared" si="36"/>
        <v>21</v>
      </c>
      <c r="AN94" s="1">
        <f t="shared" si="36"/>
        <v>11</v>
      </c>
      <c r="AO94" s="1">
        <f t="shared" si="36"/>
        <v>19</v>
      </c>
      <c r="AP94" s="1">
        <f t="shared" si="36"/>
        <v>57</v>
      </c>
      <c r="AQ94" s="1">
        <f t="shared" si="36"/>
        <v>32</v>
      </c>
      <c r="AR94" s="1">
        <f t="shared" si="36"/>
        <v>54</v>
      </c>
      <c r="AS94" s="1">
        <f t="shared" si="36"/>
        <v>15</v>
      </c>
      <c r="AT94" s="1">
        <f t="shared" si="36"/>
        <v>17</v>
      </c>
      <c r="AU94" s="1">
        <f t="shared" si="36"/>
        <v>31</v>
      </c>
      <c r="AV94" s="1">
        <f t="shared" si="36"/>
        <v>33</v>
      </c>
      <c r="AW94" s="1">
        <f t="shared" si="36"/>
        <v>25</v>
      </c>
      <c r="AX94" s="1">
        <f t="shared" si="36"/>
        <v>38</v>
      </c>
      <c r="AY94" s="1">
        <f t="shared" si="36"/>
        <v>1</v>
      </c>
      <c r="AZ94" s="1">
        <f t="shared" si="36"/>
        <v>4</v>
      </c>
      <c r="BA94" s="1">
        <f t="shared" si="36"/>
        <v>9</v>
      </c>
      <c r="BB94" s="1">
        <f t="shared" si="36"/>
        <v>26</v>
      </c>
      <c r="BC94" s="1">
        <f t="shared" si="36"/>
        <v>48</v>
      </c>
      <c r="BD94" s="1">
        <f t="shared" si="36"/>
        <v>12</v>
      </c>
      <c r="BE94" s="1">
        <f t="shared" si="36"/>
        <v>14</v>
      </c>
      <c r="BF94" s="1">
        <f t="shared" si="36"/>
        <v>28</v>
      </c>
      <c r="BG94" s="1">
        <f t="shared" si="36"/>
        <v>5</v>
      </c>
      <c r="BH94" s="1">
        <f t="shared" si="36"/>
        <v>58</v>
      </c>
      <c r="BI94" s="1">
        <f t="shared" si="36"/>
        <v>10</v>
      </c>
      <c r="BJ94" s="1">
        <f t="shared" ref="BJ94" si="38">RANK(BJ29,$B29:$BJ29,0)</f>
        <v>11</v>
      </c>
    </row>
    <row r="95" spans="1:62">
      <c r="A95" s="1" t="str">
        <f t="shared" si="4"/>
        <v>  3.1) Infrastructure security (Inputs)</v>
      </c>
      <c r="B95" s="1">
        <f t="shared" si="5"/>
        <v>23</v>
      </c>
      <c r="C95" s="1">
        <f t="shared" si="36"/>
        <v>14</v>
      </c>
      <c r="D95" s="1">
        <f t="shared" si="36"/>
        <v>36</v>
      </c>
      <c r="E95" s="1">
        <f t="shared" si="36"/>
        <v>44</v>
      </c>
      <c r="F95" s="1">
        <f t="shared" si="36"/>
        <v>2</v>
      </c>
      <c r="G95" s="1">
        <f t="shared" si="36"/>
        <v>37</v>
      </c>
      <c r="H95" s="1">
        <f t="shared" si="36"/>
        <v>43</v>
      </c>
      <c r="I95" s="1">
        <f t="shared" si="36"/>
        <v>26</v>
      </c>
      <c r="J95" s="1">
        <f t="shared" si="36"/>
        <v>27</v>
      </c>
      <c r="K95" s="1">
        <f t="shared" si="36"/>
        <v>46</v>
      </c>
      <c r="L95" s="1">
        <f t="shared" si="36"/>
        <v>54</v>
      </c>
      <c r="M95" s="1">
        <f t="shared" si="36"/>
        <v>48</v>
      </c>
      <c r="N95" s="1">
        <f t="shared" si="36"/>
        <v>17</v>
      </c>
      <c r="O95" s="1">
        <f t="shared" si="36"/>
        <v>30</v>
      </c>
      <c r="P95" s="1">
        <f t="shared" si="36"/>
        <v>55</v>
      </c>
      <c r="Q95" s="1">
        <f t="shared" si="36"/>
        <v>60</v>
      </c>
      <c r="R95" s="1">
        <f t="shared" si="36"/>
        <v>34</v>
      </c>
      <c r="S95" s="1">
        <f t="shared" si="36"/>
        <v>10</v>
      </c>
      <c r="T95" s="1">
        <f t="shared" si="36"/>
        <v>51</v>
      </c>
      <c r="U95" s="1">
        <f t="shared" si="36"/>
        <v>7</v>
      </c>
      <c r="V95" s="1">
        <f t="shared" si="36"/>
        <v>41</v>
      </c>
      <c r="W95" s="1">
        <f t="shared" si="36"/>
        <v>51</v>
      </c>
      <c r="X95" s="1">
        <f t="shared" si="36"/>
        <v>50</v>
      </c>
      <c r="Y95" s="1">
        <f t="shared" si="36"/>
        <v>47</v>
      </c>
      <c r="Z95" s="1">
        <f t="shared" si="36"/>
        <v>59</v>
      </c>
      <c r="AA95" s="1">
        <f t="shared" si="36"/>
        <v>39</v>
      </c>
      <c r="AB95" s="1">
        <f t="shared" si="36"/>
        <v>35</v>
      </c>
      <c r="AC95" s="1">
        <f t="shared" si="36"/>
        <v>45</v>
      </c>
      <c r="AD95" s="1">
        <f t="shared" si="36"/>
        <v>15</v>
      </c>
      <c r="AE95" s="1">
        <f t="shared" si="36"/>
        <v>17</v>
      </c>
      <c r="AF95" s="1">
        <f t="shared" si="36"/>
        <v>2</v>
      </c>
      <c r="AG95" s="1">
        <f t="shared" si="36"/>
        <v>49</v>
      </c>
      <c r="AH95" s="1">
        <f t="shared" si="36"/>
        <v>7</v>
      </c>
      <c r="AI95" s="1">
        <f t="shared" si="36"/>
        <v>42</v>
      </c>
      <c r="AJ95" s="1">
        <f t="shared" si="36"/>
        <v>24</v>
      </c>
      <c r="AK95" s="1">
        <f t="shared" si="36"/>
        <v>29</v>
      </c>
      <c r="AL95" s="1">
        <f t="shared" si="36"/>
        <v>57</v>
      </c>
      <c r="AM95" s="1">
        <f t="shared" si="36"/>
        <v>17</v>
      </c>
      <c r="AN95" s="1">
        <f t="shared" si="36"/>
        <v>2</v>
      </c>
      <c r="AO95" s="1">
        <f t="shared" si="36"/>
        <v>15</v>
      </c>
      <c r="AP95" s="1">
        <f t="shared" si="36"/>
        <v>53</v>
      </c>
      <c r="AQ95" s="1">
        <f t="shared" si="36"/>
        <v>32</v>
      </c>
      <c r="AR95" s="1">
        <f t="shared" si="36"/>
        <v>56</v>
      </c>
      <c r="AS95" s="1">
        <f t="shared" si="36"/>
        <v>13</v>
      </c>
      <c r="AT95" s="1">
        <f t="shared" si="36"/>
        <v>17</v>
      </c>
      <c r="AU95" s="1">
        <f t="shared" si="36"/>
        <v>28</v>
      </c>
      <c r="AV95" s="1">
        <f t="shared" si="36"/>
        <v>32</v>
      </c>
      <c r="AW95" s="1">
        <f t="shared" si="36"/>
        <v>24</v>
      </c>
      <c r="AX95" s="1">
        <f t="shared" si="36"/>
        <v>37</v>
      </c>
      <c r="AY95" s="1">
        <f t="shared" si="36"/>
        <v>2</v>
      </c>
      <c r="AZ95" s="1">
        <f t="shared" si="36"/>
        <v>10</v>
      </c>
      <c r="BA95" s="1">
        <f t="shared" si="36"/>
        <v>7</v>
      </c>
      <c r="BB95" s="1">
        <f t="shared" si="36"/>
        <v>30</v>
      </c>
      <c r="BC95" s="1">
        <f t="shared" si="36"/>
        <v>40</v>
      </c>
      <c r="BD95" s="1">
        <f t="shared" si="36"/>
        <v>2</v>
      </c>
      <c r="BE95" s="1">
        <f t="shared" si="36"/>
        <v>17</v>
      </c>
      <c r="BF95" s="1">
        <f t="shared" si="36"/>
        <v>17</v>
      </c>
      <c r="BG95" s="1">
        <f t="shared" si="36"/>
        <v>1</v>
      </c>
      <c r="BH95" s="1">
        <f t="shared" si="36"/>
        <v>58</v>
      </c>
      <c r="BI95" s="1">
        <f t="shared" si="36"/>
        <v>10</v>
      </c>
      <c r="BJ95" s="1">
        <f t="shared" ref="BJ95" si="39">RANK(BJ30,$B30:$BJ30,0)</f>
        <v>2</v>
      </c>
    </row>
    <row r="96" spans="1:62">
      <c r="A96" s="1" t="str">
        <f t="shared" si="4"/>
        <v>   3.1.1) Enforcement of transport safety</v>
      </c>
      <c r="B96" s="1">
        <f t="shared" si="5"/>
        <v>1</v>
      </c>
      <c r="C96" s="1">
        <f t="shared" si="36"/>
        <v>30</v>
      </c>
      <c r="D96" s="1">
        <f t="shared" si="36"/>
        <v>40</v>
      </c>
      <c r="E96" s="1">
        <f t="shared" si="36"/>
        <v>46</v>
      </c>
      <c r="F96" s="1">
        <f t="shared" si="36"/>
        <v>5</v>
      </c>
      <c r="G96" s="1">
        <f t="shared" si="36"/>
        <v>10</v>
      </c>
      <c r="H96" s="1">
        <f t="shared" si="36"/>
        <v>52</v>
      </c>
      <c r="I96" s="1">
        <f t="shared" si="36"/>
        <v>33</v>
      </c>
      <c r="J96" s="1">
        <f t="shared" si="36"/>
        <v>38</v>
      </c>
      <c r="K96" s="1">
        <f t="shared" si="36"/>
        <v>40</v>
      </c>
      <c r="L96" s="1">
        <f t="shared" si="36"/>
        <v>52</v>
      </c>
      <c r="M96" s="1">
        <f t="shared" si="36"/>
        <v>44</v>
      </c>
      <c r="N96" s="1">
        <f t="shared" si="36"/>
        <v>10</v>
      </c>
      <c r="O96" s="1">
        <f t="shared" si="36"/>
        <v>10</v>
      </c>
      <c r="P96" s="1">
        <f t="shared" si="36"/>
        <v>54</v>
      </c>
      <c r="Q96" s="1">
        <f t="shared" si="36"/>
        <v>58</v>
      </c>
      <c r="R96" s="1">
        <f t="shared" si="36"/>
        <v>10</v>
      </c>
      <c r="S96" s="1">
        <f t="shared" si="36"/>
        <v>24</v>
      </c>
      <c r="T96" s="1">
        <f t="shared" si="36"/>
        <v>36</v>
      </c>
      <c r="U96" s="1">
        <f t="shared" si="36"/>
        <v>10</v>
      </c>
      <c r="V96" s="1">
        <f t="shared" si="36"/>
        <v>58</v>
      </c>
      <c r="W96" s="1">
        <f t="shared" si="36"/>
        <v>36</v>
      </c>
      <c r="X96" s="1">
        <f t="shared" si="36"/>
        <v>40</v>
      </c>
      <c r="Y96" s="1">
        <f t="shared" si="36"/>
        <v>57</v>
      </c>
      <c r="Z96" s="1">
        <f t="shared" si="36"/>
        <v>58</v>
      </c>
      <c r="AA96" s="1">
        <f t="shared" si="36"/>
        <v>47</v>
      </c>
      <c r="AB96" s="1">
        <f t="shared" si="36"/>
        <v>38</v>
      </c>
      <c r="AC96" s="1">
        <f t="shared" si="36"/>
        <v>54</v>
      </c>
      <c r="AD96" s="1">
        <f t="shared" si="36"/>
        <v>2</v>
      </c>
      <c r="AE96" s="1">
        <f t="shared" si="36"/>
        <v>10</v>
      </c>
      <c r="AF96" s="1">
        <f t="shared" si="36"/>
        <v>5</v>
      </c>
      <c r="AG96" s="1">
        <f t="shared" si="36"/>
        <v>50</v>
      </c>
      <c r="AH96" s="1">
        <f t="shared" si="36"/>
        <v>10</v>
      </c>
      <c r="AI96" s="1">
        <f t="shared" si="36"/>
        <v>50</v>
      </c>
      <c r="AJ96" s="1">
        <f t="shared" si="36"/>
        <v>27</v>
      </c>
      <c r="AK96" s="1">
        <f t="shared" si="36"/>
        <v>33</v>
      </c>
      <c r="AL96" s="1">
        <f t="shared" si="36"/>
        <v>54</v>
      </c>
      <c r="AM96" s="1">
        <f t="shared" si="36"/>
        <v>10</v>
      </c>
      <c r="AN96" s="1">
        <f t="shared" si="36"/>
        <v>5</v>
      </c>
      <c r="AO96" s="1">
        <f t="shared" si="36"/>
        <v>2</v>
      </c>
      <c r="AP96" s="1">
        <f t="shared" si="36"/>
        <v>45</v>
      </c>
      <c r="AQ96" s="1">
        <f t="shared" si="36"/>
        <v>30</v>
      </c>
      <c r="AR96" s="1">
        <f t="shared" si="36"/>
        <v>40</v>
      </c>
      <c r="AS96" s="1">
        <f t="shared" si="36"/>
        <v>27</v>
      </c>
      <c r="AT96" s="1">
        <f t="shared" si="36"/>
        <v>10</v>
      </c>
      <c r="AU96" s="1">
        <f t="shared" si="36"/>
        <v>49</v>
      </c>
      <c r="AV96" s="1">
        <f t="shared" si="36"/>
        <v>30</v>
      </c>
      <c r="AW96" s="1">
        <f t="shared" si="36"/>
        <v>27</v>
      </c>
      <c r="AX96" s="1">
        <f t="shared" si="36"/>
        <v>10</v>
      </c>
      <c r="AY96" s="1">
        <f t="shared" si="36"/>
        <v>5</v>
      </c>
      <c r="AZ96" s="1">
        <f t="shared" si="36"/>
        <v>24</v>
      </c>
      <c r="BA96" s="1">
        <f t="shared" si="36"/>
        <v>10</v>
      </c>
      <c r="BB96" s="1">
        <f t="shared" si="36"/>
        <v>10</v>
      </c>
      <c r="BC96" s="1">
        <f t="shared" si="36"/>
        <v>33</v>
      </c>
      <c r="BD96" s="1">
        <f t="shared" si="36"/>
        <v>5</v>
      </c>
      <c r="BE96" s="1">
        <f t="shared" si="36"/>
        <v>10</v>
      </c>
      <c r="BF96" s="1">
        <f t="shared" si="36"/>
        <v>10</v>
      </c>
      <c r="BG96" s="1">
        <f t="shared" si="36"/>
        <v>2</v>
      </c>
      <c r="BH96" s="1">
        <f t="shared" si="36"/>
        <v>47</v>
      </c>
      <c r="BI96" s="1">
        <f t="shared" si="36"/>
        <v>24</v>
      </c>
      <c r="BJ96" s="1">
        <f t="shared" ref="BJ96" si="40">RANK(BJ31,$B31:$BJ31,0)</f>
        <v>5</v>
      </c>
    </row>
    <row r="97" spans="1:62">
      <c r="A97" s="1" t="str">
        <f t="shared" si="4"/>
        <v>   3.1.2) Pedestrian friendliness</v>
      </c>
      <c r="B97" s="1">
        <f t="shared" si="5"/>
        <v>1</v>
      </c>
      <c r="C97" s="1">
        <f t="shared" si="36"/>
        <v>1</v>
      </c>
      <c r="D97" s="1">
        <f t="shared" si="36"/>
        <v>1</v>
      </c>
      <c r="E97" s="1">
        <f t="shared" si="36"/>
        <v>38</v>
      </c>
      <c r="F97" s="1">
        <f t="shared" si="36"/>
        <v>1</v>
      </c>
      <c r="G97" s="1">
        <f t="shared" si="36"/>
        <v>38</v>
      </c>
      <c r="H97" s="1">
        <f t="shared" si="36"/>
        <v>1</v>
      </c>
      <c r="I97" s="1">
        <f t="shared" si="36"/>
        <v>1</v>
      </c>
      <c r="J97" s="1">
        <f t="shared" si="36"/>
        <v>1</v>
      </c>
      <c r="K97" s="1">
        <f t="shared" si="36"/>
        <v>38</v>
      </c>
      <c r="L97" s="1">
        <f t="shared" si="36"/>
        <v>50</v>
      </c>
      <c r="M97" s="1">
        <f t="shared" si="36"/>
        <v>50</v>
      </c>
      <c r="N97" s="1">
        <f t="shared" si="36"/>
        <v>1</v>
      </c>
      <c r="O97" s="1">
        <f t="shared" si="36"/>
        <v>38</v>
      </c>
      <c r="P97" s="1">
        <f t="shared" si="36"/>
        <v>50</v>
      </c>
      <c r="Q97" s="1">
        <f t="shared" si="36"/>
        <v>50</v>
      </c>
      <c r="R97" s="1">
        <f t="shared" si="36"/>
        <v>38</v>
      </c>
      <c r="S97" s="1">
        <f t="shared" si="36"/>
        <v>1</v>
      </c>
      <c r="T97" s="1">
        <f t="shared" si="36"/>
        <v>38</v>
      </c>
      <c r="U97" s="1">
        <f t="shared" si="36"/>
        <v>1</v>
      </c>
      <c r="V97" s="1">
        <f t="shared" si="36"/>
        <v>1</v>
      </c>
      <c r="W97" s="1">
        <f t="shared" si="36"/>
        <v>50</v>
      </c>
      <c r="X97" s="1">
        <f t="shared" si="36"/>
        <v>50</v>
      </c>
      <c r="Y97" s="1">
        <f t="shared" si="36"/>
        <v>38</v>
      </c>
      <c r="Z97" s="1">
        <f t="shared" si="36"/>
        <v>38</v>
      </c>
      <c r="AA97" s="1">
        <f t="shared" si="36"/>
        <v>38</v>
      </c>
      <c r="AB97" s="1">
        <f t="shared" si="36"/>
        <v>38</v>
      </c>
      <c r="AC97" s="1">
        <f t="shared" si="36"/>
        <v>50</v>
      </c>
      <c r="AD97" s="1">
        <f t="shared" si="36"/>
        <v>1</v>
      </c>
      <c r="AE97" s="1">
        <f t="shared" si="36"/>
        <v>1</v>
      </c>
      <c r="AF97" s="1">
        <f t="shared" si="36"/>
        <v>1</v>
      </c>
      <c r="AG97" s="1">
        <f t="shared" ref="C97:BI101" si="41">RANK(AG32,$B32:$BI32,0)</f>
        <v>38</v>
      </c>
      <c r="AH97" s="1">
        <f t="shared" si="41"/>
        <v>1</v>
      </c>
      <c r="AI97" s="1">
        <f t="shared" si="41"/>
        <v>1</v>
      </c>
      <c r="AJ97" s="1">
        <f t="shared" si="41"/>
        <v>1</v>
      </c>
      <c r="AK97" s="1">
        <f t="shared" si="41"/>
        <v>1</v>
      </c>
      <c r="AL97" s="1">
        <f t="shared" si="41"/>
        <v>50</v>
      </c>
      <c r="AM97" s="1">
        <f t="shared" si="41"/>
        <v>1</v>
      </c>
      <c r="AN97" s="1">
        <f t="shared" si="41"/>
        <v>1</v>
      </c>
      <c r="AO97" s="1">
        <f t="shared" si="41"/>
        <v>1</v>
      </c>
      <c r="AP97" s="1">
        <f t="shared" si="41"/>
        <v>50</v>
      </c>
      <c r="AQ97" s="1">
        <f t="shared" si="41"/>
        <v>1</v>
      </c>
      <c r="AR97" s="1">
        <f t="shared" si="41"/>
        <v>50</v>
      </c>
      <c r="AS97" s="1">
        <f t="shared" si="41"/>
        <v>1</v>
      </c>
      <c r="AT97" s="1">
        <f t="shared" si="41"/>
        <v>1</v>
      </c>
      <c r="AU97" s="1">
        <f t="shared" si="41"/>
        <v>1</v>
      </c>
      <c r="AV97" s="1">
        <f t="shared" si="41"/>
        <v>1</v>
      </c>
      <c r="AW97" s="1">
        <f t="shared" si="41"/>
        <v>1</v>
      </c>
      <c r="AX97" s="1">
        <f t="shared" si="41"/>
        <v>38</v>
      </c>
      <c r="AY97" s="1">
        <f t="shared" si="41"/>
        <v>1</v>
      </c>
      <c r="AZ97" s="1">
        <f t="shared" si="41"/>
        <v>1</v>
      </c>
      <c r="BA97" s="1">
        <f t="shared" si="41"/>
        <v>1</v>
      </c>
      <c r="BB97" s="1">
        <f t="shared" si="41"/>
        <v>1</v>
      </c>
      <c r="BC97" s="1">
        <f t="shared" si="41"/>
        <v>1</v>
      </c>
      <c r="BD97" s="1">
        <f t="shared" si="41"/>
        <v>1</v>
      </c>
      <c r="BE97" s="1">
        <f t="shared" si="41"/>
        <v>1</v>
      </c>
      <c r="BF97" s="1">
        <f t="shared" si="41"/>
        <v>1</v>
      </c>
      <c r="BG97" s="1">
        <f t="shared" si="41"/>
        <v>1</v>
      </c>
      <c r="BH97" s="1">
        <f t="shared" si="41"/>
        <v>50</v>
      </c>
      <c r="BI97" s="1">
        <f t="shared" si="41"/>
        <v>1</v>
      </c>
      <c r="BJ97" s="1">
        <f t="shared" ref="BJ97" si="42">RANK(BJ32,$B32:$BJ32,0)</f>
        <v>1</v>
      </c>
    </row>
    <row r="98" spans="1:62">
      <c r="A98" s="1" t="str">
        <f t="shared" si="4"/>
        <v>   3.1.3) Quality of road infrastructure</v>
      </c>
      <c r="B98" s="1">
        <f t="shared" si="5"/>
        <v>1</v>
      </c>
      <c r="C98" s="1">
        <f t="shared" si="41"/>
        <v>1</v>
      </c>
      <c r="D98" s="1">
        <f t="shared" si="41"/>
        <v>40</v>
      </c>
      <c r="E98" s="1">
        <f t="shared" si="41"/>
        <v>55</v>
      </c>
      <c r="F98" s="1">
        <f t="shared" si="41"/>
        <v>1</v>
      </c>
      <c r="G98" s="1">
        <f t="shared" si="41"/>
        <v>16</v>
      </c>
      <c r="H98" s="1">
        <f t="shared" si="41"/>
        <v>40</v>
      </c>
      <c r="I98" s="1">
        <f t="shared" si="41"/>
        <v>16</v>
      </c>
      <c r="J98" s="1">
        <f t="shared" si="41"/>
        <v>16</v>
      </c>
      <c r="K98" s="1">
        <f t="shared" si="41"/>
        <v>40</v>
      </c>
      <c r="L98" s="1">
        <f t="shared" si="41"/>
        <v>40</v>
      </c>
      <c r="M98" s="1">
        <f t="shared" si="41"/>
        <v>40</v>
      </c>
      <c r="N98" s="1">
        <f t="shared" si="41"/>
        <v>16</v>
      </c>
      <c r="O98" s="1">
        <f t="shared" si="41"/>
        <v>16</v>
      </c>
      <c r="P98" s="1">
        <f t="shared" si="41"/>
        <v>40</v>
      </c>
      <c r="Q98" s="1">
        <f t="shared" si="41"/>
        <v>59</v>
      </c>
      <c r="R98" s="1">
        <f t="shared" si="41"/>
        <v>16</v>
      </c>
      <c r="S98" s="1">
        <f t="shared" si="41"/>
        <v>1</v>
      </c>
      <c r="T98" s="1">
        <f t="shared" si="41"/>
        <v>55</v>
      </c>
      <c r="U98" s="1">
        <f t="shared" si="41"/>
        <v>1</v>
      </c>
      <c r="V98" s="1">
        <f t="shared" si="41"/>
        <v>40</v>
      </c>
      <c r="W98" s="1">
        <f t="shared" si="41"/>
        <v>40</v>
      </c>
      <c r="X98" s="1">
        <f t="shared" si="41"/>
        <v>16</v>
      </c>
      <c r="Y98" s="1">
        <f t="shared" si="41"/>
        <v>40</v>
      </c>
      <c r="Z98" s="1">
        <f t="shared" si="41"/>
        <v>55</v>
      </c>
      <c r="AA98" s="1">
        <f t="shared" si="41"/>
        <v>16</v>
      </c>
      <c r="AB98" s="1">
        <f t="shared" si="41"/>
        <v>16</v>
      </c>
      <c r="AC98" s="1">
        <f t="shared" si="41"/>
        <v>16</v>
      </c>
      <c r="AD98" s="1">
        <f t="shared" si="41"/>
        <v>16</v>
      </c>
      <c r="AE98" s="1">
        <f t="shared" si="41"/>
        <v>16</v>
      </c>
      <c r="AF98" s="1">
        <f t="shared" si="41"/>
        <v>1</v>
      </c>
      <c r="AG98" s="1">
        <f t="shared" si="41"/>
        <v>40</v>
      </c>
      <c r="AH98" s="1">
        <f t="shared" si="41"/>
        <v>1</v>
      </c>
      <c r="AI98" s="1">
        <f t="shared" si="41"/>
        <v>40</v>
      </c>
      <c r="AJ98" s="1">
        <f t="shared" si="41"/>
        <v>16</v>
      </c>
      <c r="AK98" s="1">
        <f t="shared" si="41"/>
        <v>16</v>
      </c>
      <c r="AL98" s="1">
        <f t="shared" si="41"/>
        <v>59</v>
      </c>
      <c r="AM98" s="1">
        <f t="shared" si="41"/>
        <v>16</v>
      </c>
      <c r="AN98" s="1">
        <f t="shared" si="41"/>
        <v>1</v>
      </c>
      <c r="AO98" s="1">
        <f t="shared" si="41"/>
        <v>16</v>
      </c>
      <c r="AP98" s="1">
        <f t="shared" si="41"/>
        <v>40</v>
      </c>
      <c r="AQ98" s="1">
        <f t="shared" si="41"/>
        <v>40</v>
      </c>
      <c r="AR98" s="1">
        <f t="shared" si="41"/>
        <v>40</v>
      </c>
      <c r="AS98" s="1">
        <f t="shared" si="41"/>
        <v>1</v>
      </c>
      <c r="AT98" s="1">
        <f t="shared" si="41"/>
        <v>16</v>
      </c>
      <c r="AU98" s="1">
        <f t="shared" si="41"/>
        <v>16</v>
      </c>
      <c r="AV98" s="1">
        <f t="shared" si="41"/>
        <v>16</v>
      </c>
      <c r="AW98" s="1">
        <f t="shared" si="41"/>
        <v>16</v>
      </c>
      <c r="AX98" s="1">
        <f t="shared" si="41"/>
        <v>16</v>
      </c>
      <c r="AY98" s="1">
        <f t="shared" si="41"/>
        <v>1</v>
      </c>
      <c r="AZ98" s="1">
        <f t="shared" si="41"/>
        <v>1</v>
      </c>
      <c r="BA98" s="1">
        <f t="shared" si="41"/>
        <v>1</v>
      </c>
      <c r="BB98" s="1">
        <f t="shared" si="41"/>
        <v>16</v>
      </c>
      <c r="BC98" s="1">
        <f t="shared" si="41"/>
        <v>40</v>
      </c>
      <c r="BD98" s="1">
        <f t="shared" si="41"/>
        <v>1</v>
      </c>
      <c r="BE98" s="1">
        <f t="shared" si="41"/>
        <v>16</v>
      </c>
      <c r="BF98" s="1">
        <f t="shared" si="41"/>
        <v>16</v>
      </c>
      <c r="BG98" s="1">
        <f t="shared" si="41"/>
        <v>1</v>
      </c>
      <c r="BH98" s="1">
        <f t="shared" si="41"/>
        <v>55</v>
      </c>
      <c r="BI98" s="1">
        <f t="shared" si="41"/>
        <v>1</v>
      </c>
      <c r="BJ98" s="1">
        <f t="shared" ref="BJ98" si="43">RANK(BJ33,$B33:$BJ33,0)</f>
        <v>1</v>
      </c>
    </row>
    <row r="99" spans="1:62">
      <c r="A99" s="1" t="str">
        <f t="shared" si="4"/>
        <v>   3.1.4) Quality of electricity infrastructure</v>
      </c>
      <c r="B99" s="1">
        <f t="shared" si="5"/>
        <v>38</v>
      </c>
      <c r="C99" s="1">
        <f t="shared" si="41"/>
        <v>1</v>
      </c>
      <c r="D99" s="1">
        <f t="shared" si="41"/>
        <v>38</v>
      </c>
      <c r="E99" s="1">
        <f t="shared" si="41"/>
        <v>1</v>
      </c>
      <c r="F99" s="1">
        <f t="shared" si="41"/>
        <v>1</v>
      </c>
      <c r="G99" s="1">
        <f t="shared" si="41"/>
        <v>1</v>
      </c>
      <c r="H99" s="1">
        <f t="shared" si="41"/>
        <v>38</v>
      </c>
      <c r="I99" s="1">
        <f t="shared" si="41"/>
        <v>1</v>
      </c>
      <c r="J99" s="1">
        <f t="shared" si="41"/>
        <v>1</v>
      </c>
      <c r="K99" s="1">
        <f t="shared" si="41"/>
        <v>38</v>
      </c>
      <c r="L99" s="1">
        <f t="shared" si="41"/>
        <v>51</v>
      </c>
      <c r="M99" s="1">
        <f t="shared" si="41"/>
        <v>38</v>
      </c>
      <c r="N99" s="1">
        <f t="shared" si="41"/>
        <v>1</v>
      </c>
      <c r="O99" s="1">
        <f t="shared" si="41"/>
        <v>1</v>
      </c>
      <c r="P99" s="1">
        <f t="shared" si="41"/>
        <v>51</v>
      </c>
      <c r="Q99" s="1">
        <f t="shared" si="41"/>
        <v>51</v>
      </c>
      <c r="R99" s="1">
        <f t="shared" si="41"/>
        <v>38</v>
      </c>
      <c r="S99" s="1">
        <f t="shared" si="41"/>
        <v>1</v>
      </c>
      <c r="T99" s="1">
        <f t="shared" si="41"/>
        <v>51</v>
      </c>
      <c r="U99" s="1">
        <f t="shared" si="41"/>
        <v>1</v>
      </c>
      <c r="V99" s="1">
        <f t="shared" si="41"/>
        <v>38</v>
      </c>
      <c r="W99" s="1">
        <f t="shared" si="41"/>
        <v>51</v>
      </c>
      <c r="X99" s="1">
        <f t="shared" si="41"/>
        <v>1</v>
      </c>
      <c r="Y99" s="1">
        <f t="shared" si="41"/>
        <v>51</v>
      </c>
      <c r="Z99" s="1">
        <f t="shared" si="41"/>
        <v>60</v>
      </c>
      <c r="AA99" s="1">
        <f t="shared" si="41"/>
        <v>1</v>
      </c>
      <c r="AB99" s="1">
        <f t="shared" si="41"/>
        <v>1</v>
      </c>
      <c r="AC99" s="1">
        <f t="shared" si="41"/>
        <v>1</v>
      </c>
      <c r="AD99" s="1">
        <f t="shared" si="41"/>
        <v>1</v>
      </c>
      <c r="AE99" s="1">
        <f t="shared" si="41"/>
        <v>1</v>
      </c>
      <c r="AF99" s="1">
        <f t="shared" si="41"/>
        <v>1</v>
      </c>
      <c r="AG99" s="1">
        <f t="shared" si="41"/>
        <v>38</v>
      </c>
      <c r="AH99" s="1">
        <f t="shared" si="41"/>
        <v>1</v>
      </c>
      <c r="AI99" s="1">
        <f t="shared" si="41"/>
        <v>51</v>
      </c>
      <c r="AJ99" s="1">
        <f t="shared" si="41"/>
        <v>1</v>
      </c>
      <c r="AK99" s="1">
        <f t="shared" si="41"/>
        <v>1</v>
      </c>
      <c r="AL99" s="1">
        <f t="shared" si="41"/>
        <v>38</v>
      </c>
      <c r="AM99" s="1">
        <f t="shared" si="41"/>
        <v>1</v>
      </c>
      <c r="AN99" s="1">
        <f t="shared" si="41"/>
        <v>1</v>
      </c>
      <c r="AO99" s="1">
        <f t="shared" si="41"/>
        <v>1</v>
      </c>
      <c r="AP99" s="1">
        <f t="shared" si="41"/>
        <v>38</v>
      </c>
      <c r="AQ99" s="1">
        <f t="shared" si="41"/>
        <v>1</v>
      </c>
      <c r="AR99" s="1">
        <f t="shared" si="41"/>
        <v>38</v>
      </c>
      <c r="AS99" s="1">
        <f t="shared" si="41"/>
        <v>1</v>
      </c>
      <c r="AT99" s="1">
        <f t="shared" si="41"/>
        <v>1</v>
      </c>
      <c r="AU99" s="1">
        <f t="shared" si="41"/>
        <v>1</v>
      </c>
      <c r="AV99" s="1">
        <f t="shared" si="41"/>
        <v>38</v>
      </c>
      <c r="AW99" s="1">
        <f t="shared" si="41"/>
        <v>1</v>
      </c>
      <c r="AX99" s="1">
        <f t="shared" si="41"/>
        <v>1</v>
      </c>
      <c r="AY99" s="1">
        <f t="shared" si="41"/>
        <v>1</v>
      </c>
      <c r="AZ99" s="1">
        <f t="shared" si="41"/>
        <v>1</v>
      </c>
      <c r="BA99" s="1">
        <f t="shared" si="41"/>
        <v>1</v>
      </c>
      <c r="BB99" s="1">
        <f t="shared" si="41"/>
        <v>38</v>
      </c>
      <c r="BC99" s="1">
        <f t="shared" si="41"/>
        <v>51</v>
      </c>
      <c r="BD99" s="1">
        <f t="shared" si="41"/>
        <v>1</v>
      </c>
      <c r="BE99" s="1">
        <f t="shared" si="41"/>
        <v>1</v>
      </c>
      <c r="BF99" s="1">
        <f t="shared" si="41"/>
        <v>1</v>
      </c>
      <c r="BG99" s="1">
        <f t="shared" si="41"/>
        <v>1</v>
      </c>
      <c r="BH99" s="1">
        <f t="shared" si="41"/>
        <v>51</v>
      </c>
      <c r="BI99" s="1">
        <f t="shared" si="41"/>
        <v>1</v>
      </c>
      <c r="BJ99" s="1">
        <f t="shared" ref="BJ99" si="44">RANK(BJ34,$B34:$BJ34,0)</f>
        <v>1</v>
      </c>
    </row>
    <row r="100" spans="1:62">
      <c r="A100" s="1" t="str">
        <f t="shared" si="4"/>
        <v>   3.1.5) Disaster management/business continuity plan</v>
      </c>
      <c r="B100" s="1">
        <f t="shared" si="5"/>
        <v>30</v>
      </c>
      <c r="C100" s="1">
        <f t="shared" si="41"/>
        <v>1</v>
      </c>
      <c r="D100" s="1">
        <f t="shared" si="41"/>
        <v>30</v>
      </c>
      <c r="E100" s="1">
        <f t="shared" si="41"/>
        <v>30</v>
      </c>
      <c r="F100" s="1">
        <f t="shared" si="41"/>
        <v>1</v>
      </c>
      <c r="G100" s="1">
        <f t="shared" si="41"/>
        <v>45</v>
      </c>
      <c r="H100" s="1">
        <f t="shared" si="41"/>
        <v>45</v>
      </c>
      <c r="I100" s="1">
        <f t="shared" si="41"/>
        <v>1</v>
      </c>
      <c r="J100" s="1">
        <f t="shared" si="41"/>
        <v>1</v>
      </c>
      <c r="K100" s="1">
        <f t="shared" si="41"/>
        <v>45</v>
      </c>
      <c r="L100" s="1">
        <f t="shared" si="41"/>
        <v>45</v>
      </c>
      <c r="M100" s="1">
        <f t="shared" si="41"/>
        <v>30</v>
      </c>
      <c r="N100" s="1">
        <f t="shared" si="41"/>
        <v>1</v>
      </c>
      <c r="O100" s="1">
        <f t="shared" si="41"/>
        <v>1</v>
      </c>
      <c r="P100" s="1">
        <f t="shared" si="41"/>
        <v>45</v>
      </c>
      <c r="Q100" s="1">
        <f t="shared" si="41"/>
        <v>53</v>
      </c>
      <c r="R100" s="1">
        <f t="shared" si="41"/>
        <v>1</v>
      </c>
      <c r="S100" s="1">
        <f t="shared" si="41"/>
        <v>1</v>
      </c>
      <c r="T100" s="1">
        <f t="shared" si="41"/>
        <v>53</v>
      </c>
      <c r="U100" s="1">
        <f t="shared" si="41"/>
        <v>1</v>
      </c>
      <c r="V100" s="1">
        <f t="shared" si="41"/>
        <v>30</v>
      </c>
      <c r="W100" s="1">
        <f t="shared" si="41"/>
        <v>45</v>
      </c>
      <c r="X100" s="1">
        <f t="shared" si="41"/>
        <v>58</v>
      </c>
      <c r="Y100" s="1">
        <f t="shared" si="41"/>
        <v>30</v>
      </c>
      <c r="Z100" s="1">
        <f t="shared" si="41"/>
        <v>58</v>
      </c>
      <c r="AA100" s="1">
        <f t="shared" si="41"/>
        <v>30</v>
      </c>
      <c r="AB100" s="1">
        <f t="shared" si="41"/>
        <v>30</v>
      </c>
      <c r="AC100" s="1">
        <f t="shared" si="41"/>
        <v>30</v>
      </c>
      <c r="AD100" s="1">
        <f t="shared" si="41"/>
        <v>1</v>
      </c>
      <c r="AE100" s="1">
        <f t="shared" si="41"/>
        <v>1</v>
      </c>
      <c r="AF100" s="1">
        <f t="shared" si="41"/>
        <v>1</v>
      </c>
      <c r="AG100" s="1">
        <f t="shared" si="41"/>
        <v>53</v>
      </c>
      <c r="AH100" s="1">
        <f t="shared" si="41"/>
        <v>1</v>
      </c>
      <c r="AI100" s="1">
        <f t="shared" si="41"/>
        <v>30</v>
      </c>
      <c r="AJ100" s="1">
        <f t="shared" si="41"/>
        <v>1</v>
      </c>
      <c r="AK100" s="1">
        <f t="shared" si="41"/>
        <v>30</v>
      </c>
      <c r="AL100" s="1">
        <f t="shared" si="41"/>
        <v>45</v>
      </c>
      <c r="AM100" s="1">
        <f t="shared" si="41"/>
        <v>1</v>
      </c>
      <c r="AN100" s="1">
        <f t="shared" si="41"/>
        <v>1</v>
      </c>
      <c r="AO100" s="1">
        <f t="shared" si="41"/>
        <v>1</v>
      </c>
      <c r="AP100" s="1">
        <f t="shared" si="41"/>
        <v>53</v>
      </c>
      <c r="AQ100" s="1">
        <f t="shared" si="41"/>
        <v>30</v>
      </c>
      <c r="AR100" s="1">
        <f t="shared" si="41"/>
        <v>58</v>
      </c>
      <c r="AS100" s="1">
        <f t="shared" si="41"/>
        <v>1</v>
      </c>
      <c r="AT100" s="1">
        <f t="shared" si="41"/>
        <v>1</v>
      </c>
      <c r="AU100" s="1">
        <f t="shared" si="41"/>
        <v>1</v>
      </c>
      <c r="AV100" s="1">
        <f t="shared" si="41"/>
        <v>30</v>
      </c>
      <c r="AW100" s="1">
        <f t="shared" si="41"/>
        <v>1</v>
      </c>
      <c r="AX100" s="1">
        <f t="shared" si="41"/>
        <v>45</v>
      </c>
      <c r="AY100" s="1">
        <f t="shared" si="41"/>
        <v>1</v>
      </c>
      <c r="AZ100" s="1">
        <f t="shared" si="41"/>
        <v>1</v>
      </c>
      <c r="BA100" s="1">
        <f t="shared" si="41"/>
        <v>1</v>
      </c>
      <c r="BB100" s="1">
        <f t="shared" si="41"/>
        <v>30</v>
      </c>
      <c r="BC100" s="1">
        <f t="shared" si="41"/>
        <v>30</v>
      </c>
      <c r="BD100" s="1">
        <f t="shared" si="41"/>
        <v>1</v>
      </c>
      <c r="BE100" s="1">
        <f t="shared" si="41"/>
        <v>1</v>
      </c>
      <c r="BF100" s="1">
        <f t="shared" si="41"/>
        <v>1</v>
      </c>
      <c r="BG100" s="1">
        <f t="shared" si="41"/>
        <v>1</v>
      </c>
      <c r="BH100" s="1">
        <f t="shared" si="41"/>
        <v>53</v>
      </c>
      <c r="BI100" s="1">
        <f t="shared" si="41"/>
        <v>1</v>
      </c>
      <c r="BJ100" s="1">
        <f t="shared" ref="BJ100" si="45">RANK(BJ35,$B35:$BJ35,0)</f>
        <v>1</v>
      </c>
    </row>
    <row r="101" spans="1:62">
      <c r="A101" s="1" t="str">
        <f t="shared" si="4"/>
        <v>  3.2) Infrastructure security (Outputs)</v>
      </c>
      <c r="B101" s="1">
        <f t="shared" si="5"/>
        <v>14</v>
      </c>
      <c r="C101" s="1">
        <f t="shared" si="41"/>
        <v>1</v>
      </c>
      <c r="D101" s="1">
        <f t="shared" si="41"/>
        <v>16</v>
      </c>
      <c r="E101" s="1">
        <f t="shared" si="41"/>
        <v>48</v>
      </c>
      <c r="F101" s="1">
        <f t="shared" si="41"/>
        <v>5</v>
      </c>
      <c r="G101" s="1">
        <f t="shared" si="41"/>
        <v>42</v>
      </c>
      <c r="H101" s="1">
        <f t="shared" si="41"/>
        <v>46</v>
      </c>
      <c r="I101" s="1">
        <f t="shared" si="41"/>
        <v>21</v>
      </c>
      <c r="J101" s="1">
        <f t="shared" si="41"/>
        <v>22</v>
      </c>
      <c r="K101" s="1">
        <f t="shared" si="41"/>
        <v>39</v>
      </c>
      <c r="L101" s="1">
        <f t="shared" si="41"/>
        <v>40</v>
      </c>
      <c r="M101" s="1">
        <f t="shared" si="41"/>
        <v>35</v>
      </c>
      <c r="N101" s="1">
        <f t="shared" si="41"/>
        <v>31</v>
      </c>
      <c r="O101" s="1">
        <f t="shared" si="41"/>
        <v>44</v>
      </c>
      <c r="P101" s="1">
        <f t="shared" si="41"/>
        <v>38</v>
      </c>
      <c r="Q101" s="1">
        <f t="shared" si="41"/>
        <v>59</v>
      </c>
      <c r="R101" s="1">
        <f t="shared" si="41"/>
        <v>24</v>
      </c>
      <c r="S101" s="1">
        <f t="shared" si="41"/>
        <v>34</v>
      </c>
      <c r="T101" s="1">
        <f t="shared" si="41"/>
        <v>23</v>
      </c>
      <c r="U101" s="1">
        <f t="shared" si="41"/>
        <v>6</v>
      </c>
      <c r="V101" s="1">
        <f t="shared" si="41"/>
        <v>49</v>
      </c>
      <c r="W101" s="1">
        <f t="shared" si="41"/>
        <v>32</v>
      </c>
      <c r="X101" s="1">
        <f t="shared" si="41"/>
        <v>47</v>
      </c>
      <c r="Y101" s="1">
        <f t="shared" si="41"/>
        <v>57</v>
      </c>
      <c r="Z101" s="1">
        <f t="shared" si="41"/>
        <v>60</v>
      </c>
      <c r="AA101" s="1">
        <f t="shared" si="41"/>
        <v>28</v>
      </c>
      <c r="AB101" s="1">
        <f t="shared" si="41"/>
        <v>52</v>
      </c>
      <c r="AC101" s="1">
        <f t="shared" si="41"/>
        <v>51</v>
      </c>
      <c r="AD101" s="1">
        <f t="shared" si="41"/>
        <v>13</v>
      </c>
      <c r="AE101" s="1">
        <f t="shared" si="41"/>
        <v>29</v>
      </c>
      <c r="AF101" s="1">
        <f t="shared" si="41"/>
        <v>4</v>
      </c>
      <c r="AG101" s="1">
        <f t="shared" si="41"/>
        <v>58</v>
      </c>
      <c r="AH101" s="1">
        <f t="shared" si="41"/>
        <v>7</v>
      </c>
      <c r="AI101" s="1">
        <f t="shared" si="41"/>
        <v>33</v>
      </c>
      <c r="AJ101" s="1">
        <f t="shared" si="41"/>
        <v>18</v>
      </c>
      <c r="AK101" s="1">
        <f t="shared" si="41"/>
        <v>53</v>
      </c>
      <c r="AL101" s="1">
        <f t="shared" si="41"/>
        <v>30</v>
      </c>
      <c r="AM101" s="1">
        <f t="shared" si="41"/>
        <v>27</v>
      </c>
      <c r="AN101" s="1">
        <f t="shared" si="41"/>
        <v>15</v>
      </c>
      <c r="AO101" s="1">
        <f t="shared" si="41"/>
        <v>25</v>
      </c>
      <c r="AP101" s="1">
        <f t="shared" si="41"/>
        <v>55</v>
      </c>
      <c r="AQ101" s="1">
        <f t="shared" si="41"/>
        <v>36</v>
      </c>
      <c r="AR101" s="1">
        <f t="shared" si="41"/>
        <v>45</v>
      </c>
      <c r="AS101" s="1">
        <f t="shared" si="41"/>
        <v>20</v>
      </c>
      <c r="AT101" s="1">
        <f t="shared" si="41"/>
        <v>17</v>
      </c>
      <c r="AU101" s="1">
        <f t="shared" si="41"/>
        <v>41</v>
      </c>
      <c r="AV101" s="1">
        <f t="shared" si="41"/>
        <v>37</v>
      </c>
      <c r="AW101" s="1">
        <f t="shared" si="41"/>
        <v>26</v>
      </c>
      <c r="AX101" s="1">
        <f t="shared" si="41"/>
        <v>43</v>
      </c>
      <c r="AY101" s="1">
        <f t="shared" si="41"/>
        <v>2</v>
      </c>
      <c r="AZ101" s="1">
        <f t="shared" ref="C101:BI106" si="46">RANK(AZ36,$B36:$BI36,0)</f>
        <v>3</v>
      </c>
      <c r="BA101" s="1">
        <f t="shared" si="46"/>
        <v>9</v>
      </c>
      <c r="BB101" s="1">
        <f t="shared" si="46"/>
        <v>12</v>
      </c>
      <c r="BC101" s="1">
        <f t="shared" si="46"/>
        <v>56</v>
      </c>
      <c r="BD101" s="1">
        <f t="shared" si="46"/>
        <v>19</v>
      </c>
      <c r="BE101" s="1">
        <f t="shared" si="46"/>
        <v>10</v>
      </c>
      <c r="BF101" s="1">
        <f t="shared" si="46"/>
        <v>50</v>
      </c>
      <c r="BG101" s="1">
        <f t="shared" si="46"/>
        <v>11</v>
      </c>
      <c r="BH101" s="1">
        <f t="shared" si="46"/>
        <v>54</v>
      </c>
      <c r="BI101" s="1">
        <f t="shared" si="46"/>
        <v>8</v>
      </c>
      <c r="BJ101" s="1">
        <f t="shared" ref="BJ101" si="47">RANK(BJ36,$B36:$BJ36,0)</f>
        <v>14</v>
      </c>
    </row>
    <row r="102" spans="1:62">
      <c r="A102" s="1" t="str">
        <f t="shared" si="4"/>
        <v>   3.2.1) Deaths from natural disaster</v>
      </c>
      <c r="B102" s="1">
        <f t="shared" si="5"/>
        <v>1</v>
      </c>
      <c r="C102" s="1">
        <f t="shared" si="46"/>
        <v>7</v>
      </c>
      <c r="D102" s="1">
        <f t="shared" si="46"/>
        <v>17</v>
      </c>
      <c r="E102" s="1">
        <f t="shared" si="46"/>
        <v>23</v>
      </c>
      <c r="F102" s="1">
        <f t="shared" si="46"/>
        <v>11</v>
      </c>
      <c r="G102" s="1">
        <f t="shared" si="46"/>
        <v>28</v>
      </c>
      <c r="H102" s="1">
        <f t="shared" si="46"/>
        <v>47</v>
      </c>
      <c r="I102" s="1">
        <f t="shared" si="46"/>
        <v>57</v>
      </c>
      <c r="J102" s="1">
        <f t="shared" si="46"/>
        <v>22</v>
      </c>
      <c r="K102" s="1">
        <f t="shared" si="46"/>
        <v>38</v>
      </c>
      <c r="L102" s="1">
        <f t="shared" si="46"/>
        <v>1</v>
      </c>
      <c r="M102" s="1">
        <f t="shared" si="46"/>
        <v>21</v>
      </c>
      <c r="N102" s="1">
        <f t="shared" si="46"/>
        <v>30</v>
      </c>
      <c r="O102" s="1">
        <f t="shared" si="46"/>
        <v>30</v>
      </c>
      <c r="P102" s="1">
        <f t="shared" si="46"/>
        <v>50</v>
      </c>
      <c r="Q102" s="1">
        <f t="shared" si="46"/>
        <v>39</v>
      </c>
      <c r="R102" s="1">
        <f t="shared" si="46"/>
        <v>1</v>
      </c>
      <c r="S102" s="1">
        <f t="shared" si="46"/>
        <v>9</v>
      </c>
      <c r="T102" s="1">
        <f t="shared" si="46"/>
        <v>41</v>
      </c>
      <c r="U102" s="1">
        <f t="shared" si="46"/>
        <v>1</v>
      </c>
      <c r="V102" s="1">
        <f t="shared" si="46"/>
        <v>10</v>
      </c>
      <c r="W102" s="1">
        <f t="shared" si="46"/>
        <v>26</v>
      </c>
      <c r="X102" s="1">
        <f t="shared" si="46"/>
        <v>36</v>
      </c>
      <c r="Y102" s="1">
        <f t="shared" si="46"/>
        <v>13</v>
      </c>
      <c r="Z102" s="1">
        <f t="shared" si="46"/>
        <v>55</v>
      </c>
      <c r="AA102" s="1">
        <f t="shared" si="46"/>
        <v>18</v>
      </c>
      <c r="AB102" s="1">
        <f t="shared" si="46"/>
        <v>1</v>
      </c>
      <c r="AC102" s="1">
        <f t="shared" si="46"/>
        <v>56</v>
      </c>
      <c r="AD102" s="1">
        <f t="shared" si="46"/>
        <v>54</v>
      </c>
      <c r="AE102" s="1">
        <f t="shared" si="46"/>
        <v>30</v>
      </c>
      <c r="AF102" s="1">
        <f t="shared" si="46"/>
        <v>11</v>
      </c>
      <c r="AG102" s="1">
        <f t="shared" si="46"/>
        <v>60</v>
      </c>
      <c r="AH102" s="1">
        <f t="shared" si="46"/>
        <v>44</v>
      </c>
      <c r="AI102" s="1">
        <f t="shared" si="46"/>
        <v>24</v>
      </c>
      <c r="AJ102" s="1">
        <f t="shared" si="46"/>
        <v>42</v>
      </c>
      <c r="AK102" s="1">
        <f t="shared" si="46"/>
        <v>25</v>
      </c>
      <c r="AL102" s="1">
        <f t="shared" si="46"/>
        <v>50</v>
      </c>
      <c r="AM102" s="1">
        <f t="shared" si="46"/>
        <v>30</v>
      </c>
      <c r="AN102" s="1">
        <f t="shared" si="46"/>
        <v>48</v>
      </c>
      <c r="AO102" s="1">
        <f t="shared" si="46"/>
        <v>59</v>
      </c>
      <c r="AP102" s="1">
        <f t="shared" si="46"/>
        <v>58</v>
      </c>
      <c r="AQ102" s="1">
        <f t="shared" si="46"/>
        <v>15</v>
      </c>
      <c r="AR102" s="1">
        <f t="shared" si="46"/>
        <v>36</v>
      </c>
      <c r="AS102" s="1">
        <f t="shared" si="46"/>
        <v>42</v>
      </c>
      <c r="AT102" s="1">
        <f t="shared" si="46"/>
        <v>30</v>
      </c>
      <c r="AU102" s="1">
        <f t="shared" si="46"/>
        <v>53</v>
      </c>
      <c r="AV102" s="1">
        <f t="shared" si="46"/>
        <v>15</v>
      </c>
      <c r="AW102" s="1">
        <f t="shared" si="46"/>
        <v>20</v>
      </c>
      <c r="AX102" s="1">
        <f t="shared" si="46"/>
        <v>28</v>
      </c>
      <c r="AY102" s="1">
        <f t="shared" si="46"/>
        <v>1</v>
      </c>
      <c r="AZ102" s="1">
        <f t="shared" si="46"/>
        <v>27</v>
      </c>
      <c r="BA102" s="1">
        <f t="shared" si="46"/>
        <v>44</v>
      </c>
      <c r="BB102" s="1">
        <f t="shared" si="46"/>
        <v>52</v>
      </c>
      <c r="BC102" s="1">
        <f t="shared" si="46"/>
        <v>40</v>
      </c>
      <c r="BD102" s="1">
        <f t="shared" si="46"/>
        <v>48</v>
      </c>
      <c r="BE102" s="1">
        <f t="shared" si="46"/>
        <v>8</v>
      </c>
      <c r="BF102" s="1">
        <f t="shared" si="46"/>
        <v>30</v>
      </c>
      <c r="BG102" s="1">
        <f t="shared" si="46"/>
        <v>14</v>
      </c>
      <c r="BH102" s="1">
        <f t="shared" si="46"/>
        <v>46</v>
      </c>
      <c r="BI102" s="1">
        <f t="shared" si="46"/>
        <v>19</v>
      </c>
      <c r="BJ102" s="1">
        <f t="shared" ref="BJ102" si="48">RANK(BJ37,$B37:$BJ37,0)</f>
        <v>48</v>
      </c>
    </row>
    <row r="103" spans="1:62">
      <c r="A103" s="1" t="str">
        <f t="shared" si="4"/>
        <v>   3.2.2) Frequency of vehicular accidents</v>
      </c>
      <c r="B103" s="1">
        <f t="shared" si="5"/>
        <v>17</v>
      </c>
      <c r="C103" s="1">
        <f t="shared" si="46"/>
        <v>11</v>
      </c>
      <c r="D103" s="1">
        <f t="shared" si="46"/>
        <v>9</v>
      </c>
      <c r="E103" s="1">
        <f t="shared" si="46"/>
        <v>32</v>
      </c>
      <c r="F103" s="1">
        <f t="shared" si="46"/>
        <v>34</v>
      </c>
      <c r="G103" s="1">
        <f t="shared" si="46"/>
        <v>4</v>
      </c>
      <c r="H103" s="1">
        <f t="shared" si="46"/>
        <v>13</v>
      </c>
      <c r="I103" s="1">
        <f t="shared" si="46"/>
        <v>37</v>
      </c>
      <c r="J103" s="1">
        <f t="shared" si="46"/>
        <v>31</v>
      </c>
      <c r="K103" s="1">
        <f t="shared" si="46"/>
        <v>5</v>
      </c>
      <c r="L103" s="1">
        <f t="shared" si="46"/>
        <v>10</v>
      </c>
      <c r="M103" s="1">
        <f t="shared" si="46"/>
        <v>24</v>
      </c>
      <c r="N103" s="1">
        <f t="shared" si="46"/>
        <v>54</v>
      </c>
      <c r="O103" s="1">
        <f t="shared" si="46"/>
        <v>57</v>
      </c>
      <c r="P103" s="1">
        <f t="shared" si="46"/>
        <v>8</v>
      </c>
      <c r="Q103" s="1">
        <f t="shared" si="46"/>
        <v>1</v>
      </c>
      <c r="R103" s="1">
        <f t="shared" si="46"/>
        <v>28</v>
      </c>
      <c r="S103" s="1">
        <f t="shared" si="46"/>
        <v>59</v>
      </c>
      <c r="T103" s="1">
        <f t="shared" si="46"/>
        <v>7</v>
      </c>
      <c r="U103" s="1">
        <f t="shared" si="46"/>
        <v>22</v>
      </c>
      <c r="V103" s="1">
        <f t="shared" si="46"/>
        <v>50</v>
      </c>
      <c r="W103" s="1">
        <f t="shared" si="46"/>
        <v>6</v>
      </c>
      <c r="X103" s="1">
        <f t="shared" si="46"/>
        <v>53</v>
      </c>
      <c r="Y103" s="1">
        <f t="shared" si="46"/>
        <v>55</v>
      </c>
      <c r="Z103" s="1">
        <f t="shared" si="46"/>
        <v>3</v>
      </c>
      <c r="AA103" s="1">
        <f t="shared" si="46"/>
        <v>51</v>
      </c>
      <c r="AB103" s="1">
        <f t="shared" si="46"/>
        <v>58</v>
      </c>
      <c r="AC103" s="1">
        <f t="shared" si="46"/>
        <v>43</v>
      </c>
      <c r="AD103" s="1">
        <f t="shared" si="46"/>
        <v>20</v>
      </c>
      <c r="AE103" s="1">
        <f t="shared" si="46"/>
        <v>48</v>
      </c>
      <c r="AF103" s="1">
        <f t="shared" si="46"/>
        <v>27</v>
      </c>
      <c r="AG103" s="1">
        <f t="shared" si="46"/>
        <v>47</v>
      </c>
      <c r="AH103" s="1">
        <f t="shared" si="46"/>
        <v>25</v>
      </c>
      <c r="AI103" s="1">
        <f t="shared" si="46"/>
        <v>15</v>
      </c>
      <c r="AJ103" s="1">
        <f t="shared" si="46"/>
        <v>40</v>
      </c>
      <c r="AK103" s="1">
        <f t="shared" si="46"/>
        <v>56</v>
      </c>
      <c r="AL103" s="1">
        <f t="shared" si="46"/>
        <v>12</v>
      </c>
      <c r="AM103" s="1">
        <f t="shared" si="46"/>
        <v>49</v>
      </c>
      <c r="AN103" s="1">
        <f t="shared" si="46"/>
        <v>38</v>
      </c>
      <c r="AO103" s="1">
        <f t="shared" si="46"/>
        <v>29</v>
      </c>
      <c r="AP103" s="1">
        <f t="shared" si="46"/>
        <v>23</v>
      </c>
      <c r="AQ103" s="1">
        <f t="shared" si="46"/>
        <v>19</v>
      </c>
      <c r="AR103" s="1">
        <f t="shared" si="46"/>
        <v>52</v>
      </c>
      <c r="AS103" s="1">
        <f t="shared" si="46"/>
        <v>36</v>
      </c>
      <c r="AT103" s="1">
        <f t="shared" si="46"/>
        <v>35</v>
      </c>
      <c r="AU103" s="1">
        <f t="shared" si="46"/>
        <v>41</v>
      </c>
      <c r="AV103" s="1">
        <f t="shared" si="46"/>
        <v>14</v>
      </c>
      <c r="AW103" s="1">
        <f t="shared" si="46"/>
        <v>42</v>
      </c>
      <c r="AX103" s="1">
        <f t="shared" si="46"/>
        <v>2</v>
      </c>
      <c r="AY103" s="1">
        <f t="shared" si="46"/>
        <v>16</v>
      </c>
      <c r="AZ103" s="1">
        <f t="shared" si="46"/>
        <v>18</v>
      </c>
      <c r="BA103" s="1">
        <f t="shared" si="46"/>
        <v>26</v>
      </c>
      <c r="BB103" s="1">
        <f t="shared" si="46"/>
        <v>30</v>
      </c>
      <c r="BC103" s="1">
        <f t="shared" si="46"/>
        <v>45</v>
      </c>
      <c r="BD103" s="1">
        <f t="shared" si="46"/>
        <v>38</v>
      </c>
      <c r="BE103" s="1">
        <f t="shared" si="46"/>
        <v>44</v>
      </c>
      <c r="BF103" s="1">
        <f t="shared" si="46"/>
        <v>60</v>
      </c>
      <c r="BG103" s="1">
        <f t="shared" si="46"/>
        <v>46</v>
      </c>
      <c r="BH103" s="1">
        <f t="shared" si="46"/>
        <v>33</v>
      </c>
      <c r="BI103" s="1">
        <f t="shared" si="46"/>
        <v>21</v>
      </c>
      <c r="BJ103" s="1">
        <f t="shared" ref="BJ103" si="49">RANK(BJ38,$B38:$BJ38,0)</f>
        <v>38</v>
      </c>
    </row>
    <row r="104" spans="1:62">
      <c r="A104" s="1" t="str">
        <f t="shared" si="4"/>
        <v>   3.2.3) Frequency of pedestrian deaths</v>
      </c>
      <c r="B104" s="1">
        <f t="shared" si="5"/>
        <v>38</v>
      </c>
      <c r="C104" s="1">
        <f t="shared" si="46"/>
        <v>1</v>
      </c>
      <c r="D104" s="1">
        <f t="shared" si="46"/>
        <v>23</v>
      </c>
      <c r="E104" s="1">
        <f t="shared" si="46"/>
        <v>37</v>
      </c>
      <c r="F104" s="1">
        <f t="shared" si="46"/>
        <v>10</v>
      </c>
      <c r="G104" s="1">
        <f t="shared" si="46"/>
        <v>52</v>
      </c>
      <c r="H104" s="1">
        <f t="shared" si="46"/>
        <v>51</v>
      </c>
      <c r="I104" s="1">
        <f t="shared" si="46"/>
        <v>13</v>
      </c>
      <c r="J104" s="1">
        <f t="shared" si="46"/>
        <v>21</v>
      </c>
      <c r="K104" s="1">
        <f t="shared" si="46"/>
        <v>41</v>
      </c>
      <c r="L104" s="1">
        <f t="shared" si="46"/>
        <v>44</v>
      </c>
      <c r="M104" s="1">
        <f t="shared" si="46"/>
        <v>54</v>
      </c>
      <c r="N104" s="1">
        <f t="shared" si="46"/>
        <v>20</v>
      </c>
      <c r="O104" s="1">
        <f t="shared" si="46"/>
        <v>34</v>
      </c>
      <c r="P104" s="1">
        <f t="shared" si="46"/>
        <v>42</v>
      </c>
      <c r="Q104" s="1">
        <f t="shared" si="46"/>
        <v>45</v>
      </c>
      <c r="R104" s="1">
        <f t="shared" si="46"/>
        <v>49</v>
      </c>
      <c r="S104" s="1">
        <f t="shared" si="46"/>
        <v>8</v>
      </c>
      <c r="T104" s="1">
        <f t="shared" si="46"/>
        <v>3</v>
      </c>
      <c r="U104" s="1">
        <f t="shared" si="46"/>
        <v>19</v>
      </c>
      <c r="V104" s="1">
        <f t="shared" si="46"/>
        <v>32</v>
      </c>
      <c r="W104" s="1">
        <f t="shared" si="46"/>
        <v>40</v>
      </c>
      <c r="X104" s="1">
        <f t="shared" si="46"/>
        <v>35</v>
      </c>
      <c r="Y104" s="1">
        <f t="shared" si="46"/>
        <v>60</v>
      </c>
      <c r="Z104" s="1">
        <f t="shared" si="46"/>
        <v>33</v>
      </c>
      <c r="AA104" s="1">
        <f t="shared" si="46"/>
        <v>24</v>
      </c>
      <c r="AB104" s="1">
        <f t="shared" si="46"/>
        <v>57</v>
      </c>
      <c r="AC104" s="1">
        <f t="shared" si="46"/>
        <v>39</v>
      </c>
      <c r="AD104" s="1">
        <f t="shared" si="46"/>
        <v>5</v>
      </c>
      <c r="AE104" s="1">
        <f t="shared" si="46"/>
        <v>29</v>
      </c>
      <c r="AF104" s="1">
        <f t="shared" si="46"/>
        <v>10</v>
      </c>
      <c r="AG104" s="1">
        <f t="shared" si="46"/>
        <v>28</v>
      </c>
      <c r="AH104" s="1">
        <f t="shared" si="46"/>
        <v>4</v>
      </c>
      <c r="AI104" s="1">
        <f t="shared" si="46"/>
        <v>43</v>
      </c>
      <c r="AJ104" s="1">
        <f t="shared" si="46"/>
        <v>16</v>
      </c>
      <c r="AK104" s="1">
        <f t="shared" si="46"/>
        <v>56</v>
      </c>
      <c r="AL104" s="1">
        <f t="shared" si="46"/>
        <v>17</v>
      </c>
      <c r="AM104" s="1">
        <f t="shared" si="46"/>
        <v>25</v>
      </c>
      <c r="AN104" s="1">
        <f t="shared" si="46"/>
        <v>26</v>
      </c>
      <c r="AO104" s="1">
        <f t="shared" si="46"/>
        <v>7</v>
      </c>
      <c r="AP104" s="1">
        <f t="shared" si="46"/>
        <v>58</v>
      </c>
      <c r="AQ104" s="1">
        <f t="shared" si="46"/>
        <v>47</v>
      </c>
      <c r="AR104" s="1">
        <f t="shared" si="46"/>
        <v>35</v>
      </c>
      <c r="AS104" s="1">
        <f t="shared" si="46"/>
        <v>22</v>
      </c>
      <c r="AT104" s="1">
        <f t="shared" si="46"/>
        <v>29</v>
      </c>
      <c r="AU104" s="1">
        <f t="shared" si="46"/>
        <v>50</v>
      </c>
      <c r="AV104" s="1">
        <f t="shared" si="46"/>
        <v>47</v>
      </c>
      <c r="AW104" s="1">
        <f t="shared" si="46"/>
        <v>46</v>
      </c>
      <c r="AX104" s="1">
        <f t="shared" si="46"/>
        <v>52</v>
      </c>
      <c r="AY104" s="1">
        <f t="shared" si="46"/>
        <v>15</v>
      </c>
      <c r="AZ104" s="1">
        <f t="shared" si="46"/>
        <v>2</v>
      </c>
      <c r="BA104" s="1">
        <f t="shared" si="46"/>
        <v>9</v>
      </c>
      <c r="BB104" s="1">
        <f t="shared" si="46"/>
        <v>18</v>
      </c>
      <c r="BC104" s="1">
        <f t="shared" si="46"/>
        <v>59</v>
      </c>
      <c r="BD104" s="1">
        <f t="shared" si="46"/>
        <v>26</v>
      </c>
      <c r="BE104" s="1">
        <f t="shared" si="46"/>
        <v>14</v>
      </c>
      <c r="BF104" s="1">
        <f t="shared" si="46"/>
        <v>31</v>
      </c>
      <c r="BG104" s="1">
        <f t="shared" si="46"/>
        <v>6</v>
      </c>
      <c r="BH104" s="1">
        <f t="shared" si="46"/>
        <v>55</v>
      </c>
      <c r="BI104" s="1">
        <f t="shared" si="46"/>
        <v>12</v>
      </c>
      <c r="BJ104" s="1">
        <f t="shared" ref="BJ104" si="50">RANK(BJ39,$B39:$BJ39,0)</f>
        <v>26</v>
      </c>
    </row>
    <row r="105" spans="1:62">
      <c r="A105" s="1" t="str">
        <f t="shared" si="4"/>
        <v>   3.2.4) Percentage living in slums</v>
      </c>
      <c r="B105" s="1">
        <f t="shared" si="5"/>
        <v>1</v>
      </c>
      <c r="C105" s="1">
        <f t="shared" si="46"/>
        <v>28</v>
      </c>
      <c r="D105" s="1">
        <f t="shared" si="46"/>
        <v>31</v>
      </c>
      <c r="E105" s="1">
        <f t="shared" si="46"/>
        <v>49</v>
      </c>
      <c r="F105" s="1">
        <f t="shared" si="46"/>
        <v>1</v>
      </c>
      <c r="G105" s="1">
        <f t="shared" si="46"/>
        <v>50</v>
      </c>
      <c r="H105" s="1">
        <f t="shared" si="46"/>
        <v>38</v>
      </c>
      <c r="I105" s="1">
        <f t="shared" si="46"/>
        <v>22</v>
      </c>
      <c r="J105" s="1">
        <f t="shared" si="46"/>
        <v>40</v>
      </c>
      <c r="K105" s="1">
        <f t="shared" si="46"/>
        <v>35</v>
      </c>
      <c r="L105" s="1">
        <f t="shared" si="46"/>
        <v>53</v>
      </c>
      <c r="M105" s="1">
        <f t="shared" si="46"/>
        <v>38</v>
      </c>
      <c r="N105" s="1">
        <f t="shared" si="46"/>
        <v>18</v>
      </c>
      <c r="O105" s="1">
        <f t="shared" si="46"/>
        <v>14</v>
      </c>
      <c r="P105" s="1">
        <f t="shared" si="46"/>
        <v>47</v>
      </c>
      <c r="Q105" s="1">
        <f t="shared" si="46"/>
        <v>60</v>
      </c>
      <c r="R105" s="1">
        <f t="shared" si="46"/>
        <v>1</v>
      </c>
      <c r="S105" s="1">
        <f t="shared" si="46"/>
        <v>21</v>
      </c>
      <c r="T105" s="1">
        <f t="shared" si="46"/>
        <v>52</v>
      </c>
      <c r="U105" s="1">
        <f t="shared" si="46"/>
        <v>13</v>
      </c>
      <c r="V105" s="1">
        <f t="shared" si="46"/>
        <v>37</v>
      </c>
      <c r="W105" s="1">
        <f t="shared" si="46"/>
        <v>43</v>
      </c>
      <c r="X105" s="1">
        <f t="shared" si="46"/>
        <v>41</v>
      </c>
      <c r="Y105" s="1">
        <f t="shared" si="46"/>
        <v>46</v>
      </c>
      <c r="Z105" s="1">
        <f t="shared" si="46"/>
        <v>58</v>
      </c>
      <c r="AA105" s="1">
        <f t="shared" si="46"/>
        <v>24</v>
      </c>
      <c r="AB105" s="1">
        <f t="shared" si="46"/>
        <v>1</v>
      </c>
      <c r="AC105" s="1">
        <f t="shared" si="46"/>
        <v>54</v>
      </c>
      <c r="AD105" s="1">
        <f t="shared" si="46"/>
        <v>10</v>
      </c>
      <c r="AE105" s="1">
        <f t="shared" si="46"/>
        <v>19</v>
      </c>
      <c r="AF105" s="1">
        <f t="shared" si="46"/>
        <v>16</v>
      </c>
      <c r="AG105" s="1">
        <f t="shared" si="46"/>
        <v>56</v>
      </c>
      <c r="AH105" s="1">
        <f t="shared" si="46"/>
        <v>11</v>
      </c>
      <c r="AI105" s="1">
        <f t="shared" si="46"/>
        <v>36</v>
      </c>
      <c r="AJ105" s="1">
        <f t="shared" si="46"/>
        <v>33</v>
      </c>
      <c r="AK105" s="1">
        <f t="shared" si="46"/>
        <v>28</v>
      </c>
      <c r="AL105" s="1">
        <f t="shared" si="46"/>
        <v>47</v>
      </c>
      <c r="AM105" s="1">
        <f t="shared" si="46"/>
        <v>30</v>
      </c>
      <c r="AN105" s="1">
        <f t="shared" si="46"/>
        <v>9</v>
      </c>
      <c r="AO105" s="1">
        <f t="shared" si="46"/>
        <v>27</v>
      </c>
      <c r="AP105" s="1">
        <f t="shared" si="46"/>
        <v>55</v>
      </c>
      <c r="AQ105" s="1">
        <f t="shared" si="46"/>
        <v>44</v>
      </c>
      <c r="AR105" s="1">
        <f t="shared" si="46"/>
        <v>41</v>
      </c>
      <c r="AS105" s="1">
        <f t="shared" si="46"/>
        <v>33</v>
      </c>
      <c r="AT105" s="1">
        <f t="shared" si="46"/>
        <v>26</v>
      </c>
      <c r="AU105" s="1">
        <f t="shared" si="46"/>
        <v>32</v>
      </c>
      <c r="AV105" s="1">
        <f t="shared" si="46"/>
        <v>44</v>
      </c>
      <c r="AW105" s="1">
        <f t="shared" si="46"/>
        <v>7</v>
      </c>
      <c r="AX105" s="1">
        <f t="shared" si="46"/>
        <v>50</v>
      </c>
      <c r="AY105" s="1">
        <f t="shared" si="46"/>
        <v>1</v>
      </c>
      <c r="AZ105" s="1">
        <f t="shared" si="46"/>
        <v>24</v>
      </c>
      <c r="BA105" s="1">
        <f t="shared" si="46"/>
        <v>11</v>
      </c>
      <c r="BB105" s="1">
        <f t="shared" si="46"/>
        <v>1</v>
      </c>
      <c r="BC105" s="1">
        <f t="shared" si="46"/>
        <v>59</v>
      </c>
      <c r="BD105" s="1">
        <f t="shared" si="46"/>
        <v>8</v>
      </c>
      <c r="BE105" s="1">
        <f t="shared" si="46"/>
        <v>23</v>
      </c>
      <c r="BF105" s="1">
        <f t="shared" si="46"/>
        <v>17</v>
      </c>
      <c r="BG105" s="1">
        <f t="shared" si="46"/>
        <v>14</v>
      </c>
      <c r="BH105" s="1">
        <f t="shared" si="46"/>
        <v>57</v>
      </c>
      <c r="BI105" s="1">
        <f t="shared" si="46"/>
        <v>20</v>
      </c>
      <c r="BJ105" s="1">
        <f t="shared" ref="BJ105" si="51">RANK(BJ40,$B40:$BJ40,0)</f>
        <v>1</v>
      </c>
    </row>
    <row r="106" spans="1:62">
      <c r="A106" s="1" t="str">
        <f t="shared" si="4"/>
        <v>   3.2.5) Number of attacks on facilities/infrastructure</v>
      </c>
      <c r="B106" s="1">
        <f t="shared" si="5"/>
        <v>1</v>
      </c>
      <c r="C106" s="1">
        <f t="shared" si="46"/>
        <v>1</v>
      </c>
      <c r="D106" s="1">
        <f t="shared" si="46"/>
        <v>48</v>
      </c>
      <c r="E106" s="1">
        <f t="shared" si="46"/>
        <v>56</v>
      </c>
      <c r="F106" s="1">
        <f t="shared" si="46"/>
        <v>1</v>
      </c>
      <c r="G106" s="1">
        <f t="shared" si="46"/>
        <v>1</v>
      </c>
      <c r="H106" s="1">
        <f t="shared" si="46"/>
        <v>55</v>
      </c>
      <c r="I106" s="1">
        <f t="shared" si="46"/>
        <v>37</v>
      </c>
      <c r="J106" s="1">
        <f t="shared" si="46"/>
        <v>45</v>
      </c>
      <c r="K106" s="1">
        <f t="shared" si="46"/>
        <v>58</v>
      </c>
      <c r="L106" s="1">
        <f t="shared" ref="C106:BI110" si="52">RANK(L41,$B41:$BI41,0)</f>
        <v>1</v>
      </c>
      <c r="M106" s="1">
        <f t="shared" si="52"/>
        <v>1</v>
      </c>
      <c r="N106" s="1">
        <f t="shared" si="52"/>
        <v>1</v>
      </c>
      <c r="O106" s="1">
        <f t="shared" si="52"/>
        <v>1</v>
      </c>
      <c r="P106" s="1">
        <f t="shared" si="52"/>
        <v>48</v>
      </c>
      <c r="Q106" s="1">
        <f t="shared" si="52"/>
        <v>59</v>
      </c>
      <c r="R106" s="1">
        <f t="shared" si="52"/>
        <v>1</v>
      </c>
      <c r="S106" s="1">
        <f t="shared" si="52"/>
        <v>1</v>
      </c>
      <c r="T106" s="1">
        <f t="shared" si="52"/>
        <v>1</v>
      </c>
      <c r="U106" s="1">
        <f t="shared" si="52"/>
        <v>1</v>
      </c>
      <c r="V106" s="1">
        <f t="shared" si="52"/>
        <v>56</v>
      </c>
      <c r="W106" s="1">
        <f t="shared" si="52"/>
        <v>37</v>
      </c>
      <c r="X106" s="1">
        <f t="shared" si="52"/>
        <v>1</v>
      </c>
      <c r="Y106" s="1">
        <f t="shared" si="52"/>
        <v>1</v>
      </c>
      <c r="Z106" s="1">
        <f t="shared" si="52"/>
        <v>60</v>
      </c>
      <c r="AA106" s="1">
        <f t="shared" si="52"/>
        <v>1</v>
      </c>
      <c r="AB106" s="1">
        <f t="shared" si="52"/>
        <v>1</v>
      </c>
      <c r="AC106" s="1">
        <f t="shared" si="52"/>
        <v>37</v>
      </c>
      <c r="AD106" s="1">
        <f t="shared" si="52"/>
        <v>45</v>
      </c>
      <c r="AE106" s="1">
        <f t="shared" si="52"/>
        <v>37</v>
      </c>
      <c r="AF106" s="1">
        <f t="shared" si="52"/>
        <v>1</v>
      </c>
      <c r="AG106" s="1">
        <f t="shared" si="52"/>
        <v>1</v>
      </c>
      <c r="AH106" s="1">
        <f t="shared" si="52"/>
        <v>1</v>
      </c>
      <c r="AI106" s="1">
        <f t="shared" si="52"/>
        <v>54</v>
      </c>
      <c r="AJ106" s="1">
        <f t="shared" si="52"/>
        <v>1</v>
      </c>
      <c r="AK106" s="1">
        <f t="shared" si="52"/>
        <v>48</v>
      </c>
      <c r="AL106" s="1">
        <f t="shared" si="52"/>
        <v>47</v>
      </c>
      <c r="AM106" s="1">
        <f t="shared" si="52"/>
        <v>37</v>
      </c>
      <c r="AN106" s="1">
        <f t="shared" si="52"/>
        <v>1</v>
      </c>
      <c r="AO106" s="1">
        <f t="shared" si="52"/>
        <v>1</v>
      </c>
      <c r="AP106" s="1">
        <f t="shared" si="52"/>
        <v>1</v>
      </c>
      <c r="AQ106" s="1">
        <f t="shared" si="52"/>
        <v>1</v>
      </c>
      <c r="AR106" s="1">
        <f t="shared" si="52"/>
        <v>1</v>
      </c>
      <c r="AS106" s="1">
        <f t="shared" si="52"/>
        <v>37</v>
      </c>
      <c r="AT106" s="1">
        <f t="shared" si="52"/>
        <v>1</v>
      </c>
      <c r="AU106" s="1">
        <f t="shared" si="52"/>
        <v>51</v>
      </c>
      <c r="AV106" s="1">
        <f t="shared" si="52"/>
        <v>37</v>
      </c>
      <c r="AW106" s="1">
        <f t="shared" si="52"/>
        <v>1</v>
      </c>
      <c r="AX106" s="1">
        <f t="shared" si="52"/>
        <v>37</v>
      </c>
      <c r="AY106" s="1">
        <f t="shared" si="52"/>
        <v>1</v>
      </c>
      <c r="AZ106" s="1">
        <f t="shared" si="52"/>
        <v>1</v>
      </c>
      <c r="BA106" s="1">
        <f t="shared" si="52"/>
        <v>1</v>
      </c>
      <c r="BB106" s="1">
        <f t="shared" si="52"/>
        <v>1</v>
      </c>
      <c r="BC106" s="1">
        <f t="shared" si="52"/>
        <v>1</v>
      </c>
      <c r="BD106" s="1">
        <f t="shared" si="52"/>
        <v>51</v>
      </c>
      <c r="BE106" s="1">
        <f t="shared" si="52"/>
        <v>1</v>
      </c>
      <c r="BF106" s="1">
        <f t="shared" si="52"/>
        <v>1</v>
      </c>
      <c r="BG106" s="1">
        <f t="shared" si="52"/>
        <v>1</v>
      </c>
      <c r="BH106" s="1">
        <f t="shared" si="52"/>
        <v>51</v>
      </c>
      <c r="BI106" s="1">
        <f t="shared" si="52"/>
        <v>1</v>
      </c>
      <c r="BJ106" s="1">
        <f t="shared" ref="BJ106" si="53">RANK(BJ41,$B41:$BJ41,0)</f>
        <v>1</v>
      </c>
    </row>
    <row r="107" spans="1:62">
      <c r="A107" s="1" t="str">
        <f t="shared" si="4"/>
        <v> 4) PERSONAL SECURITY</v>
      </c>
      <c r="B107" s="1">
        <f t="shared" si="5"/>
        <v>29</v>
      </c>
      <c r="C107" s="1">
        <f t="shared" si="52"/>
        <v>10</v>
      </c>
      <c r="D107" s="1">
        <f t="shared" si="52"/>
        <v>41</v>
      </c>
      <c r="E107" s="1">
        <f t="shared" si="52"/>
        <v>49</v>
      </c>
      <c r="F107" s="1">
        <f t="shared" si="52"/>
        <v>17</v>
      </c>
      <c r="G107" s="1">
        <f t="shared" si="52"/>
        <v>26</v>
      </c>
      <c r="H107" s="1">
        <f t="shared" si="52"/>
        <v>55</v>
      </c>
      <c r="I107" s="1">
        <f t="shared" si="52"/>
        <v>23</v>
      </c>
      <c r="J107" s="1">
        <f t="shared" si="52"/>
        <v>42</v>
      </c>
      <c r="K107" s="1">
        <f t="shared" si="52"/>
        <v>40</v>
      </c>
      <c r="L107" s="1">
        <f t="shared" si="52"/>
        <v>59</v>
      </c>
      <c r="M107" s="1">
        <f t="shared" si="52"/>
        <v>46</v>
      </c>
      <c r="N107" s="1">
        <f t="shared" si="52"/>
        <v>22</v>
      </c>
      <c r="O107" s="1">
        <f t="shared" si="52"/>
        <v>26</v>
      </c>
      <c r="P107" s="1">
        <f t="shared" si="52"/>
        <v>33</v>
      </c>
      <c r="Q107" s="1">
        <f t="shared" si="52"/>
        <v>43</v>
      </c>
      <c r="R107" s="1">
        <f t="shared" si="52"/>
        <v>13</v>
      </c>
      <c r="S107" s="1">
        <f t="shared" si="52"/>
        <v>11</v>
      </c>
      <c r="T107" s="1">
        <f t="shared" si="52"/>
        <v>58</v>
      </c>
      <c r="U107" s="1">
        <f t="shared" si="52"/>
        <v>7</v>
      </c>
      <c r="V107" s="1">
        <f t="shared" si="52"/>
        <v>44</v>
      </c>
      <c r="W107" s="1">
        <f t="shared" si="52"/>
        <v>51</v>
      </c>
      <c r="X107" s="1">
        <f t="shared" si="52"/>
        <v>50</v>
      </c>
      <c r="Y107" s="1">
        <f t="shared" si="52"/>
        <v>54</v>
      </c>
      <c r="Z107" s="1">
        <f t="shared" si="52"/>
        <v>60</v>
      </c>
      <c r="AA107" s="1">
        <f t="shared" si="52"/>
        <v>24</v>
      </c>
      <c r="AB107" s="1">
        <f t="shared" si="52"/>
        <v>34</v>
      </c>
      <c r="AC107" s="1">
        <f t="shared" si="52"/>
        <v>48</v>
      </c>
      <c r="AD107" s="1">
        <f t="shared" si="52"/>
        <v>15</v>
      </c>
      <c r="AE107" s="1">
        <f t="shared" si="52"/>
        <v>21</v>
      </c>
      <c r="AF107" s="1">
        <f t="shared" si="52"/>
        <v>14</v>
      </c>
      <c r="AG107" s="1">
        <f t="shared" si="52"/>
        <v>39</v>
      </c>
      <c r="AH107" s="1">
        <f t="shared" si="52"/>
        <v>8</v>
      </c>
      <c r="AI107" s="1">
        <f t="shared" si="52"/>
        <v>45</v>
      </c>
      <c r="AJ107" s="1">
        <f t="shared" si="52"/>
        <v>32</v>
      </c>
      <c r="AK107" s="1">
        <f t="shared" si="52"/>
        <v>53</v>
      </c>
      <c r="AL107" s="1">
        <f t="shared" si="52"/>
        <v>30</v>
      </c>
      <c r="AM107" s="1">
        <f t="shared" si="52"/>
        <v>25</v>
      </c>
      <c r="AN107" s="1">
        <f t="shared" si="52"/>
        <v>3</v>
      </c>
      <c r="AO107" s="1">
        <f t="shared" si="52"/>
        <v>31</v>
      </c>
      <c r="AP107" s="1">
        <f t="shared" si="52"/>
        <v>56</v>
      </c>
      <c r="AQ107" s="1">
        <f t="shared" si="52"/>
        <v>38</v>
      </c>
      <c r="AR107" s="1">
        <f t="shared" si="52"/>
        <v>47</v>
      </c>
      <c r="AS107" s="1">
        <f t="shared" si="52"/>
        <v>35</v>
      </c>
      <c r="AT107" s="1">
        <f t="shared" si="52"/>
        <v>19</v>
      </c>
      <c r="AU107" s="1">
        <f t="shared" si="52"/>
        <v>36</v>
      </c>
      <c r="AV107" s="1">
        <f t="shared" si="52"/>
        <v>37</v>
      </c>
      <c r="AW107" s="1">
        <f t="shared" si="52"/>
        <v>16</v>
      </c>
      <c r="AX107" s="1">
        <f t="shared" si="52"/>
        <v>28</v>
      </c>
      <c r="AY107" s="1">
        <f t="shared" si="52"/>
        <v>1</v>
      </c>
      <c r="AZ107" s="1">
        <f t="shared" si="52"/>
        <v>9</v>
      </c>
      <c r="BA107" s="1">
        <f t="shared" si="52"/>
        <v>12</v>
      </c>
      <c r="BB107" s="1">
        <f t="shared" si="52"/>
        <v>6</v>
      </c>
      <c r="BC107" s="1">
        <f t="shared" si="52"/>
        <v>52</v>
      </c>
      <c r="BD107" s="1">
        <f t="shared" si="52"/>
        <v>4</v>
      </c>
      <c r="BE107" s="1">
        <f t="shared" si="52"/>
        <v>5</v>
      </c>
      <c r="BF107" s="1">
        <f t="shared" si="52"/>
        <v>18</v>
      </c>
      <c r="BG107" s="1">
        <f t="shared" si="52"/>
        <v>2</v>
      </c>
      <c r="BH107" s="1">
        <f t="shared" si="52"/>
        <v>57</v>
      </c>
      <c r="BI107" s="1">
        <f t="shared" si="52"/>
        <v>20</v>
      </c>
      <c r="BJ107" s="1">
        <f t="shared" ref="BJ107" si="54">RANK(BJ42,$B42:$BJ42,0)</f>
        <v>3</v>
      </c>
    </row>
    <row r="108" spans="1:62">
      <c r="A108" s="1" t="str">
        <f t="shared" si="4"/>
        <v>  4.1) Personal security (Inputs)</v>
      </c>
      <c r="B108" s="1">
        <f t="shared" si="5"/>
        <v>40</v>
      </c>
      <c r="C108" s="1">
        <f t="shared" si="52"/>
        <v>11</v>
      </c>
      <c r="D108" s="1">
        <f t="shared" si="52"/>
        <v>46</v>
      </c>
      <c r="E108" s="1">
        <f t="shared" si="52"/>
        <v>47</v>
      </c>
      <c r="F108" s="1">
        <f t="shared" si="52"/>
        <v>14</v>
      </c>
      <c r="G108" s="1">
        <f t="shared" si="52"/>
        <v>24</v>
      </c>
      <c r="H108" s="1">
        <f t="shared" si="52"/>
        <v>45</v>
      </c>
      <c r="I108" s="1">
        <f t="shared" si="52"/>
        <v>28</v>
      </c>
      <c r="J108" s="1">
        <f t="shared" si="52"/>
        <v>43</v>
      </c>
      <c r="K108" s="1">
        <f t="shared" si="52"/>
        <v>37</v>
      </c>
      <c r="L108" s="1">
        <f t="shared" si="52"/>
        <v>53</v>
      </c>
      <c r="M108" s="1">
        <f t="shared" si="52"/>
        <v>50</v>
      </c>
      <c r="N108" s="1">
        <f t="shared" si="52"/>
        <v>21</v>
      </c>
      <c r="O108" s="1">
        <f t="shared" si="52"/>
        <v>29</v>
      </c>
      <c r="P108" s="1">
        <f t="shared" si="52"/>
        <v>19</v>
      </c>
      <c r="Q108" s="1">
        <f t="shared" si="52"/>
        <v>39</v>
      </c>
      <c r="R108" s="1">
        <f t="shared" si="52"/>
        <v>22</v>
      </c>
      <c r="S108" s="1">
        <f t="shared" si="52"/>
        <v>13</v>
      </c>
      <c r="T108" s="1">
        <f t="shared" si="52"/>
        <v>60</v>
      </c>
      <c r="U108" s="1">
        <f t="shared" si="52"/>
        <v>12</v>
      </c>
      <c r="V108" s="1">
        <f t="shared" si="52"/>
        <v>41</v>
      </c>
      <c r="W108" s="1">
        <f t="shared" si="52"/>
        <v>52</v>
      </c>
      <c r="X108" s="1">
        <f t="shared" si="52"/>
        <v>56</v>
      </c>
      <c r="Y108" s="1">
        <f t="shared" si="52"/>
        <v>48</v>
      </c>
      <c r="Z108" s="1">
        <f t="shared" si="52"/>
        <v>59</v>
      </c>
      <c r="AA108" s="1">
        <f t="shared" si="52"/>
        <v>27</v>
      </c>
      <c r="AB108" s="1">
        <f t="shared" si="52"/>
        <v>42</v>
      </c>
      <c r="AC108" s="1">
        <f t="shared" si="52"/>
        <v>48</v>
      </c>
      <c r="AD108" s="1">
        <f t="shared" si="52"/>
        <v>7</v>
      </c>
      <c r="AE108" s="1">
        <f t="shared" si="52"/>
        <v>17</v>
      </c>
      <c r="AF108" s="1">
        <f t="shared" si="52"/>
        <v>14</v>
      </c>
      <c r="AG108" s="1">
        <f t="shared" si="52"/>
        <v>38</v>
      </c>
      <c r="AH108" s="1">
        <f t="shared" si="52"/>
        <v>3</v>
      </c>
      <c r="AI108" s="1">
        <f t="shared" si="52"/>
        <v>36</v>
      </c>
      <c r="AJ108" s="1">
        <f t="shared" si="52"/>
        <v>32</v>
      </c>
      <c r="AK108" s="1">
        <f t="shared" si="52"/>
        <v>51</v>
      </c>
      <c r="AL108" s="1">
        <f t="shared" si="52"/>
        <v>19</v>
      </c>
      <c r="AM108" s="1">
        <f t="shared" si="52"/>
        <v>23</v>
      </c>
      <c r="AN108" s="1">
        <f t="shared" si="52"/>
        <v>1</v>
      </c>
      <c r="AO108" s="1">
        <f t="shared" si="52"/>
        <v>34</v>
      </c>
      <c r="AP108" s="1">
        <f t="shared" si="52"/>
        <v>54</v>
      </c>
      <c r="AQ108" s="1">
        <f t="shared" si="52"/>
        <v>30</v>
      </c>
      <c r="AR108" s="1">
        <f t="shared" si="52"/>
        <v>56</v>
      </c>
      <c r="AS108" s="1">
        <f t="shared" si="52"/>
        <v>32</v>
      </c>
      <c r="AT108" s="1">
        <f t="shared" si="52"/>
        <v>17</v>
      </c>
      <c r="AU108" s="1">
        <f t="shared" si="52"/>
        <v>44</v>
      </c>
      <c r="AV108" s="1">
        <f t="shared" si="52"/>
        <v>30</v>
      </c>
      <c r="AW108" s="1">
        <f t="shared" si="52"/>
        <v>16</v>
      </c>
      <c r="AX108" s="1">
        <f t="shared" si="52"/>
        <v>24</v>
      </c>
      <c r="AY108" s="1">
        <f t="shared" si="52"/>
        <v>5</v>
      </c>
      <c r="AZ108" s="1">
        <f t="shared" si="52"/>
        <v>26</v>
      </c>
      <c r="BA108" s="1">
        <f t="shared" si="52"/>
        <v>3</v>
      </c>
      <c r="BB108" s="1">
        <f t="shared" si="52"/>
        <v>8</v>
      </c>
      <c r="BC108" s="1">
        <f t="shared" si="52"/>
        <v>55</v>
      </c>
      <c r="BD108" s="1">
        <f t="shared" si="52"/>
        <v>1</v>
      </c>
      <c r="BE108" s="1">
        <f t="shared" si="52"/>
        <v>10</v>
      </c>
      <c r="BF108" s="1">
        <f t="shared" si="52"/>
        <v>9</v>
      </c>
      <c r="BG108" s="1">
        <f t="shared" si="52"/>
        <v>6</v>
      </c>
      <c r="BH108" s="1">
        <f t="shared" si="52"/>
        <v>58</v>
      </c>
      <c r="BI108" s="1">
        <f t="shared" si="52"/>
        <v>35</v>
      </c>
      <c r="BJ108" s="1">
        <f t="shared" ref="BJ108" si="55">RANK(BJ43,$B43:$BJ43,0)</f>
        <v>1</v>
      </c>
    </row>
    <row r="109" spans="1:62">
      <c r="A109" s="1" t="str">
        <f t="shared" si="4"/>
        <v>   4.1.1) Level of police engagement</v>
      </c>
      <c r="B109" s="1">
        <f t="shared" si="5"/>
        <v>1</v>
      </c>
      <c r="C109" s="1">
        <f t="shared" si="52"/>
        <v>1</v>
      </c>
      <c r="D109" s="1">
        <f t="shared" si="52"/>
        <v>29</v>
      </c>
      <c r="E109" s="1">
        <f t="shared" si="52"/>
        <v>29</v>
      </c>
      <c r="F109" s="1">
        <f t="shared" si="52"/>
        <v>1</v>
      </c>
      <c r="G109" s="1">
        <f t="shared" si="52"/>
        <v>29</v>
      </c>
      <c r="H109" s="1">
        <f t="shared" si="52"/>
        <v>29</v>
      </c>
      <c r="I109" s="1">
        <f t="shared" si="52"/>
        <v>29</v>
      </c>
      <c r="J109" s="1">
        <f t="shared" si="52"/>
        <v>29</v>
      </c>
      <c r="K109" s="1">
        <f t="shared" si="52"/>
        <v>29</v>
      </c>
      <c r="L109" s="1">
        <f t="shared" si="52"/>
        <v>29</v>
      </c>
      <c r="M109" s="1">
        <f t="shared" si="52"/>
        <v>1</v>
      </c>
      <c r="N109" s="1">
        <f t="shared" si="52"/>
        <v>1</v>
      </c>
      <c r="O109" s="1">
        <f t="shared" si="52"/>
        <v>1</v>
      </c>
      <c r="P109" s="1">
        <f t="shared" si="52"/>
        <v>1</v>
      </c>
      <c r="Q109" s="1">
        <f t="shared" si="52"/>
        <v>1</v>
      </c>
      <c r="R109" s="1">
        <f t="shared" si="52"/>
        <v>1</v>
      </c>
      <c r="S109" s="1">
        <f t="shared" si="52"/>
        <v>1</v>
      </c>
      <c r="T109" s="1">
        <f t="shared" si="52"/>
        <v>59</v>
      </c>
      <c r="U109" s="1">
        <f t="shared" si="52"/>
        <v>1</v>
      </c>
      <c r="V109" s="1">
        <f t="shared" si="52"/>
        <v>29</v>
      </c>
      <c r="W109" s="1">
        <f t="shared" si="52"/>
        <v>29</v>
      </c>
      <c r="X109" s="1">
        <f t="shared" si="52"/>
        <v>29</v>
      </c>
      <c r="Y109" s="1">
        <f t="shared" si="52"/>
        <v>29</v>
      </c>
      <c r="Z109" s="1">
        <f t="shared" si="52"/>
        <v>1</v>
      </c>
      <c r="AA109" s="1">
        <f t="shared" si="52"/>
        <v>29</v>
      </c>
      <c r="AB109" s="1">
        <f t="shared" si="52"/>
        <v>29</v>
      </c>
      <c r="AC109" s="1">
        <f t="shared" si="52"/>
        <v>29</v>
      </c>
      <c r="AD109" s="1">
        <f t="shared" si="52"/>
        <v>1</v>
      </c>
      <c r="AE109" s="1">
        <f t="shared" si="52"/>
        <v>1</v>
      </c>
      <c r="AF109" s="1">
        <f t="shared" si="52"/>
        <v>1</v>
      </c>
      <c r="AG109" s="1">
        <f t="shared" si="52"/>
        <v>29</v>
      </c>
      <c r="AH109" s="1">
        <f t="shared" si="52"/>
        <v>1</v>
      </c>
      <c r="AI109" s="1">
        <f t="shared" si="52"/>
        <v>29</v>
      </c>
      <c r="AJ109" s="1">
        <f t="shared" si="52"/>
        <v>29</v>
      </c>
      <c r="AK109" s="1">
        <f t="shared" si="52"/>
        <v>59</v>
      </c>
      <c r="AL109" s="1">
        <f t="shared" si="52"/>
        <v>1</v>
      </c>
      <c r="AM109" s="1">
        <f t="shared" si="52"/>
        <v>1</v>
      </c>
      <c r="AN109" s="1">
        <f t="shared" si="52"/>
        <v>1</v>
      </c>
      <c r="AO109" s="1">
        <f t="shared" si="52"/>
        <v>29</v>
      </c>
      <c r="AP109" s="1">
        <f t="shared" si="52"/>
        <v>29</v>
      </c>
      <c r="AQ109" s="1">
        <f t="shared" si="52"/>
        <v>29</v>
      </c>
      <c r="AR109" s="1">
        <f t="shared" si="52"/>
        <v>29</v>
      </c>
      <c r="AS109" s="1">
        <f t="shared" si="52"/>
        <v>29</v>
      </c>
      <c r="AT109" s="1">
        <f t="shared" si="52"/>
        <v>1</v>
      </c>
      <c r="AU109" s="1">
        <f t="shared" si="52"/>
        <v>29</v>
      </c>
      <c r="AV109" s="1">
        <f t="shared" si="52"/>
        <v>29</v>
      </c>
      <c r="AW109" s="1">
        <f t="shared" si="52"/>
        <v>1</v>
      </c>
      <c r="AX109" s="1">
        <f t="shared" si="52"/>
        <v>29</v>
      </c>
      <c r="AY109" s="1">
        <f t="shared" si="52"/>
        <v>1</v>
      </c>
      <c r="AZ109" s="1">
        <f t="shared" si="52"/>
        <v>29</v>
      </c>
      <c r="BA109" s="1">
        <f t="shared" si="52"/>
        <v>1</v>
      </c>
      <c r="BB109" s="1">
        <f t="shared" si="52"/>
        <v>1</v>
      </c>
      <c r="BC109" s="1">
        <f t="shared" si="52"/>
        <v>29</v>
      </c>
      <c r="BD109" s="1">
        <f t="shared" si="52"/>
        <v>1</v>
      </c>
      <c r="BE109" s="1">
        <f t="shared" si="52"/>
        <v>1</v>
      </c>
      <c r="BF109" s="1">
        <f t="shared" si="52"/>
        <v>1</v>
      </c>
      <c r="BG109" s="1">
        <f t="shared" si="52"/>
        <v>1</v>
      </c>
      <c r="BH109" s="1">
        <f t="shared" si="52"/>
        <v>29</v>
      </c>
      <c r="BI109" s="1">
        <f t="shared" si="52"/>
        <v>29</v>
      </c>
      <c r="BJ109" s="1">
        <f t="shared" ref="BJ109" si="56">RANK(BJ44,$B44:$BJ44,0)</f>
        <v>1</v>
      </c>
    </row>
    <row r="110" spans="1:62">
      <c r="A110" s="1" t="str">
        <f t="shared" si="4"/>
        <v>   4.1.2) Community-based patrolling</v>
      </c>
      <c r="B110" s="1">
        <f t="shared" si="5"/>
        <v>1</v>
      </c>
      <c r="C110" s="1">
        <f t="shared" si="52"/>
        <v>1</v>
      </c>
      <c r="D110" s="1">
        <f t="shared" si="52"/>
        <v>54</v>
      </c>
      <c r="E110" s="1">
        <f t="shared" si="52"/>
        <v>1</v>
      </c>
      <c r="F110" s="1">
        <f t="shared" si="52"/>
        <v>1</v>
      </c>
      <c r="G110" s="1">
        <f t="shared" si="52"/>
        <v>1</v>
      </c>
      <c r="H110" s="1">
        <f t="shared" si="52"/>
        <v>1</v>
      </c>
      <c r="I110" s="1">
        <f t="shared" si="52"/>
        <v>1</v>
      </c>
      <c r="J110" s="1">
        <f t="shared" si="52"/>
        <v>54</v>
      </c>
      <c r="K110" s="1">
        <f t="shared" si="52"/>
        <v>1</v>
      </c>
      <c r="L110" s="1">
        <f t="shared" si="52"/>
        <v>1</v>
      </c>
      <c r="M110" s="1">
        <f t="shared" si="52"/>
        <v>54</v>
      </c>
      <c r="N110" s="1">
        <f t="shared" si="52"/>
        <v>1</v>
      </c>
      <c r="O110" s="1">
        <f t="shared" si="52"/>
        <v>1</v>
      </c>
      <c r="P110" s="1">
        <f t="shared" si="52"/>
        <v>1</v>
      </c>
      <c r="Q110" s="1">
        <f t="shared" si="52"/>
        <v>1</v>
      </c>
      <c r="R110" s="1">
        <f t="shared" si="52"/>
        <v>1</v>
      </c>
      <c r="S110" s="1">
        <f t="shared" si="52"/>
        <v>1</v>
      </c>
      <c r="T110" s="1">
        <f t="shared" si="52"/>
        <v>54</v>
      </c>
      <c r="U110" s="1">
        <f t="shared" si="52"/>
        <v>1</v>
      </c>
      <c r="V110" s="1">
        <f t="shared" si="52"/>
        <v>1</v>
      </c>
      <c r="W110" s="1">
        <f t="shared" si="52"/>
        <v>1</v>
      </c>
      <c r="X110" s="1">
        <f t="shared" si="52"/>
        <v>1</v>
      </c>
      <c r="Y110" s="1">
        <f t="shared" si="52"/>
        <v>1</v>
      </c>
      <c r="Z110" s="1">
        <f t="shared" si="52"/>
        <v>1</v>
      </c>
      <c r="AA110" s="1">
        <f t="shared" si="52"/>
        <v>1</v>
      </c>
      <c r="AB110" s="1">
        <f t="shared" si="52"/>
        <v>1</v>
      </c>
      <c r="AC110" s="1">
        <f t="shared" si="52"/>
        <v>1</v>
      </c>
      <c r="AD110" s="1">
        <f t="shared" si="52"/>
        <v>1</v>
      </c>
      <c r="AE110" s="1">
        <f t="shared" ref="C110:BI114" si="57">RANK(AE45,$B45:$BI45,0)</f>
        <v>1</v>
      </c>
      <c r="AF110" s="1">
        <f t="shared" si="57"/>
        <v>1</v>
      </c>
      <c r="AG110" s="1">
        <f t="shared" si="57"/>
        <v>1</v>
      </c>
      <c r="AH110" s="1">
        <f t="shared" si="57"/>
        <v>1</v>
      </c>
      <c r="AI110" s="1">
        <f t="shared" si="57"/>
        <v>1</v>
      </c>
      <c r="AJ110" s="1">
        <f t="shared" si="57"/>
        <v>1</v>
      </c>
      <c r="AK110" s="1">
        <f t="shared" si="57"/>
        <v>1</v>
      </c>
      <c r="AL110" s="1">
        <f t="shared" si="57"/>
        <v>1</v>
      </c>
      <c r="AM110" s="1">
        <f t="shared" si="57"/>
        <v>1</v>
      </c>
      <c r="AN110" s="1">
        <f t="shared" si="57"/>
        <v>1</v>
      </c>
      <c r="AO110" s="1">
        <f t="shared" si="57"/>
        <v>1</v>
      </c>
      <c r="AP110" s="1">
        <f t="shared" si="57"/>
        <v>54</v>
      </c>
      <c r="AQ110" s="1">
        <f t="shared" si="57"/>
        <v>1</v>
      </c>
      <c r="AR110" s="1">
        <f t="shared" si="57"/>
        <v>1</v>
      </c>
      <c r="AS110" s="1">
        <f t="shared" si="57"/>
        <v>1</v>
      </c>
      <c r="AT110" s="1">
        <f t="shared" si="57"/>
        <v>1</v>
      </c>
      <c r="AU110" s="1">
        <f t="shared" si="57"/>
        <v>54</v>
      </c>
      <c r="AV110" s="1">
        <f t="shared" si="57"/>
        <v>1</v>
      </c>
      <c r="AW110" s="1">
        <f t="shared" si="57"/>
        <v>1</v>
      </c>
      <c r="AX110" s="1">
        <f t="shared" si="57"/>
        <v>1</v>
      </c>
      <c r="AY110" s="1">
        <f t="shared" si="57"/>
        <v>1</v>
      </c>
      <c r="AZ110" s="1">
        <f t="shared" si="57"/>
        <v>1</v>
      </c>
      <c r="BA110" s="1">
        <f t="shared" si="57"/>
        <v>1</v>
      </c>
      <c r="BB110" s="1">
        <f t="shared" si="57"/>
        <v>1</v>
      </c>
      <c r="BC110" s="1">
        <f t="shared" si="57"/>
        <v>54</v>
      </c>
      <c r="BD110" s="1">
        <f t="shared" si="57"/>
        <v>1</v>
      </c>
      <c r="BE110" s="1">
        <f t="shared" si="57"/>
        <v>1</v>
      </c>
      <c r="BF110" s="1">
        <f t="shared" si="57"/>
        <v>1</v>
      </c>
      <c r="BG110" s="1">
        <f t="shared" si="57"/>
        <v>1</v>
      </c>
      <c r="BH110" s="1">
        <f t="shared" si="57"/>
        <v>1</v>
      </c>
      <c r="BI110" s="1">
        <f t="shared" si="57"/>
        <v>1</v>
      </c>
      <c r="BJ110" s="1">
        <f t="shared" ref="BJ110" si="58">RANK(BJ45,$B45:$BJ45,0)</f>
        <v>1</v>
      </c>
    </row>
    <row r="111" spans="1:62">
      <c r="A111" s="1" t="str">
        <f t="shared" si="4"/>
        <v>   4.1.3) Available street-level crime data</v>
      </c>
      <c r="B111" s="1">
        <f t="shared" si="5"/>
        <v>1</v>
      </c>
      <c r="C111" s="1">
        <f t="shared" si="57"/>
        <v>1</v>
      </c>
      <c r="D111" s="1">
        <f t="shared" si="57"/>
        <v>1</v>
      </c>
      <c r="E111" s="1">
        <f t="shared" si="57"/>
        <v>51</v>
      </c>
      <c r="F111" s="1">
        <f t="shared" si="57"/>
        <v>1</v>
      </c>
      <c r="G111" s="1">
        <f t="shared" si="57"/>
        <v>1</v>
      </c>
      <c r="H111" s="1">
        <f t="shared" si="57"/>
        <v>51</v>
      </c>
      <c r="I111" s="1">
        <f t="shared" si="57"/>
        <v>1</v>
      </c>
      <c r="J111" s="1">
        <f t="shared" si="57"/>
        <v>1</v>
      </c>
      <c r="K111" s="1">
        <f t="shared" si="57"/>
        <v>1</v>
      </c>
      <c r="L111" s="1">
        <f t="shared" si="57"/>
        <v>51</v>
      </c>
      <c r="M111" s="1">
        <f t="shared" si="57"/>
        <v>1</v>
      </c>
      <c r="N111" s="1">
        <f t="shared" si="57"/>
        <v>1</v>
      </c>
      <c r="O111" s="1">
        <f t="shared" si="57"/>
        <v>1</v>
      </c>
      <c r="P111" s="1">
        <f t="shared" si="57"/>
        <v>1</v>
      </c>
      <c r="Q111" s="1">
        <f t="shared" si="57"/>
        <v>51</v>
      </c>
      <c r="R111" s="1">
        <f t="shared" si="57"/>
        <v>1</v>
      </c>
      <c r="S111" s="1">
        <f t="shared" si="57"/>
        <v>1</v>
      </c>
      <c r="T111" s="1">
        <f t="shared" si="57"/>
        <v>51</v>
      </c>
      <c r="U111" s="1">
        <f t="shared" si="57"/>
        <v>1</v>
      </c>
      <c r="V111" s="1">
        <f t="shared" si="57"/>
        <v>1</v>
      </c>
      <c r="W111" s="1">
        <f t="shared" si="57"/>
        <v>1</v>
      </c>
      <c r="X111" s="1">
        <f t="shared" si="57"/>
        <v>51</v>
      </c>
      <c r="Y111" s="1">
        <f t="shared" si="57"/>
        <v>1</v>
      </c>
      <c r="Z111" s="1">
        <f t="shared" si="57"/>
        <v>51</v>
      </c>
      <c r="AA111" s="1">
        <f t="shared" si="57"/>
        <v>1</v>
      </c>
      <c r="AB111" s="1">
        <f t="shared" si="57"/>
        <v>1</v>
      </c>
      <c r="AC111" s="1">
        <f t="shared" si="57"/>
        <v>1</v>
      </c>
      <c r="AD111" s="1">
        <f t="shared" si="57"/>
        <v>1</v>
      </c>
      <c r="AE111" s="1">
        <f t="shared" si="57"/>
        <v>1</v>
      </c>
      <c r="AF111" s="1">
        <f t="shared" si="57"/>
        <v>1</v>
      </c>
      <c r="AG111" s="1">
        <f t="shared" si="57"/>
        <v>1</v>
      </c>
      <c r="AH111" s="1">
        <f t="shared" si="57"/>
        <v>1</v>
      </c>
      <c r="AI111" s="1">
        <f t="shared" si="57"/>
        <v>1</v>
      </c>
      <c r="AJ111" s="1">
        <f t="shared" si="57"/>
        <v>1</v>
      </c>
      <c r="AK111" s="1">
        <f t="shared" si="57"/>
        <v>1</v>
      </c>
      <c r="AL111" s="1">
        <f t="shared" si="57"/>
        <v>1</v>
      </c>
      <c r="AM111" s="1">
        <f t="shared" si="57"/>
        <v>1</v>
      </c>
      <c r="AN111" s="1">
        <f t="shared" si="57"/>
        <v>1</v>
      </c>
      <c r="AO111" s="1">
        <f t="shared" si="57"/>
        <v>1</v>
      </c>
      <c r="AP111" s="1">
        <f t="shared" si="57"/>
        <v>51</v>
      </c>
      <c r="AQ111" s="1">
        <f t="shared" si="57"/>
        <v>1</v>
      </c>
      <c r="AR111" s="1">
        <f t="shared" si="57"/>
        <v>51</v>
      </c>
      <c r="AS111" s="1">
        <f t="shared" si="57"/>
        <v>1</v>
      </c>
      <c r="AT111" s="1">
        <f t="shared" si="57"/>
        <v>1</v>
      </c>
      <c r="AU111" s="1">
        <f t="shared" si="57"/>
        <v>1</v>
      </c>
      <c r="AV111" s="1">
        <f t="shared" si="57"/>
        <v>1</v>
      </c>
      <c r="AW111" s="1">
        <f t="shared" si="57"/>
        <v>1</v>
      </c>
      <c r="AX111" s="1">
        <f t="shared" si="57"/>
        <v>1</v>
      </c>
      <c r="AY111" s="1">
        <f t="shared" si="57"/>
        <v>1</v>
      </c>
      <c r="AZ111" s="1">
        <f t="shared" si="57"/>
        <v>1</v>
      </c>
      <c r="BA111" s="1">
        <f t="shared" si="57"/>
        <v>1</v>
      </c>
      <c r="BB111" s="1">
        <f t="shared" si="57"/>
        <v>1</v>
      </c>
      <c r="BC111" s="1">
        <f t="shared" si="57"/>
        <v>1</v>
      </c>
      <c r="BD111" s="1">
        <f t="shared" si="57"/>
        <v>1</v>
      </c>
      <c r="BE111" s="1">
        <f t="shared" si="57"/>
        <v>1</v>
      </c>
      <c r="BF111" s="1">
        <f t="shared" si="57"/>
        <v>1</v>
      </c>
      <c r="BG111" s="1">
        <f t="shared" si="57"/>
        <v>1</v>
      </c>
      <c r="BH111" s="1">
        <f t="shared" si="57"/>
        <v>51</v>
      </c>
      <c r="BI111" s="1">
        <f t="shared" si="57"/>
        <v>1</v>
      </c>
      <c r="BJ111" s="1">
        <f t="shared" ref="BJ111" si="59">RANK(BJ46,$B46:$BJ46,0)</f>
        <v>1</v>
      </c>
    </row>
    <row r="112" spans="1:62">
      <c r="A112" s="1" t="str">
        <f t="shared" si="4"/>
        <v>   4.1.4) Use of data-driven techniques for crime</v>
      </c>
      <c r="B112" s="1">
        <f t="shared" si="5"/>
        <v>49</v>
      </c>
      <c r="C112" s="1">
        <f t="shared" si="57"/>
        <v>1</v>
      </c>
      <c r="D112" s="1">
        <f t="shared" si="57"/>
        <v>1</v>
      </c>
      <c r="E112" s="1">
        <f t="shared" si="57"/>
        <v>1</v>
      </c>
      <c r="F112" s="1">
        <f t="shared" si="57"/>
        <v>1</v>
      </c>
      <c r="G112" s="1">
        <f t="shared" si="57"/>
        <v>1</v>
      </c>
      <c r="H112" s="1">
        <f t="shared" si="57"/>
        <v>1</v>
      </c>
      <c r="I112" s="1">
        <f t="shared" si="57"/>
        <v>1</v>
      </c>
      <c r="J112" s="1">
        <f t="shared" si="57"/>
        <v>1</v>
      </c>
      <c r="K112" s="1">
        <f t="shared" si="57"/>
        <v>1</v>
      </c>
      <c r="L112" s="1">
        <f t="shared" si="57"/>
        <v>49</v>
      </c>
      <c r="M112" s="1">
        <f t="shared" si="57"/>
        <v>49</v>
      </c>
      <c r="N112" s="1">
        <f t="shared" si="57"/>
        <v>1</v>
      </c>
      <c r="O112" s="1">
        <f t="shared" si="57"/>
        <v>1</v>
      </c>
      <c r="P112" s="1">
        <f t="shared" si="57"/>
        <v>1</v>
      </c>
      <c r="Q112" s="1">
        <f t="shared" si="57"/>
        <v>1</v>
      </c>
      <c r="R112" s="1">
        <f t="shared" si="57"/>
        <v>1</v>
      </c>
      <c r="S112" s="1">
        <f t="shared" si="57"/>
        <v>1</v>
      </c>
      <c r="T112" s="1">
        <f t="shared" si="57"/>
        <v>49</v>
      </c>
      <c r="U112" s="1">
        <f t="shared" si="57"/>
        <v>1</v>
      </c>
      <c r="V112" s="1">
        <f t="shared" si="57"/>
        <v>1</v>
      </c>
      <c r="W112" s="1">
        <f t="shared" si="57"/>
        <v>49</v>
      </c>
      <c r="X112" s="1">
        <f t="shared" si="57"/>
        <v>1</v>
      </c>
      <c r="Y112" s="1">
        <f t="shared" si="57"/>
        <v>49</v>
      </c>
      <c r="Z112" s="1">
        <f t="shared" si="57"/>
        <v>49</v>
      </c>
      <c r="AA112" s="1">
        <f t="shared" si="57"/>
        <v>1</v>
      </c>
      <c r="AB112" s="1">
        <f t="shared" si="57"/>
        <v>49</v>
      </c>
      <c r="AC112" s="1">
        <f t="shared" si="57"/>
        <v>49</v>
      </c>
      <c r="AD112" s="1">
        <f t="shared" si="57"/>
        <v>1</v>
      </c>
      <c r="AE112" s="1">
        <f t="shared" si="57"/>
        <v>1</v>
      </c>
      <c r="AF112" s="1">
        <f t="shared" si="57"/>
        <v>1</v>
      </c>
      <c r="AG112" s="1">
        <f t="shared" si="57"/>
        <v>1</v>
      </c>
      <c r="AH112" s="1">
        <f t="shared" si="57"/>
        <v>1</v>
      </c>
      <c r="AI112" s="1">
        <f t="shared" si="57"/>
        <v>1</v>
      </c>
      <c r="AJ112" s="1">
        <f t="shared" si="57"/>
        <v>1</v>
      </c>
      <c r="AK112" s="1">
        <f t="shared" si="57"/>
        <v>49</v>
      </c>
      <c r="AL112" s="1">
        <f t="shared" si="57"/>
        <v>1</v>
      </c>
      <c r="AM112" s="1">
        <f t="shared" si="57"/>
        <v>1</v>
      </c>
      <c r="AN112" s="1">
        <f t="shared" si="57"/>
        <v>1</v>
      </c>
      <c r="AO112" s="1">
        <f t="shared" si="57"/>
        <v>1</v>
      </c>
      <c r="AP112" s="1">
        <f t="shared" si="57"/>
        <v>1</v>
      </c>
      <c r="AQ112" s="1">
        <f t="shared" si="57"/>
        <v>1</v>
      </c>
      <c r="AR112" s="1">
        <f t="shared" si="57"/>
        <v>1</v>
      </c>
      <c r="AS112" s="1">
        <f t="shared" si="57"/>
        <v>1</v>
      </c>
      <c r="AT112" s="1">
        <f t="shared" si="57"/>
        <v>1</v>
      </c>
      <c r="AU112" s="1">
        <f t="shared" si="57"/>
        <v>1</v>
      </c>
      <c r="AV112" s="1">
        <f t="shared" si="57"/>
        <v>1</v>
      </c>
      <c r="AW112" s="1">
        <f t="shared" si="57"/>
        <v>1</v>
      </c>
      <c r="AX112" s="1">
        <f t="shared" si="57"/>
        <v>1</v>
      </c>
      <c r="AY112" s="1">
        <f t="shared" si="57"/>
        <v>1</v>
      </c>
      <c r="AZ112" s="1">
        <f t="shared" si="57"/>
        <v>1</v>
      </c>
      <c r="BA112" s="1">
        <f t="shared" si="57"/>
        <v>1</v>
      </c>
      <c r="BB112" s="1">
        <f t="shared" si="57"/>
        <v>1</v>
      </c>
      <c r="BC112" s="1">
        <f t="shared" si="57"/>
        <v>49</v>
      </c>
      <c r="BD112" s="1">
        <f t="shared" si="57"/>
        <v>1</v>
      </c>
      <c r="BE112" s="1">
        <f t="shared" si="57"/>
        <v>1</v>
      </c>
      <c r="BF112" s="1">
        <f t="shared" si="57"/>
        <v>1</v>
      </c>
      <c r="BG112" s="1">
        <f t="shared" si="57"/>
        <v>1</v>
      </c>
      <c r="BH112" s="1">
        <f t="shared" si="57"/>
        <v>49</v>
      </c>
      <c r="BI112" s="1">
        <f t="shared" si="57"/>
        <v>1</v>
      </c>
      <c r="BJ112" s="1">
        <f t="shared" ref="BJ112" si="60">RANK(BJ47,$B47:$BJ47,0)</f>
        <v>1</v>
      </c>
    </row>
    <row r="113" spans="1:62">
      <c r="A113" s="1" t="str">
        <f t="shared" si="4"/>
        <v>   4.1.5) Private security measures</v>
      </c>
      <c r="B113" s="1">
        <f t="shared" si="5"/>
        <v>1</v>
      </c>
      <c r="C113" s="1">
        <f t="shared" si="57"/>
        <v>1</v>
      </c>
      <c r="D113" s="1">
        <f t="shared" si="57"/>
        <v>1</v>
      </c>
      <c r="E113" s="1">
        <f t="shared" si="57"/>
        <v>1</v>
      </c>
      <c r="F113" s="1">
        <f t="shared" si="57"/>
        <v>1</v>
      </c>
      <c r="G113" s="1">
        <f t="shared" si="57"/>
        <v>1</v>
      </c>
      <c r="H113" s="1">
        <f t="shared" si="57"/>
        <v>1</v>
      </c>
      <c r="I113" s="1">
        <f t="shared" si="57"/>
        <v>1</v>
      </c>
      <c r="J113" s="1">
        <f t="shared" si="57"/>
        <v>1</v>
      </c>
      <c r="K113" s="1">
        <f t="shared" si="57"/>
        <v>1</v>
      </c>
      <c r="L113" s="1">
        <f t="shared" si="57"/>
        <v>1</v>
      </c>
      <c r="M113" s="1">
        <f t="shared" si="57"/>
        <v>1</v>
      </c>
      <c r="N113" s="1">
        <f t="shared" si="57"/>
        <v>1</v>
      </c>
      <c r="O113" s="1">
        <f t="shared" si="57"/>
        <v>1</v>
      </c>
      <c r="P113" s="1">
        <f t="shared" si="57"/>
        <v>1</v>
      </c>
      <c r="Q113" s="1">
        <f t="shared" si="57"/>
        <v>1</v>
      </c>
      <c r="R113" s="1">
        <f t="shared" si="57"/>
        <v>1</v>
      </c>
      <c r="S113" s="1">
        <f t="shared" si="57"/>
        <v>1</v>
      </c>
      <c r="T113" s="1">
        <f t="shared" si="57"/>
        <v>1</v>
      </c>
      <c r="U113" s="1">
        <f t="shared" si="57"/>
        <v>1</v>
      </c>
      <c r="V113" s="1">
        <f t="shared" si="57"/>
        <v>1</v>
      </c>
      <c r="W113" s="1">
        <f t="shared" si="57"/>
        <v>56</v>
      </c>
      <c r="X113" s="1">
        <f t="shared" si="57"/>
        <v>56</v>
      </c>
      <c r="Y113" s="1">
        <f t="shared" si="57"/>
        <v>1</v>
      </c>
      <c r="Z113" s="1">
        <f t="shared" si="57"/>
        <v>56</v>
      </c>
      <c r="AA113" s="1">
        <f t="shared" si="57"/>
        <v>1</v>
      </c>
      <c r="AB113" s="1">
        <f t="shared" si="57"/>
        <v>1</v>
      </c>
      <c r="AC113" s="1">
        <f t="shared" si="57"/>
        <v>1</v>
      </c>
      <c r="AD113" s="1">
        <f t="shared" si="57"/>
        <v>1</v>
      </c>
      <c r="AE113" s="1">
        <f t="shared" si="57"/>
        <v>1</v>
      </c>
      <c r="AF113" s="1">
        <f t="shared" si="57"/>
        <v>1</v>
      </c>
      <c r="AG113" s="1">
        <f t="shared" si="57"/>
        <v>1</v>
      </c>
      <c r="AH113" s="1">
        <f t="shared" si="57"/>
        <v>1</v>
      </c>
      <c r="AI113" s="1">
        <f t="shared" si="57"/>
        <v>1</v>
      </c>
      <c r="AJ113" s="1">
        <f t="shared" si="57"/>
        <v>1</v>
      </c>
      <c r="AK113" s="1">
        <f t="shared" si="57"/>
        <v>1</v>
      </c>
      <c r="AL113" s="1">
        <f t="shared" si="57"/>
        <v>1</v>
      </c>
      <c r="AM113" s="1">
        <f t="shared" si="57"/>
        <v>1</v>
      </c>
      <c r="AN113" s="1">
        <f t="shared" si="57"/>
        <v>1</v>
      </c>
      <c r="AO113" s="1">
        <f t="shared" si="57"/>
        <v>1</v>
      </c>
      <c r="AP113" s="1">
        <f t="shared" si="57"/>
        <v>1</v>
      </c>
      <c r="AQ113" s="1">
        <f t="shared" si="57"/>
        <v>1</v>
      </c>
      <c r="AR113" s="1">
        <f t="shared" si="57"/>
        <v>56</v>
      </c>
      <c r="AS113" s="1">
        <f t="shared" si="57"/>
        <v>1</v>
      </c>
      <c r="AT113" s="1">
        <f t="shared" si="57"/>
        <v>1</v>
      </c>
      <c r="AU113" s="1">
        <f t="shared" si="57"/>
        <v>1</v>
      </c>
      <c r="AV113" s="1">
        <f t="shared" si="57"/>
        <v>1</v>
      </c>
      <c r="AW113" s="1">
        <f t="shared" si="57"/>
        <v>1</v>
      </c>
      <c r="AX113" s="1">
        <f t="shared" si="57"/>
        <v>1</v>
      </c>
      <c r="AY113" s="1">
        <f t="shared" si="57"/>
        <v>1</v>
      </c>
      <c r="AZ113" s="1">
        <f t="shared" si="57"/>
        <v>1</v>
      </c>
      <c r="BA113" s="1">
        <f t="shared" si="57"/>
        <v>1</v>
      </c>
      <c r="BB113" s="1">
        <f t="shared" si="57"/>
        <v>1</v>
      </c>
      <c r="BC113" s="1">
        <f t="shared" si="57"/>
        <v>1</v>
      </c>
      <c r="BD113" s="1">
        <f t="shared" si="57"/>
        <v>1</v>
      </c>
      <c r="BE113" s="1">
        <f t="shared" si="57"/>
        <v>1</v>
      </c>
      <c r="BF113" s="1">
        <f t="shared" si="57"/>
        <v>1</v>
      </c>
      <c r="BG113" s="1">
        <f t="shared" si="57"/>
        <v>1</v>
      </c>
      <c r="BH113" s="1">
        <f t="shared" si="57"/>
        <v>56</v>
      </c>
      <c r="BI113" s="1">
        <f t="shared" si="57"/>
        <v>1</v>
      </c>
      <c r="BJ113" s="1">
        <f t="shared" ref="BJ113" si="61">RANK(BJ48,$B48:$BJ48,0)</f>
        <v>1</v>
      </c>
    </row>
    <row r="114" spans="1:62">
      <c r="A114" s="1" t="str">
        <f t="shared" si="4"/>
        <v>   4.1.6) Gun regulation and enforcement</v>
      </c>
      <c r="B114" s="1">
        <f t="shared" si="5"/>
        <v>39</v>
      </c>
      <c r="C114" s="1">
        <f t="shared" si="57"/>
        <v>20</v>
      </c>
      <c r="D114" s="1">
        <f t="shared" si="57"/>
        <v>51</v>
      </c>
      <c r="E114" s="1">
        <f t="shared" si="57"/>
        <v>44</v>
      </c>
      <c r="F114" s="1">
        <f t="shared" si="57"/>
        <v>23</v>
      </c>
      <c r="G114" s="1">
        <f t="shared" si="57"/>
        <v>1</v>
      </c>
      <c r="H114" s="1">
        <f t="shared" si="57"/>
        <v>44</v>
      </c>
      <c r="I114" s="1">
        <f t="shared" si="57"/>
        <v>28</v>
      </c>
      <c r="J114" s="1">
        <f t="shared" si="57"/>
        <v>20</v>
      </c>
      <c r="K114" s="1">
        <f t="shared" si="57"/>
        <v>44</v>
      </c>
      <c r="L114" s="1">
        <f t="shared" si="57"/>
        <v>6</v>
      </c>
      <c r="M114" s="1">
        <f t="shared" si="57"/>
        <v>25</v>
      </c>
      <c r="N114" s="1">
        <f t="shared" si="57"/>
        <v>44</v>
      </c>
      <c r="O114" s="1">
        <f t="shared" si="57"/>
        <v>60</v>
      </c>
      <c r="P114" s="1">
        <f t="shared" si="57"/>
        <v>37</v>
      </c>
      <c r="Q114" s="1">
        <f t="shared" si="57"/>
        <v>12</v>
      </c>
      <c r="R114" s="1">
        <f t="shared" si="57"/>
        <v>25</v>
      </c>
      <c r="S114" s="1">
        <f t="shared" si="57"/>
        <v>30</v>
      </c>
      <c r="T114" s="1">
        <f t="shared" si="57"/>
        <v>1</v>
      </c>
      <c r="U114" s="1">
        <f t="shared" si="57"/>
        <v>7</v>
      </c>
      <c r="V114" s="1">
        <f t="shared" si="57"/>
        <v>54</v>
      </c>
      <c r="W114" s="1">
        <f t="shared" si="57"/>
        <v>19</v>
      </c>
      <c r="X114" s="1">
        <f t="shared" si="57"/>
        <v>58</v>
      </c>
      <c r="Y114" s="1">
        <f t="shared" si="57"/>
        <v>56</v>
      </c>
      <c r="Z114" s="1">
        <f t="shared" si="57"/>
        <v>53</v>
      </c>
      <c r="AA114" s="1">
        <f t="shared" si="57"/>
        <v>12</v>
      </c>
      <c r="AB114" s="1">
        <f t="shared" si="57"/>
        <v>4</v>
      </c>
      <c r="AC114" s="1">
        <f t="shared" si="57"/>
        <v>56</v>
      </c>
      <c r="AD114" s="1">
        <f t="shared" si="57"/>
        <v>7</v>
      </c>
      <c r="AE114" s="1">
        <f t="shared" si="57"/>
        <v>40</v>
      </c>
      <c r="AF114" s="1">
        <f t="shared" si="57"/>
        <v>23</v>
      </c>
      <c r="AG114" s="1">
        <f t="shared" si="57"/>
        <v>51</v>
      </c>
      <c r="AH114" s="1">
        <f t="shared" si="57"/>
        <v>12</v>
      </c>
      <c r="AI114" s="1">
        <f t="shared" si="57"/>
        <v>42</v>
      </c>
      <c r="AJ114" s="1">
        <f t="shared" si="57"/>
        <v>34</v>
      </c>
      <c r="AK114" s="1">
        <f t="shared" si="57"/>
        <v>28</v>
      </c>
      <c r="AL114" s="1">
        <f t="shared" si="57"/>
        <v>37</v>
      </c>
      <c r="AM114" s="1">
        <f t="shared" si="57"/>
        <v>49</v>
      </c>
      <c r="AN114" s="1">
        <f t="shared" si="57"/>
        <v>7</v>
      </c>
      <c r="AO114" s="1">
        <f t="shared" si="57"/>
        <v>43</v>
      </c>
      <c r="AP114" s="1">
        <f t="shared" si="57"/>
        <v>44</v>
      </c>
      <c r="AQ114" s="1">
        <f t="shared" si="57"/>
        <v>32</v>
      </c>
      <c r="AR114" s="1">
        <f t="shared" si="57"/>
        <v>58</v>
      </c>
      <c r="AS114" s="1">
        <f t="shared" si="57"/>
        <v>34</v>
      </c>
      <c r="AT114" s="1">
        <f t="shared" si="57"/>
        <v>40</v>
      </c>
      <c r="AU114" s="1">
        <f t="shared" si="57"/>
        <v>50</v>
      </c>
      <c r="AV114" s="1">
        <f t="shared" si="57"/>
        <v>32</v>
      </c>
      <c r="AW114" s="1">
        <f t="shared" si="57"/>
        <v>12</v>
      </c>
      <c r="AX114" s="1">
        <f t="shared" ref="C114:BI119" si="62">RANK(AX49,$B49:$BI49,0)</f>
        <v>1</v>
      </c>
      <c r="AY114" s="1">
        <f t="shared" si="62"/>
        <v>7</v>
      </c>
      <c r="AZ114" s="1">
        <f t="shared" si="62"/>
        <v>30</v>
      </c>
      <c r="BA114" s="1">
        <f t="shared" si="62"/>
        <v>12</v>
      </c>
      <c r="BB114" s="1">
        <f t="shared" si="62"/>
        <v>5</v>
      </c>
      <c r="BC114" s="1">
        <f t="shared" si="62"/>
        <v>34</v>
      </c>
      <c r="BD114" s="1">
        <f t="shared" si="62"/>
        <v>7</v>
      </c>
      <c r="BE114" s="1">
        <f t="shared" si="62"/>
        <v>25</v>
      </c>
      <c r="BF114" s="1">
        <f t="shared" si="62"/>
        <v>12</v>
      </c>
      <c r="BG114" s="1">
        <f t="shared" si="62"/>
        <v>12</v>
      </c>
      <c r="BH114" s="1">
        <f t="shared" si="62"/>
        <v>20</v>
      </c>
      <c r="BI114" s="1">
        <f t="shared" si="62"/>
        <v>55</v>
      </c>
      <c r="BJ114" s="1">
        <f t="shared" ref="BJ114" si="63">RANK(BJ49,$B49:$BJ49,0)</f>
        <v>7</v>
      </c>
    </row>
    <row r="115" spans="1:62">
      <c r="A115" s="1" t="str">
        <f t="shared" si="4"/>
        <v>   4.1.7) Political stability risk</v>
      </c>
      <c r="B115" s="1">
        <f t="shared" si="5"/>
        <v>40</v>
      </c>
      <c r="C115" s="1">
        <f t="shared" si="62"/>
        <v>10</v>
      </c>
      <c r="D115" s="1">
        <f t="shared" si="62"/>
        <v>23</v>
      </c>
      <c r="E115" s="1">
        <f t="shared" si="62"/>
        <v>53</v>
      </c>
      <c r="F115" s="1">
        <f t="shared" si="62"/>
        <v>23</v>
      </c>
      <c r="G115" s="1">
        <f t="shared" si="62"/>
        <v>47</v>
      </c>
      <c r="H115" s="1">
        <f t="shared" si="62"/>
        <v>26</v>
      </c>
      <c r="I115" s="1">
        <f t="shared" si="62"/>
        <v>19</v>
      </c>
      <c r="J115" s="1">
        <f t="shared" si="62"/>
        <v>32</v>
      </c>
      <c r="K115" s="1">
        <f t="shared" si="62"/>
        <v>42</v>
      </c>
      <c r="L115" s="1">
        <f t="shared" si="62"/>
        <v>60</v>
      </c>
      <c r="M115" s="1">
        <f t="shared" si="62"/>
        <v>53</v>
      </c>
      <c r="N115" s="1">
        <f t="shared" si="62"/>
        <v>10</v>
      </c>
      <c r="O115" s="1">
        <f t="shared" si="62"/>
        <v>10</v>
      </c>
      <c r="P115" s="1">
        <f t="shared" si="62"/>
        <v>19</v>
      </c>
      <c r="Q115" s="1">
        <f t="shared" si="62"/>
        <v>47</v>
      </c>
      <c r="R115" s="1">
        <f t="shared" si="62"/>
        <v>32</v>
      </c>
      <c r="S115" s="1">
        <f t="shared" si="62"/>
        <v>4</v>
      </c>
      <c r="T115" s="1">
        <f t="shared" si="62"/>
        <v>47</v>
      </c>
      <c r="U115" s="1">
        <f t="shared" si="62"/>
        <v>32</v>
      </c>
      <c r="V115" s="1">
        <f t="shared" si="62"/>
        <v>58</v>
      </c>
      <c r="W115" s="1">
        <f t="shared" si="62"/>
        <v>32</v>
      </c>
      <c r="X115" s="1">
        <f t="shared" si="62"/>
        <v>47</v>
      </c>
      <c r="Y115" s="1">
        <f t="shared" si="62"/>
        <v>26</v>
      </c>
      <c r="Z115" s="1">
        <f t="shared" si="62"/>
        <v>53</v>
      </c>
      <c r="AA115" s="1">
        <f t="shared" si="62"/>
        <v>26</v>
      </c>
      <c r="AB115" s="1">
        <f t="shared" si="62"/>
        <v>53</v>
      </c>
      <c r="AC115" s="1">
        <f t="shared" si="62"/>
        <v>26</v>
      </c>
      <c r="AD115" s="1">
        <f t="shared" si="62"/>
        <v>19</v>
      </c>
      <c r="AE115" s="1">
        <f t="shared" si="62"/>
        <v>10</v>
      </c>
      <c r="AF115" s="1">
        <f t="shared" si="62"/>
        <v>23</v>
      </c>
      <c r="AG115" s="1">
        <f t="shared" si="62"/>
        <v>42</v>
      </c>
      <c r="AH115" s="1">
        <f t="shared" si="62"/>
        <v>2</v>
      </c>
      <c r="AI115" s="1">
        <f t="shared" si="62"/>
        <v>42</v>
      </c>
      <c r="AJ115" s="1">
        <f t="shared" si="62"/>
        <v>32</v>
      </c>
      <c r="AK115" s="1">
        <f t="shared" si="62"/>
        <v>53</v>
      </c>
      <c r="AL115" s="1">
        <f t="shared" si="62"/>
        <v>19</v>
      </c>
      <c r="AM115" s="1">
        <f t="shared" si="62"/>
        <v>10</v>
      </c>
      <c r="AN115" s="1">
        <f t="shared" si="62"/>
        <v>4</v>
      </c>
      <c r="AO115" s="1">
        <f t="shared" si="62"/>
        <v>26</v>
      </c>
      <c r="AP115" s="1">
        <f t="shared" si="62"/>
        <v>42</v>
      </c>
      <c r="AQ115" s="1">
        <f t="shared" si="62"/>
        <v>32</v>
      </c>
      <c r="AR115" s="1">
        <f t="shared" si="62"/>
        <v>47</v>
      </c>
      <c r="AS115" s="1">
        <f t="shared" si="62"/>
        <v>32</v>
      </c>
      <c r="AT115" s="1">
        <f t="shared" si="62"/>
        <v>10</v>
      </c>
      <c r="AU115" s="1">
        <f t="shared" si="62"/>
        <v>10</v>
      </c>
      <c r="AV115" s="1">
        <f t="shared" si="62"/>
        <v>32</v>
      </c>
      <c r="AW115" s="1">
        <f t="shared" si="62"/>
        <v>40</v>
      </c>
      <c r="AX115" s="1">
        <f t="shared" si="62"/>
        <v>47</v>
      </c>
      <c r="AY115" s="1">
        <f t="shared" si="62"/>
        <v>10</v>
      </c>
      <c r="AZ115" s="1">
        <f t="shared" si="62"/>
        <v>4</v>
      </c>
      <c r="BA115" s="1">
        <f t="shared" si="62"/>
        <v>2</v>
      </c>
      <c r="BB115" s="1">
        <f t="shared" si="62"/>
        <v>26</v>
      </c>
      <c r="BC115" s="1">
        <f t="shared" si="62"/>
        <v>59</v>
      </c>
      <c r="BD115" s="1">
        <f t="shared" si="62"/>
        <v>4</v>
      </c>
      <c r="BE115" s="1">
        <f t="shared" si="62"/>
        <v>1</v>
      </c>
      <c r="BF115" s="1">
        <f t="shared" si="62"/>
        <v>10</v>
      </c>
      <c r="BG115" s="1">
        <f t="shared" si="62"/>
        <v>4</v>
      </c>
      <c r="BH115" s="1">
        <f t="shared" si="62"/>
        <v>42</v>
      </c>
      <c r="BI115" s="1">
        <f t="shared" si="62"/>
        <v>4</v>
      </c>
      <c r="BJ115" s="1">
        <f t="shared" ref="BJ115" si="64">RANK(BJ50,$B50:$BJ50,0)</f>
        <v>4</v>
      </c>
    </row>
    <row r="116" spans="1:62">
      <c r="A116" s="1" t="str">
        <f t="shared" si="4"/>
        <v>  4.2) Personal security (Outputs)</v>
      </c>
      <c r="B116" s="1">
        <f t="shared" si="5"/>
        <v>10</v>
      </c>
      <c r="C116" s="1">
        <f t="shared" si="62"/>
        <v>12</v>
      </c>
      <c r="D116" s="1">
        <f t="shared" si="62"/>
        <v>36</v>
      </c>
      <c r="E116" s="1">
        <f t="shared" si="62"/>
        <v>50</v>
      </c>
      <c r="F116" s="1">
        <f t="shared" si="62"/>
        <v>19</v>
      </c>
      <c r="G116" s="1">
        <f t="shared" si="62"/>
        <v>29</v>
      </c>
      <c r="H116" s="1">
        <f t="shared" si="62"/>
        <v>58</v>
      </c>
      <c r="I116" s="1">
        <f t="shared" si="62"/>
        <v>15</v>
      </c>
      <c r="J116" s="1">
        <f t="shared" si="62"/>
        <v>39</v>
      </c>
      <c r="K116" s="1">
        <f t="shared" si="62"/>
        <v>47</v>
      </c>
      <c r="L116" s="1">
        <f t="shared" si="62"/>
        <v>59</v>
      </c>
      <c r="M116" s="1">
        <f t="shared" si="62"/>
        <v>40</v>
      </c>
      <c r="N116" s="1">
        <f t="shared" si="62"/>
        <v>27</v>
      </c>
      <c r="O116" s="1">
        <f t="shared" si="62"/>
        <v>21</v>
      </c>
      <c r="P116" s="1">
        <f t="shared" si="62"/>
        <v>44</v>
      </c>
      <c r="Q116" s="1">
        <f t="shared" si="62"/>
        <v>52</v>
      </c>
      <c r="R116" s="1">
        <f t="shared" si="62"/>
        <v>11</v>
      </c>
      <c r="S116" s="1">
        <f t="shared" si="62"/>
        <v>14</v>
      </c>
      <c r="T116" s="1">
        <f t="shared" si="62"/>
        <v>43</v>
      </c>
      <c r="U116" s="1">
        <f t="shared" si="62"/>
        <v>8</v>
      </c>
      <c r="V116" s="1">
        <f t="shared" si="62"/>
        <v>51</v>
      </c>
      <c r="W116" s="1">
        <f t="shared" si="62"/>
        <v>46</v>
      </c>
      <c r="X116" s="1">
        <f t="shared" si="62"/>
        <v>25</v>
      </c>
      <c r="Y116" s="1">
        <f t="shared" si="62"/>
        <v>56</v>
      </c>
      <c r="Z116" s="1">
        <f t="shared" si="62"/>
        <v>60</v>
      </c>
      <c r="AA116" s="1">
        <f t="shared" si="62"/>
        <v>24</v>
      </c>
      <c r="AB116" s="1">
        <f t="shared" si="62"/>
        <v>18</v>
      </c>
      <c r="AC116" s="1">
        <f t="shared" si="62"/>
        <v>49</v>
      </c>
      <c r="AD116" s="1">
        <f t="shared" si="62"/>
        <v>28</v>
      </c>
      <c r="AE116" s="1">
        <f t="shared" si="62"/>
        <v>26</v>
      </c>
      <c r="AF116" s="1">
        <f t="shared" si="62"/>
        <v>17</v>
      </c>
      <c r="AG116" s="1">
        <f t="shared" si="62"/>
        <v>45</v>
      </c>
      <c r="AH116" s="1">
        <f t="shared" si="62"/>
        <v>13</v>
      </c>
      <c r="AI116" s="1">
        <f t="shared" si="62"/>
        <v>57</v>
      </c>
      <c r="AJ116" s="1">
        <f t="shared" si="62"/>
        <v>35</v>
      </c>
      <c r="AK116" s="1">
        <f t="shared" si="62"/>
        <v>55</v>
      </c>
      <c r="AL116" s="1">
        <f t="shared" si="62"/>
        <v>41</v>
      </c>
      <c r="AM116" s="1">
        <f t="shared" si="62"/>
        <v>34</v>
      </c>
      <c r="AN116" s="1">
        <f t="shared" si="62"/>
        <v>6</v>
      </c>
      <c r="AO116" s="1">
        <f t="shared" si="62"/>
        <v>33</v>
      </c>
      <c r="AP116" s="1">
        <f t="shared" si="62"/>
        <v>48</v>
      </c>
      <c r="AQ116" s="1">
        <f t="shared" si="62"/>
        <v>54</v>
      </c>
      <c r="AR116" s="1">
        <f t="shared" si="62"/>
        <v>20</v>
      </c>
      <c r="AS116" s="1">
        <f t="shared" si="62"/>
        <v>38</v>
      </c>
      <c r="AT116" s="1">
        <f t="shared" si="62"/>
        <v>22</v>
      </c>
      <c r="AU116" s="1">
        <f t="shared" si="62"/>
        <v>31</v>
      </c>
      <c r="AV116" s="1">
        <f t="shared" si="62"/>
        <v>53</v>
      </c>
      <c r="AW116" s="1">
        <f t="shared" si="62"/>
        <v>16</v>
      </c>
      <c r="AX116" s="1">
        <f t="shared" si="62"/>
        <v>32</v>
      </c>
      <c r="AY116" s="1">
        <f t="shared" si="62"/>
        <v>1</v>
      </c>
      <c r="AZ116" s="1">
        <f t="shared" si="62"/>
        <v>2</v>
      </c>
      <c r="BA116" s="1">
        <f t="shared" si="62"/>
        <v>23</v>
      </c>
      <c r="BB116" s="1">
        <f t="shared" si="62"/>
        <v>9</v>
      </c>
      <c r="BC116" s="1">
        <f t="shared" si="62"/>
        <v>37</v>
      </c>
      <c r="BD116" s="1">
        <f t="shared" si="62"/>
        <v>7</v>
      </c>
      <c r="BE116" s="1">
        <f t="shared" si="62"/>
        <v>4</v>
      </c>
      <c r="BF116" s="1">
        <f t="shared" si="62"/>
        <v>30</v>
      </c>
      <c r="BG116" s="1">
        <f t="shared" si="62"/>
        <v>3</v>
      </c>
      <c r="BH116" s="1">
        <f t="shared" si="62"/>
        <v>42</v>
      </c>
      <c r="BI116" s="1">
        <f t="shared" si="62"/>
        <v>5</v>
      </c>
      <c r="BJ116" s="1">
        <f t="shared" ref="BJ116" si="65">RANK(BJ51,$B51:$BJ51,0)</f>
        <v>6</v>
      </c>
    </row>
    <row r="117" spans="1:62">
      <c r="A117" s="1" t="str">
        <f t="shared" si="4"/>
        <v>   4.2.1) Prevalence of petty crime</v>
      </c>
      <c r="B117" s="1">
        <f t="shared" si="5"/>
        <v>3</v>
      </c>
      <c r="C117" s="1">
        <f t="shared" si="62"/>
        <v>31</v>
      </c>
      <c r="D117" s="1">
        <f t="shared" si="62"/>
        <v>3</v>
      </c>
      <c r="E117" s="1">
        <f t="shared" si="62"/>
        <v>31</v>
      </c>
      <c r="F117" s="1">
        <f t="shared" si="62"/>
        <v>3</v>
      </c>
      <c r="G117" s="1">
        <f t="shared" si="62"/>
        <v>31</v>
      </c>
      <c r="H117" s="1">
        <f t="shared" si="62"/>
        <v>56</v>
      </c>
      <c r="I117" s="1">
        <f t="shared" si="62"/>
        <v>3</v>
      </c>
      <c r="J117" s="1">
        <f t="shared" si="62"/>
        <v>31</v>
      </c>
      <c r="K117" s="1">
        <f t="shared" si="62"/>
        <v>31</v>
      </c>
      <c r="L117" s="1">
        <f t="shared" si="62"/>
        <v>56</v>
      </c>
      <c r="M117" s="1">
        <f t="shared" si="62"/>
        <v>3</v>
      </c>
      <c r="N117" s="1">
        <f t="shared" si="62"/>
        <v>3</v>
      </c>
      <c r="O117" s="1">
        <f t="shared" si="62"/>
        <v>3</v>
      </c>
      <c r="P117" s="1">
        <f t="shared" si="62"/>
        <v>31</v>
      </c>
      <c r="Q117" s="1">
        <f t="shared" si="62"/>
        <v>31</v>
      </c>
      <c r="R117" s="1">
        <f t="shared" si="62"/>
        <v>3</v>
      </c>
      <c r="S117" s="1">
        <f t="shared" si="62"/>
        <v>3</v>
      </c>
      <c r="T117" s="1">
        <f t="shared" si="62"/>
        <v>50</v>
      </c>
      <c r="U117" s="1">
        <f t="shared" si="62"/>
        <v>3</v>
      </c>
      <c r="V117" s="1">
        <f t="shared" si="62"/>
        <v>31</v>
      </c>
      <c r="W117" s="1">
        <f t="shared" si="62"/>
        <v>50</v>
      </c>
      <c r="X117" s="1">
        <f t="shared" si="62"/>
        <v>3</v>
      </c>
      <c r="Y117" s="1">
        <f t="shared" si="62"/>
        <v>56</v>
      </c>
      <c r="Z117" s="1">
        <f t="shared" si="62"/>
        <v>50</v>
      </c>
      <c r="AA117" s="1">
        <f t="shared" si="62"/>
        <v>31</v>
      </c>
      <c r="AB117" s="1">
        <f t="shared" si="62"/>
        <v>3</v>
      </c>
      <c r="AC117" s="1">
        <f t="shared" si="62"/>
        <v>31</v>
      </c>
      <c r="AD117" s="1">
        <f t="shared" si="62"/>
        <v>31</v>
      </c>
      <c r="AE117" s="1">
        <f t="shared" si="62"/>
        <v>3</v>
      </c>
      <c r="AF117" s="1">
        <f t="shared" si="62"/>
        <v>3</v>
      </c>
      <c r="AG117" s="1">
        <f t="shared" si="62"/>
        <v>31</v>
      </c>
      <c r="AH117" s="1">
        <f t="shared" si="62"/>
        <v>3</v>
      </c>
      <c r="AI117" s="1">
        <f t="shared" si="62"/>
        <v>56</v>
      </c>
      <c r="AJ117" s="1">
        <f t="shared" si="62"/>
        <v>3</v>
      </c>
      <c r="AK117" s="1">
        <f t="shared" si="62"/>
        <v>31</v>
      </c>
      <c r="AL117" s="1">
        <f t="shared" si="62"/>
        <v>50</v>
      </c>
      <c r="AM117" s="1">
        <f t="shared" si="62"/>
        <v>31</v>
      </c>
      <c r="AN117" s="1">
        <f t="shared" si="62"/>
        <v>3</v>
      </c>
      <c r="AO117" s="1">
        <f t="shared" si="62"/>
        <v>3</v>
      </c>
      <c r="AP117" s="1">
        <f t="shared" si="62"/>
        <v>56</v>
      </c>
      <c r="AQ117" s="1">
        <f t="shared" si="62"/>
        <v>50</v>
      </c>
      <c r="AR117" s="1">
        <f t="shared" si="62"/>
        <v>3</v>
      </c>
      <c r="AS117" s="1">
        <f t="shared" si="62"/>
        <v>31</v>
      </c>
      <c r="AT117" s="1">
        <f t="shared" si="62"/>
        <v>3</v>
      </c>
      <c r="AU117" s="1">
        <f t="shared" si="62"/>
        <v>31</v>
      </c>
      <c r="AV117" s="1">
        <f t="shared" si="62"/>
        <v>50</v>
      </c>
      <c r="AW117" s="1">
        <f t="shared" si="62"/>
        <v>3</v>
      </c>
      <c r="AX117" s="1">
        <f t="shared" si="62"/>
        <v>31</v>
      </c>
      <c r="AY117" s="1">
        <f t="shared" si="62"/>
        <v>1</v>
      </c>
      <c r="AZ117" s="1">
        <f t="shared" si="62"/>
        <v>3</v>
      </c>
      <c r="BA117" s="1">
        <f t="shared" si="62"/>
        <v>3</v>
      </c>
      <c r="BB117" s="1">
        <f t="shared" si="62"/>
        <v>3</v>
      </c>
      <c r="BC117" s="1">
        <f t="shared" si="62"/>
        <v>31</v>
      </c>
      <c r="BD117" s="1">
        <f t="shared" si="62"/>
        <v>3</v>
      </c>
      <c r="BE117" s="1">
        <f t="shared" si="62"/>
        <v>1</v>
      </c>
      <c r="BF117" s="1">
        <f t="shared" si="62"/>
        <v>3</v>
      </c>
      <c r="BG117" s="1">
        <f t="shared" si="62"/>
        <v>3</v>
      </c>
      <c r="BH117" s="1">
        <f t="shared" si="62"/>
        <v>31</v>
      </c>
      <c r="BI117" s="1">
        <f t="shared" si="62"/>
        <v>3</v>
      </c>
      <c r="BJ117" s="1">
        <f t="shared" ref="BJ117" si="66">RANK(BJ52,$B52:$BJ52,0)</f>
        <v>3</v>
      </c>
    </row>
    <row r="118" spans="1:62">
      <c r="A118" s="1" t="str">
        <f t="shared" si="4"/>
        <v>   4.2.2) Prevalence of violent crime</v>
      </c>
      <c r="B118" s="1">
        <f t="shared" si="5"/>
        <v>1</v>
      </c>
      <c r="C118" s="1">
        <f t="shared" si="62"/>
        <v>17</v>
      </c>
      <c r="D118" s="1">
        <f t="shared" si="62"/>
        <v>1</v>
      </c>
      <c r="E118" s="1">
        <f t="shared" si="62"/>
        <v>17</v>
      </c>
      <c r="F118" s="1">
        <f t="shared" si="62"/>
        <v>17</v>
      </c>
      <c r="G118" s="1">
        <f t="shared" si="62"/>
        <v>17</v>
      </c>
      <c r="H118" s="1">
        <f t="shared" si="62"/>
        <v>53</v>
      </c>
      <c r="I118" s="1">
        <f t="shared" si="62"/>
        <v>17</v>
      </c>
      <c r="J118" s="1">
        <f t="shared" si="62"/>
        <v>45</v>
      </c>
      <c r="K118" s="1">
        <f t="shared" si="62"/>
        <v>17</v>
      </c>
      <c r="L118" s="1">
        <f t="shared" si="62"/>
        <v>59</v>
      </c>
      <c r="M118" s="1">
        <f t="shared" si="62"/>
        <v>17</v>
      </c>
      <c r="N118" s="1">
        <f t="shared" si="62"/>
        <v>17</v>
      </c>
      <c r="O118" s="1">
        <f t="shared" si="62"/>
        <v>45</v>
      </c>
      <c r="P118" s="1">
        <f t="shared" si="62"/>
        <v>45</v>
      </c>
      <c r="Q118" s="1">
        <f t="shared" si="62"/>
        <v>45</v>
      </c>
      <c r="R118" s="1">
        <f t="shared" si="62"/>
        <v>1</v>
      </c>
      <c r="S118" s="1">
        <f t="shared" si="62"/>
        <v>17</v>
      </c>
      <c r="T118" s="1">
        <f t="shared" si="62"/>
        <v>45</v>
      </c>
      <c r="U118" s="1">
        <f t="shared" si="62"/>
        <v>1</v>
      </c>
      <c r="V118" s="1">
        <f t="shared" si="62"/>
        <v>45</v>
      </c>
      <c r="W118" s="1">
        <f t="shared" si="62"/>
        <v>17</v>
      </c>
      <c r="X118" s="1">
        <f t="shared" si="62"/>
        <v>1</v>
      </c>
      <c r="Y118" s="1">
        <f t="shared" si="62"/>
        <v>53</v>
      </c>
      <c r="Z118" s="1">
        <f t="shared" si="62"/>
        <v>53</v>
      </c>
      <c r="AA118" s="1">
        <f t="shared" si="62"/>
        <v>17</v>
      </c>
      <c r="AB118" s="1">
        <f t="shared" si="62"/>
        <v>1</v>
      </c>
      <c r="AC118" s="1">
        <f t="shared" si="62"/>
        <v>45</v>
      </c>
      <c r="AD118" s="1">
        <f t="shared" si="62"/>
        <v>17</v>
      </c>
      <c r="AE118" s="1">
        <f t="shared" si="62"/>
        <v>17</v>
      </c>
      <c r="AF118" s="1">
        <f t="shared" si="62"/>
        <v>17</v>
      </c>
      <c r="AG118" s="1">
        <f t="shared" si="62"/>
        <v>17</v>
      </c>
      <c r="AH118" s="1">
        <f t="shared" si="62"/>
        <v>1</v>
      </c>
      <c r="AI118" s="1">
        <f t="shared" si="62"/>
        <v>59</v>
      </c>
      <c r="AJ118" s="1">
        <f t="shared" si="62"/>
        <v>17</v>
      </c>
      <c r="AK118" s="1">
        <f t="shared" si="62"/>
        <v>17</v>
      </c>
      <c r="AL118" s="1">
        <f t="shared" si="62"/>
        <v>17</v>
      </c>
      <c r="AM118" s="1">
        <f t="shared" si="62"/>
        <v>17</v>
      </c>
      <c r="AN118" s="1">
        <f t="shared" si="62"/>
        <v>1</v>
      </c>
      <c r="AO118" s="1">
        <f t="shared" si="62"/>
        <v>17</v>
      </c>
      <c r="AP118" s="1">
        <f t="shared" si="62"/>
        <v>53</v>
      </c>
      <c r="AQ118" s="1">
        <f t="shared" si="62"/>
        <v>53</v>
      </c>
      <c r="AR118" s="1">
        <f t="shared" si="62"/>
        <v>1</v>
      </c>
      <c r="AS118" s="1">
        <f t="shared" si="62"/>
        <v>17</v>
      </c>
      <c r="AT118" s="1">
        <f t="shared" si="62"/>
        <v>17</v>
      </c>
      <c r="AU118" s="1">
        <f t="shared" si="62"/>
        <v>45</v>
      </c>
      <c r="AV118" s="1">
        <f t="shared" si="62"/>
        <v>53</v>
      </c>
      <c r="AW118" s="1">
        <f t="shared" si="62"/>
        <v>1</v>
      </c>
      <c r="AX118" s="1">
        <f t="shared" si="62"/>
        <v>17</v>
      </c>
      <c r="AY118" s="1">
        <f t="shared" si="62"/>
        <v>1</v>
      </c>
      <c r="AZ118" s="1">
        <f t="shared" si="62"/>
        <v>1</v>
      </c>
      <c r="BA118" s="1">
        <f t="shared" si="62"/>
        <v>17</v>
      </c>
      <c r="BB118" s="1">
        <f t="shared" si="62"/>
        <v>17</v>
      </c>
      <c r="BC118" s="1">
        <f t="shared" si="62"/>
        <v>17</v>
      </c>
      <c r="BD118" s="1">
        <f t="shared" si="62"/>
        <v>1</v>
      </c>
      <c r="BE118" s="1">
        <f t="shared" si="62"/>
        <v>1</v>
      </c>
      <c r="BF118" s="1">
        <f t="shared" si="62"/>
        <v>17</v>
      </c>
      <c r="BG118" s="1">
        <f t="shared" si="62"/>
        <v>1</v>
      </c>
      <c r="BH118" s="1">
        <f t="shared" si="62"/>
        <v>17</v>
      </c>
      <c r="BI118" s="1">
        <f t="shared" si="62"/>
        <v>1</v>
      </c>
      <c r="BJ118" s="1">
        <f t="shared" ref="BJ118" si="67">RANK(BJ53,$B53:$BJ53,0)</f>
        <v>1</v>
      </c>
    </row>
    <row r="119" spans="1:62">
      <c r="A119" s="1" t="str">
        <f t="shared" si="4"/>
        <v>   4.2.3) Organised crime</v>
      </c>
      <c r="B119" s="1">
        <f t="shared" si="5"/>
        <v>6</v>
      </c>
      <c r="C119" s="1">
        <f t="shared" si="62"/>
        <v>1</v>
      </c>
      <c r="D119" s="1">
        <f t="shared" si="62"/>
        <v>33</v>
      </c>
      <c r="E119" s="1">
        <f t="shared" si="62"/>
        <v>33</v>
      </c>
      <c r="F119" s="1">
        <f t="shared" si="62"/>
        <v>6</v>
      </c>
      <c r="G119" s="1">
        <f t="shared" si="62"/>
        <v>33</v>
      </c>
      <c r="H119" s="1">
        <f t="shared" si="62"/>
        <v>49</v>
      </c>
      <c r="I119" s="1">
        <f t="shared" si="62"/>
        <v>6</v>
      </c>
      <c r="J119" s="1">
        <f t="shared" ref="C119:BI123" si="68">RANK(J54,$B54:$BI54,0)</f>
        <v>33</v>
      </c>
      <c r="K119" s="1">
        <f t="shared" si="68"/>
        <v>33</v>
      </c>
      <c r="L119" s="1">
        <f t="shared" si="68"/>
        <v>59</v>
      </c>
      <c r="M119" s="1">
        <f t="shared" si="68"/>
        <v>49</v>
      </c>
      <c r="N119" s="1">
        <f t="shared" si="68"/>
        <v>6</v>
      </c>
      <c r="O119" s="1">
        <f t="shared" si="68"/>
        <v>6</v>
      </c>
      <c r="P119" s="1">
        <f t="shared" si="68"/>
        <v>33</v>
      </c>
      <c r="Q119" s="1">
        <f t="shared" si="68"/>
        <v>6</v>
      </c>
      <c r="R119" s="1">
        <f t="shared" si="68"/>
        <v>1</v>
      </c>
      <c r="S119" s="1">
        <f t="shared" si="68"/>
        <v>6</v>
      </c>
      <c r="T119" s="1">
        <f t="shared" si="68"/>
        <v>33</v>
      </c>
      <c r="U119" s="1">
        <f t="shared" si="68"/>
        <v>6</v>
      </c>
      <c r="V119" s="1">
        <f t="shared" si="68"/>
        <v>33</v>
      </c>
      <c r="W119" s="1">
        <f t="shared" si="68"/>
        <v>33</v>
      </c>
      <c r="X119" s="1">
        <f t="shared" si="68"/>
        <v>6</v>
      </c>
      <c r="Y119" s="1">
        <f t="shared" si="68"/>
        <v>49</v>
      </c>
      <c r="Z119" s="1">
        <f t="shared" si="68"/>
        <v>49</v>
      </c>
      <c r="AA119" s="1">
        <f t="shared" si="68"/>
        <v>6</v>
      </c>
      <c r="AB119" s="1">
        <f t="shared" si="68"/>
        <v>6</v>
      </c>
      <c r="AC119" s="1">
        <f t="shared" si="68"/>
        <v>49</v>
      </c>
      <c r="AD119" s="1">
        <f t="shared" si="68"/>
        <v>6</v>
      </c>
      <c r="AE119" s="1">
        <f t="shared" si="68"/>
        <v>6</v>
      </c>
      <c r="AF119" s="1">
        <f t="shared" si="68"/>
        <v>6</v>
      </c>
      <c r="AG119" s="1">
        <f t="shared" si="68"/>
        <v>49</v>
      </c>
      <c r="AH119" s="1">
        <f t="shared" si="68"/>
        <v>6</v>
      </c>
      <c r="AI119" s="1">
        <f t="shared" si="68"/>
        <v>59</v>
      </c>
      <c r="AJ119" s="1">
        <f t="shared" si="68"/>
        <v>49</v>
      </c>
      <c r="AK119" s="1">
        <f t="shared" si="68"/>
        <v>49</v>
      </c>
      <c r="AL119" s="1">
        <f t="shared" si="68"/>
        <v>33</v>
      </c>
      <c r="AM119" s="1">
        <f t="shared" si="68"/>
        <v>6</v>
      </c>
      <c r="AN119" s="1">
        <f t="shared" si="68"/>
        <v>33</v>
      </c>
      <c r="AO119" s="1">
        <f t="shared" si="68"/>
        <v>6</v>
      </c>
      <c r="AP119" s="1">
        <f t="shared" si="68"/>
        <v>33</v>
      </c>
      <c r="AQ119" s="1">
        <f t="shared" si="68"/>
        <v>33</v>
      </c>
      <c r="AR119" s="1">
        <f t="shared" si="68"/>
        <v>6</v>
      </c>
      <c r="AS119" s="1">
        <f t="shared" si="68"/>
        <v>49</v>
      </c>
      <c r="AT119" s="1">
        <f t="shared" si="68"/>
        <v>6</v>
      </c>
      <c r="AU119" s="1">
        <f t="shared" si="68"/>
        <v>6</v>
      </c>
      <c r="AV119" s="1">
        <f t="shared" si="68"/>
        <v>33</v>
      </c>
      <c r="AW119" s="1">
        <f t="shared" si="68"/>
        <v>6</v>
      </c>
      <c r="AX119" s="1">
        <f t="shared" si="68"/>
        <v>33</v>
      </c>
      <c r="AY119" s="1">
        <f t="shared" si="68"/>
        <v>1</v>
      </c>
      <c r="AZ119" s="1">
        <f t="shared" si="68"/>
        <v>1</v>
      </c>
      <c r="BA119" s="1">
        <f t="shared" si="68"/>
        <v>6</v>
      </c>
      <c r="BB119" s="1">
        <f t="shared" si="68"/>
        <v>6</v>
      </c>
      <c r="BC119" s="1">
        <f t="shared" si="68"/>
        <v>6</v>
      </c>
      <c r="BD119" s="1">
        <f t="shared" si="68"/>
        <v>33</v>
      </c>
      <c r="BE119" s="1">
        <f t="shared" si="68"/>
        <v>6</v>
      </c>
      <c r="BF119" s="1">
        <f t="shared" si="68"/>
        <v>6</v>
      </c>
      <c r="BG119" s="1">
        <f t="shared" si="68"/>
        <v>1</v>
      </c>
      <c r="BH119" s="1">
        <f t="shared" si="68"/>
        <v>49</v>
      </c>
      <c r="BI119" s="1">
        <f t="shared" si="68"/>
        <v>6</v>
      </c>
      <c r="BJ119" s="1">
        <f t="shared" ref="BJ119" si="69">RANK(BJ54,$B54:$BJ54,0)</f>
        <v>33</v>
      </c>
    </row>
    <row r="120" spans="1:62">
      <c r="A120" s="1" t="str">
        <f t="shared" si="4"/>
        <v>   4.2.4) Level of corruption</v>
      </c>
      <c r="B120" s="1">
        <f t="shared" si="5"/>
        <v>22</v>
      </c>
      <c r="C120" s="1">
        <f t="shared" si="68"/>
        <v>5</v>
      </c>
      <c r="D120" s="1">
        <f t="shared" si="68"/>
        <v>35</v>
      </c>
      <c r="E120" s="1">
        <f t="shared" si="68"/>
        <v>48</v>
      </c>
      <c r="F120" s="1">
        <f t="shared" si="68"/>
        <v>26</v>
      </c>
      <c r="G120" s="1">
        <f t="shared" si="68"/>
        <v>38</v>
      </c>
      <c r="H120" s="1">
        <f t="shared" si="68"/>
        <v>44</v>
      </c>
      <c r="I120" s="1">
        <f t="shared" si="68"/>
        <v>11</v>
      </c>
      <c r="J120" s="1">
        <f t="shared" si="68"/>
        <v>47</v>
      </c>
      <c r="K120" s="1">
        <f t="shared" si="68"/>
        <v>51</v>
      </c>
      <c r="L120" s="1">
        <f t="shared" si="68"/>
        <v>60</v>
      </c>
      <c r="M120" s="1">
        <f t="shared" si="68"/>
        <v>44</v>
      </c>
      <c r="N120" s="1">
        <f t="shared" si="68"/>
        <v>13</v>
      </c>
      <c r="O120" s="1">
        <f t="shared" si="68"/>
        <v>13</v>
      </c>
      <c r="P120" s="1">
        <f t="shared" si="68"/>
        <v>38</v>
      </c>
      <c r="Q120" s="1">
        <f t="shared" si="68"/>
        <v>59</v>
      </c>
      <c r="R120" s="1">
        <f t="shared" si="68"/>
        <v>24</v>
      </c>
      <c r="S120" s="1">
        <f t="shared" si="68"/>
        <v>7</v>
      </c>
      <c r="T120" s="1">
        <f t="shared" si="68"/>
        <v>52</v>
      </c>
      <c r="U120" s="1">
        <f t="shared" si="68"/>
        <v>11</v>
      </c>
      <c r="V120" s="1">
        <f t="shared" si="68"/>
        <v>36</v>
      </c>
      <c r="W120" s="1">
        <f t="shared" si="68"/>
        <v>44</v>
      </c>
      <c r="X120" s="1">
        <f t="shared" si="68"/>
        <v>32</v>
      </c>
      <c r="Y120" s="1">
        <f t="shared" si="68"/>
        <v>34</v>
      </c>
      <c r="Z120" s="1">
        <f t="shared" si="68"/>
        <v>53</v>
      </c>
      <c r="AA120" s="1">
        <f t="shared" si="68"/>
        <v>29</v>
      </c>
      <c r="AB120" s="1">
        <f t="shared" si="68"/>
        <v>36</v>
      </c>
      <c r="AC120" s="1">
        <f t="shared" si="68"/>
        <v>48</v>
      </c>
      <c r="AD120" s="1">
        <f t="shared" si="68"/>
        <v>7</v>
      </c>
      <c r="AE120" s="1">
        <f t="shared" si="68"/>
        <v>13</v>
      </c>
      <c r="AF120" s="1">
        <f t="shared" si="68"/>
        <v>26</v>
      </c>
      <c r="AG120" s="1">
        <f t="shared" si="68"/>
        <v>48</v>
      </c>
      <c r="AH120" s="1">
        <f t="shared" si="68"/>
        <v>9</v>
      </c>
      <c r="AI120" s="1">
        <f t="shared" si="68"/>
        <v>55</v>
      </c>
      <c r="AJ120" s="1">
        <f t="shared" si="68"/>
        <v>30</v>
      </c>
      <c r="AK120" s="1">
        <f t="shared" si="68"/>
        <v>56</v>
      </c>
      <c r="AL120" s="1">
        <f t="shared" si="68"/>
        <v>38</v>
      </c>
      <c r="AM120" s="1">
        <f t="shared" si="68"/>
        <v>13</v>
      </c>
      <c r="AN120" s="1">
        <f t="shared" si="68"/>
        <v>19</v>
      </c>
      <c r="AO120" s="1">
        <f t="shared" si="68"/>
        <v>21</v>
      </c>
      <c r="AP120" s="1">
        <f t="shared" si="68"/>
        <v>54</v>
      </c>
      <c r="AQ120" s="1">
        <f t="shared" si="68"/>
        <v>38</v>
      </c>
      <c r="AR120" s="1">
        <f t="shared" si="68"/>
        <v>32</v>
      </c>
      <c r="AS120" s="1">
        <f t="shared" si="68"/>
        <v>30</v>
      </c>
      <c r="AT120" s="1">
        <f t="shared" si="68"/>
        <v>13</v>
      </c>
      <c r="AU120" s="1">
        <f t="shared" si="68"/>
        <v>22</v>
      </c>
      <c r="AV120" s="1">
        <f t="shared" si="68"/>
        <v>38</v>
      </c>
      <c r="AW120" s="1">
        <f t="shared" si="68"/>
        <v>28</v>
      </c>
      <c r="AX120" s="1">
        <f t="shared" si="68"/>
        <v>38</v>
      </c>
      <c r="AY120" s="1">
        <f t="shared" si="68"/>
        <v>4</v>
      </c>
      <c r="AZ120" s="1">
        <f t="shared" si="68"/>
        <v>2</v>
      </c>
      <c r="BA120" s="1">
        <f t="shared" si="68"/>
        <v>9</v>
      </c>
      <c r="BB120" s="1">
        <f t="shared" si="68"/>
        <v>24</v>
      </c>
      <c r="BC120" s="1">
        <f t="shared" si="68"/>
        <v>56</v>
      </c>
      <c r="BD120" s="1">
        <f t="shared" si="68"/>
        <v>19</v>
      </c>
      <c r="BE120" s="1">
        <f t="shared" si="68"/>
        <v>6</v>
      </c>
      <c r="BF120" s="1">
        <f t="shared" si="68"/>
        <v>13</v>
      </c>
      <c r="BG120" s="1">
        <f t="shared" si="68"/>
        <v>1</v>
      </c>
      <c r="BH120" s="1">
        <f t="shared" si="68"/>
        <v>58</v>
      </c>
      <c r="BI120" s="1">
        <f t="shared" si="68"/>
        <v>3</v>
      </c>
      <c r="BJ120" s="1">
        <f t="shared" ref="BJ120" si="70">RANK(BJ55,$B55:$BJ55,0)</f>
        <v>19</v>
      </c>
    </row>
    <row r="121" spans="1:62">
      <c r="A121" s="1" t="str">
        <f t="shared" si="4"/>
        <v>   4.2.5) Rate of drug use </v>
      </c>
      <c r="B121" s="1">
        <f t="shared" si="5"/>
        <v>28</v>
      </c>
      <c r="C121" s="1">
        <f t="shared" si="68"/>
        <v>51</v>
      </c>
      <c r="D121" s="1">
        <f t="shared" si="68"/>
        <v>18</v>
      </c>
      <c r="E121" s="1">
        <f t="shared" si="68"/>
        <v>19</v>
      </c>
      <c r="F121" s="1">
        <f t="shared" si="68"/>
        <v>48</v>
      </c>
      <c r="G121" s="1">
        <f t="shared" si="68"/>
        <v>1</v>
      </c>
      <c r="H121" s="1">
        <f t="shared" si="68"/>
        <v>26</v>
      </c>
      <c r="I121" s="1">
        <f t="shared" si="68"/>
        <v>33</v>
      </c>
      <c r="J121" s="1">
        <f t="shared" si="68"/>
        <v>31</v>
      </c>
      <c r="K121" s="1">
        <f t="shared" si="68"/>
        <v>36</v>
      </c>
      <c r="L121" s="1">
        <f t="shared" si="68"/>
        <v>27</v>
      </c>
      <c r="M121" s="1">
        <f t="shared" si="68"/>
        <v>25</v>
      </c>
      <c r="N121" s="1">
        <f t="shared" si="68"/>
        <v>44</v>
      </c>
      <c r="O121" s="1">
        <f t="shared" si="68"/>
        <v>34</v>
      </c>
      <c r="P121" s="1">
        <f t="shared" si="68"/>
        <v>29</v>
      </c>
      <c r="Q121" s="1">
        <f t="shared" si="68"/>
        <v>24</v>
      </c>
      <c r="R121" s="1">
        <f t="shared" si="68"/>
        <v>17</v>
      </c>
      <c r="S121" s="1">
        <f t="shared" si="68"/>
        <v>47</v>
      </c>
      <c r="T121" s="1">
        <f t="shared" si="68"/>
        <v>9</v>
      </c>
      <c r="U121" s="1">
        <f t="shared" si="68"/>
        <v>10</v>
      </c>
      <c r="V121" s="1">
        <f t="shared" si="68"/>
        <v>32</v>
      </c>
      <c r="W121" s="1">
        <f t="shared" si="68"/>
        <v>12</v>
      </c>
      <c r="X121" s="1">
        <f t="shared" si="68"/>
        <v>7</v>
      </c>
      <c r="Y121" s="1">
        <f t="shared" si="68"/>
        <v>35</v>
      </c>
      <c r="Z121" s="1">
        <f t="shared" si="68"/>
        <v>42</v>
      </c>
      <c r="AA121" s="1">
        <f t="shared" si="68"/>
        <v>22</v>
      </c>
      <c r="AB121" s="1">
        <f t="shared" si="68"/>
        <v>23</v>
      </c>
      <c r="AC121" s="1">
        <f t="shared" si="68"/>
        <v>21</v>
      </c>
      <c r="AD121" s="1">
        <f t="shared" si="68"/>
        <v>46</v>
      </c>
      <c r="AE121" s="1">
        <f t="shared" si="68"/>
        <v>45</v>
      </c>
      <c r="AF121" s="1">
        <f t="shared" si="68"/>
        <v>48</v>
      </c>
      <c r="AG121" s="1">
        <f t="shared" si="68"/>
        <v>20</v>
      </c>
      <c r="AH121" s="1">
        <f t="shared" si="68"/>
        <v>59</v>
      </c>
      <c r="AI121" s="1">
        <f t="shared" si="68"/>
        <v>16</v>
      </c>
      <c r="AJ121" s="1">
        <f t="shared" si="68"/>
        <v>57</v>
      </c>
      <c r="AK121" s="1">
        <f t="shared" si="68"/>
        <v>41</v>
      </c>
      <c r="AL121" s="1">
        <f t="shared" si="68"/>
        <v>29</v>
      </c>
      <c r="AM121" s="1">
        <f t="shared" si="68"/>
        <v>43</v>
      </c>
      <c r="AN121" s="1">
        <f t="shared" si="68"/>
        <v>5</v>
      </c>
      <c r="AO121" s="1">
        <f t="shared" si="68"/>
        <v>50</v>
      </c>
      <c r="AP121" s="1">
        <f t="shared" si="68"/>
        <v>15</v>
      </c>
      <c r="AQ121" s="1">
        <f t="shared" si="68"/>
        <v>39</v>
      </c>
      <c r="AR121" s="1">
        <f t="shared" si="68"/>
        <v>7</v>
      </c>
      <c r="AS121" s="1">
        <f t="shared" si="68"/>
        <v>57</v>
      </c>
      <c r="AT121" s="1">
        <f t="shared" si="68"/>
        <v>56</v>
      </c>
      <c r="AU121" s="1">
        <f t="shared" si="68"/>
        <v>53</v>
      </c>
      <c r="AV121" s="1">
        <f t="shared" si="68"/>
        <v>39</v>
      </c>
      <c r="AW121" s="1">
        <f t="shared" si="68"/>
        <v>3</v>
      </c>
      <c r="AX121" s="1">
        <f t="shared" si="68"/>
        <v>1</v>
      </c>
      <c r="AY121" s="1">
        <f t="shared" si="68"/>
        <v>4</v>
      </c>
      <c r="AZ121" s="1">
        <f t="shared" si="68"/>
        <v>37</v>
      </c>
      <c r="BA121" s="1">
        <f t="shared" si="68"/>
        <v>59</v>
      </c>
      <c r="BB121" s="1">
        <f t="shared" si="68"/>
        <v>11</v>
      </c>
      <c r="BC121" s="1">
        <f t="shared" si="68"/>
        <v>14</v>
      </c>
      <c r="BD121" s="1">
        <f t="shared" si="68"/>
        <v>5</v>
      </c>
      <c r="BE121" s="1">
        <f t="shared" si="68"/>
        <v>54</v>
      </c>
      <c r="BF121" s="1">
        <f t="shared" si="68"/>
        <v>52</v>
      </c>
      <c r="BG121" s="1">
        <f t="shared" si="68"/>
        <v>55</v>
      </c>
      <c r="BH121" s="1">
        <f t="shared" si="68"/>
        <v>13</v>
      </c>
      <c r="BI121" s="1">
        <f t="shared" si="68"/>
        <v>38</v>
      </c>
      <c r="BJ121" s="1">
        <f t="shared" ref="BJ121" si="71">RANK(BJ56,$B56:$BJ56,0)</f>
        <v>5</v>
      </c>
    </row>
    <row r="122" spans="1:62">
      <c r="A122" s="1" t="str">
        <f t="shared" si="4"/>
        <v>   4.2.6) Frequency of terrorist attacks </v>
      </c>
      <c r="B122" s="1">
        <f t="shared" si="5"/>
        <v>14</v>
      </c>
      <c r="C122" s="1">
        <f t="shared" si="68"/>
        <v>7</v>
      </c>
      <c r="D122" s="1">
        <f t="shared" si="68"/>
        <v>58</v>
      </c>
      <c r="E122" s="1">
        <f t="shared" si="68"/>
        <v>57</v>
      </c>
      <c r="F122" s="1">
        <f t="shared" si="68"/>
        <v>1</v>
      </c>
      <c r="G122" s="1">
        <f t="shared" si="68"/>
        <v>22</v>
      </c>
      <c r="H122" s="1">
        <f t="shared" si="68"/>
        <v>54</v>
      </c>
      <c r="I122" s="1">
        <f t="shared" si="68"/>
        <v>36</v>
      </c>
      <c r="J122" s="1">
        <f t="shared" si="68"/>
        <v>36</v>
      </c>
      <c r="K122" s="1">
        <f t="shared" si="68"/>
        <v>56</v>
      </c>
      <c r="L122" s="1">
        <f t="shared" si="68"/>
        <v>39</v>
      </c>
      <c r="M122" s="1">
        <f t="shared" si="68"/>
        <v>32</v>
      </c>
      <c r="N122" s="1">
        <f t="shared" si="68"/>
        <v>1</v>
      </c>
      <c r="O122" s="1">
        <f t="shared" si="68"/>
        <v>14</v>
      </c>
      <c r="P122" s="1">
        <f t="shared" si="68"/>
        <v>49</v>
      </c>
      <c r="Q122" s="1">
        <f t="shared" si="68"/>
        <v>59</v>
      </c>
      <c r="R122" s="1">
        <f t="shared" si="68"/>
        <v>7</v>
      </c>
      <c r="S122" s="1">
        <f t="shared" si="68"/>
        <v>14</v>
      </c>
      <c r="T122" s="1">
        <f t="shared" si="68"/>
        <v>1</v>
      </c>
      <c r="U122" s="1">
        <f t="shared" si="68"/>
        <v>25</v>
      </c>
      <c r="V122" s="1">
        <f t="shared" si="68"/>
        <v>55</v>
      </c>
      <c r="W122" s="1">
        <f t="shared" si="68"/>
        <v>46</v>
      </c>
      <c r="X122" s="1">
        <f t="shared" si="68"/>
        <v>28</v>
      </c>
      <c r="Y122" s="1">
        <f t="shared" si="68"/>
        <v>22</v>
      </c>
      <c r="Z122" s="1">
        <f t="shared" si="68"/>
        <v>60</v>
      </c>
      <c r="AA122" s="1">
        <f t="shared" si="68"/>
        <v>25</v>
      </c>
      <c r="AB122" s="1">
        <f t="shared" si="68"/>
        <v>7</v>
      </c>
      <c r="AC122" s="1">
        <f t="shared" si="68"/>
        <v>22</v>
      </c>
      <c r="AD122" s="1">
        <f t="shared" si="68"/>
        <v>45</v>
      </c>
      <c r="AE122" s="1">
        <f t="shared" si="68"/>
        <v>32</v>
      </c>
      <c r="AF122" s="1">
        <f t="shared" si="68"/>
        <v>28</v>
      </c>
      <c r="AG122" s="1">
        <f t="shared" si="68"/>
        <v>52</v>
      </c>
      <c r="AH122" s="1">
        <f t="shared" si="68"/>
        <v>14</v>
      </c>
      <c r="AI122" s="1">
        <f t="shared" si="68"/>
        <v>43</v>
      </c>
      <c r="AJ122" s="1">
        <f t="shared" si="68"/>
        <v>36</v>
      </c>
      <c r="AK122" s="1">
        <f t="shared" si="68"/>
        <v>51</v>
      </c>
      <c r="AL122" s="1">
        <f t="shared" si="68"/>
        <v>41</v>
      </c>
      <c r="AM122" s="1">
        <f t="shared" si="68"/>
        <v>46</v>
      </c>
      <c r="AN122" s="1">
        <f t="shared" si="68"/>
        <v>1</v>
      </c>
      <c r="AO122" s="1">
        <f t="shared" si="68"/>
        <v>49</v>
      </c>
      <c r="AP122" s="1">
        <f t="shared" si="68"/>
        <v>7</v>
      </c>
      <c r="AQ122" s="1">
        <f t="shared" si="68"/>
        <v>1</v>
      </c>
      <c r="AR122" s="1">
        <f t="shared" si="68"/>
        <v>44</v>
      </c>
      <c r="AS122" s="1">
        <f t="shared" si="68"/>
        <v>42</v>
      </c>
      <c r="AT122" s="1">
        <f t="shared" si="68"/>
        <v>7</v>
      </c>
      <c r="AU122" s="1">
        <f t="shared" si="68"/>
        <v>53</v>
      </c>
      <c r="AV122" s="1">
        <f t="shared" si="68"/>
        <v>14</v>
      </c>
      <c r="AW122" s="1">
        <f t="shared" si="68"/>
        <v>7</v>
      </c>
      <c r="AX122" s="1">
        <f t="shared" si="68"/>
        <v>7</v>
      </c>
      <c r="AY122" s="1">
        <f t="shared" si="68"/>
        <v>1</v>
      </c>
      <c r="AZ122" s="1">
        <f t="shared" si="68"/>
        <v>28</v>
      </c>
      <c r="BA122" s="1">
        <f t="shared" si="68"/>
        <v>25</v>
      </c>
      <c r="BB122" s="1">
        <f t="shared" si="68"/>
        <v>14</v>
      </c>
      <c r="BC122" s="1">
        <f t="shared" si="68"/>
        <v>40</v>
      </c>
      <c r="BD122" s="1">
        <f t="shared" si="68"/>
        <v>35</v>
      </c>
      <c r="BE122" s="1">
        <f t="shared" si="68"/>
        <v>14</v>
      </c>
      <c r="BF122" s="1">
        <f t="shared" si="68"/>
        <v>32</v>
      </c>
      <c r="BG122" s="1">
        <f t="shared" si="68"/>
        <v>28</v>
      </c>
      <c r="BH122" s="1">
        <f t="shared" si="68"/>
        <v>48</v>
      </c>
      <c r="BI122" s="1">
        <f t="shared" si="68"/>
        <v>14</v>
      </c>
      <c r="BJ122" s="1">
        <f t="shared" ref="BJ122" si="72">RANK(BJ57,$B57:$BJ57,0)</f>
        <v>1</v>
      </c>
    </row>
    <row r="123" spans="1:62">
      <c r="A123" s="1" t="str">
        <f t="shared" si="4"/>
        <v>   4.2.7) Severity of terrorist attacks</v>
      </c>
      <c r="B123" s="1">
        <f t="shared" si="5"/>
        <v>15</v>
      </c>
      <c r="C123" s="1">
        <f t="shared" si="68"/>
        <v>1</v>
      </c>
      <c r="D123" s="1">
        <f t="shared" si="68"/>
        <v>40</v>
      </c>
      <c r="E123" s="1">
        <f t="shared" si="68"/>
        <v>57</v>
      </c>
      <c r="F123" s="1">
        <f t="shared" si="68"/>
        <v>1</v>
      </c>
      <c r="G123" s="1">
        <f t="shared" si="68"/>
        <v>43</v>
      </c>
      <c r="H123" s="1">
        <f t="shared" si="68"/>
        <v>51</v>
      </c>
      <c r="I123" s="1">
        <f t="shared" si="68"/>
        <v>50</v>
      </c>
      <c r="J123" s="1">
        <f t="shared" si="68"/>
        <v>20</v>
      </c>
      <c r="K123" s="1">
        <f t="shared" si="68"/>
        <v>55</v>
      </c>
      <c r="L123" s="1">
        <f t="shared" si="68"/>
        <v>32</v>
      </c>
      <c r="M123" s="1">
        <f t="shared" si="68"/>
        <v>39</v>
      </c>
      <c r="N123" s="1">
        <f t="shared" si="68"/>
        <v>1</v>
      </c>
      <c r="O123" s="1">
        <f t="shared" si="68"/>
        <v>35</v>
      </c>
      <c r="P123" s="1">
        <f t="shared" si="68"/>
        <v>52</v>
      </c>
      <c r="Q123" s="1">
        <f t="shared" si="68"/>
        <v>56</v>
      </c>
      <c r="R123" s="1">
        <f t="shared" si="68"/>
        <v>15</v>
      </c>
      <c r="S123" s="1">
        <f t="shared" si="68"/>
        <v>25</v>
      </c>
      <c r="T123" s="1">
        <f t="shared" si="68"/>
        <v>1</v>
      </c>
      <c r="U123" s="1">
        <f t="shared" si="68"/>
        <v>46</v>
      </c>
      <c r="V123" s="1">
        <f t="shared" si="68"/>
        <v>59</v>
      </c>
      <c r="W123" s="1">
        <f t="shared" si="68"/>
        <v>48</v>
      </c>
      <c r="X123" s="1">
        <f t="shared" si="68"/>
        <v>33</v>
      </c>
      <c r="Y123" s="1">
        <f t="shared" si="68"/>
        <v>26</v>
      </c>
      <c r="Z123" s="1">
        <f t="shared" si="68"/>
        <v>60</v>
      </c>
      <c r="AA123" s="1">
        <f t="shared" si="68"/>
        <v>1</v>
      </c>
      <c r="AB123" s="1">
        <f t="shared" si="68"/>
        <v>53</v>
      </c>
      <c r="AC123" s="1">
        <f t="shared" ref="C123:BI127" si="73">RANK(AC58,$B58:$BI58,0)</f>
        <v>28</v>
      </c>
      <c r="AD123" s="1">
        <f t="shared" si="73"/>
        <v>36</v>
      </c>
      <c r="AE123" s="1">
        <f t="shared" si="73"/>
        <v>26</v>
      </c>
      <c r="AF123" s="1">
        <f t="shared" si="73"/>
        <v>15</v>
      </c>
      <c r="AG123" s="1">
        <f t="shared" si="73"/>
        <v>42</v>
      </c>
      <c r="AH123" s="1">
        <f t="shared" si="73"/>
        <v>22</v>
      </c>
      <c r="AI123" s="1">
        <f t="shared" si="73"/>
        <v>49</v>
      </c>
      <c r="AJ123" s="1">
        <f t="shared" si="73"/>
        <v>28</v>
      </c>
      <c r="AK123" s="1">
        <f t="shared" si="73"/>
        <v>45</v>
      </c>
      <c r="AL123" s="1">
        <f t="shared" si="73"/>
        <v>58</v>
      </c>
      <c r="AM123" s="1">
        <f t="shared" si="73"/>
        <v>41</v>
      </c>
      <c r="AN123" s="1">
        <f t="shared" si="73"/>
        <v>1</v>
      </c>
      <c r="AO123" s="1">
        <f t="shared" si="73"/>
        <v>54</v>
      </c>
      <c r="AP123" s="1">
        <f t="shared" si="73"/>
        <v>1</v>
      </c>
      <c r="AQ123" s="1">
        <f t="shared" si="73"/>
        <v>1</v>
      </c>
      <c r="AR123" s="1">
        <f t="shared" si="73"/>
        <v>38</v>
      </c>
      <c r="AS123" s="1">
        <f t="shared" si="73"/>
        <v>28</v>
      </c>
      <c r="AT123" s="1">
        <f t="shared" si="73"/>
        <v>1</v>
      </c>
      <c r="AU123" s="1">
        <f t="shared" si="73"/>
        <v>37</v>
      </c>
      <c r="AV123" s="1">
        <f t="shared" si="73"/>
        <v>1</v>
      </c>
      <c r="AW123" s="1">
        <f t="shared" si="73"/>
        <v>15</v>
      </c>
      <c r="AX123" s="1">
        <f t="shared" si="73"/>
        <v>34</v>
      </c>
      <c r="AY123" s="1">
        <f t="shared" si="73"/>
        <v>1</v>
      </c>
      <c r="AZ123" s="1">
        <f t="shared" si="73"/>
        <v>22</v>
      </c>
      <c r="BA123" s="1">
        <f t="shared" si="73"/>
        <v>31</v>
      </c>
      <c r="BB123" s="1">
        <f t="shared" si="73"/>
        <v>15</v>
      </c>
      <c r="BC123" s="1">
        <f t="shared" si="73"/>
        <v>47</v>
      </c>
      <c r="BD123" s="1">
        <f t="shared" si="73"/>
        <v>1</v>
      </c>
      <c r="BE123" s="1">
        <f t="shared" si="73"/>
        <v>22</v>
      </c>
      <c r="BF123" s="1">
        <f t="shared" si="73"/>
        <v>20</v>
      </c>
      <c r="BG123" s="1">
        <f t="shared" si="73"/>
        <v>1</v>
      </c>
      <c r="BH123" s="1">
        <f t="shared" si="73"/>
        <v>44</v>
      </c>
      <c r="BI123" s="1">
        <f t="shared" si="73"/>
        <v>1</v>
      </c>
      <c r="BJ123" s="1">
        <f t="shared" ref="BJ123" si="74">RANK(BJ58,$B58:$BJ58,0)</f>
        <v>1</v>
      </c>
    </row>
    <row r="124" spans="1:62">
      <c r="A124" s="1" t="str">
        <f t="shared" si="4"/>
        <v>   4.2.8) Gender safety</v>
      </c>
      <c r="B124" s="1">
        <f t="shared" si="5"/>
        <v>15</v>
      </c>
      <c r="C124" s="1">
        <f t="shared" si="73"/>
        <v>8</v>
      </c>
      <c r="D124" s="1">
        <f t="shared" si="73"/>
        <v>27</v>
      </c>
      <c r="E124" s="1">
        <f t="shared" si="73"/>
        <v>33</v>
      </c>
      <c r="F124" s="1">
        <f t="shared" si="73"/>
        <v>9</v>
      </c>
      <c r="G124" s="1">
        <f t="shared" si="73"/>
        <v>11</v>
      </c>
      <c r="H124" s="1">
        <f t="shared" si="73"/>
        <v>60</v>
      </c>
      <c r="I124" s="1">
        <f t="shared" si="73"/>
        <v>28</v>
      </c>
      <c r="J124" s="1">
        <f t="shared" si="73"/>
        <v>34</v>
      </c>
      <c r="K124" s="1">
        <f t="shared" si="73"/>
        <v>46</v>
      </c>
      <c r="L124" s="1">
        <f t="shared" si="73"/>
        <v>58</v>
      </c>
      <c r="M124" s="1">
        <f t="shared" si="73"/>
        <v>13</v>
      </c>
      <c r="N124" s="1">
        <f t="shared" si="73"/>
        <v>49</v>
      </c>
      <c r="O124" s="1">
        <f t="shared" si="73"/>
        <v>43</v>
      </c>
      <c r="P124" s="1">
        <f t="shared" si="73"/>
        <v>40</v>
      </c>
      <c r="Q124" s="1">
        <f t="shared" si="73"/>
        <v>42</v>
      </c>
      <c r="R124" s="1">
        <f t="shared" si="73"/>
        <v>50</v>
      </c>
      <c r="S124" s="1">
        <f t="shared" si="73"/>
        <v>18</v>
      </c>
      <c r="T124" s="1">
        <f t="shared" si="73"/>
        <v>19</v>
      </c>
      <c r="U124" s="1">
        <f t="shared" si="73"/>
        <v>3</v>
      </c>
      <c r="V124" s="1">
        <f t="shared" si="73"/>
        <v>16</v>
      </c>
      <c r="W124" s="1">
        <f t="shared" si="73"/>
        <v>35</v>
      </c>
      <c r="X124" s="1">
        <f t="shared" si="73"/>
        <v>44</v>
      </c>
      <c r="Y124" s="1">
        <f t="shared" si="73"/>
        <v>59</v>
      </c>
      <c r="Z124" s="1">
        <f t="shared" si="73"/>
        <v>53</v>
      </c>
      <c r="AA124" s="1">
        <f t="shared" si="73"/>
        <v>39</v>
      </c>
      <c r="AB124" s="1">
        <f t="shared" si="73"/>
        <v>25</v>
      </c>
      <c r="AC124" s="1">
        <f t="shared" si="73"/>
        <v>57</v>
      </c>
      <c r="AD124" s="1">
        <f t="shared" si="73"/>
        <v>23</v>
      </c>
      <c r="AE124" s="1">
        <f t="shared" si="73"/>
        <v>36</v>
      </c>
      <c r="AF124" s="1">
        <f t="shared" si="73"/>
        <v>9</v>
      </c>
      <c r="AG124" s="1">
        <f t="shared" si="73"/>
        <v>47</v>
      </c>
      <c r="AH124" s="1">
        <f t="shared" si="73"/>
        <v>20</v>
      </c>
      <c r="AI124" s="1">
        <f t="shared" si="73"/>
        <v>52</v>
      </c>
      <c r="AJ124" s="1">
        <f t="shared" si="73"/>
        <v>5</v>
      </c>
      <c r="AK124" s="1">
        <f t="shared" si="73"/>
        <v>54</v>
      </c>
      <c r="AL124" s="1">
        <f t="shared" si="73"/>
        <v>40</v>
      </c>
      <c r="AM124" s="1">
        <f t="shared" si="73"/>
        <v>29</v>
      </c>
      <c r="AN124" s="1">
        <f t="shared" si="73"/>
        <v>1</v>
      </c>
      <c r="AO124" s="1">
        <f t="shared" si="73"/>
        <v>14</v>
      </c>
      <c r="AP124" s="1">
        <f t="shared" si="73"/>
        <v>48</v>
      </c>
      <c r="AQ124" s="1">
        <f t="shared" si="73"/>
        <v>55</v>
      </c>
      <c r="AR124" s="1">
        <f t="shared" si="73"/>
        <v>44</v>
      </c>
      <c r="AS124" s="1">
        <f t="shared" si="73"/>
        <v>5</v>
      </c>
      <c r="AT124" s="1">
        <f t="shared" si="73"/>
        <v>36</v>
      </c>
      <c r="AU124" s="1">
        <f t="shared" si="73"/>
        <v>30</v>
      </c>
      <c r="AV124" s="1">
        <f t="shared" si="73"/>
        <v>55</v>
      </c>
      <c r="AW124" s="1">
        <f t="shared" si="73"/>
        <v>31</v>
      </c>
      <c r="AX124" s="1">
        <f t="shared" si="73"/>
        <v>11</v>
      </c>
      <c r="AY124" s="1">
        <f t="shared" si="73"/>
        <v>4</v>
      </c>
      <c r="AZ124" s="1">
        <f t="shared" si="73"/>
        <v>7</v>
      </c>
      <c r="BA124" s="1">
        <f t="shared" si="73"/>
        <v>20</v>
      </c>
      <c r="BB124" s="1">
        <f t="shared" si="73"/>
        <v>26</v>
      </c>
      <c r="BC124" s="1">
        <f t="shared" si="73"/>
        <v>32</v>
      </c>
      <c r="BD124" s="1">
        <f t="shared" si="73"/>
        <v>1</v>
      </c>
      <c r="BE124" s="1">
        <f t="shared" si="73"/>
        <v>24</v>
      </c>
      <c r="BF124" s="1">
        <f t="shared" si="73"/>
        <v>51</v>
      </c>
      <c r="BG124" s="1">
        <f t="shared" si="73"/>
        <v>22</v>
      </c>
      <c r="BH124" s="1">
        <f t="shared" si="73"/>
        <v>38</v>
      </c>
      <c r="BI124" s="1">
        <f t="shared" si="73"/>
        <v>17</v>
      </c>
      <c r="BJ124" s="1">
        <f t="shared" ref="BJ124" si="75">RANK(BJ59,$B59:$BJ59,0)</f>
        <v>1</v>
      </c>
    </row>
    <row r="125" spans="1:62">
      <c r="A125" s="1" t="str">
        <f t="shared" si="4"/>
        <v>   4.2.9) Perceptions of safety</v>
      </c>
      <c r="B125" s="1">
        <f t="shared" si="5"/>
        <v>1</v>
      </c>
      <c r="C125" s="1">
        <f t="shared" si="73"/>
        <v>14</v>
      </c>
      <c r="D125" s="1">
        <f t="shared" si="73"/>
        <v>33</v>
      </c>
      <c r="E125" s="1">
        <f t="shared" si="73"/>
        <v>30</v>
      </c>
      <c r="F125" s="1">
        <f t="shared" si="73"/>
        <v>19</v>
      </c>
      <c r="G125" s="1">
        <f t="shared" si="73"/>
        <v>22</v>
      </c>
      <c r="H125" s="1">
        <f t="shared" si="73"/>
        <v>49</v>
      </c>
      <c r="I125" s="1">
        <f t="shared" si="73"/>
        <v>38</v>
      </c>
      <c r="J125" s="1">
        <f t="shared" si="73"/>
        <v>48</v>
      </c>
      <c r="K125" s="1">
        <f t="shared" si="73"/>
        <v>43</v>
      </c>
      <c r="L125" s="1">
        <f t="shared" si="73"/>
        <v>60</v>
      </c>
      <c r="M125" s="1">
        <f t="shared" si="73"/>
        <v>37</v>
      </c>
      <c r="N125" s="1">
        <f t="shared" si="73"/>
        <v>52</v>
      </c>
      <c r="O125" s="1">
        <f t="shared" si="73"/>
        <v>23</v>
      </c>
      <c r="P125" s="1">
        <f t="shared" si="73"/>
        <v>46</v>
      </c>
      <c r="Q125" s="1">
        <f t="shared" si="73"/>
        <v>55</v>
      </c>
      <c r="R125" s="1">
        <f t="shared" si="73"/>
        <v>3</v>
      </c>
      <c r="S125" s="1">
        <f t="shared" si="73"/>
        <v>18</v>
      </c>
      <c r="T125" s="1">
        <f t="shared" si="73"/>
        <v>45</v>
      </c>
      <c r="U125" s="1">
        <f t="shared" si="73"/>
        <v>8</v>
      </c>
      <c r="V125" s="1">
        <f t="shared" si="73"/>
        <v>31</v>
      </c>
      <c r="W125" s="1">
        <f t="shared" si="73"/>
        <v>36</v>
      </c>
      <c r="X125" s="1">
        <f t="shared" si="73"/>
        <v>9</v>
      </c>
      <c r="Y125" s="1">
        <f t="shared" si="73"/>
        <v>59</v>
      </c>
      <c r="Z125" s="1">
        <f t="shared" si="73"/>
        <v>50</v>
      </c>
      <c r="AA125" s="1">
        <f t="shared" si="73"/>
        <v>56</v>
      </c>
      <c r="AB125" s="1">
        <f t="shared" si="73"/>
        <v>15</v>
      </c>
      <c r="AC125" s="1">
        <f t="shared" si="73"/>
        <v>54</v>
      </c>
      <c r="AD125" s="1">
        <f t="shared" si="73"/>
        <v>26</v>
      </c>
      <c r="AE125" s="1">
        <f t="shared" si="73"/>
        <v>39</v>
      </c>
      <c r="AF125" s="1">
        <f t="shared" si="73"/>
        <v>13</v>
      </c>
      <c r="AG125" s="1">
        <f t="shared" si="73"/>
        <v>47</v>
      </c>
      <c r="AH125" s="1">
        <f t="shared" si="73"/>
        <v>21</v>
      </c>
      <c r="AI125" s="1">
        <f t="shared" si="73"/>
        <v>53</v>
      </c>
      <c r="AJ125" s="1">
        <f t="shared" si="73"/>
        <v>27</v>
      </c>
      <c r="AK125" s="1">
        <f t="shared" si="73"/>
        <v>24</v>
      </c>
      <c r="AL125" s="1">
        <f t="shared" si="73"/>
        <v>29</v>
      </c>
      <c r="AM125" s="1">
        <f t="shared" si="73"/>
        <v>28</v>
      </c>
      <c r="AN125" s="1">
        <f t="shared" si="73"/>
        <v>6</v>
      </c>
      <c r="AO125" s="1">
        <f t="shared" si="73"/>
        <v>35</v>
      </c>
      <c r="AP125" s="1">
        <f t="shared" si="73"/>
        <v>40</v>
      </c>
      <c r="AQ125" s="1">
        <f t="shared" si="73"/>
        <v>58</v>
      </c>
      <c r="AR125" s="1">
        <f t="shared" si="73"/>
        <v>9</v>
      </c>
      <c r="AS125" s="1">
        <f t="shared" si="73"/>
        <v>42</v>
      </c>
      <c r="AT125" s="1">
        <f t="shared" si="73"/>
        <v>32</v>
      </c>
      <c r="AU125" s="1">
        <f t="shared" si="73"/>
        <v>34</v>
      </c>
      <c r="AV125" s="1">
        <f t="shared" si="73"/>
        <v>57</v>
      </c>
      <c r="AW125" s="1">
        <f t="shared" si="73"/>
        <v>11</v>
      </c>
      <c r="AX125" s="1">
        <f t="shared" si="73"/>
        <v>16</v>
      </c>
      <c r="AY125" s="1">
        <f t="shared" si="73"/>
        <v>4</v>
      </c>
      <c r="AZ125" s="1">
        <f t="shared" si="73"/>
        <v>25</v>
      </c>
      <c r="BA125" s="1">
        <f t="shared" si="73"/>
        <v>20</v>
      </c>
      <c r="BB125" s="1">
        <f t="shared" si="73"/>
        <v>2</v>
      </c>
      <c r="BC125" s="1">
        <f t="shared" si="73"/>
        <v>41</v>
      </c>
      <c r="BD125" s="1">
        <f t="shared" si="73"/>
        <v>6</v>
      </c>
      <c r="BE125" s="1">
        <f t="shared" si="73"/>
        <v>17</v>
      </c>
      <c r="BF125" s="1">
        <f t="shared" si="73"/>
        <v>51</v>
      </c>
      <c r="BG125" s="1">
        <f t="shared" si="73"/>
        <v>12</v>
      </c>
      <c r="BH125" s="1">
        <f t="shared" si="73"/>
        <v>44</v>
      </c>
      <c r="BI125" s="1">
        <f t="shared" si="73"/>
        <v>5</v>
      </c>
      <c r="BJ125" s="1">
        <f t="shared" ref="BJ125" si="76">RANK(BJ60,$B60:$BJ60,0)</f>
        <v>6</v>
      </c>
    </row>
    <row r="126" spans="1:62">
      <c r="A126" s="1" t="str">
        <f t="shared" si="4"/>
        <v>   4.2.10) Threat of terrorism</v>
      </c>
      <c r="B126" s="1">
        <f t="shared" si="5"/>
        <v>11</v>
      </c>
      <c r="C126" s="1">
        <f t="shared" si="73"/>
        <v>11</v>
      </c>
      <c r="D126" s="1">
        <f t="shared" si="73"/>
        <v>11</v>
      </c>
      <c r="E126" s="1">
        <f t="shared" si="73"/>
        <v>54</v>
      </c>
      <c r="F126" s="1">
        <f t="shared" si="73"/>
        <v>11</v>
      </c>
      <c r="G126" s="1">
        <f t="shared" si="73"/>
        <v>1</v>
      </c>
      <c r="H126" s="1">
        <f t="shared" si="73"/>
        <v>41</v>
      </c>
      <c r="I126" s="1">
        <f t="shared" si="73"/>
        <v>41</v>
      </c>
      <c r="J126" s="1">
        <f t="shared" si="73"/>
        <v>11</v>
      </c>
      <c r="K126" s="1">
        <f t="shared" si="73"/>
        <v>41</v>
      </c>
      <c r="L126" s="1">
        <f t="shared" si="73"/>
        <v>11</v>
      </c>
      <c r="M126" s="1">
        <f t="shared" si="73"/>
        <v>41</v>
      </c>
      <c r="N126" s="1">
        <f t="shared" si="73"/>
        <v>11</v>
      </c>
      <c r="O126" s="1">
        <f t="shared" si="73"/>
        <v>11</v>
      </c>
      <c r="P126" s="1">
        <f t="shared" si="73"/>
        <v>41</v>
      </c>
      <c r="Q126" s="1">
        <f t="shared" si="73"/>
        <v>54</v>
      </c>
      <c r="R126" s="1">
        <f t="shared" si="73"/>
        <v>11</v>
      </c>
      <c r="S126" s="1">
        <f t="shared" si="73"/>
        <v>11</v>
      </c>
      <c r="T126" s="1">
        <f t="shared" si="73"/>
        <v>11</v>
      </c>
      <c r="U126" s="1">
        <f t="shared" si="73"/>
        <v>1</v>
      </c>
      <c r="V126" s="1">
        <f t="shared" si="73"/>
        <v>54</v>
      </c>
      <c r="W126" s="1">
        <f t="shared" si="73"/>
        <v>54</v>
      </c>
      <c r="X126" s="1">
        <f t="shared" si="73"/>
        <v>54</v>
      </c>
      <c r="Y126" s="1">
        <f t="shared" si="73"/>
        <v>11</v>
      </c>
      <c r="Z126" s="1">
        <f t="shared" si="73"/>
        <v>60</v>
      </c>
      <c r="AA126" s="1">
        <f t="shared" si="73"/>
        <v>11</v>
      </c>
      <c r="AB126" s="1">
        <f t="shared" si="73"/>
        <v>11</v>
      </c>
      <c r="AC126" s="1">
        <f t="shared" si="73"/>
        <v>11</v>
      </c>
      <c r="AD126" s="1">
        <f t="shared" si="73"/>
        <v>41</v>
      </c>
      <c r="AE126" s="1">
        <f t="shared" si="73"/>
        <v>11</v>
      </c>
      <c r="AF126" s="1">
        <f t="shared" si="73"/>
        <v>11</v>
      </c>
      <c r="AG126" s="1">
        <f t="shared" si="73"/>
        <v>41</v>
      </c>
      <c r="AH126" s="1">
        <f t="shared" si="73"/>
        <v>1</v>
      </c>
      <c r="AI126" s="1">
        <f t="shared" si="73"/>
        <v>41</v>
      </c>
      <c r="AJ126" s="1">
        <f t="shared" si="73"/>
        <v>1</v>
      </c>
      <c r="AK126" s="1">
        <f t="shared" si="73"/>
        <v>41</v>
      </c>
      <c r="AL126" s="1">
        <f t="shared" si="73"/>
        <v>41</v>
      </c>
      <c r="AM126" s="1">
        <f t="shared" si="73"/>
        <v>41</v>
      </c>
      <c r="AN126" s="1">
        <f t="shared" si="73"/>
        <v>11</v>
      </c>
      <c r="AO126" s="1">
        <f t="shared" si="73"/>
        <v>54</v>
      </c>
      <c r="AP126" s="1">
        <f t="shared" si="73"/>
        <v>11</v>
      </c>
      <c r="AQ126" s="1">
        <f t="shared" si="73"/>
        <v>11</v>
      </c>
      <c r="AR126" s="1">
        <f t="shared" si="73"/>
        <v>41</v>
      </c>
      <c r="AS126" s="1">
        <f t="shared" si="73"/>
        <v>11</v>
      </c>
      <c r="AT126" s="1">
        <f t="shared" si="73"/>
        <v>11</v>
      </c>
      <c r="AU126" s="1">
        <f t="shared" si="73"/>
        <v>1</v>
      </c>
      <c r="AV126" s="1">
        <f t="shared" si="73"/>
        <v>11</v>
      </c>
      <c r="AW126" s="1">
        <f t="shared" si="73"/>
        <v>11</v>
      </c>
      <c r="AX126" s="1">
        <f t="shared" si="73"/>
        <v>1</v>
      </c>
      <c r="AY126" s="1">
        <f t="shared" si="73"/>
        <v>11</v>
      </c>
      <c r="AZ126" s="1">
        <f t="shared" si="73"/>
        <v>1</v>
      </c>
      <c r="BA126" s="1">
        <f t="shared" si="73"/>
        <v>11</v>
      </c>
      <c r="BB126" s="1">
        <f t="shared" si="73"/>
        <v>1</v>
      </c>
      <c r="BC126" s="1">
        <f t="shared" si="73"/>
        <v>41</v>
      </c>
      <c r="BD126" s="1">
        <f t="shared" si="73"/>
        <v>11</v>
      </c>
      <c r="BE126" s="1">
        <f t="shared" si="73"/>
        <v>1</v>
      </c>
      <c r="BF126" s="1">
        <f t="shared" si="73"/>
        <v>11</v>
      </c>
      <c r="BG126" s="1">
        <f t="shared" si="73"/>
        <v>1</v>
      </c>
      <c r="BH126" s="1">
        <f t="shared" si="73"/>
        <v>11</v>
      </c>
      <c r="BI126" s="1">
        <f t="shared" si="73"/>
        <v>11</v>
      </c>
      <c r="BJ126" s="1">
        <f t="shared" ref="BJ126" si="77">RANK(BJ61,$B61:$BJ61,0)</f>
        <v>11</v>
      </c>
    </row>
    <row r="127" spans="1:62">
      <c r="A127" s="1" t="str">
        <f t="shared" si="4"/>
        <v>   4.2.11) Threat of military conflict</v>
      </c>
      <c r="B127" s="1">
        <f t="shared" si="5"/>
        <v>1</v>
      </c>
      <c r="C127" s="1">
        <f t="shared" si="73"/>
        <v>1</v>
      </c>
      <c r="D127" s="1">
        <f t="shared" si="73"/>
        <v>37</v>
      </c>
      <c r="E127" s="1">
        <f t="shared" si="73"/>
        <v>55</v>
      </c>
      <c r="F127" s="1">
        <f t="shared" si="73"/>
        <v>1</v>
      </c>
      <c r="G127" s="1">
        <f t="shared" si="73"/>
        <v>37</v>
      </c>
      <c r="H127" s="1">
        <f t="shared" si="73"/>
        <v>55</v>
      </c>
      <c r="I127" s="1">
        <f t="shared" si="73"/>
        <v>1</v>
      </c>
      <c r="J127" s="1">
        <f t="shared" si="73"/>
        <v>1</v>
      </c>
      <c r="K127" s="1">
        <f t="shared" si="73"/>
        <v>37</v>
      </c>
      <c r="L127" s="1">
        <f t="shared" si="73"/>
        <v>37</v>
      </c>
      <c r="M127" s="1">
        <f t="shared" si="73"/>
        <v>37</v>
      </c>
      <c r="N127" s="1">
        <f t="shared" si="73"/>
        <v>1</v>
      </c>
      <c r="O127" s="1">
        <f t="shared" si="73"/>
        <v>1</v>
      </c>
      <c r="P127" s="1">
        <f t="shared" si="73"/>
        <v>37</v>
      </c>
      <c r="Q127" s="1">
        <f t="shared" si="73"/>
        <v>37</v>
      </c>
      <c r="R127" s="1">
        <f t="shared" si="73"/>
        <v>37</v>
      </c>
      <c r="S127" s="1">
        <f t="shared" si="73"/>
        <v>1</v>
      </c>
      <c r="T127" s="1">
        <f t="shared" si="73"/>
        <v>37</v>
      </c>
      <c r="U127" s="1">
        <f t="shared" si="73"/>
        <v>1</v>
      </c>
      <c r="V127" s="1">
        <f t="shared" si="73"/>
        <v>55</v>
      </c>
      <c r="W127" s="1">
        <f t="shared" si="73"/>
        <v>1</v>
      </c>
      <c r="X127" s="1">
        <f t="shared" si="73"/>
        <v>37</v>
      </c>
      <c r="Y127" s="1">
        <f t="shared" si="73"/>
        <v>1</v>
      </c>
      <c r="Z127" s="1">
        <f t="shared" si="73"/>
        <v>60</v>
      </c>
      <c r="AA127" s="1">
        <f t="shared" si="73"/>
        <v>1</v>
      </c>
      <c r="AB127" s="1">
        <f t="shared" si="73"/>
        <v>37</v>
      </c>
      <c r="AC127" s="1">
        <f t="shared" si="73"/>
        <v>37</v>
      </c>
      <c r="AD127" s="1">
        <f t="shared" si="73"/>
        <v>1</v>
      </c>
      <c r="AE127" s="1">
        <f t="shared" si="73"/>
        <v>1</v>
      </c>
      <c r="AF127" s="1">
        <f t="shared" si="73"/>
        <v>1</v>
      </c>
      <c r="AG127" s="1">
        <f t="shared" si="73"/>
        <v>37</v>
      </c>
      <c r="AH127" s="1">
        <f t="shared" si="73"/>
        <v>1</v>
      </c>
      <c r="AI127" s="1">
        <f t="shared" si="73"/>
        <v>1</v>
      </c>
      <c r="AJ127" s="1">
        <f t="shared" si="73"/>
        <v>1</v>
      </c>
      <c r="AK127" s="1">
        <f t="shared" si="73"/>
        <v>55</v>
      </c>
      <c r="AL127" s="1">
        <f t="shared" si="73"/>
        <v>37</v>
      </c>
      <c r="AM127" s="1">
        <f t="shared" si="73"/>
        <v>1</v>
      </c>
      <c r="AN127" s="1">
        <f t="shared" si="73"/>
        <v>1</v>
      </c>
      <c r="AO127" s="1">
        <f t="shared" si="73"/>
        <v>1</v>
      </c>
      <c r="AP127" s="1">
        <f t="shared" si="73"/>
        <v>1</v>
      </c>
      <c r="AQ127" s="1">
        <f t="shared" si="73"/>
        <v>1</v>
      </c>
      <c r="AR127" s="1">
        <f t="shared" si="73"/>
        <v>37</v>
      </c>
      <c r="AS127" s="1">
        <f t="shared" si="73"/>
        <v>1</v>
      </c>
      <c r="AT127" s="1">
        <f t="shared" si="73"/>
        <v>1</v>
      </c>
      <c r="AU127" s="1">
        <f t="shared" si="73"/>
        <v>1</v>
      </c>
      <c r="AV127" s="1">
        <f t="shared" ref="C127:BI128" si="78">RANK(AV62,$B62:$BI62,0)</f>
        <v>1</v>
      </c>
      <c r="AW127" s="1">
        <f t="shared" si="78"/>
        <v>55</v>
      </c>
      <c r="AX127" s="1">
        <f t="shared" si="78"/>
        <v>37</v>
      </c>
      <c r="AY127" s="1">
        <f t="shared" si="78"/>
        <v>1</v>
      </c>
      <c r="AZ127" s="1">
        <f t="shared" si="78"/>
        <v>1</v>
      </c>
      <c r="BA127" s="1">
        <f t="shared" si="78"/>
        <v>1</v>
      </c>
      <c r="BB127" s="1">
        <f t="shared" si="78"/>
        <v>1</v>
      </c>
      <c r="BC127" s="1">
        <f t="shared" si="78"/>
        <v>37</v>
      </c>
      <c r="BD127" s="1">
        <f t="shared" si="78"/>
        <v>1</v>
      </c>
      <c r="BE127" s="1">
        <f t="shared" si="78"/>
        <v>1</v>
      </c>
      <c r="BF127" s="1">
        <f t="shared" si="78"/>
        <v>1</v>
      </c>
      <c r="BG127" s="1">
        <f t="shared" si="78"/>
        <v>1</v>
      </c>
      <c r="BH127" s="1">
        <f t="shared" si="78"/>
        <v>37</v>
      </c>
      <c r="BI127" s="1">
        <f t="shared" si="78"/>
        <v>1</v>
      </c>
      <c r="BJ127" s="1">
        <f t="shared" ref="BJ127" si="79">RANK(BJ62,$B62:$BJ62,0)</f>
        <v>1</v>
      </c>
    </row>
    <row r="128" spans="1:62">
      <c r="A128" s="1" t="str">
        <f t="shared" si="4"/>
        <v>   4.2.12) Threat of civil unrest</v>
      </c>
      <c r="B128" s="1">
        <f t="shared" si="5"/>
        <v>12</v>
      </c>
      <c r="C128" s="1">
        <f t="shared" si="78"/>
        <v>12</v>
      </c>
      <c r="D128" s="1">
        <f t="shared" si="78"/>
        <v>36</v>
      </c>
      <c r="E128" s="1">
        <f t="shared" si="78"/>
        <v>56</v>
      </c>
      <c r="F128" s="1">
        <f t="shared" si="78"/>
        <v>12</v>
      </c>
      <c r="G128" s="1">
        <f t="shared" si="78"/>
        <v>12</v>
      </c>
      <c r="H128" s="1">
        <f t="shared" si="78"/>
        <v>36</v>
      </c>
      <c r="I128" s="1">
        <f t="shared" si="78"/>
        <v>1</v>
      </c>
      <c r="J128" s="1">
        <f t="shared" si="78"/>
        <v>36</v>
      </c>
      <c r="K128" s="1">
        <f t="shared" si="78"/>
        <v>56</v>
      </c>
      <c r="L128" s="1">
        <f t="shared" si="78"/>
        <v>56</v>
      </c>
      <c r="M128" s="1">
        <f t="shared" si="78"/>
        <v>36</v>
      </c>
      <c r="N128" s="1">
        <f t="shared" si="78"/>
        <v>12</v>
      </c>
      <c r="O128" s="1">
        <f t="shared" si="78"/>
        <v>12</v>
      </c>
      <c r="P128" s="1">
        <f t="shared" si="78"/>
        <v>36</v>
      </c>
      <c r="Q128" s="1">
        <f t="shared" si="78"/>
        <v>36</v>
      </c>
      <c r="R128" s="1">
        <f t="shared" si="78"/>
        <v>12</v>
      </c>
      <c r="S128" s="1">
        <f t="shared" si="78"/>
        <v>12</v>
      </c>
      <c r="T128" s="1">
        <f t="shared" si="78"/>
        <v>36</v>
      </c>
      <c r="U128" s="1">
        <f t="shared" si="78"/>
        <v>36</v>
      </c>
      <c r="V128" s="1">
        <f t="shared" si="78"/>
        <v>36</v>
      </c>
      <c r="W128" s="1">
        <f t="shared" si="78"/>
        <v>56</v>
      </c>
      <c r="X128" s="1">
        <f t="shared" si="78"/>
        <v>12</v>
      </c>
      <c r="Y128" s="1">
        <f t="shared" si="78"/>
        <v>12</v>
      </c>
      <c r="Z128" s="1">
        <f t="shared" si="78"/>
        <v>56</v>
      </c>
      <c r="AA128" s="1">
        <f t="shared" si="78"/>
        <v>1</v>
      </c>
      <c r="AB128" s="1">
        <f t="shared" si="78"/>
        <v>12</v>
      </c>
      <c r="AC128" s="1">
        <f t="shared" si="78"/>
        <v>36</v>
      </c>
      <c r="AD128" s="1">
        <f t="shared" si="78"/>
        <v>12</v>
      </c>
      <c r="AE128" s="1">
        <f t="shared" si="78"/>
        <v>36</v>
      </c>
      <c r="AF128" s="1">
        <f t="shared" si="78"/>
        <v>12</v>
      </c>
      <c r="AG128" s="1">
        <f t="shared" si="78"/>
        <v>36</v>
      </c>
      <c r="AH128" s="1">
        <f t="shared" si="78"/>
        <v>1</v>
      </c>
      <c r="AI128" s="1">
        <f t="shared" si="78"/>
        <v>36</v>
      </c>
      <c r="AJ128" s="1">
        <f t="shared" si="78"/>
        <v>12</v>
      </c>
      <c r="AK128" s="1">
        <f t="shared" si="78"/>
        <v>36</v>
      </c>
      <c r="AL128" s="1">
        <f t="shared" si="78"/>
        <v>12</v>
      </c>
      <c r="AM128" s="1">
        <f t="shared" si="78"/>
        <v>36</v>
      </c>
      <c r="AN128" s="1">
        <f t="shared" si="78"/>
        <v>1</v>
      </c>
      <c r="AO128" s="1">
        <f t="shared" si="78"/>
        <v>12</v>
      </c>
      <c r="AP128" s="1">
        <f t="shared" si="78"/>
        <v>36</v>
      </c>
      <c r="AQ128" s="1">
        <f t="shared" si="78"/>
        <v>36</v>
      </c>
      <c r="AR128" s="1">
        <f t="shared" si="78"/>
        <v>12</v>
      </c>
      <c r="AS128" s="1">
        <f t="shared" si="78"/>
        <v>12</v>
      </c>
      <c r="AT128" s="1">
        <f t="shared" si="78"/>
        <v>12</v>
      </c>
      <c r="AU128" s="1">
        <f t="shared" si="78"/>
        <v>12</v>
      </c>
      <c r="AV128" s="1">
        <f t="shared" si="78"/>
        <v>36</v>
      </c>
      <c r="AW128" s="1">
        <f t="shared" si="78"/>
        <v>12</v>
      </c>
      <c r="AX128" s="1">
        <f t="shared" si="78"/>
        <v>36</v>
      </c>
      <c r="AY128" s="1">
        <f t="shared" si="78"/>
        <v>1</v>
      </c>
      <c r="AZ128" s="1">
        <f t="shared" si="78"/>
        <v>1</v>
      </c>
      <c r="BA128" s="1">
        <f t="shared" si="78"/>
        <v>1</v>
      </c>
      <c r="BB128" s="1">
        <f t="shared" si="78"/>
        <v>12</v>
      </c>
      <c r="BC128" s="1">
        <f t="shared" si="78"/>
        <v>12</v>
      </c>
      <c r="BD128" s="1">
        <f t="shared" si="78"/>
        <v>1</v>
      </c>
      <c r="BE128" s="1">
        <f t="shared" si="78"/>
        <v>1</v>
      </c>
      <c r="BF128" s="1">
        <f t="shared" si="78"/>
        <v>12</v>
      </c>
      <c r="BG128" s="1">
        <f t="shared" si="78"/>
        <v>1</v>
      </c>
      <c r="BH128" s="1">
        <f t="shared" si="78"/>
        <v>36</v>
      </c>
      <c r="BI128" s="1">
        <f t="shared" si="78"/>
        <v>1</v>
      </c>
      <c r="BJ128" s="1">
        <f t="shared" ref="BJ128" si="80">RANK(BJ63,$B63:$BJ63,0)</f>
        <v>1</v>
      </c>
    </row>
    <row r="132" spans="1:62">
      <c r="A132" s="1" t="str">
        <f t="shared" ref="A132:A142" si="81">A67</f>
        <v>OVERALL SCORE</v>
      </c>
      <c r="B132" s="1">
        <f t="shared" ref="B132:AG132" si="82">COUNTIF($B67:$BJ67,B67)</f>
        <v>1</v>
      </c>
      <c r="C132" s="1">
        <f t="shared" si="82"/>
        <v>1</v>
      </c>
      <c r="D132" s="1">
        <f t="shared" si="82"/>
        <v>1</v>
      </c>
      <c r="E132" s="1">
        <f t="shared" si="82"/>
        <v>1</v>
      </c>
      <c r="F132" s="1">
        <f t="shared" si="82"/>
        <v>1</v>
      </c>
      <c r="G132" s="1">
        <f t="shared" si="82"/>
        <v>1</v>
      </c>
      <c r="H132" s="1">
        <f t="shared" si="82"/>
        <v>1</v>
      </c>
      <c r="I132" s="1">
        <f t="shared" si="82"/>
        <v>1</v>
      </c>
      <c r="J132" s="1">
        <f t="shared" si="82"/>
        <v>1</v>
      </c>
      <c r="K132" s="1">
        <f t="shared" si="82"/>
        <v>1</v>
      </c>
      <c r="L132" s="1">
        <f t="shared" si="82"/>
        <v>1</v>
      </c>
      <c r="M132" s="1">
        <f t="shared" si="82"/>
        <v>1</v>
      </c>
      <c r="N132" s="1">
        <f t="shared" si="82"/>
        <v>1</v>
      </c>
      <c r="O132" s="1">
        <f t="shared" si="82"/>
        <v>1</v>
      </c>
      <c r="P132" s="1">
        <f t="shared" si="82"/>
        <v>1</v>
      </c>
      <c r="Q132" s="1">
        <f t="shared" si="82"/>
        <v>1</v>
      </c>
      <c r="R132" s="1">
        <f t="shared" si="82"/>
        <v>1</v>
      </c>
      <c r="S132" s="1">
        <f t="shared" si="82"/>
        <v>1</v>
      </c>
      <c r="T132" s="1">
        <f t="shared" si="82"/>
        <v>1</v>
      </c>
      <c r="U132" s="1">
        <f t="shared" si="82"/>
        <v>1</v>
      </c>
      <c r="V132" s="1">
        <f t="shared" si="82"/>
        <v>1</v>
      </c>
      <c r="W132" s="1">
        <f t="shared" si="82"/>
        <v>1</v>
      </c>
      <c r="X132" s="1">
        <f t="shared" si="82"/>
        <v>1</v>
      </c>
      <c r="Y132" s="1">
        <f t="shared" si="82"/>
        <v>1</v>
      </c>
      <c r="Z132" s="1">
        <f t="shared" si="82"/>
        <v>1</v>
      </c>
      <c r="AA132" s="1">
        <f t="shared" si="82"/>
        <v>1</v>
      </c>
      <c r="AB132" s="1">
        <f t="shared" si="82"/>
        <v>1</v>
      </c>
      <c r="AC132" s="1">
        <f t="shared" si="82"/>
        <v>1</v>
      </c>
      <c r="AD132" s="1">
        <f t="shared" si="82"/>
        <v>1</v>
      </c>
      <c r="AE132" s="1">
        <f t="shared" si="82"/>
        <v>1</v>
      </c>
      <c r="AF132" s="1">
        <f t="shared" si="82"/>
        <v>1</v>
      </c>
      <c r="AG132" s="1">
        <f t="shared" si="82"/>
        <v>1</v>
      </c>
      <c r="AH132" s="1">
        <f t="shared" ref="AH132:BJ132" si="83">COUNTIF($B67:$BJ67,AH67)</f>
        <v>1</v>
      </c>
      <c r="AI132" s="1">
        <f t="shared" si="83"/>
        <v>1</v>
      </c>
      <c r="AJ132" s="1">
        <f t="shared" si="83"/>
        <v>1</v>
      </c>
      <c r="AK132" s="1">
        <f t="shared" si="83"/>
        <v>1</v>
      </c>
      <c r="AL132" s="1">
        <f t="shared" si="83"/>
        <v>1</v>
      </c>
      <c r="AM132" s="1">
        <f t="shared" si="83"/>
        <v>1</v>
      </c>
      <c r="AN132" s="1">
        <f t="shared" si="83"/>
        <v>2</v>
      </c>
      <c r="AO132" s="1">
        <f t="shared" si="83"/>
        <v>1</v>
      </c>
      <c r="AP132" s="1">
        <f t="shared" si="83"/>
        <v>1</v>
      </c>
      <c r="AQ132" s="1">
        <f t="shared" si="83"/>
        <v>1</v>
      </c>
      <c r="AR132" s="1">
        <f t="shared" si="83"/>
        <v>1</v>
      </c>
      <c r="AS132" s="1">
        <f t="shared" si="83"/>
        <v>1</v>
      </c>
      <c r="AT132" s="1">
        <f t="shared" si="83"/>
        <v>1</v>
      </c>
      <c r="AU132" s="1">
        <f t="shared" si="83"/>
        <v>1</v>
      </c>
      <c r="AV132" s="1">
        <f t="shared" si="83"/>
        <v>1</v>
      </c>
      <c r="AW132" s="1">
        <f t="shared" si="83"/>
        <v>1</v>
      </c>
      <c r="AX132" s="1">
        <f t="shared" si="83"/>
        <v>1</v>
      </c>
      <c r="AY132" s="1">
        <f t="shared" si="83"/>
        <v>1</v>
      </c>
      <c r="AZ132" s="1">
        <f t="shared" si="83"/>
        <v>1</v>
      </c>
      <c r="BA132" s="1">
        <f t="shared" si="83"/>
        <v>1</v>
      </c>
      <c r="BB132" s="1">
        <f t="shared" si="83"/>
        <v>1</v>
      </c>
      <c r="BC132" s="1">
        <f t="shared" si="83"/>
        <v>1</v>
      </c>
      <c r="BD132" s="1">
        <f t="shared" si="83"/>
        <v>1</v>
      </c>
      <c r="BE132" s="1">
        <f t="shared" si="83"/>
        <v>1</v>
      </c>
      <c r="BF132" s="1">
        <f t="shared" si="83"/>
        <v>1</v>
      </c>
      <c r="BG132" s="1">
        <f t="shared" si="83"/>
        <v>1</v>
      </c>
      <c r="BH132" s="1">
        <f t="shared" si="83"/>
        <v>1</v>
      </c>
      <c r="BI132" s="1">
        <f t="shared" si="83"/>
        <v>1</v>
      </c>
      <c r="BJ132" s="1">
        <f t="shared" si="83"/>
        <v>2</v>
      </c>
    </row>
    <row r="133" spans="1:62">
      <c r="A133" s="1" t="str">
        <f t="shared" si="81"/>
        <v> 1) DIGITAL SECURITY</v>
      </c>
      <c r="B133" s="1">
        <f t="shared" ref="B133:AG133" si="84">COUNTIF($B68:$BJ68,B68)</f>
        <v>1</v>
      </c>
      <c r="C133" s="1">
        <f t="shared" si="84"/>
        <v>1</v>
      </c>
      <c r="D133" s="1">
        <f t="shared" si="84"/>
        <v>1</v>
      </c>
      <c r="E133" s="1">
        <f t="shared" si="84"/>
        <v>1</v>
      </c>
      <c r="F133" s="1">
        <f t="shared" si="84"/>
        <v>2</v>
      </c>
      <c r="G133" s="1">
        <f t="shared" si="84"/>
        <v>1</v>
      </c>
      <c r="H133" s="1">
        <f t="shared" si="84"/>
        <v>1</v>
      </c>
      <c r="I133" s="1">
        <f t="shared" si="84"/>
        <v>1</v>
      </c>
      <c r="J133" s="1">
        <f t="shared" si="84"/>
        <v>1</v>
      </c>
      <c r="K133" s="1">
        <f t="shared" si="84"/>
        <v>1</v>
      </c>
      <c r="L133" s="1">
        <f t="shared" si="84"/>
        <v>1</v>
      </c>
      <c r="M133" s="1">
        <f t="shared" si="84"/>
        <v>1</v>
      </c>
      <c r="N133" s="1">
        <f t="shared" si="84"/>
        <v>1</v>
      </c>
      <c r="O133" s="1">
        <f t="shared" si="84"/>
        <v>1</v>
      </c>
      <c r="P133" s="1">
        <f t="shared" si="84"/>
        <v>2</v>
      </c>
      <c r="Q133" s="1">
        <f t="shared" si="84"/>
        <v>1</v>
      </c>
      <c r="R133" s="1">
        <f t="shared" si="84"/>
        <v>1</v>
      </c>
      <c r="S133" s="1">
        <f t="shared" si="84"/>
        <v>1</v>
      </c>
      <c r="T133" s="1">
        <f t="shared" si="84"/>
        <v>1</v>
      </c>
      <c r="U133" s="1">
        <f t="shared" si="84"/>
        <v>1</v>
      </c>
      <c r="V133" s="1">
        <f t="shared" si="84"/>
        <v>1</v>
      </c>
      <c r="W133" s="1">
        <f t="shared" si="84"/>
        <v>1</v>
      </c>
      <c r="X133" s="1">
        <f t="shared" si="84"/>
        <v>1</v>
      </c>
      <c r="Y133" s="1">
        <f t="shared" si="84"/>
        <v>1</v>
      </c>
      <c r="Z133" s="1">
        <f t="shared" si="84"/>
        <v>1</v>
      </c>
      <c r="AA133" s="1">
        <f t="shared" si="84"/>
        <v>1</v>
      </c>
      <c r="AB133" s="1">
        <f t="shared" si="84"/>
        <v>1</v>
      </c>
      <c r="AC133" s="1">
        <f t="shared" si="84"/>
        <v>1</v>
      </c>
      <c r="AD133" s="1">
        <f t="shared" si="84"/>
        <v>1</v>
      </c>
      <c r="AE133" s="1">
        <f t="shared" si="84"/>
        <v>2</v>
      </c>
      <c r="AF133" s="1">
        <f t="shared" si="84"/>
        <v>2</v>
      </c>
      <c r="AG133" s="1">
        <f t="shared" si="84"/>
        <v>1</v>
      </c>
      <c r="AH133" s="1">
        <f t="shared" ref="AH133:BJ133" si="85">COUNTIF($B68:$BJ68,AH68)</f>
        <v>1</v>
      </c>
      <c r="AI133" s="1">
        <f t="shared" si="85"/>
        <v>1</v>
      </c>
      <c r="AJ133" s="1">
        <f t="shared" si="85"/>
        <v>1</v>
      </c>
      <c r="AK133" s="1">
        <f t="shared" si="85"/>
        <v>1</v>
      </c>
      <c r="AL133" s="1">
        <f t="shared" si="85"/>
        <v>2</v>
      </c>
      <c r="AM133" s="1">
        <f t="shared" si="85"/>
        <v>1</v>
      </c>
      <c r="AN133" s="1">
        <f t="shared" si="85"/>
        <v>2</v>
      </c>
      <c r="AO133" s="1">
        <f t="shared" si="85"/>
        <v>1</v>
      </c>
      <c r="AP133" s="1">
        <f t="shared" si="85"/>
        <v>1</v>
      </c>
      <c r="AQ133" s="1">
        <f t="shared" si="85"/>
        <v>2</v>
      </c>
      <c r="AR133" s="1">
        <f t="shared" si="85"/>
        <v>1</v>
      </c>
      <c r="AS133" s="1">
        <f t="shared" si="85"/>
        <v>1</v>
      </c>
      <c r="AT133" s="1">
        <f t="shared" si="85"/>
        <v>2</v>
      </c>
      <c r="AU133" s="1">
        <f t="shared" si="85"/>
        <v>1</v>
      </c>
      <c r="AV133" s="1">
        <f t="shared" si="85"/>
        <v>2</v>
      </c>
      <c r="AW133" s="1">
        <f t="shared" si="85"/>
        <v>1</v>
      </c>
      <c r="AX133" s="1">
        <f t="shared" si="85"/>
        <v>1</v>
      </c>
      <c r="AY133" s="1">
        <f t="shared" si="85"/>
        <v>1</v>
      </c>
      <c r="AZ133" s="1">
        <f t="shared" si="85"/>
        <v>1</v>
      </c>
      <c r="BA133" s="1">
        <f t="shared" si="85"/>
        <v>1</v>
      </c>
      <c r="BB133" s="1">
        <f t="shared" si="85"/>
        <v>1</v>
      </c>
      <c r="BC133" s="1">
        <f t="shared" si="85"/>
        <v>1</v>
      </c>
      <c r="BD133" s="1">
        <f t="shared" si="85"/>
        <v>1</v>
      </c>
      <c r="BE133" s="1">
        <f t="shared" si="85"/>
        <v>1</v>
      </c>
      <c r="BF133" s="1">
        <f t="shared" si="85"/>
        <v>1</v>
      </c>
      <c r="BG133" s="1">
        <f t="shared" si="85"/>
        <v>1</v>
      </c>
      <c r="BH133" s="1">
        <f t="shared" si="85"/>
        <v>1</v>
      </c>
      <c r="BI133" s="1">
        <f t="shared" si="85"/>
        <v>1</v>
      </c>
      <c r="BJ133" s="1">
        <f t="shared" si="85"/>
        <v>2</v>
      </c>
    </row>
    <row r="134" spans="1:62">
      <c r="A134" s="1" t="str">
        <f t="shared" si="81"/>
        <v>  1.1) Digital security (Inputs)</v>
      </c>
      <c r="B134" s="1">
        <f t="shared" ref="B134:AG134" si="86">COUNTIF($B69:$BJ69,B69)</f>
        <v>4</v>
      </c>
      <c r="C134" s="1">
        <f t="shared" si="86"/>
        <v>7</v>
      </c>
      <c r="D134" s="1">
        <f t="shared" si="86"/>
        <v>2</v>
      </c>
      <c r="E134" s="1">
        <f t="shared" si="86"/>
        <v>2</v>
      </c>
      <c r="F134" s="1">
        <f t="shared" si="86"/>
        <v>7</v>
      </c>
      <c r="G134" s="1">
        <f t="shared" si="86"/>
        <v>4</v>
      </c>
      <c r="H134" s="1">
        <f t="shared" si="86"/>
        <v>3</v>
      </c>
      <c r="I134" s="1">
        <f t="shared" si="86"/>
        <v>7</v>
      </c>
      <c r="J134" s="1">
        <f t="shared" si="86"/>
        <v>2</v>
      </c>
      <c r="K134" s="1">
        <f t="shared" si="86"/>
        <v>2</v>
      </c>
      <c r="L134" s="1">
        <f t="shared" si="86"/>
        <v>2</v>
      </c>
      <c r="M134" s="1">
        <f t="shared" si="86"/>
        <v>2</v>
      </c>
      <c r="N134" s="1">
        <f t="shared" si="86"/>
        <v>6</v>
      </c>
      <c r="O134" s="1">
        <f t="shared" si="86"/>
        <v>6</v>
      </c>
      <c r="P134" s="1">
        <f t="shared" si="86"/>
        <v>4</v>
      </c>
      <c r="Q134" s="1">
        <f t="shared" si="86"/>
        <v>2</v>
      </c>
      <c r="R134" s="1">
        <f t="shared" si="86"/>
        <v>7</v>
      </c>
      <c r="S134" s="1">
        <f t="shared" si="86"/>
        <v>7</v>
      </c>
      <c r="T134" s="1">
        <f t="shared" si="86"/>
        <v>1</v>
      </c>
      <c r="U134" s="1">
        <f t="shared" si="86"/>
        <v>6</v>
      </c>
      <c r="V134" s="1">
        <f t="shared" si="86"/>
        <v>2</v>
      </c>
      <c r="W134" s="1">
        <f t="shared" si="86"/>
        <v>2</v>
      </c>
      <c r="X134" s="1">
        <f t="shared" si="86"/>
        <v>7</v>
      </c>
      <c r="Y134" s="1">
        <f t="shared" si="86"/>
        <v>7</v>
      </c>
      <c r="Z134" s="1">
        <f t="shared" si="86"/>
        <v>1</v>
      </c>
      <c r="AA134" s="1">
        <f t="shared" si="86"/>
        <v>7</v>
      </c>
      <c r="AB134" s="1">
        <f t="shared" si="86"/>
        <v>3</v>
      </c>
      <c r="AC134" s="1">
        <f t="shared" si="86"/>
        <v>7</v>
      </c>
      <c r="AD134" s="1">
        <f t="shared" si="86"/>
        <v>7</v>
      </c>
      <c r="AE134" s="1">
        <f t="shared" si="86"/>
        <v>6</v>
      </c>
      <c r="AF134" s="1">
        <f t="shared" si="86"/>
        <v>7</v>
      </c>
      <c r="AG134" s="1">
        <f t="shared" si="86"/>
        <v>1</v>
      </c>
      <c r="AH134" s="1">
        <f t="shared" ref="AH134:BJ134" si="87">COUNTIF($B69:$BJ69,AH69)</f>
        <v>4</v>
      </c>
      <c r="AI134" s="1">
        <f t="shared" si="87"/>
        <v>7</v>
      </c>
      <c r="AJ134" s="1">
        <f t="shared" si="87"/>
        <v>1</v>
      </c>
      <c r="AK134" s="1">
        <f t="shared" si="87"/>
        <v>3</v>
      </c>
      <c r="AL134" s="1">
        <f t="shared" si="87"/>
        <v>4</v>
      </c>
      <c r="AM134" s="1">
        <f t="shared" si="87"/>
        <v>6</v>
      </c>
      <c r="AN134" s="1">
        <f t="shared" si="87"/>
        <v>2</v>
      </c>
      <c r="AO134" s="1">
        <f t="shared" si="87"/>
        <v>1</v>
      </c>
      <c r="AP134" s="1">
        <f t="shared" si="87"/>
        <v>2</v>
      </c>
      <c r="AQ134" s="1">
        <f t="shared" si="87"/>
        <v>2</v>
      </c>
      <c r="AR134" s="1">
        <f t="shared" si="87"/>
        <v>2</v>
      </c>
      <c r="AS134" s="1">
        <f t="shared" si="87"/>
        <v>7</v>
      </c>
      <c r="AT134" s="1">
        <f t="shared" si="87"/>
        <v>6</v>
      </c>
      <c r="AU134" s="1">
        <f t="shared" si="87"/>
        <v>7</v>
      </c>
      <c r="AV134" s="1">
        <f t="shared" si="87"/>
        <v>2</v>
      </c>
      <c r="AW134" s="1">
        <f t="shared" si="87"/>
        <v>2</v>
      </c>
      <c r="AX134" s="1">
        <f t="shared" si="87"/>
        <v>1</v>
      </c>
      <c r="AY134" s="1">
        <f t="shared" si="87"/>
        <v>1</v>
      </c>
      <c r="AZ134" s="1">
        <f t="shared" si="87"/>
        <v>2</v>
      </c>
      <c r="BA134" s="1">
        <f t="shared" si="87"/>
        <v>4</v>
      </c>
      <c r="BB134" s="1">
        <f t="shared" si="87"/>
        <v>2</v>
      </c>
      <c r="BC134" s="1">
        <f t="shared" si="87"/>
        <v>2</v>
      </c>
      <c r="BD134" s="1">
        <f t="shared" si="87"/>
        <v>2</v>
      </c>
      <c r="BE134" s="1">
        <f t="shared" si="87"/>
        <v>4</v>
      </c>
      <c r="BF134" s="1">
        <f t="shared" si="87"/>
        <v>4</v>
      </c>
      <c r="BG134" s="1">
        <f t="shared" si="87"/>
        <v>1</v>
      </c>
      <c r="BH134" s="1">
        <f t="shared" si="87"/>
        <v>2</v>
      </c>
      <c r="BI134" s="1">
        <f t="shared" si="87"/>
        <v>2</v>
      </c>
      <c r="BJ134" s="1">
        <f t="shared" si="87"/>
        <v>2</v>
      </c>
    </row>
    <row r="135" spans="1:62">
      <c r="A135" s="1" t="str">
        <f t="shared" si="81"/>
        <v>   1.1.1) Privacy policy</v>
      </c>
      <c r="B135" s="1">
        <f t="shared" ref="B135:AG135" si="88">COUNTIF($B70:$BJ70,B70)</f>
        <v>13</v>
      </c>
      <c r="C135" s="1">
        <f t="shared" si="88"/>
        <v>20</v>
      </c>
      <c r="D135" s="1">
        <f t="shared" si="88"/>
        <v>13</v>
      </c>
      <c r="E135" s="1">
        <f t="shared" si="88"/>
        <v>11</v>
      </c>
      <c r="F135" s="1">
        <f t="shared" si="88"/>
        <v>20</v>
      </c>
      <c r="G135" s="1">
        <f t="shared" si="88"/>
        <v>13</v>
      </c>
      <c r="H135" s="1">
        <f t="shared" si="88"/>
        <v>13</v>
      </c>
      <c r="I135" s="1">
        <f t="shared" si="88"/>
        <v>20</v>
      </c>
      <c r="J135" s="1">
        <f t="shared" si="88"/>
        <v>13</v>
      </c>
      <c r="K135" s="1">
        <f t="shared" si="88"/>
        <v>13</v>
      </c>
      <c r="L135" s="1">
        <f t="shared" si="88"/>
        <v>11</v>
      </c>
      <c r="M135" s="1">
        <f t="shared" si="88"/>
        <v>13</v>
      </c>
      <c r="N135" s="1">
        <f t="shared" si="88"/>
        <v>20</v>
      </c>
      <c r="O135" s="1">
        <f t="shared" si="88"/>
        <v>20</v>
      </c>
      <c r="P135" s="1">
        <f t="shared" si="88"/>
        <v>11</v>
      </c>
      <c r="Q135" s="1">
        <f t="shared" si="88"/>
        <v>4</v>
      </c>
      <c r="R135" s="1">
        <f t="shared" si="88"/>
        <v>13</v>
      </c>
      <c r="S135" s="1">
        <f t="shared" si="88"/>
        <v>20</v>
      </c>
      <c r="T135" s="1">
        <f t="shared" si="88"/>
        <v>11</v>
      </c>
      <c r="U135" s="1">
        <f t="shared" si="88"/>
        <v>20</v>
      </c>
      <c r="V135" s="1">
        <f t="shared" si="88"/>
        <v>11</v>
      </c>
      <c r="W135" s="1">
        <f t="shared" si="88"/>
        <v>11</v>
      </c>
      <c r="X135" s="1">
        <f t="shared" si="88"/>
        <v>13</v>
      </c>
      <c r="Y135" s="1">
        <f t="shared" si="88"/>
        <v>13</v>
      </c>
      <c r="Z135" s="1">
        <f t="shared" si="88"/>
        <v>11</v>
      </c>
      <c r="AA135" s="1">
        <f t="shared" si="88"/>
        <v>13</v>
      </c>
      <c r="AB135" s="1">
        <f t="shared" si="88"/>
        <v>13</v>
      </c>
      <c r="AC135" s="1">
        <f t="shared" si="88"/>
        <v>13</v>
      </c>
      <c r="AD135" s="1">
        <f t="shared" si="88"/>
        <v>20</v>
      </c>
      <c r="AE135" s="1">
        <f t="shared" si="88"/>
        <v>20</v>
      </c>
      <c r="AF135" s="1">
        <f t="shared" si="88"/>
        <v>20</v>
      </c>
      <c r="AG135" s="1">
        <f t="shared" si="88"/>
        <v>11</v>
      </c>
      <c r="AH135" s="1">
        <f t="shared" ref="AH135:BJ135" si="89">COUNTIF($B70:$BJ70,AH70)</f>
        <v>20</v>
      </c>
      <c r="AI135" s="1">
        <f t="shared" si="89"/>
        <v>13</v>
      </c>
      <c r="AJ135" s="1">
        <f t="shared" si="89"/>
        <v>20</v>
      </c>
      <c r="AK135" s="1">
        <f t="shared" si="89"/>
        <v>13</v>
      </c>
      <c r="AL135" s="1">
        <f t="shared" si="89"/>
        <v>11</v>
      </c>
      <c r="AM135" s="1">
        <f t="shared" si="89"/>
        <v>20</v>
      </c>
      <c r="AN135" s="1">
        <f t="shared" si="89"/>
        <v>13</v>
      </c>
      <c r="AO135" s="1">
        <f t="shared" si="89"/>
        <v>20</v>
      </c>
      <c r="AP135" s="1">
        <f t="shared" si="89"/>
        <v>4</v>
      </c>
      <c r="AQ135" s="1">
        <f t="shared" si="89"/>
        <v>11</v>
      </c>
      <c r="AR135" s="1">
        <f t="shared" si="89"/>
        <v>13</v>
      </c>
      <c r="AS135" s="1">
        <f t="shared" si="89"/>
        <v>20</v>
      </c>
      <c r="AT135" s="1">
        <f t="shared" si="89"/>
        <v>20</v>
      </c>
      <c r="AU135" s="1">
        <f t="shared" si="89"/>
        <v>13</v>
      </c>
      <c r="AV135" s="1">
        <f t="shared" si="89"/>
        <v>11</v>
      </c>
      <c r="AW135" s="1">
        <f t="shared" si="89"/>
        <v>20</v>
      </c>
      <c r="AX135" s="1">
        <f t="shared" si="89"/>
        <v>13</v>
      </c>
      <c r="AY135" s="1">
        <f t="shared" si="89"/>
        <v>13</v>
      </c>
      <c r="AZ135" s="1">
        <f t="shared" si="89"/>
        <v>13</v>
      </c>
      <c r="BA135" s="1">
        <f t="shared" si="89"/>
        <v>20</v>
      </c>
      <c r="BB135" s="1">
        <f t="shared" si="89"/>
        <v>13</v>
      </c>
      <c r="BC135" s="1">
        <f t="shared" si="89"/>
        <v>4</v>
      </c>
      <c r="BD135" s="1">
        <f t="shared" si="89"/>
        <v>13</v>
      </c>
      <c r="BE135" s="1">
        <f t="shared" si="89"/>
        <v>20</v>
      </c>
      <c r="BF135" s="1">
        <f t="shared" si="89"/>
        <v>20</v>
      </c>
      <c r="BG135" s="1">
        <f t="shared" si="89"/>
        <v>13</v>
      </c>
      <c r="BH135" s="1">
        <f t="shared" si="89"/>
        <v>4</v>
      </c>
      <c r="BI135" s="1">
        <f t="shared" si="89"/>
        <v>13</v>
      </c>
      <c r="BJ135" s="1">
        <f t="shared" si="89"/>
        <v>13</v>
      </c>
    </row>
    <row r="136" spans="1:62">
      <c r="A136" s="1" t="str">
        <f t="shared" si="81"/>
        <v>   1.1.2) Citizen awareness of digital threats</v>
      </c>
      <c r="B136" s="1">
        <f t="shared" ref="B136:AG136" si="90">COUNTIF($B71:$BJ71,B71)</f>
        <v>25</v>
      </c>
      <c r="C136" s="1">
        <f t="shared" si="90"/>
        <v>23</v>
      </c>
      <c r="D136" s="1">
        <f t="shared" si="90"/>
        <v>23</v>
      </c>
      <c r="E136" s="1">
        <f t="shared" si="90"/>
        <v>25</v>
      </c>
      <c r="F136" s="1">
        <f t="shared" si="90"/>
        <v>23</v>
      </c>
      <c r="G136" s="1">
        <f t="shared" si="90"/>
        <v>25</v>
      </c>
      <c r="H136" s="1">
        <f t="shared" si="90"/>
        <v>13</v>
      </c>
      <c r="I136" s="1">
        <f t="shared" si="90"/>
        <v>23</v>
      </c>
      <c r="J136" s="1">
        <f t="shared" si="90"/>
        <v>13</v>
      </c>
      <c r="K136" s="1">
        <f t="shared" si="90"/>
        <v>13</v>
      </c>
      <c r="L136" s="1">
        <f t="shared" si="90"/>
        <v>13</v>
      </c>
      <c r="M136" s="1">
        <f t="shared" si="90"/>
        <v>13</v>
      </c>
      <c r="N136" s="1">
        <f t="shared" si="90"/>
        <v>23</v>
      </c>
      <c r="O136" s="1">
        <f t="shared" si="90"/>
        <v>23</v>
      </c>
      <c r="P136" s="1">
        <f t="shared" si="90"/>
        <v>25</v>
      </c>
      <c r="Q136" s="1">
        <f t="shared" si="90"/>
        <v>13</v>
      </c>
      <c r="R136" s="1">
        <f t="shared" si="90"/>
        <v>25</v>
      </c>
      <c r="S136" s="1">
        <f t="shared" si="90"/>
        <v>23</v>
      </c>
      <c r="T136" s="1">
        <f t="shared" si="90"/>
        <v>13</v>
      </c>
      <c r="U136" s="1">
        <f t="shared" si="90"/>
        <v>23</v>
      </c>
      <c r="V136" s="1">
        <f t="shared" si="90"/>
        <v>23</v>
      </c>
      <c r="W136" s="1">
        <f t="shared" si="90"/>
        <v>25</v>
      </c>
      <c r="X136" s="1">
        <f t="shared" si="90"/>
        <v>25</v>
      </c>
      <c r="Y136" s="1">
        <f t="shared" si="90"/>
        <v>25</v>
      </c>
      <c r="Z136" s="1">
        <f t="shared" si="90"/>
        <v>23</v>
      </c>
      <c r="AA136" s="1">
        <f t="shared" si="90"/>
        <v>25</v>
      </c>
      <c r="AB136" s="1">
        <f t="shared" si="90"/>
        <v>13</v>
      </c>
      <c r="AC136" s="1">
        <f t="shared" si="90"/>
        <v>25</v>
      </c>
      <c r="AD136" s="1">
        <f t="shared" si="90"/>
        <v>23</v>
      </c>
      <c r="AE136" s="1">
        <f t="shared" si="90"/>
        <v>23</v>
      </c>
      <c r="AF136" s="1">
        <f t="shared" si="90"/>
        <v>23</v>
      </c>
      <c r="AG136" s="1">
        <f t="shared" si="90"/>
        <v>13</v>
      </c>
      <c r="AH136" s="1">
        <f t="shared" ref="AH136:BJ136" si="91">COUNTIF($B71:$BJ71,AH71)</f>
        <v>23</v>
      </c>
      <c r="AI136" s="1">
        <f t="shared" si="91"/>
        <v>25</v>
      </c>
      <c r="AJ136" s="1">
        <f t="shared" si="91"/>
        <v>25</v>
      </c>
      <c r="AK136" s="1">
        <f t="shared" si="91"/>
        <v>13</v>
      </c>
      <c r="AL136" s="1">
        <f t="shared" si="91"/>
        <v>25</v>
      </c>
      <c r="AM136" s="1">
        <f t="shared" si="91"/>
        <v>23</v>
      </c>
      <c r="AN136" s="1">
        <f t="shared" si="91"/>
        <v>25</v>
      </c>
      <c r="AO136" s="1">
        <f t="shared" si="91"/>
        <v>25</v>
      </c>
      <c r="AP136" s="1">
        <f t="shared" si="91"/>
        <v>25</v>
      </c>
      <c r="AQ136" s="1">
        <f t="shared" si="91"/>
        <v>25</v>
      </c>
      <c r="AR136" s="1">
        <f t="shared" si="91"/>
        <v>25</v>
      </c>
      <c r="AS136" s="1">
        <f t="shared" si="91"/>
        <v>23</v>
      </c>
      <c r="AT136" s="1">
        <f t="shared" si="91"/>
        <v>23</v>
      </c>
      <c r="AU136" s="1">
        <f t="shared" si="91"/>
        <v>25</v>
      </c>
      <c r="AV136" s="1">
        <f t="shared" si="91"/>
        <v>25</v>
      </c>
      <c r="AW136" s="1">
        <f t="shared" si="91"/>
        <v>13</v>
      </c>
      <c r="AX136" s="1">
        <f t="shared" si="91"/>
        <v>25</v>
      </c>
      <c r="AY136" s="1">
        <f t="shared" si="91"/>
        <v>23</v>
      </c>
      <c r="AZ136" s="1">
        <f t="shared" si="91"/>
        <v>23</v>
      </c>
      <c r="BA136" s="1">
        <f t="shared" si="91"/>
        <v>23</v>
      </c>
      <c r="BB136" s="1">
        <f t="shared" si="91"/>
        <v>25</v>
      </c>
      <c r="BC136" s="1">
        <f t="shared" si="91"/>
        <v>13</v>
      </c>
      <c r="BD136" s="1">
        <f t="shared" si="91"/>
        <v>25</v>
      </c>
      <c r="BE136" s="1">
        <f t="shared" si="91"/>
        <v>23</v>
      </c>
      <c r="BF136" s="1">
        <f t="shared" si="91"/>
        <v>23</v>
      </c>
      <c r="BG136" s="1">
        <f t="shared" si="91"/>
        <v>25</v>
      </c>
      <c r="BH136" s="1">
        <f t="shared" si="91"/>
        <v>13</v>
      </c>
      <c r="BI136" s="1">
        <f t="shared" si="91"/>
        <v>23</v>
      </c>
      <c r="BJ136" s="1">
        <f t="shared" si="91"/>
        <v>25</v>
      </c>
    </row>
    <row r="137" spans="1:62">
      <c r="A137" s="1" t="str">
        <f t="shared" si="81"/>
        <v>   1.1.3) Public-private partnerships</v>
      </c>
      <c r="B137" s="1">
        <f t="shared" ref="B137:AG137" si="92">COUNTIF($B72:$BJ72,B72)</f>
        <v>33</v>
      </c>
      <c r="C137" s="1">
        <f t="shared" si="92"/>
        <v>33</v>
      </c>
      <c r="D137" s="1">
        <f t="shared" si="92"/>
        <v>18</v>
      </c>
      <c r="E137" s="1">
        <f t="shared" si="92"/>
        <v>18</v>
      </c>
      <c r="F137" s="1">
        <f t="shared" si="92"/>
        <v>33</v>
      </c>
      <c r="G137" s="1">
        <f t="shared" si="92"/>
        <v>18</v>
      </c>
      <c r="H137" s="1">
        <f t="shared" si="92"/>
        <v>18</v>
      </c>
      <c r="I137" s="1">
        <f t="shared" si="92"/>
        <v>33</v>
      </c>
      <c r="J137" s="1">
        <f t="shared" si="92"/>
        <v>33</v>
      </c>
      <c r="K137" s="1">
        <f t="shared" si="92"/>
        <v>18</v>
      </c>
      <c r="L137" s="1">
        <f t="shared" si="92"/>
        <v>33</v>
      </c>
      <c r="M137" s="1">
        <f t="shared" si="92"/>
        <v>18</v>
      </c>
      <c r="N137" s="1">
        <f t="shared" si="92"/>
        <v>10</v>
      </c>
      <c r="O137" s="1">
        <f t="shared" si="92"/>
        <v>10</v>
      </c>
      <c r="P137" s="1">
        <f t="shared" si="92"/>
        <v>33</v>
      </c>
      <c r="Q137" s="1">
        <f t="shared" si="92"/>
        <v>33</v>
      </c>
      <c r="R137" s="1">
        <f t="shared" si="92"/>
        <v>33</v>
      </c>
      <c r="S137" s="1">
        <f t="shared" si="92"/>
        <v>33</v>
      </c>
      <c r="T137" s="1">
        <f t="shared" si="92"/>
        <v>18</v>
      </c>
      <c r="U137" s="1">
        <f t="shared" si="92"/>
        <v>10</v>
      </c>
      <c r="V137" s="1">
        <f t="shared" si="92"/>
        <v>33</v>
      </c>
      <c r="W137" s="1">
        <f t="shared" si="92"/>
        <v>18</v>
      </c>
      <c r="X137" s="1">
        <f t="shared" si="92"/>
        <v>18</v>
      </c>
      <c r="Y137" s="1">
        <f t="shared" si="92"/>
        <v>33</v>
      </c>
      <c r="Z137" s="1">
        <f t="shared" si="92"/>
        <v>18</v>
      </c>
      <c r="AA137" s="1">
        <f t="shared" si="92"/>
        <v>33</v>
      </c>
      <c r="AB137" s="1">
        <f t="shared" si="92"/>
        <v>18</v>
      </c>
      <c r="AC137" s="1">
        <f t="shared" si="92"/>
        <v>33</v>
      </c>
      <c r="AD137" s="1">
        <f t="shared" si="92"/>
        <v>33</v>
      </c>
      <c r="AE137" s="1">
        <f t="shared" si="92"/>
        <v>10</v>
      </c>
      <c r="AF137" s="1">
        <f t="shared" si="92"/>
        <v>33</v>
      </c>
      <c r="AG137" s="1">
        <f t="shared" si="92"/>
        <v>33</v>
      </c>
      <c r="AH137" s="1">
        <f t="shared" ref="AH137:BJ137" si="93">COUNTIF($B72:$BJ72,AH72)</f>
        <v>33</v>
      </c>
      <c r="AI137" s="1">
        <f t="shared" si="93"/>
        <v>33</v>
      </c>
      <c r="AJ137" s="1">
        <f t="shared" si="93"/>
        <v>10</v>
      </c>
      <c r="AK137" s="1">
        <f t="shared" si="93"/>
        <v>18</v>
      </c>
      <c r="AL137" s="1">
        <f t="shared" si="93"/>
        <v>33</v>
      </c>
      <c r="AM137" s="1">
        <f t="shared" si="93"/>
        <v>10</v>
      </c>
      <c r="AN137" s="1">
        <f t="shared" si="93"/>
        <v>33</v>
      </c>
      <c r="AO137" s="1">
        <f t="shared" si="93"/>
        <v>33</v>
      </c>
      <c r="AP137" s="1">
        <f t="shared" si="93"/>
        <v>33</v>
      </c>
      <c r="AQ137" s="1">
        <f t="shared" si="93"/>
        <v>18</v>
      </c>
      <c r="AR137" s="1">
        <f t="shared" si="93"/>
        <v>18</v>
      </c>
      <c r="AS137" s="1">
        <f t="shared" si="93"/>
        <v>33</v>
      </c>
      <c r="AT137" s="1">
        <f t="shared" si="93"/>
        <v>10</v>
      </c>
      <c r="AU137" s="1">
        <f t="shared" si="93"/>
        <v>33</v>
      </c>
      <c r="AV137" s="1">
        <f t="shared" si="93"/>
        <v>18</v>
      </c>
      <c r="AW137" s="1">
        <f t="shared" si="93"/>
        <v>33</v>
      </c>
      <c r="AX137" s="1">
        <f t="shared" si="93"/>
        <v>18</v>
      </c>
      <c r="AY137" s="1">
        <f t="shared" si="93"/>
        <v>10</v>
      </c>
      <c r="AZ137" s="1">
        <f t="shared" si="93"/>
        <v>33</v>
      </c>
      <c r="BA137" s="1">
        <f t="shared" si="93"/>
        <v>33</v>
      </c>
      <c r="BB137" s="1">
        <f t="shared" si="93"/>
        <v>10</v>
      </c>
      <c r="BC137" s="1">
        <f t="shared" si="93"/>
        <v>18</v>
      </c>
      <c r="BD137" s="1">
        <f t="shared" si="93"/>
        <v>10</v>
      </c>
      <c r="BE137" s="1">
        <f t="shared" si="93"/>
        <v>33</v>
      </c>
      <c r="BF137" s="1">
        <f t="shared" si="93"/>
        <v>33</v>
      </c>
      <c r="BG137" s="1">
        <f t="shared" si="93"/>
        <v>33</v>
      </c>
      <c r="BH137" s="1">
        <f t="shared" si="93"/>
        <v>18</v>
      </c>
      <c r="BI137" s="1">
        <f t="shared" si="93"/>
        <v>33</v>
      </c>
      <c r="BJ137" s="1">
        <f t="shared" si="93"/>
        <v>33</v>
      </c>
    </row>
    <row r="138" spans="1:62">
      <c r="A138" s="1" t="str">
        <f t="shared" si="81"/>
        <v>   1.1.4) Level of technology employed</v>
      </c>
      <c r="B138" s="1">
        <f t="shared" ref="B138:AG138" si="94">COUNTIF($B73:$BJ73,B73)</f>
        <v>29</v>
      </c>
      <c r="C138" s="1">
        <f t="shared" si="94"/>
        <v>29</v>
      </c>
      <c r="D138" s="1">
        <f t="shared" si="94"/>
        <v>23</v>
      </c>
      <c r="E138" s="1">
        <f t="shared" si="94"/>
        <v>9</v>
      </c>
      <c r="F138" s="1">
        <f t="shared" si="94"/>
        <v>29</v>
      </c>
      <c r="G138" s="1">
        <f t="shared" si="94"/>
        <v>23</v>
      </c>
      <c r="H138" s="1">
        <f t="shared" si="94"/>
        <v>23</v>
      </c>
      <c r="I138" s="1">
        <f t="shared" si="94"/>
        <v>29</v>
      </c>
      <c r="J138" s="1">
        <f t="shared" si="94"/>
        <v>23</v>
      </c>
      <c r="K138" s="1">
        <f t="shared" si="94"/>
        <v>9</v>
      </c>
      <c r="L138" s="1">
        <f t="shared" si="94"/>
        <v>23</v>
      </c>
      <c r="M138" s="1">
        <f t="shared" si="94"/>
        <v>23</v>
      </c>
      <c r="N138" s="1">
        <f t="shared" si="94"/>
        <v>29</v>
      </c>
      <c r="O138" s="1">
        <f t="shared" si="94"/>
        <v>29</v>
      </c>
      <c r="P138" s="1">
        <f t="shared" si="94"/>
        <v>23</v>
      </c>
      <c r="Q138" s="1">
        <f t="shared" si="94"/>
        <v>9</v>
      </c>
      <c r="R138" s="1">
        <f t="shared" si="94"/>
        <v>23</v>
      </c>
      <c r="S138" s="1">
        <f t="shared" si="94"/>
        <v>29</v>
      </c>
      <c r="T138" s="1">
        <f t="shared" si="94"/>
        <v>9</v>
      </c>
      <c r="U138" s="1">
        <f t="shared" si="94"/>
        <v>29</v>
      </c>
      <c r="V138" s="1">
        <f t="shared" si="94"/>
        <v>23</v>
      </c>
      <c r="W138" s="1">
        <f t="shared" si="94"/>
        <v>9</v>
      </c>
      <c r="X138" s="1">
        <f t="shared" si="94"/>
        <v>23</v>
      </c>
      <c r="Y138" s="1">
        <f t="shared" si="94"/>
        <v>23</v>
      </c>
      <c r="Z138" s="1">
        <f t="shared" si="94"/>
        <v>9</v>
      </c>
      <c r="AA138" s="1">
        <f t="shared" si="94"/>
        <v>23</v>
      </c>
      <c r="AB138" s="1">
        <f t="shared" si="94"/>
        <v>23</v>
      </c>
      <c r="AC138" s="1">
        <f t="shared" si="94"/>
        <v>23</v>
      </c>
      <c r="AD138" s="1">
        <f t="shared" si="94"/>
        <v>29</v>
      </c>
      <c r="AE138" s="1">
        <f t="shared" si="94"/>
        <v>29</v>
      </c>
      <c r="AF138" s="1">
        <f t="shared" si="94"/>
        <v>29</v>
      </c>
      <c r="AG138" s="1">
        <f t="shared" si="94"/>
        <v>9</v>
      </c>
      <c r="AH138" s="1">
        <f t="shared" ref="AH138:BJ138" si="95">COUNTIF($B73:$BJ73,AH73)</f>
        <v>29</v>
      </c>
      <c r="AI138" s="1">
        <f t="shared" si="95"/>
        <v>23</v>
      </c>
      <c r="AJ138" s="1">
        <f t="shared" si="95"/>
        <v>29</v>
      </c>
      <c r="AK138" s="1">
        <f t="shared" si="95"/>
        <v>23</v>
      </c>
      <c r="AL138" s="1">
        <f t="shared" si="95"/>
        <v>23</v>
      </c>
      <c r="AM138" s="1">
        <f t="shared" si="95"/>
        <v>29</v>
      </c>
      <c r="AN138" s="1">
        <f t="shared" si="95"/>
        <v>29</v>
      </c>
      <c r="AO138" s="1">
        <f t="shared" si="95"/>
        <v>29</v>
      </c>
      <c r="AP138" s="1">
        <f t="shared" si="95"/>
        <v>23</v>
      </c>
      <c r="AQ138" s="1">
        <f t="shared" si="95"/>
        <v>23</v>
      </c>
      <c r="AR138" s="1">
        <f t="shared" si="95"/>
        <v>23</v>
      </c>
      <c r="AS138" s="1">
        <f t="shared" si="95"/>
        <v>29</v>
      </c>
      <c r="AT138" s="1">
        <f t="shared" si="95"/>
        <v>29</v>
      </c>
      <c r="AU138" s="1">
        <f t="shared" si="95"/>
        <v>23</v>
      </c>
      <c r="AV138" s="1">
        <f t="shared" si="95"/>
        <v>23</v>
      </c>
      <c r="AW138" s="1">
        <f t="shared" si="95"/>
        <v>29</v>
      </c>
      <c r="AX138" s="1">
        <f t="shared" si="95"/>
        <v>23</v>
      </c>
      <c r="AY138" s="1">
        <f t="shared" si="95"/>
        <v>29</v>
      </c>
      <c r="AZ138" s="1">
        <f t="shared" si="95"/>
        <v>29</v>
      </c>
      <c r="BA138" s="1">
        <f t="shared" si="95"/>
        <v>29</v>
      </c>
      <c r="BB138" s="1">
        <f t="shared" si="95"/>
        <v>29</v>
      </c>
      <c r="BC138" s="1">
        <f t="shared" si="95"/>
        <v>9</v>
      </c>
      <c r="BD138" s="1">
        <f t="shared" si="95"/>
        <v>29</v>
      </c>
      <c r="BE138" s="1">
        <f t="shared" si="95"/>
        <v>29</v>
      </c>
      <c r="BF138" s="1">
        <f t="shared" si="95"/>
        <v>29</v>
      </c>
      <c r="BG138" s="1">
        <f t="shared" si="95"/>
        <v>29</v>
      </c>
      <c r="BH138" s="1">
        <f t="shared" si="95"/>
        <v>9</v>
      </c>
      <c r="BI138" s="1">
        <f t="shared" si="95"/>
        <v>29</v>
      </c>
      <c r="BJ138" s="1">
        <f t="shared" si="95"/>
        <v>29</v>
      </c>
    </row>
    <row r="139" spans="1:62">
      <c r="A139" s="1" t="str">
        <f t="shared" si="81"/>
        <v>   1.1.5) Dedicated cyber security teams</v>
      </c>
      <c r="B139" s="1">
        <f t="shared" ref="B139:AG139" si="96">COUNTIF($B74:$BJ74,B74)</f>
        <v>41</v>
      </c>
      <c r="C139" s="1">
        <f t="shared" si="96"/>
        <v>41</v>
      </c>
      <c r="D139" s="1">
        <f t="shared" si="96"/>
        <v>41</v>
      </c>
      <c r="E139" s="1">
        <f t="shared" si="96"/>
        <v>41</v>
      </c>
      <c r="F139" s="1">
        <f t="shared" si="96"/>
        <v>41</v>
      </c>
      <c r="G139" s="1">
        <f t="shared" si="96"/>
        <v>20</v>
      </c>
      <c r="H139" s="1">
        <f t="shared" si="96"/>
        <v>41</v>
      </c>
      <c r="I139" s="1">
        <f t="shared" si="96"/>
        <v>41</v>
      </c>
      <c r="J139" s="1">
        <f t="shared" si="96"/>
        <v>20</v>
      </c>
      <c r="K139" s="1">
        <f t="shared" si="96"/>
        <v>41</v>
      </c>
      <c r="L139" s="1">
        <f t="shared" si="96"/>
        <v>41</v>
      </c>
      <c r="M139" s="1">
        <f t="shared" si="96"/>
        <v>41</v>
      </c>
      <c r="N139" s="1">
        <f t="shared" si="96"/>
        <v>20</v>
      </c>
      <c r="O139" s="1">
        <f t="shared" si="96"/>
        <v>20</v>
      </c>
      <c r="P139" s="1">
        <f t="shared" si="96"/>
        <v>20</v>
      </c>
      <c r="Q139" s="1">
        <f t="shared" si="96"/>
        <v>41</v>
      </c>
      <c r="R139" s="1">
        <f t="shared" si="96"/>
        <v>41</v>
      </c>
      <c r="S139" s="1">
        <f t="shared" si="96"/>
        <v>41</v>
      </c>
      <c r="T139" s="1">
        <f t="shared" si="96"/>
        <v>41</v>
      </c>
      <c r="U139" s="1">
        <f t="shared" si="96"/>
        <v>20</v>
      </c>
      <c r="V139" s="1">
        <f t="shared" si="96"/>
        <v>41</v>
      </c>
      <c r="W139" s="1">
        <f t="shared" si="96"/>
        <v>41</v>
      </c>
      <c r="X139" s="1">
        <f t="shared" si="96"/>
        <v>20</v>
      </c>
      <c r="Y139" s="1">
        <f t="shared" si="96"/>
        <v>41</v>
      </c>
      <c r="Z139" s="1">
        <f t="shared" si="96"/>
        <v>41</v>
      </c>
      <c r="AA139" s="1">
        <f t="shared" si="96"/>
        <v>41</v>
      </c>
      <c r="AB139" s="1">
        <f t="shared" si="96"/>
        <v>41</v>
      </c>
      <c r="AC139" s="1">
        <f t="shared" si="96"/>
        <v>41</v>
      </c>
      <c r="AD139" s="1">
        <f t="shared" si="96"/>
        <v>41</v>
      </c>
      <c r="AE139" s="1">
        <f t="shared" si="96"/>
        <v>20</v>
      </c>
      <c r="AF139" s="1">
        <f t="shared" si="96"/>
        <v>41</v>
      </c>
      <c r="AG139" s="1">
        <f t="shared" si="96"/>
        <v>41</v>
      </c>
      <c r="AH139" s="1">
        <f t="shared" ref="AH139:BJ139" si="97">COUNTIF($B74:$BJ74,AH74)</f>
        <v>20</v>
      </c>
      <c r="AI139" s="1">
        <f t="shared" si="97"/>
        <v>41</v>
      </c>
      <c r="AJ139" s="1">
        <f t="shared" si="97"/>
        <v>41</v>
      </c>
      <c r="AK139" s="1">
        <f t="shared" si="97"/>
        <v>41</v>
      </c>
      <c r="AL139" s="1">
        <f t="shared" si="97"/>
        <v>20</v>
      </c>
      <c r="AM139" s="1">
        <f t="shared" si="97"/>
        <v>20</v>
      </c>
      <c r="AN139" s="1">
        <f t="shared" si="97"/>
        <v>20</v>
      </c>
      <c r="AO139" s="1">
        <f t="shared" si="97"/>
        <v>41</v>
      </c>
      <c r="AP139" s="1">
        <f t="shared" si="97"/>
        <v>41</v>
      </c>
      <c r="AQ139" s="1">
        <f t="shared" si="97"/>
        <v>41</v>
      </c>
      <c r="AR139" s="1">
        <f t="shared" si="97"/>
        <v>41</v>
      </c>
      <c r="AS139" s="1">
        <f t="shared" si="97"/>
        <v>41</v>
      </c>
      <c r="AT139" s="1">
        <f t="shared" si="97"/>
        <v>20</v>
      </c>
      <c r="AU139" s="1">
        <f t="shared" si="97"/>
        <v>41</v>
      </c>
      <c r="AV139" s="1">
        <f t="shared" si="97"/>
        <v>41</v>
      </c>
      <c r="AW139" s="1">
        <f t="shared" si="97"/>
        <v>41</v>
      </c>
      <c r="AX139" s="1">
        <f t="shared" si="97"/>
        <v>41</v>
      </c>
      <c r="AY139" s="1">
        <f t="shared" si="97"/>
        <v>20</v>
      </c>
      <c r="AZ139" s="1">
        <f t="shared" si="97"/>
        <v>41</v>
      </c>
      <c r="BA139" s="1">
        <f t="shared" si="97"/>
        <v>20</v>
      </c>
      <c r="BB139" s="1">
        <f t="shared" si="97"/>
        <v>20</v>
      </c>
      <c r="BC139" s="1">
        <f t="shared" si="97"/>
        <v>41</v>
      </c>
      <c r="BD139" s="1">
        <f t="shared" si="97"/>
        <v>20</v>
      </c>
      <c r="BE139" s="1">
        <f t="shared" si="97"/>
        <v>20</v>
      </c>
      <c r="BF139" s="1">
        <f t="shared" si="97"/>
        <v>20</v>
      </c>
      <c r="BG139" s="1">
        <f t="shared" si="97"/>
        <v>41</v>
      </c>
      <c r="BH139" s="1">
        <f t="shared" si="97"/>
        <v>41</v>
      </c>
      <c r="BI139" s="1">
        <f t="shared" si="97"/>
        <v>41</v>
      </c>
      <c r="BJ139" s="1">
        <f t="shared" si="97"/>
        <v>20</v>
      </c>
    </row>
    <row r="140" spans="1:62">
      <c r="A140" s="1" t="str">
        <f t="shared" si="81"/>
        <v>  1.2) Digital security (Outputs)</v>
      </c>
      <c r="B140" s="1">
        <f t="shared" ref="B140:AG140" si="98">COUNTIF($B75:$BJ75,B75)</f>
        <v>2</v>
      </c>
      <c r="C140" s="1">
        <f t="shared" si="98"/>
        <v>1</v>
      </c>
      <c r="D140" s="1">
        <f t="shared" si="98"/>
        <v>1</v>
      </c>
      <c r="E140" s="1">
        <f t="shared" si="98"/>
        <v>1</v>
      </c>
      <c r="F140" s="1">
        <f t="shared" si="98"/>
        <v>2</v>
      </c>
      <c r="G140" s="1">
        <f t="shared" si="98"/>
        <v>1</v>
      </c>
      <c r="H140" s="1">
        <f t="shared" si="98"/>
        <v>1</v>
      </c>
      <c r="I140" s="1">
        <f t="shared" si="98"/>
        <v>1</v>
      </c>
      <c r="J140" s="1">
        <f t="shared" si="98"/>
        <v>1</v>
      </c>
      <c r="K140" s="1">
        <f t="shared" si="98"/>
        <v>1</v>
      </c>
      <c r="L140" s="1">
        <f t="shared" si="98"/>
        <v>1</v>
      </c>
      <c r="M140" s="1">
        <f t="shared" si="98"/>
        <v>1</v>
      </c>
      <c r="N140" s="1">
        <f t="shared" si="98"/>
        <v>1</v>
      </c>
      <c r="O140" s="1">
        <f t="shared" si="98"/>
        <v>1</v>
      </c>
      <c r="P140" s="1">
        <f t="shared" si="98"/>
        <v>2</v>
      </c>
      <c r="Q140" s="1">
        <f t="shared" si="98"/>
        <v>1</v>
      </c>
      <c r="R140" s="1">
        <f t="shared" si="98"/>
        <v>1</v>
      </c>
      <c r="S140" s="1">
        <f t="shared" si="98"/>
        <v>1</v>
      </c>
      <c r="T140" s="1">
        <f t="shared" si="98"/>
        <v>1</v>
      </c>
      <c r="U140" s="1">
        <f t="shared" si="98"/>
        <v>1</v>
      </c>
      <c r="V140" s="1">
        <f t="shared" si="98"/>
        <v>1</v>
      </c>
      <c r="W140" s="1">
        <f t="shared" si="98"/>
        <v>1</v>
      </c>
      <c r="X140" s="1">
        <f t="shared" si="98"/>
        <v>2</v>
      </c>
      <c r="Y140" s="1">
        <f t="shared" si="98"/>
        <v>2</v>
      </c>
      <c r="Z140" s="1">
        <f t="shared" si="98"/>
        <v>1</v>
      </c>
      <c r="AA140" s="1">
        <f t="shared" si="98"/>
        <v>1</v>
      </c>
      <c r="AB140" s="1">
        <f t="shared" si="98"/>
        <v>1</v>
      </c>
      <c r="AC140" s="1">
        <f t="shared" si="98"/>
        <v>1</v>
      </c>
      <c r="AD140" s="1">
        <f t="shared" si="98"/>
        <v>1</v>
      </c>
      <c r="AE140" s="1">
        <f t="shared" si="98"/>
        <v>2</v>
      </c>
      <c r="AF140" s="1">
        <f t="shared" si="98"/>
        <v>2</v>
      </c>
      <c r="AG140" s="1">
        <f t="shared" si="98"/>
        <v>1</v>
      </c>
      <c r="AH140" s="1">
        <f t="shared" ref="AH140:BJ140" si="99">COUNTIF($B75:$BJ75,AH75)</f>
        <v>1</v>
      </c>
      <c r="AI140" s="1">
        <f t="shared" si="99"/>
        <v>1</v>
      </c>
      <c r="AJ140" s="1">
        <f t="shared" si="99"/>
        <v>2</v>
      </c>
      <c r="AK140" s="1">
        <f t="shared" si="99"/>
        <v>1</v>
      </c>
      <c r="AL140" s="1">
        <f t="shared" si="99"/>
        <v>2</v>
      </c>
      <c r="AM140" s="1">
        <f t="shared" si="99"/>
        <v>1</v>
      </c>
      <c r="AN140" s="1">
        <f t="shared" si="99"/>
        <v>2</v>
      </c>
      <c r="AO140" s="1">
        <f t="shared" si="99"/>
        <v>1</v>
      </c>
      <c r="AP140" s="1">
        <f t="shared" si="99"/>
        <v>1</v>
      </c>
      <c r="AQ140" s="1">
        <f t="shared" si="99"/>
        <v>2</v>
      </c>
      <c r="AR140" s="1">
        <f t="shared" si="99"/>
        <v>2</v>
      </c>
      <c r="AS140" s="1">
        <f t="shared" si="99"/>
        <v>2</v>
      </c>
      <c r="AT140" s="1">
        <f t="shared" si="99"/>
        <v>2</v>
      </c>
      <c r="AU140" s="1">
        <f t="shared" si="99"/>
        <v>1</v>
      </c>
      <c r="AV140" s="1">
        <f t="shared" si="99"/>
        <v>2</v>
      </c>
      <c r="AW140" s="1">
        <f t="shared" si="99"/>
        <v>1</v>
      </c>
      <c r="AX140" s="1">
        <f t="shared" si="99"/>
        <v>1</v>
      </c>
      <c r="AY140" s="1">
        <f t="shared" si="99"/>
        <v>1</v>
      </c>
      <c r="AZ140" s="1">
        <f t="shared" si="99"/>
        <v>1</v>
      </c>
      <c r="BA140" s="1">
        <f t="shared" si="99"/>
        <v>1</v>
      </c>
      <c r="BB140" s="1">
        <f t="shared" si="99"/>
        <v>1</v>
      </c>
      <c r="BC140" s="1">
        <f t="shared" si="99"/>
        <v>1</v>
      </c>
      <c r="BD140" s="1">
        <f t="shared" si="99"/>
        <v>1</v>
      </c>
      <c r="BE140" s="1">
        <f t="shared" si="99"/>
        <v>1</v>
      </c>
      <c r="BF140" s="1">
        <f t="shared" si="99"/>
        <v>1</v>
      </c>
      <c r="BG140" s="1">
        <f t="shared" si="99"/>
        <v>1</v>
      </c>
      <c r="BH140" s="1">
        <f t="shared" si="99"/>
        <v>1</v>
      </c>
      <c r="BI140" s="1">
        <f t="shared" si="99"/>
        <v>1</v>
      </c>
      <c r="BJ140" s="1">
        <f t="shared" si="99"/>
        <v>2</v>
      </c>
    </row>
    <row r="141" spans="1:62">
      <c r="A141" s="1" t="str">
        <f t="shared" si="81"/>
        <v>   1.2.1) Frequency of identity theft</v>
      </c>
      <c r="B141" s="1">
        <f t="shared" ref="B141:AG141" si="100">COUNTIF($B76:$BJ76,B76)</f>
        <v>30</v>
      </c>
      <c r="C141" s="1">
        <f t="shared" si="100"/>
        <v>1</v>
      </c>
      <c r="D141" s="1">
        <f t="shared" si="100"/>
        <v>30</v>
      </c>
      <c r="E141" s="1">
        <f t="shared" si="100"/>
        <v>30</v>
      </c>
      <c r="F141" s="1">
        <f t="shared" si="100"/>
        <v>2</v>
      </c>
      <c r="G141" s="1">
        <f t="shared" si="100"/>
        <v>30</v>
      </c>
      <c r="H141" s="1">
        <f t="shared" si="100"/>
        <v>30</v>
      </c>
      <c r="I141" s="1">
        <f t="shared" si="100"/>
        <v>30</v>
      </c>
      <c r="J141" s="1">
        <f t="shared" si="100"/>
        <v>1</v>
      </c>
      <c r="K141" s="1">
        <f t="shared" si="100"/>
        <v>30</v>
      </c>
      <c r="L141" s="1">
        <f t="shared" si="100"/>
        <v>30</v>
      </c>
      <c r="M141" s="1">
        <f t="shared" si="100"/>
        <v>30</v>
      </c>
      <c r="N141" s="1">
        <f t="shared" si="100"/>
        <v>6</v>
      </c>
      <c r="O141" s="1">
        <f t="shared" si="100"/>
        <v>6</v>
      </c>
      <c r="P141" s="1">
        <f t="shared" si="100"/>
        <v>2</v>
      </c>
      <c r="Q141" s="1">
        <f t="shared" si="100"/>
        <v>30</v>
      </c>
      <c r="R141" s="1">
        <f t="shared" si="100"/>
        <v>1</v>
      </c>
      <c r="S141" s="1">
        <f t="shared" si="100"/>
        <v>30</v>
      </c>
      <c r="T141" s="1">
        <f t="shared" si="100"/>
        <v>30</v>
      </c>
      <c r="U141" s="1">
        <f t="shared" si="100"/>
        <v>30</v>
      </c>
      <c r="V141" s="1">
        <f t="shared" si="100"/>
        <v>1</v>
      </c>
      <c r="W141" s="1">
        <f t="shared" si="100"/>
        <v>30</v>
      </c>
      <c r="X141" s="1">
        <f t="shared" si="100"/>
        <v>30</v>
      </c>
      <c r="Y141" s="1">
        <f t="shared" si="100"/>
        <v>1</v>
      </c>
      <c r="Z141" s="1">
        <f t="shared" si="100"/>
        <v>1</v>
      </c>
      <c r="AA141" s="1">
        <f t="shared" si="100"/>
        <v>30</v>
      </c>
      <c r="AB141" s="1">
        <f t="shared" si="100"/>
        <v>30</v>
      </c>
      <c r="AC141" s="1">
        <f t="shared" si="100"/>
        <v>30</v>
      </c>
      <c r="AD141" s="1">
        <f t="shared" si="100"/>
        <v>1</v>
      </c>
      <c r="AE141" s="1">
        <f t="shared" si="100"/>
        <v>6</v>
      </c>
      <c r="AF141" s="1">
        <f t="shared" si="100"/>
        <v>2</v>
      </c>
      <c r="AG141" s="1">
        <f t="shared" si="100"/>
        <v>1</v>
      </c>
      <c r="AH141" s="1">
        <f t="shared" ref="AH141:BJ141" si="101">COUNTIF($B76:$BJ76,AH76)</f>
        <v>2</v>
      </c>
      <c r="AI141" s="1">
        <f t="shared" si="101"/>
        <v>1</v>
      </c>
      <c r="AJ141" s="1">
        <f t="shared" si="101"/>
        <v>2</v>
      </c>
      <c r="AK141" s="1">
        <f t="shared" si="101"/>
        <v>1</v>
      </c>
      <c r="AL141" s="1">
        <f t="shared" si="101"/>
        <v>2</v>
      </c>
      <c r="AM141" s="1">
        <f t="shared" si="101"/>
        <v>6</v>
      </c>
      <c r="AN141" s="1">
        <f t="shared" si="101"/>
        <v>3</v>
      </c>
      <c r="AO141" s="1">
        <f t="shared" si="101"/>
        <v>1</v>
      </c>
      <c r="AP141" s="1">
        <f t="shared" si="101"/>
        <v>30</v>
      </c>
      <c r="AQ141" s="1">
        <f t="shared" si="101"/>
        <v>30</v>
      </c>
      <c r="AR141" s="1">
        <f t="shared" si="101"/>
        <v>30</v>
      </c>
      <c r="AS141" s="1">
        <f t="shared" si="101"/>
        <v>2</v>
      </c>
      <c r="AT141" s="1">
        <f t="shared" si="101"/>
        <v>6</v>
      </c>
      <c r="AU141" s="1">
        <f t="shared" si="101"/>
        <v>30</v>
      </c>
      <c r="AV141" s="1">
        <f t="shared" si="101"/>
        <v>30</v>
      </c>
      <c r="AW141" s="1">
        <f t="shared" si="101"/>
        <v>1</v>
      </c>
      <c r="AX141" s="1">
        <f t="shared" si="101"/>
        <v>30</v>
      </c>
      <c r="AY141" s="1">
        <f t="shared" si="101"/>
        <v>30</v>
      </c>
      <c r="AZ141" s="1">
        <f t="shared" si="101"/>
        <v>30</v>
      </c>
      <c r="BA141" s="1">
        <f t="shared" si="101"/>
        <v>2</v>
      </c>
      <c r="BB141" s="1">
        <f t="shared" si="101"/>
        <v>1</v>
      </c>
      <c r="BC141" s="1">
        <f t="shared" si="101"/>
        <v>30</v>
      </c>
      <c r="BD141" s="1">
        <f t="shared" si="101"/>
        <v>3</v>
      </c>
      <c r="BE141" s="1">
        <f t="shared" si="101"/>
        <v>1</v>
      </c>
      <c r="BF141" s="1">
        <f t="shared" si="101"/>
        <v>6</v>
      </c>
      <c r="BG141" s="1">
        <f t="shared" si="101"/>
        <v>30</v>
      </c>
      <c r="BH141" s="1">
        <f t="shared" si="101"/>
        <v>30</v>
      </c>
      <c r="BI141" s="1">
        <f t="shared" si="101"/>
        <v>30</v>
      </c>
      <c r="BJ141" s="1">
        <f t="shared" si="101"/>
        <v>3</v>
      </c>
    </row>
    <row r="142" spans="1:62">
      <c r="A142" s="1" t="str">
        <f t="shared" si="81"/>
        <v>   1.2.2) Percentage of computers infected</v>
      </c>
      <c r="B142" s="1">
        <f t="shared" ref="B142:AG142" si="102">COUNTIF($B77:$BJ77,B77)</f>
        <v>18</v>
      </c>
      <c r="C142" s="1">
        <f t="shared" si="102"/>
        <v>10</v>
      </c>
      <c r="D142" s="1">
        <f t="shared" si="102"/>
        <v>18</v>
      </c>
      <c r="E142" s="1">
        <f t="shared" si="102"/>
        <v>32</v>
      </c>
      <c r="F142" s="1">
        <f t="shared" si="102"/>
        <v>18</v>
      </c>
      <c r="G142" s="1">
        <f t="shared" si="102"/>
        <v>18</v>
      </c>
      <c r="H142" s="1">
        <f t="shared" si="102"/>
        <v>32</v>
      </c>
      <c r="I142" s="1">
        <f t="shared" si="102"/>
        <v>32</v>
      </c>
      <c r="J142" s="1">
        <f t="shared" si="102"/>
        <v>10</v>
      </c>
      <c r="K142" s="1">
        <f t="shared" si="102"/>
        <v>32</v>
      </c>
      <c r="L142" s="1">
        <f t="shared" si="102"/>
        <v>32</v>
      </c>
      <c r="M142" s="1">
        <f t="shared" si="102"/>
        <v>32</v>
      </c>
      <c r="N142" s="1">
        <f t="shared" si="102"/>
        <v>32</v>
      </c>
      <c r="O142" s="1">
        <f t="shared" si="102"/>
        <v>32</v>
      </c>
      <c r="P142" s="1">
        <f t="shared" si="102"/>
        <v>18</v>
      </c>
      <c r="Q142" s="1">
        <f t="shared" si="102"/>
        <v>32</v>
      </c>
      <c r="R142" s="1">
        <f t="shared" si="102"/>
        <v>18</v>
      </c>
      <c r="S142" s="1">
        <f t="shared" si="102"/>
        <v>32</v>
      </c>
      <c r="T142" s="1">
        <f t="shared" si="102"/>
        <v>18</v>
      </c>
      <c r="U142" s="1">
        <f t="shared" si="102"/>
        <v>18</v>
      </c>
      <c r="V142" s="1">
        <f t="shared" si="102"/>
        <v>32</v>
      </c>
      <c r="W142" s="1">
        <f t="shared" si="102"/>
        <v>18</v>
      </c>
      <c r="X142" s="1">
        <f t="shared" si="102"/>
        <v>32</v>
      </c>
      <c r="Y142" s="1">
        <f t="shared" si="102"/>
        <v>10</v>
      </c>
      <c r="Z142" s="1">
        <f t="shared" si="102"/>
        <v>32</v>
      </c>
      <c r="AA142" s="1">
        <f t="shared" si="102"/>
        <v>32</v>
      </c>
      <c r="AB142" s="1">
        <f t="shared" si="102"/>
        <v>32</v>
      </c>
      <c r="AC142" s="1">
        <f t="shared" si="102"/>
        <v>32</v>
      </c>
      <c r="AD142" s="1">
        <f t="shared" si="102"/>
        <v>32</v>
      </c>
      <c r="AE142" s="1">
        <f t="shared" si="102"/>
        <v>32</v>
      </c>
      <c r="AF142" s="1">
        <f t="shared" si="102"/>
        <v>18</v>
      </c>
      <c r="AG142" s="1">
        <f t="shared" si="102"/>
        <v>32</v>
      </c>
      <c r="AH142" s="1">
        <f t="shared" ref="AH142:BJ142" si="103">COUNTIF($B77:$BJ77,AH77)</f>
        <v>32</v>
      </c>
      <c r="AI142" s="1">
        <f t="shared" si="103"/>
        <v>32</v>
      </c>
      <c r="AJ142" s="1">
        <f t="shared" si="103"/>
        <v>18</v>
      </c>
      <c r="AK142" s="1">
        <f t="shared" si="103"/>
        <v>1</v>
      </c>
      <c r="AL142" s="1">
        <f t="shared" si="103"/>
        <v>18</v>
      </c>
      <c r="AM142" s="1">
        <f t="shared" si="103"/>
        <v>32</v>
      </c>
      <c r="AN142" s="1">
        <f t="shared" si="103"/>
        <v>10</v>
      </c>
      <c r="AO142" s="1">
        <f t="shared" si="103"/>
        <v>18</v>
      </c>
      <c r="AP142" s="1">
        <f t="shared" si="103"/>
        <v>10</v>
      </c>
      <c r="AQ142" s="1">
        <f t="shared" si="103"/>
        <v>18</v>
      </c>
      <c r="AR142" s="1">
        <f t="shared" si="103"/>
        <v>32</v>
      </c>
      <c r="AS142" s="1">
        <f t="shared" si="103"/>
        <v>18</v>
      </c>
      <c r="AT142" s="1">
        <f t="shared" si="103"/>
        <v>32</v>
      </c>
      <c r="AU142" s="1">
        <f t="shared" si="103"/>
        <v>18</v>
      </c>
      <c r="AV142" s="1">
        <f t="shared" si="103"/>
        <v>18</v>
      </c>
      <c r="AW142" s="1">
        <f t="shared" si="103"/>
        <v>10</v>
      </c>
      <c r="AX142" s="1">
        <f t="shared" si="103"/>
        <v>18</v>
      </c>
      <c r="AY142" s="1">
        <f t="shared" si="103"/>
        <v>32</v>
      </c>
      <c r="AZ142" s="1">
        <f t="shared" si="103"/>
        <v>10</v>
      </c>
      <c r="BA142" s="1">
        <f t="shared" si="103"/>
        <v>32</v>
      </c>
      <c r="BB142" s="1">
        <f t="shared" si="103"/>
        <v>32</v>
      </c>
      <c r="BC142" s="1">
        <f t="shared" si="103"/>
        <v>32</v>
      </c>
      <c r="BD142" s="1">
        <f t="shared" si="103"/>
        <v>10</v>
      </c>
      <c r="BE142" s="1">
        <f t="shared" si="103"/>
        <v>32</v>
      </c>
      <c r="BF142" s="1">
        <f t="shared" si="103"/>
        <v>32</v>
      </c>
      <c r="BG142" s="1">
        <f t="shared" si="103"/>
        <v>32</v>
      </c>
      <c r="BH142" s="1">
        <f t="shared" si="103"/>
        <v>10</v>
      </c>
      <c r="BI142" s="1">
        <f t="shared" si="103"/>
        <v>32</v>
      </c>
      <c r="BJ142" s="1">
        <f t="shared" si="103"/>
        <v>10</v>
      </c>
    </row>
    <row r="143" spans="1:62">
      <c r="A143" s="1" t="str">
        <f t="shared" ref="A143:A193" si="104">A78</f>
        <v>   1.2.3) Percentage with Internet access</v>
      </c>
      <c r="B143" s="1">
        <f t="shared" ref="B143:BJ143" si="105">COUNTIF($B78:$BJ78,B78)</f>
        <v>1</v>
      </c>
      <c r="C143" s="1">
        <f t="shared" si="105"/>
        <v>1</v>
      </c>
      <c r="D143" s="1">
        <f t="shared" si="105"/>
        <v>1</v>
      </c>
      <c r="E143" s="1">
        <f t="shared" si="105"/>
        <v>1</v>
      </c>
      <c r="F143" s="1">
        <f t="shared" si="105"/>
        <v>2</v>
      </c>
      <c r="G143" s="1">
        <f t="shared" si="105"/>
        <v>1</v>
      </c>
      <c r="H143" s="1">
        <f t="shared" si="105"/>
        <v>1</v>
      </c>
      <c r="I143" s="1">
        <f t="shared" si="105"/>
        <v>1</v>
      </c>
      <c r="J143" s="1">
        <f t="shared" si="105"/>
        <v>1</v>
      </c>
      <c r="K143" s="1">
        <f t="shared" si="105"/>
        <v>1</v>
      </c>
      <c r="L143" s="1">
        <f t="shared" si="105"/>
        <v>1</v>
      </c>
      <c r="M143" s="1">
        <f t="shared" si="105"/>
        <v>1</v>
      </c>
      <c r="N143" s="1">
        <f t="shared" si="105"/>
        <v>1</v>
      </c>
      <c r="O143" s="1">
        <f t="shared" si="105"/>
        <v>1</v>
      </c>
      <c r="P143" s="1">
        <f t="shared" si="105"/>
        <v>2</v>
      </c>
      <c r="Q143" s="1">
        <f t="shared" si="105"/>
        <v>1</v>
      </c>
      <c r="R143" s="1">
        <f t="shared" si="105"/>
        <v>1</v>
      </c>
      <c r="S143" s="1">
        <f t="shared" si="105"/>
        <v>1</v>
      </c>
      <c r="T143" s="1">
        <f t="shared" si="105"/>
        <v>1</v>
      </c>
      <c r="U143" s="1">
        <f t="shared" si="105"/>
        <v>1</v>
      </c>
      <c r="V143" s="1">
        <f t="shared" si="105"/>
        <v>1</v>
      </c>
      <c r="W143" s="1">
        <f t="shared" si="105"/>
        <v>1</v>
      </c>
      <c r="X143" s="1">
        <f t="shared" si="105"/>
        <v>2</v>
      </c>
      <c r="Y143" s="1">
        <f t="shared" si="105"/>
        <v>1</v>
      </c>
      <c r="Z143" s="1">
        <f t="shared" si="105"/>
        <v>1</v>
      </c>
      <c r="AA143" s="1">
        <f t="shared" si="105"/>
        <v>1</v>
      </c>
      <c r="AB143" s="1">
        <f t="shared" si="105"/>
        <v>1</v>
      </c>
      <c r="AC143" s="1">
        <f t="shared" si="105"/>
        <v>1</v>
      </c>
      <c r="AD143" s="1">
        <f t="shared" si="105"/>
        <v>1</v>
      </c>
      <c r="AE143" s="1">
        <f t="shared" si="105"/>
        <v>2</v>
      </c>
      <c r="AF143" s="1">
        <f t="shared" si="105"/>
        <v>2</v>
      </c>
      <c r="AG143" s="1">
        <f t="shared" si="105"/>
        <v>1</v>
      </c>
      <c r="AH143" s="1">
        <f t="shared" si="105"/>
        <v>2</v>
      </c>
      <c r="AI143" s="1">
        <f t="shared" si="105"/>
        <v>1</v>
      </c>
      <c r="AJ143" s="1">
        <f t="shared" si="105"/>
        <v>2</v>
      </c>
      <c r="AK143" s="1">
        <f t="shared" si="105"/>
        <v>1</v>
      </c>
      <c r="AL143" s="1">
        <f t="shared" si="105"/>
        <v>2</v>
      </c>
      <c r="AM143" s="1">
        <f t="shared" si="105"/>
        <v>1</v>
      </c>
      <c r="AN143" s="1">
        <f t="shared" si="105"/>
        <v>2</v>
      </c>
      <c r="AO143" s="1">
        <f t="shared" si="105"/>
        <v>1</v>
      </c>
      <c r="AP143" s="1">
        <f t="shared" si="105"/>
        <v>1</v>
      </c>
      <c r="AQ143" s="1">
        <f t="shared" si="105"/>
        <v>2</v>
      </c>
      <c r="AR143" s="1">
        <f t="shared" si="105"/>
        <v>2</v>
      </c>
      <c r="AS143" s="1">
        <f t="shared" si="105"/>
        <v>2</v>
      </c>
      <c r="AT143" s="1">
        <f t="shared" si="105"/>
        <v>2</v>
      </c>
      <c r="AU143" s="1">
        <f t="shared" si="105"/>
        <v>1</v>
      </c>
      <c r="AV143" s="1">
        <f t="shared" si="105"/>
        <v>2</v>
      </c>
      <c r="AW143" s="1">
        <f t="shared" si="105"/>
        <v>1</v>
      </c>
      <c r="AX143" s="1">
        <f t="shared" si="105"/>
        <v>1</v>
      </c>
      <c r="AY143" s="1">
        <f t="shared" si="105"/>
        <v>1</v>
      </c>
      <c r="AZ143" s="1">
        <f t="shared" si="105"/>
        <v>1</v>
      </c>
      <c r="BA143" s="1">
        <f t="shared" si="105"/>
        <v>2</v>
      </c>
      <c r="BB143" s="1">
        <f t="shared" si="105"/>
        <v>1</v>
      </c>
      <c r="BC143" s="1">
        <f t="shared" si="105"/>
        <v>1</v>
      </c>
      <c r="BD143" s="1">
        <f t="shared" si="105"/>
        <v>1</v>
      </c>
      <c r="BE143" s="1">
        <f t="shared" si="105"/>
        <v>1</v>
      </c>
      <c r="BF143" s="1">
        <f t="shared" si="105"/>
        <v>1</v>
      </c>
      <c r="BG143" s="1">
        <f t="shared" si="105"/>
        <v>1</v>
      </c>
      <c r="BH143" s="1">
        <f t="shared" si="105"/>
        <v>1</v>
      </c>
      <c r="BI143" s="1">
        <f t="shared" si="105"/>
        <v>1</v>
      </c>
      <c r="BJ143" s="1">
        <f t="shared" si="105"/>
        <v>2</v>
      </c>
    </row>
    <row r="144" spans="1:62">
      <c r="A144" s="1" t="str">
        <f t="shared" si="104"/>
        <v> 2) HEALTH SECURITY</v>
      </c>
      <c r="B144" s="1">
        <f t="shared" ref="B144:BJ144" si="106">COUNTIF($B79:$BJ79,B79)</f>
        <v>1</v>
      </c>
      <c r="C144" s="1">
        <f t="shared" si="106"/>
        <v>1</v>
      </c>
      <c r="D144" s="1">
        <f t="shared" si="106"/>
        <v>1</v>
      </c>
      <c r="E144" s="1">
        <f t="shared" si="106"/>
        <v>1</v>
      </c>
      <c r="F144" s="1">
        <f t="shared" si="106"/>
        <v>1</v>
      </c>
      <c r="G144" s="1">
        <f t="shared" si="106"/>
        <v>1</v>
      </c>
      <c r="H144" s="1">
        <f t="shared" si="106"/>
        <v>1</v>
      </c>
      <c r="I144" s="1">
        <f t="shared" si="106"/>
        <v>1</v>
      </c>
      <c r="J144" s="1">
        <f t="shared" si="106"/>
        <v>1</v>
      </c>
      <c r="K144" s="1">
        <f t="shared" si="106"/>
        <v>1</v>
      </c>
      <c r="L144" s="1">
        <f t="shared" si="106"/>
        <v>1</v>
      </c>
      <c r="M144" s="1">
        <f t="shared" si="106"/>
        <v>1</v>
      </c>
      <c r="N144" s="1">
        <f t="shared" si="106"/>
        <v>1</v>
      </c>
      <c r="O144" s="1">
        <f t="shared" si="106"/>
        <v>1</v>
      </c>
      <c r="P144" s="1">
        <f t="shared" si="106"/>
        <v>1</v>
      </c>
      <c r="Q144" s="1">
        <f t="shared" si="106"/>
        <v>1</v>
      </c>
      <c r="R144" s="1">
        <f t="shared" si="106"/>
        <v>2</v>
      </c>
      <c r="S144" s="1">
        <f t="shared" si="106"/>
        <v>1</v>
      </c>
      <c r="T144" s="1">
        <f t="shared" si="106"/>
        <v>1</v>
      </c>
      <c r="U144" s="1">
        <f t="shared" si="106"/>
        <v>1</v>
      </c>
      <c r="V144" s="1">
        <f t="shared" si="106"/>
        <v>2</v>
      </c>
      <c r="W144" s="1">
        <f t="shared" si="106"/>
        <v>1</v>
      </c>
      <c r="X144" s="1">
        <f t="shared" si="106"/>
        <v>1</v>
      </c>
      <c r="Y144" s="1">
        <f t="shared" si="106"/>
        <v>1</v>
      </c>
      <c r="Z144" s="1">
        <f t="shared" si="106"/>
        <v>1</v>
      </c>
      <c r="AA144" s="1">
        <f t="shared" si="106"/>
        <v>1</v>
      </c>
      <c r="AB144" s="1">
        <f t="shared" si="106"/>
        <v>1</v>
      </c>
      <c r="AC144" s="1">
        <f t="shared" si="106"/>
        <v>1</v>
      </c>
      <c r="AD144" s="1">
        <f t="shared" si="106"/>
        <v>1</v>
      </c>
      <c r="AE144" s="1">
        <f t="shared" si="106"/>
        <v>1</v>
      </c>
      <c r="AF144" s="1">
        <f t="shared" si="106"/>
        <v>1</v>
      </c>
      <c r="AG144" s="1">
        <f t="shared" si="106"/>
        <v>1</v>
      </c>
      <c r="AH144" s="1">
        <f t="shared" si="106"/>
        <v>1</v>
      </c>
      <c r="AI144" s="1">
        <f t="shared" si="106"/>
        <v>1</v>
      </c>
      <c r="AJ144" s="1">
        <f t="shared" si="106"/>
        <v>1</v>
      </c>
      <c r="AK144" s="1">
        <f t="shared" si="106"/>
        <v>1</v>
      </c>
      <c r="AL144" s="1">
        <f t="shared" si="106"/>
        <v>1</v>
      </c>
      <c r="AM144" s="1">
        <f t="shared" si="106"/>
        <v>1</v>
      </c>
      <c r="AN144" s="1">
        <f t="shared" si="106"/>
        <v>2</v>
      </c>
      <c r="AO144" s="1">
        <f t="shared" si="106"/>
        <v>1</v>
      </c>
      <c r="AP144" s="1">
        <f t="shared" si="106"/>
        <v>1</v>
      </c>
      <c r="AQ144" s="1">
        <f t="shared" si="106"/>
        <v>1</v>
      </c>
      <c r="AR144" s="1">
        <f t="shared" si="106"/>
        <v>1</v>
      </c>
      <c r="AS144" s="1">
        <f t="shared" si="106"/>
        <v>1</v>
      </c>
      <c r="AT144" s="1">
        <f t="shared" si="106"/>
        <v>1</v>
      </c>
      <c r="AU144" s="1">
        <f t="shared" si="106"/>
        <v>1</v>
      </c>
      <c r="AV144" s="1">
        <f t="shared" si="106"/>
        <v>1</v>
      </c>
      <c r="AW144" s="1">
        <f t="shared" si="106"/>
        <v>1</v>
      </c>
      <c r="AX144" s="1">
        <f t="shared" si="106"/>
        <v>1</v>
      </c>
      <c r="AY144" s="1">
        <f t="shared" si="106"/>
        <v>1</v>
      </c>
      <c r="AZ144" s="1">
        <f t="shared" si="106"/>
        <v>1</v>
      </c>
      <c r="BA144" s="1">
        <f t="shared" si="106"/>
        <v>1</v>
      </c>
      <c r="BB144" s="1">
        <f t="shared" si="106"/>
        <v>1</v>
      </c>
      <c r="BC144" s="1">
        <f t="shared" si="106"/>
        <v>1</v>
      </c>
      <c r="BD144" s="1">
        <f t="shared" si="106"/>
        <v>1</v>
      </c>
      <c r="BE144" s="1">
        <f t="shared" si="106"/>
        <v>1</v>
      </c>
      <c r="BF144" s="1">
        <f t="shared" si="106"/>
        <v>1</v>
      </c>
      <c r="BG144" s="1">
        <f t="shared" si="106"/>
        <v>1</v>
      </c>
      <c r="BH144" s="1">
        <f t="shared" si="106"/>
        <v>1</v>
      </c>
      <c r="BI144" s="1">
        <f t="shared" si="106"/>
        <v>1</v>
      </c>
      <c r="BJ144" s="1">
        <f t="shared" si="106"/>
        <v>2</v>
      </c>
    </row>
    <row r="145" spans="1:62">
      <c r="A145" s="1" t="str">
        <f t="shared" si="104"/>
        <v>  2.1) Health security (Inputs)</v>
      </c>
      <c r="B145" s="1">
        <f t="shared" ref="B145:BJ145" si="107">COUNTIF($B80:$BJ80,B80)</f>
        <v>1</v>
      </c>
      <c r="C145" s="1">
        <f t="shared" si="107"/>
        <v>1</v>
      </c>
      <c r="D145" s="1">
        <f t="shared" si="107"/>
        <v>1</v>
      </c>
      <c r="E145" s="1">
        <f t="shared" si="107"/>
        <v>1</v>
      </c>
      <c r="F145" s="1">
        <f t="shared" si="107"/>
        <v>1</v>
      </c>
      <c r="G145" s="1">
        <f t="shared" si="107"/>
        <v>1</v>
      </c>
      <c r="H145" s="1">
        <f t="shared" si="107"/>
        <v>1</v>
      </c>
      <c r="I145" s="1">
        <f t="shared" si="107"/>
        <v>1</v>
      </c>
      <c r="J145" s="1">
        <f t="shared" si="107"/>
        <v>1</v>
      </c>
      <c r="K145" s="1">
        <f t="shared" si="107"/>
        <v>1</v>
      </c>
      <c r="L145" s="1">
        <f t="shared" si="107"/>
        <v>1</v>
      </c>
      <c r="M145" s="1">
        <f t="shared" si="107"/>
        <v>1</v>
      </c>
      <c r="N145" s="1">
        <f t="shared" si="107"/>
        <v>1</v>
      </c>
      <c r="O145" s="1">
        <f t="shared" si="107"/>
        <v>1</v>
      </c>
      <c r="P145" s="1">
        <f t="shared" si="107"/>
        <v>1</v>
      </c>
      <c r="Q145" s="1">
        <f t="shared" si="107"/>
        <v>1</v>
      </c>
      <c r="R145" s="1">
        <f t="shared" si="107"/>
        <v>1</v>
      </c>
      <c r="S145" s="1">
        <f t="shared" si="107"/>
        <v>1</v>
      </c>
      <c r="T145" s="1">
        <f t="shared" si="107"/>
        <v>1</v>
      </c>
      <c r="U145" s="1">
        <f t="shared" si="107"/>
        <v>1</v>
      </c>
      <c r="V145" s="1">
        <f t="shared" si="107"/>
        <v>1</v>
      </c>
      <c r="W145" s="1">
        <f t="shared" si="107"/>
        <v>1</v>
      </c>
      <c r="X145" s="1">
        <f t="shared" si="107"/>
        <v>1</v>
      </c>
      <c r="Y145" s="1">
        <f t="shared" si="107"/>
        <v>1</v>
      </c>
      <c r="Z145" s="1">
        <f t="shared" si="107"/>
        <v>1</v>
      </c>
      <c r="AA145" s="1">
        <f t="shared" si="107"/>
        <v>1</v>
      </c>
      <c r="AB145" s="1">
        <f t="shared" si="107"/>
        <v>1</v>
      </c>
      <c r="AC145" s="1">
        <f t="shared" si="107"/>
        <v>1</v>
      </c>
      <c r="AD145" s="1">
        <f t="shared" si="107"/>
        <v>1</v>
      </c>
      <c r="AE145" s="1">
        <f t="shared" si="107"/>
        <v>1</v>
      </c>
      <c r="AF145" s="1">
        <f t="shared" si="107"/>
        <v>1</v>
      </c>
      <c r="AG145" s="1">
        <f t="shared" si="107"/>
        <v>1</v>
      </c>
      <c r="AH145" s="1">
        <f t="shared" si="107"/>
        <v>1</v>
      </c>
      <c r="AI145" s="1">
        <f t="shared" si="107"/>
        <v>1</v>
      </c>
      <c r="AJ145" s="1">
        <f t="shared" si="107"/>
        <v>1</v>
      </c>
      <c r="AK145" s="1">
        <f t="shared" si="107"/>
        <v>1</v>
      </c>
      <c r="AL145" s="1">
        <f t="shared" si="107"/>
        <v>1</v>
      </c>
      <c r="AM145" s="1">
        <f t="shared" si="107"/>
        <v>1</v>
      </c>
      <c r="AN145" s="1">
        <f t="shared" si="107"/>
        <v>2</v>
      </c>
      <c r="AO145" s="1">
        <f t="shared" si="107"/>
        <v>1</v>
      </c>
      <c r="AP145" s="1">
        <f t="shared" si="107"/>
        <v>1</v>
      </c>
      <c r="AQ145" s="1">
        <f t="shared" si="107"/>
        <v>1</v>
      </c>
      <c r="AR145" s="1">
        <f t="shared" si="107"/>
        <v>1</v>
      </c>
      <c r="AS145" s="1">
        <f t="shared" si="107"/>
        <v>1</v>
      </c>
      <c r="AT145" s="1">
        <f t="shared" si="107"/>
        <v>1</v>
      </c>
      <c r="AU145" s="1">
        <f t="shared" si="107"/>
        <v>1</v>
      </c>
      <c r="AV145" s="1">
        <f t="shared" si="107"/>
        <v>1</v>
      </c>
      <c r="AW145" s="1">
        <f t="shared" si="107"/>
        <v>1</v>
      </c>
      <c r="AX145" s="1">
        <f t="shared" si="107"/>
        <v>1</v>
      </c>
      <c r="AY145" s="1">
        <f t="shared" si="107"/>
        <v>1</v>
      </c>
      <c r="AZ145" s="1">
        <f t="shared" si="107"/>
        <v>1</v>
      </c>
      <c r="BA145" s="1">
        <f t="shared" si="107"/>
        <v>1</v>
      </c>
      <c r="BB145" s="1">
        <f t="shared" si="107"/>
        <v>1</v>
      </c>
      <c r="BC145" s="1">
        <f t="shared" si="107"/>
        <v>1</v>
      </c>
      <c r="BD145" s="1">
        <f t="shared" si="107"/>
        <v>1</v>
      </c>
      <c r="BE145" s="1">
        <f t="shared" si="107"/>
        <v>1</v>
      </c>
      <c r="BF145" s="1">
        <f t="shared" si="107"/>
        <v>1</v>
      </c>
      <c r="BG145" s="1">
        <f t="shared" si="107"/>
        <v>1</v>
      </c>
      <c r="BH145" s="1">
        <f t="shared" si="107"/>
        <v>1</v>
      </c>
      <c r="BI145" s="1">
        <f t="shared" si="107"/>
        <v>1</v>
      </c>
      <c r="BJ145" s="1">
        <f t="shared" si="107"/>
        <v>2</v>
      </c>
    </row>
    <row r="146" spans="1:62">
      <c r="A146" s="1" t="str">
        <f t="shared" si="104"/>
        <v>   2.1.1) Environmental policies</v>
      </c>
      <c r="B146" s="1">
        <f t="shared" ref="B146:BJ146" si="108">COUNTIF($B81:$BJ81,B81)</f>
        <v>6</v>
      </c>
      <c r="C146" s="1">
        <f t="shared" si="108"/>
        <v>6</v>
      </c>
      <c r="D146" s="1">
        <f t="shared" si="108"/>
        <v>1</v>
      </c>
      <c r="E146" s="1">
        <f t="shared" si="108"/>
        <v>2</v>
      </c>
      <c r="F146" s="1">
        <f t="shared" si="108"/>
        <v>3</v>
      </c>
      <c r="G146" s="1">
        <f t="shared" si="108"/>
        <v>2</v>
      </c>
      <c r="H146" s="1">
        <f t="shared" si="108"/>
        <v>6</v>
      </c>
      <c r="I146" s="1">
        <f t="shared" si="108"/>
        <v>6</v>
      </c>
      <c r="J146" s="1">
        <f t="shared" si="108"/>
        <v>6</v>
      </c>
      <c r="K146" s="1">
        <f t="shared" si="108"/>
        <v>1</v>
      </c>
      <c r="L146" s="1">
        <f t="shared" si="108"/>
        <v>2</v>
      </c>
      <c r="M146" s="1">
        <f t="shared" si="108"/>
        <v>6</v>
      </c>
      <c r="N146" s="1">
        <f t="shared" si="108"/>
        <v>6</v>
      </c>
      <c r="O146" s="1">
        <f t="shared" si="108"/>
        <v>1</v>
      </c>
      <c r="P146" s="1">
        <f t="shared" si="108"/>
        <v>6</v>
      </c>
      <c r="Q146" s="1">
        <f t="shared" si="108"/>
        <v>1</v>
      </c>
      <c r="R146" s="1">
        <f t="shared" si="108"/>
        <v>2</v>
      </c>
      <c r="S146" s="1">
        <f t="shared" si="108"/>
        <v>6</v>
      </c>
      <c r="T146" s="1">
        <f t="shared" si="108"/>
        <v>6</v>
      </c>
      <c r="U146" s="1">
        <f t="shared" si="108"/>
        <v>6</v>
      </c>
      <c r="V146" s="1">
        <f t="shared" si="108"/>
        <v>2</v>
      </c>
      <c r="W146" s="1">
        <f t="shared" si="108"/>
        <v>1</v>
      </c>
      <c r="X146" s="1">
        <f t="shared" si="108"/>
        <v>3</v>
      </c>
      <c r="Y146" s="1">
        <f t="shared" si="108"/>
        <v>7</v>
      </c>
      <c r="Z146" s="1">
        <f t="shared" si="108"/>
        <v>1</v>
      </c>
      <c r="AA146" s="1">
        <f t="shared" si="108"/>
        <v>6</v>
      </c>
      <c r="AB146" s="1">
        <f t="shared" si="108"/>
        <v>1</v>
      </c>
      <c r="AC146" s="1">
        <f t="shared" si="108"/>
        <v>2</v>
      </c>
      <c r="AD146" s="1">
        <f t="shared" si="108"/>
        <v>2</v>
      </c>
      <c r="AE146" s="1">
        <f t="shared" si="108"/>
        <v>3</v>
      </c>
      <c r="AF146" s="1">
        <f t="shared" si="108"/>
        <v>3</v>
      </c>
      <c r="AG146" s="1">
        <f t="shared" si="108"/>
        <v>2</v>
      </c>
      <c r="AH146" s="1">
        <f t="shared" si="108"/>
        <v>3</v>
      </c>
      <c r="AI146" s="1">
        <f t="shared" si="108"/>
        <v>7</v>
      </c>
      <c r="AJ146" s="1">
        <f t="shared" si="108"/>
        <v>2</v>
      </c>
      <c r="AK146" s="1">
        <f t="shared" si="108"/>
        <v>1</v>
      </c>
      <c r="AL146" s="1">
        <f t="shared" si="108"/>
        <v>3</v>
      </c>
      <c r="AM146" s="1">
        <f t="shared" si="108"/>
        <v>3</v>
      </c>
      <c r="AN146" s="1">
        <f t="shared" si="108"/>
        <v>6</v>
      </c>
      <c r="AO146" s="1">
        <f t="shared" si="108"/>
        <v>6</v>
      </c>
      <c r="AP146" s="1">
        <f t="shared" si="108"/>
        <v>2</v>
      </c>
      <c r="AQ146" s="1">
        <f t="shared" si="108"/>
        <v>2</v>
      </c>
      <c r="AR146" s="1">
        <f t="shared" si="108"/>
        <v>3</v>
      </c>
      <c r="AS146" s="1">
        <f t="shared" si="108"/>
        <v>2</v>
      </c>
      <c r="AT146" s="1">
        <f t="shared" si="108"/>
        <v>6</v>
      </c>
      <c r="AU146" s="1">
        <f t="shared" si="108"/>
        <v>1</v>
      </c>
      <c r="AV146" s="1">
        <f t="shared" si="108"/>
        <v>2</v>
      </c>
      <c r="AW146" s="1">
        <f t="shared" si="108"/>
        <v>1</v>
      </c>
      <c r="AX146" s="1">
        <f t="shared" si="108"/>
        <v>2</v>
      </c>
      <c r="AY146" s="1">
        <f t="shared" si="108"/>
        <v>6</v>
      </c>
      <c r="AZ146" s="1">
        <f t="shared" si="108"/>
        <v>7</v>
      </c>
      <c r="BA146" s="1">
        <f t="shared" si="108"/>
        <v>7</v>
      </c>
      <c r="BB146" s="1">
        <f t="shared" si="108"/>
        <v>6</v>
      </c>
      <c r="BC146" s="1">
        <f t="shared" si="108"/>
        <v>6</v>
      </c>
      <c r="BD146" s="1">
        <f t="shared" si="108"/>
        <v>7</v>
      </c>
      <c r="BE146" s="1">
        <f t="shared" si="108"/>
        <v>3</v>
      </c>
      <c r="BF146" s="1">
        <f t="shared" si="108"/>
        <v>2</v>
      </c>
      <c r="BG146" s="1">
        <f t="shared" si="108"/>
        <v>7</v>
      </c>
      <c r="BH146" s="1">
        <f t="shared" si="108"/>
        <v>1</v>
      </c>
      <c r="BI146" s="1">
        <f t="shared" si="108"/>
        <v>7</v>
      </c>
      <c r="BJ146" s="1">
        <f t="shared" si="108"/>
        <v>2</v>
      </c>
    </row>
    <row r="147" spans="1:62">
      <c r="A147" s="1" t="str">
        <f t="shared" si="104"/>
        <v>   2.1.2) Access to healthcare</v>
      </c>
      <c r="B147" s="1">
        <f t="shared" ref="B147:BJ147" si="109">COUNTIF($B82:$BJ82,B82)</f>
        <v>9</v>
      </c>
      <c r="C147" s="1">
        <f t="shared" si="109"/>
        <v>11</v>
      </c>
      <c r="D147" s="1">
        <f t="shared" si="109"/>
        <v>9</v>
      </c>
      <c r="E147" s="1">
        <f t="shared" si="109"/>
        <v>9</v>
      </c>
      <c r="F147" s="1">
        <f t="shared" si="109"/>
        <v>14</v>
      </c>
      <c r="G147" s="1">
        <f t="shared" si="109"/>
        <v>9</v>
      </c>
      <c r="H147" s="1">
        <f t="shared" si="109"/>
        <v>9</v>
      </c>
      <c r="I147" s="1">
        <f t="shared" si="109"/>
        <v>11</v>
      </c>
      <c r="J147" s="1">
        <f t="shared" si="109"/>
        <v>14</v>
      </c>
      <c r="K147" s="1">
        <f t="shared" si="109"/>
        <v>5</v>
      </c>
      <c r="L147" s="1">
        <f t="shared" si="109"/>
        <v>1</v>
      </c>
      <c r="M147" s="1">
        <f t="shared" si="109"/>
        <v>5</v>
      </c>
      <c r="N147" s="1">
        <f t="shared" si="109"/>
        <v>14</v>
      </c>
      <c r="O147" s="1">
        <f t="shared" si="109"/>
        <v>9</v>
      </c>
      <c r="P147" s="1">
        <f t="shared" si="109"/>
        <v>9</v>
      </c>
      <c r="Q147" s="1">
        <f t="shared" si="109"/>
        <v>1</v>
      </c>
      <c r="R147" s="1">
        <f t="shared" si="109"/>
        <v>9</v>
      </c>
      <c r="S147" s="1">
        <f t="shared" si="109"/>
        <v>11</v>
      </c>
      <c r="T147" s="1">
        <f t="shared" si="109"/>
        <v>9</v>
      </c>
      <c r="U147" s="1">
        <f t="shared" si="109"/>
        <v>14</v>
      </c>
      <c r="V147" s="1">
        <f t="shared" si="109"/>
        <v>5</v>
      </c>
      <c r="W147" s="1">
        <f t="shared" si="109"/>
        <v>9</v>
      </c>
      <c r="X147" s="1">
        <f t="shared" si="109"/>
        <v>9</v>
      </c>
      <c r="Y147" s="1">
        <f t="shared" si="109"/>
        <v>9</v>
      </c>
      <c r="Z147" s="1">
        <f t="shared" si="109"/>
        <v>2</v>
      </c>
      <c r="AA147" s="1">
        <f t="shared" si="109"/>
        <v>9</v>
      </c>
      <c r="AB147" s="1">
        <f t="shared" si="109"/>
        <v>9</v>
      </c>
      <c r="AC147" s="1">
        <f t="shared" si="109"/>
        <v>9</v>
      </c>
      <c r="AD147" s="1">
        <f t="shared" si="109"/>
        <v>9</v>
      </c>
      <c r="AE147" s="1">
        <f t="shared" si="109"/>
        <v>14</v>
      </c>
      <c r="AF147" s="1">
        <f t="shared" si="109"/>
        <v>14</v>
      </c>
      <c r="AG147" s="1">
        <f t="shared" si="109"/>
        <v>9</v>
      </c>
      <c r="AH147" s="1">
        <f t="shared" si="109"/>
        <v>11</v>
      </c>
      <c r="AI147" s="1">
        <f t="shared" si="109"/>
        <v>9</v>
      </c>
      <c r="AJ147" s="1">
        <f t="shared" si="109"/>
        <v>14</v>
      </c>
      <c r="AK147" s="1">
        <f t="shared" si="109"/>
        <v>9</v>
      </c>
      <c r="AL147" s="1">
        <f t="shared" si="109"/>
        <v>9</v>
      </c>
      <c r="AM147" s="1">
        <f t="shared" si="109"/>
        <v>14</v>
      </c>
      <c r="AN147" s="1">
        <f t="shared" si="109"/>
        <v>11</v>
      </c>
      <c r="AO147" s="1">
        <f t="shared" si="109"/>
        <v>11</v>
      </c>
      <c r="AP147" s="1">
        <f t="shared" si="109"/>
        <v>5</v>
      </c>
      <c r="AQ147" s="1">
        <f t="shared" si="109"/>
        <v>9</v>
      </c>
      <c r="AR147" s="1">
        <f t="shared" si="109"/>
        <v>9</v>
      </c>
      <c r="AS147" s="1">
        <f t="shared" si="109"/>
        <v>14</v>
      </c>
      <c r="AT147" s="1">
        <f t="shared" si="109"/>
        <v>14</v>
      </c>
      <c r="AU147" s="1">
        <f t="shared" si="109"/>
        <v>9</v>
      </c>
      <c r="AV147" s="1">
        <f t="shared" si="109"/>
        <v>9</v>
      </c>
      <c r="AW147" s="1">
        <f t="shared" si="109"/>
        <v>14</v>
      </c>
      <c r="AX147" s="1">
        <f t="shared" si="109"/>
        <v>9</v>
      </c>
      <c r="AY147" s="1">
        <f t="shared" si="109"/>
        <v>14</v>
      </c>
      <c r="AZ147" s="1">
        <f t="shared" si="109"/>
        <v>9</v>
      </c>
      <c r="BA147" s="1">
        <f t="shared" si="109"/>
        <v>11</v>
      </c>
      <c r="BB147" s="1">
        <f t="shared" si="109"/>
        <v>9</v>
      </c>
      <c r="BC147" s="1">
        <f t="shared" si="109"/>
        <v>2</v>
      </c>
      <c r="BD147" s="1">
        <f t="shared" si="109"/>
        <v>11</v>
      </c>
      <c r="BE147" s="1">
        <f t="shared" si="109"/>
        <v>11</v>
      </c>
      <c r="BF147" s="1">
        <f t="shared" si="109"/>
        <v>14</v>
      </c>
      <c r="BG147" s="1">
        <f t="shared" si="109"/>
        <v>14</v>
      </c>
      <c r="BH147" s="1">
        <f t="shared" si="109"/>
        <v>5</v>
      </c>
      <c r="BI147" s="1">
        <f t="shared" si="109"/>
        <v>11</v>
      </c>
      <c r="BJ147" s="1">
        <f t="shared" si="109"/>
        <v>11</v>
      </c>
    </row>
    <row r="148" spans="1:62">
      <c r="A148" s="1" t="str">
        <f t="shared" si="104"/>
        <v>   2.1.3) No. of beds per 1,000</v>
      </c>
      <c r="B148" s="1">
        <f t="shared" ref="B148:BJ148" si="110">COUNTIF($B83:$BJ83,B83)</f>
        <v>1</v>
      </c>
      <c r="C148" s="1">
        <f t="shared" si="110"/>
        <v>2</v>
      </c>
      <c r="D148" s="1">
        <f t="shared" si="110"/>
        <v>1</v>
      </c>
      <c r="E148" s="1">
        <f t="shared" si="110"/>
        <v>2</v>
      </c>
      <c r="F148" s="1">
        <f t="shared" si="110"/>
        <v>2</v>
      </c>
      <c r="G148" s="1">
        <f t="shared" si="110"/>
        <v>1</v>
      </c>
      <c r="H148" s="1">
        <f t="shared" si="110"/>
        <v>3</v>
      </c>
      <c r="I148" s="1">
        <f t="shared" si="110"/>
        <v>1</v>
      </c>
      <c r="J148" s="1">
        <f t="shared" si="110"/>
        <v>2</v>
      </c>
      <c r="K148" s="1">
        <f t="shared" si="110"/>
        <v>1</v>
      </c>
      <c r="L148" s="1">
        <f t="shared" si="110"/>
        <v>3</v>
      </c>
      <c r="M148" s="1">
        <f t="shared" si="110"/>
        <v>3</v>
      </c>
      <c r="N148" s="1">
        <f t="shared" si="110"/>
        <v>3</v>
      </c>
      <c r="O148" s="1">
        <f t="shared" si="110"/>
        <v>4</v>
      </c>
      <c r="P148" s="1">
        <f t="shared" si="110"/>
        <v>1</v>
      </c>
      <c r="Q148" s="1">
        <f t="shared" si="110"/>
        <v>2</v>
      </c>
      <c r="R148" s="1">
        <f t="shared" si="110"/>
        <v>1</v>
      </c>
      <c r="S148" s="1">
        <f t="shared" si="110"/>
        <v>1</v>
      </c>
      <c r="T148" s="1">
        <f t="shared" si="110"/>
        <v>2</v>
      </c>
      <c r="U148" s="1">
        <f t="shared" si="110"/>
        <v>1</v>
      </c>
      <c r="V148" s="1">
        <f t="shared" si="110"/>
        <v>3</v>
      </c>
      <c r="W148" s="1">
        <f t="shared" si="110"/>
        <v>3</v>
      </c>
      <c r="X148" s="1">
        <f t="shared" si="110"/>
        <v>1</v>
      </c>
      <c r="Y148" s="1">
        <f t="shared" si="110"/>
        <v>3</v>
      </c>
      <c r="Z148" s="1">
        <f t="shared" si="110"/>
        <v>2</v>
      </c>
      <c r="AA148" s="1">
        <f t="shared" si="110"/>
        <v>1</v>
      </c>
      <c r="AB148" s="1">
        <f t="shared" si="110"/>
        <v>1</v>
      </c>
      <c r="AC148" s="1">
        <f t="shared" si="110"/>
        <v>3</v>
      </c>
      <c r="AD148" s="1">
        <f t="shared" si="110"/>
        <v>1</v>
      </c>
      <c r="AE148" s="1">
        <f t="shared" si="110"/>
        <v>2</v>
      </c>
      <c r="AF148" s="1">
        <f t="shared" si="110"/>
        <v>2</v>
      </c>
      <c r="AG148" s="1">
        <f t="shared" si="110"/>
        <v>1</v>
      </c>
      <c r="AH148" s="1">
        <f t="shared" si="110"/>
        <v>2</v>
      </c>
      <c r="AI148" s="1">
        <f t="shared" si="110"/>
        <v>3</v>
      </c>
      <c r="AJ148" s="1">
        <f t="shared" si="110"/>
        <v>2</v>
      </c>
      <c r="AK148" s="1">
        <f t="shared" si="110"/>
        <v>1</v>
      </c>
      <c r="AL148" s="1">
        <f t="shared" si="110"/>
        <v>1</v>
      </c>
      <c r="AM148" s="1">
        <f t="shared" si="110"/>
        <v>3</v>
      </c>
      <c r="AN148" s="1">
        <f t="shared" si="110"/>
        <v>2</v>
      </c>
      <c r="AO148" s="1">
        <f t="shared" si="110"/>
        <v>1</v>
      </c>
      <c r="AP148" s="1">
        <f t="shared" si="110"/>
        <v>1</v>
      </c>
      <c r="AQ148" s="1">
        <f t="shared" si="110"/>
        <v>4</v>
      </c>
      <c r="AR148" s="1">
        <f t="shared" si="110"/>
        <v>1</v>
      </c>
      <c r="AS148" s="1">
        <f t="shared" si="110"/>
        <v>2</v>
      </c>
      <c r="AT148" s="1">
        <f t="shared" si="110"/>
        <v>2</v>
      </c>
      <c r="AU148" s="1">
        <f t="shared" si="110"/>
        <v>2</v>
      </c>
      <c r="AV148" s="1">
        <f t="shared" si="110"/>
        <v>4</v>
      </c>
      <c r="AW148" s="1">
        <f t="shared" si="110"/>
        <v>1</v>
      </c>
      <c r="AX148" s="1">
        <f t="shared" si="110"/>
        <v>1</v>
      </c>
      <c r="AY148" s="1">
        <f t="shared" si="110"/>
        <v>2</v>
      </c>
      <c r="AZ148" s="1">
        <f t="shared" si="110"/>
        <v>3</v>
      </c>
      <c r="BA148" s="1">
        <f t="shared" si="110"/>
        <v>2</v>
      </c>
      <c r="BB148" s="1">
        <f t="shared" si="110"/>
        <v>1</v>
      </c>
      <c r="BC148" s="1">
        <f t="shared" si="110"/>
        <v>1</v>
      </c>
      <c r="BD148" s="1">
        <f t="shared" si="110"/>
        <v>1</v>
      </c>
      <c r="BE148" s="1">
        <f t="shared" si="110"/>
        <v>3</v>
      </c>
      <c r="BF148" s="1">
        <f t="shared" si="110"/>
        <v>1</v>
      </c>
      <c r="BG148" s="1">
        <f t="shared" si="110"/>
        <v>4</v>
      </c>
      <c r="BH148" s="1">
        <f t="shared" si="110"/>
        <v>1</v>
      </c>
      <c r="BI148" s="1">
        <f t="shared" si="110"/>
        <v>1</v>
      </c>
      <c r="BJ148" s="1">
        <f t="shared" si="110"/>
        <v>2</v>
      </c>
    </row>
    <row r="149" spans="1:62">
      <c r="A149" s="1" t="str">
        <f t="shared" si="104"/>
        <v>   2.1.4) No. of doctors per 1,000</v>
      </c>
      <c r="B149" s="1">
        <f t="shared" ref="B149:BJ149" si="111">COUNTIF($B84:$BJ84,B84)</f>
        <v>1</v>
      </c>
      <c r="C149" s="1">
        <f t="shared" si="111"/>
        <v>1</v>
      </c>
      <c r="D149" s="1">
        <f t="shared" si="111"/>
        <v>1</v>
      </c>
      <c r="E149" s="1">
        <f t="shared" si="111"/>
        <v>1</v>
      </c>
      <c r="F149" s="1">
        <f t="shared" si="111"/>
        <v>2</v>
      </c>
      <c r="G149" s="1">
        <f t="shared" si="111"/>
        <v>1</v>
      </c>
      <c r="H149" s="1">
        <f t="shared" si="111"/>
        <v>1</v>
      </c>
      <c r="I149" s="1">
        <f t="shared" si="111"/>
        <v>1</v>
      </c>
      <c r="J149" s="1">
        <f t="shared" si="111"/>
        <v>1</v>
      </c>
      <c r="K149" s="1">
        <f t="shared" si="111"/>
        <v>1</v>
      </c>
      <c r="L149" s="1">
        <f t="shared" si="111"/>
        <v>1</v>
      </c>
      <c r="M149" s="1">
        <f t="shared" si="111"/>
        <v>1</v>
      </c>
      <c r="N149" s="1">
        <f t="shared" si="111"/>
        <v>1</v>
      </c>
      <c r="O149" s="1">
        <f t="shared" si="111"/>
        <v>1</v>
      </c>
      <c r="P149" s="1">
        <f t="shared" si="111"/>
        <v>2</v>
      </c>
      <c r="Q149" s="1">
        <f t="shared" si="111"/>
        <v>1</v>
      </c>
      <c r="R149" s="1">
        <f t="shared" si="111"/>
        <v>1</v>
      </c>
      <c r="S149" s="1">
        <f t="shared" si="111"/>
        <v>1</v>
      </c>
      <c r="T149" s="1">
        <f t="shared" si="111"/>
        <v>1</v>
      </c>
      <c r="U149" s="1">
        <f t="shared" si="111"/>
        <v>1</v>
      </c>
      <c r="V149" s="1">
        <f t="shared" si="111"/>
        <v>1</v>
      </c>
      <c r="W149" s="1">
        <f t="shared" si="111"/>
        <v>1</v>
      </c>
      <c r="X149" s="1">
        <f t="shared" si="111"/>
        <v>1</v>
      </c>
      <c r="Y149" s="1">
        <f t="shared" si="111"/>
        <v>1</v>
      </c>
      <c r="Z149" s="1">
        <f t="shared" si="111"/>
        <v>1</v>
      </c>
      <c r="AA149" s="1">
        <f t="shared" si="111"/>
        <v>1</v>
      </c>
      <c r="AB149" s="1">
        <f t="shared" si="111"/>
        <v>1</v>
      </c>
      <c r="AC149" s="1">
        <f t="shared" si="111"/>
        <v>1</v>
      </c>
      <c r="AD149" s="1">
        <f t="shared" si="111"/>
        <v>1</v>
      </c>
      <c r="AE149" s="1">
        <f t="shared" si="111"/>
        <v>2</v>
      </c>
      <c r="AF149" s="1">
        <f t="shared" si="111"/>
        <v>2</v>
      </c>
      <c r="AG149" s="1">
        <f t="shared" si="111"/>
        <v>1</v>
      </c>
      <c r="AH149" s="1">
        <f t="shared" si="111"/>
        <v>2</v>
      </c>
      <c r="AI149" s="1">
        <f t="shared" si="111"/>
        <v>1</v>
      </c>
      <c r="AJ149" s="1">
        <f t="shared" si="111"/>
        <v>2</v>
      </c>
      <c r="AK149" s="1">
        <f t="shared" si="111"/>
        <v>1</v>
      </c>
      <c r="AL149" s="1">
        <f t="shared" si="111"/>
        <v>2</v>
      </c>
      <c r="AM149" s="1">
        <f t="shared" si="111"/>
        <v>1</v>
      </c>
      <c r="AN149" s="1">
        <f t="shared" si="111"/>
        <v>1</v>
      </c>
      <c r="AO149" s="1">
        <f t="shared" si="111"/>
        <v>1</v>
      </c>
      <c r="AP149" s="1">
        <f t="shared" si="111"/>
        <v>1</v>
      </c>
      <c r="AQ149" s="1">
        <f t="shared" si="111"/>
        <v>2</v>
      </c>
      <c r="AR149" s="1">
        <f t="shared" si="111"/>
        <v>1</v>
      </c>
      <c r="AS149" s="1">
        <f t="shared" si="111"/>
        <v>2</v>
      </c>
      <c r="AT149" s="1">
        <f t="shared" si="111"/>
        <v>2</v>
      </c>
      <c r="AU149" s="1">
        <f t="shared" si="111"/>
        <v>1</v>
      </c>
      <c r="AV149" s="1">
        <f t="shared" si="111"/>
        <v>2</v>
      </c>
      <c r="AW149" s="1">
        <f t="shared" si="111"/>
        <v>1</v>
      </c>
      <c r="AX149" s="1">
        <f t="shared" si="111"/>
        <v>1</v>
      </c>
      <c r="AY149" s="1">
        <f t="shared" si="111"/>
        <v>1</v>
      </c>
      <c r="AZ149" s="1">
        <f t="shared" si="111"/>
        <v>1</v>
      </c>
      <c r="BA149" s="1">
        <f t="shared" si="111"/>
        <v>2</v>
      </c>
      <c r="BB149" s="1">
        <f t="shared" si="111"/>
        <v>1</v>
      </c>
      <c r="BC149" s="1">
        <f t="shared" si="111"/>
        <v>1</v>
      </c>
      <c r="BD149" s="1">
        <f t="shared" si="111"/>
        <v>2</v>
      </c>
      <c r="BE149" s="1">
        <f t="shared" si="111"/>
        <v>1</v>
      </c>
      <c r="BF149" s="1">
        <f t="shared" si="111"/>
        <v>1</v>
      </c>
      <c r="BG149" s="1">
        <f t="shared" si="111"/>
        <v>1</v>
      </c>
      <c r="BH149" s="1">
        <f t="shared" si="111"/>
        <v>1</v>
      </c>
      <c r="BI149" s="1">
        <f t="shared" si="111"/>
        <v>1</v>
      </c>
      <c r="BJ149" s="1">
        <f t="shared" si="111"/>
        <v>2</v>
      </c>
    </row>
    <row r="150" spans="1:62">
      <c r="A150" s="1" t="str">
        <f t="shared" si="104"/>
        <v>   2.1.5) Access to safe and quality food</v>
      </c>
      <c r="B150" s="1">
        <f t="shared" ref="B150:BJ150" si="112">COUNTIF($B85:$BJ85,B85)</f>
        <v>2</v>
      </c>
      <c r="C150" s="1">
        <f t="shared" si="112"/>
        <v>20</v>
      </c>
      <c r="D150" s="1">
        <f t="shared" si="112"/>
        <v>20</v>
      </c>
      <c r="E150" s="1">
        <f t="shared" si="112"/>
        <v>1</v>
      </c>
      <c r="F150" s="1">
        <f t="shared" si="112"/>
        <v>20</v>
      </c>
      <c r="G150" s="1">
        <f t="shared" si="112"/>
        <v>4</v>
      </c>
      <c r="H150" s="1">
        <f t="shared" si="112"/>
        <v>1</v>
      </c>
      <c r="I150" s="1">
        <f t="shared" si="112"/>
        <v>20</v>
      </c>
      <c r="J150" s="1">
        <f t="shared" si="112"/>
        <v>3</v>
      </c>
      <c r="K150" s="1">
        <f t="shared" si="112"/>
        <v>1</v>
      </c>
      <c r="L150" s="1">
        <f t="shared" si="112"/>
        <v>1</v>
      </c>
      <c r="M150" s="1">
        <f t="shared" si="112"/>
        <v>1</v>
      </c>
      <c r="N150" s="1">
        <f t="shared" si="112"/>
        <v>6</v>
      </c>
      <c r="O150" s="1">
        <f t="shared" si="112"/>
        <v>6</v>
      </c>
      <c r="P150" s="1">
        <f t="shared" si="112"/>
        <v>2</v>
      </c>
      <c r="Q150" s="1">
        <f t="shared" si="112"/>
        <v>1</v>
      </c>
      <c r="R150" s="1">
        <f t="shared" si="112"/>
        <v>1</v>
      </c>
      <c r="S150" s="1">
        <f t="shared" si="112"/>
        <v>20</v>
      </c>
      <c r="T150" s="1">
        <f t="shared" si="112"/>
        <v>1</v>
      </c>
      <c r="U150" s="1">
        <f t="shared" si="112"/>
        <v>4</v>
      </c>
      <c r="V150" s="1">
        <f t="shared" si="112"/>
        <v>20</v>
      </c>
      <c r="W150" s="1">
        <f t="shared" si="112"/>
        <v>1</v>
      </c>
      <c r="X150" s="1">
        <f t="shared" si="112"/>
        <v>2</v>
      </c>
      <c r="Y150" s="1">
        <f t="shared" si="112"/>
        <v>1</v>
      </c>
      <c r="Z150" s="1">
        <f t="shared" si="112"/>
        <v>1</v>
      </c>
      <c r="AA150" s="1">
        <f t="shared" si="112"/>
        <v>1</v>
      </c>
      <c r="AB150" s="1">
        <f t="shared" si="112"/>
        <v>3</v>
      </c>
      <c r="AC150" s="1">
        <f t="shared" si="112"/>
        <v>1</v>
      </c>
      <c r="AD150" s="1">
        <f t="shared" si="112"/>
        <v>20</v>
      </c>
      <c r="AE150" s="1">
        <f t="shared" si="112"/>
        <v>6</v>
      </c>
      <c r="AF150" s="1">
        <f t="shared" si="112"/>
        <v>20</v>
      </c>
      <c r="AG150" s="1">
        <f t="shared" si="112"/>
        <v>1</v>
      </c>
      <c r="AH150" s="1">
        <f t="shared" si="112"/>
        <v>20</v>
      </c>
      <c r="AI150" s="1">
        <f t="shared" si="112"/>
        <v>1</v>
      </c>
      <c r="AJ150" s="1">
        <f t="shared" si="112"/>
        <v>20</v>
      </c>
      <c r="AK150" s="1">
        <f t="shared" si="112"/>
        <v>1</v>
      </c>
      <c r="AL150" s="1">
        <f t="shared" si="112"/>
        <v>2</v>
      </c>
      <c r="AM150" s="1">
        <f t="shared" si="112"/>
        <v>6</v>
      </c>
      <c r="AN150" s="1">
        <f t="shared" si="112"/>
        <v>20</v>
      </c>
      <c r="AO150" s="1">
        <f t="shared" si="112"/>
        <v>20</v>
      </c>
      <c r="AP150" s="1">
        <f t="shared" si="112"/>
        <v>1</v>
      </c>
      <c r="AQ150" s="1">
        <f t="shared" si="112"/>
        <v>2</v>
      </c>
      <c r="AR150" s="1">
        <f t="shared" si="112"/>
        <v>2</v>
      </c>
      <c r="AS150" s="1">
        <f t="shared" si="112"/>
        <v>20</v>
      </c>
      <c r="AT150" s="1">
        <f t="shared" si="112"/>
        <v>6</v>
      </c>
      <c r="AU150" s="1">
        <f t="shared" si="112"/>
        <v>3</v>
      </c>
      <c r="AV150" s="1">
        <f t="shared" si="112"/>
        <v>2</v>
      </c>
      <c r="AW150" s="1">
        <f t="shared" si="112"/>
        <v>2</v>
      </c>
      <c r="AX150" s="1">
        <f t="shared" si="112"/>
        <v>4</v>
      </c>
      <c r="AY150" s="1">
        <f t="shared" si="112"/>
        <v>20</v>
      </c>
      <c r="AZ150" s="1">
        <f t="shared" si="112"/>
        <v>20</v>
      </c>
      <c r="BA150" s="1">
        <f t="shared" si="112"/>
        <v>20</v>
      </c>
      <c r="BB150" s="1">
        <f t="shared" si="112"/>
        <v>4</v>
      </c>
      <c r="BC150" s="1">
        <f t="shared" si="112"/>
        <v>1</v>
      </c>
      <c r="BD150" s="1">
        <f t="shared" si="112"/>
        <v>20</v>
      </c>
      <c r="BE150" s="1">
        <f t="shared" si="112"/>
        <v>1</v>
      </c>
      <c r="BF150" s="1">
        <f t="shared" si="112"/>
        <v>6</v>
      </c>
      <c r="BG150" s="1">
        <f t="shared" si="112"/>
        <v>20</v>
      </c>
      <c r="BH150" s="1">
        <f t="shared" si="112"/>
        <v>1</v>
      </c>
      <c r="BI150" s="1">
        <f t="shared" si="112"/>
        <v>20</v>
      </c>
      <c r="BJ150" s="1">
        <f t="shared" si="112"/>
        <v>20</v>
      </c>
    </row>
    <row r="151" spans="1:62">
      <c r="A151" s="1" t="str">
        <f t="shared" si="104"/>
        <v>   2.1.6) Quality of health services</v>
      </c>
      <c r="B151" s="1">
        <f t="shared" ref="B151:BJ151" si="113">COUNTIF($B86:$BJ86,B86)</f>
        <v>6</v>
      </c>
      <c r="C151" s="1">
        <f t="shared" si="113"/>
        <v>13</v>
      </c>
      <c r="D151" s="1">
        <f t="shared" si="113"/>
        <v>15</v>
      </c>
      <c r="E151" s="1">
        <f t="shared" si="113"/>
        <v>15</v>
      </c>
      <c r="F151" s="1">
        <f t="shared" si="113"/>
        <v>13</v>
      </c>
      <c r="G151" s="1">
        <f t="shared" si="113"/>
        <v>15</v>
      </c>
      <c r="H151" s="1">
        <f t="shared" si="113"/>
        <v>15</v>
      </c>
      <c r="I151" s="1">
        <f t="shared" si="113"/>
        <v>13</v>
      </c>
      <c r="J151" s="1">
        <f t="shared" si="113"/>
        <v>6</v>
      </c>
      <c r="K151" s="1">
        <f t="shared" si="113"/>
        <v>9</v>
      </c>
      <c r="L151" s="1">
        <f t="shared" si="113"/>
        <v>9</v>
      </c>
      <c r="M151" s="1">
        <f t="shared" si="113"/>
        <v>9</v>
      </c>
      <c r="N151" s="1">
        <f t="shared" si="113"/>
        <v>14</v>
      </c>
      <c r="O151" s="1">
        <f t="shared" si="113"/>
        <v>14</v>
      </c>
      <c r="P151" s="1">
        <f t="shared" si="113"/>
        <v>15</v>
      </c>
      <c r="Q151" s="1">
        <f t="shared" si="113"/>
        <v>9</v>
      </c>
      <c r="R151" s="1">
        <f t="shared" si="113"/>
        <v>6</v>
      </c>
      <c r="S151" s="1">
        <f t="shared" si="113"/>
        <v>13</v>
      </c>
      <c r="T151" s="1">
        <f t="shared" si="113"/>
        <v>9</v>
      </c>
      <c r="U151" s="1">
        <f t="shared" si="113"/>
        <v>14</v>
      </c>
      <c r="V151" s="1">
        <f t="shared" si="113"/>
        <v>4</v>
      </c>
      <c r="W151" s="1">
        <f t="shared" si="113"/>
        <v>9</v>
      </c>
      <c r="X151" s="1">
        <f t="shared" si="113"/>
        <v>15</v>
      </c>
      <c r="Y151" s="1">
        <f t="shared" si="113"/>
        <v>4</v>
      </c>
      <c r="Z151" s="1">
        <f t="shared" si="113"/>
        <v>4</v>
      </c>
      <c r="AA151" s="1">
        <f t="shared" si="113"/>
        <v>15</v>
      </c>
      <c r="AB151" s="1">
        <f t="shared" si="113"/>
        <v>14</v>
      </c>
      <c r="AC151" s="1">
        <f t="shared" si="113"/>
        <v>15</v>
      </c>
      <c r="AD151" s="1">
        <f t="shared" si="113"/>
        <v>14</v>
      </c>
      <c r="AE151" s="1">
        <f t="shared" si="113"/>
        <v>14</v>
      </c>
      <c r="AF151" s="1">
        <f t="shared" si="113"/>
        <v>14</v>
      </c>
      <c r="AG151" s="1">
        <f t="shared" si="113"/>
        <v>15</v>
      </c>
      <c r="AH151" s="1">
        <f t="shared" si="113"/>
        <v>13</v>
      </c>
      <c r="AI151" s="1">
        <f t="shared" si="113"/>
        <v>4</v>
      </c>
      <c r="AJ151" s="1">
        <f t="shared" si="113"/>
        <v>6</v>
      </c>
      <c r="AK151" s="1">
        <f t="shared" si="113"/>
        <v>6</v>
      </c>
      <c r="AL151" s="1">
        <f t="shared" si="113"/>
        <v>9</v>
      </c>
      <c r="AM151" s="1">
        <f t="shared" si="113"/>
        <v>14</v>
      </c>
      <c r="AN151" s="1">
        <f t="shared" si="113"/>
        <v>13</v>
      </c>
      <c r="AO151" s="1">
        <f t="shared" si="113"/>
        <v>13</v>
      </c>
      <c r="AP151" s="1">
        <f t="shared" si="113"/>
        <v>9</v>
      </c>
      <c r="AQ151" s="1">
        <f t="shared" si="113"/>
        <v>15</v>
      </c>
      <c r="AR151" s="1">
        <f t="shared" si="113"/>
        <v>15</v>
      </c>
      <c r="AS151" s="1">
        <f t="shared" si="113"/>
        <v>6</v>
      </c>
      <c r="AT151" s="1">
        <f t="shared" si="113"/>
        <v>14</v>
      </c>
      <c r="AU151" s="1">
        <f t="shared" si="113"/>
        <v>15</v>
      </c>
      <c r="AV151" s="1">
        <f t="shared" si="113"/>
        <v>15</v>
      </c>
      <c r="AW151" s="1">
        <f t="shared" si="113"/>
        <v>14</v>
      </c>
      <c r="AX151" s="1">
        <f t="shared" si="113"/>
        <v>15</v>
      </c>
      <c r="AY151" s="1">
        <f t="shared" si="113"/>
        <v>13</v>
      </c>
      <c r="AZ151" s="1">
        <f t="shared" si="113"/>
        <v>14</v>
      </c>
      <c r="BA151" s="1">
        <f t="shared" si="113"/>
        <v>13</v>
      </c>
      <c r="BB151" s="1">
        <f t="shared" si="113"/>
        <v>14</v>
      </c>
      <c r="BC151" s="1">
        <f t="shared" si="113"/>
        <v>15</v>
      </c>
      <c r="BD151" s="1">
        <f t="shared" si="113"/>
        <v>13</v>
      </c>
      <c r="BE151" s="1">
        <f t="shared" si="113"/>
        <v>13</v>
      </c>
      <c r="BF151" s="1">
        <f t="shared" si="113"/>
        <v>14</v>
      </c>
      <c r="BG151" s="1">
        <f t="shared" si="113"/>
        <v>14</v>
      </c>
      <c r="BH151" s="1">
        <f t="shared" si="113"/>
        <v>9</v>
      </c>
      <c r="BI151" s="1">
        <f t="shared" si="113"/>
        <v>13</v>
      </c>
      <c r="BJ151" s="1">
        <f t="shared" si="113"/>
        <v>13</v>
      </c>
    </row>
    <row r="152" spans="1:62">
      <c r="A152" s="1" t="str">
        <f t="shared" si="104"/>
        <v>  2.2) Health security (Outputs)</v>
      </c>
      <c r="B152" s="1">
        <f t="shared" ref="B152:BJ152" si="114">COUNTIF($B87:$BJ87,B87)</f>
        <v>1</v>
      </c>
      <c r="C152" s="1">
        <f t="shared" si="114"/>
        <v>1</v>
      </c>
      <c r="D152" s="1">
        <f t="shared" si="114"/>
        <v>1</v>
      </c>
      <c r="E152" s="1">
        <f t="shared" si="114"/>
        <v>1</v>
      </c>
      <c r="F152" s="1">
        <f t="shared" si="114"/>
        <v>1</v>
      </c>
      <c r="G152" s="1">
        <f t="shared" si="114"/>
        <v>1</v>
      </c>
      <c r="H152" s="1">
        <f t="shared" si="114"/>
        <v>1</v>
      </c>
      <c r="I152" s="1">
        <f t="shared" si="114"/>
        <v>1</v>
      </c>
      <c r="J152" s="1">
        <f t="shared" si="114"/>
        <v>1</v>
      </c>
      <c r="K152" s="1">
        <f t="shared" si="114"/>
        <v>1</v>
      </c>
      <c r="L152" s="1">
        <f t="shared" si="114"/>
        <v>1</v>
      </c>
      <c r="M152" s="1">
        <f t="shared" si="114"/>
        <v>1</v>
      </c>
      <c r="N152" s="1">
        <f t="shared" si="114"/>
        <v>1</v>
      </c>
      <c r="O152" s="1">
        <f t="shared" si="114"/>
        <v>1</v>
      </c>
      <c r="P152" s="1">
        <f t="shared" si="114"/>
        <v>1</v>
      </c>
      <c r="Q152" s="1">
        <f t="shared" si="114"/>
        <v>1</v>
      </c>
      <c r="R152" s="1">
        <f t="shared" si="114"/>
        <v>1</v>
      </c>
      <c r="S152" s="1">
        <f t="shared" si="114"/>
        <v>1</v>
      </c>
      <c r="T152" s="1">
        <f t="shared" si="114"/>
        <v>1</v>
      </c>
      <c r="U152" s="1">
        <f t="shared" si="114"/>
        <v>1</v>
      </c>
      <c r="V152" s="1">
        <f t="shared" si="114"/>
        <v>1</v>
      </c>
      <c r="W152" s="1">
        <f t="shared" si="114"/>
        <v>1</v>
      </c>
      <c r="X152" s="1">
        <f t="shared" si="114"/>
        <v>1</v>
      </c>
      <c r="Y152" s="1">
        <f t="shared" si="114"/>
        <v>1</v>
      </c>
      <c r="Z152" s="1">
        <f t="shared" si="114"/>
        <v>1</v>
      </c>
      <c r="AA152" s="1">
        <f t="shared" si="114"/>
        <v>1</v>
      </c>
      <c r="AB152" s="1">
        <f t="shared" si="114"/>
        <v>1</v>
      </c>
      <c r="AC152" s="1">
        <f t="shared" si="114"/>
        <v>1</v>
      </c>
      <c r="AD152" s="1">
        <f t="shared" si="114"/>
        <v>1</v>
      </c>
      <c r="AE152" s="1">
        <f t="shared" si="114"/>
        <v>1</v>
      </c>
      <c r="AF152" s="1">
        <f t="shared" si="114"/>
        <v>1</v>
      </c>
      <c r="AG152" s="1">
        <f t="shared" si="114"/>
        <v>1</v>
      </c>
      <c r="AH152" s="1">
        <f t="shared" si="114"/>
        <v>1</v>
      </c>
      <c r="AI152" s="1">
        <f t="shared" si="114"/>
        <v>1</v>
      </c>
      <c r="AJ152" s="1">
        <f t="shared" si="114"/>
        <v>1</v>
      </c>
      <c r="AK152" s="1">
        <f t="shared" si="114"/>
        <v>1</v>
      </c>
      <c r="AL152" s="1">
        <f t="shared" si="114"/>
        <v>1</v>
      </c>
      <c r="AM152" s="1">
        <f t="shared" si="114"/>
        <v>1</v>
      </c>
      <c r="AN152" s="1">
        <f t="shared" si="114"/>
        <v>1</v>
      </c>
      <c r="AO152" s="1">
        <f t="shared" si="114"/>
        <v>1</v>
      </c>
      <c r="AP152" s="1">
        <f t="shared" si="114"/>
        <v>1</v>
      </c>
      <c r="AQ152" s="1">
        <f t="shared" si="114"/>
        <v>1</v>
      </c>
      <c r="AR152" s="1">
        <f t="shared" si="114"/>
        <v>1</v>
      </c>
      <c r="AS152" s="1">
        <f t="shared" si="114"/>
        <v>1</v>
      </c>
      <c r="AT152" s="1">
        <f t="shared" si="114"/>
        <v>1</v>
      </c>
      <c r="AU152" s="1">
        <f t="shared" si="114"/>
        <v>1</v>
      </c>
      <c r="AV152" s="1">
        <f t="shared" si="114"/>
        <v>1</v>
      </c>
      <c r="AW152" s="1">
        <f t="shared" si="114"/>
        <v>1</v>
      </c>
      <c r="AX152" s="1">
        <f t="shared" si="114"/>
        <v>1</v>
      </c>
      <c r="AY152" s="1">
        <f t="shared" si="114"/>
        <v>1</v>
      </c>
      <c r="AZ152" s="1">
        <f t="shared" si="114"/>
        <v>1</v>
      </c>
      <c r="BA152" s="1">
        <f t="shared" si="114"/>
        <v>1</v>
      </c>
      <c r="BB152" s="1">
        <f t="shared" si="114"/>
        <v>1</v>
      </c>
      <c r="BC152" s="1">
        <f t="shared" si="114"/>
        <v>1</v>
      </c>
      <c r="BD152" s="1">
        <f t="shared" si="114"/>
        <v>1</v>
      </c>
      <c r="BE152" s="1">
        <f t="shared" si="114"/>
        <v>2</v>
      </c>
      <c r="BF152" s="1">
        <f t="shared" si="114"/>
        <v>1</v>
      </c>
      <c r="BG152" s="1">
        <f t="shared" si="114"/>
        <v>1</v>
      </c>
      <c r="BH152" s="1">
        <f t="shared" si="114"/>
        <v>1</v>
      </c>
      <c r="BI152" s="1">
        <f t="shared" si="114"/>
        <v>1</v>
      </c>
      <c r="BJ152" s="1">
        <f t="shared" si="114"/>
        <v>2</v>
      </c>
    </row>
    <row r="153" spans="1:62">
      <c r="A153" s="1" t="str">
        <f t="shared" si="104"/>
        <v>   2.2.1) Air quality (PM 2.5 levels)</v>
      </c>
      <c r="B153" s="1">
        <f t="shared" ref="B153:BJ153" si="115">COUNTIF($B88:$BJ88,B88)</f>
        <v>1</v>
      </c>
      <c r="C153" s="1">
        <f t="shared" si="115"/>
        <v>1</v>
      </c>
      <c r="D153" s="1">
        <f t="shared" si="115"/>
        <v>2</v>
      </c>
      <c r="E153" s="1">
        <f t="shared" si="115"/>
        <v>1</v>
      </c>
      <c r="F153" s="1">
        <f t="shared" si="115"/>
        <v>1</v>
      </c>
      <c r="G153" s="1">
        <f t="shared" si="115"/>
        <v>1</v>
      </c>
      <c r="H153" s="1">
        <f t="shared" si="115"/>
        <v>1</v>
      </c>
      <c r="I153" s="1">
        <f t="shared" si="115"/>
        <v>1</v>
      </c>
      <c r="J153" s="1">
        <f t="shared" si="115"/>
        <v>1</v>
      </c>
      <c r="K153" s="1">
        <f t="shared" si="115"/>
        <v>1</v>
      </c>
      <c r="L153" s="1">
        <f t="shared" si="115"/>
        <v>1</v>
      </c>
      <c r="M153" s="1">
        <f t="shared" si="115"/>
        <v>1</v>
      </c>
      <c r="N153" s="1">
        <f t="shared" si="115"/>
        <v>1</v>
      </c>
      <c r="O153" s="1">
        <f t="shared" si="115"/>
        <v>1</v>
      </c>
      <c r="P153" s="1">
        <f t="shared" si="115"/>
        <v>1</v>
      </c>
      <c r="Q153" s="1">
        <f t="shared" si="115"/>
        <v>1</v>
      </c>
      <c r="R153" s="1">
        <f t="shared" si="115"/>
        <v>1</v>
      </c>
      <c r="S153" s="1">
        <f t="shared" si="115"/>
        <v>1</v>
      </c>
      <c r="T153" s="1">
        <f t="shared" si="115"/>
        <v>1</v>
      </c>
      <c r="U153" s="1">
        <f t="shared" si="115"/>
        <v>1</v>
      </c>
      <c r="V153" s="1">
        <f t="shared" si="115"/>
        <v>1</v>
      </c>
      <c r="W153" s="1">
        <f t="shared" si="115"/>
        <v>1</v>
      </c>
      <c r="X153" s="1">
        <f t="shared" si="115"/>
        <v>1</v>
      </c>
      <c r="Y153" s="1">
        <f t="shared" si="115"/>
        <v>1</v>
      </c>
      <c r="Z153" s="1">
        <f t="shared" si="115"/>
        <v>1</v>
      </c>
      <c r="AA153" s="1">
        <f t="shared" si="115"/>
        <v>1</v>
      </c>
      <c r="AB153" s="1">
        <f t="shared" si="115"/>
        <v>1</v>
      </c>
      <c r="AC153" s="1">
        <f t="shared" si="115"/>
        <v>1</v>
      </c>
      <c r="AD153" s="1">
        <f t="shared" si="115"/>
        <v>1</v>
      </c>
      <c r="AE153" s="1">
        <f t="shared" si="115"/>
        <v>1</v>
      </c>
      <c r="AF153" s="1">
        <f t="shared" si="115"/>
        <v>1</v>
      </c>
      <c r="AG153" s="1">
        <f t="shared" si="115"/>
        <v>1</v>
      </c>
      <c r="AH153" s="1">
        <f t="shared" si="115"/>
        <v>1</v>
      </c>
      <c r="AI153" s="1">
        <f t="shared" si="115"/>
        <v>1</v>
      </c>
      <c r="AJ153" s="1">
        <f t="shared" si="115"/>
        <v>1</v>
      </c>
      <c r="AK153" s="1">
        <f t="shared" si="115"/>
        <v>1</v>
      </c>
      <c r="AL153" s="1">
        <f t="shared" si="115"/>
        <v>1</v>
      </c>
      <c r="AM153" s="1">
        <f t="shared" si="115"/>
        <v>1</v>
      </c>
      <c r="AN153" s="1">
        <f t="shared" si="115"/>
        <v>1</v>
      </c>
      <c r="AO153" s="1">
        <f t="shared" si="115"/>
        <v>1</v>
      </c>
      <c r="AP153" s="1">
        <f t="shared" si="115"/>
        <v>1</v>
      </c>
      <c r="AQ153" s="1">
        <f t="shared" si="115"/>
        <v>1</v>
      </c>
      <c r="AR153" s="1">
        <f t="shared" si="115"/>
        <v>1</v>
      </c>
      <c r="AS153" s="1">
        <f t="shared" si="115"/>
        <v>1</v>
      </c>
      <c r="AT153" s="1">
        <f t="shared" si="115"/>
        <v>1</v>
      </c>
      <c r="AU153" s="1">
        <f t="shared" si="115"/>
        <v>1</v>
      </c>
      <c r="AV153" s="1">
        <f t="shared" si="115"/>
        <v>1</v>
      </c>
      <c r="AW153" s="1">
        <f t="shared" si="115"/>
        <v>1</v>
      </c>
      <c r="AX153" s="1">
        <f t="shared" si="115"/>
        <v>1</v>
      </c>
      <c r="AY153" s="1">
        <f t="shared" si="115"/>
        <v>1</v>
      </c>
      <c r="AZ153" s="1">
        <f t="shared" si="115"/>
        <v>1</v>
      </c>
      <c r="BA153" s="1">
        <f t="shared" si="115"/>
        <v>1</v>
      </c>
      <c r="BB153" s="1">
        <f t="shared" si="115"/>
        <v>1</v>
      </c>
      <c r="BC153" s="1">
        <f t="shared" si="115"/>
        <v>1</v>
      </c>
      <c r="BD153" s="1">
        <f t="shared" si="115"/>
        <v>1</v>
      </c>
      <c r="BE153" s="1">
        <f t="shared" si="115"/>
        <v>1</v>
      </c>
      <c r="BF153" s="1">
        <f t="shared" si="115"/>
        <v>1</v>
      </c>
      <c r="BG153" s="1">
        <f t="shared" si="115"/>
        <v>1</v>
      </c>
      <c r="BH153" s="1">
        <f t="shared" si="115"/>
        <v>1</v>
      </c>
      <c r="BI153" s="1">
        <f t="shared" si="115"/>
        <v>1</v>
      </c>
      <c r="BJ153" s="1">
        <f t="shared" si="115"/>
        <v>2</v>
      </c>
    </row>
    <row r="154" spans="1:62">
      <c r="A154" s="1" t="str">
        <f t="shared" si="104"/>
        <v>   2.2.2) Water quality</v>
      </c>
      <c r="B154" s="1">
        <f t="shared" ref="B154:BJ154" si="116">COUNTIF($B89:$BJ89,B89)</f>
        <v>1</v>
      </c>
      <c r="C154" s="1">
        <f t="shared" si="116"/>
        <v>1</v>
      </c>
      <c r="D154" s="1">
        <f t="shared" si="116"/>
        <v>1</v>
      </c>
      <c r="E154" s="1">
        <f t="shared" si="116"/>
        <v>1</v>
      </c>
      <c r="F154" s="1">
        <f t="shared" si="116"/>
        <v>1</v>
      </c>
      <c r="G154" s="1">
        <f t="shared" si="116"/>
        <v>1</v>
      </c>
      <c r="H154" s="1">
        <f t="shared" si="116"/>
        <v>1</v>
      </c>
      <c r="I154" s="1">
        <f t="shared" si="116"/>
        <v>1</v>
      </c>
      <c r="J154" s="1">
        <f t="shared" si="116"/>
        <v>1</v>
      </c>
      <c r="K154" s="1">
        <f t="shared" si="116"/>
        <v>1</v>
      </c>
      <c r="L154" s="1">
        <f t="shared" si="116"/>
        <v>1</v>
      </c>
      <c r="M154" s="1">
        <f t="shared" si="116"/>
        <v>1</v>
      </c>
      <c r="N154" s="1">
        <f t="shared" si="116"/>
        <v>1</v>
      </c>
      <c r="O154" s="1">
        <f t="shared" si="116"/>
        <v>2</v>
      </c>
      <c r="P154" s="1">
        <f t="shared" si="116"/>
        <v>2</v>
      </c>
      <c r="Q154" s="1">
        <f t="shared" si="116"/>
        <v>1</v>
      </c>
      <c r="R154" s="1">
        <f t="shared" si="116"/>
        <v>1</v>
      </c>
      <c r="S154" s="1">
        <f t="shared" si="116"/>
        <v>1</v>
      </c>
      <c r="T154" s="1">
        <f t="shared" si="116"/>
        <v>1</v>
      </c>
      <c r="U154" s="1">
        <f t="shared" si="116"/>
        <v>1</v>
      </c>
      <c r="V154" s="1">
        <f t="shared" si="116"/>
        <v>1</v>
      </c>
      <c r="W154" s="1">
        <f t="shared" si="116"/>
        <v>1</v>
      </c>
      <c r="X154" s="1">
        <f t="shared" si="116"/>
        <v>1</v>
      </c>
      <c r="Y154" s="1">
        <f t="shared" si="116"/>
        <v>1</v>
      </c>
      <c r="Z154" s="1">
        <f t="shared" si="116"/>
        <v>1</v>
      </c>
      <c r="AA154" s="1">
        <f t="shared" si="116"/>
        <v>1</v>
      </c>
      <c r="AB154" s="1">
        <f t="shared" si="116"/>
        <v>1</v>
      </c>
      <c r="AC154" s="1">
        <f t="shared" si="116"/>
        <v>1</v>
      </c>
      <c r="AD154" s="1">
        <f t="shared" si="116"/>
        <v>1</v>
      </c>
      <c r="AE154" s="1">
        <f t="shared" si="116"/>
        <v>2</v>
      </c>
      <c r="AF154" s="1">
        <f t="shared" si="116"/>
        <v>1</v>
      </c>
      <c r="AG154" s="1">
        <f t="shared" si="116"/>
        <v>1</v>
      </c>
      <c r="AH154" s="1">
        <f t="shared" si="116"/>
        <v>1</v>
      </c>
      <c r="AI154" s="1">
        <f t="shared" si="116"/>
        <v>1</v>
      </c>
      <c r="AJ154" s="1">
        <f t="shared" si="116"/>
        <v>2</v>
      </c>
      <c r="AK154" s="1">
        <f t="shared" si="116"/>
        <v>1</v>
      </c>
      <c r="AL154" s="1">
        <f t="shared" si="116"/>
        <v>1</v>
      </c>
      <c r="AM154" s="1">
        <f t="shared" si="116"/>
        <v>1</v>
      </c>
      <c r="AN154" s="1">
        <f t="shared" si="116"/>
        <v>1</v>
      </c>
      <c r="AO154" s="1">
        <f t="shared" si="116"/>
        <v>1</v>
      </c>
      <c r="AP154" s="1">
        <f t="shared" si="116"/>
        <v>1</v>
      </c>
      <c r="AQ154" s="1">
        <f t="shared" si="116"/>
        <v>1</v>
      </c>
      <c r="AR154" s="1">
        <f t="shared" si="116"/>
        <v>1</v>
      </c>
      <c r="AS154" s="1">
        <f t="shared" si="116"/>
        <v>1</v>
      </c>
      <c r="AT154" s="1">
        <f t="shared" si="116"/>
        <v>2</v>
      </c>
      <c r="AU154" s="1">
        <f t="shared" si="116"/>
        <v>1</v>
      </c>
      <c r="AV154" s="1">
        <f t="shared" si="116"/>
        <v>1</v>
      </c>
      <c r="AW154" s="1">
        <f t="shared" si="116"/>
        <v>1</v>
      </c>
      <c r="AX154" s="1">
        <f t="shared" si="116"/>
        <v>1</v>
      </c>
      <c r="AY154" s="1">
        <f t="shared" si="116"/>
        <v>1</v>
      </c>
      <c r="AZ154" s="1">
        <f t="shared" si="116"/>
        <v>1</v>
      </c>
      <c r="BA154" s="1">
        <f t="shared" si="116"/>
        <v>1</v>
      </c>
      <c r="BB154" s="1">
        <f t="shared" si="116"/>
        <v>1</v>
      </c>
      <c r="BC154" s="1">
        <f t="shared" si="116"/>
        <v>1</v>
      </c>
      <c r="BD154" s="1">
        <f t="shared" si="116"/>
        <v>1</v>
      </c>
      <c r="BE154" s="1">
        <f t="shared" si="116"/>
        <v>1</v>
      </c>
      <c r="BF154" s="1">
        <f t="shared" si="116"/>
        <v>1</v>
      </c>
      <c r="BG154" s="1">
        <f t="shared" si="116"/>
        <v>1</v>
      </c>
      <c r="BH154" s="1">
        <f t="shared" si="116"/>
        <v>1</v>
      </c>
      <c r="BI154" s="1">
        <f t="shared" si="116"/>
        <v>1</v>
      </c>
      <c r="BJ154" s="1">
        <f t="shared" si="116"/>
        <v>2</v>
      </c>
    </row>
    <row r="155" spans="1:62">
      <c r="A155" s="1" t="str">
        <f t="shared" si="104"/>
        <v>   2.2.3) Life expectancy years</v>
      </c>
      <c r="B155" s="1">
        <f t="shared" ref="B155:BJ155" si="117">COUNTIF($B90:$BJ90,B90)</f>
        <v>1</v>
      </c>
      <c r="C155" s="1">
        <f t="shared" si="117"/>
        <v>1</v>
      </c>
      <c r="D155" s="1">
        <f t="shared" si="117"/>
        <v>1</v>
      </c>
      <c r="E155" s="1">
        <f t="shared" si="117"/>
        <v>1</v>
      </c>
      <c r="F155" s="1">
        <f t="shared" si="117"/>
        <v>2</v>
      </c>
      <c r="G155" s="1">
        <f t="shared" si="117"/>
        <v>2</v>
      </c>
      <c r="H155" s="1">
        <f t="shared" si="117"/>
        <v>1</v>
      </c>
      <c r="I155" s="1">
        <f t="shared" si="117"/>
        <v>1</v>
      </c>
      <c r="J155" s="1">
        <f t="shared" si="117"/>
        <v>1</v>
      </c>
      <c r="K155" s="1">
        <f t="shared" si="117"/>
        <v>1</v>
      </c>
      <c r="L155" s="1">
        <f t="shared" si="117"/>
        <v>1</v>
      </c>
      <c r="M155" s="1">
        <f t="shared" si="117"/>
        <v>1</v>
      </c>
      <c r="N155" s="1">
        <f t="shared" si="117"/>
        <v>1</v>
      </c>
      <c r="O155" s="1">
        <f t="shared" si="117"/>
        <v>1</v>
      </c>
      <c r="P155" s="1">
        <f t="shared" si="117"/>
        <v>2</v>
      </c>
      <c r="Q155" s="1">
        <f t="shared" si="117"/>
        <v>1</v>
      </c>
      <c r="R155" s="1">
        <f t="shared" si="117"/>
        <v>1</v>
      </c>
      <c r="S155" s="1">
        <f t="shared" si="117"/>
        <v>1</v>
      </c>
      <c r="T155" s="1">
        <f t="shared" si="117"/>
        <v>1</v>
      </c>
      <c r="U155" s="1">
        <f t="shared" si="117"/>
        <v>1</v>
      </c>
      <c r="V155" s="1">
        <f t="shared" si="117"/>
        <v>1</v>
      </c>
      <c r="W155" s="1">
        <f t="shared" si="117"/>
        <v>1</v>
      </c>
      <c r="X155" s="1">
        <f t="shared" si="117"/>
        <v>2</v>
      </c>
      <c r="Y155" s="1">
        <f t="shared" si="117"/>
        <v>1</v>
      </c>
      <c r="Z155" s="1">
        <f t="shared" si="117"/>
        <v>1</v>
      </c>
      <c r="AA155" s="1">
        <f t="shared" si="117"/>
        <v>1</v>
      </c>
      <c r="AB155" s="1">
        <f t="shared" si="117"/>
        <v>1</v>
      </c>
      <c r="AC155" s="1">
        <f t="shared" si="117"/>
        <v>1</v>
      </c>
      <c r="AD155" s="1">
        <f t="shared" si="117"/>
        <v>1</v>
      </c>
      <c r="AE155" s="1">
        <f t="shared" si="117"/>
        <v>2</v>
      </c>
      <c r="AF155" s="1">
        <f t="shared" si="117"/>
        <v>2</v>
      </c>
      <c r="AG155" s="1">
        <f t="shared" si="117"/>
        <v>1</v>
      </c>
      <c r="AH155" s="1">
        <f t="shared" si="117"/>
        <v>2</v>
      </c>
      <c r="AI155" s="1">
        <f t="shared" si="117"/>
        <v>1</v>
      </c>
      <c r="AJ155" s="1">
        <f t="shared" si="117"/>
        <v>2</v>
      </c>
      <c r="AK155" s="1">
        <f t="shared" si="117"/>
        <v>1</v>
      </c>
      <c r="AL155" s="1">
        <f t="shared" si="117"/>
        <v>2</v>
      </c>
      <c r="AM155" s="1">
        <f t="shared" si="117"/>
        <v>1</v>
      </c>
      <c r="AN155" s="1">
        <f t="shared" si="117"/>
        <v>3</v>
      </c>
      <c r="AO155" s="1">
        <f t="shared" si="117"/>
        <v>1</v>
      </c>
      <c r="AP155" s="1">
        <f t="shared" si="117"/>
        <v>1</v>
      </c>
      <c r="AQ155" s="1">
        <f t="shared" si="117"/>
        <v>2</v>
      </c>
      <c r="AR155" s="1">
        <f t="shared" si="117"/>
        <v>2</v>
      </c>
      <c r="AS155" s="1">
        <f t="shared" si="117"/>
        <v>2</v>
      </c>
      <c r="AT155" s="1">
        <f t="shared" si="117"/>
        <v>2</v>
      </c>
      <c r="AU155" s="1">
        <f t="shared" si="117"/>
        <v>1</v>
      </c>
      <c r="AV155" s="1">
        <f t="shared" si="117"/>
        <v>2</v>
      </c>
      <c r="AW155" s="1">
        <f t="shared" si="117"/>
        <v>1</v>
      </c>
      <c r="AX155" s="1">
        <f t="shared" si="117"/>
        <v>2</v>
      </c>
      <c r="AY155" s="1">
        <f t="shared" si="117"/>
        <v>1</v>
      </c>
      <c r="AZ155" s="1">
        <f t="shared" si="117"/>
        <v>1</v>
      </c>
      <c r="BA155" s="1">
        <f t="shared" si="117"/>
        <v>2</v>
      </c>
      <c r="BB155" s="1">
        <f t="shared" si="117"/>
        <v>1</v>
      </c>
      <c r="BC155" s="1">
        <f t="shared" si="117"/>
        <v>1</v>
      </c>
      <c r="BD155" s="1">
        <f t="shared" si="117"/>
        <v>3</v>
      </c>
      <c r="BE155" s="1">
        <f t="shared" si="117"/>
        <v>1</v>
      </c>
      <c r="BF155" s="1">
        <f t="shared" si="117"/>
        <v>1</v>
      </c>
      <c r="BG155" s="1">
        <f t="shared" si="117"/>
        <v>1</v>
      </c>
      <c r="BH155" s="1">
        <f t="shared" si="117"/>
        <v>1</v>
      </c>
      <c r="BI155" s="1">
        <f t="shared" si="117"/>
        <v>1</v>
      </c>
      <c r="BJ155" s="1">
        <f t="shared" si="117"/>
        <v>3</v>
      </c>
    </row>
    <row r="156" spans="1:62">
      <c r="A156" s="1" t="str">
        <f t="shared" si="104"/>
        <v>   2.2.4) Infant mortality</v>
      </c>
      <c r="B156" s="1">
        <f t="shared" ref="B156:BJ156" si="118">COUNTIF($B91:$BJ91,B91)</f>
        <v>1</v>
      </c>
      <c r="C156" s="1">
        <f t="shared" si="118"/>
        <v>1</v>
      </c>
      <c r="D156" s="1">
        <f t="shared" si="118"/>
        <v>1</v>
      </c>
      <c r="E156" s="1">
        <f t="shared" si="118"/>
        <v>1</v>
      </c>
      <c r="F156" s="1">
        <f t="shared" si="118"/>
        <v>4</v>
      </c>
      <c r="G156" s="1">
        <f t="shared" si="118"/>
        <v>2</v>
      </c>
      <c r="H156" s="1">
        <f t="shared" si="118"/>
        <v>1</v>
      </c>
      <c r="I156" s="1">
        <f t="shared" si="118"/>
        <v>1</v>
      </c>
      <c r="J156" s="1">
        <f t="shared" si="118"/>
        <v>1</v>
      </c>
      <c r="K156" s="1">
        <f t="shared" si="118"/>
        <v>1</v>
      </c>
      <c r="L156" s="1">
        <f t="shared" si="118"/>
        <v>1</v>
      </c>
      <c r="M156" s="1">
        <f t="shared" si="118"/>
        <v>1</v>
      </c>
      <c r="N156" s="1">
        <f t="shared" si="118"/>
        <v>1</v>
      </c>
      <c r="O156" s="1">
        <f t="shared" si="118"/>
        <v>1</v>
      </c>
      <c r="P156" s="1">
        <f t="shared" si="118"/>
        <v>2</v>
      </c>
      <c r="Q156" s="1">
        <f t="shared" si="118"/>
        <v>1</v>
      </c>
      <c r="R156" s="1">
        <f t="shared" si="118"/>
        <v>1</v>
      </c>
      <c r="S156" s="1">
        <f t="shared" si="118"/>
        <v>1</v>
      </c>
      <c r="T156" s="1">
        <f t="shared" si="118"/>
        <v>1</v>
      </c>
      <c r="U156" s="1">
        <f t="shared" si="118"/>
        <v>1</v>
      </c>
      <c r="V156" s="1">
        <f t="shared" si="118"/>
        <v>1</v>
      </c>
      <c r="W156" s="1">
        <f t="shared" si="118"/>
        <v>1</v>
      </c>
      <c r="X156" s="1">
        <f t="shared" si="118"/>
        <v>2</v>
      </c>
      <c r="Y156" s="1">
        <f t="shared" si="118"/>
        <v>1</v>
      </c>
      <c r="Z156" s="1">
        <f t="shared" si="118"/>
        <v>1</v>
      </c>
      <c r="AA156" s="1">
        <f t="shared" si="118"/>
        <v>1</v>
      </c>
      <c r="AB156" s="1">
        <f t="shared" si="118"/>
        <v>1</v>
      </c>
      <c r="AC156" s="1">
        <f t="shared" si="118"/>
        <v>1</v>
      </c>
      <c r="AD156" s="1">
        <f t="shared" si="118"/>
        <v>4</v>
      </c>
      <c r="AE156" s="1">
        <f t="shared" si="118"/>
        <v>3</v>
      </c>
      <c r="AF156" s="1">
        <f t="shared" si="118"/>
        <v>4</v>
      </c>
      <c r="AG156" s="1">
        <f t="shared" si="118"/>
        <v>1</v>
      </c>
      <c r="AH156" s="1">
        <f t="shared" si="118"/>
        <v>2</v>
      </c>
      <c r="AI156" s="1">
        <f t="shared" si="118"/>
        <v>1</v>
      </c>
      <c r="AJ156" s="1">
        <f t="shared" si="118"/>
        <v>3</v>
      </c>
      <c r="AK156" s="1">
        <f t="shared" si="118"/>
        <v>1</v>
      </c>
      <c r="AL156" s="1">
        <f t="shared" si="118"/>
        <v>2</v>
      </c>
      <c r="AM156" s="1">
        <f t="shared" si="118"/>
        <v>1</v>
      </c>
      <c r="AN156" s="1">
        <f t="shared" si="118"/>
        <v>3</v>
      </c>
      <c r="AO156" s="1">
        <f t="shared" si="118"/>
        <v>4</v>
      </c>
      <c r="AP156" s="1">
        <f t="shared" si="118"/>
        <v>1</v>
      </c>
      <c r="AQ156" s="1">
        <f t="shared" si="118"/>
        <v>2</v>
      </c>
      <c r="AR156" s="1">
        <f t="shared" si="118"/>
        <v>2</v>
      </c>
      <c r="AS156" s="1">
        <f t="shared" si="118"/>
        <v>3</v>
      </c>
      <c r="AT156" s="1">
        <f t="shared" si="118"/>
        <v>3</v>
      </c>
      <c r="AU156" s="1">
        <f t="shared" si="118"/>
        <v>1</v>
      </c>
      <c r="AV156" s="1">
        <f t="shared" si="118"/>
        <v>2</v>
      </c>
      <c r="AW156" s="1">
        <f t="shared" si="118"/>
        <v>3</v>
      </c>
      <c r="AX156" s="1">
        <f t="shared" si="118"/>
        <v>2</v>
      </c>
      <c r="AY156" s="1">
        <f t="shared" si="118"/>
        <v>1</v>
      </c>
      <c r="AZ156" s="1">
        <f t="shared" si="118"/>
        <v>1</v>
      </c>
      <c r="BA156" s="1">
        <f t="shared" si="118"/>
        <v>2</v>
      </c>
      <c r="BB156" s="1">
        <f t="shared" si="118"/>
        <v>1</v>
      </c>
      <c r="BC156" s="1">
        <f t="shared" si="118"/>
        <v>1</v>
      </c>
      <c r="BD156" s="1">
        <f t="shared" si="118"/>
        <v>3</v>
      </c>
      <c r="BE156" s="1">
        <f t="shared" si="118"/>
        <v>3</v>
      </c>
      <c r="BF156" s="1">
        <f t="shared" si="118"/>
        <v>1</v>
      </c>
      <c r="BG156" s="1">
        <f t="shared" si="118"/>
        <v>1</v>
      </c>
      <c r="BH156" s="1">
        <f t="shared" si="118"/>
        <v>1</v>
      </c>
      <c r="BI156" s="1">
        <f t="shared" si="118"/>
        <v>1</v>
      </c>
      <c r="BJ156" s="1">
        <f t="shared" si="118"/>
        <v>3</v>
      </c>
    </row>
    <row r="157" spans="1:62">
      <c r="A157" s="1" t="str">
        <f t="shared" si="104"/>
        <v>   2.2.5) Cancer mortality rate</v>
      </c>
      <c r="B157" s="1">
        <f t="shared" ref="B157:BJ157" si="119">COUNTIF($B92:$BJ92,B92)</f>
        <v>1</v>
      </c>
      <c r="C157" s="1">
        <f t="shared" si="119"/>
        <v>1</v>
      </c>
      <c r="D157" s="1">
        <f t="shared" si="119"/>
        <v>1</v>
      </c>
      <c r="E157" s="1">
        <f t="shared" si="119"/>
        <v>1</v>
      </c>
      <c r="F157" s="1">
        <f t="shared" si="119"/>
        <v>2</v>
      </c>
      <c r="G157" s="1">
        <f t="shared" si="119"/>
        <v>1</v>
      </c>
      <c r="H157" s="1">
        <f t="shared" si="119"/>
        <v>1</v>
      </c>
      <c r="I157" s="1">
        <f t="shared" si="119"/>
        <v>1</v>
      </c>
      <c r="J157" s="1">
        <f t="shared" si="119"/>
        <v>1</v>
      </c>
      <c r="K157" s="1">
        <f t="shared" si="119"/>
        <v>1</v>
      </c>
      <c r="L157" s="1">
        <f t="shared" si="119"/>
        <v>1</v>
      </c>
      <c r="M157" s="1">
        <f t="shared" si="119"/>
        <v>1</v>
      </c>
      <c r="N157" s="1">
        <f t="shared" si="119"/>
        <v>1</v>
      </c>
      <c r="O157" s="1">
        <f t="shared" si="119"/>
        <v>1</v>
      </c>
      <c r="P157" s="1">
        <f t="shared" si="119"/>
        <v>2</v>
      </c>
      <c r="Q157" s="1">
        <f t="shared" si="119"/>
        <v>1</v>
      </c>
      <c r="R157" s="1">
        <f t="shared" si="119"/>
        <v>1</v>
      </c>
      <c r="S157" s="1">
        <f t="shared" si="119"/>
        <v>1</v>
      </c>
      <c r="T157" s="1">
        <f t="shared" si="119"/>
        <v>1</v>
      </c>
      <c r="U157" s="1">
        <f t="shared" si="119"/>
        <v>1</v>
      </c>
      <c r="V157" s="1">
        <f t="shared" si="119"/>
        <v>1</v>
      </c>
      <c r="W157" s="1">
        <f t="shared" si="119"/>
        <v>1</v>
      </c>
      <c r="X157" s="1">
        <f t="shared" si="119"/>
        <v>2</v>
      </c>
      <c r="Y157" s="1">
        <f t="shared" si="119"/>
        <v>1</v>
      </c>
      <c r="Z157" s="1">
        <f t="shared" si="119"/>
        <v>1</v>
      </c>
      <c r="AA157" s="1">
        <f t="shared" si="119"/>
        <v>1</v>
      </c>
      <c r="AB157" s="1">
        <f t="shared" si="119"/>
        <v>1</v>
      </c>
      <c r="AC157" s="1">
        <f t="shared" si="119"/>
        <v>1</v>
      </c>
      <c r="AD157" s="1">
        <f t="shared" si="119"/>
        <v>1</v>
      </c>
      <c r="AE157" s="1">
        <f t="shared" si="119"/>
        <v>2</v>
      </c>
      <c r="AF157" s="1">
        <f t="shared" si="119"/>
        <v>2</v>
      </c>
      <c r="AG157" s="1">
        <f t="shared" si="119"/>
        <v>1</v>
      </c>
      <c r="AH157" s="1">
        <f t="shared" si="119"/>
        <v>2</v>
      </c>
      <c r="AI157" s="1">
        <f t="shared" si="119"/>
        <v>1</v>
      </c>
      <c r="AJ157" s="1">
        <f t="shared" si="119"/>
        <v>2</v>
      </c>
      <c r="AK157" s="1">
        <f t="shared" si="119"/>
        <v>1</v>
      </c>
      <c r="AL157" s="1">
        <f t="shared" si="119"/>
        <v>2</v>
      </c>
      <c r="AM157" s="1">
        <f t="shared" si="119"/>
        <v>1</v>
      </c>
      <c r="AN157" s="1">
        <f t="shared" si="119"/>
        <v>3</v>
      </c>
      <c r="AO157" s="1">
        <f t="shared" si="119"/>
        <v>1</v>
      </c>
      <c r="AP157" s="1">
        <f t="shared" si="119"/>
        <v>1</v>
      </c>
      <c r="AQ157" s="1">
        <f t="shared" si="119"/>
        <v>2</v>
      </c>
      <c r="AR157" s="1">
        <f t="shared" si="119"/>
        <v>2</v>
      </c>
      <c r="AS157" s="1">
        <f t="shared" si="119"/>
        <v>2</v>
      </c>
      <c r="AT157" s="1">
        <f t="shared" si="119"/>
        <v>2</v>
      </c>
      <c r="AU157" s="1">
        <f t="shared" si="119"/>
        <v>1</v>
      </c>
      <c r="AV157" s="1">
        <f t="shared" si="119"/>
        <v>2</v>
      </c>
      <c r="AW157" s="1">
        <f t="shared" si="119"/>
        <v>1</v>
      </c>
      <c r="AX157" s="1">
        <f t="shared" si="119"/>
        <v>1</v>
      </c>
      <c r="AY157" s="1">
        <f t="shared" si="119"/>
        <v>1</v>
      </c>
      <c r="AZ157" s="1">
        <f t="shared" si="119"/>
        <v>1</v>
      </c>
      <c r="BA157" s="1">
        <f t="shared" si="119"/>
        <v>2</v>
      </c>
      <c r="BB157" s="1">
        <f t="shared" si="119"/>
        <v>1</v>
      </c>
      <c r="BC157" s="1">
        <f t="shared" si="119"/>
        <v>1</v>
      </c>
      <c r="BD157" s="1">
        <f t="shared" si="119"/>
        <v>3</v>
      </c>
      <c r="BE157" s="1">
        <f t="shared" si="119"/>
        <v>1</v>
      </c>
      <c r="BF157" s="1">
        <f t="shared" si="119"/>
        <v>1</v>
      </c>
      <c r="BG157" s="1">
        <f t="shared" si="119"/>
        <v>1</v>
      </c>
      <c r="BH157" s="1">
        <f t="shared" si="119"/>
        <v>1</v>
      </c>
      <c r="BI157" s="1">
        <f t="shared" si="119"/>
        <v>1</v>
      </c>
      <c r="BJ157" s="1">
        <f t="shared" si="119"/>
        <v>3</v>
      </c>
    </row>
    <row r="158" spans="1:62">
      <c r="A158" s="1" t="str">
        <f t="shared" si="104"/>
        <v>   2.2.6) Number of attacks using biological, chemical and/or radiological weapons</v>
      </c>
      <c r="B158" s="1">
        <f t="shared" ref="B158:BJ158" si="120">COUNTIF($B93:$BJ93,B93)</f>
        <v>56</v>
      </c>
      <c r="C158" s="1">
        <f t="shared" si="120"/>
        <v>56</v>
      </c>
      <c r="D158" s="1">
        <f t="shared" si="120"/>
        <v>56</v>
      </c>
      <c r="E158" s="1">
        <f t="shared" si="120"/>
        <v>56</v>
      </c>
      <c r="F158" s="1">
        <f t="shared" si="120"/>
        <v>56</v>
      </c>
      <c r="G158" s="1">
        <f t="shared" si="120"/>
        <v>56</v>
      </c>
      <c r="H158" s="1">
        <f t="shared" si="120"/>
        <v>56</v>
      </c>
      <c r="I158" s="1">
        <f t="shared" si="120"/>
        <v>56</v>
      </c>
      <c r="J158" s="1">
        <f t="shared" si="120"/>
        <v>56</v>
      </c>
      <c r="K158" s="1">
        <f t="shared" si="120"/>
        <v>56</v>
      </c>
      <c r="L158" s="1">
        <f t="shared" si="120"/>
        <v>56</v>
      </c>
      <c r="M158" s="1">
        <f t="shared" si="120"/>
        <v>56</v>
      </c>
      <c r="N158" s="1">
        <f t="shared" si="120"/>
        <v>56</v>
      </c>
      <c r="O158" s="1">
        <f t="shared" si="120"/>
        <v>56</v>
      </c>
      <c r="P158" s="1">
        <f t="shared" si="120"/>
        <v>56</v>
      </c>
      <c r="Q158" s="1">
        <f t="shared" si="120"/>
        <v>56</v>
      </c>
      <c r="R158" s="1">
        <f t="shared" si="120"/>
        <v>56</v>
      </c>
      <c r="S158" s="1">
        <f t="shared" si="120"/>
        <v>56</v>
      </c>
      <c r="T158" s="1">
        <f t="shared" si="120"/>
        <v>56</v>
      </c>
      <c r="U158" s="1">
        <f t="shared" si="120"/>
        <v>2</v>
      </c>
      <c r="V158" s="1">
        <f t="shared" si="120"/>
        <v>56</v>
      </c>
      <c r="W158" s="1">
        <f t="shared" si="120"/>
        <v>56</v>
      </c>
      <c r="X158" s="1">
        <f t="shared" si="120"/>
        <v>56</v>
      </c>
      <c r="Y158" s="1">
        <f t="shared" si="120"/>
        <v>56</v>
      </c>
      <c r="Z158" s="1">
        <f t="shared" si="120"/>
        <v>56</v>
      </c>
      <c r="AA158" s="1">
        <f t="shared" si="120"/>
        <v>56</v>
      </c>
      <c r="AB158" s="1">
        <f t="shared" si="120"/>
        <v>56</v>
      </c>
      <c r="AC158" s="1">
        <f t="shared" si="120"/>
        <v>56</v>
      </c>
      <c r="AD158" s="1">
        <f t="shared" si="120"/>
        <v>56</v>
      </c>
      <c r="AE158" s="1">
        <f t="shared" si="120"/>
        <v>1</v>
      </c>
      <c r="AF158" s="1">
        <f t="shared" si="120"/>
        <v>56</v>
      </c>
      <c r="AG158" s="1">
        <f t="shared" si="120"/>
        <v>56</v>
      </c>
      <c r="AH158" s="1">
        <f t="shared" si="120"/>
        <v>56</v>
      </c>
      <c r="AI158" s="1">
        <f t="shared" si="120"/>
        <v>56</v>
      </c>
      <c r="AJ158" s="1">
        <f t="shared" si="120"/>
        <v>56</v>
      </c>
      <c r="AK158" s="1">
        <f t="shared" si="120"/>
        <v>56</v>
      </c>
      <c r="AL158" s="1">
        <f t="shared" si="120"/>
        <v>56</v>
      </c>
      <c r="AM158" s="1">
        <f t="shared" si="120"/>
        <v>2</v>
      </c>
      <c r="AN158" s="1">
        <f t="shared" si="120"/>
        <v>56</v>
      </c>
      <c r="AO158" s="1">
        <f t="shared" si="120"/>
        <v>56</v>
      </c>
      <c r="AP158" s="1">
        <f t="shared" si="120"/>
        <v>56</v>
      </c>
      <c r="AQ158" s="1">
        <f t="shared" si="120"/>
        <v>56</v>
      </c>
      <c r="AR158" s="1">
        <f t="shared" si="120"/>
        <v>56</v>
      </c>
      <c r="AS158" s="1">
        <f t="shared" si="120"/>
        <v>56</v>
      </c>
      <c r="AT158" s="1">
        <f t="shared" si="120"/>
        <v>56</v>
      </c>
      <c r="AU158" s="1">
        <f t="shared" si="120"/>
        <v>56</v>
      </c>
      <c r="AV158" s="1">
        <f t="shared" si="120"/>
        <v>56</v>
      </c>
      <c r="AW158" s="1">
        <f t="shared" si="120"/>
        <v>56</v>
      </c>
      <c r="AX158" s="1">
        <f t="shared" si="120"/>
        <v>56</v>
      </c>
      <c r="AY158" s="1">
        <f t="shared" si="120"/>
        <v>56</v>
      </c>
      <c r="AZ158" s="1">
        <f t="shared" si="120"/>
        <v>56</v>
      </c>
      <c r="BA158" s="1">
        <f t="shared" si="120"/>
        <v>56</v>
      </c>
      <c r="BB158" s="1">
        <f t="shared" si="120"/>
        <v>56</v>
      </c>
      <c r="BC158" s="1">
        <f t="shared" si="120"/>
        <v>56</v>
      </c>
      <c r="BD158" s="1">
        <f t="shared" si="120"/>
        <v>56</v>
      </c>
      <c r="BE158" s="1">
        <f t="shared" si="120"/>
        <v>56</v>
      </c>
      <c r="BF158" s="1">
        <f t="shared" si="120"/>
        <v>1</v>
      </c>
      <c r="BG158" s="1">
        <f t="shared" si="120"/>
        <v>1</v>
      </c>
      <c r="BH158" s="1">
        <f t="shared" si="120"/>
        <v>56</v>
      </c>
      <c r="BI158" s="1">
        <f t="shared" si="120"/>
        <v>56</v>
      </c>
      <c r="BJ158" s="1">
        <f t="shared" si="120"/>
        <v>56</v>
      </c>
    </row>
    <row r="159" spans="1:62">
      <c r="A159" s="1" t="str">
        <f t="shared" si="104"/>
        <v> 3) INFRASTRUCTURE SECURITY</v>
      </c>
      <c r="B159" s="1">
        <f t="shared" ref="B159:BJ159" si="121">COUNTIF($B94:$BJ94,B94)</f>
        <v>1</v>
      </c>
      <c r="C159" s="1">
        <f t="shared" si="121"/>
        <v>1</v>
      </c>
      <c r="D159" s="1">
        <f t="shared" si="121"/>
        <v>1</v>
      </c>
      <c r="E159" s="1">
        <f t="shared" si="121"/>
        <v>1</v>
      </c>
      <c r="F159" s="1">
        <f t="shared" si="121"/>
        <v>1</v>
      </c>
      <c r="G159" s="1">
        <f t="shared" si="121"/>
        <v>1</v>
      </c>
      <c r="H159" s="1">
        <f t="shared" si="121"/>
        <v>1</v>
      </c>
      <c r="I159" s="1">
        <f t="shared" si="121"/>
        <v>1</v>
      </c>
      <c r="J159" s="1">
        <f t="shared" si="121"/>
        <v>1</v>
      </c>
      <c r="K159" s="1">
        <f t="shared" si="121"/>
        <v>1</v>
      </c>
      <c r="L159" s="1">
        <f t="shared" si="121"/>
        <v>1</v>
      </c>
      <c r="M159" s="1">
        <f t="shared" si="121"/>
        <v>1</v>
      </c>
      <c r="N159" s="1">
        <f t="shared" si="121"/>
        <v>1</v>
      </c>
      <c r="O159" s="1">
        <f t="shared" si="121"/>
        <v>1</v>
      </c>
      <c r="P159" s="1">
        <f t="shared" si="121"/>
        <v>1</v>
      </c>
      <c r="Q159" s="1">
        <f t="shared" si="121"/>
        <v>1</v>
      </c>
      <c r="R159" s="1">
        <f t="shared" si="121"/>
        <v>1</v>
      </c>
      <c r="S159" s="1">
        <f t="shared" si="121"/>
        <v>1</v>
      </c>
      <c r="T159" s="1">
        <f t="shared" si="121"/>
        <v>1</v>
      </c>
      <c r="U159" s="1">
        <f t="shared" si="121"/>
        <v>2</v>
      </c>
      <c r="V159" s="1">
        <f t="shared" si="121"/>
        <v>1</v>
      </c>
      <c r="W159" s="1">
        <f t="shared" si="121"/>
        <v>1</v>
      </c>
      <c r="X159" s="1">
        <f t="shared" si="121"/>
        <v>1</v>
      </c>
      <c r="Y159" s="1">
        <f t="shared" si="121"/>
        <v>1</v>
      </c>
      <c r="Z159" s="1">
        <f t="shared" si="121"/>
        <v>1</v>
      </c>
      <c r="AA159" s="1">
        <f t="shared" si="121"/>
        <v>1</v>
      </c>
      <c r="AB159" s="1">
        <f t="shared" si="121"/>
        <v>1</v>
      </c>
      <c r="AC159" s="1">
        <f t="shared" si="121"/>
        <v>1</v>
      </c>
      <c r="AD159" s="1">
        <f t="shared" si="121"/>
        <v>1</v>
      </c>
      <c r="AE159" s="1">
        <f t="shared" si="121"/>
        <v>1</v>
      </c>
      <c r="AF159" s="1">
        <f t="shared" si="121"/>
        <v>1</v>
      </c>
      <c r="AG159" s="1">
        <f t="shared" si="121"/>
        <v>1</v>
      </c>
      <c r="AH159" s="1">
        <f t="shared" si="121"/>
        <v>2</v>
      </c>
      <c r="AI159" s="1">
        <f t="shared" si="121"/>
        <v>1</v>
      </c>
      <c r="AJ159" s="1">
        <f t="shared" si="121"/>
        <v>1</v>
      </c>
      <c r="AK159" s="1">
        <f t="shared" si="121"/>
        <v>1</v>
      </c>
      <c r="AL159" s="1">
        <f t="shared" si="121"/>
        <v>1</v>
      </c>
      <c r="AM159" s="1">
        <f t="shared" si="121"/>
        <v>1</v>
      </c>
      <c r="AN159" s="1">
        <f t="shared" si="121"/>
        <v>2</v>
      </c>
      <c r="AO159" s="1">
        <f t="shared" si="121"/>
        <v>1</v>
      </c>
      <c r="AP159" s="1">
        <f t="shared" si="121"/>
        <v>1</v>
      </c>
      <c r="AQ159" s="1">
        <f t="shared" si="121"/>
        <v>1</v>
      </c>
      <c r="AR159" s="1">
        <f t="shared" si="121"/>
        <v>1</v>
      </c>
      <c r="AS159" s="1">
        <f t="shared" si="121"/>
        <v>1</v>
      </c>
      <c r="AT159" s="1">
        <f t="shared" si="121"/>
        <v>1</v>
      </c>
      <c r="AU159" s="1">
        <f t="shared" si="121"/>
        <v>1</v>
      </c>
      <c r="AV159" s="1">
        <f t="shared" si="121"/>
        <v>1</v>
      </c>
      <c r="AW159" s="1">
        <f t="shared" si="121"/>
        <v>1</v>
      </c>
      <c r="AX159" s="1">
        <f t="shared" si="121"/>
        <v>1</v>
      </c>
      <c r="AY159" s="1">
        <f t="shared" si="121"/>
        <v>1</v>
      </c>
      <c r="AZ159" s="1">
        <f t="shared" si="121"/>
        <v>1</v>
      </c>
      <c r="BA159" s="1">
        <f t="shared" si="121"/>
        <v>1</v>
      </c>
      <c r="BB159" s="1">
        <f t="shared" si="121"/>
        <v>1</v>
      </c>
      <c r="BC159" s="1">
        <f t="shared" si="121"/>
        <v>1</v>
      </c>
      <c r="BD159" s="1">
        <f t="shared" si="121"/>
        <v>1</v>
      </c>
      <c r="BE159" s="1">
        <f t="shared" si="121"/>
        <v>1</v>
      </c>
      <c r="BF159" s="1">
        <f t="shared" si="121"/>
        <v>1</v>
      </c>
      <c r="BG159" s="1">
        <f t="shared" si="121"/>
        <v>1</v>
      </c>
      <c r="BH159" s="1">
        <f t="shared" si="121"/>
        <v>1</v>
      </c>
      <c r="BI159" s="1">
        <f t="shared" si="121"/>
        <v>1</v>
      </c>
      <c r="BJ159" s="1">
        <f t="shared" si="121"/>
        <v>2</v>
      </c>
    </row>
    <row r="160" spans="1:62">
      <c r="A160" s="1" t="str">
        <f t="shared" si="104"/>
        <v>  3.1) Infrastructure security (Inputs)</v>
      </c>
      <c r="B160" s="1">
        <f t="shared" ref="B160:BJ160" si="122">COUNTIF($B95:$BJ95,B95)</f>
        <v>1</v>
      </c>
      <c r="C160" s="1">
        <f t="shared" si="122"/>
        <v>1</v>
      </c>
      <c r="D160" s="1">
        <f t="shared" si="122"/>
        <v>1</v>
      </c>
      <c r="E160" s="1">
        <f t="shared" si="122"/>
        <v>1</v>
      </c>
      <c r="F160" s="1">
        <f t="shared" si="122"/>
        <v>6</v>
      </c>
      <c r="G160" s="1">
        <f t="shared" si="122"/>
        <v>2</v>
      </c>
      <c r="H160" s="1">
        <f t="shared" si="122"/>
        <v>1</v>
      </c>
      <c r="I160" s="1">
        <f t="shared" si="122"/>
        <v>1</v>
      </c>
      <c r="J160" s="1">
        <f t="shared" si="122"/>
        <v>1</v>
      </c>
      <c r="K160" s="1">
        <f t="shared" si="122"/>
        <v>1</v>
      </c>
      <c r="L160" s="1">
        <f t="shared" si="122"/>
        <v>1</v>
      </c>
      <c r="M160" s="1">
        <f t="shared" si="122"/>
        <v>1</v>
      </c>
      <c r="N160" s="1">
        <f t="shared" si="122"/>
        <v>6</v>
      </c>
      <c r="O160" s="1">
        <f t="shared" si="122"/>
        <v>2</v>
      </c>
      <c r="P160" s="1">
        <f t="shared" si="122"/>
        <v>1</v>
      </c>
      <c r="Q160" s="1">
        <f t="shared" si="122"/>
        <v>1</v>
      </c>
      <c r="R160" s="1">
        <f t="shared" si="122"/>
        <v>1</v>
      </c>
      <c r="S160" s="1">
        <f t="shared" si="122"/>
        <v>3</v>
      </c>
      <c r="T160" s="1">
        <f t="shared" si="122"/>
        <v>2</v>
      </c>
      <c r="U160" s="1">
        <f t="shared" si="122"/>
        <v>3</v>
      </c>
      <c r="V160" s="1">
        <f t="shared" si="122"/>
        <v>1</v>
      </c>
      <c r="W160" s="1">
        <f t="shared" si="122"/>
        <v>2</v>
      </c>
      <c r="X160" s="1">
        <f t="shared" si="122"/>
        <v>1</v>
      </c>
      <c r="Y160" s="1">
        <f t="shared" si="122"/>
        <v>1</v>
      </c>
      <c r="Z160" s="1">
        <f t="shared" si="122"/>
        <v>1</v>
      </c>
      <c r="AA160" s="1">
        <f t="shared" si="122"/>
        <v>1</v>
      </c>
      <c r="AB160" s="1">
        <f t="shared" si="122"/>
        <v>1</v>
      </c>
      <c r="AC160" s="1">
        <f t="shared" si="122"/>
        <v>1</v>
      </c>
      <c r="AD160" s="1">
        <f t="shared" si="122"/>
        <v>2</v>
      </c>
      <c r="AE160" s="1">
        <f t="shared" si="122"/>
        <v>6</v>
      </c>
      <c r="AF160" s="1">
        <f t="shared" si="122"/>
        <v>6</v>
      </c>
      <c r="AG160" s="1">
        <f t="shared" si="122"/>
        <v>1</v>
      </c>
      <c r="AH160" s="1">
        <f t="shared" si="122"/>
        <v>3</v>
      </c>
      <c r="AI160" s="1">
        <f t="shared" si="122"/>
        <v>1</v>
      </c>
      <c r="AJ160" s="1">
        <f t="shared" si="122"/>
        <v>2</v>
      </c>
      <c r="AK160" s="1">
        <f t="shared" si="122"/>
        <v>1</v>
      </c>
      <c r="AL160" s="1">
        <f t="shared" si="122"/>
        <v>1</v>
      </c>
      <c r="AM160" s="1">
        <f t="shared" si="122"/>
        <v>6</v>
      </c>
      <c r="AN160" s="1">
        <f t="shared" si="122"/>
        <v>6</v>
      </c>
      <c r="AO160" s="1">
        <f t="shared" si="122"/>
        <v>2</v>
      </c>
      <c r="AP160" s="1">
        <f t="shared" si="122"/>
        <v>1</v>
      </c>
      <c r="AQ160" s="1">
        <f t="shared" si="122"/>
        <v>2</v>
      </c>
      <c r="AR160" s="1">
        <f t="shared" si="122"/>
        <v>1</v>
      </c>
      <c r="AS160" s="1">
        <f t="shared" si="122"/>
        <v>1</v>
      </c>
      <c r="AT160" s="1">
        <f t="shared" si="122"/>
        <v>6</v>
      </c>
      <c r="AU160" s="1">
        <f t="shared" si="122"/>
        <v>1</v>
      </c>
      <c r="AV160" s="1">
        <f t="shared" si="122"/>
        <v>2</v>
      </c>
      <c r="AW160" s="1">
        <f t="shared" si="122"/>
        <v>2</v>
      </c>
      <c r="AX160" s="1">
        <f t="shared" si="122"/>
        <v>2</v>
      </c>
      <c r="AY160" s="1">
        <f t="shared" si="122"/>
        <v>6</v>
      </c>
      <c r="AZ160" s="1">
        <f t="shared" si="122"/>
        <v>3</v>
      </c>
      <c r="BA160" s="1">
        <f t="shared" si="122"/>
        <v>3</v>
      </c>
      <c r="BB160" s="1">
        <f t="shared" si="122"/>
        <v>2</v>
      </c>
      <c r="BC160" s="1">
        <f t="shared" si="122"/>
        <v>1</v>
      </c>
      <c r="BD160" s="1">
        <f t="shared" si="122"/>
        <v>6</v>
      </c>
      <c r="BE160" s="1">
        <f t="shared" si="122"/>
        <v>6</v>
      </c>
      <c r="BF160" s="1">
        <f t="shared" si="122"/>
        <v>6</v>
      </c>
      <c r="BG160" s="1">
        <f t="shared" si="122"/>
        <v>1</v>
      </c>
      <c r="BH160" s="1">
        <f t="shared" si="122"/>
        <v>1</v>
      </c>
      <c r="BI160" s="1">
        <f t="shared" si="122"/>
        <v>3</v>
      </c>
      <c r="BJ160" s="1">
        <f t="shared" si="122"/>
        <v>6</v>
      </c>
    </row>
    <row r="161" spans="1:62">
      <c r="A161" s="1" t="str">
        <f t="shared" si="104"/>
        <v>   3.1.1) Enforcement of transport safety</v>
      </c>
      <c r="B161" s="1">
        <f t="shared" ref="B161:BJ161" si="123">COUNTIF($B96:$BJ96,B96)</f>
        <v>1</v>
      </c>
      <c r="C161" s="1">
        <f t="shared" si="123"/>
        <v>3</v>
      </c>
      <c r="D161" s="1">
        <f t="shared" si="123"/>
        <v>4</v>
      </c>
      <c r="E161" s="1">
        <f t="shared" si="123"/>
        <v>1</v>
      </c>
      <c r="F161" s="1">
        <f t="shared" si="123"/>
        <v>6</v>
      </c>
      <c r="G161" s="1">
        <f t="shared" si="123"/>
        <v>14</v>
      </c>
      <c r="H161" s="1">
        <f t="shared" si="123"/>
        <v>2</v>
      </c>
      <c r="I161" s="1">
        <f t="shared" si="123"/>
        <v>3</v>
      </c>
      <c r="J161" s="1">
        <f t="shared" si="123"/>
        <v>2</v>
      </c>
      <c r="K161" s="1">
        <f t="shared" si="123"/>
        <v>4</v>
      </c>
      <c r="L161" s="1">
        <f t="shared" si="123"/>
        <v>2</v>
      </c>
      <c r="M161" s="1">
        <f t="shared" si="123"/>
        <v>1</v>
      </c>
      <c r="N161" s="1">
        <f t="shared" si="123"/>
        <v>14</v>
      </c>
      <c r="O161" s="1">
        <f t="shared" si="123"/>
        <v>14</v>
      </c>
      <c r="P161" s="1">
        <f t="shared" si="123"/>
        <v>3</v>
      </c>
      <c r="Q161" s="1">
        <f t="shared" si="123"/>
        <v>3</v>
      </c>
      <c r="R161" s="1">
        <f t="shared" si="123"/>
        <v>14</v>
      </c>
      <c r="S161" s="1">
        <f t="shared" si="123"/>
        <v>3</v>
      </c>
      <c r="T161" s="1">
        <f t="shared" si="123"/>
        <v>2</v>
      </c>
      <c r="U161" s="1">
        <f t="shared" si="123"/>
        <v>14</v>
      </c>
      <c r="V161" s="1">
        <f t="shared" si="123"/>
        <v>3</v>
      </c>
      <c r="W161" s="1">
        <f t="shared" si="123"/>
        <v>2</v>
      </c>
      <c r="X161" s="1">
        <f t="shared" si="123"/>
        <v>4</v>
      </c>
      <c r="Y161" s="1">
        <f t="shared" si="123"/>
        <v>1</v>
      </c>
      <c r="Z161" s="1">
        <f t="shared" si="123"/>
        <v>3</v>
      </c>
      <c r="AA161" s="1">
        <f t="shared" si="123"/>
        <v>2</v>
      </c>
      <c r="AB161" s="1">
        <f t="shared" si="123"/>
        <v>2</v>
      </c>
      <c r="AC161" s="1">
        <f t="shared" si="123"/>
        <v>3</v>
      </c>
      <c r="AD161" s="1">
        <f t="shared" si="123"/>
        <v>3</v>
      </c>
      <c r="AE161" s="1">
        <f t="shared" si="123"/>
        <v>14</v>
      </c>
      <c r="AF161" s="1">
        <f t="shared" si="123"/>
        <v>6</v>
      </c>
      <c r="AG161" s="1">
        <f t="shared" si="123"/>
        <v>2</v>
      </c>
      <c r="AH161" s="1">
        <f t="shared" si="123"/>
        <v>14</v>
      </c>
      <c r="AI161" s="1">
        <f t="shared" si="123"/>
        <v>2</v>
      </c>
      <c r="AJ161" s="1">
        <f t="shared" si="123"/>
        <v>3</v>
      </c>
      <c r="AK161" s="1">
        <f t="shared" si="123"/>
        <v>3</v>
      </c>
      <c r="AL161" s="1">
        <f t="shared" si="123"/>
        <v>3</v>
      </c>
      <c r="AM161" s="1">
        <f t="shared" si="123"/>
        <v>14</v>
      </c>
      <c r="AN161" s="1">
        <f t="shared" si="123"/>
        <v>6</v>
      </c>
      <c r="AO161" s="1">
        <f t="shared" si="123"/>
        <v>3</v>
      </c>
      <c r="AP161" s="1">
        <f t="shared" si="123"/>
        <v>1</v>
      </c>
      <c r="AQ161" s="1">
        <f t="shared" si="123"/>
        <v>3</v>
      </c>
      <c r="AR161" s="1">
        <f t="shared" si="123"/>
        <v>4</v>
      </c>
      <c r="AS161" s="1">
        <f t="shared" si="123"/>
        <v>3</v>
      </c>
      <c r="AT161" s="1">
        <f t="shared" si="123"/>
        <v>14</v>
      </c>
      <c r="AU161" s="1">
        <f t="shared" si="123"/>
        <v>1</v>
      </c>
      <c r="AV161" s="1">
        <f t="shared" si="123"/>
        <v>3</v>
      </c>
      <c r="AW161" s="1">
        <f t="shared" si="123"/>
        <v>3</v>
      </c>
      <c r="AX161" s="1">
        <f t="shared" si="123"/>
        <v>14</v>
      </c>
      <c r="AY161" s="1">
        <f t="shared" si="123"/>
        <v>6</v>
      </c>
      <c r="AZ161" s="1">
        <f t="shared" si="123"/>
        <v>3</v>
      </c>
      <c r="BA161" s="1">
        <f t="shared" si="123"/>
        <v>14</v>
      </c>
      <c r="BB161" s="1">
        <f t="shared" si="123"/>
        <v>14</v>
      </c>
      <c r="BC161" s="1">
        <f t="shared" si="123"/>
        <v>3</v>
      </c>
      <c r="BD161" s="1">
        <f t="shared" si="123"/>
        <v>6</v>
      </c>
      <c r="BE161" s="1">
        <f t="shared" si="123"/>
        <v>14</v>
      </c>
      <c r="BF161" s="1">
        <f t="shared" si="123"/>
        <v>14</v>
      </c>
      <c r="BG161" s="1">
        <f t="shared" si="123"/>
        <v>3</v>
      </c>
      <c r="BH161" s="1">
        <f t="shared" si="123"/>
        <v>2</v>
      </c>
      <c r="BI161" s="1">
        <f t="shared" si="123"/>
        <v>3</v>
      </c>
      <c r="BJ161" s="1">
        <f t="shared" si="123"/>
        <v>6</v>
      </c>
    </row>
    <row r="162" spans="1:62">
      <c r="A162" s="1" t="str">
        <f t="shared" si="104"/>
        <v>   3.1.2) Pedestrian friendliness</v>
      </c>
      <c r="B162" s="1">
        <f t="shared" ref="B162:BJ162" si="124">COUNTIF($B97:$BJ97,B97)</f>
        <v>38</v>
      </c>
      <c r="C162" s="1">
        <f t="shared" si="124"/>
        <v>38</v>
      </c>
      <c r="D162" s="1">
        <f t="shared" si="124"/>
        <v>38</v>
      </c>
      <c r="E162" s="1">
        <f t="shared" si="124"/>
        <v>12</v>
      </c>
      <c r="F162" s="1">
        <f t="shared" si="124"/>
        <v>38</v>
      </c>
      <c r="G162" s="1">
        <f t="shared" si="124"/>
        <v>12</v>
      </c>
      <c r="H162" s="1">
        <f t="shared" si="124"/>
        <v>38</v>
      </c>
      <c r="I162" s="1">
        <f t="shared" si="124"/>
        <v>38</v>
      </c>
      <c r="J162" s="1">
        <f t="shared" si="124"/>
        <v>38</v>
      </c>
      <c r="K162" s="1">
        <f t="shared" si="124"/>
        <v>12</v>
      </c>
      <c r="L162" s="1">
        <f t="shared" si="124"/>
        <v>11</v>
      </c>
      <c r="M162" s="1">
        <f t="shared" si="124"/>
        <v>11</v>
      </c>
      <c r="N162" s="1">
        <f t="shared" si="124"/>
        <v>38</v>
      </c>
      <c r="O162" s="1">
        <f t="shared" si="124"/>
        <v>12</v>
      </c>
      <c r="P162" s="1">
        <f t="shared" si="124"/>
        <v>11</v>
      </c>
      <c r="Q162" s="1">
        <f t="shared" si="124"/>
        <v>11</v>
      </c>
      <c r="R162" s="1">
        <f t="shared" si="124"/>
        <v>12</v>
      </c>
      <c r="S162" s="1">
        <f t="shared" si="124"/>
        <v>38</v>
      </c>
      <c r="T162" s="1">
        <f t="shared" si="124"/>
        <v>12</v>
      </c>
      <c r="U162" s="1">
        <f t="shared" si="124"/>
        <v>38</v>
      </c>
      <c r="V162" s="1">
        <f t="shared" si="124"/>
        <v>38</v>
      </c>
      <c r="W162" s="1">
        <f t="shared" si="124"/>
        <v>11</v>
      </c>
      <c r="X162" s="1">
        <f t="shared" si="124"/>
        <v>11</v>
      </c>
      <c r="Y162" s="1">
        <f t="shared" si="124"/>
        <v>12</v>
      </c>
      <c r="Z162" s="1">
        <f t="shared" si="124"/>
        <v>12</v>
      </c>
      <c r="AA162" s="1">
        <f t="shared" si="124"/>
        <v>12</v>
      </c>
      <c r="AB162" s="1">
        <f t="shared" si="124"/>
        <v>12</v>
      </c>
      <c r="AC162" s="1">
        <f t="shared" si="124"/>
        <v>11</v>
      </c>
      <c r="AD162" s="1">
        <f t="shared" si="124"/>
        <v>38</v>
      </c>
      <c r="AE162" s="1">
        <f t="shared" si="124"/>
        <v>38</v>
      </c>
      <c r="AF162" s="1">
        <f t="shared" si="124"/>
        <v>38</v>
      </c>
      <c r="AG162" s="1">
        <f t="shared" si="124"/>
        <v>12</v>
      </c>
      <c r="AH162" s="1">
        <f t="shared" si="124"/>
        <v>38</v>
      </c>
      <c r="AI162" s="1">
        <f t="shared" si="124"/>
        <v>38</v>
      </c>
      <c r="AJ162" s="1">
        <f t="shared" si="124"/>
        <v>38</v>
      </c>
      <c r="AK162" s="1">
        <f t="shared" si="124"/>
        <v>38</v>
      </c>
      <c r="AL162" s="1">
        <f t="shared" si="124"/>
        <v>11</v>
      </c>
      <c r="AM162" s="1">
        <f t="shared" si="124"/>
        <v>38</v>
      </c>
      <c r="AN162" s="1">
        <f t="shared" si="124"/>
        <v>38</v>
      </c>
      <c r="AO162" s="1">
        <f t="shared" si="124"/>
        <v>38</v>
      </c>
      <c r="AP162" s="1">
        <f t="shared" si="124"/>
        <v>11</v>
      </c>
      <c r="AQ162" s="1">
        <f t="shared" si="124"/>
        <v>38</v>
      </c>
      <c r="AR162" s="1">
        <f t="shared" si="124"/>
        <v>11</v>
      </c>
      <c r="AS162" s="1">
        <f t="shared" si="124"/>
        <v>38</v>
      </c>
      <c r="AT162" s="1">
        <f t="shared" si="124"/>
        <v>38</v>
      </c>
      <c r="AU162" s="1">
        <f t="shared" si="124"/>
        <v>38</v>
      </c>
      <c r="AV162" s="1">
        <f t="shared" si="124"/>
        <v>38</v>
      </c>
      <c r="AW162" s="1">
        <f t="shared" si="124"/>
        <v>38</v>
      </c>
      <c r="AX162" s="1">
        <f t="shared" si="124"/>
        <v>12</v>
      </c>
      <c r="AY162" s="1">
        <f t="shared" si="124"/>
        <v>38</v>
      </c>
      <c r="AZ162" s="1">
        <f t="shared" si="124"/>
        <v>38</v>
      </c>
      <c r="BA162" s="1">
        <f t="shared" si="124"/>
        <v>38</v>
      </c>
      <c r="BB162" s="1">
        <f t="shared" si="124"/>
        <v>38</v>
      </c>
      <c r="BC162" s="1">
        <f t="shared" si="124"/>
        <v>38</v>
      </c>
      <c r="BD162" s="1">
        <f t="shared" si="124"/>
        <v>38</v>
      </c>
      <c r="BE162" s="1">
        <f t="shared" si="124"/>
        <v>38</v>
      </c>
      <c r="BF162" s="1">
        <f t="shared" si="124"/>
        <v>38</v>
      </c>
      <c r="BG162" s="1">
        <f t="shared" si="124"/>
        <v>38</v>
      </c>
      <c r="BH162" s="1">
        <f t="shared" si="124"/>
        <v>11</v>
      </c>
      <c r="BI162" s="1">
        <f t="shared" si="124"/>
        <v>38</v>
      </c>
      <c r="BJ162" s="1">
        <f t="shared" si="124"/>
        <v>38</v>
      </c>
    </row>
    <row r="163" spans="1:62">
      <c r="A163" s="1" t="str">
        <f t="shared" si="104"/>
        <v>   3.1.3) Quality of road infrastructure</v>
      </c>
      <c r="B163" s="1">
        <f t="shared" ref="B163:BJ163" si="125">COUNTIF($B98:$BJ98,B98)</f>
        <v>16</v>
      </c>
      <c r="C163" s="1">
        <f t="shared" si="125"/>
        <v>16</v>
      </c>
      <c r="D163" s="1">
        <f t="shared" si="125"/>
        <v>15</v>
      </c>
      <c r="E163" s="1">
        <f t="shared" si="125"/>
        <v>4</v>
      </c>
      <c r="F163" s="1">
        <f t="shared" si="125"/>
        <v>16</v>
      </c>
      <c r="G163" s="1">
        <f t="shared" si="125"/>
        <v>24</v>
      </c>
      <c r="H163" s="1">
        <f t="shared" si="125"/>
        <v>15</v>
      </c>
      <c r="I163" s="1">
        <f t="shared" si="125"/>
        <v>24</v>
      </c>
      <c r="J163" s="1">
        <f t="shared" si="125"/>
        <v>24</v>
      </c>
      <c r="K163" s="1">
        <f t="shared" si="125"/>
        <v>15</v>
      </c>
      <c r="L163" s="1">
        <f t="shared" si="125"/>
        <v>15</v>
      </c>
      <c r="M163" s="1">
        <f t="shared" si="125"/>
        <v>15</v>
      </c>
      <c r="N163" s="1">
        <f t="shared" si="125"/>
        <v>24</v>
      </c>
      <c r="O163" s="1">
        <f t="shared" si="125"/>
        <v>24</v>
      </c>
      <c r="P163" s="1">
        <f t="shared" si="125"/>
        <v>15</v>
      </c>
      <c r="Q163" s="1">
        <f t="shared" si="125"/>
        <v>2</v>
      </c>
      <c r="R163" s="1">
        <f t="shared" si="125"/>
        <v>24</v>
      </c>
      <c r="S163" s="1">
        <f t="shared" si="125"/>
        <v>16</v>
      </c>
      <c r="T163" s="1">
        <f t="shared" si="125"/>
        <v>4</v>
      </c>
      <c r="U163" s="1">
        <f t="shared" si="125"/>
        <v>16</v>
      </c>
      <c r="V163" s="1">
        <f t="shared" si="125"/>
        <v>15</v>
      </c>
      <c r="W163" s="1">
        <f t="shared" si="125"/>
        <v>15</v>
      </c>
      <c r="X163" s="1">
        <f t="shared" si="125"/>
        <v>24</v>
      </c>
      <c r="Y163" s="1">
        <f t="shared" si="125"/>
        <v>15</v>
      </c>
      <c r="Z163" s="1">
        <f t="shared" si="125"/>
        <v>4</v>
      </c>
      <c r="AA163" s="1">
        <f t="shared" si="125"/>
        <v>24</v>
      </c>
      <c r="AB163" s="1">
        <f t="shared" si="125"/>
        <v>24</v>
      </c>
      <c r="AC163" s="1">
        <f t="shared" si="125"/>
        <v>24</v>
      </c>
      <c r="AD163" s="1">
        <f t="shared" si="125"/>
        <v>24</v>
      </c>
      <c r="AE163" s="1">
        <f t="shared" si="125"/>
        <v>24</v>
      </c>
      <c r="AF163" s="1">
        <f t="shared" si="125"/>
        <v>16</v>
      </c>
      <c r="AG163" s="1">
        <f t="shared" si="125"/>
        <v>15</v>
      </c>
      <c r="AH163" s="1">
        <f t="shared" si="125"/>
        <v>16</v>
      </c>
      <c r="AI163" s="1">
        <f t="shared" si="125"/>
        <v>15</v>
      </c>
      <c r="AJ163" s="1">
        <f t="shared" si="125"/>
        <v>24</v>
      </c>
      <c r="AK163" s="1">
        <f t="shared" si="125"/>
        <v>24</v>
      </c>
      <c r="AL163" s="1">
        <f t="shared" si="125"/>
        <v>2</v>
      </c>
      <c r="AM163" s="1">
        <f t="shared" si="125"/>
        <v>24</v>
      </c>
      <c r="AN163" s="1">
        <f t="shared" si="125"/>
        <v>16</v>
      </c>
      <c r="AO163" s="1">
        <f t="shared" si="125"/>
        <v>24</v>
      </c>
      <c r="AP163" s="1">
        <f t="shared" si="125"/>
        <v>15</v>
      </c>
      <c r="AQ163" s="1">
        <f t="shared" si="125"/>
        <v>15</v>
      </c>
      <c r="AR163" s="1">
        <f t="shared" si="125"/>
        <v>15</v>
      </c>
      <c r="AS163" s="1">
        <f t="shared" si="125"/>
        <v>16</v>
      </c>
      <c r="AT163" s="1">
        <f t="shared" si="125"/>
        <v>24</v>
      </c>
      <c r="AU163" s="1">
        <f t="shared" si="125"/>
        <v>24</v>
      </c>
      <c r="AV163" s="1">
        <f t="shared" si="125"/>
        <v>24</v>
      </c>
      <c r="AW163" s="1">
        <f t="shared" si="125"/>
        <v>24</v>
      </c>
      <c r="AX163" s="1">
        <f t="shared" si="125"/>
        <v>24</v>
      </c>
      <c r="AY163" s="1">
        <f t="shared" si="125"/>
        <v>16</v>
      </c>
      <c r="AZ163" s="1">
        <f t="shared" si="125"/>
        <v>16</v>
      </c>
      <c r="BA163" s="1">
        <f t="shared" si="125"/>
        <v>16</v>
      </c>
      <c r="BB163" s="1">
        <f t="shared" si="125"/>
        <v>24</v>
      </c>
      <c r="BC163" s="1">
        <f t="shared" si="125"/>
        <v>15</v>
      </c>
      <c r="BD163" s="1">
        <f t="shared" si="125"/>
        <v>16</v>
      </c>
      <c r="BE163" s="1">
        <f t="shared" si="125"/>
        <v>24</v>
      </c>
      <c r="BF163" s="1">
        <f t="shared" si="125"/>
        <v>24</v>
      </c>
      <c r="BG163" s="1">
        <f t="shared" si="125"/>
        <v>16</v>
      </c>
      <c r="BH163" s="1">
        <f t="shared" si="125"/>
        <v>4</v>
      </c>
      <c r="BI163" s="1">
        <f t="shared" si="125"/>
        <v>16</v>
      </c>
      <c r="BJ163" s="1">
        <f t="shared" si="125"/>
        <v>16</v>
      </c>
    </row>
    <row r="164" spans="1:62">
      <c r="A164" s="1" t="str">
        <f t="shared" si="104"/>
        <v>   3.1.4) Quality of electricity infrastructure</v>
      </c>
      <c r="B164" s="1">
        <f t="shared" ref="B164:BJ164" si="126">COUNTIF($B99:$BJ99,B99)</f>
        <v>13</v>
      </c>
      <c r="C164" s="1">
        <f t="shared" si="126"/>
        <v>38</v>
      </c>
      <c r="D164" s="1">
        <f t="shared" si="126"/>
        <v>13</v>
      </c>
      <c r="E164" s="1">
        <f t="shared" si="126"/>
        <v>38</v>
      </c>
      <c r="F164" s="1">
        <f t="shared" si="126"/>
        <v>38</v>
      </c>
      <c r="G164" s="1">
        <f t="shared" si="126"/>
        <v>38</v>
      </c>
      <c r="H164" s="1">
        <f t="shared" si="126"/>
        <v>13</v>
      </c>
      <c r="I164" s="1">
        <f t="shared" si="126"/>
        <v>38</v>
      </c>
      <c r="J164" s="1">
        <f t="shared" si="126"/>
        <v>38</v>
      </c>
      <c r="K164" s="1">
        <f t="shared" si="126"/>
        <v>13</v>
      </c>
      <c r="L164" s="1">
        <f t="shared" si="126"/>
        <v>9</v>
      </c>
      <c r="M164" s="1">
        <f t="shared" si="126"/>
        <v>13</v>
      </c>
      <c r="N164" s="1">
        <f t="shared" si="126"/>
        <v>38</v>
      </c>
      <c r="O164" s="1">
        <f t="shared" si="126"/>
        <v>38</v>
      </c>
      <c r="P164" s="1">
        <f t="shared" si="126"/>
        <v>9</v>
      </c>
      <c r="Q164" s="1">
        <f t="shared" si="126"/>
        <v>9</v>
      </c>
      <c r="R164" s="1">
        <f t="shared" si="126"/>
        <v>13</v>
      </c>
      <c r="S164" s="1">
        <f t="shared" si="126"/>
        <v>38</v>
      </c>
      <c r="T164" s="1">
        <f t="shared" si="126"/>
        <v>9</v>
      </c>
      <c r="U164" s="1">
        <f t="shared" si="126"/>
        <v>38</v>
      </c>
      <c r="V164" s="1">
        <f t="shared" si="126"/>
        <v>13</v>
      </c>
      <c r="W164" s="1">
        <f t="shared" si="126"/>
        <v>9</v>
      </c>
      <c r="X164" s="1">
        <f t="shared" si="126"/>
        <v>38</v>
      </c>
      <c r="Y164" s="1">
        <f t="shared" si="126"/>
        <v>9</v>
      </c>
      <c r="Z164" s="1">
        <f t="shared" si="126"/>
        <v>1</v>
      </c>
      <c r="AA164" s="1">
        <f t="shared" si="126"/>
        <v>38</v>
      </c>
      <c r="AB164" s="1">
        <f t="shared" si="126"/>
        <v>38</v>
      </c>
      <c r="AC164" s="1">
        <f t="shared" si="126"/>
        <v>38</v>
      </c>
      <c r="AD164" s="1">
        <f t="shared" si="126"/>
        <v>38</v>
      </c>
      <c r="AE164" s="1">
        <f t="shared" si="126"/>
        <v>38</v>
      </c>
      <c r="AF164" s="1">
        <f t="shared" si="126"/>
        <v>38</v>
      </c>
      <c r="AG164" s="1">
        <f t="shared" si="126"/>
        <v>13</v>
      </c>
      <c r="AH164" s="1">
        <f t="shared" si="126"/>
        <v>38</v>
      </c>
      <c r="AI164" s="1">
        <f t="shared" si="126"/>
        <v>9</v>
      </c>
      <c r="AJ164" s="1">
        <f t="shared" si="126"/>
        <v>38</v>
      </c>
      <c r="AK164" s="1">
        <f t="shared" si="126"/>
        <v>38</v>
      </c>
      <c r="AL164" s="1">
        <f t="shared" si="126"/>
        <v>13</v>
      </c>
      <c r="AM164" s="1">
        <f t="shared" si="126"/>
        <v>38</v>
      </c>
      <c r="AN164" s="1">
        <f t="shared" si="126"/>
        <v>38</v>
      </c>
      <c r="AO164" s="1">
        <f t="shared" si="126"/>
        <v>38</v>
      </c>
      <c r="AP164" s="1">
        <f t="shared" si="126"/>
        <v>13</v>
      </c>
      <c r="AQ164" s="1">
        <f t="shared" si="126"/>
        <v>38</v>
      </c>
      <c r="AR164" s="1">
        <f t="shared" si="126"/>
        <v>13</v>
      </c>
      <c r="AS164" s="1">
        <f t="shared" si="126"/>
        <v>38</v>
      </c>
      <c r="AT164" s="1">
        <f t="shared" si="126"/>
        <v>38</v>
      </c>
      <c r="AU164" s="1">
        <f t="shared" si="126"/>
        <v>38</v>
      </c>
      <c r="AV164" s="1">
        <f t="shared" si="126"/>
        <v>13</v>
      </c>
      <c r="AW164" s="1">
        <f t="shared" si="126"/>
        <v>38</v>
      </c>
      <c r="AX164" s="1">
        <f t="shared" si="126"/>
        <v>38</v>
      </c>
      <c r="AY164" s="1">
        <f t="shared" si="126"/>
        <v>38</v>
      </c>
      <c r="AZ164" s="1">
        <f t="shared" si="126"/>
        <v>38</v>
      </c>
      <c r="BA164" s="1">
        <f t="shared" si="126"/>
        <v>38</v>
      </c>
      <c r="BB164" s="1">
        <f t="shared" si="126"/>
        <v>13</v>
      </c>
      <c r="BC164" s="1">
        <f t="shared" si="126"/>
        <v>9</v>
      </c>
      <c r="BD164" s="1">
        <f t="shared" si="126"/>
        <v>38</v>
      </c>
      <c r="BE164" s="1">
        <f t="shared" si="126"/>
        <v>38</v>
      </c>
      <c r="BF164" s="1">
        <f t="shared" si="126"/>
        <v>38</v>
      </c>
      <c r="BG164" s="1">
        <f t="shared" si="126"/>
        <v>38</v>
      </c>
      <c r="BH164" s="1">
        <f t="shared" si="126"/>
        <v>9</v>
      </c>
      <c r="BI164" s="1">
        <f t="shared" si="126"/>
        <v>38</v>
      </c>
      <c r="BJ164" s="1">
        <f t="shared" si="126"/>
        <v>38</v>
      </c>
    </row>
    <row r="165" spans="1:62">
      <c r="A165" s="1" t="str">
        <f t="shared" si="104"/>
        <v>   3.1.5) Disaster management/business continuity plan</v>
      </c>
      <c r="B165" s="1">
        <f t="shared" ref="B165:BJ165" si="127">COUNTIF($B100:$BJ100,B100)</f>
        <v>15</v>
      </c>
      <c r="C165" s="1">
        <f t="shared" si="127"/>
        <v>30</v>
      </c>
      <c r="D165" s="1">
        <f t="shared" si="127"/>
        <v>15</v>
      </c>
      <c r="E165" s="1">
        <f t="shared" si="127"/>
        <v>15</v>
      </c>
      <c r="F165" s="1">
        <f t="shared" si="127"/>
        <v>30</v>
      </c>
      <c r="G165" s="1">
        <f t="shared" si="127"/>
        <v>8</v>
      </c>
      <c r="H165" s="1">
        <f t="shared" si="127"/>
        <v>8</v>
      </c>
      <c r="I165" s="1">
        <f t="shared" si="127"/>
        <v>30</v>
      </c>
      <c r="J165" s="1">
        <f t="shared" si="127"/>
        <v>30</v>
      </c>
      <c r="K165" s="1">
        <f t="shared" si="127"/>
        <v>8</v>
      </c>
      <c r="L165" s="1">
        <f t="shared" si="127"/>
        <v>8</v>
      </c>
      <c r="M165" s="1">
        <f t="shared" si="127"/>
        <v>15</v>
      </c>
      <c r="N165" s="1">
        <f t="shared" si="127"/>
        <v>30</v>
      </c>
      <c r="O165" s="1">
        <f t="shared" si="127"/>
        <v>30</v>
      </c>
      <c r="P165" s="1">
        <f t="shared" si="127"/>
        <v>8</v>
      </c>
      <c r="Q165" s="1">
        <f t="shared" si="127"/>
        <v>5</v>
      </c>
      <c r="R165" s="1">
        <f t="shared" si="127"/>
        <v>30</v>
      </c>
      <c r="S165" s="1">
        <f t="shared" si="127"/>
        <v>30</v>
      </c>
      <c r="T165" s="1">
        <f t="shared" si="127"/>
        <v>5</v>
      </c>
      <c r="U165" s="1">
        <f t="shared" si="127"/>
        <v>30</v>
      </c>
      <c r="V165" s="1">
        <f t="shared" si="127"/>
        <v>15</v>
      </c>
      <c r="W165" s="1">
        <f t="shared" si="127"/>
        <v>8</v>
      </c>
      <c r="X165" s="1">
        <f t="shared" si="127"/>
        <v>3</v>
      </c>
      <c r="Y165" s="1">
        <f t="shared" si="127"/>
        <v>15</v>
      </c>
      <c r="Z165" s="1">
        <f t="shared" si="127"/>
        <v>3</v>
      </c>
      <c r="AA165" s="1">
        <f t="shared" si="127"/>
        <v>15</v>
      </c>
      <c r="AB165" s="1">
        <f t="shared" si="127"/>
        <v>15</v>
      </c>
      <c r="AC165" s="1">
        <f t="shared" si="127"/>
        <v>15</v>
      </c>
      <c r="AD165" s="1">
        <f t="shared" si="127"/>
        <v>30</v>
      </c>
      <c r="AE165" s="1">
        <f t="shared" si="127"/>
        <v>30</v>
      </c>
      <c r="AF165" s="1">
        <f t="shared" si="127"/>
        <v>30</v>
      </c>
      <c r="AG165" s="1">
        <f t="shared" si="127"/>
        <v>5</v>
      </c>
      <c r="AH165" s="1">
        <f t="shared" si="127"/>
        <v>30</v>
      </c>
      <c r="AI165" s="1">
        <f t="shared" si="127"/>
        <v>15</v>
      </c>
      <c r="AJ165" s="1">
        <f t="shared" si="127"/>
        <v>30</v>
      </c>
      <c r="AK165" s="1">
        <f t="shared" si="127"/>
        <v>15</v>
      </c>
      <c r="AL165" s="1">
        <f t="shared" si="127"/>
        <v>8</v>
      </c>
      <c r="AM165" s="1">
        <f t="shared" si="127"/>
        <v>30</v>
      </c>
      <c r="AN165" s="1">
        <f t="shared" si="127"/>
        <v>30</v>
      </c>
      <c r="AO165" s="1">
        <f t="shared" si="127"/>
        <v>30</v>
      </c>
      <c r="AP165" s="1">
        <f t="shared" si="127"/>
        <v>5</v>
      </c>
      <c r="AQ165" s="1">
        <f t="shared" si="127"/>
        <v>15</v>
      </c>
      <c r="AR165" s="1">
        <f t="shared" si="127"/>
        <v>3</v>
      </c>
      <c r="AS165" s="1">
        <f t="shared" si="127"/>
        <v>30</v>
      </c>
      <c r="AT165" s="1">
        <f t="shared" si="127"/>
        <v>30</v>
      </c>
      <c r="AU165" s="1">
        <f t="shared" si="127"/>
        <v>30</v>
      </c>
      <c r="AV165" s="1">
        <f t="shared" si="127"/>
        <v>15</v>
      </c>
      <c r="AW165" s="1">
        <f t="shared" si="127"/>
        <v>30</v>
      </c>
      <c r="AX165" s="1">
        <f t="shared" si="127"/>
        <v>8</v>
      </c>
      <c r="AY165" s="1">
        <f t="shared" si="127"/>
        <v>30</v>
      </c>
      <c r="AZ165" s="1">
        <f t="shared" si="127"/>
        <v>30</v>
      </c>
      <c r="BA165" s="1">
        <f t="shared" si="127"/>
        <v>30</v>
      </c>
      <c r="BB165" s="1">
        <f t="shared" si="127"/>
        <v>15</v>
      </c>
      <c r="BC165" s="1">
        <f t="shared" si="127"/>
        <v>15</v>
      </c>
      <c r="BD165" s="1">
        <f t="shared" si="127"/>
        <v>30</v>
      </c>
      <c r="BE165" s="1">
        <f t="shared" si="127"/>
        <v>30</v>
      </c>
      <c r="BF165" s="1">
        <f t="shared" si="127"/>
        <v>30</v>
      </c>
      <c r="BG165" s="1">
        <f t="shared" si="127"/>
        <v>30</v>
      </c>
      <c r="BH165" s="1">
        <f t="shared" si="127"/>
        <v>5</v>
      </c>
      <c r="BI165" s="1">
        <f t="shared" si="127"/>
        <v>30</v>
      </c>
      <c r="BJ165" s="1">
        <f t="shared" si="127"/>
        <v>30</v>
      </c>
    </row>
    <row r="166" spans="1:62">
      <c r="A166" s="1" t="str">
        <f t="shared" si="104"/>
        <v>  3.2) Infrastructure security (Outputs)</v>
      </c>
      <c r="B166" s="1">
        <f t="shared" ref="B166:BJ166" si="128">COUNTIF($B101:$BJ101,B101)</f>
        <v>2</v>
      </c>
      <c r="C166" s="1">
        <f t="shared" si="128"/>
        <v>1</v>
      </c>
      <c r="D166" s="1">
        <f t="shared" si="128"/>
        <v>1</v>
      </c>
      <c r="E166" s="1">
        <f t="shared" si="128"/>
        <v>1</v>
      </c>
      <c r="F166" s="1">
        <f t="shared" si="128"/>
        <v>1</v>
      </c>
      <c r="G166" s="1">
        <f t="shared" si="128"/>
        <v>1</v>
      </c>
      <c r="H166" s="1">
        <f t="shared" si="128"/>
        <v>1</v>
      </c>
      <c r="I166" s="1">
        <f t="shared" si="128"/>
        <v>1</v>
      </c>
      <c r="J166" s="1">
        <f t="shared" si="128"/>
        <v>1</v>
      </c>
      <c r="K166" s="1">
        <f t="shared" si="128"/>
        <v>1</v>
      </c>
      <c r="L166" s="1">
        <f t="shared" si="128"/>
        <v>1</v>
      </c>
      <c r="M166" s="1">
        <f t="shared" si="128"/>
        <v>1</v>
      </c>
      <c r="N166" s="1">
        <f t="shared" si="128"/>
        <v>1</v>
      </c>
      <c r="O166" s="1">
        <f t="shared" si="128"/>
        <v>1</v>
      </c>
      <c r="P166" s="1">
        <f t="shared" si="128"/>
        <v>1</v>
      </c>
      <c r="Q166" s="1">
        <f t="shared" si="128"/>
        <v>1</v>
      </c>
      <c r="R166" s="1">
        <f t="shared" si="128"/>
        <v>1</v>
      </c>
      <c r="S166" s="1">
        <f t="shared" si="128"/>
        <v>1</v>
      </c>
      <c r="T166" s="1">
        <f t="shared" si="128"/>
        <v>1</v>
      </c>
      <c r="U166" s="1">
        <f t="shared" si="128"/>
        <v>1</v>
      </c>
      <c r="V166" s="1">
        <f t="shared" si="128"/>
        <v>1</v>
      </c>
      <c r="W166" s="1">
        <f t="shared" si="128"/>
        <v>1</v>
      </c>
      <c r="X166" s="1">
        <f t="shared" si="128"/>
        <v>1</v>
      </c>
      <c r="Y166" s="1">
        <f t="shared" si="128"/>
        <v>1</v>
      </c>
      <c r="Z166" s="1">
        <f t="shared" si="128"/>
        <v>1</v>
      </c>
      <c r="AA166" s="1">
        <f t="shared" si="128"/>
        <v>1</v>
      </c>
      <c r="AB166" s="1">
        <f t="shared" si="128"/>
        <v>1</v>
      </c>
      <c r="AC166" s="1">
        <f t="shared" si="128"/>
        <v>1</v>
      </c>
      <c r="AD166" s="1">
        <f t="shared" si="128"/>
        <v>1</v>
      </c>
      <c r="AE166" s="1">
        <f t="shared" si="128"/>
        <v>1</v>
      </c>
      <c r="AF166" s="1">
        <f t="shared" si="128"/>
        <v>1</v>
      </c>
      <c r="AG166" s="1">
        <f t="shared" si="128"/>
        <v>1</v>
      </c>
      <c r="AH166" s="1">
        <f t="shared" si="128"/>
        <v>1</v>
      </c>
      <c r="AI166" s="1">
        <f t="shared" si="128"/>
        <v>1</v>
      </c>
      <c r="AJ166" s="1">
        <f t="shared" si="128"/>
        <v>1</v>
      </c>
      <c r="AK166" s="1">
        <f t="shared" si="128"/>
        <v>1</v>
      </c>
      <c r="AL166" s="1">
        <f t="shared" si="128"/>
        <v>1</v>
      </c>
      <c r="AM166" s="1">
        <f t="shared" si="128"/>
        <v>1</v>
      </c>
      <c r="AN166" s="1">
        <f t="shared" si="128"/>
        <v>1</v>
      </c>
      <c r="AO166" s="1">
        <f t="shared" si="128"/>
        <v>1</v>
      </c>
      <c r="AP166" s="1">
        <f t="shared" si="128"/>
        <v>1</v>
      </c>
      <c r="AQ166" s="1">
        <f t="shared" si="128"/>
        <v>1</v>
      </c>
      <c r="AR166" s="1">
        <f t="shared" si="128"/>
        <v>1</v>
      </c>
      <c r="AS166" s="1">
        <f t="shared" si="128"/>
        <v>1</v>
      </c>
      <c r="AT166" s="1">
        <f t="shared" si="128"/>
        <v>1</v>
      </c>
      <c r="AU166" s="1">
        <f t="shared" si="128"/>
        <v>1</v>
      </c>
      <c r="AV166" s="1">
        <f t="shared" si="128"/>
        <v>1</v>
      </c>
      <c r="AW166" s="1">
        <f t="shared" si="128"/>
        <v>1</v>
      </c>
      <c r="AX166" s="1">
        <f t="shared" si="128"/>
        <v>1</v>
      </c>
      <c r="AY166" s="1">
        <f t="shared" si="128"/>
        <v>1</v>
      </c>
      <c r="AZ166" s="1">
        <f t="shared" si="128"/>
        <v>1</v>
      </c>
      <c r="BA166" s="1">
        <f t="shared" si="128"/>
        <v>1</v>
      </c>
      <c r="BB166" s="1">
        <f t="shared" si="128"/>
        <v>1</v>
      </c>
      <c r="BC166" s="1">
        <f t="shared" si="128"/>
        <v>1</v>
      </c>
      <c r="BD166" s="1">
        <f t="shared" si="128"/>
        <v>1</v>
      </c>
      <c r="BE166" s="1">
        <f t="shared" si="128"/>
        <v>1</v>
      </c>
      <c r="BF166" s="1">
        <f t="shared" si="128"/>
        <v>1</v>
      </c>
      <c r="BG166" s="1">
        <f t="shared" si="128"/>
        <v>1</v>
      </c>
      <c r="BH166" s="1">
        <f t="shared" si="128"/>
        <v>1</v>
      </c>
      <c r="BI166" s="1">
        <f t="shared" si="128"/>
        <v>1</v>
      </c>
      <c r="BJ166" s="1">
        <f t="shared" si="128"/>
        <v>2</v>
      </c>
    </row>
    <row r="167" spans="1:62">
      <c r="A167" s="1" t="str">
        <f t="shared" si="104"/>
        <v>   3.2.1) Deaths from natural disaster</v>
      </c>
      <c r="B167" s="1">
        <f t="shared" ref="B167:BJ167" si="129">COUNTIF($B102:$BJ102,B102)</f>
        <v>6</v>
      </c>
      <c r="C167" s="1">
        <f t="shared" si="129"/>
        <v>1</v>
      </c>
      <c r="D167" s="1">
        <f t="shared" si="129"/>
        <v>1</v>
      </c>
      <c r="E167" s="1">
        <f t="shared" si="129"/>
        <v>1</v>
      </c>
      <c r="F167" s="1">
        <f t="shared" si="129"/>
        <v>2</v>
      </c>
      <c r="G167" s="1">
        <f t="shared" si="129"/>
        <v>2</v>
      </c>
      <c r="H167" s="1">
        <f t="shared" si="129"/>
        <v>1</v>
      </c>
      <c r="I167" s="1">
        <f t="shared" si="129"/>
        <v>1</v>
      </c>
      <c r="J167" s="1">
        <f t="shared" si="129"/>
        <v>1</v>
      </c>
      <c r="K167" s="1">
        <f t="shared" si="129"/>
        <v>1</v>
      </c>
      <c r="L167" s="1">
        <f t="shared" si="129"/>
        <v>6</v>
      </c>
      <c r="M167" s="1">
        <f t="shared" si="129"/>
        <v>1</v>
      </c>
      <c r="N167" s="1">
        <f t="shared" si="129"/>
        <v>6</v>
      </c>
      <c r="O167" s="1">
        <f t="shared" si="129"/>
        <v>6</v>
      </c>
      <c r="P167" s="1">
        <f t="shared" si="129"/>
        <v>2</v>
      </c>
      <c r="Q167" s="1">
        <f t="shared" si="129"/>
        <v>1</v>
      </c>
      <c r="R167" s="1">
        <f t="shared" si="129"/>
        <v>6</v>
      </c>
      <c r="S167" s="1">
        <f t="shared" si="129"/>
        <v>1</v>
      </c>
      <c r="T167" s="1">
        <f t="shared" si="129"/>
        <v>1</v>
      </c>
      <c r="U167" s="1">
        <f t="shared" si="129"/>
        <v>6</v>
      </c>
      <c r="V167" s="1">
        <f t="shared" si="129"/>
        <v>1</v>
      </c>
      <c r="W167" s="1">
        <f t="shared" si="129"/>
        <v>1</v>
      </c>
      <c r="X167" s="1">
        <f t="shared" si="129"/>
        <v>2</v>
      </c>
      <c r="Y167" s="1">
        <f t="shared" si="129"/>
        <v>1</v>
      </c>
      <c r="Z167" s="1">
        <f t="shared" si="129"/>
        <v>1</v>
      </c>
      <c r="AA167" s="1">
        <f t="shared" si="129"/>
        <v>1</v>
      </c>
      <c r="AB167" s="1">
        <f t="shared" si="129"/>
        <v>6</v>
      </c>
      <c r="AC167" s="1">
        <f t="shared" si="129"/>
        <v>1</v>
      </c>
      <c r="AD167" s="1">
        <f t="shared" si="129"/>
        <v>1</v>
      </c>
      <c r="AE167" s="1">
        <f t="shared" si="129"/>
        <v>6</v>
      </c>
      <c r="AF167" s="1">
        <f t="shared" si="129"/>
        <v>2</v>
      </c>
      <c r="AG167" s="1">
        <f t="shared" si="129"/>
        <v>1</v>
      </c>
      <c r="AH167" s="1">
        <f t="shared" si="129"/>
        <v>2</v>
      </c>
      <c r="AI167" s="1">
        <f t="shared" si="129"/>
        <v>1</v>
      </c>
      <c r="AJ167" s="1">
        <f t="shared" si="129"/>
        <v>2</v>
      </c>
      <c r="AK167" s="1">
        <f t="shared" si="129"/>
        <v>1</v>
      </c>
      <c r="AL167" s="1">
        <f t="shared" si="129"/>
        <v>2</v>
      </c>
      <c r="AM167" s="1">
        <f t="shared" si="129"/>
        <v>6</v>
      </c>
      <c r="AN167" s="1">
        <f t="shared" si="129"/>
        <v>3</v>
      </c>
      <c r="AO167" s="1">
        <f t="shared" si="129"/>
        <v>1</v>
      </c>
      <c r="AP167" s="1">
        <f t="shared" si="129"/>
        <v>1</v>
      </c>
      <c r="AQ167" s="1">
        <f t="shared" si="129"/>
        <v>2</v>
      </c>
      <c r="AR167" s="1">
        <f t="shared" si="129"/>
        <v>2</v>
      </c>
      <c r="AS167" s="1">
        <f t="shared" si="129"/>
        <v>2</v>
      </c>
      <c r="AT167" s="1">
        <f t="shared" si="129"/>
        <v>6</v>
      </c>
      <c r="AU167" s="1">
        <f t="shared" si="129"/>
        <v>1</v>
      </c>
      <c r="AV167" s="1">
        <f t="shared" si="129"/>
        <v>2</v>
      </c>
      <c r="AW167" s="1">
        <f t="shared" si="129"/>
        <v>1</v>
      </c>
      <c r="AX167" s="1">
        <f t="shared" si="129"/>
        <v>2</v>
      </c>
      <c r="AY167" s="1">
        <f t="shared" si="129"/>
        <v>6</v>
      </c>
      <c r="AZ167" s="1">
        <f t="shared" si="129"/>
        <v>1</v>
      </c>
      <c r="BA167" s="1">
        <f t="shared" si="129"/>
        <v>2</v>
      </c>
      <c r="BB167" s="1">
        <f t="shared" si="129"/>
        <v>1</v>
      </c>
      <c r="BC167" s="1">
        <f t="shared" si="129"/>
        <v>1</v>
      </c>
      <c r="BD167" s="1">
        <f t="shared" si="129"/>
        <v>3</v>
      </c>
      <c r="BE167" s="1">
        <f t="shared" si="129"/>
        <v>1</v>
      </c>
      <c r="BF167" s="1">
        <f t="shared" si="129"/>
        <v>6</v>
      </c>
      <c r="BG167" s="1">
        <f t="shared" si="129"/>
        <v>1</v>
      </c>
      <c r="BH167" s="1">
        <f t="shared" si="129"/>
        <v>1</v>
      </c>
      <c r="BI167" s="1">
        <f t="shared" si="129"/>
        <v>1</v>
      </c>
      <c r="BJ167" s="1">
        <f t="shared" si="129"/>
        <v>3</v>
      </c>
    </row>
    <row r="168" spans="1:62">
      <c r="A168" s="1" t="str">
        <f t="shared" si="104"/>
        <v>   3.2.2) Frequency of vehicular accidents</v>
      </c>
      <c r="B168" s="1">
        <f t="shared" ref="B168:BJ168" si="130">COUNTIF($B103:$BJ103,B103)</f>
        <v>1</v>
      </c>
      <c r="C168" s="1">
        <f t="shared" si="130"/>
        <v>1</v>
      </c>
      <c r="D168" s="1">
        <f t="shared" si="130"/>
        <v>1</v>
      </c>
      <c r="E168" s="1">
        <f t="shared" si="130"/>
        <v>1</v>
      </c>
      <c r="F168" s="1">
        <f t="shared" si="130"/>
        <v>1</v>
      </c>
      <c r="G168" s="1">
        <f t="shared" si="130"/>
        <v>1</v>
      </c>
      <c r="H168" s="1">
        <f t="shared" si="130"/>
        <v>1</v>
      </c>
      <c r="I168" s="1">
        <f t="shared" si="130"/>
        <v>1</v>
      </c>
      <c r="J168" s="1">
        <f t="shared" si="130"/>
        <v>1</v>
      </c>
      <c r="K168" s="1">
        <f t="shared" si="130"/>
        <v>1</v>
      </c>
      <c r="L168" s="1">
        <f t="shared" si="130"/>
        <v>1</v>
      </c>
      <c r="M168" s="1">
        <f t="shared" si="130"/>
        <v>1</v>
      </c>
      <c r="N168" s="1">
        <f t="shared" si="130"/>
        <v>1</v>
      </c>
      <c r="O168" s="1">
        <f t="shared" si="130"/>
        <v>1</v>
      </c>
      <c r="P168" s="1">
        <f t="shared" si="130"/>
        <v>1</v>
      </c>
      <c r="Q168" s="1">
        <f t="shared" si="130"/>
        <v>1</v>
      </c>
      <c r="R168" s="1">
        <f t="shared" si="130"/>
        <v>1</v>
      </c>
      <c r="S168" s="1">
        <f t="shared" si="130"/>
        <v>1</v>
      </c>
      <c r="T168" s="1">
        <f t="shared" si="130"/>
        <v>1</v>
      </c>
      <c r="U168" s="1">
        <f t="shared" si="130"/>
        <v>1</v>
      </c>
      <c r="V168" s="1">
        <f t="shared" si="130"/>
        <v>1</v>
      </c>
      <c r="W168" s="1">
        <f t="shared" si="130"/>
        <v>1</v>
      </c>
      <c r="X168" s="1">
        <f t="shared" si="130"/>
        <v>1</v>
      </c>
      <c r="Y168" s="1">
        <f t="shared" si="130"/>
        <v>1</v>
      </c>
      <c r="Z168" s="1">
        <f t="shared" si="130"/>
        <v>1</v>
      </c>
      <c r="AA168" s="1">
        <f t="shared" si="130"/>
        <v>1</v>
      </c>
      <c r="AB168" s="1">
        <f t="shared" si="130"/>
        <v>1</v>
      </c>
      <c r="AC168" s="1">
        <f t="shared" si="130"/>
        <v>1</v>
      </c>
      <c r="AD168" s="1">
        <f t="shared" si="130"/>
        <v>1</v>
      </c>
      <c r="AE168" s="1">
        <f t="shared" si="130"/>
        <v>1</v>
      </c>
      <c r="AF168" s="1">
        <f t="shared" si="130"/>
        <v>1</v>
      </c>
      <c r="AG168" s="1">
        <f t="shared" si="130"/>
        <v>1</v>
      </c>
      <c r="AH168" s="1">
        <f t="shared" si="130"/>
        <v>1</v>
      </c>
      <c r="AI168" s="1">
        <f t="shared" si="130"/>
        <v>1</v>
      </c>
      <c r="AJ168" s="1">
        <f t="shared" si="130"/>
        <v>1</v>
      </c>
      <c r="AK168" s="1">
        <f t="shared" si="130"/>
        <v>1</v>
      </c>
      <c r="AL168" s="1">
        <f t="shared" si="130"/>
        <v>1</v>
      </c>
      <c r="AM168" s="1">
        <f t="shared" si="130"/>
        <v>1</v>
      </c>
      <c r="AN168" s="1">
        <f t="shared" si="130"/>
        <v>3</v>
      </c>
      <c r="AO168" s="1">
        <f t="shared" si="130"/>
        <v>1</v>
      </c>
      <c r="AP168" s="1">
        <f t="shared" si="130"/>
        <v>1</v>
      </c>
      <c r="AQ168" s="1">
        <f t="shared" si="130"/>
        <v>1</v>
      </c>
      <c r="AR168" s="1">
        <f t="shared" si="130"/>
        <v>1</v>
      </c>
      <c r="AS168" s="1">
        <f t="shared" si="130"/>
        <v>1</v>
      </c>
      <c r="AT168" s="1">
        <f t="shared" si="130"/>
        <v>1</v>
      </c>
      <c r="AU168" s="1">
        <f t="shared" si="130"/>
        <v>1</v>
      </c>
      <c r="AV168" s="1">
        <f t="shared" si="130"/>
        <v>1</v>
      </c>
      <c r="AW168" s="1">
        <f t="shared" si="130"/>
        <v>1</v>
      </c>
      <c r="AX168" s="1">
        <f t="shared" si="130"/>
        <v>1</v>
      </c>
      <c r="AY168" s="1">
        <f t="shared" si="130"/>
        <v>1</v>
      </c>
      <c r="AZ168" s="1">
        <f t="shared" si="130"/>
        <v>1</v>
      </c>
      <c r="BA168" s="1">
        <f t="shared" si="130"/>
        <v>1</v>
      </c>
      <c r="BB168" s="1">
        <f t="shared" si="130"/>
        <v>1</v>
      </c>
      <c r="BC168" s="1">
        <f t="shared" si="130"/>
        <v>1</v>
      </c>
      <c r="BD168" s="1">
        <f t="shared" si="130"/>
        <v>3</v>
      </c>
      <c r="BE168" s="1">
        <f t="shared" si="130"/>
        <v>1</v>
      </c>
      <c r="BF168" s="1">
        <f t="shared" si="130"/>
        <v>1</v>
      </c>
      <c r="BG168" s="1">
        <f t="shared" si="130"/>
        <v>1</v>
      </c>
      <c r="BH168" s="1">
        <f t="shared" si="130"/>
        <v>1</v>
      </c>
      <c r="BI168" s="1">
        <f t="shared" si="130"/>
        <v>1</v>
      </c>
      <c r="BJ168" s="1">
        <f t="shared" si="130"/>
        <v>3</v>
      </c>
    </row>
    <row r="169" spans="1:62">
      <c r="A169" s="1" t="str">
        <f t="shared" si="104"/>
        <v>   3.2.3) Frequency of pedestrian deaths</v>
      </c>
      <c r="B169" s="1">
        <f t="shared" ref="B169:BJ169" si="131">COUNTIF($B104:$BJ104,B104)</f>
        <v>1</v>
      </c>
      <c r="C169" s="1">
        <f t="shared" si="131"/>
        <v>1</v>
      </c>
      <c r="D169" s="1">
        <f t="shared" si="131"/>
        <v>1</v>
      </c>
      <c r="E169" s="1">
        <f t="shared" si="131"/>
        <v>1</v>
      </c>
      <c r="F169" s="1">
        <f t="shared" si="131"/>
        <v>2</v>
      </c>
      <c r="G169" s="1">
        <f t="shared" si="131"/>
        <v>2</v>
      </c>
      <c r="H169" s="1">
        <f t="shared" si="131"/>
        <v>1</v>
      </c>
      <c r="I169" s="1">
        <f t="shared" si="131"/>
        <v>1</v>
      </c>
      <c r="J169" s="1">
        <f t="shared" si="131"/>
        <v>1</v>
      </c>
      <c r="K169" s="1">
        <f t="shared" si="131"/>
        <v>1</v>
      </c>
      <c r="L169" s="1">
        <f t="shared" si="131"/>
        <v>1</v>
      </c>
      <c r="M169" s="1">
        <f t="shared" si="131"/>
        <v>1</v>
      </c>
      <c r="N169" s="1">
        <f t="shared" si="131"/>
        <v>1</v>
      </c>
      <c r="O169" s="1">
        <f t="shared" si="131"/>
        <v>1</v>
      </c>
      <c r="P169" s="1">
        <f t="shared" si="131"/>
        <v>1</v>
      </c>
      <c r="Q169" s="1">
        <f t="shared" si="131"/>
        <v>1</v>
      </c>
      <c r="R169" s="1">
        <f t="shared" si="131"/>
        <v>1</v>
      </c>
      <c r="S169" s="1">
        <f t="shared" si="131"/>
        <v>1</v>
      </c>
      <c r="T169" s="1">
        <f t="shared" si="131"/>
        <v>1</v>
      </c>
      <c r="U169" s="1">
        <f t="shared" si="131"/>
        <v>1</v>
      </c>
      <c r="V169" s="1">
        <f t="shared" si="131"/>
        <v>1</v>
      </c>
      <c r="W169" s="1">
        <f t="shared" si="131"/>
        <v>1</v>
      </c>
      <c r="X169" s="1">
        <f t="shared" si="131"/>
        <v>2</v>
      </c>
      <c r="Y169" s="1">
        <f t="shared" si="131"/>
        <v>1</v>
      </c>
      <c r="Z169" s="1">
        <f t="shared" si="131"/>
        <v>1</v>
      </c>
      <c r="AA169" s="1">
        <f t="shared" si="131"/>
        <v>1</v>
      </c>
      <c r="AB169" s="1">
        <f t="shared" si="131"/>
        <v>1</v>
      </c>
      <c r="AC169" s="1">
        <f t="shared" si="131"/>
        <v>1</v>
      </c>
      <c r="AD169" s="1">
        <f t="shared" si="131"/>
        <v>1</v>
      </c>
      <c r="AE169" s="1">
        <f t="shared" si="131"/>
        <v>2</v>
      </c>
      <c r="AF169" s="1">
        <f t="shared" si="131"/>
        <v>2</v>
      </c>
      <c r="AG169" s="1">
        <f t="shared" si="131"/>
        <v>1</v>
      </c>
      <c r="AH169" s="1">
        <f t="shared" si="131"/>
        <v>1</v>
      </c>
      <c r="AI169" s="1">
        <f t="shared" si="131"/>
        <v>1</v>
      </c>
      <c r="AJ169" s="1">
        <f t="shared" si="131"/>
        <v>1</v>
      </c>
      <c r="AK169" s="1">
        <f t="shared" si="131"/>
        <v>1</v>
      </c>
      <c r="AL169" s="1">
        <f t="shared" si="131"/>
        <v>1</v>
      </c>
      <c r="AM169" s="1">
        <f t="shared" si="131"/>
        <v>1</v>
      </c>
      <c r="AN169" s="1">
        <f t="shared" si="131"/>
        <v>3</v>
      </c>
      <c r="AO169" s="1">
        <f t="shared" si="131"/>
        <v>1</v>
      </c>
      <c r="AP169" s="1">
        <f t="shared" si="131"/>
        <v>1</v>
      </c>
      <c r="AQ169" s="1">
        <f t="shared" si="131"/>
        <v>2</v>
      </c>
      <c r="AR169" s="1">
        <f t="shared" si="131"/>
        <v>2</v>
      </c>
      <c r="AS169" s="1">
        <f t="shared" si="131"/>
        <v>1</v>
      </c>
      <c r="AT169" s="1">
        <f t="shared" si="131"/>
        <v>2</v>
      </c>
      <c r="AU169" s="1">
        <f t="shared" si="131"/>
        <v>1</v>
      </c>
      <c r="AV169" s="1">
        <f t="shared" si="131"/>
        <v>2</v>
      </c>
      <c r="AW169" s="1">
        <f t="shared" si="131"/>
        <v>1</v>
      </c>
      <c r="AX169" s="1">
        <f t="shared" si="131"/>
        <v>2</v>
      </c>
      <c r="AY169" s="1">
        <f t="shared" si="131"/>
        <v>1</v>
      </c>
      <c r="AZ169" s="1">
        <f t="shared" si="131"/>
        <v>1</v>
      </c>
      <c r="BA169" s="1">
        <f t="shared" si="131"/>
        <v>1</v>
      </c>
      <c r="BB169" s="1">
        <f t="shared" si="131"/>
        <v>1</v>
      </c>
      <c r="BC169" s="1">
        <f t="shared" si="131"/>
        <v>1</v>
      </c>
      <c r="BD169" s="1">
        <f t="shared" si="131"/>
        <v>3</v>
      </c>
      <c r="BE169" s="1">
        <f t="shared" si="131"/>
        <v>1</v>
      </c>
      <c r="BF169" s="1">
        <f t="shared" si="131"/>
        <v>1</v>
      </c>
      <c r="BG169" s="1">
        <f t="shared" si="131"/>
        <v>1</v>
      </c>
      <c r="BH169" s="1">
        <f t="shared" si="131"/>
        <v>1</v>
      </c>
      <c r="BI169" s="1">
        <f t="shared" si="131"/>
        <v>1</v>
      </c>
      <c r="BJ169" s="1">
        <f t="shared" si="131"/>
        <v>3</v>
      </c>
    </row>
    <row r="170" spans="1:62">
      <c r="A170" s="1" t="str">
        <f t="shared" si="104"/>
        <v>   3.2.4) Percentage living in slums</v>
      </c>
      <c r="B170" s="1">
        <f t="shared" ref="B170:BJ170" si="132">COUNTIF($B105:$BJ105,B105)</f>
        <v>7</v>
      </c>
      <c r="C170" s="1">
        <f t="shared" si="132"/>
        <v>2</v>
      </c>
      <c r="D170" s="1">
        <f t="shared" si="132"/>
        <v>1</v>
      </c>
      <c r="E170" s="1">
        <f t="shared" si="132"/>
        <v>1</v>
      </c>
      <c r="F170" s="1">
        <f t="shared" si="132"/>
        <v>7</v>
      </c>
      <c r="G170" s="1">
        <f t="shared" si="132"/>
        <v>2</v>
      </c>
      <c r="H170" s="1">
        <f t="shared" si="132"/>
        <v>2</v>
      </c>
      <c r="I170" s="1">
        <f t="shared" si="132"/>
        <v>1</v>
      </c>
      <c r="J170" s="1">
        <f t="shared" si="132"/>
        <v>1</v>
      </c>
      <c r="K170" s="1">
        <f t="shared" si="132"/>
        <v>1</v>
      </c>
      <c r="L170" s="1">
        <f t="shared" si="132"/>
        <v>1</v>
      </c>
      <c r="M170" s="1">
        <f t="shared" si="132"/>
        <v>2</v>
      </c>
      <c r="N170" s="1">
        <f t="shared" si="132"/>
        <v>1</v>
      </c>
      <c r="O170" s="1">
        <f t="shared" si="132"/>
        <v>2</v>
      </c>
      <c r="P170" s="1">
        <f t="shared" si="132"/>
        <v>2</v>
      </c>
      <c r="Q170" s="1">
        <f t="shared" si="132"/>
        <v>1</v>
      </c>
      <c r="R170" s="1">
        <f t="shared" si="132"/>
        <v>7</v>
      </c>
      <c r="S170" s="1">
        <f t="shared" si="132"/>
        <v>1</v>
      </c>
      <c r="T170" s="1">
        <f t="shared" si="132"/>
        <v>1</v>
      </c>
      <c r="U170" s="1">
        <f t="shared" si="132"/>
        <v>1</v>
      </c>
      <c r="V170" s="1">
        <f t="shared" si="132"/>
        <v>1</v>
      </c>
      <c r="W170" s="1">
        <f t="shared" si="132"/>
        <v>1</v>
      </c>
      <c r="X170" s="1">
        <f t="shared" si="132"/>
        <v>2</v>
      </c>
      <c r="Y170" s="1">
        <f t="shared" si="132"/>
        <v>1</v>
      </c>
      <c r="Z170" s="1">
        <f t="shared" si="132"/>
        <v>1</v>
      </c>
      <c r="AA170" s="1">
        <f t="shared" si="132"/>
        <v>2</v>
      </c>
      <c r="AB170" s="1">
        <f t="shared" si="132"/>
        <v>7</v>
      </c>
      <c r="AC170" s="1">
        <f t="shared" si="132"/>
        <v>1</v>
      </c>
      <c r="AD170" s="1">
        <f t="shared" si="132"/>
        <v>1</v>
      </c>
      <c r="AE170" s="1">
        <f t="shared" si="132"/>
        <v>1</v>
      </c>
      <c r="AF170" s="1">
        <f t="shared" si="132"/>
        <v>1</v>
      </c>
      <c r="AG170" s="1">
        <f t="shared" si="132"/>
        <v>1</v>
      </c>
      <c r="AH170" s="1">
        <f t="shared" si="132"/>
        <v>2</v>
      </c>
      <c r="AI170" s="1">
        <f t="shared" si="132"/>
        <v>1</v>
      </c>
      <c r="AJ170" s="1">
        <f t="shared" si="132"/>
        <v>2</v>
      </c>
      <c r="AK170" s="1">
        <f t="shared" si="132"/>
        <v>2</v>
      </c>
      <c r="AL170" s="1">
        <f t="shared" si="132"/>
        <v>2</v>
      </c>
      <c r="AM170" s="1">
        <f t="shared" si="132"/>
        <v>1</v>
      </c>
      <c r="AN170" s="1">
        <f t="shared" si="132"/>
        <v>1</v>
      </c>
      <c r="AO170" s="1">
        <f t="shared" si="132"/>
        <v>1</v>
      </c>
      <c r="AP170" s="1">
        <f t="shared" si="132"/>
        <v>1</v>
      </c>
      <c r="AQ170" s="1">
        <f t="shared" si="132"/>
        <v>2</v>
      </c>
      <c r="AR170" s="1">
        <f t="shared" si="132"/>
        <v>2</v>
      </c>
      <c r="AS170" s="1">
        <f t="shared" si="132"/>
        <v>2</v>
      </c>
      <c r="AT170" s="1">
        <f t="shared" si="132"/>
        <v>1</v>
      </c>
      <c r="AU170" s="1">
        <f t="shared" si="132"/>
        <v>1</v>
      </c>
      <c r="AV170" s="1">
        <f t="shared" si="132"/>
        <v>2</v>
      </c>
      <c r="AW170" s="1">
        <f t="shared" si="132"/>
        <v>1</v>
      </c>
      <c r="AX170" s="1">
        <f t="shared" si="132"/>
        <v>2</v>
      </c>
      <c r="AY170" s="1">
        <f t="shared" si="132"/>
        <v>7</v>
      </c>
      <c r="AZ170" s="1">
        <f t="shared" si="132"/>
        <v>2</v>
      </c>
      <c r="BA170" s="1">
        <f t="shared" si="132"/>
        <v>2</v>
      </c>
      <c r="BB170" s="1">
        <f t="shared" si="132"/>
        <v>7</v>
      </c>
      <c r="BC170" s="1">
        <f t="shared" si="132"/>
        <v>1</v>
      </c>
      <c r="BD170" s="1">
        <f t="shared" si="132"/>
        <v>1</v>
      </c>
      <c r="BE170" s="1">
        <f t="shared" si="132"/>
        <v>1</v>
      </c>
      <c r="BF170" s="1">
        <f t="shared" si="132"/>
        <v>1</v>
      </c>
      <c r="BG170" s="1">
        <f t="shared" si="132"/>
        <v>2</v>
      </c>
      <c r="BH170" s="1">
        <f t="shared" si="132"/>
        <v>1</v>
      </c>
      <c r="BI170" s="1">
        <f t="shared" si="132"/>
        <v>1</v>
      </c>
      <c r="BJ170" s="1">
        <f t="shared" si="132"/>
        <v>7</v>
      </c>
    </row>
    <row r="171" spans="1:62">
      <c r="A171" s="1" t="str">
        <f t="shared" si="104"/>
        <v>   3.2.5) Number of attacks on facilities/infrastructure</v>
      </c>
      <c r="B171" s="1">
        <f t="shared" ref="B171:BJ171" si="133">COUNTIF($B106:$BJ106,B106)</f>
        <v>37</v>
      </c>
      <c r="C171" s="1">
        <f t="shared" si="133"/>
        <v>37</v>
      </c>
      <c r="D171" s="1">
        <f t="shared" si="133"/>
        <v>3</v>
      </c>
      <c r="E171" s="1">
        <f t="shared" si="133"/>
        <v>2</v>
      </c>
      <c r="F171" s="1">
        <f t="shared" si="133"/>
        <v>37</v>
      </c>
      <c r="G171" s="1">
        <f t="shared" si="133"/>
        <v>37</v>
      </c>
      <c r="H171" s="1">
        <f t="shared" si="133"/>
        <v>1</v>
      </c>
      <c r="I171" s="1">
        <f t="shared" si="133"/>
        <v>8</v>
      </c>
      <c r="J171" s="1">
        <f t="shared" si="133"/>
        <v>2</v>
      </c>
      <c r="K171" s="1">
        <f t="shared" si="133"/>
        <v>1</v>
      </c>
      <c r="L171" s="1">
        <f t="shared" si="133"/>
        <v>37</v>
      </c>
      <c r="M171" s="1">
        <f t="shared" si="133"/>
        <v>37</v>
      </c>
      <c r="N171" s="1">
        <f t="shared" si="133"/>
        <v>37</v>
      </c>
      <c r="O171" s="1">
        <f t="shared" si="133"/>
        <v>37</v>
      </c>
      <c r="P171" s="1">
        <f t="shared" si="133"/>
        <v>3</v>
      </c>
      <c r="Q171" s="1">
        <f t="shared" si="133"/>
        <v>1</v>
      </c>
      <c r="R171" s="1">
        <f t="shared" si="133"/>
        <v>37</v>
      </c>
      <c r="S171" s="1">
        <f t="shared" si="133"/>
        <v>37</v>
      </c>
      <c r="T171" s="1">
        <f t="shared" si="133"/>
        <v>37</v>
      </c>
      <c r="U171" s="1">
        <f t="shared" si="133"/>
        <v>37</v>
      </c>
      <c r="V171" s="1">
        <f t="shared" si="133"/>
        <v>2</v>
      </c>
      <c r="W171" s="1">
        <f t="shared" si="133"/>
        <v>8</v>
      </c>
      <c r="X171" s="1">
        <f t="shared" si="133"/>
        <v>37</v>
      </c>
      <c r="Y171" s="1">
        <f t="shared" si="133"/>
        <v>37</v>
      </c>
      <c r="Z171" s="1">
        <f t="shared" si="133"/>
        <v>1</v>
      </c>
      <c r="AA171" s="1">
        <f t="shared" si="133"/>
        <v>37</v>
      </c>
      <c r="AB171" s="1">
        <f t="shared" si="133"/>
        <v>37</v>
      </c>
      <c r="AC171" s="1">
        <f t="shared" si="133"/>
        <v>8</v>
      </c>
      <c r="AD171" s="1">
        <f t="shared" si="133"/>
        <v>2</v>
      </c>
      <c r="AE171" s="1">
        <f t="shared" si="133"/>
        <v>8</v>
      </c>
      <c r="AF171" s="1">
        <f t="shared" si="133"/>
        <v>37</v>
      </c>
      <c r="AG171" s="1">
        <f t="shared" si="133"/>
        <v>37</v>
      </c>
      <c r="AH171" s="1">
        <f t="shared" si="133"/>
        <v>37</v>
      </c>
      <c r="AI171" s="1">
        <f t="shared" si="133"/>
        <v>1</v>
      </c>
      <c r="AJ171" s="1">
        <f t="shared" si="133"/>
        <v>37</v>
      </c>
      <c r="AK171" s="1">
        <f t="shared" si="133"/>
        <v>3</v>
      </c>
      <c r="AL171" s="1">
        <f t="shared" si="133"/>
        <v>1</v>
      </c>
      <c r="AM171" s="1">
        <f t="shared" si="133"/>
        <v>8</v>
      </c>
      <c r="AN171" s="1">
        <f t="shared" si="133"/>
        <v>37</v>
      </c>
      <c r="AO171" s="1">
        <f t="shared" si="133"/>
        <v>37</v>
      </c>
      <c r="AP171" s="1">
        <f t="shared" si="133"/>
        <v>37</v>
      </c>
      <c r="AQ171" s="1">
        <f t="shared" si="133"/>
        <v>37</v>
      </c>
      <c r="AR171" s="1">
        <f t="shared" si="133"/>
        <v>37</v>
      </c>
      <c r="AS171" s="1">
        <f t="shared" si="133"/>
        <v>8</v>
      </c>
      <c r="AT171" s="1">
        <f t="shared" si="133"/>
        <v>37</v>
      </c>
      <c r="AU171" s="1">
        <f t="shared" si="133"/>
        <v>3</v>
      </c>
      <c r="AV171" s="1">
        <f t="shared" si="133"/>
        <v>8</v>
      </c>
      <c r="AW171" s="1">
        <f t="shared" si="133"/>
        <v>37</v>
      </c>
      <c r="AX171" s="1">
        <f t="shared" si="133"/>
        <v>8</v>
      </c>
      <c r="AY171" s="1">
        <f t="shared" si="133"/>
        <v>37</v>
      </c>
      <c r="AZ171" s="1">
        <f t="shared" si="133"/>
        <v>37</v>
      </c>
      <c r="BA171" s="1">
        <f t="shared" si="133"/>
        <v>37</v>
      </c>
      <c r="BB171" s="1">
        <f t="shared" si="133"/>
        <v>37</v>
      </c>
      <c r="BC171" s="1">
        <f t="shared" si="133"/>
        <v>37</v>
      </c>
      <c r="BD171" s="1">
        <f t="shared" si="133"/>
        <v>3</v>
      </c>
      <c r="BE171" s="1">
        <f t="shared" si="133"/>
        <v>37</v>
      </c>
      <c r="BF171" s="1">
        <f t="shared" si="133"/>
        <v>37</v>
      </c>
      <c r="BG171" s="1">
        <f t="shared" si="133"/>
        <v>37</v>
      </c>
      <c r="BH171" s="1">
        <f t="shared" si="133"/>
        <v>3</v>
      </c>
      <c r="BI171" s="1">
        <f t="shared" si="133"/>
        <v>37</v>
      </c>
      <c r="BJ171" s="1">
        <f t="shared" si="133"/>
        <v>37</v>
      </c>
    </row>
    <row r="172" spans="1:62">
      <c r="A172" s="1" t="str">
        <f t="shared" si="104"/>
        <v> 4) PERSONAL SECURITY</v>
      </c>
      <c r="B172" s="1">
        <f t="shared" ref="B172:BJ172" si="134">COUNTIF($B107:$BJ107,B107)</f>
        <v>1</v>
      </c>
      <c r="C172" s="1">
        <f t="shared" si="134"/>
        <v>1</v>
      </c>
      <c r="D172" s="1">
        <f t="shared" si="134"/>
        <v>1</v>
      </c>
      <c r="E172" s="1">
        <f t="shared" si="134"/>
        <v>1</v>
      </c>
      <c r="F172" s="1">
        <f t="shared" si="134"/>
        <v>1</v>
      </c>
      <c r="G172" s="1">
        <f t="shared" si="134"/>
        <v>2</v>
      </c>
      <c r="H172" s="1">
        <f t="shared" si="134"/>
        <v>1</v>
      </c>
      <c r="I172" s="1">
        <f t="shared" si="134"/>
        <v>1</v>
      </c>
      <c r="J172" s="1">
        <f t="shared" si="134"/>
        <v>1</v>
      </c>
      <c r="K172" s="1">
        <f t="shared" si="134"/>
        <v>1</v>
      </c>
      <c r="L172" s="1">
        <f t="shared" si="134"/>
        <v>1</v>
      </c>
      <c r="M172" s="1">
        <f t="shared" si="134"/>
        <v>1</v>
      </c>
      <c r="N172" s="1">
        <f t="shared" si="134"/>
        <v>1</v>
      </c>
      <c r="O172" s="1">
        <f t="shared" si="134"/>
        <v>2</v>
      </c>
      <c r="P172" s="1">
        <f t="shared" si="134"/>
        <v>1</v>
      </c>
      <c r="Q172" s="1">
        <f t="shared" si="134"/>
        <v>1</v>
      </c>
      <c r="R172" s="1">
        <f t="shared" si="134"/>
        <v>1</v>
      </c>
      <c r="S172" s="1">
        <f t="shared" si="134"/>
        <v>1</v>
      </c>
      <c r="T172" s="1">
        <f t="shared" si="134"/>
        <v>1</v>
      </c>
      <c r="U172" s="1">
        <f t="shared" si="134"/>
        <v>1</v>
      </c>
      <c r="V172" s="1">
        <f t="shared" si="134"/>
        <v>1</v>
      </c>
      <c r="W172" s="1">
        <f t="shared" si="134"/>
        <v>1</v>
      </c>
      <c r="X172" s="1">
        <f t="shared" si="134"/>
        <v>1</v>
      </c>
      <c r="Y172" s="1">
        <f t="shared" si="134"/>
        <v>1</v>
      </c>
      <c r="Z172" s="1">
        <f t="shared" si="134"/>
        <v>1</v>
      </c>
      <c r="AA172" s="1">
        <f t="shared" si="134"/>
        <v>1</v>
      </c>
      <c r="AB172" s="1">
        <f t="shared" si="134"/>
        <v>1</v>
      </c>
      <c r="AC172" s="1">
        <f t="shared" si="134"/>
        <v>1</v>
      </c>
      <c r="AD172" s="1">
        <f t="shared" si="134"/>
        <v>1</v>
      </c>
      <c r="AE172" s="1">
        <f t="shared" si="134"/>
        <v>1</v>
      </c>
      <c r="AF172" s="1">
        <f t="shared" si="134"/>
        <v>1</v>
      </c>
      <c r="AG172" s="1">
        <f t="shared" si="134"/>
        <v>1</v>
      </c>
      <c r="AH172" s="1">
        <f t="shared" si="134"/>
        <v>1</v>
      </c>
      <c r="AI172" s="1">
        <f t="shared" si="134"/>
        <v>1</v>
      </c>
      <c r="AJ172" s="1">
        <f t="shared" si="134"/>
        <v>1</v>
      </c>
      <c r="AK172" s="1">
        <f t="shared" si="134"/>
        <v>1</v>
      </c>
      <c r="AL172" s="1">
        <f t="shared" si="134"/>
        <v>1</v>
      </c>
      <c r="AM172" s="1">
        <f t="shared" si="134"/>
        <v>1</v>
      </c>
      <c r="AN172" s="1">
        <f t="shared" si="134"/>
        <v>2</v>
      </c>
      <c r="AO172" s="1">
        <f t="shared" si="134"/>
        <v>1</v>
      </c>
      <c r="AP172" s="1">
        <f t="shared" si="134"/>
        <v>1</v>
      </c>
      <c r="AQ172" s="1">
        <f t="shared" si="134"/>
        <v>1</v>
      </c>
      <c r="AR172" s="1">
        <f t="shared" si="134"/>
        <v>1</v>
      </c>
      <c r="AS172" s="1">
        <f t="shared" si="134"/>
        <v>1</v>
      </c>
      <c r="AT172" s="1">
        <f t="shared" si="134"/>
        <v>1</v>
      </c>
      <c r="AU172" s="1">
        <f t="shared" si="134"/>
        <v>1</v>
      </c>
      <c r="AV172" s="1">
        <f t="shared" si="134"/>
        <v>1</v>
      </c>
      <c r="AW172" s="1">
        <f t="shared" si="134"/>
        <v>1</v>
      </c>
      <c r="AX172" s="1">
        <f t="shared" si="134"/>
        <v>1</v>
      </c>
      <c r="AY172" s="1">
        <f t="shared" si="134"/>
        <v>1</v>
      </c>
      <c r="AZ172" s="1">
        <f t="shared" si="134"/>
        <v>1</v>
      </c>
      <c r="BA172" s="1">
        <f t="shared" si="134"/>
        <v>1</v>
      </c>
      <c r="BB172" s="1">
        <f t="shared" si="134"/>
        <v>1</v>
      </c>
      <c r="BC172" s="1">
        <f t="shared" si="134"/>
        <v>1</v>
      </c>
      <c r="BD172" s="1">
        <f t="shared" si="134"/>
        <v>1</v>
      </c>
      <c r="BE172" s="1">
        <f t="shared" si="134"/>
        <v>1</v>
      </c>
      <c r="BF172" s="1">
        <f t="shared" si="134"/>
        <v>1</v>
      </c>
      <c r="BG172" s="1">
        <f t="shared" si="134"/>
        <v>1</v>
      </c>
      <c r="BH172" s="1">
        <f t="shared" si="134"/>
        <v>1</v>
      </c>
      <c r="BI172" s="1">
        <f t="shared" si="134"/>
        <v>1</v>
      </c>
      <c r="BJ172" s="1">
        <f t="shared" si="134"/>
        <v>2</v>
      </c>
    </row>
    <row r="173" spans="1:62">
      <c r="A173" s="1" t="str">
        <f t="shared" si="104"/>
        <v>  4.1) Personal security (Inputs)</v>
      </c>
      <c r="B173" s="1">
        <f t="shared" ref="B173:BJ173" si="135">COUNTIF($B108:$BJ108,B108)</f>
        <v>1</v>
      </c>
      <c r="C173" s="1">
        <f t="shared" si="135"/>
        <v>1</v>
      </c>
      <c r="D173" s="1">
        <f t="shared" si="135"/>
        <v>1</v>
      </c>
      <c r="E173" s="1">
        <f t="shared" si="135"/>
        <v>1</v>
      </c>
      <c r="F173" s="1">
        <f t="shared" si="135"/>
        <v>2</v>
      </c>
      <c r="G173" s="1">
        <f t="shared" si="135"/>
        <v>2</v>
      </c>
      <c r="H173" s="1">
        <f t="shared" si="135"/>
        <v>1</v>
      </c>
      <c r="I173" s="1">
        <f t="shared" si="135"/>
        <v>1</v>
      </c>
      <c r="J173" s="1">
        <f t="shared" si="135"/>
        <v>1</v>
      </c>
      <c r="K173" s="1">
        <f t="shared" si="135"/>
        <v>1</v>
      </c>
      <c r="L173" s="1">
        <f t="shared" si="135"/>
        <v>1</v>
      </c>
      <c r="M173" s="1">
        <f t="shared" si="135"/>
        <v>1</v>
      </c>
      <c r="N173" s="1">
        <f t="shared" si="135"/>
        <v>1</v>
      </c>
      <c r="O173" s="1">
        <f t="shared" si="135"/>
        <v>1</v>
      </c>
      <c r="P173" s="1">
        <f t="shared" si="135"/>
        <v>2</v>
      </c>
      <c r="Q173" s="1">
        <f t="shared" si="135"/>
        <v>1</v>
      </c>
      <c r="R173" s="1">
        <f t="shared" si="135"/>
        <v>1</v>
      </c>
      <c r="S173" s="1">
        <f t="shared" si="135"/>
        <v>1</v>
      </c>
      <c r="T173" s="1">
        <f t="shared" si="135"/>
        <v>1</v>
      </c>
      <c r="U173" s="1">
        <f t="shared" si="135"/>
        <v>1</v>
      </c>
      <c r="V173" s="1">
        <f t="shared" si="135"/>
        <v>1</v>
      </c>
      <c r="W173" s="1">
        <f t="shared" si="135"/>
        <v>1</v>
      </c>
      <c r="X173" s="1">
        <f t="shared" si="135"/>
        <v>2</v>
      </c>
      <c r="Y173" s="1">
        <f t="shared" si="135"/>
        <v>2</v>
      </c>
      <c r="Z173" s="1">
        <f t="shared" si="135"/>
        <v>1</v>
      </c>
      <c r="AA173" s="1">
        <f t="shared" si="135"/>
        <v>1</v>
      </c>
      <c r="AB173" s="1">
        <f t="shared" si="135"/>
        <v>1</v>
      </c>
      <c r="AC173" s="1">
        <f t="shared" si="135"/>
        <v>2</v>
      </c>
      <c r="AD173" s="1">
        <f t="shared" si="135"/>
        <v>1</v>
      </c>
      <c r="AE173" s="1">
        <f t="shared" si="135"/>
        <v>2</v>
      </c>
      <c r="AF173" s="1">
        <f t="shared" si="135"/>
        <v>2</v>
      </c>
      <c r="AG173" s="1">
        <f t="shared" si="135"/>
        <v>1</v>
      </c>
      <c r="AH173" s="1">
        <f t="shared" si="135"/>
        <v>2</v>
      </c>
      <c r="AI173" s="1">
        <f t="shared" si="135"/>
        <v>1</v>
      </c>
      <c r="AJ173" s="1">
        <f t="shared" si="135"/>
        <v>2</v>
      </c>
      <c r="AK173" s="1">
        <f t="shared" si="135"/>
        <v>1</v>
      </c>
      <c r="AL173" s="1">
        <f t="shared" si="135"/>
        <v>2</v>
      </c>
      <c r="AM173" s="1">
        <f t="shared" si="135"/>
        <v>1</v>
      </c>
      <c r="AN173" s="1">
        <f t="shared" si="135"/>
        <v>3</v>
      </c>
      <c r="AO173" s="1">
        <f t="shared" si="135"/>
        <v>1</v>
      </c>
      <c r="AP173" s="1">
        <f t="shared" si="135"/>
        <v>1</v>
      </c>
      <c r="AQ173" s="1">
        <f t="shared" si="135"/>
        <v>2</v>
      </c>
      <c r="AR173" s="1">
        <f t="shared" si="135"/>
        <v>2</v>
      </c>
      <c r="AS173" s="1">
        <f t="shared" si="135"/>
        <v>2</v>
      </c>
      <c r="AT173" s="1">
        <f t="shared" si="135"/>
        <v>2</v>
      </c>
      <c r="AU173" s="1">
        <f t="shared" si="135"/>
        <v>1</v>
      </c>
      <c r="AV173" s="1">
        <f t="shared" si="135"/>
        <v>2</v>
      </c>
      <c r="AW173" s="1">
        <f t="shared" si="135"/>
        <v>1</v>
      </c>
      <c r="AX173" s="1">
        <f t="shared" si="135"/>
        <v>2</v>
      </c>
      <c r="AY173" s="1">
        <f t="shared" si="135"/>
        <v>1</v>
      </c>
      <c r="AZ173" s="1">
        <f t="shared" si="135"/>
        <v>1</v>
      </c>
      <c r="BA173" s="1">
        <f t="shared" si="135"/>
        <v>2</v>
      </c>
      <c r="BB173" s="1">
        <f t="shared" si="135"/>
        <v>1</v>
      </c>
      <c r="BC173" s="1">
        <f t="shared" si="135"/>
        <v>1</v>
      </c>
      <c r="BD173" s="1">
        <f t="shared" si="135"/>
        <v>3</v>
      </c>
      <c r="BE173" s="1">
        <f t="shared" si="135"/>
        <v>1</v>
      </c>
      <c r="BF173" s="1">
        <f t="shared" si="135"/>
        <v>1</v>
      </c>
      <c r="BG173" s="1">
        <f t="shared" si="135"/>
        <v>1</v>
      </c>
      <c r="BH173" s="1">
        <f t="shared" si="135"/>
        <v>1</v>
      </c>
      <c r="BI173" s="1">
        <f t="shared" si="135"/>
        <v>1</v>
      </c>
      <c r="BJ173" s="1">
        <f t="shared" si="135"/>
        <v>3</v>
      </c>
    </row>
    <row r="174" spans="1:62">
      <c r="A174" s="1" t="str">
        <f t="shared" si="104"/>
        <v>   4.1.1) Level of police engagement</v>
      </c>
      <c r="B174" s="1">
        <f t="shared" ref="B174:BJ174" si="136">COUNTIF($B109:$BJ109,B109)</f>
        <v>29</v>
      </c>
      <c r="C174" s="1">
        <f t="shared" si="136"/>
        <v>29</v>
      </c>
      <c r="D174" s="1">
        <f t="shared" si="136"/>
        <v>30</v>
      </c>
      <c r="E174" s="1">
        <f t="shared" si="136"/>
        <v>30</v>
      </c>
      <c r="F174" s="1">
        <f t="shared" si="136"/>
        <v>29</v>
      </c>
      <c r="G174" s="1">
        <f t="shared" si="136"/>
        <v>30</v>
      </c>
      <c r="H174" s="1">
        <f t="shared" si="136"/>
        <v>30</v>
      </c>
      <c r="I174" s="1">
        <f t="shared" si="136"/>
        <v>30</v>
      </c>
      <c r="J174" s="1">
        <f t="shared" si="136"/>
        <v>30</v>
      </c>
      <c r="K174" s="1">
        <f t="shared" si="136"/>
        <v>30</v>
      </c>
      <c r="L174" s="1">
        <f t="shared" si="136"/>
        <v>30</v>
      </c>
      <c r="M174" s="1">
        <f t="shared" si="136"/>
        <v>29</v>
      </c>
      <c r="N174" s="1">
        <f t="shared" si="136"/>
        <v>29</v>
      </c>
      <c r="O174" s="1">
        <f t="shared" si="136"/>
        <v>29</v>
      </c>
      <c r="P174" s="1">
        <f t="shared" si="136"/>
        <v>29</v>
      </c>
      <c r="Q174" s="1">
        <f t="shared" si="136"/>
        <v>29</v>
      </c>
      <c r="R174" s="1">
        <f t="shared" si="136"/>
        <v>29</v>
      </c>
      <c r="S174" s="1">
        <f t="shared" si="136"/>
        <v>29</v>
      </c>
      <c r="T174" s="1">
        <f t="shared" si="136"/>
        <v>2</v>
      </c>
      <c r="U174" s="1">
        <f t="shared" si="136"/>
        <v>29</v>
      </c>
      <c r="V174" s="1">
        <f t="shared" si="136"/>
        <v>30</v>
      </c>
      <c r="W174" s="1">
        <f t="shared" si="136"/>
        <v>30</v>
      </c>
      <c r="X174" s="1">
        <f t="shared" si="136"/>
        <v>30</v>
      </c>
      <c r="Y174" s="1">
        <f t="shared" si="136"/>
        <v>30</v>
      </c>
      <c r="Z174" s="1">
        <f t="shared" si="136"/>
        <v>29</v>
      </c>
      <c r="AA174" s="1">
        <f t="shared" si="136"/>
        <v>30</v>
      </c>
      <c r="AB174" s="1">
        <f t="shared" si="136"/>
        <v>30</v>
      </c>
      <c r="AC174" s="1">
        <f t="shared" si="136"/>
        <v>30</v>
      </c>
      <c r="AD174" s="1">
        <f t="shared" si="136"/>
        <v>29</v>
      </c>
      <c r="AE174" s="1">
        <f t="shared" si="136"/>
        <v>29</v>
      </c>
      <c r="AF174" s="1">
        <f t="shared" si="136"/>
        <v>29</v>
      </c>
      <c r="AG174" s="1">
        <f t="shared" si="136"/>
        <v>30</v>
      </c>
      <c r="AH174" s="1">
        <f t="shared" si="136"/>
        <v>29</v>
      </c>
      <c r="AI174" s="1">
        <f t="shared" si="136"/>
        <v>30</v>
      </c>
      <c r="AJ174" s="1">
        <f t="shared" si="136"/>
        <v>30</v>
      </c>
      <c r="AK174" s="1">
        <f t="shared" si="136"/>
        <v>2</v>
      </c>
      <c r="AL174" s="1">
        <f t="shared" si="136"/>
        <v>29</v>
      </c>
      <c r="AM174" s="1">
        <f t="shared" si="136"/>
        <v>29</v>
      </c>
      <c r="AN174" s="1">
        <f t="shared" si="136"/>
        <v>29</v>
      </c>
      <c r="AO174" s="1">
        <f t="shared" si="136"/>
        <v>30</v>
      </c>
      <c r="AP174" s="1">
        <f t="shared" si="136"/>
        <v>30</v>
      </c>
      <c r="AQ174" s="1">
        <f t="shared" si="136"/>
        <v>30</v>
      </c>
      <c r="AR174" s="1">
        <f t="shared" si="136"/>
        <v>30</v>
      </c>
      <c r="AS174" s="1">
        <f t="shared" si="136"/>
        <v>30</v>
      </c>
      <c r="AT174" s="1">
        <f t="shared" si="136"/>
        <v>29</v>
      </c>
      <c r="AU174" s="1">
        <f t="shared" si="136"/>
        <v>30</v>
      </c>
      <c r="AV174" s="1">
        <f t="shared" si="136"/>
        <v>30</v>
      </c>
      <c r="AW174" s="1">
        <f t="shared" si="136"/>
        <v>29</v>
      </c>
      <c r="AX174" s="1">
        <f t="shared" si="136"/>
        <v>30</v>
      </c>
      <c r="AY174" s="1">
        <f t="shared" si="136"/>
        <v>29</v>
      </c>
      <c r="AZ174" s="1">
        <f t="shared" si="136"/>
        <v>30</v>
      </c>
      <c r="BA174" s="1">
        <f t="shared" si="136"/>
        <v>29</v>
      </c>
      <c r="BB174" s="1">
        <f t="shared" si="136"/>
        <v>29</v>
      </c>
      <c r="BC174" s="1">
        <f t="shared" si="136"/>
        <v>30</v>
      </c>
      <c r="BD174" s="1">
        <f t="shared" si="136"/>
        <v>29</v>
      </c>
      <c r="BE174" s="1">
        <f t="shared" si="136"/>
        <v>29</v>
      </c>
      <c r="BF174" s="1">
        <f t="shared" si="136"/>
        <v>29</v>
      </c>
      <c r="BG174" s="1">
        <f t="shared" si="136"/>
        <v>29</v>
      </c>
      <c r="BH174" s="1">
        <f t="shared" si="136"/>
        <v>30</v>
      </c>
      <c r="BI174" s="1">
        <f t="shared" si="136"/>
        <v>30</v>
      </c>
      <c r="BJ174" s="1">
        <f t="shared" si="136"/>
        <v>29</v>
      </c>
    </row>
    <row r="175" spans="1:62">
      <c r="A175" s="1" t="str">
        <f t="shared" si="104"/>
        <v>   4.1.2) Community-based patrolling</v>
      </c>
      <c r="B175" s="1">
        <f t="shared" ref="B175:BJ175" si="137">COUNTIF($B110:$BJ110,B110)</f>
        <v>54</v>
      </c>
      <c r="C175" s="1">
        <f t="shared" si="137"/>
        <v>54</v>
      </c>
      <c r="D175" s="1">
        <f t="shared" si="137"/>
        <v>7</v>
      </c>
      <c r="E175" s="1">
        <f t="shared" si="137"/>
        <v>54</v>
      </c>
      <c r="F175" s="1">
        <f t="shared" si="137"/>
        <v>54</v>
      </c>
      <c r="G175" s="1">
        <f t="shared" si="137"/>
        <v>54</v>
      </c>
      <c r="H175" s="1">
        <f t="shared" si="137"/>
        <v>54</v>
      </c>
      <c r="I175" s="1">
        <f t="shared" si="137"/>
        <v>54</v>
      </c>
      <c r="J175" s="1">
        <f t="shared" si="137"/>
        <v>7</v>
      </c>
      <c r="K175" s="1">
        <f t="shared" si="137"/>
        <v>54</v>
      </c>
      <c r="L175" s="1">
        <f t="shared" si="137"/>
        <v>54</v>
      </c>
      <c r="M175" s="1">
        <f t="shared" si="137"/>
        <v>7</v>
      </c>
      <c r="N175" s="1">
        <f t="shared" si="137"/>
        <v>54</v>
      </c>
      <c r="O175" s="1">
        <f t="shared" si="137"/>
        <v>54</v>
      </c>
      <c r="P175" s="1">
        <f t="shared" si="137"/>
        <v>54</v>
      </c>
      <c r="Q175" s="1">
        <f t="shared" si="137"/>
        <v>54</v>
      </c>
      <c r="R175" s="1">
        <f t="shared" si="137"/>
        <v>54</v>
      </c>
      <c r="S175" s="1">
        <f t="shared" si="137"/>
        <v>54</v>
      </c>
      <c r="T175" s="1">
        <f t="shared" si="137"/>
        <v>7</v>
      </c>
      <c r="U175" s="1">
        <f t="shared" si="137"/>
        <v>54</v>
      </c>
      <c r="V175" s="1">
        <f t="shared" si="137"/>
        <v>54</v>
      </c>
      <c r="W175" s="1">
        <f t="shared" si="137"/>
        <v>54</v>
      </c>
      <c r="X175" s="1">
        <f t="shared" si="137"/>
        <v>54</v>
      </c>
      <c r="Y175" s="1">
        <f t="shared" si="137"/>
        <v>54</v>
      </c>
      <c r="Z175" s="1">
        <f t="shared" si="137"/>
        <v>54</v>
      </c>
      <c r="AA175" s="1">
        <f t="shared" si="137"/>
        <v>54</v>
      </c>
      <c r="AB175" s="1">
        <f t="shared" si="137"/>
        <v>54</v>
      </c>
      <c r="AC175" s="1">
        <f t="shared" si="137"/>
        <v>54</v>
      </c>
      <c r="AD175" s="1">
        <f t="shared" si="137"/>
        <v>54</v>
      </c>
      <c r="AE175" s="1">
        <f t="shared" si="137"/>
        <v>54</v>
      </c>
      <c r="AF175" s="1">
        <f t="shared" si="137"/>
        <v>54</v>
      </c>
      <c r="AG175" s="1">
        <f t="shared" si="137"/>
        <v>54</v>
      </c>
      <c r="AH175" s="1">
        <f t="shared" si="137"/>
        <v>54</v>
      </c>
      <c r="AI175" s="1">
        <f t="shared" si="137"/>
        <v>54</v>
      </c>
      <c r="AJ175" s="1">
        <f t="shared" si="137"/>
        <v>54</v>
      </c>
      <c r="AK175" s="1">
        <f t="shared" si="137"/>
        <v>54</v>
      </c>
      <c r="AL175" s="1">
        <f t="shared" si="137"/>
        <v>54</v>
      </c>
      <c r="AM175" s="1">
        <f t="shared" si="137"/>
        <v>54</v>
      </c>
      <c r="AN175" s="1">
        <f t="shared" si="137"/>
        <v>54</v>
      </c>
      <c r="AO175" s="1">
        <f t="shared" si="137"/>
        <v>54</v>
      </c>
      <c r="AP175" s="1">
        <f t="shared" si="137"/>
        <v>7</v>
      </c>
      <c r="AQ175" s="1">
        <f t="shared" si="137"/>
        <v>54</v>
      </c>
      <c r="AR175" s="1">
        <f t="shared" si="137"/>
        <v>54</v>
      </c>
      <c r="AS175" s="1">
        <f t="shared" si="137"/>
        <v>54</v>
      </c>
      <c r="AT175" s="1">
        <f t="shared" si="137"/>
        <v>54</v>
      </c>
      <c r="AU175" s="1">
        <f t="shared" si="137"/>
        <v>7</v>
      </c>
      <c r="AV175" s="1">
        <f t="shared" si="137"/>
        <v>54</v>
      </c>
      <c r="AW175" s="1">
        <f t="shared" si="137"/>
        <v>54</v>
      </c>
      <c r="AX175" s="1">
        <f t="shared" si="137"/>
        <v>54</v>
      </c>
      <c r="AY175" s="1">
        <f t="shared" si="137"/>
        <v>54</v>
      </c>
      <c r="AZ175" s="1">
        <f t="shared" si="137"/>
        <v>54</v>
      </c>
      <c r="BA175" s="1">
        <f t="shared" si="137"/>
        <v>54</v>
      </c>
      <c r="BB175" s="1">
        <f t="shared" si="137"/>
        <v>54</v>
      </c>
      <c r="BC175" s="1">
        <f t="shared" si="137"/>
        <v>7</v>
      </c>
      <c r="BD175" s="1">
        <f t="shared" si="137"/>
        <v>54</v>
      </c>
      <c r="BE175" s="1">
        <f t="shared" si="137"/>
        <v>54</v>
      </c>
      <c r="BF175" s="1">
        <f t="shared" si="137"/>
        <v>54</v>
      </c>
      <c r="BG175" s="1">
        <f t="shared" si="137"/>
        <v>54</v>
      </c>
      <c r="BH175" s="1">
        <f t="shared" si="137"/>
        <v>54</v>
      </c>
      <c r="BI175" s="1">
        <f t="shared" si="137"/>
        <v>54</v>
      </c>
      <c r="BJ175" s="1">
        <f t="shared" si="137"/>
        <v>54</v>
      </c>
    </row>
    <row r="176" spans="1:62">
      <c r="A176" s="1" t="str">
        <f t="shared" si="104"/>
        <v>   4.1.3) Available street-level crime data</v>
      </c>
      <c r="B176" s="1">
        <f t="shared" ref="B176:BJ176" si="138">COUNTIF($B111:$BJ111,B111)</f>
        <v>51</v>
      </c>
      <c r="C176" s="1">
        <f t="shared" si="138"/>
        <v>51</v>
      </c>
      <c r="D176" s="1">
        <f t="shared" si="138"/>
        <v>51</v>
      </c>
      <c r="E176" s="1">
        <f t="shared" si="138"/>
        <v>10</v>
      </c>
      <c r="F176" s="1">
        <f t="shared" si="138"/>
        <v>51</v>
      </c>
      <c r="G176" s="1">
        <f t="shared" si="138"/>
        <v>51</v>
      </c>
      <c r="H176" s="1">
        <f t="shared" si="138"/>
        <v>10</v>
      </c>
      <c r="I176" s="1">
        <f t="shared" si="138"/>
        <v>51</v>
      </c>
      <c r="J176" s="1">
        <f t="shared" si="138"/>
        <v>51</v>
      </c>
      <c r="K176" s="1">
        <f t="shared" si="138"/>
        <v>51</v>
      </c>
      <c r="L176" s="1">
        <f t="shared" si="138"/>
        <v>10</v>
      </c>
      <c r="M176" s="1">
        <f t="shared" si="138"/>
        <v>51</v>
      </c>
      <c r="N176" s="1">
        <f t="shared" si="138"/>
        <v>51</v>
      </c>
      <c r="O176" s="1">
        <f t="shared" si="138"/>
        <v>51</v>
      </c>
      <c r="P176" s="1">
        <f t="shared" si="138"/>
        <v>51</v>
      </c>
      <c r="Q176" s="1">
        <f t="shared" si="138"/>
        <v>10</v>
      </c>
      <c r="R176" s="1">
        <f t="shared" si="138"/>
        <v>51</v>
      </c>
      <c r="S176" s="1">
        <f t="shared" si="138"/>
        <v>51</v>
      </c>
      <c r="T176" s="1">
        <f t="shared" si="138"/>
        <v>10</v>
      </c>
      <c r="U176" s="1">
        <f t="shared" si="138"/>
        <v>51</v>
      </c>
      <c r="V176" s="1">
        <f t="shared" si="138"/>
        <v>51</v>
      </c>
      <c r="W176" s="1">
        <f t="shared" si="138"/>
        <v>51</v>
      </c>
      <c r="X176" s="1">
        <f t="shared" si="138"/>
        <v>10</v>
      </c>
      <c r="Y176" s="1">
        <f t="shared" si="138"/>
        <v>51</v>
      </c>
      <c r="Z176" s="1">
        <f t="shared" si="138"/>
        <v>10</v>
      </c>
      <c r="AA176" s="1">
        <f t="shared" si="138"/>
        <v>51</v>
      </c>
      <c r="AB176" s="1">
        <f t="shared" si="138"/>
        <v>51</v>
      </c>
      <c r="AC176" s="1">
        <f t="shared" si="138"/>
        <v>51</v>
      </c>
      <c r="AD176" s="1">
        <f t="shared" si="138"/>
        <v>51</v>
      </c>
      <c r="AE176" s="1">
        <f t="shared" si="138"/>
        <v>51</v>
      </c>
      <c r="AF176" s="1">
        <f t="shared" si="138"/>
        <v>51</v>
      </c>
      <c r="AG176" s="1">
        <f t="shared" si="138"/>
        <v>51</v>
      </c>
      <c r="AH176" s="1">
        <f t="shared" si="138"/>
        <v>51</v>
      </c>
      <c r="AI176" s="1">
        <f t="shared" si="138"/>
        <v>51</v>
      </c>
      <c r="AJ176" s="1">
        <f t="shared" si="138"/>
        <v>51</v>
      </c>
      <c r="AK176" s="1">
        <f t="shared" si="138"/>
        <v>51</v>
      </c>
      <c r="AL176" s="1">
        <f t="shared" si="138"/>
        <v>51</v>
      </c>
      <c r="AM176" s="1">
        <f t="shared" si="138"/>
        <v>51</v>
      </c>
      <c r="AN176" s="1">
        <f t="shared" si="138"/>
        <v>51</v>
      </c>
      <c r="AO176" s="1">
        <f t="shared" si="138"/>
        <v>51</v>
      </c>
      <c r="AP176" s="1">
        <f t="shared" si="138"/>
        <v>10</v>
      </c>
      <c r="AQ176" s="1">
        <f t="shared" si="138"/>
        <v>51</v>
      </c>
      <c r="AR176" s="1">
        <f t="shared" si="138"/>
        <v>10</v>
      </c>
      <c r="AS176" s="1">
        <f t="shared" si="138"/>
        <v>51</v>
      </c>
      <c r="AT176" s="1">
        <f t="shared" si="138"/>
        <v>51</v>
      </c>
      <c r="AU176" s="1">
        <f t="shared" si="138"/>
        <v>51</v>
      </c>
      <c r="AV176" s="1">
        <f t="shared" si="138"/>
        <v>51</v>
      </c>
      <c r="AW176" s="1">
        <f t="shared" si="138"/>
        <v>51</v>
      </c>
      <c r="AX176" s="1">
        <f t="shared" si="138"/>
        <v>51</v>
      </c>
      <c r="AY176" s="1">
        <f t="shared" si="138"/>
        <v>51</v>
      </c>
      <c r="AZ176" s="1">
        <f t="shared" si="138"/>
        <v>51</v>
      </c>
      <c r="BA176" s="1">
        <f t="shared" si="138"/>
        <v>51</v>
      </c>
      <c r="BB176" s="1">
        <f t="shared" si="138"/>
        <v>51</v>
      </c>
      <c r="BC176" s="1">
        <f t="shared" si="138"/>
        <v>51</v>
      </c>
      <c r="BD176" s="1">
        <f t="shared" si="138"/>
        <v>51</v>
      </c>
      <c r="BE176" s="1">
        <f t="shared" si="138"/>
        <v>51</v>
      </c>
      <c r="BF176" s="1">
        <f t="shared" si="138"/>
        <v>51</v>
      </c>
      <c r="BG176" s="1">
        <f t="shared" si="138"/>
        <v>51</v>
      </c>
      <c r="BH176" s="1">
        <f t="shared" si="138"/>
        <v>10</v>
      </c>
      <c r="BI176" s="1">
        <f t="shared" si="138"/>
        <v>51</v>
      </c>
      <c r="BJ176" s="1">
        <f t="shared" si="138"/>
        <v>51</v>
      </c>
    </row>
    <row r="177" spans="1:62">
      <c r="A177" s="1" t="str">
        <f t="shared" si="104"/>
        <v>   4.1.4) Use of data-driven techniques for crime</v>
      </c>
      <c r="B177" s="1">
        <f t="shared" ref="B177:BJ177" si="139">COUNTIF($B112:$BJ112,B112)</f>
        <v>12</v>
      </c>
      <c r="C177" s="1">
        <f t="shared" si="139"/>
        <v>49</v>
      </c>
      <c r="D177" s="1">
        <f t="shared" si="139"/>
        <v>49</v>
      </c>
      <c r="E177" s="1">
        <f t="shared" si="139"/>
        <v>49</v>
      </c>
      <c r="F177" s="1">
        <f t="shared" si="139"/>
        <v>49</v>
      </c>
      <c r="G177" s="1">
        <f t="shared" si="139"/>
        <v>49</v>
      </c>
      <c r="H177" s="1">
        <f t="shared" si="139"/>
        <v>49</v>
      </c>
      <c r="I177" s="1">
        <f t="shared" si="139"/>
        <v>49</v>
      </c>
      <c r="J177" s="1">
        <f t="shared" si="139"/>
        <v>49</v>
      </c>
      <c r="K177" s="1">
        <f t="shared" si="139"/>
        <v>49</v>
      </c>
      <c r="L177" s="1">
        <f t="shared" si="139"/>
        <v>12</v>
      </c>
      <c r="M177" s="1">
        <f t="shared" si="139"/>
        <v>12</v>
      </c>
      <c r="N177" s="1">
        <f t="shared" si="139"/>
        <v>49</v>
      </c>
      <c r="O177" s="1">
        <f t="shared" si="139"/>
        <v>49</v>
      </c>
      <c r="P177" s="1">
        <f t="shared" si="139"/>
        <v>49</v>
      </c>
      <c r="Q177" s="1">
        <f t="shared" si="139"/>
        <v>49</v>
      </c>
      <c r="R177" s="1">
        <f t="shared" si="139"/>
        <v>49</v>
      </c>
      <c r="S177" s="1">
        <f t="shared" si="139"/>
        <v>49</v>
      </c>
      <c r="T177" s="1">
        <f t="shared" si="139"/>
        <v>12</v>
      </c>
      <c r="U177" s="1">
        <f t="shared" si="139"/>
        <v>49</v>
      </c>
      <c r="V177" s="1">
        <f t="shared" si="139"/>
        <v>49</v>
      </c>
      <c r="W177" s="1">
        <f t="shared" si="139"/>
        <v>12</v>
      </c>
      <c r="X177" s="1">
        <f t="shared" si="139"/>
        <v>49</v>
      </c>
      <c r="Y177" s="1">
        <f t="shared" si="139"/>
        <v>12</v>
      </c>
      <c r="Z177" s="1">
        <f t="shared" si="139"/>
        <v>12</v>
      </c>
      <c r="AA177" s="1">
        <f t="shared" si="139"/>
        <v>49</v>
      </c>
      <c r="AB177" s="1">
        <f t="shared" si="139"/>
        <v>12</v>
      </c>
      <c r="AC177" s="1">
        <f t="shared" si="139"/>
        <v>12</v>
      </c>
      <c r="AD177" s="1">
        <f t="shared" si="139"/>
        <v>49</v>
      </c>
      <c r="AE177" s="1">
        <f t="shared" si="139"/>
        <v>49</v>
      </c>
      <c r="AF177" s="1">
        <f t="shared" si="139"/>
        <v>49</v>
      </c>
      <c r="AG177" s="1">
        <f t="shared" si="139"/>
        <v>49</v>
      </c>
      <c r="AH177" s="1">
        <f t="shared" si="139"/>
        <v>49</v>
      </c>
      <c r="AI177" s="1">
        <f t="shared" si="139"/>
        <v>49</v>
      </c>
      <c r="AJ177" s="1">
        <f t="shared" si="139"/>
        <v>49</v>
      </c>
      <c r="AK177" s="1">
        <f t="shared" si="139"/>
        <v>12</v>
      </c>
      <c r="AL177" s="1">
        <f t="shared" si="139"/>
        <v>49</v>
      </c>
      <c r="AM177" s="1">
        <f t="shared" si="139"/>
        <v>49</v>
      </c>
      <c r="AN177" s="1">
        <f t="shared" si="139"/>
        <v>49</v>
      </c>
      <c r="AO177" s="1">
        <f t="shared" si="139"/>
        <v>49</v>
      </c>
      <c r="AP177" s="1">
        <f t="shared" si="139"/>
        <v>49</v>
      </c>
      <c r="AQ177" s="1">
        <f t="shared" si="139"/>
        <v>49</v>
      </c>
      <c r="AR177" s="1">
        <f t="shared" si="139"/>
        <v>49</v>
      </c>
      <c r="AS177" s="1">
        <f t="shared" si="139"/>
        <v>49</v>
      </c>
      <c r="AT177" s="1">
        <f t="shared" si="139"/>
        <v>49</v>
      </c>
      <c r="AU177" s="1">
        <f t="shared" si="139"/>
        <v>49</v>
      </c>
      <c r="AV177" s="1">
        <f t="shared" si="139"/>
        <v>49</v>
      </c>
      <c r="AW177" s="1">
        <f t="shared" si="139"/>
        <v>49</v>
      </c>
      <c r="AX177" s="1">
        <f t="shared" si="139"/>
        <v>49</v>
      </c>
      <c r="AY177" s="1">
        <f t="shared" si="139"/>
        <v>49</v>
      </c>
      <c r="AZ177" s="1">
        <f t="shared" si="139"/>
        <v>49</v>
      </c>
      <c r="BA177" s="1">
        <f t="shared" si="139"/>
        <v>49</v>
      </c>
      <c r="BB177" s="1">
        <f t="shared" si="139"/>
        <v>49</v>
      </c>
      <c r="BC177" s="1">
        <f t="shared" si="139"/>
        <v>12</v>
      </c>
      <c r="BD177" s="1">
        <f t="shared" si="139"/>
        <v>49</v>
      </c>
      <c r="BE177" s="1">
        <f t="shared" si="139"/>
        <v>49</v>
      </c>
      <c r="BF177" s="1">
        <f t="shared" si="139"/>
        <v>49</v>
      </c>
      <c r="BG177" s="1">
        <f t="shared" si="139"/>
        <v>49</v>
      </c>
      <c r="BH177" s="1">
        <f t="shared" si="139"/>
        <v>12</v>
      </c>
      <c r="BI177" s="1">
        <f t="shared" si="139"/>
        <v>49</v>
      </c>
      <c r="BJ177" s="1">
        <f t="shared" si="139"/>
        <v>49</v>
      </c>
    </row>
    <row r="178" spans="1:62">
      <c r="A178" s="1" t="str">
        <f t="shared" si="104"/>
        <v>   4.1.5) Private security measures</v>
      </c>
      <c r="B178" s="1">
        <f t="shared" ref="B178:BJ178" si="140">COUNTIF($B113:$BJ113,B113)</f>
        <v>56</v>
      </c>
      <c r="C178" s="1">
        <f t="shared" si="140"/>
        <v>56</v>
      </c>
      <c r="D178" s="1">
        <f t="shared" si="140"/>
        <v>56</v>
      </c>
      <c r="E178" s="1">
        <f t="shared" si="140"/>
        <v>56</v>
      </c>
      <c r="F178" s="1">
        <f t="shared" si="140"/>
        <v>56</v>
      </c>
      <c r="G178" s="1">
        <f t="shared" si="140"/>
        <v>56</v>
      </c>
      <c r="H178" s="1">
        <f t="shared" si="140"/>
        <v>56</v>
      </c>
      <c r="I178" s="1">
        <f t="shared" si="140"/>
        <v>56</v>
      </c>
      <c r="J178" s="1">
        <f t="shared" si="140"/>
        <v>56</v>
      </c>
      <c r="K178" s="1">
        <f t="shared" si="140"/>
        <v>56</v>
      </c>
      <c r="L178" s="1">
        <f t="shared" si="140"/>
        <v>56</v>
      </c>
      <c r="M178" s="1">
        <f t="shared" si="140"/>
        <v>56</v>
      </c>
      <c r="N178" s="1">
        <f t="shared" si="140"/>
        <v>56</v>
      </c>
      <c r="O178" s="1">
        <f t="shared" si="140"/>
        <v>56</v>
      </c>
      <c r="P178" s="1">
        <f t="shared" si="140"/>
        <v>56</v>
      </c>
      <c r="Q178" s="1">
        <f t="shared" si="140"/>
        <v>56</v>
      </c>
      <c r="R178" s="1">
        <f t="shared" si="140"/>
        <v>56</v>
      </c>
      <c r="S178" s="1">
        <f t="shared" si="140"/>
        <v>56</v>
      </c>
      <c r="T178" s="1">
        <f t="shared" si="140"/>
        <v>56</v>
      </c>
      <c r="U178" s="1">
        <f t="shared" si="140"/>
        <v>56</v>
      </c>
      <c r="V178" s="1">
        <f t="shared" si="140"/>
        <v>56</v>
      </c>
      <c r="W178" s="1">
        <f t="shared" si="140"/>
        <v>5</v>
      </c>
      <c r="X178" s="1">
        <f t="shared" si="140"/>
        <v>5</v>
      </c>
      <c r="Y178" s="1">
        <f t="shared" si="140"/>
        <v>56</v>
      </c>
      <c r="Z178" s="1">
        <f t="shared" si="140"/>
        <v>5</v>
      </c>
      <c r="AA178" s="1">
        <f t="shared" si="140"/>
        <v>56</v>
      </c>
      <c r="AB178" s="1">
        <f t="shared" si="140"/>
        <v>56</v>
      </c>
      <c r="AC178" s="1">
        <f t="shared" si="140"/>
        <v>56</v>
      </c>
      <c r="AD178" s="1">
        <f t="shared" si="140"/>
        <v>56</v>
      </c>
      <c r="AE178" s="1">
        <f t="shared" si="140"/>
        <v>56</v>
      </c>
      <c r="AF178" s="1">
        <f t="shared" si="140"/>
        <v>56</v>
      </c>
      <c r="AG178" s="1">
        <f t="shared" si="140"/>
        <v>56</v>
      </c>
      <c r="AH178" s="1">
        <f t="shared" si="140"/>
        <v>56</v>
      </c>
      <c r="AI178" s="1">
        <f t="shared" si="140"/>
        <v>56</v>
      </c>
      <c r="AJ178" s="1">
        <f t="shared" si="140"/>
        <v>56</v>
      </c>
      <c r="AK178" s="1">
        <f t="shared" si="140"/>
        <v>56</v>
      </c>
      <c r="AL178" s="1">
        <f t="shared" si="140"/>
        <v>56</v>
      </c>
      <c r="AM178" s="1">
        <f t="shared" si="140"/>
        <v>56</v>
      </c>
      <c r="AN178" s="1">
        <f t="shared" si="140"/>
        <v>56</v>
      </c>
      <c r="AO178" s="1">
        <f t="shared" si="140"/>
        <v>56</v>
      </c>
      <c r="AP178" s="1">
        <f t="shared" si="140"/>
        <v>56</v>
      </c>
      <c r="AQ178" s="1">
        <f t="shared" si="140"/>
        <v>56</v>
      </c>
      <c r="AR178" s="1">
        <f t="shared" si="140"/>
        <v>5</v>
      </c>
      <c r="AS178" s="1">
        <f t="shared" si="140"/>
        <v>56</v>
      </c>
      <c r="AT178" s="1">
        <f t="shared" si="140"/>
        <v>56</v>
      </c>
      <c r="AU178" s="1">
        <f t="shared" si="140"/>
        <v>56</v>
      </c>
      <c r="AV178" s="1">
        <f t="shared" si="140"/>
        <v>56</v>
      </c>
      <c r="AW178" s="1">
        <f t="shared" si="140"/>
        <v>56</v>
      </c>
      <c r="AX178" s="1">
        <f t="shared" si="140"/>
        <v>56</v>
      </c>
      <c r="AY178" s="1">
        <f t="shared" si="140"/>
        <v>56</v>
      </c>
      <c r="AZ178" s="1">
        <f t="shared" si="140"/>
        <v>56</v>
      </c>
      <c r="BA178" s="1">
        <f t="shared" si="140"/>
        <v>56</v>
      </c>
      <c r="BB178" s="1">
        <f t="shared" si="140"/>
        <v>56</v>
      </c>
      <c r="BC178" s="1">
        <f t="shared" si="140"/>
        <v>56</v>
      </c>
      <c r="BD178" s="1">
        <f t="shared" si="140"/>
        <v>56</v>
      </c>
      <c r="BE178" s="1">
        <f t="shared" si="140"/>
        <v>56</v>
      </c>
      <c r="BF178" s="1">
        <f t="shared" si="140"/>
        <v>56</v>
      </c>
      <c r="BG178" s="1">
        <f t="shared" si="140"/>
        <v>56</v>
      </c>
      <c r="BH178" s="1">
        <f t="shared" si="140"/>
        <v>5</v>
      </c>
      <c r="BI178" s="1">
        <f t="shared" si="140"/>
        <v>56</v>
      </c>
      <c r="BJ178" s="1">
        <f t="shared" si="140"/>
        <v>56</v>
      </c>
    </row>
    <row r="179" spans="1:62">
      <c r="A179" s="1" t="str">
        <f t="shared" si="104"/>
        <v>   4.1.6) Gun regulation and enforcement</v>
      </c>
      <c r="B179" s="1">
        <f t="shared" ref="B179:BJ179" si="141">COUNTIF($B114:$BJ114,B114)</f>
        <v>1</v>
      </c>
      <c r="C179" s="1">
        <f t="shared" si="141"/>
        <v>3</v>
      </c>
      <c r="D179" s="1">
        <f t="shared" si="141"/>
        <v>2</v>
      </c>
      <c r="E179" s="1">
        <f t="shared" si="141"/>
        <v>5</v>
      </c>
      <c r="F179" s="1">
        <f t="shared" si="141"/>
        <v>2</v>
      </c>
      <c r="G179" s="1">
        <f t="shared" si="141"/>
        <v>3</v>
      </c>
      <c r="H179" s="1">
        <f t="shared" si="141"/>
        <v>5</v>
      </c>
      <c r="I179" s="1">
        <f t="shared" si="141"/>
        <v>2</v>
      </c>
      <c r="J179" s="1">
        <f t="shared" si="141"/>
        <v>3</v>
      </c>
      <c r="K179" s="1">
        <f t="shared" si="141"/>
        <v>5</v>
      </c>
      <c r="L179" s="1">
        <f t="shared" si="141"/>
        <v>1</v>
      </c>
      <c r="M179" s="1">
        <f t="shared" si="141"/>
        <v>3</v>
      </c>
      <c r="N179" s="1">
        <f t="shared" si="141"/>
        <v>5</v>
      </c>
      <c r="O179" s="1">
        <f t="shared" si="141"/>
        <v>1</v>
      </c>
      <c r="P179" s="1">
        <f t="shared" si="141"/>
        <v>2</v>
      </c>
      <c r="Q179" s="1">
        <f t="shared" si="141"/>
        <v>7</v>
      </c>
      <c r="R179" s="1">
        <f t="shared" si="141"/>
        <v>3</v>
      </c>
      <c r="S179" s="1">
        <f t="shared" si="141"/>
        <v>2</v>
      </c>
      <c r="T179" s="1">
        <f t="shared" si="141"/>
        <v>3</v>
      </c>
      <c r="U179" s="1">
        <f t="shared" si="141"/>
        <v>6</v>
      </c>
      <c r="V179" s="1">
        <f t="shared" si="141"/>
        <v>1</v>
      </c>
      <c r="W179" s="1">
        <f t="shared" si="141"/>
        <v>1</v>
      </c>
      <c r="X179" s="1">
        <f t="shared" si="141"/>
        <v>2</v>
      </c>
      <c r="Y179" s="1">
        <f t="shared" si="141"/>
        <v>2</v>
      </c>
      <c r="Z179" s="1">
        <f t="shared" si="141"/>
        <v>1</v>
      </c>
      <c r="AA179" s="1">
        <f t="shared" si="141"/>
        <v>7</v>
      </c>
      <c r="AB179" s="1">
        <f t="shared" si="141"/>
        <v>1</v>
      </c>
      <c r="AC179" s="1">
        <f t="shared" si="141"/>
        <v>2</v>
      </c>
      <c r="AD179" s="1">
        <f t="shared" si="141"/>
        <v>6</v>
      </c>
      <c r="AE179" s="1">
        <f t="shared" si="141"/>
        <v>2</v>
      </c>
      <c r="AF179" s="1">
        <f t="shared" si="141"/>
        <v>2</v>
      </c>
      <c r="AG179" s="1">
        <f t="shared" si="141"/>
        <v>2</v>
      </c>
      <c r="AH179" s="1">
        <f t="shared" si="141"/>
        <v>7</v>
      </c>
      <c r="AI179" s="1">
        <f t="shared" si="141"/>
        <v>1</v>
      </c>
      <c r="AJ179" s="1">
        <f t="shared" si="141"/>
        <v>3</v>
      </c>
      <c r="AK179" s="1">
        <f t="shared" si="141"/>
        <v>2</v>
      </c>
      <c r="AL179" s="1">
        <f t="shared" si="141"/>
        <v>2</v>
      </c>
      <c r="AM179" s="1">
        <f t="shared" si="141"/>
        <v>1</v>
      </c>
      <c r="AN179" s="1">
        <f t="shared" si="141"/>
        <v>6</v>
      </c>
      <c r="AO179" s="1">
        <f t="shared" si="141"/>
        <v>1</v>
      </c>
      <c r="AP179" s="1">
        <f t="shared" si="141"/>
        <v>5</v>
      </c>
      <c r="AQ179" s="1">
        <f t="shared" si="141"/>
        <v>2</v>
      </c>
      <c r="AR179" s="1">
        <f t="shared" si="141"/>
        <v>2</v>
      </c>
      <c r="AS179" s="1">
        <f t="shared" si="141"/>
        <v>3</v>
      </c>
      <c r="AT179" s="1">
        <f t="shared" si="141"/>
        <v>2</v>
      </c>
      <c r="AU179" s="1">
        <f t="shared" si="141"/>
        <v>1</v>
      </c>
      <c r="AV179" s="1">
        <f t="shared" si="141"/>
        <v>2</v>
      </c>
      <c r="AW179" s="1">
        <f t="shared" si="141"/>
        <v>7</v>
      </c>
      <c r="AX179" s="1">
        <f t="shared" si="141"/>
        <v>3</v>
      </c>
      <c r="AY179" s="1">
        <f t="shared" si="141"/>
        <v>6</v>
      </c>
      <c r="AZ179" s="1">
        <f t="shared" si="141"/>
        <v>2</v>
      </c>
      <c r="BA179" s="1">
        <f t="shared" si="141"/>
        <v>7</v>
      </c>
      <c r="BB179" s="1">
        <f t="shared" si="141"/>
        <v>1</v>
      </c>
      <c r="BC179" s="1">
        <f t="shared" si="141"/>
        <v>3</v>
      </c>
      <c r="BD179" s="1">
        <f t="shared" si="141"/>
        <v>6</v>
      </c>
      <c r="BE179" s="1">
        <f t="shared" si="141"/>
        <v>3</v>
      </c>
      <c r="BF179" s="1">
        <f t="shared" si="141"/>
        <v>7</v>
      </c>
      <c r="BG179" s="1">
        <f t="shared" si="141"/>
        <v>7</v>
      </c>
      <c r="BH179" s="1">
        <f t="shared" si="141"/>
        <v>3</v>
      </c>
      <c r="BI179" s="1">
        <f t="shared" si="141"/>
        <v>1</v>
      </c>
      <c r="BJ179" s="1">
        <f t="shared" si="141"/>
        <v>6</v>
      </c>
    </row>
    <row r="180" spans="1:62">
      <c r="A180" s="1" t="str">
        <f t="shared" si="104"/>
        <v>   4.1.7) Political stability risk</v>
      </c>
      <c r="B180" s="1">
        <f t="shared" ref="B180:BJ180" si="142">COUNTIF($B115:$BJ115,B115)</f>
        <v>2</v>
      </c>
      <c r="C180" s="1">
        <f t="shared" si="142"/>
        <v>9</v>
      </c>
      <c r="D180" s="1">
        <f t="shared" si="142"/>
        <v>3</v>
      </c>
      <c r="E180" s="1">
        <f t="shared" si="142"/>
        <v>5</v>
      </c>
      <c r="F180" s="1">
        <f t="shared" si="142"/>
        <v>3</v>
      </c>
      <c r="G180" s="1">
        <f t="shared" si="142"/>
        <v>6</v>
      </c>
      <c r="H180" s="1">
        <f t="shared" si="142"/>
        <v>6</v>
      </c>
      <c r="I180" s="1">
        <f t="shared" si="142"/>
        <v>4</v>
      </c>
      <c r="J180" s="1">
        <f t="shared" si="142"/>
        <v>8</v>
      </c>
      <c r="K180" s="1">
        <f t="shared" si="142"/>
        <v>5</v>
      </c>
      <c r="L180" s="1">
        <f t="shared" si="142"/>
        <v>1</v>
      </c>
      <c r="M180" s="1">
        <f t="shared" si="142"/>
        <v>5</v>
      </c>
      <c r="N180" s="1">
        <f t="shared" si="142"/>
        <v>9</v>
      </c>
      <c r="O180" s="1">
        <f t="shared" si="142"/>
        <v>9</v>
      </c>
      <c r="P180" s="1">
        <f t="shared" si="142"/>
        <v>4</v>
      </c>
      <c r="Q180" s="1">
        <f t="shared" si="142"/>
        <v>6</v>
      </c>
      <c r="R180" s="1">
        <f t="shared" si="142"/>
        <v>8</v>
      </c>
      <c r="S180" s="1">
        <f t="shared" si="142"/>
        <v>7</v>
      </c>
      <c r="T180" s="1">
        <f t="shared" si="142"/>
        <v>6</v>
      </c>
      <c r="U180" s="1">
        <f t="shared" si="142"/>
        <v>8</v>
      </c>
      <c r="V180" s="1">
        <f t="shared" si="142"/>
        <v>1</v>
      </c>
      <c r="W180" s="1">
        <f t="shared" si="142"/>
        <v>8</v>
      </c>
      <c r="X180" s="1">
        <f t="shared" si="142"/>
        <v>6</v>
      </c>
      <c r="Y180" s="1">
        <f t="shared" si="142"/>
        <v>6</v>
      </c>
      <c r="Z180" s="1">
        <f t="shared" si="142"/>
        <v>5</v>
      </c>
      <c r="AA180" s="1">
        <f t="shared" si="142"/>
        <v>6</v>
      </c>
      <c r="AB180" s="1">
        <f t="shared" si="142"/>
        <v>5</v>
      </c>
      <c r="AC180" s="1">
        <f t="shared" si="142"/>
        <v>6</v>
      </c>
      <c r="AD180" s="1">
        <f t="shared" si="142"/>
        <v>4</v>
      </c>
      <c r="AE180" s="1">
        <f t="shared" si="142"/>
        <v>9</v>
      </c>
      <c r="AF180" s="1">
        <f t="shared" si="142"/>
        <v>3</v>
      </c>
      <c r="AG180" s="1">
        <f t="shared" si="142"/>
        <v>5</v>
      </c>
      <c r="AH180" s="1">
        <f t="shared" si="142"/>
        <v>2</v>
      </c>
      <c r="AI180" s="1">
        <f t="shared" si="142"/>
        <v>5</v>
      </c>
      <c r="AJ180" s="1">
        <f t="shared" si="142"/>
        <v>8</v>
      </c>
      <c r="AK180" s="1">
        <f t="shared" si="142"/>
        <v>5</v>
      </c>
      <c r="AL180" s="1">
        <f t="shared" si="142"/>
        <v>4</v>
      </c>
      <c r="AM180" s="1">
        <f t="shared" si="142"/>
        <v>9</v>
      </c>
      <c r="AN180" s="1">
        <f t="shared" si="142"/>
        <v>7</v>
      </c>
      <c r="AO180" s="1">
        <f t="shared" si="142"/>
        <v>6</v>
      </c>
      <c r="AP180" s="1">
        <f t="shared" si="142"/>
        <v>5</v>
      </c>
      <c r="AQ180" s="1">
        <f t="shared" si="142"/>
        <v>8</v>
      </c>
      <c r="AR180" s="1">
        <f t="shared" si="142"/>
        <v>6</v>
      </c>
      <c r="AS180" s="1">
        <f t="shared" si="142"/>
        <v>8</v>
      </c>
      <c r="AT180" s="1">
        <f t="shared" si="142"/>
        <v>9</v>
      </c>
      <c r="AU180" s="1">
        <f t="shared" si="142"/>
        <v>9</v>
      </c>
      <c r="AV180" s="1">
        <f t="shared" si="142"/>
        <v>8</v>
      </c>
      <c r="AW180" s="1">
        <f t="shared" si="142"/>
        <v>2</v>
      </c>
      <c r="AX180" s="1">
        <f t="shared" si="142"/>
        <v>6</v>
      </c>
      <c r="AY180" s="1">
        <f t="shared" si="142"/>
        <v>9</v>
      </c>
      <c r="AZ180" s="1">
        <f t="shared" si="142"/>
        <v>7</v>
      </c>
      <c r="BA180" s="1">
        <f t="shared" si="142"/>
        <v>2</v>
      </c>
      <c r="BB180" s="1">
        <f t="shared" si="142"/>
        <v>6</v>
      </c>
      <c r="BC180" s="1">
        <f t="shared" si="142"/>
        <v>1</v>
      </c>
      <c r="BD180" s="1">
        <f t="shared" si="142"/>
        <v>7</v>
      </c>
      <c r="BE180" s="1">
        <f t="shared" si="142"/>
        <v>1</v>
      </c>
      <c r="BF180" s="1">
        <f t="shared" si="142"/>
        <v>9</v>
      </c>
      <c r="BG180" s="1">
        <f t="shared" si="142"/>
        <v>7</v>
      </c>
      <c r="BH180" s="1">
        <f t="shared" si="142"/>
        <v>5</v>
      </c>
      <c r="BI180" s="1">
        <f t="shared" si="142"/>
        <v>7</v>
      </c>
      <c r="BJ180" s="1">
        <f t="shared" si="142"/>
        <v>7</v>
      </c>
    </row>
    <row r="181" spans="1:62">
      <c r="A181" s="1" t="str">
        <f t="shared" si="104"/>
        <v>  4.2) Personal security (Outputs)</v>
      </c>
      <c r="B181" s="1">
        <f t="shared" ref="B181:BJ181" si="143">COUNTIF($B116:$BJ116,B116)</f>
        <v>1</v>
      </c>
      <c r="C181" s="1">
        <f t="shared" si="143"/>
        <v>1</v>
      </c>
      <c r="D181" s="1">
        <f t="shared" si="143"/>
        <v>1</v>
      </c>
      <c r="E181" s="1">
        <f t="shared" si="143"/>
        <v>1</v>
      </c>
      <c r="F181" s="1">
        <f t="shared" si="143"/>
        <v>1</v>
      </c>
      <c r="G181" s="1">
        <f t="shared" si="143"/>
        <v>1</v>
      </c>
      <c r="H181" s="1">
        <f t="shared" si="143"/>
        <v>1</v>
      </c>
      <c r="I181" s="1">
        <f t="shared" si="143"/>
        <v>1</v>
      </c>
      <c r="J181" s="1">
        <f t="shared" si="143"/>
        <v>1</v>
      </c>
      <c r="K181" s="1">
        <f t="shared" si="143"/>
        <v>1</v>
      </c>
      <c r="L181" s="1">
        <f t="shared" si="143"/>
        <v>1</v>
      </c>
      <c r="M181" s="1">
        <f t="shared" si="143"/>
        <v>1</v>
      </c>
      <c r="N181" s="1">
        <f t="shared" si="143"/>
        <v>1</v>
      </c>
      <c r="O181" s="1">
        <f t="shared" si="143"/>
        <v>1</v>
      </c>
      <c r="P181" s="1">
        <f t="shared" si="143"/>
        <v>1</v>
      </c>
      <c r="Q181" s="1">
        <f t="shared" si="143"/>
        <v>1</v>
      </c>
      <c r="R181" s="1">
        <f t="shared" si="143"/>
        <v>1</v>
      </c>
      <c r="S181" s="1">
        <f t="shared" si="143"/>
        <v>1</v>
      </c>
      <c r="T181" s="1">
        <f t="shared" si="143"/>
        <v>1</v>
      </c>
      <c r="U181" s="1">
        <f t="shared" si="143"/>
        <v>1</v>
      </c>
      <c r="V181" s="1">
        <f t="shared" si="143"/>
        <v>1</v>
      </c>
      <c r="W181" s="1">
        <f t="shared" si="143"/>
        <v>1</v>
      </c>
      <c r="X181" s="1">
        <f t="shared" si="143"/>
        <v>1</v>
      </c>
      <c r="Y181" s="1">
        <f t="shared" si="143"/>
        <v>1</v>
      </c>
      <c r="Z181" s="1">
        <f t="shared" si="143"/>
        <v>1</v>
      </c>
      <c r="AA181" s="1">
        <f t="shared" si="143"/>
        <v>1</v>
      </c>
      <c r="AB181" s="1">
        <f t="shared" si="143"/>
        <v>1</v>
      </c>
      <c r="AC181" s="1">
        <f t="shared" si="143"/>
        <v>1</v>
      </c>
      <c r="AD181" s="1">
        <f t="shared" si="143"/>
        <v>1</v>
      </c>
      <c r="AE181" s="1">
        <f t="shared" si="143"/>
        <v>1</v>
      </c>
      <c r="AF181" s="1">
        <f t="shared" si="143"/>
        <v>1</v>
      </c>
      <c r="AG181" s="1">
        <f t="shared" si="143"/>
        <v>1</v>
      </c>
      <c r="AH181" s="1">
        <f t="shared" si="143"/>
        <v>1</v>
      </c>
      <c r="AI181" s="1">
        <f t="shared" si="143"/>
        <v>1</v>
      </c>
      <c r="AJ181" s="1">
        <f t="shared" si="143"/>
        <v>1</v>
      </c>
      <c r="AK181" s="1">
        <f t="shared" si="143"/>
        <v>1</v>
      </c>
      <c r="AL181" s="1">
        <f t="shared" si="143"/>
        <v>1</v>
      </c>
      <c r="AM181" s="1">
        <f t="shared" si="143"/>
        <v>1</v>
      </c>
      <c r="AN181" s="1">
        <f t="shared" si="143"/>
        <v>2</v>
      </c>
      <c r="AO181" s="1">
        <f t="shared" si="143"/>
        <v>1</v>
      </c>
      <c r="AP181" s="1">
        <f t="shared" si="143"/>
        <v>1</v>
      </c>
      <c r="AQ181" s="1">
        <f t="shared" si="143"/>
        <v>1</v>
      </c>
      <c r="AR181" s="1">
        <f t="shared" si="143"/>
        <v>1</v>
      </c>
      <c r="AS181" s="1">
        <f t="shared" si="143"/>
        <v>1</v>
      </c>
      <c r="AT181" s="1">
        <f t="shared" si="143"/>
        <v>1</v>
      </c>
      <c r="AU181" s="1">
        <f t="shared" si="143"/>
        <v>1</v>
      </c>
      <c r="AV181" s="1">
        <f t="shared" si="143"/>
        <v>1</v>
      </c>
      <c r="AW181" s="1">
        <f t="shared" si="143"/>
        <v>1</v>
      </c>
      <c r="AX181" s="1">
        <f t="shared" si="143"/>
        <v>1</v>
      </c>
      <c r="AY181" s="1">
        <f t="shared" si="143"/>
        <v>1</v>
      </c>
      <c r="AZ181" s="1">
        <f t="shared" si="143"/>
        <v>1</v>
      </c>
      <c r="BA181" s="1">
        <f t="shared" si="143"/>
        <v>1</v>
      </c>
      <c r="BB181" s="1">
        <f t="shared" si="143"/>
        <v>1</v>
      </c>
      <c r="BC181" s="1">
        <f t="shared" si="143"/>
        <v>1</v>
      </c>
      <c r="BD181" s="1">
        <f t="shared" si="143"/>
        <v>1</v>
      </c>
      <c r="BE181" s="1">
        <f t="shared" si="143"/>
        <v>1</v>
      </c>
      <c r="BF181" s="1">
        <f t="shared" si="143"/>
        <v>1</v>
      </c>
      <c r="BG181" s="1">
        <f t="shared" si="143"/>
        <v>1</v>
      </c>
      <c r="BH181" s="1">
        <f t="shared" si="143"/>
        <v>1</v>
      </c>
      <c r="BI181" s="1">
        <f t="shared" si="143"/>
        <v>1</v>
      </c>
      <c r="BJ181" s="1">
        <f t="shared" si="143"/>
        <v>2</v>
      </c>
    </row>
    <row r="182" spans="1:62">
      <c r="A182" s="1" t="str">
        <f t="shared" si="104"/>
        <v>   4.2.1) Prevalence of petty crime</v>
      </c>
      <c r="B182" s="1">
        <f t="shared" ref="B182:BJ182" si="144">COUNTIF($B117:$BJ117,B117)</f>
        <v>29</v>
      </c>
      <c r="C182" s="1">
        <f t="shared" si="144"/>
        <v>19</v>
      </c>
      <c r="D182" s="1">
        <f t="shared" si="144"/>
        <v>29</v>
      </c>
      <c r="E182" s="1">
        <f t="shared" si="144"/>
        <v>19</v>
      </c>
      <c r="F182" s="1">
        <f t="shared" si="144"/>
        <v>29</v>
      </c>
      <c r="G182" s="1">
        <f t="shared" si="144"/>
        <v>19</v>
      </c>
      <c r="H182" s="1">
        <f t="shared" si="144"/>
        <v>5</v>
      </c>
      <c r="I182" s="1">
        <f t="shared" si="144"/>
        <v>29</v>
      </c>
      <c r="J182" s="1">
        <f t="shared" si="144"/>
        <v>19</v>
      </c>
      <c r="K182" s="1">
        <f t="shared" si="144"/>
        <v>19</v>
      </c>
      <c r="L182" s="1">
        <f t="shared" si="144"/>
        <v>5</v>
      </c>
      <c r="M182" s="1">
        <f t="shared" si="144"/>
        <v>29</v>
      </c>
      <c r="N182" s="1">
        <f t="shared" si="144"/>
        <v>29</v>
      </c>
      <c r="O182" s="1">
        <f t="shared" si="144"/>
        <v>29</v>
      </c>
      <c r="P182" s="1">
        <f t="shared" si="144"/>
        <v>19</v>
      </c>
      <c r="Q182" s="1">
        <f t="shared" si="144"/>
        <v>19</v>
      </c>
      <c r="R182" s="1">
        <f t="shared" si="144"/>
        <v>29</v>
      </c>
      <c r="S182" s="1">
        <f t="shared" si="144"/>
        <v>29</v>
      </c>
      <c r="T182" s="1">
        <f t="shared" si="144"/>
        <v>6</v>
      </c>
      <c r="U182" s="1">
        <f t="shared" si="144"/>
        <v>29</v>
      </c>
      <c r="V182" s="1">
        <f t="shared" si="144"/>
        <v>19</v>
      </c>
      <c r="W182" s="1">
        <f t="shared" si="144"/>
        <v>6</v>
      </c>
      <c r="X182" s="1">
        <f t="shared" si="144"/>
        <v>29</v>
      </c>
      <c r="Y182" s="1">
        <f t="shared" si="144"/>
        <v>5</v>
      </c>
      <c r="Z182" s="1">
        <f t="shared" si="144"/>
        <v>6</v>
      </c>
      <c r="AA182" s="1">
        <f t="shared" si="144"/>
        <v>19</v>
      </c>
      <c r="AB182" s="1">
        <f t="shared" si="144"/>
        <v>29</v>
      </c>
      <c r="AC182" s="1">
        <f t="shared" si="144"/>
        <v>19</v>
      </c>
      <c r="AD182" s="1">
        <f t="shared" si="144"/>
        <v>19</v>
      </c>
      <c r="AE182" s="1">
        <f t="shared" si="144"/>
        <v>29</v>
      </c>
      <c r="AF182" s="1">
        <f t="shared" si="144"/>
        <v>29</v>
      </c>
      <c r="AG182" s="1">
        <f t="shared" si="144"/>
        <v>19</v>
      </c>
      <c r="AH182" s="1">
        <f t="shared" si="144"/>
        <v>29</v>
      </c>
      <c r="AI182" s="1">
        <f t="shared" si="144"/>
        <v>5</v>
      </c>
      <c r="AJ182" s="1">
        <f t="shared" si="144"/>
        <v>29</v>
      </c>
      <c r="AK182" s="1">
        <f t="shared" si="144"/>
        <v>19</v>
      </c>
      <c r="AL182" s="1">
        <f t="shared" si="144"/>
        <v>6</v>
      </c>
      <c r="AM182" s="1">
        <f t="shared" si="144"/>
        <v>19</v>
      </c>
      <c r="AN182" s="1">
        <f t="shared" si="144"/>
        <v>29</v>
      </c>
      <c r="AO182" s="1">
        <f t="shared" si="144"/>
        <v>29</v>
      </c>
      <c r="AP182" s="1">
        <f t="shared" si="144"/>
        <v>5</v>
      </c>
      <c r="AQ182" s="1">
        <f t="shared" si="144"/>
        <v>6</v>
      </c>
      <c r="AR182" s="1">
        <f t="shared" si="144"/>
        <v>29</v>
      </c>
      <c r="AS182" s="1">
        <f t="shared" si="144"/>
        <v>19</v>
      </c>
      <c r="AT182" s="1">
        <f t="shared" si="144"/>
        <v>29</v>
      </c>
      <c r="AU182" s="1">
        <f t="shared" si="144"/>
        <v>19</v>
      </c>
      <c r="AV182" s="1">
        <f t="shared" si="144"/>
        <v>6</v>
      </c>
      <c r="AW182" s="1">
        <f t="shared" si="144"/>
        <v>29</v>
      </c>
      <c r="AX182" s="1">
        <f t="shared" si="144"/>
        <v>19</v>
      </c>
      <c r="AY182" s="1">
        <f t="shared" si="144"/>
        <v>2</v>
      </c>
      <c r="AZ182" s="1">
        <f t="shared" si="144"/>
        <v>29</v>
      </c>
      <c r="BA182" s="1">
        <f t="shared" si="144"/>
        <v>29</v>
      </c>
      <c r="BB182" s="1">
        <f t="shared" si="144"/>
        <v>29</v>
      </c>
      <c r="BC182" s="1">
        <f t="shared" si="144"/>
        <v>19</v>
      </c>
      <c r="BD182" s="1">
        <f t="shared" si="144"/>
        <v>29</v>
      </c>
      <c r="BE182" s="1">
        <f t="shared" si="144"/>
        <v>2</v>
      </c>
      <c r="BF182" s="1">
        <f t="shared" si="144"/>
        <v>29</v>
      </c>
      <c r="BG182" s="1">
        <f t="shared" si="144"/>
        <v>29</v>
      </c>
      <c r="BH182" s="1">
        <f t="shared" si="144"/>
        <v>19</v>
      </c>
      <c r="BI182" s="1">
        <f t="shared" si="144"/>
        <v>29</v>
      </c>
      <c r="BJ182" s="1">
        <f t="shared" si="144"/>
        <v>29</v>
      </c>
    </row>
    <row r="183" spans="1:62">
      <c r="A183" s="1" t="str">
        <f t="shared" si="104"/>
        <v>   4.2.2) Prevalence of violent crime</v>
      </c>
      <c r="B183" s="1">
        <f t="shared" ref="B183:BJ183" si="145">COUNTIF($B118:$BJ118,B118)</f>
        <v>17</v>
      </c>
      <c r="C183" s="1">
        <f t="shared" si="145"/>
        <v>28</v>
      </c>
      <c r="D183" s="1">
        <f t="shared" si="145"/>
        <v>17</v>
      </c>
      <c r="E183" s="1">
        <f t="shared" si="145"/>
        <v>28</v>
      </c>
      <c r="F183" s="1">
        <f t="shared" si="145"/>
        <v>28</v>
      </c>
      <c r="G183" s="1">
        <f t="shared" si="145"/>
        <v>28</v>
      </c>
      <c r="H183" s="1">
        <f t="shared" si="145"/>
        <v>6</v>
      </c>
      <c r="I183" s="1">
        <f t="shared" si="145"/>
        <v>28</v>
      </c>
      <c r="J183" s="1">
        <f t="shared" si="145"/>
        <v>8</v>
      </c>
      <c r="K183" s="1">
        <f t="shared" si="145"/>
        <v>28</v>
      </c>
      <c r="L183" s="1">
        <f t="shared" si="145"/>
        <v>2</v>
      </c>
      <c r="M183" s="1">
        <f t="shared" si="145"/>
        <v>28</v>
      </c>
      <c r="N183" s="1">
        <f t="shared" si="145"/>
        <v>28</v>
      </c>
      <c r="O183" s="1">
        <f t="shared" si="145"/>
        <v>8</v>
      </c>
      <c r="P183" s="1">
        <f t="shared" si="145"/>
        <v>8</v>
      </c>
      <c r="Q183" s="1">
        <f t="shared" si="145"/>
        <v>8</v>
      </c>
      <c r="R183" s="1">
        <f t="shared" si="145"/>
        <v>17</v>
      </c>
      <c r="S183" s="1">
        <f t="shared" si="145"/>
        <v>28</v>
      </c>
      <c r="T183" s="1">
        <f t="shared" si="145"/>
        <v>8</v>
      </c>
      <c r="U183" s="1">
        <f t="shared" si="145"/>
        <v>17</v>
      </c>
      <c r="V183" s="1">
        <f t="shared" si="145"/>
        <v>8</v>
      </c>
      <c r="W183" s="1">
        <f t="shared" si="145"/>
        <v>28</v>
      </c>
      <c r="X183" s="1">
        <f t="shared" si="145"/>
        <v>17</v>
      </c>
      <c r="Y183" s="1">
        <f t="shared" si="145"/>
        <v>6</v>
      </c>
      <c r="Z183" s="1">
        <f t="shared" si="145"/>
        <v>6</v>
      </c>
      <c r="AA183" s="1">
        <f t="shared" si="145"/>
        <v>28</v>
      </c>
      <c r="AB183" s="1">
        <f t="shared" si="145"/>
        <v>17</v>
      </c>
      <c r="AC183" s="1">
        <f t="shared" si="145"/>
        <v>8</v>
      </c>
      <c r="AD183" s="1">
        <f t="shared" si="145"/>
        <v>28</v>
      </c>
      <c r="AE183" s="1">
        <f t="shared" si="145"/>
        <v>28</v>
      </c>
      <c r="AF183" s="1">
        <f t="shared" si="145"/>
        <v>28</v>
      </c>
      <c r="AG183" s="1">
        <f t="shared" si="145"/>
        <v>28</v>
      </c>
      <c r="AH183" s="1">
        <f t="shared" si="145"/>
        <v>17</v>
      </c>
      <c r="AI183" s="1">
        <f t="shared" si="145"/>
        <v>2</v>
      </c>
      <c r="AJ183" s="1">
        <f t="shared" si="145"/>
        <v>28</v>
      </c>
      <c r="AK183" s="1">
        <f t="shared" si="145"/>
        <v>28</v>
      </c>
      <c r="AL183" s="1">
        <f t="shared" si="145"/>
        <v>28</v>
      </c>
      <c r="AM183" s="1">
        <f t="shared" si="145"/>
        <v>28</v>
      </c>
      <c r="AN183" s="1">
        <f t="shared" si="145"/>
        <v>17</v>
      </c>
      <c r="AO183" s="1">
        <f t="shared" si="145"/>
        <v>28</v>
      </c>
      <c r="AP183" s="1">
        <f t="shared" si="145"/>
        <v>6</v>
      </c>
      <c r="AQ183" s="1">
        <f t="shared" si="145"/>
        <v>6</v>
      </c>
      <c r="AR183" s="1">
        <f t="shared" si="145"/>
        <v>17</v>
      </c>
      <c r="AS183" s="1">
        <f t="shared" si="145"/>
        <v>28</v>
      </c>
      <c r="AT183" s="1">
        <f t="shared" si="145"/>
        <v>28</v>
      </c>
      <c r="AU183" s="1">
        <f t="shared" si="145"/>
        <v>8</v>
      </c>
      <c r="AV183" s="1">
        <f t="shared" si="145"/>
        <v>6</v>
      </c>
      <c r="AW183" s="1">
        <f t="shared" si="145"/>
        <v>17</v>
      </c>
      <c r="AX183" s="1">
        <f t="shared" si="145"/>
        <v>28</v>
      </c>
      <c r="AY183" s="1">
        <f t="shared" si="145"/>
        <v>17</v>
      </c>
      <c r="AZ183" s="1">
        <f t="shared" si="145"/>
        <v>17</v>
      </c>
      <c r="BA183" s="1">
        <f t="shared" si="145"/>
        <v>28</v>
      </c>
      <c r="BB183" s="1">
        <f t="shared" si="145"/>
        <v>28</v>
      </c>
      <c r="BC183" s="1">
        <f t="shared" si="145"/>
        <v>28</v>
      </c>
      <c r="BD183" s="1">
        <f t="shared" si="145"/>
        <v>17</v>
      </c>
      <c r="BE183" s="1">
        <f t="shared" si="145"/>
        <v>17</v>
      </c>
      <c r="BF183" s="1">
        <f t="shared" si="145"/>
        <v>28</v>
      </c>
      <c r="BG183" s="1">
        <f t="shared" si="145"/>
        <v>17</v>
      </c>
      <c r="BH183" s="1">
        <f t="shared" si="145"/>
        <v>28</v>
      </c>
      <c r="BI183" s="1">
        <f t="shared" si="145"/>
        <v>17</v>
      </c>
      <c r="BJ183" s="1">
        <f t="shared" si="145"/>
        <v>17</v>
      </c>
    </row>
    <row r="184" spans="1:62">
      <c r="A184" s="1" t="str">
        <f t="shared" si="104"/>
        <v>   4.2.3) Organised crime</v>
      </c>
      <c r="B184" s="1">
        <f t="shared" ref="B184:BJ184" si="146">COUNTIF($B119:$BJ119,B119)</f>
        <v>27</v>
      </c>
      <c r="C184" s="1">
        <f t="shared" si="146"/>
        <v>5</v>
      </c>
      <c r="D184" s="1">
        <f t="shared" si="146"/>
        <v>17</v>
      </c>
      <c r="E184" s="1">
        <f t="shared" si="146"/>
        <v>17</v>
      </c>
      <c r="F184" s="1">
        <f t="shared" si="146"/>
        <v>27</v>
      </c>
      <c r="G184" s="1">
        <f t="shared" si="146"/>
        <v>17</v>
      </c>
      <c r="H184" s="1">
        <f t="shared" si="146"/>
        <v>10</v>
      </c>
      <c r="I184" s="1">
        <f t="shared" si="146"/>
        <v>27</v>
      </c>
      <c r="J184" s="1">
        <f t="shared" si="146"/>
        <v>17</v>
      </c>
      <c r="K184" s="1">
        <f t="shared" si="146"/>
        <v>17</v>
      </c>
      <c r="L184" s="1">
        <f t="shared" si="146"/>
        <v>2</v>
      </c>
      <c r="M184" s="1">
        <f t="shared" si="146"/>
        <v>10</v>
      </c>
      <c r="N184" s="1">
        <f t="shared" si="146"/>
        <v>27</v>
      </c>
      <c r="O184" s="1">
        <f t="shared" si="146"/>
        <v>27</v>
      </c>
      <c r="P184" s="1">
        <f t="shared" si="146"/>
        <v>17</v>
      </c>
      <c r="Q184" s="1">
        <f t="shared" si="146"/>
        <v>27</v>
      </c>
      <c r="R184" s="1">
        <f t="shared" si="146"/>
        <v>5</v>
      </c>
      <c r="S184" s="1">
        <f t="shared" si="146"/>
        <v>27</v>
      </c>
      <c r="T184" s="1">
        <f t="shared" si="146"/>
        <v>17</v>
      </c>
      <c r="U184" s="1">
        <f t="shared" si="146"/>
        <v>27</v>
      </c>
      <c r="V184" s="1">
        <f t="shared" si="146"/>
        <v>17</v>
      </c>
      <c r="W184" s="1">
        <f t="shared" si="146"/>
        <v>17</v>
      </c>
      <c r="X184" s="1">
        <f t="shared" si="146"/>
        <v>27</v>
      </c>
      <c r="Y184" s="1">
        <f t="shared" si="146"/>
        <v>10</v>
      </c>
      <c r="Z184" s="1">
        <f t="shared" si="146"/>
        <v>10</v>
      </c>
      <c r="AA184" s="1">
        <f t="shared" si="146"/>
        <v>27</v>
      </c>
      <c r="AB184" s="1">
        <f t="shared" si="146"/>
        <v>27</v>
      </c>
      <c r="AC184" s="1">
        <f t="shared" si="146"/>
        <v>10</v>
      </c>
      <c r="AD184" s="1">
        <f t="shared" si="146"/>
        <v>27</v>
      </c>
      <c r="AE184" s="1">
        <f t="shared" si="146"/>
        <v>27</v>
      </c>
      <c r="AF184" s="1">
        <f t="shared" si="146"/>
        <v>27</v>
      </c>
      <c r="AG184" s="1">
        <f t="shared" si="146"/>
        <v>10</v>
      </c>
      <c r="AH184" s="1">
        <f t="shared" si="146"/>
        <v>27</v>
      </c>
      <c r="AI184" s="1">
        <f t="shared" si="146"/>
        <v>2</v>
      </c>
      <c r="AJ184" s="1">
        <f t="shared" si="146"/>
        <v>10</v>
      </c>
      <c r="AK184" s="1">
        <f t="shared" si="146"/>
        <v>10</v>
      </c>
      <c r="AL184" s="1">
        <f t="shared" si="146"/>
        <v>17</v>
      </c>
      <c r="AM184" s="1">
        <f t="shared" si="146"/>
        <v>27</v>
      </c>
      <c r="AN184" s="1">
        <f t="shared" si="146"/>
        <v>17</v>
      </c>
      <c r="AO184" s="1">
        <f t="shared" si="146"/>
        <v>27</v>
      </c>
      <c r="AP184" s="1">
        <f t="shared" si="146"/>
        <v>17</v>
      </c>
      <c r="AQ184" s="1">
        <f t="shared" si="146"/>
        <v>17</v>
      </c>
      <c r="AR184" s="1">
        <f t="shared" si="146"/>
        <v>27</v>
      </c>
      <c r="AS184" s="1">
        <f t="shared" si="146"/>
        <v>10</v>
      </c>
      <c r="AT184" s="1">
        <f t="shared" si="146"/>
        <v>27</v>
      </c>
      <c r="AU184" s="1">
        <f t="shared" si="146"/>
        <v>27</v>
      </c>
      <c r="AV184" s="1">
        <f t="shared" si="146"/>
        <v>17</v>
      </c>
      <c r="AW184" s="1">
        <f t="shared" si="146"/>
        <v>27</v>
      </c>
      <c r="AX184" s="1">
        <f t="shared" si="146"/>
        <v>17</v>
      </c>
      <c r="AY184" s="1">
        <f t="shared" si="146"/>
        <v>5</v>
      </c>
      <c r="AZ184" s="1">
        <f t="shared" si="146"/>
        <v>5</v>
      </c>
      <c r="BA184" s="1">
        <f t="shared" si="146"/>
        <v>27</v>
      </c>
      <c r="BB184" s="1">
        <f t="shared" si="146"/>
        <v>27</v>
      </c>
      <c r="BC184" s="1">
        <f t="shared" si="146"/>
        <v>27</v>
      </c>
      <c r="BD184" s="1">
        <f t="shared" si="146"/>
        <v>17</v>
      </c>
      <c r="BE184" s="1">
        <f t="shared" si="146"/>
        <v>27</v>
      </c>
      <c r="BF184" s="1">
        <f t="shared" si="146"/>
        <v>27</v>
      </c>
      <c r="BG184" s="1">
        <f t="shared" si="146"/>
        <v>5</v>
      </c>
      <c r="BH184" s="1">
        <f t="shared" si="146"/>
        <v>10</v>
      </c>
      <c r="BI184" s="1">
        <f t="shared" si="146"/>
        <v>27</v>
      </c>
      <c r="BJ184" s="1">
        <f t="shared" si="146"/>
        <v>17</v>
      </c>
    </row>
    <row r="185" spans="1:62">
      <c r="A185" s="1" t="str">
        <f t="shared" si="104"/>
        <v>   4.2.4) Level of corruption</v>
      </c>
      <c r="B185" s="1">
        <f t="shared" ref="B185:BJ185" si="147">COUNTIF($B120:$BJ120,B120)</f>
        <v>2</v>
      </c>
      <c r="C185" s="1">
        <f t="shared" si="147"/>
        <v>1</v>
      </c>
      <c r="D185" s="1">
        <f t="shared" si="147"/>
        <v>1</v>
      </c>
      <c r="E185" s="1">
        <f t="shared" si="147"/>
        <v>3</v>
      </c>
      <c r="F185" s="1">
        <f t="shared" si="147"/>
        <v>2</v>
      </c>
      <c r="G185" s="1">
        <f t="shared" si="147"/>
        <v>6</v>
      </c>
      <c r="H185" s="1">
        <f t="shared" si="147"/>
        <v>3</v>
      </c>
      <c r="I185" s="1">
        <f t="shared" si="147"/>
        <v>2</v>
      </c>
      <c r="J185" s="1">
        <f t="shared" si="147"/>
        <v>1</v>
      </c>
      <c r="K185" s="1">
        <f t="shared" si="147"/>
        <v>1</v>
      </c>
      <c r="L185" s="1">
        <f t="shared" si="147"/>
        <v>1</v>
      </c>
      <c r="M185" s="1">
        <f t="shared" si="147"/>
        <v>3</v>
      </c>
      <c r="N185" s="1">
        <f t="shared" si="147"/>
        <v>6</v>
      </c>
      <c r="O185" s="1">
        <f t="shared" si="147"/>
        <v>6</v>
      </c>
      <c r="P185" s="1">
        <f t="shared" si="147"/>
        <v>6</v>
      </c>
      <c r="Q185" s="1">
        <f t="shared" si="147"/>
        <v>1</v>
      </c>
      <c r="R185" s="1">
        <f t="shared" si="147"/>
        <v>2</v>
      </c>
      <c r="S185" s="1">
        <f t="shared" si="147"/>
        <v>2</v>
      </c>
      <c r="T185" s="1">
        <f t="shared" si="147"/>
        <v>1</v>
      </c>
      <c r="U185" s="1">
        <f t="shared" si="147"/>
        <v>2</v>
      </c>
      <c r="V185" s="1">
        <f t="shared" si="147"/>
        <v>2</v>
      </c>
      <c r="W185" s="1">
        <f t="shared" si="147"/>
        <v>3</v>
      </c>
      <c r="X185" s="1">
        <f t="shared" si="147"/>
        <v>2</v>
      </c>
      <c r="Y185" s="1">
        <f t="shared" si="147"/>
        <v>1</v>
      </c>
      <c r="Z185" s="1">
        <f t="shared" si="147"/>
        <v>1</v>
      </c>
      <c r="AA185" s="1">
        <f t="shared" si="147"/>
        <v>1</v>
      </c>
      <c r="AB185" s="1">
        <f t="shared" si="147"/>
        <v>2</v>
      </c>
      <c r="AC185" s="1">
        <f t="shared" si="147"/>
        <v>3</v>
      </c>
      <c r="AD185" s="1">
        <f t="shared" si="147"/>
        <v>2</v>
      </c>
      <c r="AE185" s="1">
        <f t="shared" si="147"/>
        <v>6</v>
      </c>
      <c r="AF185" s="1">
        <f t="shared" si="147"/>
        <v>2</v>
      </c>
      <c r="AG185" s="1">
        <f t="shared" si="147"/>
        <v>3</v>
      </c>
      <c r="AH185" s="1">
        <f t="shared" si="147"/>
        <v>2</v>
      </c>
      <c r="AI185" s="1">
        <f t="shared" si="147"/>
        <v>1</v>
      </c>
      <c r="AJ185" s="1">
        <f t="shared" si="147"/>
        <v>2</v>
      </c>
      <c r="AK185" s="1">
        <f t="shared" si="147"/>
        <v>2</v>
      </c>
      <c r="AL185" s="1">
        <f t="shared" si="147"/>
        <v>6</v>
      </c>
      <c r="AM185" s="1">
        <f t="shared" si="147"/>
        <v>6</v>
      </c>
      <c r="AN185" s="1">
        <f t="shared" si="147"/>
        <v>3</v>
      </c>
      <c r="AO185" s="1">
        <f t="shared" si="147"/>
        <v>1</v>
      </c>
      <c r="AP185" s="1">
        <f t="shared" si="147"/>
        <v>1</v>
      </c>
      <c r="AQ185" s="1">
        <f t="shared" si="147"/>
        <v>6</v>
      </c>
      <c r="AR185" s="1">
        <f t="shared" si="147"/>
        <v>2</v>
      </c>
      <c r="AS185" s="1">
        <f t="shared" si="147"/>
        <v>2</v>
      </c>
      <c r="AT185" s="1">
        <f t="shared" si="147"/>
        <v>6</v>
      </c>
      <c r="AU185" s="1">
        <f t="shared" si="147"/>
        <v>2</v>
      </c>
      <c r="AV185" s="1">
        <f t="shared" si="147"/>
        <v>6</v>
      </c>
      <c r="AW185" s="1">
        <f t="shared" si="147"/>
        <v>1</v>
      </c>
      <c r="AX185" s="1">
        <f t="shared" si="147"/>
        <v>6</v>
      </c>
      <c r="AY185" s="1">
        <f t="shared" si="147"/>
        <v>1</v>
      </c>
      <c r="AZ185" s="1">
        <f t="shared" si="147"/>
        <v>1</v>
      </c>
      <c r="BA185" s="1">
        <f t="shared" si="147"/>
        <v>2</v>
      </c>
      <c r="BB185" s="1">
        <f t="shared" si="147"/>
        <v>2</v>
      </c>
      <c r="BC185" s="1">
        <f t="shared" si="147"/>
        <v>2</v>
      </c>
      <c r="BD185" s="1">
        <f t="shared" si="147"/>
        <v>3</v>
      </c>
      <c r="BE185" s="1">
        <f t="shared" si="147"/>
        <v>1</v>
      </c>
      <c r="BF185" s="1">
        <f t="shared" si="147"/>
        <v>6</v>
      </c>
      <c r="BG185" s="1">
        <f t="shared" si="147"/>
        <v>1</v>
      </c>
      <c r="BH185" s="1">
        <f t="shared" si="147"/>
        <v>1</v>
      </c>
      <c r="BI185" s="1">
        <f t="shared" si="147"/>
        <v>1</v>
      </c>
      <c r="BJ185" s="1">
        <f t="shared" si="147"/>
        <v>3</v>
      </c>
    </row>
    <row r="186" spans="1:62">
      <c r="A186" s="1" t="str">
        <f t="shared" si="104"/>
        <v>   4.2.5) Rate of drug use </v>
      </c>
      <c r="B186" s="1">
        <f t="shared" ref="B186:BJ186" si="148">COUNTIF($B121:$BJ121,B121)</f>
        <v>1</v>
      </c>
      <c r="C186" s="1">
        <f t="shared" si="148"/>
        <v>1</v>
      </c>
      <c r="D186" s="1">
        <f t="shared" si="148"/>
        <v>1</v>
      </c>
      <c r="E186" s="1">
        <f t="shared" si="148"/>
        <v>1</v>
      </c>
      <c r="F186" s="1">
        <f t="shared" si="148"/>
        <v>2</v>
      </c>
      <c r="G186" s="1">
        <f t="shared" si="148"/>
        <v>2</v>
      </c>
      <c r="H186" s="1">
        <f t="shared" si="148"/>
        <v>1</v>
      </c>
      <c r="I186" s="1">
        <f t="shared" si="148"/>
        <v>1</v>
      </c>
      <c r="J186" s="1">
        <f t="shared" si="148"/>
        <v>1</v>
      </c>
      <c r="K186" s="1">
        <f t="shared" si="148"/>
        <v>1</v>
      </c>
      <c r="L186" s="1">
        <f t="shared" si="148"/>
        <v>1</v>
      </c>
      <c r="M186" s="1">
        <f t="shared" si="148"/>
        <v>1</v>
      </c>
      <c r="N186" s="1">
        <f t="shared" si="148"/>
        <v>1</v>
      </c>
      <c r="O186" s="1">
        <f t="shared" si="148"/>
        <v>1</v>
      </c>
      <c r="P186" s="1">
        <f t="shared" si="148"/>
        <v>2</v>
      </c>
      <c r="Q186" s="1">
        <f t="shared" si="148"/>
        <v>1</v>
      </c>
      <c r="R186" s="1">
        <f t="shared" si="148"/>
        <v>1</v>
      </c>
      <c r="S186" s="1">
        <f t="shared" si="148"/>
        <v>1</v>
      </c>
      <c r="T186" s="1">
        <f t="shared" si="148"/>
        <v>1</v>
      </c>
      <c r="U186" s="1">
        <f t="shared" si="148"/>
        <v>1</v>
      </c>
      <c r="V186" s="1">
        <f t="shared" si="148"/>
        <v>1</v>
      </c>
      <c r="W186" s="1">
        <f t="shared" si="148"/>
        <v>1</v>
      </c>
      <c r="X186" s="1">
        <f t="shared" si="148"/>
        <v>2</v>
      </c>
      <c r="Y186" s="1">
        <f t="shared" si="148"/>
        <v>1</v>
      </c>
      <c r="Z186" s="1">
        <f t="shared" si="148"/>
        <v>1</v>
      </c>
      <c r="AA186" s="1">
        <f t="shared" si="148"/>
        <v>1</v>
      </c>
      <c r="AB186" s="1">
        <f t="shared" si="148"/>
        <v>1</v>
      </c>
      <c r="AC186" s="1">
        <f t="shared" si="148"/>
        <v>1</v>
      </c>
      <c r="AD186" s="1">
        <f t="shared" si="148"/>
        <v>1</v>
      </c>
      <c r="AE186" s="1">
        <f t="shared" si="148"/>
        <v>1</v>
      </c>
      <c r="AF186" s="1">
        <f t="shared" si="148"/>
        <v>2</v>
      </c>
      <c r="AG186" s="1">
        <f t="shared" si="148"/>
        <v>1</v>
      </c>
      <c r="AH186" s="1">
        <f t="shared" si="148"/>
        <v>2</v>
      </c>
      <c r="AI186" s="1">
        <f t="shared" si="148"/>
        <v>1</v>
      </c>
      <c r="AJ186" s="1">
        <f t="shared" si="148"/>
        <v>2</v>
      </c>
      <c r="AK186" s="1">
        <f t="shared" si="148"/>
        <v>1</v>
      </c>
      <c r="AL186" s="1">
        <f t="shared" si="148"/>
        <v>2</v>
      </c>
      <c r="AM186" s="1">
        <f t="shared" si="148"/>
        <v>1</v>
      </c>
      <c r="AN186" s="1">
        <f t="shared" si="148"/>
        <v>3</v>
      </c>
      <c r="AO186" s="1">
        <f t="shared" si="148"/>
        <v>1</v>
      </c>
      <c r="AP186" s="1">
        <f t="shared" si="148"/>
        <v>1</v>
      </c>
      <c r="AQ186" s="1">
        <f t="shared" si="148"/>
        <v>2</v>
      </c>
      <c r="AR186" s="1">
        <f t="shared" si="148"/>
        <v>2</v>
      </c>
      <c r="AS186" s="1">
        <f t="shared" si="148"/>
        <v>2</v>
      </c>
      <c r="AT186" s="1">
        <f t="shared" si="148"/>
        <v>1</v>
      </c>
      <c r="AU186" s="1">
        <f t="shared" si="148"/>
        <v>1</v>
      </c>
      <c r="AV186" s="1">
        <f t="shared" si="148"/>
        <v>2</v>
      </c>
      <c r="AW186" s="1">
        <f t="shared" si="148"/>
        <v>1</v>
      </c>
      <c r="AX186" s="1">
        <f t="shared" si="148"/>
        <v>2</v>
      </c>
      <c r="AY186" s="1">
        <f t="shared" si="148"/>
        <v>1</v>
      </c>
      <c r="AZ186" s="1">
        <f t="shared" si="148"/>
        <v>1</v>
      </c>
      <c r="BA186" s="1">
        <f t="shared" si="148"/>
        <v>2</v>
      </c>
      <c r="BB186" s="1">
        <f t="shared" si="148"/>
        <v>1</v>
      </c>
      <c r="BC186" s="1">
        <f t="shared" si="148"/>
        <v>1</v>
      </c>
      <c r="BD186" s="1">
        <f t="shared" si="148"/>
        <v>3</v>
      </c>
      <c r="BE186" s="1">
        <f t="shared" si="148"/>
        <v>1</v>
      </c>
      <c r="BF186" s="1">
        <f t="shared" si="148"/>
        <v>1</v>
      </c>
      <c r="BG186" s="1">
        <f t="shared" si="148"/>
        <v>1</v>
      </c>
      <c r="BH186" s="1">
        <f t="shared" si="148"/>
        <v>1</v>
      </c>
      <c r="BI186" s="1">
        <f t="shared" si="148"/>
        <v>1</v>
      </c>
      <c r="BJ186" s="1">
        <f t="shared" si="148"/>
        <v>3</v>
      </c>
    </row>
    <row r="187" spans="1:62">
      <c r="A187" s="1" t="str">
        <f t="shared" si="104"/>
        <v>   4.2.6) Frequency of terrorist attacks </v>
      </c>
      <c r="B187" s="1">
        <f t="shared" ref="B187:BJ187" si="149">COUNTIF($B122:$BJ122,B122)</f>
        <v>8</v>
      </c>
      <c r="C187" s="1">
        <f t="shared" si="149"/>
        <v>7</v>
      </c>
      <c r="D187" s="1">
        <f t="shared" si="149"/>
        <v>1</v>
      </c>
      <c r="E187" s="1">
        <f t="shared" si="149"/>
        <v>1</v>
      </c>
      <c r="F187" s="1">
        <f t="shared" si="149"/>
        <v>7</v>
      </c>
      <c r="G187" s="1">
        <f t="shared" si="149"/>
        <v>3</v>
      </c>
      <c r="H187" s="1">
        <f t="shared" si="149"/>
        <v>1</v>
      </c>
      <c r="I187" s="1">
        <f t="shared" si="149"/>
        <v>3</v>
      </c>
      <c r="J187" s="1">
        <f t="shared" si="149"/>
        <v>3</v>
      </c>
      <c r="K187" s="1">
        <f t="shared" si="149"/>
        <v>1</v>
      </c>
      <c r="L187" s="1">
        <f t="shared" si="149"/>
        <v>1</v>
      </c>
      <c r="M187" s="1">
        <f t="shared" si="149"/>
        <v>3</v>
      </c>
      <c r="N187" s="1">
        <f t="shared" si="149"/>
        <v>7</v>
      </c>
      <c r="O187" s="1">
        <f t="shared" si="149"/>
        <v>8</v>
      </c>
      <c r="P187" s="1">
        <f t="shared" si="149"/>
        <v>2</v>
      </c>
      <c r="Q187" s="1">
        <f t="shared" si="149"/>
        <v>1</v>
      </c>
      <c r="R187" s="1">
        <f t="shared" si="149"/>
        <v>7</v>
      </c>
      <c r="S187" s="1">
        <f t="shared" si="149"/>
        <v>8</v>
      </c>
      <c r="T187" s="1">
        <f t="shared" si="149"/>
        <v>7</v>
      </c>
      <c r="U187" s="1">
        <f t="shared" si="149"/>
        <v>3</v>
      </c>
      <c r="V187" s="1">
        <f t="shared" si="149"/>
        <v>1</v>
      </c>
      <c r="W187" s="1">
        <f t="shared" si="149"/>
        <v>2</v>
      </c>
      <c r="X187" s="1">
        <f t="shared" si="149"/>
        <v>4</v>
      </c>
      <c r="Y187" s="1">
        <f t="shared" si="149"/>
        <v>3</v>
      </c>
      <c r="Z187" s="1">
        <f t="shared" si="149"/>
        <v>1</v>
      </c>
      <c r="AA187" s="1">
        <f t="shared" si="149"/>
        <v>3</v>
      </c>
      <c r="AB187" s="1">
        <f t="shared" si="149"/>
        <v>7</v>
      </c>
      <c r="AC187" s="1">
        <f t="shared" si="149"/>
        <v>3</v>
      </c>
      <c r="AD187" s="1">
        <f t="shared" si="149"/>
        <v>1</v>
      </c>
      <c r="AE187" s="1">
        <f t="shared" si="149"/>
        <v>3</v>
      </c>
      <c r="AF187" s="1">
        <f t="shared" si="149"/>
        <v>4</v>
      </c>
      <c r="AG187" s="1">
        <f t="shared" si="149"/>
        <v>1</v>
      </c>
      <c r="AH187" s="1">
        <f t="shared" si="149"/>
        <v>8</v>
      </c>
      <c r="AI187" s="1">
        <f t="shared" si="149"/>
        <v>1</v>
      </c>
      <c r="AJ187" s="1">
        <f t="shared" si="149"/>
        <v>3</v>
      </c>
      <c r="AK187" s="1">
        <f t="shared" si="149"/>
        <v>1</v>
      </c>
      <c r="AL187" s="1">
        <f t="shared" si="149"/>
        <v>1</v>
      </c>
      <c r="AM187" s="1">
        <f t="shared" si="149"/>
        <v>2</v>
      </c>
      <c r="AN187" s="1">
        <f t="shared" si="149"/>
        <v>7</v>
      </c>
      <c r="AO187" s="1">
        <f t="shared" si="149"/>
        <v>2</v>
      </c>
      <c r="AP187" s="1">
        <f t="shared" si="149"/>
        <v>7</v>
      </c>
      <c r="AQ187" s="1">
        <f t="shared" si="149"/>
        <v>7</v>
      </c>
      <c r="AR187" s="1">
        <f t="shared" si="149"/>
        <v>1</v>
      </c>
      <c r="AS187" s="1">
        <f t="shared" si="149"/>
        <v>1</v>
      </c>
      <c r="AT187" s="1">
        <f t="shared" si="149"/>
        <v>7</v>
      </c>
      <c r="AU187" s="1">
        <f t="shared" si="149"/>
        <v>1</v>
      </c>
      <c r="AV187" s="1">
        <f t="shared" si="149"/>
        <v>8</v>
      </c>
      <c r="AW187" s="1">
        <f t="shared" si="149"/>
        <v>7</v>
      </c>
      <c r="AX187" s="1">
        <f t="shared" si="149"/>
        <v>7</v>
      </c>
      <c r="AY187" s="1">
        <f t="shared" si="149"/>
        <v>7</v>
      </c>
      <c r="AZ187" s="1">
        <f t="shared" si="149"/>
        <v>4</v>
      </c>
      <c r="BA187" s="1">
        <f t="shared" si="149"/>
        <v>3</v>
      </c>
      <c r="BB187" s="1">
        <f t="shared" si="149"/>
        <v>8</v>
      </c>
      <c r="BC187" s="1">
        <f t="shared" si="149"/>
        <v>1</v>
      </c>
      <c r="BD187" s="1">
        <f t="shared" si="149"/>
        <v>1</v>
      </c>
      <c r="BE187" s="1">
        <f t="shared" si="149"/>
        <v>8</v>
      </c>
      <c r="BF187" s="1">
        <f t="shared" si="149"/>
        <v>3</v>
      </c>
      <c r="BG187" s="1">
        <f t="shared" si="149"/>
        <v>4</v>
      </c>
      <c r="BH187" s="1">
        <f t="shared" si="149"/>
        <v>1</v>
      </c>
      <c r="BI187" s="1">
        <f t="shared" si="149"/>
        <v>8</v>
      </c>
      <c r="BJ187" s="1">
        <f t="shared" si="149"/>
        <v>7</v>
      </c>
    </row>
    <row r="188" spans="1:62">
      <c r="A188" s="1" t="str">
        <f t="shared" si="104"/>
        <v>   4.2.7) Severity of terrorist attacks</v>
      </c>
      <c r="B188" s="1">
        <f t="shared" ref="B188:BJ188" si="150">COUNTIF($B123:$BJ123,B123)</f>
        <v>5</v>
      </c>
      <c r="C188" s="1">
        <f t="shared" si="150"/>
        <v>15</v>
      </c>
      <c r="D188" s="1">
        <f t="shared" si="150"/>
        <v>1</v>
      </c>
      <c r="E188" s="1">
        <f t="shared" si="150"/>
        <v>1</v>
      </c>
      <c r="F188" s="1">
        <f t="shared" si="150"/>
        <v>15</v>
      </c>
      <c r="G188" s="1">
        <f t="shared" si="150"/>
        <v>1</v>
      </c>
      <c r="H188" s="1">
        <f t="shared" si="150"/>
        <v>1</v>
      </c>
      <c r="I188" s="1">
        <f t="shared" si="150"/>
        <v>1</v>
      </c>
      <c r="J188" s="1">
        <f t="shared" si="150"/>
        <v>2</v>
      </c>
      <c r="K188" s="1">
        <f t="shared" si="150"/>
        <v>1</v>
      </c>
      <c r="L188" s="1">
        <f t="shared" si="150"/>
        <v>1</v>
      </c>
      <c r="M188" s="1">
        <f t="shared" si="150"/>
        <v>1</v>
      </c>
      <c r="N188" s="1">
        <f t="shared" si="150"/>
        <v>15</v>
      </c>
      <c r="O188" s="1">
        <f t="shared" si="150"/>
        <v>1</v>
      </c>
      <c r="P188" s="1">
        <f t="shared" si="150"/>
        <v>1</v>
      </c>
      <c r="Q188" s="1">
        <f t="shared" si="150"/>
        <v>1</v>
      </c>
      <c r="R188" s="1">
        <f t="shared" si="150"/>
        <v>5</v>
      </c>
      <c r="S188" s="1">
        <f t="shared" si="150"/>
        <v>1</v>
      </c>
      <c r="T188" s="1">
        <f t="shared" si="150"/>
        <v>15</v>
      </c>
      <c r="U188" s="1">
        <f t="shared" si="150"/>
        <v>1</v>
      </c>
      <c r="V188" s="1">
        <f t="shared" si="150"/>
        <v>1</v>
      </c>
      <c r="W188" s="1">
        <f t="shared" si="150"/>
        <v>1</v>
      </c>
      <c r="X188" s="1">
        <f t="shared" si="150"/>
        <v>1</v>
      </c>
      <c r="Y188" s="1">
        <f t="shared" si="150"/>
        <v>2</v>
      </c>
      <c r="Z188" s="1">
        <f t="shared" si="150"/>
        <v>1</v>
      </c>
      <c r="AA188" s="1">
        <f t="shared" si="150"/>
        <v>15</v>
      </c>
      <c r="AB188" s="1">
        <f t="shared" si="150"/>
        <v>1</v>
      </c>
      <c r="AC188" s="1">
        <f t="shared" si="150"/>
        <v>3</v>
      </c>
      <c r="AD188" s="1">
        <f t="shared" si="150"/>
        <v>1</v>
      </c>
      <c r="AE188" s="1">
        <f t="shared" si="150"/>
        <v>2</v>
      </c>
      <c r="AF188" s="1">
        <f t="shared" si="150"/>
        <v>5</v>
      </c>
      <c r="AG188" s="1">
        <f t="shared" si="150"/>
        <v>1</v>
      </c>
      <c r="AH188" s="1">
        <f t="shared" si="150"/>
        <v>3</v>
      </c>
      <c r="AI188" s="1">
        <f t="shared" si="150"/>
        <v>1</v>
      </c>
      <c r="AJ188" s="1">
        <f t="shared" si="150"/>
        <v>3</v>
      </c>
      <c r="AK188" s="1">
        <f t="shared" si="150"/>
        <v>1</v>
      </c>
      <c r="AL188" s="1">
        <f t="shared" si="150"/>
        <v>1</v>
      </c>
      <c r="AM188" s="1">
        <f t="shared" si="150"/>
        <v>1</v>
      </c>
      <c r="AN188" s="1">
        <f t="shared" si="150"/>
        <v>15</v>
      </c>
      <c r="AO188" s="1">
        <f t="shared" si="150"/>
        <v>1</v>
      </c>
      <c r="AP188" s="1">
        <f t="shared" si="150"/>
        <v>15</v>
      </c>
      <c r="AQ188" s="1">
        <f t="shared" si="150"/>
        <v>15</v>
      </c>
      <c r="AR188" s="1">
        <f t="shared" si="150"/>
        <v>1</v>
      </c>
      <c r="AS188" s="1">
        <f t="shared" si="150"/>
        <v>3</v>
      </c>
      <c r="AT188" s="1">
        <f t="shared" si="150"/>
        <v>15</v>
      </c>
      <c r="AU188" s="1">
        <f t="shared" si="150"/>
        <v>1</v>
      </c>
      <c r="AV188" s="1">
        <f t="shared" si="150"/>
        <v>15</v>
      </c>
      <c r="AW188" s="1">
        <f t="shared" si="150"/>
        <v>5</v>
      </c>
      <c r="AX188" s="1">
        <f t="shared" si="150"/>
        <v>1</v>
      </c>
      <c r="AY188" s="1">
        <f t="shared" si="150"/>
        <v>15</v>
      </c>
      <c r="AZ188" s="1">
        <f t="shared" si="150"/>
        <v>3</v>
      </c>
      <c r="BA188" s="1">
        <f t="shared" si="150"/>
        <v>1</v>
      </c>
      <c r="BB188" s="1">
        <f t="shared" si="150"/>
        <v>5</v>
      </c>
      <c r="BC188" s="1">
        <f t="shared" si="150"/>
        <v>1</v>
      </c>
      <c r="BD188" s="1">
        <f t="shared" si="150"/>
        <v>15</v>
      </c>
      <c r="BE188" s="1">
        <f t="shared" si="150"/>
        <v>3</v>
      </c>
      <c r="BF188" s="1">
        <f t="shared" si="150"/>
        <v>2</v>
      </c>
      <c r="BG188" s="1">
        <f t="shared" si="150"/>
        <v>15</v>
      </c>
      <c r="BH188" s="1">
        <f t="shared" si="150"/>
        <v>1</v>
      </c>
      <c r="BI188" s="1">
        <f t="shared" si="150"/>
        <v>15</v>
      </c>
      <c r="BJ188" s="1">
        <f t="shared" si="150"/>
        <v>15</v>
      </c>
    </row>
    <row r="189" spans="1:62">
      <c r="A189" s="1" t="str">
        <f t="shared" si="104"/>
        <v>   4.2.8) Gender safety</v>
      </c>
      <c r="B189" s="1">
        <f t="shared" ref="B189:BJ189" si="151">COUNTIF($B124:$BJ124,B124)</f>
        <v>1</v>
      </c>
      <c r="C189" s="1">
        <f t="shared" si="151"/>
        <v>1</v>
      </c>
      <c r="D189" s="1">
        <f t="shared" si="151"/>
        <v>1</v>
      </c>
      <c r="E189" s="1">
        <f t="shared" si="151"/>
        <v>1</v>
      </c>
      <c r="F189" s="1">
        <f t="shared" si="151"/>
        <v>2</v>
      </c>
      <c r="G189" s="1">
        <f t="shared" si="151"/>
        <v>2</v>
      </c>
      <c r="H189" s="1">
        <f t="shared" si="151"/>
        <v>1</v>
      </c>
      <c r="I189" s="1">
        <f t="shared" si="151"/>
        <v>1</v>
      </c>
      <c r="J189" s="1">
        <f t="shared" si="151"/>
        <v>1</v>
      </c>
      <c r="K189" s="1">
        <f t="shared" si="151"/>
        <v>1</v>
      </c>
      <c r="L189" s="1">
        <f t="shared" si="151"/>
        <v>1</v>
      </c>
      <c r="M189" s="1">
        <f t="shared" si="151"/>
        <v>1</v>
      </c>
      <c r="N189" s="1">
        <f t="shared" si="151"/>
        <v>1</v>
      </c>
      <c r="O189" s="1">
        <f t="shared" si="151"/>
        <v>1</v>
      </c>
      <c r="P189" s="1">
        <f t="shared" si="151"/>
        <v>2</v>
      </c>
      <c r="Q189" s="1">
        <f t="shared" si="151"/>
        <v>1</v>
      </c>
      <c r="R189" s="1">
        <f t="shared" si="151"/>
        <v>1</v>
      </c>
      <c r="S189" s="1">
        <f t="shared" si="151"/>
        <v>1</v>
      </c>
      <c r="T189" s="1">
        <f t="shared" si="151"/>
        <v>1</v>
      </c>
      <c r="U189" s="1">
        <f t="shared" si="151"/>
        <v>1</v>
      </c>
      <c r="V189" s="1">
        <f t="shared" si="151"/>
        <v>1</v>
      </c>
      <c r="W189" s="1">
        <f t="shared" si="151"/>
        <v>1</v>
      </c>
      <c r="X189" s="1">
        <f t="shared" si="151"/>
        <v>2</v>
      </c>
      <c r="Y189" s="1">
        <f t="shared" si="151"/>
        <v>1</v>
      </c>
      <c r="Z189" s="1">
        <f t="shared" si="151"/>
        <v>1</v>
      </c>
      <c r="AA189" s="1">
        <f t="shared" si="151"/>
        <v>1</v>
      </c>
      <c r="AB189" s="1">
        <f t="shared" si="151"/>
        <v>1</v>
      </c>
      <c r="AC189" s="1">
        <f t="shared" si="151"/>
        <v>1</v>
      </c>
      <c r="AD189" s="1">
        <f t="shared" si="151"/>
        <v>1</v>
      </c>
      <c r="AE189" s="1">
        <f t="shared" si="151"/>
        <v>2</v>
      </c>
      <c r="AF189" s="1">
        <f t="shared" si="151"/>
        <v>2</v>
      </c>
      <c r="AG189" s="1">
        <f t="shared" si="151"/>
        <v>1</v>
      </c>
      <c r="AH189" s="1">
        <f t="shared" si="151"/>
        <v>2</v>
      </c>
      <c r="AI189" s="1">
        <f t="shared" si="151"/>
        <v>1</v>
      </c>
      <c r="AJ189" s="1">
        <f t="shared" si="151"/>
        <v>2</v>
      </c>
      <c r="AK189" s="1">
        <f t="shared" si="151"/>
        <v>1</v>
      </c>
      <c r="AL189" s="1">
        <f t="shared" si="151"/>
        <v>2</v>
      </c>
      <c r="AM189" s="1">
        <f t="shared" si="151"/>
        <v>1</v>
      </c>
      <c r="AN189" s="1">
        <f t="shared" si="151"/>
        <v>3</v>
      </c>
      <c r="AO189" s="1">
        <f t="shared" si="151"/>
        <v>1</v>
      </c>
      <c r="AP189" s="1">
        <f t="shared" si="151"/>
        <v>1</v>
      </c>
      <c r="AQ189" s="1">
        <f t="shared" si="151"/>
        <v>2</v>
      </c>
      <c r="AR189" s="1">
        <f t="shared" si="151"/>
        <v>2</v>
      </c>
      <c r="AS189" s="1">
        <f t="shared" si="151"/>
        <v>2</v>
      </c>
      <c r="AT189" s="1">
        <f t="shared" si="151"/>
        <v>2</v>
      </c>
      <c r="AU189" s="1">
        <f t="shared" si="151"/>
        <v>1</v>
      </c>
      <c r="AV189" s="1">
        <f t="shared" si="151"/>
        <v>2</v>
      </c>
      <c r="AW189" s="1">
        <f t="shared" si="151"/>
        <v>1</v>
      </c>
      <c r="AX189" s="1">
        <f t="shared" si="151"/>
        <v>2</v>
      </c>
      <c r="AY189" s="1">
        <f t="shared" si="151"/>
        <v>1</v>
      </c>
      <c r="AZ189" s="1">
        <f t="shared" si="151"/>
        <v>1</v>
      </c>
      <c r="BA189" s="1">
        <f t="shared" si="151"/>
        <v>2</v>
      </c>
      <c r="BB189" s="1">
        <f t="shared" si="151"/>
        <v>1</v>
      </c>
      <c r="BC189" s="1">
        <f t="shared" si="151"/>
        <v>1</v>
      </c>
      <c r="BD189" s="1">
        <f t="shared" si="151"/>
        <v>3</v>
      </c>
      <c r="BE189" s="1">
        <f t="shared" si="151"/>
        <v>1</v>
      </c>
      <c r="BF189" s="1">
        <f t="shared" si="151"/>
        <v>1</v>
      </c>
      <c r="BG189" s="1">
        <f t="shared" si="151"/>
        <v>1</v>
      </c>
      <c r="BH189" s="1">
        <f t="shared" si="151"/>
        <v>1</v>
      </c>
      <c r="BI189" s="1">
        <f t="shared" si="151"/>
        <v>1</v>
      </c>
      <c r="BJ189" s="1">
        <f t="shared" si="151"/>
        <v>3</v>
      </c>
    </row>
    <row r="190" spans="1:62">
      <c r="A190" s="1" t="str">
        <f t="shared" si="104"/>
        <v>   4.2.9) Perceptions of safety</v>
      </c>
      <c r="B190" s="1">
        <f t="shared" ref="B190:BJ190" si="152">COUNTIF($B125:$BJ125,B125)</f>
        <v>1</v>
      </c>
      <c r="C190" s="1">
        <f t="shared" si="152"/>
        <v>1</v>
      </c>
      <c r="D190" s="1">
        <f t="shared" si="152"/>
        <v>1</v>
      </c>
      <c r="E190" s="1">
        <f t="shared" si="152"/>
        <v>1</v>
      </c>
      <c r="F190" s="1">
        <f t="shared" si="152"/>
        <v>1</v>
      </c>
      <c r="G190" s="1">
        <f t="shared" si="152"/>
        <v>1</v>
      </c>
      <c r="H190" s="1">
        <f t="shared" si="152"/>
        <v>1</v>
      </c>
      <c r="I190" s="1">
        <f t="shared" si="152"/>
        <v>1</v>
      </c>
      <c r="J190" s="1">
        <f t="shared" si="152"/>
        <v>1</v>
      </c>
      <c r="K190" s="1">
        <f t="shared" si="152"/>
        <v>1</v>
      </c>
      <c r="L190" s="1">
        <f t="shared" si="152"/>
        <v>1</v>
      </c>
      <c r="M190" s="1">
        <f t="shared" si="152"/>
        <v>1</v>
      </c>
      <c r="N190" s="1">
        <f t="shared" si="152"/>
        <v>1</v>
      </c>
      <c r="O190" s="1">
        <f t="shared" si="152"/>
        <v>1</v>
      </c>
      <c r="P190" s="1">
        <f t="shared" si="152"/>
        <v>1</v>
      </c>
      <c r="Q190" s="1">
        <f t="shared" si="152"/>
        <v>1</v>
      </c>
      <c r="R190" s="1">
        <f t="shared" si="152"/>
        <v>1</v>
      </c>
      <c r="S190" s="1">
        <f t="shared" si="152"/>
        <v>1</v>
      </c>
      <c r="T190" s="1">
        <f t="shared" si="152"/>
        <v>1</v>
      </c>
      <c r="U190" s="1">
        <f t="shared" si="152"/>
        <v>1</v>
      </c>
      <c r="V190" s="1">
        <f t="shared" si="152"/>
        <v>1</v>
      </c>
      <c r="W190" s="1">
        <f t="shared" si="152"/>
        <v>1</v>
      </c>
      <c r="X190" s="1">
        <f t="shared" si="152"/>
        <v>2</v>
      </c>
      <c r="Y190" s="1">
        <f t="shared" si="152"/>
        <v>1</v>
      </c>
      <c r="Z190" s="1">
        <f t="shared" si="152"/>
        <v>1</v>
      </c>
      <c r="AA190" s="1">
        <f t="shared" si="152"/>
        <v>1</v>
      </c>
      <c r="AB190" s="1">
        <f t="shared" si="152"/>
        <v>1</v>
      </c>
      <c r="AC190" s="1">
        <f t="shared" si="152"/>
        <v>1</v>
      </c>
      <c r="AD190" s="1">
        <f t="shared" si="152"/>
        <v>1</v>
      </c>
      <c r="AE190" s="1">
        <f t="shared" si="152"/>
        <v>1</v>
      </c>
      <c r="AF190" s="1">
        <f t="shared" si="152"/>
        <v>1</v>
      </c>
      <c r="AG190" s="1">
        <f t="shared" si="152"/>
        <v>1</v>
      </c>
      <c r="AH190" s="1">
        <f t="shared" si="152"/>
        <v>1</v>
      </c>
      <c r="AI190" s="1">
        <f t="shared" si="152"/>
        <v>1</v>
      </c>
      <c r="AJ190" s="1">
        <f t="shared" si="152"/>
        <v>1</v>
      </c>
      <c r="AK190" s="1">
        <f t="shared" si="152"/>
        <v>1</v>
      </c>
      <c r="AL190" s="1">
        <f t="shared" si="152"/>
        <v>1</v>
      </c>
      <c r="AM190" s="1">
        <f t="shared" si="152"/>
        <v>1</v>
      </c>
      <c r="AN190" s="1">
        <f t="shared" si="152"/>
        <v>3</v>
      </c>
      <c r="AO190" s="1">
        <f t="shared" si="152"/>
        <v>1</v>
      </c>
      <c r="AP190" s="1">
        <f t="shared" si="152"/>
        <v>1</v>
      </c>
      <c r="AQ190" s="1">
        <f t="shared" si="152"/>
        <v>1</v>
      </c>
      <c r="AR190" s="1">
        <f t="shared" si="152"/>
        <v>2</v>
      </c>
      <c r="AS190" s="1">
        <f t="shared" si="152"/>
        <v>1</v>
      </c>
      <c r="AT190" s="1">
        <f t="shared" si="152"/>
        <v>1</v>
      </c>
      <c r="AU190" s="1">
        <f t="shared" si="152"/>
        <v>1</v>
      </c>
      <c r="AV190" s="1">
        <f t="shared" si="152"/>
        <v>1</v>
      </c>
      <c r="AW190" s="1">
        <f t="shared" si="152"/>
        <v>1</v>
      </c>
      <c r="AX190" s="1">
        <f t="shared" si="152"/>
        <v>1</v>
      </c>
      <c r="AY190" s="1">
        <f t="shared" si="152"/>
        <v>1</v>
      </c>
      <c r="AZ190" s="1">
        <f t="shared" si="152"/>
        <v>1</v>
      </c>
      <c r="BA190" s="1">
        <f t="shared" si="152"/>
        <v>1</v>
      </c>
      <c r="BB190" s="1">
        <f t="shared" si="152"/>
        <v>1</v>
      </c>
      <c r="BC190" s="1">
        <f t="shared" si="152"/>
        <v>1</v>
      </c>
      <c r="BD190" s="1">
        <f t="shared" si="152"/>
        <v>3</v>
      </c>
      <c r="BE190" s="1">
        <f t="shared" si="152"/>
        <v>1</v>
      </c>
      <c r="BF190" s="1">
        <f t="shared" si="152"/>
        <v>1</v>
      </c>
      <c r="BG190" s="1">
        <f t="shared" si="152"/>
        <v>1</v>
      </c>
      <c r="BH190" s="1">
        <f t="shared" si="152"/>
        <v>1</v>
      </c>
      <c r="BI190" s="1">
        <f t="shared" si="152"/>
        <v>1</v>
      </c>
      <c r="BJ190" s="1">
        <f t="shared" si="152"/>
        <v>3</v>
      </c>
    </row>
    <row r="191" spans="1:62">
      <c r="A191" s="1" t="str">
        <f t="shared" si="104"/>
        <v>   4.2.10) Threat of terrorism</v>
      </c>
      <c r="B191" s="1">
        <f t="shared" ref="B191:BJ191" si="153">COUNTIF($B126:$BJ126,B126)</f>
        <v>31</v>
      </c>
      <c r="C191" s="1">
        <f t="shared" si="153"/>
        <v>31</v>
      </c>
      <c r="D191" s="1">
        <f t="shared" si="153"/>
        <v>31</v>
      </c>
      <c r="E191" s="1">
        <f t="shared" si="153"/>
        <v>6</v>
      </c>
      <c r="F191" s="1">
        <f t="shared" si="153"/>
        <v>31</v>
      </c>
      <c r="G191" s="1">
        <f t="shared" si="153"/>
        <v>10</v>
      </c>
      <c r="H191" s="1">
        <f t="shared" si="153"/>
        <v>13</v>
      </c>
      <c r="I191" s="1">
        <f t="shared" si="153"/>
        <v>13</v>
      </c>
      <c r="J191" s="1">
        <f t="shared" si="153"/>
        <v>31</v>
      </c>
      <c r="K191" s="1">
        <f t="shared" si="153"/>
        <v>13</v>
      </c>
      <c r="L191" s="1">
        <f t="shared" si="153"/>
        <v>31</v>
      </c>
      <c r="M191" s="1">
        <f t="shared" si="153"/>
        <v>13</v>
      </c>
      <c r="N191" s="1">
        <f t="shared" si="153"/>
        <v>31</v>
      </c>
      <c r="O191" s="1">
        <f t="shared" si="153"/>
        <v>31</v>
      </c>
      <c r="P191" s="1">
        <f t="shared" si="153"/>
        <v>13</v>
      </c>
      <c r="Q191" s="1">
        <f t="shared" si="153"/>
        <v>6</v>
      </c>
      <c r="R191" s="1">
        <f t="shared" si="153"/>
        <v>31</v>
      </c>
      <c r="S191" s="1">
        <f t="shared" si="153"/>
        <v>31</v>
      </c>
      <c r="T191" s="1">
        <f t="shared" si="153"/>
        <v>31</v>
      </c>
      <c r="U191" s="1">
        <f t="shared" si="153"/>
        <v>10</v>
      </c>
      <c r="V191" s="1">
        <f t="shared" si="153"/>
        <v>6</v>
      </c>
      <c r="W191" s="1">
        <f t="shared" si="153"/>
        <v>6</v>
      </c>
      <c r="X191" s="1">
        <f t="shared" si="153"/>
        <v>6</v>
      </c>
      <c r="Y191" s="1">
        <f t="shared" si="153"/>
        <v>31</v>
      </c>
      <c r="Z191" s="1">
        <f t="shared" si="153"/>
        <v>1</v>
      </c>
      <c r="AA191" s="1">
        <f t="shared" si="153"/>
        <v>31</v>
      </c>
      <c r="AB191" s="1">
        <f t="shared" si="153"/>
        <v>31</v>
      </c>
      <c r="AC191" s="1">
        <f t="shared" si="153"/>
        <v>31</v>
      </c>
      <c r="AD191" s="1">
        <f t="shared" si="153"/>
        <v>13</v>
      </c>
      <c r="AE191" s="1">
        <f t="shared" si="153"/>
        <v>31</v>
      </c>
      <c r="AF191" s="1">
        <f t="shared" si="153"/>
        <v>31</v>
      </c>
      <c r="AG191" s="1">
        <f t="shared" si="153"/>
        <v>13</v>
      </c>
      <c r="AH191" s="1">
        <f t="shared" si="153"/>
        <v>10</v>
      </c>
      <c r="AI191" s="1">
        <f t="shared" si="153"/>
        <v>13</v>
      </c>
      <c r="AJ191" s="1">
        <f t="shared" si="153"/>
        <v>10</v>
      </c>
      <c r="AK191" s="1">
        <f t="shared" si="153"/>
        <v>13</v>
      </c>
      <c r="AL191" s="1">
        <f t="shared" si="153"/>
        <v>13</v>
      </c>
      <c r="AM191" s="1">
        <f t="shared" si="153"/>
        <v>13</v>
      </c>
      <c r="AN191" s="1">
        <f t="shared" si="153"/>
        <v>31</v>
      </c>
      <c r="AO191" s="1">
        <f t="shared" si="153"/>
        <v>6</v>
      </c>
      <c r="AP191" s="1">
        <f t="shared" si="153"/>
        <v>31</v>
      </c>
      <c r="AQ191" s="1">
        <f t="shared" si="153"/>
        <v>31</v>
      </c>
      <c r="AR191" s="1">
        <f t="shared" si="153"/>
        <v>13</v>
      </c>
      <c r="AS191" s="1">
        <f t="shared" si="153"/>
        <v>31</v>
      </c>
      <c r="AT191" s="1">
        <f t="shared" si="153"/>
        <v>31</v>
      </c>
      <c r="AU191" s="1">
        <f t="shared" si="153"/>
        <v>10</v>
      </c>
      <c r="AV191" s="1">
        <f t="shared" si="153"/>
        <v>31</v>
      </c>
      <c r="AW191" s="1">
        <f t="shared" si="153"/>
        <v>31</v>
      </c>
      <c r="AX191" s="1">
        <f t="shared" si="153"/>
        <v>10</v>
      </c>
      <c r="AY191" s="1">
        <f t="shared" si="153"/>
        <v>31</v>
      </c>
      <c r="AZ191" s="1">
        <f t="shared" si="153"/>
        <v>10</v>
      </c>
      <c r="BA191" s="1">
        <f t="shared" si="153"/>
        <v>31</v>
      </c>
      <c r="BB191" s="1">
        <f t="shared" si="153"/>
        <v>10</v>
      </c>
      <c r="BC191" s="1">
        <f t="shared" si="153"/>
        <v>13</v>
      </c>
      <c r="BD191" s="1">
        <f t="shared" si="153"/>
        <v>31</v>
      </c>
      <c r="BE191" s="1">
        <f t="shared" si="153"/>
        <v>10</v>
      </c>
      <c r="BF191" s="1">
        <f t="shared" si="153"/>
        <v>31</v>
      </c>
      <c r="BG191" s="1">
        <f t="shared" si="153"/>
        <v>10</v>
      </c>
      <c r="BH191" s="1">
        <f t="shared" si="153"/>
        <v>31</v>
      </c>
      <c r="BI191" s="1">
        <f t="shared" si="153"/>
        <v>31</v>
      </c>
      <c r="BJ191" s="1">
        <f t="shared" si="153"/>
        <v>31</v>
      </c>
    </row>
    <row r="192" spans="1:62">
      <c r="A192" s="1" t="str">
        <f t="shared" si="104"/>
        <v>   4.2.11) Threat of military conflict</v>
      </c>
      <c r="B192" s="1">
        <f t="shared" ref="B192:BJ192" si="154">COUNTIF($B127:$BJ127,B127)</f>
        <v>37</v>
      </c>
      <c r="C192" s="1">
        <f t="shared" si="154"/>
        <v>37</v>
      </c>
      <c r="D192" s="1">
        <f t="shared" si="154"/>
        <v>18</v>
      </c>
      <c r="E192" s="1">
        <f t="shared" si="154"/>
        <v>5</v>
      </c>
      <c r="F192" s="1">
        <f t="shared" si="154"/>
        <v>37</v>
      </c>
      <c r="G192" s="1">
        <f t="shared" si="154"/>
        <v>18</v>
      </c>
      <c r="H192" s="1">
        <f t="shared" si="154"/>
        <v>5</v>
      </c>
      <c r="I192" s="1">
        <f t="shared" si="154"/>
        <v>37</v>
      </c>
      <c r="J192" s="1">
        <f t="shared" si="154"/>
        <v>37</v>
      </c>
      <c r="K192" s="1">
        <f t="shared" si="154"/>
        <v>18</v>
      </c>
      <c r="L192" s="1">
        <f t="shared" si="154"/>
        <v>18</v>
      </c>
      <c r="M192" s="1">
        <f t="shared" si="154"/>
        <v>18</v>
      </c>
      <c r="N192" s="1">
        <f t="shared" si="154"/>
        <v>37</v>
      </c>
      <c r="O192" s="1">
        <f t="shared" si="154"/>
        <v>37</v>
      </c>
      <c r="P192" s="1">
        <f t="shared" si="154"/>
        <v>18</v>
      </c>
      <c r="Q192" s="1">
        <f t="shared" si="154"/>
        <v>18</v>
      </c>
      <c r="R192" s="1">
        <f t="shared" si="154"/>
        <v>18</v>
      </c>
      <c r="S192" s="1">
        <f t="shared" si="154"/>
        <v>37</v>
      </c>
      <c r="T192" s="1">
        <f t="shared" si="154"/>
        <v>18</v>
      </c>
      <c r="U192" s="1">
        <f t="shared" si="154"/>
        <v>37</v>
      </c>
      <c r="V192" s="1">
        <f t="shared" si="154"/>
        <v>5</v>
      </c>
      <c r="W192" s="1">
        <f t="shared" si="154"/>
        <v>37</v>
      </c>
      <c r="X192" s="1">
        <f t="shared" si="154"/>
        <v>18</v>
      </c>
      <c r="Y192" s="1">
        <f t="shared" si="154"/>
        <v>37</v>
      </c>
      <c r="Z192" s="1">
        <f t="shared" si="154"/>
        <v>1</v>
      </c>
      <c r="AA192" s="1">
        <f t="shared" si="154"/>
        <v>37</v>
      </c>
      <c r="AB192" s="1">
        <f t="shared" si="154"/>
        <v>18</v>
      </c>
      <c r="AC192" s="1">
        <f t="shared" si="154"/>
        <v>18</v>
      </c>
      <c r="AD192" s="1">
        <f t="shared" si="154"/>
        <v>37</v>
      </c>
      <c r="AE192" s="1">
        <f t="shared" si="154"/>
        <v>37</v>
      </c>
      <c r="AF192" s="1">
        <f t="shared" si="154"/>
        <v>37</v>
      </c>
      <c r="AG192" s="1">
        <f t="shared" si="154"/>
        <v>18</v>
      </c>
      <c r="AH192" s="1">
        <f t="shared" si="154"/>
        <v>37</v>
      </c>
      <c r="AI192" s="1">
        <f t="shared" si="154"/>
        <v>37</v>
      </c>
      <c r="AJ192" s="1">
        <f t="shared" si="154"/>
        <v>37</v>
      </c>
      <c r="AK192" s="1">
        <f t="shared" si="154"/>
        <v>5</v>
      </c>
      <c r="AL192" s="1">
        <f t="shared" si="154"/>
        <v>18</v>
      </c>
      <c r="AM192" s="1">
        <f t="shared" si="154"/>
        <v>37</v>
      </c>
      <c r="AN192" s="1">
        <f t="shared" si="154"/>
        <v>37</v>
      </c>
      <c r="AO192" s="1">
        <f t="shared" si="154"/>
        <v>37</v>
      </c>
      <c r="AP192" s="1">
        <f t="shared" si="154"/>
        <v>37</v>
      </c>
      <c r="AQ192" s="1">
        <f t="shared" si="154"/>
        <v>37</v>
      </c>
      <c r="AR192" s="1">
        <f t="shared" si="154"/>
        <v>18</v>
      </c>
      <c r="AS192" s="1">
        <f t="shared" si="154"/>
        <v>37</v>
      </c>
      <c r="AT192" s="1">
        <f t="shared" si="154"/>
        <v>37</v>
      </c>
      <c r="AU192" s="1">
        <f t="shared" si="154"/>
        <v>37</v>
      </c>
      <c r="AV192" s="1">
        <f t="shared" si="154"/>
        <v>37</v>
      </c>
      <c r="AW192" s="1">
        <f t="shared" si="154"/>
        <v>5</v>
      </c>
      <c r="AX192" s="1">
        <f t="shared" si="154"/>
        <v>18</v>
      </c>
      <c r="AY192" s="1">
        <f t="shared" si="154"/>
        <v>37</v>
      </c>
      <c r="AZ192" s="1">
        <f t="shared" si="154"/>
        <v>37</v>
      </c>
      <c r="BA192" s="1">
        <f t="shared" si="154"/>
        <v>37</v>
      </c>
      <c r="BB192" s="1">
        <f t="shared" si="154"/>
        <v>37</v>
      </c>
      <c r="BC192" s="1">
        <f t="shared" si="154"/>
        <v>18</v>
      </c>
      <c r="BD192" s="1">
        <f t="shared" si="154"/>
        <v>37</v>
      </c>
      <c r="BE192" s="1">
        <f t="shared" si="154"/>
        <v>37</v>
      </c>
      <c r="BF192" s="1">
        <f t="shared" si="154"/>
        <v>37</v>
      </c>
      <c r="BG192" s="1">
        <f t="shared" si="154"/>
        <v>37</v>
      </c>
      <c r="BH192" s="1">
        <f t="shared" si="154"/>
        <v>18</v>
      </c>
      <c r="BI192" s="1">
        <f t="shared" si="154"/>
        <v>37</v>
      </c>
      <c r="BJ192" s="1">
        <f t="shared" si="154"/>
        <v>37</v>
      </c>
    </row>
    <row r="193" spans="1:62">
      <c r="A193" s="1" t="str">
        <f t="shared" si="104"/>
        <v>   4.2.12) Threat of civil unrest</v>
      </c>
      <c r="B193" s="1">
        <f t="shared" ref="B193:BJ193" si="155">COUNTIF($B128:$BJ128,B128)</f>
        <v>24</v>
      </c>
      <c r="C193" s="1">
        <f t="shared" si="155"/>
        <v>24</v>
      </c>
      <c r="D193" s="1">
        <f t="shared" si="155"/>
        <v>20</v>
      </c>
      <c r="E193" s="1">
        <f t="shared" si="155"/>
        <v>5</v>
      </c>
      <c r="F193" s="1">
        <f t="shared" si="155"/>
        <v>24</v>
      </c>
      <c r="G193" s="1">
        <f t="shared" si="155"/>
        <v>24</v>
      </c>
      <c r="H193" s="1">
        <f t="shared" si="155"/>
        <v>20</v>
      </c>
      <c r="I193" s="1">
        <f t="shared" si="155"/>
        <v>12</v>
      </c>
      <c r="J193" s="1">
        <f t="shared" si="155"/>
        <v>20</v>
      </c>
      <c r="K193" s="1">
        <f t="shared" si="155"/>
        <v>5</v>
      </c>
      <c r="L193" s="1">
        <f t="shared" si="155"/>
        <v>5</v>
      </c>
      <c r="M193" s="1">
        <f t="shared" si="155"/>
        <v>20</v>
      </c>
      <c r="N193" s="1">
        <f t="shared" si="155"/>
        <v>24</v>
      </c>
      <c r="O193" s="1">
        <f t="shared" si="155"/>
        <v>24</v>
      </c>
      <c r="P193" s="1">
        <f t="shared" si="155"/>
        <v>20</v>
      </c>
      <c r="Q193" s="1">
        <f t="shared" si="155"/>
        <v>20</v>
      </c>
      <c r="R193" s="1">
        <f t="shared" si="155"/>
        <v>24</v>
      </c>
      <c r="S193" s="1">
        <f t="shared" si="155"/>
        <v>24</v>
      </c>
      <c r="T193" s="1">
        <f t="shared" si="155"/>
        <v>20</v>
      </c>
      <c r="U193" s="1">
        <f t="shared" si="155"/>
        <v>20</v>
      </c>
      <c r="V193" s="1">
        <f t="shared" si="155"/>
        <v>20</v>
      </c>
      <c r="W193" s="1">
        <f t="shared" si="155"/>
        <v>5</v>
      </c>
      <c r="X193" s="1">
        <f t="shared" si="155"/>
        <v>24</v>
      </c>
      <c r="Y193" s="1">
        <f t="shared" si="155"/>
        <v>24</v>
      </c>
      <c r="Z193" s="1">
        <f t="shared" si="155"/>
        <v>5</v>
      </c>
      <c r="AA193" s="1">
        <f t="shared" si="155"/>
        <v>12</v>
      </c>
      <c r="AB193" s="1">
        <f t="shared" si="155"/>
        <v>24</v>
      </c>
      <c r="AC193" s="1">
        <f t="shared" si="155"/>
        <v>20</v>
      </c>
      <c r="AD193" s="1">
        <f t="shared" si="155"/>
        <v>24</v>
      </c>
      <c r="AE193" s="1">
        <f t="shared" si="155"/>
        <v>20</v>
      </c>
      <c r="AF193" s="1">
        <f t="shared" si="155"/>
        <v>24</v>
      </c>
      <c r="AG193" s="1">
        <f t="shared" si="155"/>
        <v>20</v>
      </c>
      <c r="AH193" s="1">
        <f t="shared" si="155"/>
        <v>12</v>
      </c>
      <c r="AI193" s="1">
        <f t="shared" si="155"/>
        <v>20</v>
      </c>
      <c r="AJ193" s="1">
        <f t="shared" si="155"/>
        <v>24</v>
      </c>
      <c r="AK193" s="1">
        <f t="shared" si="155"/>
        <v>20</v>
      </c>
      <c r="AL193" s="1">
        <f t="shared" si="155"/>
        <v>24</v>
      </c>
      <c r="AM193" s="1">
        <f t="shared" si="155"/>
        <v>20</v>
      </c>
      <c r="AN193" s="1">
        <f t="shared" si="155"/>
        <v>12</v>
      </c>
      <c r="AO193" s="1">
        <f t="shared" si="155"/>
        <v>24</v>
      </c>
      <c r="AP193" s="1">
        <f t="shared" si="155"/>
        <v>20</v>
      </c>
      <c r="AQ193" s="1">
        <f t="shared" si="155"/>
        <v>20</v>
      </c>
      <c r="AR193" s="1">
        <f t="shared" si="155"/>
        <v>24</v>
      </c>
      <c r="AS193" s="1">
        <f t="shared" si="155"/>
        <v>24</v>
      </c>
      <c r="AT193" s="1">
        <f t="shared" si="155"/>
        <v>24</v>
      </c>
      <c r="AU193" s="1">
        <f t="shared" si="155"/>
        <v>24</v>
      </c>
      <c r="AV193" s="1">
        <f t="shared" si="155"/>
        <v>20</v>
      </c>
      <c r="AW193" s="1">
        <f t="shared" si="155"/>
        <v>24</v>
      </c>
      <c r="AX193" s="1">
        <f t="shared" si="155"/>
        <v>20</v>
      </c>
      <c r="AY193" s="1">
        <f t="shared" si="155"/>
        <v>12</v>
      </c>
      <c r="AZ193" s="1">
        <f t="shared" si="155"/>
        <v>12</v>
      </c>
      <c r="BA193" s="1">
        <f t="shared" si="155"/>
        <v>12</v>
      </c>
      <c r="BB193" s="1">
        <f t="shared" si="155"/>
        <v>24</v>
      </c>
      <c r="BC193" s="1">
        <f t="shared" si="155"/>
        <v>24</v>
      </c>
      <c r="BD193" s="1">
        <f t="shared" si="155"/>
        <v>12</v>
      </c>
      <c r="BE193" s="1">
        <f t="shared" si="155"/>
        <v>12</v>
      </c>
      <c r="BF193" s="1">
        <f t="shared" si="155"/>
        <v>24</v>
      </c>
      <c r="BG193" s="1">
        <f t="shared" si="155"/>
        <v>12</v>
      </c>
      <c r="BH193" s="1">
        <f t="shared" si="155"/>
        <v>20</v>
      </c>
      <c r="BI193" s="1">
        <f t="shared" si="155"/>
        <v>12</v>
      </c>
      <c r="BJ193" s="1">
        <f t="shared" si="155"/>
        <v>12</v>
      </c>
    </row>
    <row r="197" spans="1:62">
      <c r="A197" s="1" t="str">
        <f t="shared" ref="A197:A228" si="156">A132</f>
        <v>OVERALL SCORE</v>
      </c>
      <c r="B197" s="1" t="str">
        <f t="shared" ref="B197:AG197" si="157">IF(B132&gt;1,"=","")&amp;B67</f>
        <v>28</v>
      </c>
      <c r="C197" s="1" t="str">
        <f t="shared" si="157"/>
        <v>6</v>
      </c>
      <c r="D197" s="1" t="str">
        <f t="shared" si="157"/>
        <v>33</v>
      </c>
      <c r="E197" s="1" t="str">
        <f t="shared" si="157"/>
        <v>49</v>
      </c>
      <c r="F197" s="1" t="str">
        <f t="shared" si="157"/>
        <v>13</v>
      </c>
      <c r="G197" s="1" t="str">
        <f t="shared" si="157"/>
        <v>32</v>
      </c>
      <c r="H197" s="1" t="str">
        <f t="shared" si="157"/>
        <v>46</v>
      </c>
      <c r="I197" s="1" t="str">
        <f t="shared" si="157"/>
        <v>17</v>
      </c>
      <c r="J197" s="1" t="str">
        <f t="shared" si="157"/>
        <v>29</v>
      </c>
      <c r="K197" s="1" t="str">
        <f t="shared" si="157"/>
        <v>51</v>
      </c>
      <c r="L197" s="1" t="str">
        <f t="shared" si="157"/>
        <v>54</v>
      </c>
      <c r="M197" s="1" t="str">
        <f t="shared" si="157"/>
        <v>48</v>
      </c>
      <c r="N197" s="1" t="str">
        <f t="shared" si="157"/>
        <v>19</v>
      </c>
      <c r="O197" s="1" t="str">
        <f t="shared" si="157"/>
        <v>26</v>
      </c>
      <c r="P197" s="1" t="str">
        <f t="shared" si="157"/>
        <v>43</v>
      </c>
      <c r="Q197" s="1" t="str">
        <f t="shared" si="157"/>
        <v>58</v>
      </c>
      <c r="R197" s="1" t="str">
        <f t="shared" si="157"/>
        <v>30</v>
      </c>
      <c r="S197" s="1" t="str">
        <f t="shared" si="157"/>
        <v>11</v>
      </c>
      <c r="T197" s="1" t="str">
        <f t="shared" si="157"/>
        <v>56</v>
      </c>
      <c r="U197" s="1" t="str">
        <f t="shared" si="157"/>
        <v>9</v>
      </c>
      <c r="V197" s="1" t="str">
        <f t="shared" si="157"/>
        <v>40</v>
      </c>
      <c r="W197" s="1" t="str">
        <f t="shared" si="157"/>
        <v>57</v>
      </c>
      <c r="X197" s="1" t="str">
        <f t="shared" si="157"/>
        <v>42</v>
      </c>
      <c r="Y197" s="1" t="str">
        <f t="shared" si="157"/>
        <v>50</v>
      </c>
      <c r="Z197" s="1" t="str">
        <f t="shared" si="157"/>
        <v>60</v>
      </c>
      <c r="AA197" s="1" t="str">
        <f t="shared" si="157"/>
        <v>31</v>
      </c>
      <c r="AB197" s="1" t="str">
        <f t="shared" si="157"/>
        <v>36</v>
      </c>
      <c r="AC197" s="1" t="str">
        <f t="shared" si="157"/>
        <v>44</v>
      </c>
      <c r="AD197" s="1" t="str">
        <f t="shared" si="157"/>
        <v>20</v>
      </c>
      <c r="AE197" s="1" t="str">
        <f t="shared" si="157"/>
        <v>18</v>
      </c>
      <c r="AF197" s="1" t="str">
        <f t="shared" si="157"/>
        <v>12</v>
      </c>
      <c r="AG197" s="1" t="str">
        <f t="shared" si="157"/>
        <v>55</v>
      </c>
      <c r="AH197" s="1" t="str">
        <f t="shared" ref="AH197:BJ197" si="158">IF(AH132&gt;1,"=","")&amp;AH67</f>
        <v>5</v>
      </c>
      <c r="AI197" s="1" t="str">
        <f t="shared" si="158"/>
        <v>39</v>
      </c>
      <c r="AJ197" s="1" t="str">
        <f t="shared" si="158"/>
        <v>25</v>
      </c>
      <c r="AK197" s="1" t="str">
        <f t="shared" si="158"/>
        <v>41</v>
      </c>
      <c r="AL197" s="1" t="str">
        <f t="shared" si="158"/>
        <v>45</v>
      </c>
      <c r="AM197" s="1" t="str">
        <f t="shared" si="158"/>
        <v>21</v>
      </c>
      <c r="AN197" s="1" t="str">
        <f t="shared" si="158"/>
        <v>=3</v>
      </c>
      <c r="AO197" s="1" t="str">
        <f t="shared" si="158"/>
        <v>24</v>
      </c>
      <c r="AP197" s="1" t="str">
        <f t="shared" si="158"/>
        <v>53</v>
      </c>
      <c r="AQ197" s="1" t="str">
        <f t="shared" si="158"/>
        <v>37</v>
      </c>
      <c r="AR197" s="1" t="str">
        <f t="shared" si="158"/>
        <v>47</v>
      </c>
      <c r="AS197" s="1" t="str">
        <f t="shared" si="158"/>
        <v>27</v>
      </c>
      <c r="AT197" s="1" t="str">
        <f t="shared" si="158"/>
        <v>15</v>
      </c>
      <c r="AU197" s="1" t="str">
        <f t="shared" si="158"/>
        <v>35</v>
      </c>
      <c r="AV197" s="1" t="str">
        <f t="shared" si="158"/>
        <v>38</v>
      </c>
      <c r="AW197" s="1" t="str">
        <f t="shared" si="158"/>
        <v>14</v>
      </c>
      <c r="AX197" s="1" t="str">
        <f t="shared" si="158"/>
        <v>34</v>
      </c>
      <c r="AY197" s="1" t="str">
        <f t="shared" si="158"/>
        <v>2</v>
      </c>
      <c r="AZ197" s="1" t="str">
        <f t="shared" si="158"/>
        <v>8</v>
      </c>
      <c r="BA197" s="1" t="str">
        <f t="shared" si="158"/>
        <v>7</v>
      </c>
      <c r="BB197" s="1" t="str">
        <f t="shared" si="158"/>
        <v>22</v>
      </c>
      <c r="BC197" s="1" t="str">
        <f t="shared" si="158"/>
        <v>52</v>
      </c>
      <c r="BD197" s="1" t="str">
        <f t="shared" si="158"/>
        <v>1</v>
      </c>
      <c r="BE197" s="1" t="str">
        <f t="shared" si="158"/>
        <v>4</v>
      </c>
      <c r="BF197" s="1" t="str">
        <f t="shared" si="158"/>
        <v>23</v>
      </c>
      <c r="BG197" s="1" t="str">
        <f t="shared" si="158"/>
        <v>16</v>
      </c>
      <c r="BH197" s="1" t="str">
        <f t="shared" si="158"/>
        <v>59</v>
      </c>
      <c r="BI197" s="1" t="str">
        <f t="shared" si="158"/>
        <v>10</v>
      </c>
      <c r="BJ197" s="1" t="str">
        <f t="shared" si="158"/>
        <v>=3</v>
      </c>
    </row>
    <row r="198" spans="1:62">
      <c r="A198" s="1" t="str">
        <f t="shared" si="156"/>
        <v> 1) DIGITAL SECURITY</v>
      </c>
      <c r="B198" s="1" t="str">
        <f t="shared" ref="B198:AG198" si="159">IF(B133&gt;1,"=","")&amp;B68</f>
        <v>28</v>
      </c>
      <c r="C198" s="1" t="str">
        <f t="shared" si="159"/>
        <v>4</v>
      </c>
      <c r="D198" s="1" t="str">
        <f t="shared" si="159"/>
        <v>35</v>
      </c>
      <c r="E198" s="1" t="str">
        <f t="shared" si="159"/>
        <v>52</v>
      </c>
      <c r="F198" s="1" t="str">
        <f t="shared" si="159"/>
        <v>=21</v>
      </c>
      <c r="G198" s="1" t="str">
        <f t="shared" si="159"/>
        <v>33</v>
      </c>
      <c r="H198" s="1" t="str">
        <f t="shared" si="159"/>
        <v>45</v>
      </c>
      <c r="I198" s="1" t="str">
        <f t="shared" si="159"/>
        <v>17</v>
      </c>
      <c r="J198" s="1" t="str">
        <f t="shared" si="159"/>
        <v>23</v>
      </c>
      <c r="K198" s="1" t="str">
        <f t="shared" si="159"/>
        <v>53</v>
      </c>
      <c r="L198" s="1" t="str">
        <f t="shared" si="159"/>
        <v>43</v>
      </c>
      <c r="M198" s="1" t="str">
        <f t="shared" si="159"/>
        <v>44</v>
      </c>
      <c r="N198" s="1" t="str">
        <f t="shared" si="159"/>
        <v>3</v>
      </c>
      <c r="O198" s="1" t="str">
        <f t="shared" si="159"/>
        <v>10</v>
      </c>
      <c r="P198" s="1" t="str">
        <f t="shared" si="159"/>
        <v>=46</v>
      </c>
      <c r="Q198" s="1" t="str">
        <f t="shared" si="159"/>
        <v>58</v>
      </c>
      <c r="R198" s="1" t="str">
        <f t="shared" si="159"/>
        <v>34</v>
      </c>
      <c r="S198" s="1" t="str">
        <f t="shared" si="159"/>
        <v>16</v>
      </c>
      <c r="T198" s="1" t="str">
        <f t="shared" si="159"/>
        <v>56</v>
      </c>
      <c r="U198" s="1" t="str">
        <f t="shared" si="159"/>
        <v>5</v>
      </c>
      <c r="V198" s="1" t="str">
        <f t="shared" si="159"/>
        <v>36</v>
      </c>
      <c r="W198" s="1" t="str">
        <f t="shared" si="159"/>
        <v>60</v>
      </c>
      <c r="X198" s="1" t="str">
        <f t="shared" si="159"/>
        <v>32</v>
      </c>
      <c r="Y198" s="1" t="str">
        <f t="shared" si="159"/>
        <v>29</v>
      </c>
      <c r="Z198" s="1" t="str">
        <f t="shared" si="159"/>
        <v>54</v>
      </c>
      <c r="AA198" s="1" t="str">
        <f t="shared" si="159"/>
        <v>30</v>
      </c>
      <c r="AB198" s="1" t="str">
        <f t="shared" si="159"/>
        <v>40</v>
      </c>
      <c r="AC198" s="1" t="str">
        <f t="shared" si="159"/>
        <v>41</v>
      </c>
      <c r="AD198" s="1" t="str">
        <f t="shared" si="159"/>
        <v>24</v>
      </c>
      <c r="AE198" s="1" t="str">
        <f t="shared" si="159"/>
        <v>=7</v>
      </c>
      <c r="AF198" s="1" t="str">
        <f t="shared" si="159"/>
        <v>=21</v>
      </c>
      <c r="AG198" s="1" t="str">
        <f t="shared" si="159"/>
        <v>59</v>
      </c>
      <c r="AH198" s="1" t="str">
        <f t="shared" ref="AH198:BJ198" si="160">IF(AH133&gt;1,"=","")&amp;AH68</f>
        <v>11</v>
      </c>
      <c r="AI198" s="1" t="str">
        <f t="shared" si="160"/>
        <v>48</v>
      </c>
      <c r="AJ198" s="1" t="str">
        <f t="shared" si="160"/>
        <v>25</v>
      </c>
      <c r="AK198" s="1" t="str">
        <f t="shared" si="160"/>
        <v>51</v>
      </c>
      <c r="AL198" s="1" t="str">
        <f t="shared" si="160"/>
        <v>=46</v>
      </c>
      <c r="AM198" s="1" t="str">
        <f t="shared" si="160"/>
        <v>9</v>
      </c>
      <c r="AN198" s="1" t="str">
        <f t="shared" si="160"/>
        <v>=14</v>
      </c>
      <c r="AO198" s="1" t="str">
        <f t="shared" si="160"/>
        <v>27</v>
      </c>
      <c r="AP198" s="1" t="str">
        <f t="shared" si="160"/>
        <v>38</v>
      </c>
      <c r="AQ198" s="1" t="str">
        <f t="shared" si="160"/>
        <v>=49</v>
      </c>
      <c r="AR198" s="1" t="str">
        <f t="shared" si="160"/>
        <v>37</v>
      </c>
      <c r="AS198" s="1" t="str">
        <f t="shared" si="160"/>
        <v>26</v>
      </c>
      <c r="AT198" s="1" t="str">
        <f t="shared" si="160"/>
        <v>=7</v>
      </c>
      <c r="AU198" s="1" t="str">
        <f t="shared" si="160"/>
        <v>39</v>
      </c>
      <c r="AV198" s="1" t="str">
        <f t="shared" si="160"/>
        <v>=49</v>
      </c>
      <c r="AW198" s="1" t="str">
        <f t="shared" si="160"/>
        <v>18</v>
      </c>
      <c r="AX198" s="1" t="str">
        <f t="shared" si="160"/>
        <v>42</v>
      </c>
      <c r="AY198" s="1" t="str">
        <f t="shared" si="160"/>
        <v>2</v>
      </c>
      <c r="AZ198" s="1" t="str">
        <f t="shared" si="160"/>
        <v>13</v>
      </c>
      <c r="BA198" s="1" t="str">
        <f t="shared" si="160"/>
        <v>12</v>
      </c>
      <c r="BB198" s="1" t="str">
        <f t="shared" si="160"/>
        <v>31</v>
      </c>
      <c r="BC198" s="1" t="str">
        <f t="shared" si="160"/>
        <v>55</v>
      </c>
      <c r="BD198" s="1" t="str">
        <f t="shared" si="160"/>
        <v>1</v>
      </c>
      <c r="BE198" s="1" t="str">
        <f t="shared" si="160"/>
        <v>6</v>
      </c>
      <c r="BF198" s="1" t="str">
        <f t="shared" si="160"/>
        <v>15</v>
      </c>
      <c r="BG198" s="1" t="str">
        <f t="shared" si="160"/>
        <v>20</v>
      </c>
      <c r="BH198" s="1" t="str">
        <f t="shared" si="160"/>
        <v>57</v>
      </c>
      <c r="BI198" s="1" t="str">
        <f t="shared" si="160"/>
        <v>19</v>
      </c>
      <c r="BJ198" s="1" t="str">
        <f t="shared" si="160"/>
        <v>=14</v>
      </c>
    </row>
    <row r="199" spans="1:62">
      <c r="A199" s="1" t="str">
        <f t="shared" si="156"/>
        <v>  1.1) Digital security (Inputs)</v>
      </c>
      <c r="B199" s="1" t="str">
        <f t="shared" ref="B199:AG199" si="161">IF(B134&gt;1,"=","")&amp;B69</f>
        <v>=29</v>
      </c>
      <c r="C199" s="1" t="str">
        <f t="shared" si="161"/>
        <v>=15</v>
      </c>
      <c r="D199" s="1" t="str">
        <f t="shared" si="161"/>
        <v>=33</v>
      </c>
      <c r="E199" s="1" t="str">
        <f t="shared" si="161"/>
        <v>=54</v>
      </c>
      <c r="F199" s="1" t="str">
        <f t="shared" si="161"/>
        <v>=15</v>
      </c>
      <c r="G199" s="1" t="str">
        <f t="shared" si="161"/>
        <v>=29</v>
      </c>
      <c r="H199" s="1" t="str">
        <f t="shared" si="161"/>
        <v>=49</v>
      </c>
      <c r="I199" s="1" t="str">
        <f t="shared" si="161"/>
        <v>=15</v>
      </c>
      <c r="J199" s="1" t="str">
        <f t="shared" si="161"/>
        <v>=27</v>
      </c>
      <c r="K199" s="1" t="str">
        <f t="shared" si="161"/>
        <v>=56</v>
      </c>
      <c r="L199" s="1" t="str">
        <f t="shared" si="161"/>
        <v>=45</v>
      </c>
      <c r="M199" s="1" t="str">
        <f t="shared" si="161"/>
        <v>=45</v>
      </c>
      <c r="N199" s="1" t="str">
        <f t="shared" si="161"/>
        <v>=1</v>
      </c>
      <c r="O199" s="1" t="str">
        <f t="shared" si="161"/>
        <v>=1</v>
      </c>
      <c r="P199" s="1" t="str">
        <f t="shared" si="161"/>
        <v>=29</v>
      </c>
      <c r="Q199" s="1" t="str">
        <f t="shared" si="161"/>
        <v>=56</v>
      </c>
      <c r="R199" s="1" t="str">
        <f t="shared" si="161"/>
        <v>=35</v>
      </c>
      <c r="S199" s="1" t="str">
        <f t="shared" si="161"/>
        <v>=15</v>
      </c>
      <c r="T199" s="1" t="str">
        <f t="shared" si="161"/>
        <v>58</v>
      </c>
      <c r="U199" s="1" t="str">
        <f t="shared" si="161"/>
        <v>=1</v>
      </c>
      <c r="V199" s="1" t="str">
        <f t="shared" si="161"/>
        <v>=33</v>
      </c>
      <c r="W199" s="1" t="str">
        <f t="shared" si="161"/>
        <v>=54</v>
      </c>
      <c r="X199" s="1" t="str">
        <f t="shared" si="161"/>
        <v>=35</v>
      </c>
      <c r="Y199" s="1" t="str">
        <f t="shared" si="161"/>
        <v>=35</v>
      </c>
      <c r="Z199" s="1" t="str">
        <f t="shared" si="161"/>
        <v>52</v>
      </c>
      <c r="AA199" s="1" t="str">
        <f t="shared" si="161"/>
        <v>=35</v>
      </c>
      <c r="AB199" s="1" t="str">
        <f t="shared" si="161"/>
        <v>=49</v>
      </c>
      <c r="AC199" s="1" t="str">
        <f t="shared" si="161"/>
        <v>=35</v>
      </c>
      <c r="AD199" s="1" t="str">
        <f t="shared" si="161"/>
        <v>=15</v>
      </c>
      <c r="AE199" s="1" t="str">
        <f t="shared" si="161"/>
        <v>=1</v>
      </c>
      <c r="AF199" s="1" t="str">
        <f t="shared" si="161"/>
        <v>=15</v>
      </c>
      <c r="AG199" s="1" t="str">
        <f t="shared" si="161"/>
        <v>53</v>
      </c>
      <c r="AH199" s="1" t="str">
        <f t="shared" ref="AH199:BJ199" si="162">IF(AH134&gt;1,"=","")&amp;AH69</f>
        <v>=8</v>
      </c>
      <c r="AI199" s="1" t="str">
        <f t="shared" si="162"/>
        <v>=35</v>
      </c>
      <c r="AJ199" s="1" t="str">
        <f t="shared" si="162"/>
        <v>14</v>
      </c>
      <c r="AK199" s="1" t="str">
        <f t="shared" si="162"/>
        <v>=49</v>
      </c>
      <c r="AL199" s="1" t="str">
        <f t="shared" si="162"/>
        <v>=29</v>
      </c>
      <c r="AM199" s="1" t="str">
        <f t="shared" si="162"/>
        <v>=1</v>
      </c>
      <c r="AN199" s="1" t="str">
        <f t="shared" si="162"/>
        <v>=22</v>
      </c>
      <c r="AO199" s="1" t="str">
        <f t="shared" si="162"/>
        <v>25</v>
      </c>
      <c r="AP199" s="1" t="str">
        <f t="shared" si="162"/>
        <v>=43</v>
      </c>
      <c r="AQ199" s="1" t="str">
        <f t="shared" si="162"/>
        <v>=47</v>
      </c>
      <c r="AR199" s="1" t="str">
        <f t="shared" si="162"/>
        <v>=43</v>
      </c>
      <c r="AS199" s="1" t="str">
        <f t="shared" si="162"/>
        <v>=15</v>
      </c>
      <c r="AT199" s="1" t="str">
        <f t="shared" si="162"/>
        <v>=1</v>
      </c>
      <c r="AU199" s="1" t="str">
        <f t="shared" si="162"/>
        <v>=35</v>
      </c>
      <c r="AV199" s="1" t="str">
        <f t="shared" si="162"/>
        <v>=47</v>
      </c>
      <c r="AW199" s="1" t="str">
        <f t="shared" si="162"/>
        <v>=27</v>
      </c>
      <c r="AX199" s="1" t="str">
        <f t="shared" si="162"/>
        <v>42</v>
      </c>
      <c r="AY199" s="1" t="str">
        <f t="shared" si="162"/>
        <v>7</v>
      </c>
      <c r="AZ199" s="1" t="str">
        <f t="shared" si="162"/>
        <v>=23</v>
      </c>
      <c r="BA199" s="1" t="str">
        <f t="shared" si="162"/>
        <v>=8</v>
      </c>
      <c r="BB199" s="1" t="str">
        <f t="shared" si="162"/>
        <v>=12</v>
      </c>
      <c r="BC199" s="1" t="str">
        <f t="shared" si="162"/>
        <v>=59</v>
      </c>
      <c r="BD199" s="1" t="str">
        <f t="shared" si="162"/>
        <v>=12</v>
      </c>
      <c r="BE199" s="1" t="str">
        <f t="shared" si="162"/>
        <v>=8</v>
      </c>
      <c r="BF199" s="1" t="str">
        <f t="shared" si="162"/>
        <v>=8</v>
      </c>
      <c r="BG199" s="1" t="str">
        <f t="shared" si="162"/>
        <v>26</v>
      </c>
      <c r="BH199" s="1" t="str">
        <f t="shared" si="162"/>
        <v>=59</v>
      </c>
      <c r="BI199" s="1" t="str">
        <f t="shared" si="162"/>
        <v>=23</v>
      </c>
      <c r="BJ199" s="1" t="str">
        <f t="shared" si="162"/>
        <v>=22</v>
      </c>
    </row>
    <row r="200" spans="1:62">
      <c r="A200" s="1" t="str">
        <f t="shared" si="156"/>
        <v>   1.1.1) Privacy policy</v>
      </c>
      <c r="B200" s="1" t="str">
        <f t="shared" ref="B200:AG200" si="163">IF(B135&gt;1,"=","")&amp;B70</f>
        <v>=33</v>
      </c>
      <c r="C200" s="1" t="str">
        <f t="shared" si="163"/>
        <v>=1</v>
      </c>
      <c r="D200" s="1" t="str">
        <f t="shared" si="163"/>
        <v>=21</v>
      </c>
      <c r="E200" s="1" t="str">
        <f t="shared" si="163"/>
        <v>=46</v>
      </c>
      <c r="F200" s="1" t="str">
        <f t="shared" si="163"/>
        <v>=1</v>
      </c>
      <c r="G200" s="1" t="str">
        <f t="shared" si="163"/>
        <v>=21</v>
      </c>
      <c r="H200" s="1" t="str">
        <f t="shared" si="163"/>
        <v>=33</v>
      </c>
      <c r="I200" s="1" t="str">
        <f t="shared" si="163"/>
        <v>=1</v>
      </c>
      <c r="J200" s="1" t="str">
        <f t="shared" si="163"/>
        <v>=21</v>
      </c>
      <c r="K200" s="1" t="str">
        <f t="shared" si="163"/>
        <v>=33</v>
      </c>
      <c r="L200" s="1" t="str">
        <f t="shared" si="163"/>
        <v>=46</v>
      </c>
      <c r="M200" s="1" t="str">
        <f t="shared" si="163"/>
        <v>=21</v>
      </c>
      <c r="N200" s="1" t="str">
        <f t="shared" si="163"/>
        <v>=1</v>
      </c>
      <c r="O200" s="1" t="str">
        <f t="shared" si="163"/>
        <v>=1</v>
      </c>
      <c r="P200" s="1" t="str">
        <f t="shared" si="163"/>
        <v>=46</v>
      </c>
      <c r="Q200" s="1" t="str">
        <f t="shared" si="163"/>
        <v>=57</v>
      </c>
      <c r="R200" s="1" t="str">
        <f t="shared" si="163"/>
        <v>=33</v>
      </c>
      <c r="S200" s="1" t="str">
        <f t="shared" si="163"/>
        <v>=1</v>
      </c>
      <c r="T200" s="1" t="str">
        <f t="shared" si="163"/>
        <v>=46</v>
      </c>
      <c r="U200" s="1" t="str">
        <f t="shared" si="163"/>
        <v>=1</v>
      </c>
      <c r="V200" s="1" t="str">
        <f t="shared" si="163"/>
        <v>=46</v>
      </c>
      <c r="W200" s="1" t="str">
        <f t="shared" si="163"/>
        <v>=46</v>
      </c>
      <c r="X200" s="1" t="str">
        <f t="shared" si="163"/>
        <v>=33</v>
      </c>
      <c r="Y200" s="1" t="str">
        <f t="shared" si="163"/>
        <v>=33</v>
      </c>
      <c r="Z200" s="1" t="str">
        <f t="shared" si="163"/>
        <v>=46</v>
      </c>
      <c r="AA200" s="1" t="str">
        <f t="shared" si="163"/>
        <v>=33</v>
      </c>
      <c r="AB200" s="1" t="str">
        <f t="shared" si="163"/>
        <v>=33</v>
      </c>
      <c r="AC200" s="1" t="str">
        <f t="shared" si="163"/>
        <v>=33</v>
      </c>
      <c r="AD200" s="1" t="str">
        <f t="shared" si="163"/>
        <v>=1</v>
      </c>
      <c r="AE200" s="1" t="str">
        <f t="shared" si="163"/>
        <v>=1</v>
      </c>
      <c r="AF200" s="1" t="str">
        <f t="shared" si="163"/>
        <v>=1</v>
      </c>
      <c r="AG200" s="1" t="str">
        <f t="shared" si="163"/>
        <v>=46</v>
      </c>
      <c r="AH200" s="1" t="str">
        <f t="shared" ref="AH200:BJ200" si="164">IF(AH135&gt;1,"=","")&amp;AH70</f>
        <v>=1</v>
      </c>
      <c r="AI200" s="1" t="str">
        <f t="shared" si="164"/>
        <v>=33</v>
      </c>
      <c r="AJ200" s="1" t="str">
        <f t="shared" si="164"/>
        <v>=1</v>
      </c>
      <c r="AK200" s="1" t="str">
        <f t="shared" si="164"/>
        <v>=33</v>
      </c>
      <c r="AL200" s="1" t="str">
        <f t="shared" si="164"/>
        <v>=46</v>
      </c>
      <c r="AM200" s="1" t="str">
        <f t="shared" si="164"/>
        <v>=1</v>
      </c>
      <c r="AN200" s="1" t="str">
        <f t="shared" si="164"/>
        <v>=21</v>
      </c>
      <c r="AO200" s="1" t="str">
        <f t="shared" si="164"/>
        <v>=1</v>
      </c>
      <c r="AP200" s="1" t="str">
        <f t="shared" si="164"/>
        <v>=57</v>
      </c>
      <c r="AQ200" s="1" t="str">
        <f t="shared" si="164"/>
        <v>=46</v>
      </c>
      <c r="AR200" s="1" t="str">
        <f t="shared" si="164"/>
        <v>=33</v>
      </c>
      <c r="AS200" s="1" t="str">
        <f t="shared" si="164"/>
        <v>=1</v>
      </c>
      <c r="AT200" s="1" t="str">
        <f t="shared" si="164"/>
        <v>=1</v>
      </c>
      <c r="AU200" s="1" t="str">
        <f t="shared" si="164"/>
        <v>=33</v>
      </c>
      <c r="AV200" s="1" t="str">
        <f t="shared" si="164"/>
        <v>=46</v>
      </c>
      <c r="AW200" s="1" t="str">
        <f t="shared" si="164"/>
        <v>=1</v>
      </c>
      <c r="AX200" s="1" t="str">
        <f t="shared" si="164"/>
        <v>=21</v>
      </c>
      <c r="AY200" s="1" t="str">
        <f t="shared" si="164"/>
        <v>=21</v>
      </c>
      <c r="AZ200" s="1" t="str">
        <f t="shared" si="164"/>
        <v>=21</v>
      </c>
      <c r="BA200" s="1" t="str">
        <f t="shared" si="164"/>
        <v>=1</v>
      </c>
      <c r="BB200" s="1" t="str">
        <f t="shared" si="164"/>
        <v>=21</v>
      </c>
      <c r="BC200" s="1" t="str">
        <f t="shared" si="164"/>
        <v>=57</v>
      </c>
      <c r="BD200" s="1" t="str">
        <f t="shared" si="164"/>
        <v>=21</v>
      </c>
      <c r="BE200" s="1" t="str">
        <f t="shared" si="164"/>
        <v>=1</v>
      </c>
      <c r="BF200" s="1" t="str">
        <f t="shared" si="164"/>
        <v>=1</v>
      </c>
      <c r="BG200" s="1" t="str">
        <f t="shared" si="164"/>
        <v>=21</v>
      </c>
      <c r="BH200" s="1" t="str">
        <f t="shared" si="164"/>
        <v>=57</v>
      </c>
      <c r="BI200" s="1" t="str">
        <f t="shared" si="164"/>
        <v>=21</v>
      </c>
      <c r="BJ200" s="1" t="str">
        <f t="shared" si="164"/>
        <v>=21</v>
      </c>
    </row>
    <row r="201" spans="1:62">
      <c r="A201" s="1" t="str">
        <f t="shared" si="156"/>
        <v>   1.1.2) Citizen awareness of digital threats</v>
      </c>
      <c r="B201" s="1" t="str">
        <f t="shared" ref="B201:AG201" si="165">IF(B136&gt;1,"=","")&amp;B71</f>
        <v>=24</v>
      </c>
      <c r="C201" s="1" t="str">
        <f t="shared" si="165"/>
        <v>=1</v>
      </c>
      <c r="D201" s="1" t="str">
        <f t="shared" si="165"/>
        <v>=1</v>
      </c>
      <c r="E201" s="1" t="str">
        <f t="shared" si="165"/>
        <v>=24</v>
      </c>
      <c r="F201" s="1" t="str">
        <f t="shared" si="165"/>
        <v>=1</v>
      </c>
      <c r="G201" s="1" t="str">
        <f t="shared" si="165"/>
        <v>=24</v>
      </c>
      <c r="H201" s="1" t="str">
        <f t="shared" si="165"/>
        <v>=48</v>
      </c>
      <c r="I201" s="1" t="str">
        <f t="shared" si="165"/>
        <v>=1</v>
      </c>
      <c r="J201" s="1" t="str">
        <f t="shared" si="165"/>
        <v>=48</v>
      </c>
      <c r="K201" s="1" t="str">
        <f t="shared" si="165"/>
        <v>=48</v>
      </c>
      <c r="L201" s="1" t="str">
        <f t="shared" si="165"/>
        <v>=48</v>
      </c>
      <c r="M201" s="1" t="str">
        <f t="shared" si="165"/>
        <v>=48</v>
      </c>
      <c r="N201" s="1" t="str">
        <f t="shared" si="165"/>
        <v>=1</v>
      </c>
      <c r="O201" s="1" t="str">
        <f t="shared" si="165"/>
        <v>=1</v>
      </c>
      <c r="P201" s="1" t="str">
        <f t="shared" si="165"/>
        <v>=24</v>
      </c>
      <c r="Q201" s="1" t="str">
        <f t="shared" si="165"/>
        <v>=48</v>
      </c>
      <c r="R201" s="1" t="str">
        <f t="shared" si="165"/>
        <v>=24</v>
      </c>
      <c r="S201" s="1" t="str">
        <f t="shared" si="165"/>
        <v>=1</v>
      </c>
      <c r="T201" s="1" t="str">
        <f t="shared" si="165"/>
        <v>=48</v>
      </c>
      <c r="U201" s="1" t="str">
        <f t="shared" si="165"/>
        <v>=1</v>
      </c>
      <c r="V201" s="1" t="str">
        <f t="shared" si="165"/>
        <v>=1</v>
      </c>
      <c r="W201" s="1" t="str">
        <f t="shared" si="165"/>
        <v>=24</v>
      </c>
      <c r="X201" s="1" t="str">
        <f t="shared" si="165"/>
        <v>=24</v>
      </c>
      <c r="Y201" s="1" t="str">
        <f t="shared" si="165"/>
        <v>=24</v>
      </c>
      <c r="Z201" s="1" t="str">
        <f t="shared" si="165"/>
        <v>=1</v>
      </c>
      <c r="AA201" s="1" t="str">
        <f t="shared" si="165"/>
        <v>=24</v>
      </c>
      <c r="AB201" s="1" t="str">
        <f t="shared" si="165"/>
        <v>=48</v>
      </c>
      <c r="AC201" s="1" t="str">
        <f t="shared" si="165"/>
        <v>=24</v>
      </c>
      <c r="AD201" s="1" t="str">
        <f t="shared" si="165"/>
        <v>=1</v>
      </c>
      <c r="AE201" s="1" t="str">
        <f t="shared" si="165"/>
        <v>=1</v>
      </c>
      <c r="AF201" s="1" t="str">
        <f t="shared" si="165"/>
        <v>=1</v>
      </c>
      <c r="AG201" s="1" t="str">
        <f t="shared" si="165"/>
        <v>=48</v>
      </c>
      <c r="AH201" s="1" t="str">
        <f t="shared" ref="AH201:BJ201" si="166">IF(AH136&gt;1,"=","")&amp;AH71</f>
        <v>=1</v>
      </c>
      <c r="AI201" s="1" t="str">
        <f t="shared" si="166"/>
        <v>=24</v>
      </c>
      <c r="AJ201" s="1" t="str">
        <f t="shared" si="166"/>
        <v>=24</v>
      </c>
      <c r="AK201" s="1" t="str">
        <f t="shared" si="166"/>
        <v>=48</v>
      </c>
      <c r="AL201" s="1" t="str">
        <f t="shared" si="166"/>
        <v>=24</v>
      </c>
      <c r="AM201" s="1" t="str">
        <f t="shared" si="166"/>
        <v>=1</v>
      </c>
      <c r="AN201" s="1" t="str">
        <f t="shared" si="166"/>
        <v>=24</v>
      </c>
      <c r="AO201" s="1" t="str">
        <f t="shared" si="166"/>
        <v>=24</v>
      </c>
      <c r="AP201" s="1" t="str">
        <f t="shared" si="166"/>
        <v>=24</v>
      </c>
      <c r="AQ201" s="1" t="str">
        <f t="shared" si="166"/>
        <v>=24</v>
      </c>
      <c r="AR201" s="1" t="str">
        <f t="shared" si="166"/>
        <v>=24</v>
      </c>
      <c r="AS201" s="1" t="str">
        <f t="shared" si="166"/>
        <v>=1</v>
      </c>
      <c r="AT201" s="1" t="str">
        <f t="shared" si="166"/>
        <v>=1</v>
      </c>
      <c r="AU201" s="1" t="str">
        <f t="shared" si="166"/>
        <v>=24</v>
      </c>
      <c r="AV201" s="1" t="str">
        <f t="shared" si="166"/>
        <v>=24</v>
      </c>
      <c r="AW201" s="1" t="str">
        <f t="shared" si="166"/>
        <v>=48</v>
      </c>
      <c r="AX201" s="1" t="str">
        <f t="shared" si="166"/>
        <v>=24</v>
      </c>
      <c r="AY201" s="1" t="str">
        <f t="shared" si="166"/>
        <v>=1</v>
      </c>
      <c r="AZ201" s="1" t="str">
        <f t="shared" si="166"/>
        <v>=1</v>
      </c>
      <c r="BA201" s="1" t="str">
        <f t="shared" si="166"/>
        <v>=1</v>
      </c>
      <c r="BB201" s="1" t="str">
        <f t="shared" si="166"/>
        <v>=24</v>
      </c>
      <c r="BC201" s="1" t="str">
        <f t="shared" si="166"/>
        <v>=48</v>
      </c>
      <c r="BD201" s="1" t="str">
        <f t="shared" si="166"/>
        <v>=24</v>
      </c>
      <c r="BE201" s="1" t="str">
        <f t="shared" si="166"/>
        <v>=1</v>
      </c>
      <c r="BF201" s="1" t="str">
        <f t="shared" si="166"/>
        <v>=1</v>
      </c>
      <c r="BG201" s="1" t="str">
        <f t="shared" si="166"/>
        <v>=24</v>
      </c>
      <c r="BH201" s="1" t="str">
        <f t="shared" si="166"/>
        <v>=48</v>
      </c>
      <c r="BI201" s="1" t="str">
        <f t="shared" si="166"/>
        <v>=1</v>
      </c>
      <c r="BJ201" s="1" t="str">
        <f t="shared" si="166"/>
        <v>=24</v>
      </c>
    </row>
    <row r="202" spans="1:62">
      <c r="A202" s="1" t="str">
        <f t="shared" si="156"/>
        <v>   1.1.3) Public-private partnerships</v>
      </c>
      <c r="B202" s="1" t="str">
        <f t="shared" ref="B202:AG202" si="167">IF(B137&gt;1,"=","")&amp;B72</f>
        <v>=11</v>
      </c>
      <c r="C202" s="1" t="str">
        <f t="shared" si="167"/>
        <v>=11</v>
      </c>
      <c r="D202" s="1" t="str">
        <f t="shared" si="167"/>
        <v>=43</v>
      </c>
      <c r="E202" s="1" t="str">
        <f t="shared" si="167"/>
        <v>=43</v>
      </c>
      <c r="F202" s="1" t="str">
        <f t="shared" si="167"/>
        <v>=11</v>
      </c>
      <c r="G202" s="1" t="str">
        <f t="shared" si="167"/>
        <v>=43</v>
      </c>
      <c r="H202" s="1" t="str">
        <f t="shared" si="167"/>
        <v>=43</v>
      </c>
      <c r="I202" s="1" t="str">
        <f t="shared" si="167"/>
        <v>=11</v>
      </c>
      <c r="J202" s="1" t="str">
        <f t="shared" si="167"/>
        <v>=11</v>
      </c>
      <c r="K202" s="1" t="str">
        <f t="shared" si="167"/>
        <v>=43</v>
      </c>
      <c r="L202" s="1" t="str">
        <f t="shared" si="167"/>
        <v>=11</v>
      </c>
      <c r="M202" s="1" t="str">
        <f t="shared" si="167"/>
        <v>=43</v>
      </c>
      <c r="N202" s="1" t="str">
        <f t="shared" si="167"/>
        <v>=1</v>
      </c>
      <c r="O202" s="1" t="str">
        <f t="shared" si="167"/>
        <v>=1</v>
      </c>
      <c r="P202" s="1" t="str">
        <f t="shared" si="167"/>
        <v>=11</v>
      </c>
      <c r="Q202" s="1" t="str">
        <f t="shared" si="167"/>
        <v>=11</v>
      </c>
      <c r="R202" s="1" t="str">
        <f t="shared" si="167"/>
        <v>=11</v>
      </c>
      <c r="S202" s="1" t="str">
        <f t="shared" si="167"/>
        <v>=11</v>
      </c>
      <c r="T202" s="1" t="str">
        <f t="shared" si="167"/>
        <v>=43</v>
      </c>
      <c r="U202" s="1" t="str">
        <f t="shared" si="167"/>
        <v>=1</v>
      </c>
      <c r="V202" s="1" t="str">
        <f t="shared" si="167"/>
        <v>=11</v>
      </c>
      <c r="W202" s="1" t="str">
        <f t="shared" si="167"/>
        <v>=43</v>
      </c>
      <c r="X202" s="1" t="str">
        <f t="shared" si="167"/>
        <v>=43</v>
      </c>
      <c r="Y202" s="1" t="str">
        <f t="shared" si="167"/>
        <v>=11</v>
      </c>
      <c r="Z202" s="1" t="str">
        <f t="shared" si="167"/>
        <v>=43</v>
      </c>
      <c r="AA202" s="1" t="str">
        <f t="shared" si="167"/>
        <v>=11</v>
      </c>
      <c r="AB202" s="1" t="str">
        <f t="shared" si="167"/>
        <v>=43</v>
      </c>
      <c r="AC202" s="1" t="str">
        <f t="shared" si="167"/>
        <v>=11</v>
      </c>
      <c r="AD202" s="1" t="str">
        <f t="shared" si="167"/>
        <v>=11</v>
      </c>
      <c r="AE202" s="1" t="str">
        <f t="shared" si="167"/>
        <v>=1</v>
      </c>
      <c r="AF202" s="1" t="str">
        <f t="shared" si="167"/>
        <v>=11</v>
      </c>
      <c r="AG202" s="1" t="str">
        <f t="shared" si="167"/>
        <v>=11</v>
      </c>
      <c r="AH202" s="1" t="str">
        <f t="shared" ref="AH202:BJ202" si="168">IF(AH137&gt;1,"=","")&amp;AH72</f>
        <v>=11</v>
      </c>
      <c r="AI202" s="1" t="str">
        <f t="shared" si="168"/>
        <v>=11</v>
      </c>
      <c r="AJ202" s="1" t="str">
        <f t="shared" si="168"/>
        <v>=1</v>
      </c>
      <c r="AK202" s="1" t="str">
        <f t="shared" si="168"/>
        <v>=43</v>
      </c>
      <c r="AL202" s="1" t="str">
        <f t="shared" si="168"/>
        <v>=11</v>
      </c>
      <c r="AM202" s="1" t="str">
        <f t="shared" si="168"/>
        <v>=1</v>
      </c>
      <c r="AN202" s="1" t="str">
        <f t="shared" si="168"/>
        <v>=11</v>
      </c>
      <c r="AO202" s="1" t="str">
        <f t="shared" si="168"/>
        <v>=11</v>
      </c>
      <c r="AP202" s="1" t="str">
        <f t="shared" si="168"/>
        <v>=11</v>
      </c>
      <c r="AQ202" s="1" t="str">
        <f t="shared" si="168"/>
        <v>=43</v>
      </c>
      <c r="AR202" s="1" t="str">
        <f t="shared" si="168"/>
        <v>=43</v>
      </c>
      <c r="AS202" s="1" t="str">
        <f t="shared" si="168"/>
        <v>=11</v>
      </c>
      <c r="AT202" s="1" t="str">
        <f t="shared" si="168"/>
        <v>=1</v>
      </c>
      <c r="AU202" s="1" t="str">
        <f t="shared" si="168"/>
        <v>=11</v>
      </c>
      <c r="AV202" s="1" t="str">
        <f t="shared" si="168"/>
        <v>=43</v>
      </c>
      <c r="AW202" s="1" t="str">
        <f t="shared" si="168"/>
        <v>=11</v>
      </c>
      <c r="AX202" s="1" t="str">
        <f t="shared" si="168"/>
        <v>=43</v>
      </c>
      <c r="AY202" s="1" t="str">
        <f t="shared" si="168"/>
        <v>=1</v>
      </c>
      <c r="AZ202" s="1" t="str">
        <f t="shared" si="168"/>
        <v>=11</v>
      </c>
      <c r="BA202" s="1" t="str">
        <f t="shared" si="168"/>
        <v>=11</v>
      </c>
      <c r="BB202" s="1" t="str">
        <f t="shared" si="168"/>
        <v>=1</v>
      </c>
      <c r="BC202" s="1" t="str">
        <f t="shared" si="168"/>
        <v>=43</v>
      </c>
      <c r="BD202" s="1" t="str">
        <f t="shared" si="168"/>
        <v>=1</v>
      </c>
      <c r="BE202" s="1" t="str">
        <f t="shared" si="168"/>
        <v>=11</v>
      </c>
      <c r="BF202" s="1" t="str">
        <f t="shared" si="168"/>
        <v>=11</v>
      </c>
      <c r="BG202" s="1" t="str">
        <f t="shared" si="168"/>
        <v>=11</v>
      </c>
      <c r="BH202" s="1" t="str">
        <f t="shared" si="168"/>
        <v>=43</v>
      </c>
      <c r="BI202" s="1" t="str">
        <f t="shared" si="168"/>
        <v>=11</v>
      </c>
      <c r="BJ202" s="1" t="str">
        <f t="shared" si="168"/>
        <v>=11</v>
      </c>
    </row>
    <row r="203" spans="1:62">
      <c r="A203" s="1" t="str">
        <f t="shared" si="156"/>
        <v>   1.1.4) Level of technology employed</v>
      </c>
      <c r="B203" s="1" t="str">
        <f t="shared" ref="B203:AG203" si="169">IF(B138&gt;1,"=","")&amp;B73</f>
        <v>=1</v>
      </c>
      <c r="C203" s="1" t="str">
        <f t="shared" si="169"/>
        <v>=1</v>
      </c>
      <c r="D203" s="1" t="str">
        <f t="shared" si="169"/>
        <v>=29</v>
      </c>
      <c r="E203" s="1" t="str">
        <f t="shared" si="169"/>
        <v>=52</v>
      </c>
      <c r="F203" s="1" t="str">
        <f t="shared" si="169"/>
        <v>=1</v>
      </c>
      <c r="G203" s="1" t="str">
        <f t="shared" si="169"/>
        <v>=29</v>
      </c>
      <c r="H203" s="1" t="str">
        <f t="shared" si="169"/>
        <v>=29</v>
      </c>
      <c r="I203" s="1" t="str">
        <f t="shared" si="169"/>
        <v>=1</v>
      </c>
      <c r="J203" s="1" t="str">
        <f t="shared" si="169"/>
        <v>=29</v>
      </c>
      <c r="K203" s="1" t="str">
        <f t="shared" si="169"/>
        <v>=52</v>
      </c>
      <c r="L203" s="1" t="str">
        <f t="shared" si="169"/>
        <v>=29</v>
      </c>
      <c r="M203" s="1" t="str">
        <f t="shared" si="169"/>
        <v>=29</v>
      </c>
      <c r="N203" s="1" t="str">
        <f t="shared" si="169"/>
        <v>=1</v>
      </c>
      <c r="O203" s="1" t="str">
        <f t="shared" si="169"/>
        <v>=1</v>
      </c>
      <c r="P203" s="1" t="str">
        <f t="shared" si="169"/>
        <v>=29</v>
      </c>
      <c r="Q203" s="1" t="str">
        <f t="shared" si="169"/>
        <v>=52</v>
      </c>
      <c r="R203" s="1" t="str">
        <f t="shared" si="169"/>
        <v>=29</v>
      </c>
      <c r="S203" s="1" t="str">
        <f t="shared" si="169"/>
        <v>=1</v>
      </c>
      <c r="T203" s="1" t="str">
        <f t="shared" si="169"/>
        <v>=52</v>
      </c>
      <c r="U203" s="1" t="str">
        <f t="shared" si="169"/>
        <v>=1</v>
      </c>
      <c r="V203" s="1" t="str">
        <f t="shared" si="169"/>
        <v>=29</v>
      </c>
      <c r="W203" s="1" t="str">
        <f t="shared" si="169"/>
        <v>=52</v>
      </c>
      <c r="X203" s="1" t="str">
        <f t="shared" si="169"/>
        <v>=29</v>
      </c>
      <c r="Y203" s="1" t="str">
        <f t="shared" si="169"/>
        <v>=29</v>
      </c>
      <c r="Z203" s="1" t="str">
        <f t="shared" si="169"/>
        <v>=52</v>
      </c>
      <c r="AA203" s="1" t="str">
        <f t="shared" si="169"/>
        <v>=29</v>
      </c>
      <c r="AB203" s="1" t="str">
        <f t="shared" si="169"/>
        <v>=29</v>
      </c>
      <c r="AC203" s="1" t="str">
        <f t="shared" si="169"/>
        <v>=29</v>
      </c>
      <c r="AD203" s="1" t="str">
        <f t="shared" si="169"/>
        <v>=1</v>
      </c>
      <c r="AE203" s="1" t="str">
        <f t="shared" si="169"/>
        <v>=1</v>
      </c>
      <c r="AF203" s="1" t="str">
        <f t="shared" si="169"/>
        <v>=1</v>
      </c>
      <c r="AG203" s="1" t="str">
        <f t="shared" si="169"/>
        <v>=52</v>
      </c>
      <c r="AH203" s="1" t="str">
        <f t="shared" ref="AH203:BJ203" si="170">IF(AH138&gt;1,"=","")&amp;AH73</f>
        <v>=1</v>
      </c>
      <c r="AI203" s="1" t="str">
        <f t="shared" si="170"/>
        <v>=29</v>
      </c>
      <c r="AJ203" s="1" t="str">
        <f t="shared" si="170"/>
        <v>=1</v>
      </c>
      <c r="AK203" s="1" t="str">
        <f t="shared" si="170"/>
        <v>=29</v>
      </c>
      <c r="AL203" s="1" t="str">
        <f t="shared" si="170"/>
        <v>=29</v>
      </c>
      <c r="AM203" s="1" t="str">
        <f t="shared" si="170"/>
        <v>=1</v>
      </c>
      <c r="AN203" s="1" t="str">
        <f t="shared" si="170"/>
        <v>=1</v>
      </c>
      <c r="AO203" s="1" t="str">
        <f t="shared" si="170"/>
        <v>=1</v>
      </c>
      <c r="AP203" s="1" t="str">
        <f t="shared" si="170"/>
        <v>=29</v>
      </c>
      <c r="AQ203" s="1" t="str">
        <f t="shared" si="170"/>
        <v>=29</v>
      </c>
      <c r="AR203" s="1" t="str">
        <f t="shared" si="170"/>
        <v>=29</v>
      </c>
      <c r="AS203" s="1" t="str">
        <f t="shared" si="170"/>
        <v>=1</v>
      </c>
      <c r="AT203" s="1" t="str">
        <f t="shared" si="170"/>
        <v>=1</v>
      </c>
      <c r="AU203" s="1" t="str">
        <f t="shared" si="170"/>
        <v>=29</v>
      </c>
      <c r="AV203" s="1" t="str">
        <f t="shared" si="170"/>
        <v>=29</v>
      </c>
      <c r="AW203" s="1" t="str">
        <f t="shared" si="170"/>
        <v>=1</v>
      </c>
      <c r="AX203" s="1" t="str">
        <f t="shared" si="170"/>
        <v>=29</v>
      </c>
      <c r="AY203" s="1" t="str">
        <f t="shared" si="170"/>
        <v>=1</v>
      </c>
      <c r="AZ203" s="1" t="str">
        <f t="shared" si="170"/>
        <v>=1</v>
      </c>
      <c r="BA203" s="1" t="str">
        <f t="shared" si="170"/>
        <v>=1</v>
      </c>
      <c r="BB203" s="1" t="str">
        <f t="shared" si="170"/>
        <v>=1</v>
      </c>
      <c r="BC203" s="1" t="str">
        <f t="shared" si="170"/>
        <v>=52</v>
      </c>
      <c r="BD203" s="1" t="str">
        <f t="shared" si="170"/>
        <v>=1</v>
      </c>
      <c r="BE203" s="1" t="str">
        <f t="shared" si="170"/>
        <v>=1</v>
      </c>
      <c r="BF203" s="1" t="str">
        <f t="shared" si="170"/>
        <v>=1</v>
      </c>
      <c r="BG203" s="1" t="str">
        <f t="shared" si="170"/>
        <v>=1</v>
      </c>
      <c r="BH203" s="1" t="str">
        <f t="shared" si="170"/>
        <v>=52</v>
      </c>
      <c r="BI203" s="1" t="str">
        <f t="shared" si="170"/>
        <v>=1</v>
      </c>
      <c r="BJ203" s="1" t="str">
        <f t="shared" si="170"/>
        <v>=1</v>
      </c>
    </row>
    <row r="204" spans="1:62">
      <c r="A204" s="1" t="str">
        <f t="shared" si="156"/>
        <v>   1.1.5) Dedicated cyber security teams</v>
      </c>
      <c r="B204" s="1" t="str">
        <f t="shared" ref="B204:AG204" si="171">IF(B139&gt;1,"=","")&amp;B74</f>
        <v>=20</v>
      </c>
      <c r="C204" s="1" t="str">
        <f t="shared" si="171"/>
        <v>=20</v>
      </c>
      <c r="D204" s="1" t="str">
        <f t="shared" si="171"/>
        <v>=20</v>
      </c>
      <c r="E204" s="1" t="str">
        <f t="shared" si="171"/>
        <v>=20</v>
      </c>
      <c r="F204" s="1" t="str">
        <f t="shared" si="171"/>
        <v>=20</v>
      </c>
      <c r="G204" s="1" t="str">
        <f t="shared" si="171"/>
        <v>=1</v>
      </c>
      <c r="H204" s="1" t="str">
        <f t="shared" si="171"/>
        <v>=20</v>
      </c>
      <c r="I204" s="1" t="str">
        <f t="shared" si="171"/>
        <v>=20</v>
      </c>
      <c r="J204" s="1" t="str">
        <f t="shared" si="171"/>
        <v>=1</v>
      </c>
      <c r="K204" s="1" t="str">
        <f t="shared" si="171"/>
        <v>=20</v>
      </c>
      <c r="L204" s="1" t="str">
        <f t="shared" si="171"/>
        <v>=20</v>
      </c>
      <c r="M204" s="1" t="str">
        <f t="shared" si="171"/>
        <v>=20</v>
      </c>
      <c r="N204" s="1" t="str">
        <f t="shared" si="171"/>
        <v>=1</v>
      </c>
      <c r="O204" s="1" t="str">
        <f t="shared" si="171"/>
        <v>=1</v>
      </c>
      <c r="P204" s="1" t="str">
        <f t="shared" si="171"/>
        <v>=1</v>
      </c>
      <c r="Q204" s="1" t="str">
        <f t="shared" si="171"/>
        <v>=20</v>
      </c>
      <c r="R204" s="1" t="str">
        <f t="shared" si="171"/>
        <v>=20</v>
      </c>
      <c r="S204" s="1" t="str">
        <f t="shared" si="171"/>
        <v>=20</v>
      </c>
      <c r="T204" s="1" t="str">
        <f t="shared" si="171"/>
        <v>=20</v>
      </c>
      <c r="U204" s="1" t="str">
        <f t="shared" si="171"/>
        <v>=1</v>
      </c>
      <c r="V204" s="1" t="str">
        <f t="shared" si="171"/>
        <v>=20</v>
      </c>
      <c r="W204" s="1" t="str">
        <f t="shared" si="171"/>
        <v>=20</v>
      </c>
      <c r="X204" s="1" t="str">
        <f t="shared" si="171"/>
        <v>=1</v>
      </c>
      <c r="Y204" s="1" t="str">
        <f t="shared" si="171"/>
        <v>=20</v>
      </c>
      <c r="Z204" s="1" t="str">
        <f t="shared" si="171"/>
        <v>=20</v>
      </c>
      <c r="AA204" s="1" t="str">
        <f t="shared" si="171"/>
        <v>=20</v>
      </c>
      <c r="AB204" s="1" t="str">
        <f t="shared" si="171"/>
        <v>=20</v>
      </c>
      <c r="AC204" s="1" t="str">
        <f t="shared" si="171"/>
        <v>=20</v>
      </c>
      <c r="AD204" s="1" t="str">
        <f t="shared" si="171"/>
        <v>=20</v>
      </c>
      <c r="AE204" s="1" t="str">
        <f t="shared" si="171"/>
        <v>=1</v>
      </c>
      <c r="AF204" s="1" t="str">
        <f t="shared" si="171"/>
        <v>=20</v>
      </c>
      <c r="AG204" s="1" t="str">
        <f t="shared" si="171"/>
        <v>=20</v>
      </c>
      <c r="AH204" s="1" t="str">
        <f t="shared" ref="AH204:BJ204" si="172">IF(AH139&gt;1,"=","")&amp;AH74</f>
        <v>=1</v>
      </c>
      <c r="AI204" s="1" t="str">
        <f t="shared" si="172"/>
        <v>=20</v>
      </c>
      <c r="AJ204" s="1" t="str">
        <f t="shared" si="172"/>
        <v>=20</v>
      </c>
      <c r="AK204" s="1" t="str">
        <f t="shared" si="172"/>
        <v>=20</v>
      </c>
      <c r="AL204" s="1" t="str">
        <f t="shared" si="172"/>
        <v>=1</v>
      </c>
      <c r="AM204" s="1" t="str">
        <f t="shared" si="172"/>
        <v>=1</v>
      </c>
      <c r="AN204" s="1" t="str">
        <f t="shared" si="172"/>
        <v>=1</v>
      </c>
      <c r="AO204" s="1" t="str">
        <f t="shared" si="172"/>
        <v>=20</v>
      </c>
      <c r="AP204" s="1" t="str">
        <f t="shared" si="172"/>
        <v>=20</v>
      </c>
      <c r="AQ204" s="1" t="str">
        <f t="shared" si="172"/>
        <v>=20</v>
      </c>
      <c r="AR204" s="1" t="str">
        <f t="shared" si="172"/>
        <v>=20</v>
      </c>
      <c r="AS204" s="1" t="str">
        <f t="shared" si="172"/>
        <v>=20</v>
      </c>
      <c r="AT204" s="1" t="str">
        <f t="shared" si="172"/>
        <v>=1</v>
      </c>
      <c r="AU204" s="1" t="str">
        <f t="shared" si="172"/>
        <v>=20</v>
      </c>
      <c r="AV204" s="1" t="str">
        <f t="shared" si="172"/>
        <v>=20</v>
      </c>
      <c r="AW204" s="1" t="str">
        <f t="shared" si="172"/>
        <v>=20</v>
      </c>
      <c r="AX204" s="1" t="str">
        <f t="shared" si="172"/>
        <v>=20</v>
      </c>
      <c r="AY204" s="1" t="str">
        <f t="shared" si="172"/>
        <v>=1</v>
      </c>
      <c r="AZ204" s="1" t="str">
        <f t="shared" si="172"/>
        <v>=20</v>
      </c>
      <c r="BA204" s="1" t="str">
        <f t="shared" si="172"/>
        <v>=1</v>
      </c>
      <c r="BB204" s="1" t="str">
        <f t="shared" si="172"/>
        <v>=1</v>
      </c>
      <c r="BC204" s="1" t="str">
        <f t="shared" si="172"/>
        <v>=20</v>
      </c>
      <c r="BD204" s="1" t="str">
        <f t="shared" si="172"/>
        <v>=1</v>
      </c>
      <c r="BE204" s="1" t="str">
        <f t="shared" si="172"/>
        <v>=1</v>
      </c>
      <c r="BF204" s="1" t="str">
        <f t="shared" si="172"/>
        <v>=1</v>
      </c>
      <c r="BG204" s="1" t="str">
        <f t="shared" si="172"/>
        <v>=20</v>
      </c>
      <c r="BH204" s="1" t="str">
        <f t="shared" si="172"/>
        <v>=20</v>
      </c>
      <c r="BI204" s="1" t="str">
        <f t="shared" si="172"/>
        <v>=20</v>
      </c>
      <c r="BJ204" s="1" t="str">
        <f t="shared" si="172"/>
        <v>=1</v>
      </c>
    </row>
    <row r="205" spans="1:62">
      <c r="A205" s="1" t="str">
        <f t="shared" si="156"/>
        <v>  1.2) Digital security (Outputs)</v>
      </c>
      <c r="B205" s="1" t="str">
        <f t="shared" ref="B205:AG205" si="173">IF(B140&gt;1,"=","")&amp;B75</f>
        <v>=16</v>
      </c>
      <c r="C205" s="1" t="str">
        <f t="shared" si="173"/>
        <v>1</v>
      </c>
      <c r="D205" s="1" t="str">
        <f t="shared" si="173"/>
        <v>39</v>
      </c>
      <c r="E205" s="1" t="str">
        <f t="shared" si="173"/>
        <v>49</v>
      </c>
      <c r="F205" s="1" t="str">
        <f t="shared" si="173"/>
        <v>=31</v>
      </c>
      <c r="G205" s="1" t="str">
        <f t="shared" si="173"/>
        <v>35</v>
      </c>
      <c r="H205" s="1" t="str">
        <f t="shared" si="173"/>
        <v>34</v>
      </c>
      <c r="I205" s="1" t="str">
        <f t="shared" si="173"/>
        <v>11</v>
      </c>
      <c r="J205" s="1" t="str">
        <f t="shared" si="173"/>
        <v>6</v>
      </c>
      <c r="K205" s="1" t="str">
        <f t="shared" si="173"/>
        <v>50</v>
      </c>
      <c r="L205" s="1" t="str">
        <f t="shared" si="173"/>
        <v>27</v>
      </c>
      <c r="M205" s="1" t="str">
        <f t="shared" si="173"/>
        <v>33</v>
      </c>
      <c r="N205" s="1" t="str">
        <f t="shared" si="173"/>
        <v>19</v>
      </c>
      <c r="O205" s="1" t="str">
        <f t="shared" si="173"/>
        <v>30</v>
      </c>
      <c r="P205" s="1" t="str">
        <f t="shared" si="173"/>
        <v>=56</v>
      </c>
      <c r="Q205" s="1" t="str">
        <f t="shared" si="173"/>
        <v>54</v>
      </c>
      <c r="R205" s="1" t="str">
        <f t="shared" si="173"/>
        <v>29</v>
      </c>
      <c r="S205" s="1" t="str">
        <f t="shared" si="173"/>
        <v>8</v>
      </c>
      <c r="T205" s="1" t="str">
        <f t="shared" si="173"/>
        <v>51</v>
      </c>
      <c r="U205" s="1" t="str">
        <f t="shared" si="173"/>
        <v>24</v>
      </c>
      <c r="V205" s="1" t="str">
        <f t="shared" si="173"/>
        <v>40</v>
      </c>
      <c r="W205" s="1" t="str">
        <f t="shared" si="173"/>
        <v>58</v>
      </c>
      <c r="X205" s="1" t="str">
        <f t="shared" si="173"/>
        <v>=20</v>
      </c>
      <c r="Y205" s="1" t="str">
        <f t="shared" si="173"/>
        <v>=16</v>
      </c>
      <c r="Z205" s="1" t="str">
        <f t="shared" si="173"/>
        <v>53</v>
      </c>
      <c r="AA205" s="1" t="str">
        <f t="shared" si="173"/>
        <v>18</v>
      </c>
      <c r="AB205" s="1" t="str">
        <f t="shared" si="173"/>
        <v>13</v>
      </c>
      <c r="AC205" s="1" t="str">
        <f t="shared" si="173"/>
        <v>46</v>
      </c>
      <c r="AD205" s="1" t="str">
        <f t="shared" si="173"/>
        <v>37</v>
      </c>
      <c r="AE205" s="1" t="str">
        <f t="shared" si="173"/>
        <v>=25</v>
      </c>
      <c r="AF205" s="1" t="str">
        <f t="shared" si="173"/>
        <v>=31</v>
      </c>
      <c r="AG205" s="1" t="str">
        <f t="shared" si="173"/>
        <v>60</v>
      </c>
      <c r="AH205" s="1" t="str">
        <f t="shared" ref="AH205:BJ205" si="174">IF(AH140&gt;1,"=","")&amp;AH75</f>
        <v>14</v>
      </c>
      <c r="AI205" s="1" t="str">
        <f t="shared" si="174"/>
        <v>55</v>
      </c>
      <c r="AJ205" s="1" t="str">
        <f t="shared" si="174"/>
        <v>=41</v>
      </c>
      <c r="AK205" s="1" t="str">
        <f t="shared" si="174"/>
        <v>52</v>
      </c>
      <c r="AL205" s="1" t="str">
        <f t="shared" si="174"/>
        <v>=56</v>
      </c>
      <c r="AM205" s="1" t="str">
        <f t="shared" si="174"/>
        <v>28</v>
      </c>
      <c r="AN205" s="1" t="str">
        <f t="shared" si="174"/>
        <v>=5</v>
      </c>
      <c r="AO205" s="1" t="str">
        <f t="shared" si="174"/>
        <v>36</v>
      </c>
      <c r="AP205" s="1" t="str">
        <f t="shared" si="174"/>
        <v>22</v>
      </c>
      <c r="AQ205" s="1" t="str">
        <f t="shared" si="174"/>
        <v>=47</v>
      </c>
      <c r="AR205" s="1" t="str">
        <f t="shared" si="174"/>
        <v>=20</v>
      </c>
      <c r="AS205" s="1" t="str">
        <f t="shared" si="174"/>
        <v>=41</v>
      </c>
      <c r="AT205" s="1" t="str">
        <f t="shared" si="174"/>
        <v>=25</v>
      </c>
      <c r="AU205" s="1" t="str">
        <f t="shared" si="174"/>
        <v>44</v>
      </c>
      <c r="AV205" s="1" t="str">
        <f t="shared" si="174"/>
        <v>=47</v>
      </c>
      <c r="AW205" s="1" t="str">
        <f t="shared" si="174"/>
        <v>3</v>
      </c>
      <c r="AX205" s="1" t="str">
        <f t="shared" si="174"/>
        <v>38</v>
      </c>
      <c r="AY205" s="1" t="str">
        <f t="shared" si="174"/>
        <v>12</v>
      </c>
      <c r="AZ205" s="1" t="str">
        <f t="shared" si="174"/>
        <v>2</v>
      </c>
      <c r="BA205" s="1" t="str">
        <f t="shared" si="174"/>
        <v>15</v>
      </c>
      <c r="BB205" s="1" t="str">
        <f t="shared" si="174"/>
        <v>59</v>
      </c>
      <c r="BC205" s="1" t="str">
        <f t="shared" si="174"/>
        <v>43</v>
      </c>
      <c r="BD205" s="1" t="str">
        <f t="shared" si="174"/>
        <v>4</v>
      </c>
      <c r="BE205" s="1" t="str">
        <f t="shared" si="174"/>
        <v>10</v>
      </c>
      <c r="BF205" s="1" t="str">
        <f t="shared" si="174"/>
        <v>23</v>
      </c>
      <c r="BG205" s="1" t="str">
        <f t="shared" si="174"/>
        <v>7</v>
      </c>
      <c r="BH205" s="1" t="str">
        <f t="shared" si="174"/>
        <v>45</v>
      </c>
      <c r="BI205" s="1" t="str">
        <f t="shared" si="174"/>
        <v>9</v>
      </c>
      <c r="BJ205" s="1" t="str">
        <f t="shared" si="174"/>
        <v>=5</v>
      </c>
    </row>
    <row r="206" spans="1:62">
      <c r="A206" s="1" t="str">
        <f t="shared" si="156"/>
        <v>   1.2.1) Frequency of identity theft</v>
      </c>
      <c r="B206" s="1" t="str">
        <f t="shared" ref="B206:AG206" si="175">IF(B141&gt;1,"=","")&amp;B76</f>
        <v>=1</v>
      </c>
      <c r="C206" s="1" t="str">
        <f t="shared" si="175"/>
        <v>36</v>
      </c>
      <c r="D206" s="1" t="str">
        <f t="shared" si="175"/>
        <v>=1</v>
      </c>
      <c r="E206" s="1" t="str">
        <f t="shared" si="175"/>
        <v>=1</v>
      </c>
      <c r="F206" s="1" t="str">
        <f t="shared" si="175"/>
        <v>=33</v>
      </c>
      <c r="G206" s="1" t="str">
        <f t="shared" si="175"/>
        <v>=1</v>
      </c>
      <c r="H206" s="1" t="str">
        <f t="shared" si="175"/>
        <v>=1</v>
      </c>
      <c r="I206" s="1" t="str">
        <f t="shared" si="175"/>
        <v>=1</v>
      </c>
      <c r="J206" s="1" t="str">
        <f t="shared" si="175"/>
        <v>32</v>
      </c>
      <c r="K206" s="1" t="str">
        <f t="shared" si="175"/>
        <v>=1</v>
      </c>
      <c r="L206" s="1" t="str">
        <f t="shared" si="175"/>
        <v>=1</v>
      </c>
      <c r="M206" s="1" t="str">
        <f t="shared" si="175"/>
        <v>=1</v>
      </c>
      <c r="N206" s="1" t="str">
        <f t="shared" si="175"/>
        <v>=50</v>
      </c>
      <c r="O206" s="1" t="str">
        <f t="shared" si="175"/>
        <v>=50</v>
      </c>
      <c r="P206" s="1" t="str">
        <f t="shared" si="175"/>
        <v>=41</v>
      </c>
      <c r="Q206" s="1" t="str">
        <f t="shared" si="175"/>
        <v>=1</v>
      </c>
      <c r="R206" s="1" t="str">
        <f t="shared" si="175"/>
        <v>56</v>
      </c>
      <c r="S206" s="1" t="str">
        <f t="shared" si="175"/>
        <v>=1</v>
      </c>
      <c r="T206" s="1" t="str">
        <f t="shared" si="175"/>
        <v>=1</v>
      </c>
      <c r="U206" s="1" t="str">
        <f t="shared" si="175"/>
        <v>=1</v>
      </c>
      <c r="V206" s="1" t="str">
        <f t="shared" si="175"/>
        <v>46</v>
      </c>
      <c r="W206" s="1" t="str">
        <f t="shared" si="175"/>
        <v>=1</v>
      </c>
      <c r="X206" s="1" t="str">
        <f t="shared" si="175"/>
        <v>=1</v>
      </c>
      <c r="Y206" s="1" t="str">
        <f t="shared" si="175"/>
        <v>31</v>
      </c>
      <c r="Z206" s="1" t="str">
        <f t="shared" si="175"/>
        <v>37</v>
      </c>
      <c r="AA206" s="1" t="str">
        <f t="shared" si="175"/>
        <v>=1</v>
      </c>
      <c r="AB206" s="1" t="str">
        <f t="shared" si="175"/>
        <v>=1</v>
      </c>
      <c r="AC206" s="1" t="str">
        <f t="shared" si="175"/>
        <v>=1</v>
      </c>
      <c r="AD206" s="1" t="str">
        <f t="shared" si="175"/>
        <v>57</v>
      </c>
      <c r="AE206" s="1" t="str">
        <f t="shared" si="175"/>
        <v>=50</v>
      </c>
      <c r="AF206" s="1" t="str">
        <f t="shared" si="175"/>
        <v>=33</v>
      </c>
      <c r="AG206" s="1" t="str">
        <f t="shared" si="175"/>
        <v>59</v>
      </c>
      <c r="AH206" s="1" t="str">
        <f t="shared" ref="AH206:BJ206" si="176">IF(AH141&gt;1,"=","")&amp;AH76</f>
        <v>=47</v>
      </c>
      <c r="AI206" s="1" t="str">
        <f t="shared" si="176"/>
        <v>58</v>
      </c>
      <c r="AJ206" s="1" t="str">
        <f t="shared" si="176"/>
        <v>=38</v>
      </c>
      <c r="AK206" s="1" t="str">
        <f t="shared" si="176"/>
        <v>40</v>
      </c>
      <c r="AL206" s="1" t="str">
        <f t="shared" si="176"/>
        <v>=41</v>
      </c>
      <c r="AM206" s="1" t="str">
        <f t="shared" si="176"/>
        <v>=50</v>
      </c>
      <c r="AN206" s="1" t="str">
        <f t="shared" si="176"/>
        <v>=44</v>
      </c>
      <c r="AO206" s="1" t="str">
        <f t="shared" si="176"/>
        <v>49</v>
      </c>
      <c r="AP206" s="1" t="str">
        <f t="shared" si="176"/>
        <v>=1</v>
      </c>
      <c r="AQ206" s="1" t="str">
        <f t="shared" si="176"/>
        <v>=1</v>
      </c>
      <c r="AR206" s="1" t="str">
        <f t="shared" si="176"/>
        <v>=1</v>
      </c>
      <c r="AS206" s="1" t="str">
        <f t="shared" si="176"/>
        <v>=38</v>
      </c>
      <c r="AT206" s="1" t="str">
        <f t="shared" si="176"/>
        <v>=50</v>
      </c>
      <c r="AU206" s="1" t="str">
        <f t="shared" si="176"/>
        <v>=1</v>
      </c>
      <c r="AV206" s="1" t="str">
        <f t="shared" si="176"/>
        <v>=1</v>
      </c>
      <c r="AW206" s="1" t="str">
        <f t="shared" si="176"/>
        <v>35</v>
      </c>
      <c r="AX206" s="1" t="str">
        <f t="shared" si="176"/>
        <v>=1</v>
      </c>
      <c r="AY206" s="1" t="str">
        <f t="shared" si="176"/>
        <v>=1</v>
      </c>
      <c r="AZ206" s="1" t="str">
        <f t="shared" si="176"/>
        <v>=1</v>
      </c>
      <c r="BA206" s="1" t="str">
        <f t="shared" si="176"/>
        <v>=47</v>
      </c>
      <c r="BB206" s="1" t="str">
        <f t="shared" si="176"/>
        <v>60</v>
      </c>
      <c r="BC206" s="1" t="str">
        <f t="shared" si="176"/>
        <v>=1</v>
      </c>
      <c r="BD206" s="1" t="str">
        <f t="shared" si="176"/>
        <v>=44</v>
      </c>
      <c r="BE206" s="1" t="str">
        <f t="shared" si="176"/>
        <v>43</v>
      </c>
      <c r="BF206" s="1" t="str">
        <f t="shared" si="176"/>
        <v>=50</v>
      </c>
      <c r="BG206" s="1" t="str">
        <f t="shared" si="176"/>
        <v>=1</v>
      </c>
      <c r="BH206" s="1" t="str">
        <f t="shared" si="176"/>
        <v>=1</v>
      </c>
      <c r="BI206" s="1" t="str">
        <f t="shared" si="176"/>
        <v>=1</v>
      </c>
      <c r="BJ206" s="1" t="str">
        <f t="shared" si="176"/>
        <v>=44</v>
      </c>
    </row>
    <row r="207" spans="1:62">
      <c r="A207" s="1" t="str">
        <f t="shared" si="156"/>
        <v>   1.2.2) Percentage of computers infected</v>
      </c>
      <c r="B207" s="1" t="str">
        <f t="shared" ref="B207:AG207" si="177">IF(B142&gt;1,"=","")&amp;B77</f>
        <v>=42</v>
      </c>
      <c r="C207" s="1" t="str">
        <f t="shared" si="177"/>
        <v>=1</v>
      </c>
      <c r="D207" s="1" t="str">
        <f t="shared" si="177"/>
        <v>=42</v>
      </c>
      <c r="E207" s="1" t="str">
        <f t="shared" si="177"/>
        <v>=10</v>
      </c>
      <c r="F207" s="1" t="str">
        <f t="shared" si="177"/>
        <v>=42</v>
      </c>
      <c r="G207" s="1" t="str">
        <f t="shared" si="177"/>
        <v>=42</v>
      </c>
      <c r="H207" s="1" t="str">
        <f t="shared" si="177"/>
        <v>=10</v>
      </c>
      <c r="I207" s="1" t="str">
        <f t="shared" si="177"/>
        <v>=10</v>
      </c>
      <c r="J207" s="1" t="str">
        <f t="shared" si="177"/>
        <v>=1</v>
      </c>
      <c r="K207" s="1" t="str">
        <f t="shared" si="177"/>
        <v>=10</v>
      </c>
      <c r="L207" s="1" t="str">
        <f t="shared" si="177"/>
        <v>=10</v>
      </c>
      <c r="M207" s="1" t="str">
        <f t="shared" si="177"/>
        <v>=10</v>
      </c>
      <c r="N207" s="1" t="str">
        <f t="shared" si="177"/>
        <v>=10</v>
      </c>
      <c r="O207" s="1" t="str">
        <f t="shared" si="177"/>
        <v>=10</v>
      </c>
      <c r="P207" s="1" t="str">
        <f t="shared" si="177"/>
        <v>=42</v>
      </c>
      <c r="Q207" s="1" t="str">
        <f t="shared" si="177"/>
        <v>=10</v>
      </c>
      <c r="R207" s="1" t="str">
        <f t="shared" si="177"/>
        <v>=42</v>
      </c>
      <c r="S207" s="1" t="str">
        <f t="shared" si="177"/>
        <v>=10</v>
      </c>
      <c r="T207" s="1" t="str">
        <f t="shared" si="177"/>
        <v>=42</v>
      </c>
      <c r="U207" s="1" t="str">
        <f t="shared" si="177"/>
        <v>=42</v>
      </c>
      <c r="V207" s="1" t="str">
        <f t="shared" si="177"/>
        <v>=10</v>
      </c>
      <c r="W207" s="1" t="str">
        <f t="shared" si="177"/>
        <v>=42</v>
      </c>
      <c r="X207" s="1" t="str">
        <f t="shared" si="177"/>
        <v>=10</v>
      </c>
      <c r="Y207" s="1" t="str">
        <f t="shared" si="177"/>
        <v>=1</v>
      </c>
      <c r="Z207" s="1" t="str">
        <f t="shared" si="177"/>
        <v>=10</v>
      </c>
      <c r="AA207" s="1" t="str">
        <f t="shared" si="177"/>
        <v>=10</v>
      </c>
      <c r="AB207" s="1" t="str">
        <f t="shared" si="177"/>
        <v>=10</v>
      </c>
      <c r="AC207" s="1" t="str">
        <f t="shared" si="177"/>
        <v>=10</v>
      </c>
      <c r="AD207" s="1" t="str">
        <f t="shared" si="177"/>
        <v>=10</v>
      </c>
      <c r="AE207" s="1" t="str">
        <f t="shared" si="177"/>
        <v>=10</v>
      </c>
      <c r="AF207" s="1" t="str">
        <f t="shared" si="177"/>
        <v>=42</v>
      </c>
      <c r="AG207" s="1" t="str">
        <f t="shared" si="177"/>
        <v>=10</v>
      </c>
      <c r="AH207" s="1" t="str">
        <f t="shared" ref="AH207:BJ207" si="178">IF(AH142&gt;1,"=","")&amp;AH77</f>
        <v>=10</v>
      </c>
      <c r="AI207" s="1" t="str">
        <f t="shared" si="178"/>
        <v>=10</v>
      </c>
      <c r="AJ207" s="1" t="str">
        <f t="shared" si="178"/>
        <v>=42</v>
      </c>
      <c r="AK207" s="1" t="str">
        <f t="shared" si="178"/>
        <v>60</v>
      </c>
      <c r="AL207" s="1" t="str">
        <f t="shared" si="178"/>
        <v>=42</v>
      </c>
      <c r="AM207" s="1" t="str">
        <f t="shared" si="178"/>
        <v>=10</v>
      </c>
      <c r="AN207" s="1" t="str">
        <f t="shared" si="178"/>
        <v>=1</v>
      </c>
      <c r="AO207" s="1" t="str">
        <f t="shared" si="178"/>
        <v>=42</v>
      </c>
      <c r="AP207" s="1" t="str">
        <f t="shared" si="178"/>
        <v>=1</v>
      </c>
      <c r="AQ207" s="1" t="str">
        <f t="shared" si="178"/>
        <v>=42</v>
      </c>
      <c r="AR207" s="1" t="str">
        <f t="shared" si="178"/>
        <v>=10</v>
      </c>
      <c r="AS207" s="1" t="str">
        <f t="shared" si="178"/>
        <v>=42</v>
      </c>
      <c r="AT207" s="1" t="str">
        <f t="shared" si="178"/>
        <v>=10</v>
      </c>
      <c r="AU207" s="1" t="str">
        <f t="shared" si="178"/>
        <v>=42</v>
      </c>
      <c r="AV207" s="1" t="str">
        <f t="shared" si="178"/>
        <v>=42</v>
      </c>
      <c r="AW207" s="1" t="str">
        <f t="shared" si="178"/>
        <v>=1</v>
      </c>
      <c r="AX207" s="1" t="str">
        <f t="shared" si="178"/>
        <v>=42</v>
      </c>
      <c r="AY207" s="1" t="str">
        <f t="shared" si="178"/>
        <v>=10</v>
      </c>
      <c r="AZ207" s="1" t="str">
        <f t="shared" si="178"/>
        <v>=1</v>
      </c>
      <c r="BA207" s="1" t="str">
        <f t="shared" si="178"/>
        <v>=10</v>
      </c>
      <c r="BB207" s="1" t="str">
        <f t="shared" si="178"/>
        <v>=10</v>
      </c>
      <c r="BC207" s="1" t="str">
        <f t="shared" si="178"/>
        <v>=10</v>
      </c>
      <c r="BD207" s="1" t="str">
        <f t="shared" si="178"/>
        <v>=1</v>
      </c>
      <c r="BE207" s="1" t="str">
        <f t="shared" si="178"/>
        <v>=10</v>
      </c>
      <c r="BF207" s="1" t="str">
        <f t="shared" si="178"/>
        <v>=10</v>
      </c>
      <c r="BG207" s="1" t="str">
        <f t="shared" si="178"/>
        <v>=10</v>
      </c>
      <c r="BH207" s="1" t="str">
        <f t="shared" si="178"/>
        <v>=1</v>
      </c>
      <c r="BI207" s="1" t="str">
        <f t="shared" si="178"/>
        <v>=10</v>
      </c>
      <c r="BJ207" s="1" t="str">
        <f t="shared" si="178"/>
        <v>=1</v>
      </c>
    </row>
    <row r="208" spans="1:62">
      <c r="A208" s="1" t="str">
        <f t="shared" si="156"/>
        <v>   1.2.3) Percentage with Internet access</v>
      </c>
      <c r="B208" s="1" t="str">
        <f t="shared" ref="B208:AG208" si="179">IF(B143&gt;1,"=","")&amp;B78</f>
        <v>4</v>
      </c>
      <c r="C208" s="1" t="str">
        <f t="shared" si="179"/>
        <v>1</v>
      </c>
      <c r="D208" s="1" t="str">
        <f t="shared" si="179"/>
        <v>36</v>
      </c>
      <c r="E208" s="1" t="str">
        <f t="shared" si="179"/>
        <v>53</v>
      </c>
      <c r="F208" s="1" t="str">
        <f t="shared" si="179"/>
        <v>=21</v>
      </c>
      <c r="G208" s="1" t="str">
        <f t="shared" si="179"/>
        <v>25</v>
      </c>
      <c r="H208" s="1" t="str">
        <f t="shared" si="179"/>
        <v>45</v>
      </c>
      <c r="I208" s="1" t="str">
        <f t="shared" si="179"/>
        <v>13</v>
      </c>
      <c r="J208" s="1" t="str">
        <f t="shared" si="179"/>
        <v>35</v>
      </c>
      <c r="K208" s="1" t="str">
        <f t="shared" si="179"/>
        <v>54</v>
      </c>
      <c r="L208" s="1" t="str">
        <f t="shared" si="179"/>
        <v>40</v>
      </c>
      <c r="M208" s="1" t="str">
        <f t="shared" si="179"/>
        <v>44</v>
      </c>
      <c r="N208" s="1" t="str">
        <f t="shared" si="179"/>
        <v>20</v>
      </c>
      <c r="O208" s="1" t="str">
        <f t="shared" si="179"/>
        <v>29</v>
      </c>
      <c r="P208" s="1" t="str">
        <f t="shared" si="179"/>
        <v>=55</v>
      </c>
      <c r="Q208" s="1" t="str">
        <f t="shared" si="179"/>
        <v>60</v>
      </c>
      <c r="R208" s="1" t="str">
        <f t="shared" si="179"/>
        <v>2</v>
      </c>
      <c r="S208" s="1" t="str">
        <f t="shared" si="179"/>
        <v>10</v>
      </c>
      <c r="T208" s="1" t="str">
        <f t="shared" si="179"/>
        <v>47</v>
      </c>
      <c r="U208" s="1" t="str">
        <f t="shared" si="179"/>
        <v>14</v>
      </c>
      <c r="V208" s="1" t="str">
        <f t="shared" si="179"/>
        <v>46</v>
      </c>
      <c r="W208" s="1" t="str">
        <f t="shared" si="179"/>
        <v>57</v>
      </c>
      <c r="X208" s="1" t="str">
        <f t="shared" si="179"/>
        <v>=33</v>
      </c>
      <c r="Y208" s="1" t="str">
        <f t="shared" si="179"/>
        <v>48</v>
      </c>
      <c r="Z208" s="1" t="str">
        <f t="shared" si="179"/>
        <v>59</v>
      </c>
      <c r="AA208" s="1" t="str">
        <f t="shared" si="179"/>
        <v>30</v>
      </c>
      <c r="AB208" s="1" t="str">
        <f t="shared" si="179"/>
        <v>19</v>
      </c>
      <c r="AC208" s="1" t="str">
        <f t="shared" si="179"/>
        <v>51</v>
      </c>
      <c r="AD208" s="1" t="str">
        <f t="shared" si="179"/>
        <v>3</v>
      </c>
      <c r="AE208" s="1" t="str">
        <f t="shared" si="179"/>
        <v>=26</v>
      </c>
      <c r="AF208" s="1" t="str">
        <f t="shared" si="179"/>
        <v>=21</v>
      </c>
      <c r="AG208" s="1" t="str">
        <f t="shared" si="179"/>
        <v>52</v>
      </c>
      <c r="AH208" s="1" t="str">
        <f t="shared" ref="AH208:BJ208" si="180">IF(AH143&gt;1,"=","")&amp;AH78</f>
        <v>=12</v>
      </c>
      <c r="AI208" s="1" t="str">
        <f t="shared" si="180"/>
        <v>43</v>
      </c>
      <c r="AJ208" s="1" t="str">
        <f t="shared" si="180"/>
        <v>=37</v>
      </c>
      <c r="AK208" s="1" t="str">
        <f t="shared" si="180"/>
        <v>32</v>
      </c>
      <c r="AL208" s="1" t="str">
        <f t="shared" si="180"/>
        <v>=55</v>
      </c>
      <c r="AM208" s="1" t="str">
        <f t="shared" si="180"/>
        <v>28</v>
      </c>
      <c r="AN208" s="1" t="str">
        <f t="shared" si="180"/>
        <v>=16</v>
      </c>
      <c r="AO208" s="1" t="str">
        <f t="shared" si="180"/>
        <v>15</v>
      </c>
      <c r="AP208" s="1" t="str">
        <f t="shared" si="180"/>
        <v>49</v>
      </c>
      <c r="AQ208" s="1" t="str">
        <f t="shared" si="180"/>
        <v>=41</v>
      </c>
      <c r="AR208" s="1" t="str">
        <f t="shared" si="180"/>
        <v>=33</v>
      </c>
      <c r="AS208" s="1" t="str">
        <f t="shared" si="180"/>
        <v>=37</v>
      </c>
      <c r="AT208" s="1" t="str">
        <f t="shared" si="180"/>
        <v>=26</v>
      </c>
      <c r="AU208" s="1" t="str">
        <f t="shared" si="180"/>
        <v>39</v>
      </c>
      <c r="AV208" s="1" t="str">
        <f t="shared" si="180"/>
        <v>=41</v>
      </c>
      <c r="AW208" s="1" t="str">
        <f t="shared" si="180"/>
        <v>7</v>
      </c>
      <c r="AX208" s="1" t="str">
        <f t="shared" si="180"/>
        <v>31</v>
      </c>
      <c r="AY208" s="1" t="str">
        <f t="shared" si="180"/>
        <v>18</v>
      </c>
      <c r="AZ208" s="1" t="str">
        <f t="shared" si="180"/>
        <v>5</v>
      </c>
      <c r="BA208" s="1" t="str">
        <f t="shared" si="180"/>
        <v>=16</v>
      </c>
      <c r="BB208" s="1" t="str">
        <f t="shared" si="180"/>
        <v>23</v>
      </c>
      <c r="BC208" s="1" t="str">
        <f t="shared" si="180"/>
        <v>50</v>
      </c>
      <c r="BD208" s="1" t="str">
        <f t="shared" si="180"/>
        <v>6</v>
      </c>
      <c r="BE208" s="1" t="str">
        <f t="shared" si="180"/>
        <v>8</v>
      </c>
      <c r="BF208" s="1" t="str">
        <f t="shared" si="180"/>
        <v>24</v>
      </c>
      <c r="BG208" s="1" t="str">
        <f t="shared" si="180"/>
        <v>9</v>
      </c>
      <c r="BH208" s="1" t="str">
        <f t="shared" si="180"/>
        <v>58</v>
      </c>
      <c r="BI208" s="1" t="str">
        <f t="shared" si="180"/>
        <v>11</v>
      </c>
      <c r="BJ208" s="1" t="str">
        <f t="shared" si="180"/>
        <v>=12</v>
      </c>
    </row>
    <row r="209" spans="1:62">
      <c r="A209" s="1" t="str">
        <f t="shared" si="156"/>
        <v> 2) HEALTH SECURITY</v>
      </c>
      <c r="B209" s="1" t="str">
        <f t="shared" ref="B209:AG209" si="181">IF(B144&gt;1,"=","")&amp;B79</f>
        <v>33</v>
      </c>
      <c r="C209" s="1" t="str">
        <f t="shared" si="181"/>
        <v>12</v>
      </c>
      <c r="D209" s="1" t="str">
        <f t="shared" si="181"/>
        <v>21</v>
      </c>
      <c r="E209" s="1" t="str">
        <f t="shared" si="181"/>
        <v>37</v>
      </c>
      <c r="F209" s="1" t="str">
        <f t="shared" si="181"/>
        <v>16</v>
      </c>
      <c r="G209" s="1" t="str">
        <f t="shared" si="181"/>
        <v>34</v>
      </c>
      <c r="H209" s="1" t="str">
        <f t="shared" si="181"/>
        <v>39</v>
      </c>
      <c r="I209" s="1" t="str">
        <f t="shared" si="181"/>
        <v>7</v>
      </c>
      <c r="J209" s="1" t="str">
        <f t="shared" si="181"/>
        <v>20</v>
      </c>
      <c r="K209" s="1" t="str">
        <f t="shared" si="181"/>
        <v>57</v>
      </c>
      <c r="L209" s="1" t="str">
        <f t="shared" si="181"/>
        <v>54</v>
      </c>
      <c r="M209" s="1" t="str">
        <f t="shared" si="181"/>
        <v>51</v>
      </c>
      <c r="N209" s="1" t="str">
        <f t="shared" si="181"/>
        <v>27</v>
      </c>
      <c r="O209" s="1" t="str">
        <f t="shared" si="181"/>
        <v>29</v>
      </c>
      <c r="P209" s="1" t="str">
        <f t="shared" si="181"/>
        <v>50</v>
      </c>
      <c r="Q209" s="1" t="str">
        <f t="shared" si="181"/>
        <v>59</v>
      </c>
      <c r="R209" s="1" t="str">
        <f t="shared" si="181"/>
        <v>=45</v>
      </c>
      <c r="S209" s="1" t="str">
        <f t="shared" si="181"/>
        <v>3</v>
      </c>
      <c r="T209" s="1" t="str">
        <f t="shared" si="181"/>
        <v>48</v>
      </c>
      <c r="U209" s="1" t="str">
        <f t="shared" si="181"/>
        <v>24</v>
      </c>
      <c r="V209" s="1" t="str">
        <f t="shared" si="181"/>
        <v>=45</v>
      </c>
      <c r="W209" s="1" t="str">
        <f t="shared" si="181"/>
        <v>56</v>
      </c>
      <c r="X209" s="1" t="str">
        <f t="shared" si="181"/>
        <v>43</v>
      </c>
      <c r="Y209" s="1" t="str">
        <f t="shared" si="181"/>
        <v>52</v>
      </c>
      <c r="Z209" s="1" t="str">
        <f t="shared" si="181"/>
        <v>60</v>
      </c>
      <c r="AA209" s="1" t="str">
        <f t="shared" si="181"/>
        <v>36</v>
      </c>
      <c r="AB209" s="1" t="str">
        <f t="shared" si="181"/>
        <v>41</v>
      </c>
      <c r="AC209" s="1" t="str">
        <f t="shared" si="181"/>
        <v>47</v>
      </c>
      <c r="AD209" s="1" t="str">
        <f t="shared" si="181"/>
        <v>19</v>
      </c>
      <c r="AE209" s="1" t="str">
        <f t="shared" si="181"/>
        <v>26</v>
      </c>
      <c r="AF209" s="1" t="str">
        <f t="shared" si="181"/>
        <v>15</v>
      </c>
      <c r="AG209" s="1" t="str">
        <f t="shared" si="181"/>
        <v>49</v>
      </c>
      <c r="AH209" s="1" t="str">
        <f t="shared" ref="AH209:BJ209" si="182">IF(AH144&gt;1,"=","")&amp;AH79</f>
        <v>9</v>
      </c>
      <c r="AI209" s="1" t="str">
        <f t="shared" si="182"/>
        <v>28</v>
      </c>
      <c r="AJ209" s="1" t="str">
        <f t="shared" si="182"/>
        <v>17</v>
      </c>
      <c r="AK209" s="1" t="str">
        <f t="shared" si="182"/>
        <v>25</v>
      </c>
      <c r="AL209" s="1" t="str">
        <f t="shared" si="182"/>
        <v>55</v>
      </c>
      <c r="AM209" s="1" t="str">
        <f t="shared" si="182"/>
        <v>31</v>
      </c>
      <c r="AN209" s="1" t="str">
        <f t="shared" si="182"/>
        <v>=1</v>
      </c>
      <c r="AO209" s="1" t="str">
        <f t="shared" si="182"/>
        <v>8</v>
      </c>
      <c r="AP209" s="1" t="str">
        <f t="shared" si="182"/>
        <v>53</v>
      </c>
      <c r="AQ209" s="1" t="str">
        <f t="shared" si="182"/>
        <v>40</v>
      </c>
      <c r="AR209" s="1" t="str">
        <f t="shared" si="182"/>
        <v>38</v>
      </c>
      <c r="AS209" s="1" t="str">
        <f t="shared" si="182"/>
        <v>18</v>
      </c>
      <c r="AT209" s="1" t="str">
        <f t="shared" si="182"/>
        <v>22</v>
      </c>
      <c r="AU209" s="1" t="str">
        <f t="shared" si="182"/>
        <v>35</v>
      </c>
      <c r="AV209" s="1" t="str">
        <f t="shared" si="182"/>
        <v>42</v>
      </c>
      <c r="AW209" s="1" t="str">
        <f t="shared" si="182"/>
        <v>5</v>
      </c>
      <c r="AX209" s="1" t="str">
        <f t="shared" si="182"/>
        <v>30</v>
      </c>
      <c r="AY209" s="1" t="str">
        <f t="shared" si="182"/>
        <v>13</v>
      </c>
      <c r="AZ209" s="1" t="str">
        <f t="shared" si="182"/>
        <v>10</v>
      </c>
      <c r="BA209" s="1" t="str">
        <f t="shared" si="182"/>
        <v>6</v>
      </c>
      <c r="BB209" s="1" t="str">
        <f t="shared" si="182"/>
        <v>14</v>
      </c>
      <c r="BC209" s="1" t="str">
        <f t="shared" si="182"/>
        <v>44</v>
      </c>
      <c r="BD209" s="1" t="str">
        <f t="shared" si="182"/>
        <v>2</v>
      </c>
      <c r="BE209" s="1" t="str">
        <f t="shared" si="182"/>
        <v>11</v>
      </c>
      <c r="BF209" s="1" t="str">
        <f t="shared" si="182"/>
        <v>23</v>
      </c>
      <c r="BG209" s="1" t="str">
        <f t="shared" si="182"/>
        <v>32</v>
      </c>
      <c r="BH209" s="1" t="str">
        <f t="shared" si="182"/>
        <v>58</v>
      </c>
      <c r="BI209" s="1" t="str">
        <f t="shared" si="182"/>
        <v>4</v>
      </c>
      <c r="BJ209" s="1" t="str">
        <f t="shared" si="182"/>
        <v>=1</v>
      </c>
    </row>
    <row r="210" spans="1:62">
      <c r="A210" s="1" t="str">
        <f t="shared" si="156"/>
        <v>  2.1) Health security (Inputs)</v>
      </c>
      <c r="B210" s="1" t="str">
        <f t="shared" ref="B210:AG210" si="183">IF(B145&gt;1,"=","")&amp;B80</f>
        <v>37</v>
      </c>
      <c r="C210" s="1" t="str">
        <f t="shared" si="183"/>
        <v>9</v>
      </c>
      <c r="D210" s="1" t="str">
        <f t="shared" si="183"/>
        <v>31</v>
      </c>
      <c r="E210" s="1" t="str">
        <f t="shared" si="183"/>
        <v>39</v>
      </c>
      <c r="F210" s="1" t="str">
        <f t="shared" si="183"/>
        <v>15</v>
      </c>
      <c r="G210" s="1" t="str">
        <f t="shared" si="183"/>
        <v>26</v>
      </c>
      <c r="H210" s="1" t="str">
        <f t="shared" si="183"/>
        <v>43</v>
      </c>
      <c r="I210" s="1" t="str">
        <f t="shared" si="183"/>
        <v>6</v>
      </c>
      <c r="J210" s="1" t="str">
        <f t="shared" si="183"/>
        <v>16</v>
      </c>
      <c r="K210" s="1" t="str">
        <f t="shared" si="183"/>
        <v>54</v>
      </c>
      <c r="L210" s="1" t="str">
        <f t="shared" si="183"/>
        <v>57</v>
      </c>
      <c r="M210" s="1" t="str">
        <f t="shared" si="183"/>
        <v>53</v>
      </c>
      <c r="N210" s="1" t="str">
        <f t="shared" si="183"/>
        <v>23</v>
      </c>
      <c r="O210" s="1" t="str">
        <f t="shared" si="183"/>
        <v>32</v>
      </c>
      <c r="P210" s="1" t="str">
        <f t="shared" si="183"/>
        <v>34</v>
      </c>
      <c r="Q210" s="1" t="str">
        <f t="shared" si="183"/>
        <v>60</v>
      </c>
      <c r="R210" s="1" t="str">
        <f t="shared" si="183"/>
        <v>48</v>
      </c>
      <c r="S210" s="1" t="str">
        <f t="shared" si="183"/>
        <v>2</v>
      </c>
      <c r="T210" s="1" t="str">
        <f t="shared" si="183"/>
        <v>50</v>
      </c>
      <c r="U210" s="1" t="str">
        <f t="shared" si="183"/>
        <v>17</v>
      </c>
      <c r="V210" s="1" t="str">
        <f t="shared" si="183"/>
        <v>42</v>
      </c>
      <c r="W210" s="1" t="str">
        <f t="shared" si="183"/>
        <v>56</v>
      </c>
      <c r="X210" s="1" t="str">
        <f t="shared" si="183"/>
        <v>47</v>
      </c>
      <c r="Y210" s="1" t="str">
        <f t="shared" si="183"/>
        <v>36</v>
      </c>
      <c r="Z210" s="1" t="str">
        <f t="shared" si="183"/>
        <v>59</v>
      </c>
      <c r="AA210" s="1" t="str">
        <f t="shared" si="183"/>
        <v>41</v>
      </c>
      <c r="AB210" s="1" t="str">
        <f t="shared" si="183"/>
        <v>46</v>
      </c>
      <c r="AC210" s="1" t="str">
        <f t="shared" si="183"/>
        <v>40</v>
      </c>
      <c r="AD210" s="1" t="str">
        <f t="shared" si="183"/>
        <v>28</v>
      </c>
      <c r="AE210" s="1" t="str">
        <f t="shared" si="183"/>
        <v>24</v>
      </c>
      <c r="AF210" s="1" t="str">
        <f t="shared" si="183"/>
        <v>19</v>
      </c>
      <c r="AG210" s="1" t="str">
        <f t="shared" si="183"/>
        <v>51</v>
      </c>
      <c r="AH210" s="1" t="str">
        <f t="shared" ref="AH210:BJ210" si="184">IF(AH145&gt;1,"=","")&amp;AH80</f>
        <v>12</v>
      </c>
      <c r="AI210" s="1" t="str">
        <f t="shared" si="184"/>
        <v>33</v>
      </c>
      <c r="AJ210" s="1" t="str">
        <f t="shared" si="184"/>
        <v>22</v>
      </c>
      <c r="AK210" s="1" t="str">
        <f t="shared" si="184"/>
        <v>13</v>
      </c>
      <c r="AL210" s="1" t="str">
        <f t="shared" si="184"/>
        <v>52</v>
      </c>
      <c r="AM210" s="1" t="str">
        <f t="shared" si="184"/>
        <v>18</v>
      </c>
      <c r="AN210" s="1" t="str">
        <f t="shared" si="184"/>
        <v>=1</v>
      </c>
      <c r="AO210" s="1" t="str">
        <f t="shared" si="184"/>
        <v>5</v>
      </c>
      <c r="AP210" s="1" t="str">
        <f t="shared" si="184"/>
        <v>55</v>
      </c>
      <c r="AQ210" s="1" t="str">
        <f t="shared" si="184"/>
        <v>38</v>
      </c>
      <c r="AR210" s="1" t="str">
        <f t="shared" si="184"/>
        <v>45</v>
      </c>
      <c r="AS210" s="1" t="str">
        <f t="shared" si="184"/>
        <v>29</v>
      </c>
      <c r="AT210" s="1" t="str">
        <f t="shared" si="184"/>
        <v>27</v>
      </c>
      <c r="AU210" s="1" t="str">
        <f t="shared" si="184"/>
        <v>44</v>
      </c>
      <c r="AV210" s="1" t="str">
        <f t="shared" si="184"/>
        <v>35</v>
      </c>
      <c r="AW210" s="1" t="str">
        <f t="shared" si="184"/>
        <v>7</v>
      </c>
      <c r="AX210" s="1" t="str">
        <f t="shared" si="184"/>
        <v>30</v>
      </c>
      <c r="AY210" s="1" t="str">
        <f t="shared" si="184"/>
        <v>21</v>
      </c>
      <c r="AZ210" s="1" t="str">
        <f t="shared" si="184"/>
        <v>20</v>
      </c>
      <c r="BA210" s="1" t="str">
        <f t="shared" si="184"/>
        <v>11</v>
      </c>
      <c r="BB210" s="1" t="str">
        <f t="shared" si="184"/>
        <v>10</v>
      </c>
      <c r="BC210" s="1" t="str">
        <f t="shared" si="184"/>
        <v>49</v>
      </c>
      <c r="BD210" s="1" t="str">
        <f t="shared" si="184"/>
        <v>3</v>
      </c>
      <c r="BE210" s="1" t="str">
        <f t="shared" si="184"/>
        <v>14</v>
      </c>
      <c r="BF210" s="1" t="str">
        <f t="shared" si="184"/>
        <v>4</v>
      </c>
      <c r="BG210" s="1" t="str">
        <f t="shared" si="184"/>
        <v>25</v>
      </c>
      <c r="BH210" s="1" t="str">
        <f t="shared" si="184"/>
        <v>58</v>
      </c>
      <c r="BI210" s="1" t="str">
        <f t="shared" si="184"/>
        <v>8</v>
      </c>
      <c r="BJ210" s="1" t="str">
        <f t="shared" si="184"/>
        <v>=1</v>
      </c>
    </row>
    <row r="211" spans="1:62">
      <c r="A211" s="1" t="str">
        <f t="shared" si="156"/>
        <v>   2.1.1) Environmental policies</v>
      </c>
      <c r="B211" s="1" t="str">
        <f t="shared" ref="B211:AG211" si="185">IF(B146&gt;1,"=","")&amp;B81</f>
        <v>=38</v>
      </c>
      <c r="C211" s="1" t="str">
        <f t="shared" si="185"/>
        <v>=2</v>
      </c>
      <c r="D211" s="1" t="str">
        <f t="shared" si="185"/>
        <v>49</v>
      </c>
      <c r="E211" s="1" t="str">
        <f t="shared" si="185"/>
        <v>=33</v>
      </c>
      <c r="F211" s="1" t="str">
        <f t="shared" si="185"/>
        <v>=27</v>
      </c>
      <c r="G211" s="1" t="str">
        <f t="shared" si="185"/>
        <v>=30</v>
      </c>
      <c r="H211" s="1" t="str">
        <f t="shared" si="185"/>
        <v>=38</v>
      </c>
      <c r="I211" s="1" t="str">
        <f t="shared" si="185"/>
        <v>=2</v>
      </c>
      <c r="J211" s="1" t="str">
        <f t="shared" si="185"/>
        <v>=12</v>
      </c>
      <c r="K211" s="1" t="str">
        <f t="shared" si="185"/>
        <v>47</v>
      </c>
      <c r="L211" s="1" t="str">
        <f t="shared" si="185"/>
        <v>=56</v>
      </c>
      <c r="M211" s="1" t="str">
        <f t="shared" si="185"/>
        <v>=38</v>
      </c>
      <c r="N211" s="1" t="str">
        <f t="shared" si="185"/>
        <v>=12</v>
      </c>
      <c r="O211" s="1" t="str">
        <f t="shared" si="185"/>
        <v>32</v>
      </c>
      <c r="P211" s="1" t="str">
        <f t="shared" si="185"/>
        <v>=12</v>
      </c>
      <c r="Q211" s="1" t="str">
        <f t="shared" si="185"/>
        <v>59</v>
      </c>
      <c r="R211" s="1" t="str">
        <f t="shared" si="185"/>
        <v>=54</v>
      </c>
      <c r="S211" s="1" t="str">
        <f t="shared" si="185"/>
        <v>=12</v>
      </c>
      <c r="T211" s="1" t="str">
        <f t="shared" si="185"/>
        <v>=38</v>
      </c>
      <c r="U211" s="1" t="str">
        <f t="shared" si="185"/>
        <v>=2</v>
      </c>
      <c r="V211" s="1" t="str">
        <f t="shared" si="185"/>
        <v>=33</v>
      </c>
      <c r="W211" s="1" t="str">
        <f t="shared" si="185"/>
        <v>48</v>
      </c>
      <c r="X211" s="1" t="str">
        <f t="shared" si="185"/>
        <v>=51</v>
      </c>
      <c r="Y211" s="1" t="str">
        <f t="shared" si="185"/>
        <v>=18</v>
      </c>
      <c r="Z211" s="1" t="str">
        <f t="shared" si="185"/>
        <v>58</v>
      </c>
      <c r="AA211" s="1" t="str">
        <f t="shared" si="185"/>
        <v>=38</v>
      </c>
      <c r="AB211" s="1" t="str">
        <f t="shared" si="185"/>
        <v>60</v>
      </c>
      <c r="AC211" s="1" t="str">
        <f t="shared" si="185"/>
        <v>=35</v>
      </c>
      <c r="AD211" s="1" t="str">
        <f t="shared" si="185"/>
        <v>=25</v>
      </c>
      <c r="AE211" s="1" t="str">
        <f t="shared" si="185"/>
        <v>=8</v>
      </c>
      <c r="AF211" s="1" t="str">
        <f t="shared" si="185"/>
        <v>=27</v>
      </c>
      <c r="AG211" s="1" t="str">
        <f t="shared" si="185"/>
        <v>=54</v>
      </c>
      <c r="AH211" s="1" t="str">
        <f t="shared" ref="AH211:BJ211" si="186">IF(AH146&gt;1,"=","")&amp;AH81</f>
        <v>=27</v>
      </c>
      <c r="AI211" s="1" t="str">
        <f t="shared" si="186"/>
        <v>=18</v>
      </c>
      <c r="AJ211" s="1" t="str">
        <f t="shared" si="186"/>
        <v>=25</v>
      </c>
      <c r="AK211" s="1" t="str">
        <f t="shared" si="186"/>
        <v>37</v>
      </c>
      <c r="AL211" s="1" t="str">
        <f t="shared" si="186"/>
        <v>=51</v>
      </c>
      <c r="AM211" s="1" t="str">
        <f t="shared" si="186"/>
        <v>=8</v>
      </c>
      <c r="AN211" s="1" t="str">
        <f t="shared" si="186"/>
        <v>=12</v>
      </c>
      <c r="AO211" s="1" t="str">
        <f t="shared" si="186"/>
        <v>=2</v>
      </c>
      <c r="AP211" s="1" t="str">
        <f t="shared" si="186"/>
        <v>=56</v>
      </c>
      <c r="AQ211" s="1" t="str">
        <f t="shared" si="186"/>
        <v>=44</v>
      </c>
      <c r="AR211" s="1" t="str">
        <f t="shared" si="186"/>
        <v>=51</v>
      </c>
      <c r="AS211" s="1" t="str">
        <f t="shared" si="186"/>
        <v>=35</v>
      </c>
      <c r="AT211" s="1" t="str">
        <f t="shared" si="186"/>
        <v>=12</v>
      </c>
      <c r="AU211" s="1" t="str">
        <f t="shared" si="186"/>
        <v>46</v>
      </c>
      <c r="AV211" s="1" t="str">
        <f t="shared" si="186"/>
        <v>=44</v>
      </c>
      <c r="AW211" s="1" t="str">
        <f t="shared" si="186"/>
        <v>11</v>
      </c>
      <c r="AX211" s="1" t="str">
        <f t="shared" si="186"/>
        <v>=30</v>
      </c>
      <c r="AY211" s="1" t="str">
        <f t="shared" si="186"/>
        <v>=2</v>
      </c>
      <c r="AZ211" s="1" t="str">
        <f t="shared" si="186"/>
        <v>=18</v>
      </c>
      <c r="BA211" s="1" t="str">
        <f t="shared" si="186"/>
        <v>=18</v>
      </c>
      <c r="BB211" s="1" t="str">
        <f t="shared" si="186"/>
        <v>=2</v>
      </c>
      <c r="BC211" s="1" t="str">
        <f t="shared" si="186"/>
        <v>=38</v>
      </c>
      <c r="BD211" s="1" t="str">
        <f t="shared" si="186"/>
        <v>=18</v>
      </c>
      <c r="BE211" s="1" t="str">
        <f t="shared" si="186"/>
        <v>=8</v>
      </c>
      <c r="BF211" s="1" t="str">
        <f t="shared" si="186"/>
        <v>=1</v>
      </c>
      <c r="BG211" s="1" t="str">
        <f t="shared" si="186"/>
        <v>=18</v>
      </c>
      <c r="BH211" s="1" t="str">
        <f t="shared" si="186"/>
        <v>50</v>
      </c>
      <c r="BI211" s="1" t="str">
        <f t="shared" si="186"/>
        <v>=18</v>
      </c>
      <c r="BJ211" s="1" t="str">
        <f t="shared" si="186"/>
        <v>=1</v>
      </c>
    </row>
    <row r="212" spans="1:62">
      <c r="A212" s="1" t="str">
        <f t="shared" si="156"/>
        <v>   2.1.2) Access to healthcare</v>
      </c>
      <c r="B212" s="1" t="str">
        <f t="shared" ref="B212:AG212" si="187">IF(B147&gt;1,"=","")&amp;B82</f>
        <v>=43</v>
      </c>
      <c r="C212" s="1" t="str">
        <f t="shared" si="187"/>
        <v>=1</v>
      </c>
      <c r="D212" s="1" t="str">
        <f t="shared" si="187"/>
        <v>=43</v>
      </c>
      <c r="E212" s="1" t="str">
        <f t="shared" si="187"/>
        <v>=34</v>
      </c>
      <c r="F212" s="1" t="str">
        <f t="shared" si="187"/>
        <v>=11</v>
      </c>
      <c r="G212" s="1" t="str">
        <f t="shared" si="187"/>
        <v>=25</v>
      </c>
      <c r="H212" s="1" t="str">
        <f t="shared" si="187"/>
        <v>=43</v>
      </c>
      <c r="I212" s="1" t="str">
        <f t="shared" si="187"/>
        <v>=1</v>
      </c>
      <c r="J212" s="1" t="str">
        <f t="shared" si="187"/>
        <v>=11</v>
      </c>
      <c r="K212" s="1" t="str">
        <f t="shared" si="187"/>
        <v>=54</v>
      </c>
      <c r="L212" s="1" t="str">
        <f t="shared" si="187"/>
        <v>59</v>
      </c>
      <c r="M212" s="1" t="str">
        <f t="shared" si="187"/>
        <v>=54</v>
      </c>
      <c r="N212" s="1" t="str">
        <f t="shared" si="187"/>
        <v>=11</v>
      </c>
      <c r="O212" s="1" t="str">
        <f t="shared" si="187"/>
        <v>=25</v>
      </c>
      <c r="P212" s="1" t="str">
        <f t="shared" si="187"/>
        <v>=34</v>
      </c>
      <c r="Q212" s="1" t="str">
        <f t="shared" si="187"/>
        <v>60</v>
      </c>
      <c r="R212" s="1" t="str">
        <f t="shared" si="187"/>
        <v>=34</v>
      </c>
      <c r="S212" s="1" t="str">
        <f t="shared" si="187"/>
        <v>=1</v>
      </c>
      <c r="T212" s="1" t="str">
        <f t="shared" si="187"/>
        <v>=43</v>
      </c>
      <c r="U212" s="1" t="str">
        <f t="shared" si="187"/>
        <v>=11</v>
      </c>
      <c r="V212" s="1" t="str">
        <f t="shared" si="187"/>
        <v>=54</v>
      </c>
      <c r="W212" s="1" t="str">
        <f t="shared" si="187"/>
        <v>=43</v>
      </c>
      <c r="X212" s="1" t="str">
        <f t="shared" si="187"/>
        <v>=43</v>
      </c>
      <c r="Y212" s="1" t="str">
        <f t="shared" si="187"/>
        <v>=34</v>
      </c>
      <c r="Z212" s="1" t="str">
        <f t="shared" si="187"/>
        <v>=52</v>
      </c>
      <c r="AA212" s="1" t="str">
        <f t="shared" si="187"/>
        <v>=43</v>
      </c>
      <c r="AB212" s="1" t="str">
        <f t="shared" si="187"/>
        <v>=34</v>
      </c>
      <c r="AC212" s="1" t="str">
        <f t="shared" si="187"/>
        <v>=25</v>
      </c>
      <c r="AD212" s="1" t="str">
        <f t="shared" si="187"/>
        <v>=25</v>
      </c>
      <c r="AE212" s="1" t="str">
        <f t="shared" si="187"/>
        <v>=11</v>
      </c>
      <c r="AF212" s="1" t="str">
        <f t="shared" si="187"/>
        <v>=11</v>
      </c>
      <c r="AG212" s="1" t="str">
        <f t="shared" si="187"/>
        <v>=43</v>
      </c>
      <c r="AH212" s="1" t="str">
        <f t="shared" ref="AH212:BJ212" si="188">IF(AH147&gt;1,"=","")&amp;AH82</f>
        <v>=1</v>
      </c>
      <c r="AI212" s="1" t="str">
        <f t="shared" si="188"/>
        <v>=25</v>
      </c>
      <c r="AJ212" s="1" t="str">
        <f t="shared" si="188"/>
        <v>=11</v>
      </c>
      <c r="AK212" s="1" t="str">
        <f t="shared" si="188"/>
        <v>=34</v>
      </c>
      <c r="AL212" s="1" t="str">
        <f t="shared" si="188"/>
        <v>=25</v>
      </c>
      <c r="AM212" s="1" t="str">
        <f t="shared" si="188"/>
        <v>=11</v>
      </c>
      <c r="AN212" s="1" t="str">
        <f t="shared" si="188"/>
        <v>=1</v>
      </c>
      <c r="AO212" s="1" t="str">
        <f t="shared" si="188"/>
        <v>=1</v>
      </c>
      <c r="AP212" s="1" t="str">
        <f t="shared" si="188"/>
        <v>=54</v>
      </c>
      <c r="AQ212" s="1" t="str">
        <f t="shared" si="188"/>
        <v>=43</v>
      </c>
      <c r="AR212" s="1" t="str">
        <f t="shared" si="188"/>
        <v>=34</v>
      </c>
      <c r="AS212" s="1" t="str">
        <f t="shared" si="188"/>
        <v>=11</v>
      </c>
      <c r="AT212" s="1" t="str">
        <f t="shared" si="188"/>
        <v>=11</v>
      </c>
      <c r="AU212" s="1" t="str">
        <f t="shared" si="188"/>
        <v>=34</v>
      </c>
      <c r="AV212" s="1" t="str">
        <f t="shared" si="188"/>
        <v>=34</v>
      </c>
      <c r="AW212" s="1" t="str">
        <f t="shared" si="188"/>
        <v>=11</v>
      </c>
      <c r="AX212" s="1" t="str">
        <f t="shared" si="188"/>
        <v>=25</v>
      </c>
      <c r="AY212" s="1" t="str">
        <f t="shared" si="188"/>
        <v>=11</v>
      </c>
      <c r="AZ212" s="1" t="str">
        <f t="shared" si="188"/>
        <v>=25</v>
      </c>
      <c r="BA212" s="1" t="str">
        <f t="shared" si="188"/>
        <v>=1</v>
      </c>
      <c r="BB212" s="1" t="str">
        <f t="shared" si="188"/>
        <v>=25</v>
      </c>
      <c r="BC212" s="1" t="str">
        <f t="shared" si="188"/>
        <v>=52</v>
      </c>
      <c r="BD212" s="1" t="str">
        <f t="shared" si="188"/>
        <v>=1</v>
      </c>
      <c r="BE212" s="1" t="str">
        <f t="shared" si="188"/>
        <v>=1</v>
      </c>
      <c r="BF212" s="1" t="str">
        <f t="shared" si="188"/>
        <v>=11</v>
      </c>
      <c r="BG212" s="1" t="str">
        <f t="shared" si="188"/>
        <v>=11</v>
      </c>
      <c r="BH212" s="1" t="str">
        <f t="shared" si="188"/>
        <v>=54</v>
      </c>
      <c r="BI212" s="1" t="str">
        <f t="shared" si="188"/>
        <v>=1</v>
      </c>
      <c r="BJ212" s="1" t="str">
        <f t="shared" si="188"/>
        <v>=1</v>
      </c>
    </row>
    <row r="213" spans="1:62">
      <c r="A213" s="1" t="str">
        <f t="shared" si="156"/>
        <v>   2.1.3) No. of beds per 1,000</v>
      </c>
      <c r="B213" s="1" t="str">
        <f t="shared" ref="B213:AG213" si="189">IF(B148&gt;1,"=","")&amp;B83</f>
        <v>51</v>
      </c>
      <c r="C213" s="1" t="str">
        <f t="shared" si="189"/>
        <v>=14</v>
      </c>
      <c r="D213" s="1" t="str">
        <f t="shared" si="189"/>
        <v>13</v>
      </c>
      <c r="E213" s="1" t="str">
        <f t="shared" si="189"/>
        <v>=36</v>
      </c>
      <c r="F213" s="1" t="str">
        <f t="shared" si="189"/>
        <v>=21</v>
      </c>
      <c r="G213" s="1" t="str">
        <f t="shared" si="189"/>
        <v>9</v>
      </c>
      <c r="H213" s="1" t="str">
        <f t="shared" si="189"/>
        <v>=46</v>
      </c>
      <c r="I213" s="1" t="str">
        <f t="shared" si="189"/>
        <v>7</v>
      </c>
      <c r="J213" s="1" t="str">
        <f t="shared" si="189"/>
        <v>=14</v>
      </c>
      <c r="K213" s="1" t="str">
        <f t="shared" si="189"/>
        <v>59</v>
      </c>
      <c r="L213" s="1" t="str">
        <f t="shared" si="189"/>
        <v>=53</v>
      </c>
      <c r="M213" s="1" t="str">
        <f t="shared" si="189"/>
        <v>=53</v>
      </c>
      <c r="N213" s="1" t="str">
        <f t="shared" si="189"/>
        <v>=28</v>
      </c>
      <c r="O213" s="1" t="str">
        <f t="shared" si="189"/>
        <v>=31</v>
      </c>
      <c r="P213" s="1" t="str">
        <f t="shared" si="189"/>
        <v>24</v>
      </c>
      <c r="Q213" s="1" t="str">
        <f t="shared" si="189"/>
        <v>=57</v>
      </c>
      <c r="R213" s="1" t="str">
        <f t="shared" si="189"/>
        <v>50</v>
      </c>
      <c r="S213" s="1" t="str">
        <f t="shared" si="189"/>
        <v>6</v>
      </c>
      <c r="T213" s="1" t="str">
        <f t="shared" si="189"/>
        <v>=38</v>
      </c>
      <c r="U213" s="1" t="str">
        <f t="shared" si="189"/>
        <v>11</v>
      </c>
      <c r="V213" s="1" t="str">
        <f t="shared" si="189"/>
        <v>=28</v>
      </c>
      <c r="W213" s="1" t="str">
        <f t="shared" si="189"/>
        <v>=53</v>
      </c>
      <c r="X213" s="1" t="str">
        <f t="shared" si="189"/>
        <v>49</v>
      </c>
      <c r="Y213" s="1" t="str">
        <f t="shared" si="189"/>
        <v>=28</v>
      </c>
      <c r="Z213" s="1" t="str">
        <f t="shared" si="189"/>
        <v>=57</v>
      </c>
      <c r="AA213" s="1" t="str">
        <f t="shared" si="189"/>
        <v>40</v>
      </c>
      <c r="AB213" s="1" t="str">
        <f t="shared" si="189"/>
        <v>35</v>
      </c>
      <c r="AC213" s="1" t="str">
        <f t="shared" si="189"/>
        <v>=46</v>
      </c>
      <c r="AD213" s="1" t="str">
        <f t="shared" si="189"/>
        <v>23</v>
      </c>
      <c r="AE213" s="1" t="str">
        <f t="shared" si="189"/>
        <v>=41</v>
      </c>
      <c r="AF213" s="1" t="str">
        <f t="shared" si="189"/>
        <v>=21</v>
      </c>
      <c r="AG213" s="1" t="str">
        <f t="shared" si="189"/>
        <v>52</v>
      </c>
      <c r="AH213" s="1" t="str">
        <f t="shared" ref="AH213:BJ213" si="190">IF(AH148&gt;1,"=","")&amp;AH83</f>
        <v>=16</v>
      </c>
      <c r="AI213" s="1" t="str">
        <f t="shared" si="190"/>
        <v>=46</v>
      </c>
      <c r="AJ213" s="1" t="str">
        <f t="shared" si="190"/>
        <v>=18</v>
      </c>
      <c r="AK213" s="1" t="str">
        <f t="shared" si="190"/>
        <v>2</v>
      </c>
      <c r="AL213" s="1" t="str">
        <f t="shared" si="190"/>
        <v>20</v>
      </c>
      <c r="AM213" s="1" t="str">
        <f t="shared" si="190"/>
        <v>=25</v>
      </c>
      <c r="AN213" s="1" t="str">
        <f t="shared" si="190"/>
        <v>=1</v>
      </c>
      <c r="AO213" s="1" t="str">
        <f t="shared" si="190"/>
        <v>8</v>
      </c>
      <c r="AP213" s="1" t="str">
        <f t="shared" si="190"/>
        <v>45</v>
      </c>
      <c r="AQ213" s="1" t="str">
        <f t="shared" si="190"/>
        <v>=31</v>
      </c>
      <c r="AR213" s="1" t="str">
        <f t="shared" si="190"/>
        <v>44</v>
      </c>
      <c r="AS213" s="1" t="str">
        <f t="shared" si="190"/>
        <v>=18</v>
      </c>
      <c r="AT213" s="1" t="str">
        <f t="shared" si="190"/>
        <v>=41</v>
      </c>
      <c r="AU213" s="1" t="str">
        <f t="shared" si="190"/>
        <v>=36</v>
      </c>
      <c r="AV213" s="1" t="str">
        <f t="shared" si="190"/>
        <v>=31</v>
      </c>
      <c r="AW213" s="1" t="str">
        <f t="shared" si="190"/>
        <v>3</v>
      </c>
      <c r="AX213" s="1" t="str">
        <f t="shared" si="190"/>
        <v>10</v>
      </c>
      <c r="AY213" s="1" t="str">
        <f t="shared" si="190"/>
        <v>=38</v>
      </c>
      <c r="AZ213" s="1" t="str">
        <f t="shared" si="190"/>
        <v>=25</v>
      </c>
      <c r="BA213" s="1" t="str">
        <f t="shared" si="190"/>
        <v>=16</v>
      </c>
      <c r="BB213" s="1" t="str">
        <f t="shared" si="190"/>
        <v>5</v>
      </c>
      <c r="BC213" s="1" t="str">
        <f t="shared" si="190"/>
        <v>60</v>
      </c>
      <c r="BD213" s="1" t="str">
        <f t="shared" si="190"/>
        <v>4</v>
      </c>
      <c r="BE213" s="1" t="str">
        <f t="shared" si="190"/>
        <v>=25</v>
      </c>
      <c r="BF213" s="1" t="str">
        <f t="shared" si="190"/>
        <v>43</v>
      </c>
      <c r="BG213" s="1" t="str">
        <f t="shared" si="190"/>
        <v>=31</v>
      </c>
      <c r="BH213" s="1" t="str">
        <f t="shared" si="190"/>
        <v>56</v>
      </c>
      <c r="BI213" s="1" t="str">
        <f t="shared" si="190"/>
        <v>12</v>
      </c>
      <c r="BJ213" s="1" t="str">
        <f t="shared" si="190"/>
        <v>=1</v>
      </c>
    </row>
    <row r="214" spans="1:62">
      <c r="A214" s="1" t="str">
        <f t="shared" si="156"/>
        <v>   2.1.4) No. of doctors per 1,000</v>
      </c>
      <c r="B214" s="1" t="str">
        <f t="shared" ref="B214:AG214" si="191">IF(B149&gt;1,"=","")&amp;B84</f>
        <v>43</v>
      </c>
      <c r="C214" s="1" t="str">
        <f t="shared" si="191"/>
        <v>15</v>
      </c>
      <c r="D214" s="1" t="str">
        <f t="shared" si="191"/>
        <v>2</v>
      </c>
      <c r="E214" s="1" t="str">
        <f t="shared" si="191"/>
        <v>58</v>
      </c>
      <c r="F214" s="1" t="str">
        <f t="shared" si="191"/>
        <v>=9</v>
      </c>
      <c r="G214" s="1" t="str">
        <f t="shared" si="191"/>
        <v>8</v>
      </c>
      <c r="H214" s="1" t="str">
        <f t="shared" si="191"/>
        <v>42</v>
      </c>
      <c r="I214" s="1" t="str">
        <f t="shared" si="191"/>
        <v>19</v>
      </c>
      <c r="J214" s="1" t="str">
        <f t="shared" si="191"/>
        <v>11</v>
      </c>
      <c r="K214" s="1" t="str">
        <f t="shared" si="191"/>
        <v>51</v>
      </c>
      <c r="L214" s="1" t="str">
        <f t="shared" si="191"/>
        <v>35</v>
      </c>
      <c r="M214" s="1" t="str">
        <f t="shared" si="191"/>
        <v>56</v>
      </c>
      <c r="N214" s="1" t="str">
        <f t="shared" si="191"/>
        <v>23</v>
      </c>
      <c r="O214" s="1" t="str">
        <f t="shared" si="191"/>
        <v>30</v>
      </c>
      <c r="P214" s="1" t="str">
        <f t="shared" si="191"/>
        <v>=54</v>
      </c>
      <c r="Q214" s="1" t="str">
        <f t="shared" si="191"/>
        <v>59</v>
      </c>
      <c r="R214" s="1" t="str">
        <f t="shared" si="191"/>
        <v>33</v>
      </c>
      <c r="S214" s="1" t="str">
        <f t="shared" si="191"/>
        <v>3</v>
      </c>
      <c r="T214" s="1" t="str">
        <f t="shared" si="191"/>
        <v>47</v>
      </c>
      <c r="U214" s="1" t="str">
        <f t="shared" si="191"/>
        <v>37</v>
      </c>
      <c r="V214" s="1" t="str">
        <f t="shared" si="191"/>
        <v>40</v>
      </c>
      <c r="W214" s="1" t="str">
        <f t="shared" si="191"/>
        <v>60</v>
      </c>
      <c r="X214" s="1" t="str">
        <f t="shared" si="191"/>
        <v>29</v>
      </c>
      <c r="Y214" s="1" t="str">
        <f t="shared" si="191"/>
        <v>53</v>
      </c>
      <c r="Z214" s="1" t="str">
        <f t="shared" si="191"/>
        <v>52</v>
      </c>
      <c r="AA214" s="1" t="str">
        <f t="shared" si="191"/>
        <v>46</v>
      </c>
      <c r="AB214" s="1" t="str">
        <f t="shared" si="191"/>
        <v>34</v>
      </c>
      <c r="AC214" s="1" t="str">
        <f t="shared" si="191"/>
        <v>48</v>
      </c>
      <c r="AD214" s="1" t="str">
        <f t="shared" si="191"/>
        <v>21</v>
      </c>
      <c r="AE214" s="1" t="str">
        <f t="shared" si="191"/>
        <v>=24</v>
      </c>
      <c r="AF214" s="1" t="str">
        <f t="shared" si="191"/>
        <v>=9</v>
      </c>
      <c r="AG214" s="1" t="str">
        <f t="shared" si="191"/>
        <v>49</v>
      </c>
      <c r="AH214" s="1" t="str">
        <f t="shared" ref="AH214:BJ214" si="192">IF(AH149&gt;1,"=","")&amp;AH84</f>
        <v>=13</v>
      </c>
      <c r="AI214" s="1" t="str">
        <f t="shared" si="192"/>
        <v>32</v>
      </c>
      <c r="AJ214" s="1" t="str">
        <f t="shared" si="192"/>
        <v>=6</v>
      </c>
      <c r="AK214" s="1" t="str">
        <f t="shared" si="192"/>
        <v>16</v>
      </c>
      <c r="AL214" s="1" t="str">
        <f t="shared" si="192"/>
        <v>=54</v>
      </c>
      <c r="AM214" s="1" t="str">
        <f t="shared" si="192"/>
        <v>12</v>
      </c>
      <c r="AN214" s="1" t="str">
        <f t="shared" si="192"/>
        <v>22</v>
      </c>
      <c r="AO214" s="1" t="str">
        <f t="shared" si="192"/>
        <v>18</v>
      </c>
      <c r="AP214" s="1" t="str">
        <f t="shared" si="192"/>
        <v>41</v>
      </c>
      <c r="AQ214" s="1" t="str">
        <f t="shared" si="192"/>
        <v>=38</v>
      </c>
      <c r="AR214" s="1" t="str">
        <f t="shared" si="192"/>
        <v>31</v>
      </c>
      <c r="AS214" s="1" t="str">
        <f t="shared" si="192"/>
        <v>=6</v>
      </c>
      <c r="AT214" s="1" t="str">
        <f t="shared" si="192"/>
        <v>=24</v>
      </c>
      <c r="AU214" s="1" t="str">
        <f t="shared" si="192"/>
        <v>50</v>
      </c>
      <c r="AV214" s="1" t="str">
        <f t="shared" si="192"/>
        <v>=38</v>
      </c>
      <c r="AW214" s="1" t="str">
        <f t="shared" si="192"/>
        <v>28</v>
      </c>
      <c r="AX214" s="1" t="str">
        <f t="shared" si="192"/>
        <v>26</v>
      </c>
      <c r="AY214" s="1" t="str">
        <f t="shared" si="192"/>
        <v>36</v>
      </c>
      <c r="AZ214" s="1" t="str">
        <f t="shared" si="192"/>
        <v>5</v>
      </c>
      <c r="BA214" s="1" t="str">
        <f t="shared" si="192"/>
        <v>=13</v>
      </c>
      <c r="BB214" s="1" t="str">
        <f t="shared" si="192"/>
        <v>45</v>
      </c>
      <c r="BC214" s="1" t="str">
        <f t="shared" si="192"/>
        <v>44</v>
      </c>
      <c r="BD214" s="1" t="str">
        <f t="shared" si="192"/>
        <v>=17</v>
      </c>
      <c r="BE214" s="1" t="str">
        <f t="shared" si="192"/>
        <v>27</v>
      </c>
      <c r="BF214" s="1" t="str">
        <f t="shared" si="192"/>
        <v>1</v>
      </c>
      <c r="BG214" s="1" t="str">
        <f t="shared" si="192"/>
        <v>20</v>
      </c>
      <c r="BH214" s="1" t="str">
        <f t="shared" si="192"/>
        <v>57</v>
      </c>
      <c r="BI214" s="1" t="str">
        <f t="shared" si="192"/>
        <v>4</v>
      </c>
      <c r="BJ214" s="1" t="str">
        <f t="shared" si="192"/>
        <v>=17</v>
      </c>
    </row>
    <row r="215" spans="1:62">
      <c r="A215" s="1" t="str">
        <f t="shared" si="156"/>
        <v>   2.1.5) Access to safe and quality food</v>
      </c>
      <c r="B215" s="1" t="str">
        <f t="shared" ref="B215:AG215" si="193">IF(B150&gt;1,"=","")&amp;B85</f>
        <v>=21</v>
      </c>
      <c r="C215" s="1" t="str">
        <f t="shared" si="193"/>
        <v>=1</v>
      </c>
      <c r="D215" s="1" t="str">
        <f t="shared" si="193"/>
        <v>=1</v>
      </c>
      <c r="E215" s="1" t="str">
        <f t="shared" si="193"/>
        <v>36</v>
      </c>
      <c r="F215" s="1" t="str">
        <f t="shared" si="193"/>
        <v>=1</v>
      </c>
      <c r="G215" s="1" t="str">
        <f t="shared" si="193"/>
        <v>=41</v>
      </c>
      <c r="H215" s="1" t="str">
        <f t="shared" si="193"/>
        <v>48</v>
      </c>
      <c r="I215" s="1" t="str">
        <f t="shared" si="193"/>
        <v>=1</v>
      </c>
      <c r="J215" s="1" t="str">
        <f t="shared" si="193"/>
        <v>=30</v>
      </c>
      <c r="K215" s="1" t="str">
        <f t="shared" si="193"/>
        <v>23</v>
      </c>
      <c r="L215" s="1" t="str">
        <f t="shared" si="193"/>
        <v>46</v>
      </c>
      <c r="M215" s="1" t="str">
        <f t="shared" si="193"/>
        <v>51</v>
      </c>
      <c r="N215" s="1" t="str">
        <f t="shared" si="193"/>
        <v>=24</v>
      </c>
      <c r="O215" s="1" t="str">
        <f t="shared" si="193"/>
        <v>=24</v>
      </c>
      <c r="P215" s="1" t="str">
        <f t="shared" si="193"/>
        <v>=55</v>
      </c>
      <c r="Q215" s="1" t="str">
        <f t="shared" si="193"/>
        <v>58</v>
      </c>
      <c r="R215" s="1" t="str">
        <f t="shared" si="193"/>
        <v>52</v>
      </c>
      <c r="S215" s="1" t="str">
        <f t="shared" si="193"/>
        <v>=1</v>
      </c>
      <c r="T215" s="1" t="str">
        <f t="shared" si="193"/>
        <v>53</v>
      </c>
      <c r="U215" s="1" t="str">
        <f t="shared" si="193"/>
        <v>=41</v>
      </c>
      <c r="V215" s="1" t="str">
        <f t="shared" si="193"/>
        <v>=1</v>
      </c>
      <c r="W215" s="1" t="str">
        <f t="shared" si="193"/>
        <v>57</v>
      </c>
      <c r="X215" s="1" t="str">
        <f t="shared" si="193"/>
        <v>=37</v>
      </c>
      <c r="Y215" s="1" t="str">
        <f t="shared" si="193"/>
        <v>45</v>
      </c>
      <c r="Z215" s="1" t="str">
        <f t="shared" si="193"/>
        <v>60</v>
      </c>
      <c r="AA215" s="1" t="str">
        <f t="shared" si="193"/>
        <v>33</v>
      </c>
      <c r="AB215" s="1" t="str">
        <f t="shared" si="193"/>
        <v>=30</v>
      </c>
      <c r="AC215" s="1" t="str">
        <f t="shared" si="193"/>
        <v>50</v>
      </c>
      <c r="AD215" s="1" t="str">
        <f t="shared" si="193"/>
        <v>=1</v>
      </c>
      <c r="AE215" s="1" t="str">
        <f t="shared" si="193"/>
        <v>=24</v>
      </c>
      <c r="AF215" s="1" t="str">
        <f t="shared" si="193"/>
        <v>=1</v>
      </c>
      <c r="AG215" s="1" t="str">
        <f t="shared" si="193"/>
        <v>47</v>
      </c>
      <c r="AH215" s="1" t="str">
        <f t="shared" ref="AH215:BJ215" si="194">IF(AH150&gt;1,"=","")&amp;AH85</f>
        <v>=1</v>
      </c>
      <c r="AI215" s="1" t="str">
        <f t="shared" si="194"/>
        <v>40</v>
      </c>
      <c r="AJ215" s="1" t="str">
        <f t="shared" si="194"/>
        <v>=1</v>
      </c>
      <c r="AK215" s="1" t="str">
        <f t="shared" si="194"/>
        <v>39</v>
      </c>
      <c r="AL215" s="1" t="str">
        <f t="shared" si="194"/>
        <v>=55</v>
      </c>
      <c r="AM215" s="1" t="str">
        <f t="shared" si="194"/>
        <v>=24</v>
      </c>
      <c r="AN215" s="1" t="str">
        <f t="shared" si="194"/>
        <v>=1</v>
      </c>
      <c r="AO215" s="1" t="str">
        <f t="shared" si="194"/>
        <v>=1</v>
      </c>
      <c r="AP215" s="1" t="str">
        <f t="shared" si="194"/>
        <v>49</v>
      </c>
      <c r="AQ215" s="1" t="str">
        <f t="shared" si="194"/>
        <v>=34</v>
      </c>
      <c r="AR215" s="1" t="str">
        <f t="shared" si="194"/>
        <v>=37</v>
      </c>
      <c r="AS215" s="1" t="str">
        <f t="shared" si="194"/>
        <v>=1</v>
      </c>
      <c r="AT215" s="1" t="str">
        <f t="shared" si="194"/>
        <v>=24</v>
      </c>
      <c r="AU215" s="1" t="str">
        <f t="shared" si="194"/>
        <v>=30</v>
      </c>
      <c r="AV215" s="1" t="str">
        <f t="shared" si="194"/>
        <v>=34</v>
      </c>
      <c r="AW215" s="1" t="str">
        <f t="shared" si="194"/>
        <v>=21</v>
      </c>
      <c r="AX215" s="1" t="str">
        <f t="shared" si="194"/>
        <v>=41</v>
      </c>
      <c r="AY215" s="1" t="str">
        <f t="shared" si="194"/>
        <v>=1</v>
      </c>
      <c r="AZ215" s="1" t="str">
        <f t="shared" si="194"/>
        <v>=1</v>
      </c>
      <c r="BA215" s="1" t="str">
        <f t="shared" si="194"/>
        <v>=1</v>
      </c>
      <c r="BB215" s="1" t="str">
        <f t="shared" si="194"/>
        <v>=41</v>
      </c>
      <c r="BC215" s="1" t="str">
        <f t="shared" si="194"/>
        <v>54</v>
      </c>
      <c r="BD215" s="1" t="str">
        <f t="shared" si="194"/>
        <v>=1</v>
      </c>
      <c r="BE215" s="1" t="str">
        <f t="shared" si="194"/>
        <v>20</v>
      </c>
      <c r="BF215" s="1" t="str">
        <f t="shared" si="194"/>
        <v>=24</v>
      </c>
      <c r="BG215" s="1" t="str">
        <f t="shared" si="194"/>
        <v>=1</v>
      </c>
      <c r="BH215" s="1" t="str">
        <f t="shared" si="194"/>
        <v>59</v>
      </c>
      <c r="BI215" s="1" t="str">
        <f t="shared" si="194"/>
        <v>=1</v>
      </c>
      <c r="BJ215" s="1" t="str">
        <f t="shared" si="194"/>
        <v>=1</v>
      </c>
    </row>
    <row r="216" spans="1:62">
      <c r="A216" s="1" t="str">
        <f t="shared" si="156"/>
        <v>   2.1.6) Quality of health services</v>
      </c>
      <c r="B216" s="1" t="str">
        <f t="shared" ref="B216:AG216" si="195">IF(B151&gt;1,"=","")&amp;B86</f>
        <v>=27</v>
      </c>
      <c r="C216" s="1" t="str">
        <f t="shared" si="195"/>
        <v>=1</v>
      </c>
      <c r="D216" s="1" t="str">
        <f t="shared" si="195"/>
        <v>=33</v>
      </c>
      <c r="E216" s="1" t="str">
        <f t="shared" si="195"/>
        <v>=33</v>
      </c>
      <c r="F216" s="1" t="str">
        <f t="shared" si="195"/>
        <v>=1</v>
      </c>
      <c r="G216" s="1" t="str">
        <f t="shared" si="195"/>
        <v>=33</v>
      </c>
      <c r="H216" s="1" t="str">
        <f t="shared" si="195"/>
        <v>=33</v>
      </c>
      <c r="I216" s="1" t="str">
        <f t="shared" si="195"/>
        <v>=1</v>
      </c>
      <c r="J216" s="1" t="str">
        <f t="shared" si="195"/>
        <v>=27</v>
      </c>
      <c r="K216" s="1" t="str">
        <f t="shared" si="195"/>
        <v>=52</v>
      </c>
      <c r="L216" s="1" t="str">
        <f t="shared" si="195"/>
        <v>=52</v>
      </c>
      <c r="M216" s="1" t="str">
        <f t="shared" si="195"/>
        <v>=52</v>
      </c>
      <c r="N216" s="1" t="str">
        <f t="shared" si="195"/>
        <v>=13</v>
      </c>
      <c r="O216" s="1" t="str">
        <f t="shared" si="195"/>
        <v>=13</v>
      </c>
      <c r="P216" s="1" t="str">
        <f t="shared" si="195"/>
        <v>=33</v>
      </c>
      <c r="Q216" s="1" t="str">
        <f t="shared" si="195"/>
        <v>=52</v>
      </c>
      <c r="R216" s="1" t="str">
        <f t="shared" si="195"/>
        <v>=27</v>
      </c>
      <c r="S216" s="1" t="str">
        <f t="shared" si="195"/>
        <v>=1</v>
      </c>
      <c r="T216" s="1" t="str">
        <f t="shared" si="195"/>
        <v>=52</v>
      </c>
      <c r="U216" s="1" t="str">
        <f t="shared" si="195"/>
        <v>=13</v>
      </c>
      <c r="V216" s="1" t="str">
        <f t="shared" si="195"/>
        <v>=48</v>
      </c>
      <c r="W216" s="1" t="str">
        <f t="shared" si="195"/>
        <v>=52</v>
      </c>
      <c r="X216" s="1" t="str">
        <f t="shared" si="195"/>
        <v>=33</v>
      </c>
      <c r="Y216" s="1" t="str">
        <f t="shared" si="195"/>
        <v>=48</v>
      </c>
      <c r="Z216" s="1" t="str">
        <f t="shared" si="195"/>
        <v>=48</v>
      </c>
      <c r="AA216" s="1" t="str">
        <f t="shared" si="195"/>
        <v>=33</v>
      </c>
      <c r="AB216" s="1" t="str">
        <f t="shared" si="195"/>
        <v>=13</v>
      </c>
      <c r="AC216" s="1" t="str">
        <f t="shared" si="195"/>
        <v>=33</v>
      </c>
      <c r="AD216" s="1" t="str">
        <f t="shared" si="195"/>
        <v>=13</v>
      </c>
      <c r="AE216" s="1" t="str">
        <f t="shared" si="195"/>
        <v>=13</v>
      </c>
      <c r="AF216" s="1" t="str">
        <f t="shared" si="195"/>
        <v>=13</v>
      </c>
      <c r="AG216" s="1" t="str">
        <f t="shared" si="195"/>
        <v>=33</v>
      </c>
      <c r="AH216" s="1" t="str">
        <f t="shared" ref="AH216:BJ216" si="196">IF(AH151&gt;1,"=","")&amp;AH86</f>
        <v>=1</v>
      </c>
      <c r="AI216" s="1" t="str">
        <f t="shared" si="196"/>
        <v>=48</v>
      </c>
      <c r="AJ216" s="1" t="str">
        <f t="shared" si="196"/>
        <v>=27</v>
      </c>
      <c r="AK216" s="1" t="str">
        <f t="shared" si="196"/>
        <v>=27</v>
      </c>
      <c r="AL216" s="1" t="str">
        <f t="shared" si="196"/>
        <v>=52</v>
      </c>
      <c r="AM216" s="1" t="str">
        <f t="shared" si="196"/>
        <v>=13</v>
      </c>
      <c r="AN216" s="1" t="str">
        <f t="shared" si="196"/>
        <v>=1</v>
      </c>
      <c r="AO216" s="1" t="str">
        <f t="shared" si="196"/>
        <v>=1</v>
      </c>
      <c r="AP216" s="1" t="str">
        <f t="shared" si="196"/>
        <v>=52</v>
      </c>
      <c r="AQ216" s="1" t="str">
        <f t="shared" si="196"/>
        <v>=33</v>
      </c>
      <c r="AR216" s="1" t="str">
        <f t="shared" si="196"/>
        <v>=33</v>
      </c>
      <c r="AS216" s="1" t="str">
        <f t="shared" si="196"/>
        <v>=27</v>
      </c>
      <c r="AT216" s="1" t="str">
        <f t="shared" si="196"/>
        <v>=13</v>
      </c>
      <c r="AU216" s="1" t="str">
        <f t="shared" si="196"/>
        <v>=33</v>
      </c>
      <c r="AV216" s="1" t="str">
        <f t="shared" si="196"/>
        <v>=33</v>
      </c>
      <c r="AW216" s="1" t="str">
        <f t="shared" si="196"/>
        <v>=13</v>
      </c>
      <c r="AX216" s="1" t="str">
        <f t="shared" si="196"/>
        <v>=33</v>
      </c>
      <c r="AY216" s="1" t="str">
        <f t="shared" si="196"/>
        <v>=1</v>
      </c>
      <c r="AZ216" s="1" t="str">
        <f t="shared" si="196"/>
        <v>=13</v>
      </c>
      <c r="BA216" s="1" t="str">
        <f t="shared" si="196"/>
        <v>=1</v>
      </c>
      <c r="BB216" s="1" t="str">
        <f t="shared" si="196"/>
        <v>=13</v>
      </c>
      <c r="BC216" s="1" t="str">
        <f t="shared" si="196"/>
        <v>=33</v>
      </c>
      <c r="BD216" s="1" t="str">
        <f t="shared" si="196"/>
        <v>=1</v>
      </c>
      <c r="BE216" s="1" t="str">
        <f t="shared" si="196"/>
        <v>=1</v>
      </c>
      <c r="BF216" s="1" t="str">
        <f t="shared" si="196"/>
        <v>=13</v>
      </c>
      <c r="BG216" s="1" t="str">
        <f t="shared" si="196"/>
        <v>=13</v>
      </c>
      <c r="BH216" s="1" t="str">
        <f t="shared" si="196"/>
        <v>=52</v>
      </c>
      <c r="BI216" s="1" t="str">
        <f t="shared" si="196"/>
        <v>=1</v>
      </c>
      <c r="BJ216" s="1" t="str">
        <f t="shared" si="196"/>
        <v>=1</v>
      </c>
    </row>
    <row r="217" spans="1:62">
      <c r="A217" s="1" t="str">
        <f t="shared" si="156"/>
        <v>  2.2) Health security (Outputs)</v>
      </c>
      <c r="B217" s="1" t="str">
        <f t="shared" ref="B217:AG217" si="197">IF(B152&gt;1,"=","")&amp;B87</f>
        <v>22</v>
      </c>
      <c r="C217" s="1" t="str">
        <f t="shared" si="197"/>
        <v>24</v>
      </c>
      <c r="D217" s="1" t="str">
        <f t="shared" si="197"/>
        <v>12</v>
      </c>
      <c r="E217" s="1" t="str">
        <f t="shared" si="197"/>
        <v>27</v>
      </c>
      <c r="F217" s="1" t="str">
        <f t="shared" si="197"/>
        <v>15</v>
      </c>
      <c r="G217" s="1" t="str">
        <f t="shared" si="197"/>
        <v>53</v>
      </c>
      <c r="H217" s="1" t="str">
        <f t="shared" si="197"/>
        <v>28</v>
      </c>
      <c r="I217" s="1" t="str">
        <f t="shared" si="197"/>
        <v>19</v>
      </c>
      <c r="J217" s="1" t="str">
        <f t="shared" si="197"/>
        <v>32</v>
      </c>
      <c r="K217" s="1" t="str">
        <f t="shared" si="197"/>
        <v>56</v>
      </c>
      <c r="L217" s="1" t="str">
        <f t="shared" si="197"/>
        <v>39</v>
      </c>
      <c r="M217" s="1" t="str">
        <f t="shared" si="197"/>
        <v>41</v>
      </c>
      <c r="N217" s="1" t="str">
        <f t="shared" si="197"/>
        <v>44</v>
      </c>
      <c r="O217" s="1" t="str">
        <f t="shared" si="197"/>
        <v>33</v>
      </c>
      <c r="P217" s="1" t="str">
        <f t="shared" si="197"/>
        <v>57</v>
      </c>
      <c r="Q217" s="1" t="str">
        <f t="shared" si="197"/>
        <v>55</v>
      </c>
      <c r="R217" s="1" t="str">
        <f t="shared" si="197"/>
        <v>34</v>
      </c>
      <c r="S217" s="1" t="str">
        <f t="shared" si="197"/>
        <v>13</v>
      </c>
      <c r="T217" s="1" t="str">
        <f t="shared" si="197"/>
        <v>36</v>
      </c>
      <c r="U217" s="1" t="str">
        <f t="shared" si="197"/>
        <v>42</v>
      </c>
      <c r="V217" s="1" t="str">
        <f t="shared" si="197"/>
        <v>45</v>
      </c>
      <c r="W217" s="1" t="str">
        <f t="shared" si="197"/>
        <v>50</v>
      </c>
      <c r="X217" s="1" t="str">
        <f t="shared" si="197"/>
        <v>30</v>
      </c>
      <c r="Y217" s="1" t="str">
        <f t="shared" si="197"/>
        <v>58</v>
      </c>
      <c r="Z217" s="1" t="str">
        <f t="shared" si="197"/>
        <v>60</v>
      </c>
      <c r="AA217" s="1" t="str">
        <f t="shared" si="197"/>
        <v>25</v>
      </c>
      <c r="AB217" s="1" t="str">
        <f t="shared" si="197"/>
        <v>31</v>
      </c>
      <c r="AC217" s="1" t="str">
        <f t="shared" si="197"/>
        <v>48</v>
      </c>
      <c r="AD217" s="1" t="str">
        <f t="shared" si="197"/>
        <v>14</v>
      </c>
      <c r="AE217" s="1" t="str">
        <f t="shared" si="197"/>
        <v>37</v>
      </c>
      <c r="AF217" s="1" t="str">
        <f t="shared" si="197"/>
        <v>9</v>
      </c>
      <c r="AG217" s="1" t="str">
        <f t="shared" si="197"/>
        <v>38</v>
      </c>
      <c r="AH217" s="1" t="str">
        <f t="shared" ref="AH217:BJ217" si="198">IF(AH152&gt;1,"=","")&amp;AH87</f>
        <v>6</v>
      </c>
      <c r="AI217" s="1" t="str">
        <f t="shared" si="198"/>
        <v>17</v>
      </c>
      <c r="AJ217" s="1" t="str">
        <f t="shared" si="198"/>
        <v>16</v>
      </c>
      <c r="AK217" s="1" t="str">
        <f t="shared" si="198"/>
        <v>46</v>
      </c>
      <c r="AL217" s="1" t="str">
        <f t="shared" si="198"/>
        <v>52</v>
      </c>
      <c r="AM217" s="1" t="str">
        <f t="shared" si="198"/>
        <v>51</v>
      </c>
      <c r="AN217" s="1" t="str">
        <f t="shared" si="198"/>
        <v>7</v>
      </c>
      <c r="AO217" s="1" t="str">
        <f t="shared" si="198"/>
        <v>20</v>
      </c>
      <c r="AP217" s="1" t="str">
        <f t="shared" si="198"/>
        <v>35</v>
      </c>
      <c r="AQ217" s="1" t="str">
        <f t="shared" si="198"/>
        <v>40</v>
      </c>
      <c r="AR217" s="1" t="str">
        <f t="shared" si="198"/>
        <v>23</v>
      </c>
      <c r="AS217" s="1" t="str">
        <f t="shared" si="198"/>
        <v>11</v>
      </c>
      <c r="AT217" s="1" t="str">
        <f t="shared" si="198"/>
        <v>26</v>
      </c>
      <c r="AU217" s="1" t="str">
        <f t="shared" si="198"/>
        <v>21</v>
      </c>
      <c r="AV217" s="1" t="str">
        <f t="shared" si="198"/>
        <v>47</v>
      </c>
      <c r="AW217" s="1" t="str">
        <f t="shared" si="198"/>
        <v>10</v>
      </c>
      <c r="AX217" s="1" t="str">
        <f t="shared" si="198"/>
        <v>43</v>
      </c>
      <c r="AY217" s="1" t="str">
        <f t="shared" si="198"/>
        <v>2</v>
      </c>
      <c r="AZ217" s="1" t="str">
        <f t="shared" si="198"/>
        <v>1</v>
      </c>
      <c r="BA217" s="1" t="str">
        <f t="shared" si="198"/>
        <v>5</v>
      </c>
      <c r="BB217" s="1" t="str">
        <f t="shared" si="198"/>
        <v>18</v>
      </c>
      <c r="BC217" s="1" t="str">
        <f t="shared" si="198"/>
        <v>29</v>
      </c>
      <c r="BD217" s="1" t="str">
        <f t="shared" si="198"/>
        <v>3</v>
      </c>
      <c r="BE217" s="1" t="str">
        <f t="shared" si="198"/>
        <v>=8</v>
      </c>
      <c r="BF217" s="1" t="str">
        <f t="shared" si="198"/>
        <v>54</v>
      </c>
      <c r="BG217" s="1" t="str">
        <f t="shared" si="198"/>
        <v>49</v>
      </c>
      <c r="BH217" s="1" t="str">
        <f t="shared" si="198"/>
        <v>59</v>
      </c>
      <c r="BI217" s="1" t="str">
        <f t="shared" si="198"/>
        <v>4</v>
      </c>
      <c r="BJ217" s="1" t="str">
        <f t="shared" si="198"/>
        <v>=8</v>
      </c>
    </row>
    <row r="218" spans="1:62">
      <c r="A218" s="1" t="str">
        <f t="shared" si="156"/>
        <v>   2.2.1) Air quality (PM 2.5 levels)</v>
      </c>
      <c r="B218" s="1" t="str">
        <f t="shared" ref="B218:AG218" si="199">IF(B153&gt;1,"=","")&amp;B88</f>
        <v>51</v>
      </c>
      <c r="C218" s="1" t="str">
        <f t="shared" si="199"/>
        <v>20</v>
      </c>
      <c r="D218" s="1" t="str">
        <f t="shared" si="199"/>
        <v>=17</v>
      </c>
      <c r="E218" s="1" t="str">
        <f t="shared" si="199"/>
        <v>34</v>
      </c>
      <c r="F218" s="1" t="str">
        <f t="shared" si="199"/>
        <v>18</v>
      </c>
      <c r="G218" s="1" t="str">
        <f t="shared" si="199"/>
        <v>57</v>
      </c>
      <c r="H218" s="1" t="str">
        <f t="shared" si="199"/>
        <v>35</v>
      </c>
      <c r="I218" s="1" t="str">
        <f t="shared" si="199"/>
        <v>27</v>
      </c>
      <c r="J218" s="1" t="str">
        <f t="shared" si="199"/>
        <v>14</v>
      </c>
      <c r="K218" s="1" t="str">
        <f t="shared" si="199"/>
        <v>55</v>
      </c>
      <c r="L218" s="1" t="str">
        <f t="shared" si="199"/>
        <v>38</v>
      </c>
      <c r="M218" s="1" t="str">
        <f t="shared" si="199"/>
        <v>39</v>
      </c>
      <c r="N218" s="1" t="str">
        <f t="shared" si="199"/>
        <v>13</v>
      </c>
      <c r="O218" s="1" t="str">
        <f t="shared" si="199"/>
        <v>11</v>
      </c>
      <c r="P218" s="1" t="str">
        <f t="shared" si="199"/>
        <v>56</v>
      </c>
      <c r="Q218" s="1" t="str">
        <f t="shared" si="199"/>
        <v>59</v>
      </c>
      <c r="R218" s="1" t="str">
        <f t="shared" si="199"/>
        <v>60</v>
      </c>
      <c r="S218" s="1" t="str">
        <f t="shared" si="199"/>
        <v>28</v>
      </c>
      <c r="T218" s="1" t="str">
        <f t="shared" si="199"/>
        <v>40</v>
      </c>
      <c r="U218" s="1" t="str">
        <f t="shared" si="199"/>
        <v>42</v>
      </c>
      <c r="V218" s="1" t="str">
        <f t="shared" si="199"/>
        <v>45</v>
      </c>
      <c r="W218" s="1" t="str">
        <f t="shared" si="199"/>
        <v>19</v>
      </c>
      <c r="X218" s="1" t="str">
        <f t="shared" si="199"/>
        <v>54</v>
      </c>
      <c r="Y218" s="1" t="str">
        <f t="shared" si="199"/>
        <v>46</v>
      </c>
      <c r="Z218" s="1" t="str">
        <f t="shared" si="199"/>
        <v>58</v>
      </c>
      <c r="AA218" s="1" t="str">
        <f t="shared" si="199"/>
        <v>37</v>
      </c>
      <c r="AB218" s="1" t="str">
        <f t="shared" si="199"/>
        <v>53</v>
      </c>
      <c r="AC218" s="1" t="str">
        <f t="shared" si="199"/>
        <v>48</v>
      </c>
      <c r="AD218" s="1" t="str">
        <f t="shared" si="199"/>
        <v>9</v>
      </c>
      <c r="AE218" s="1" t="str">
        <f t="shared" si="199"/>
        <v>12</v>
      </c>
      <c r="AF218" s="1" t="str">
        <f t="shared" si="199"/>
        <v>10</v>
      </c>
      <c r="AG218" s="1" t="str">
        <f t="shared" si="199"/>
        <v>24</v>
      </c>
      <c r="AH218" s="1" t="str">
        <f t="shared" ref="AH218:BJ218" si="200">IF(AH153&gt;1,"=","")&amp;AH88</f>
        <v>4</v>
      </c>
      <c r="AI218" s="1" t="str">
        <f t="shared" si="200"/>
        <v>32</v>
      </c>
      <c r="AJ218" s="1" t="str">
        <f t="shared" si="200"/>
        <v>43</v>
      </c>
      <c r="AK218" s="1" t="str">
        <f t="shared" si="200"/>
        <v>33</v>
      </c>
      <c r="AL218" s="1" t="str">
        <f t="shared" si="200"/>
        <v>52</v>
      </c>
      <c r="AM218" s="1" t="str">
        <f t="shared" si="200"/>
        <v>7</v>
      </c>
      <c r="AN218" s="1" t="str">
        <f t="shared" si="200"/>
        <v>22</v>
      </c>
      <c r="AO218" s="1" t="str">
        <f t="shared" si="200"/>
        <v>25</v>
      </c>
      <c r="AP218" s="1" t="str">
        <f t="shared" si="200"/>
        <v>29</v>
      </c>
      <c r="AQ218" s="1" t="str">
        <f t="shared" si="200"/>
        <v>21</v>
      </c>
      <c r="AR218" s="1" t="str">
        <f t="shared" si="200"/>
        <v>47</v>
      </c>
      <c r="AS218" s="1" t="str">
        <f t="shared" si="200"/>
        <v>23</v>
      </c>
      <c r="AT218" s="1" t="str">
        <f t="shared" si="200"/>
        <v>6</v>
      </c>
      <c r="AU218" s="1" t="str">
        <f t="shared" si="200"/>
        <v>41</v>
      </c>
      <c r="AV218" s="1" t="str">
        <f t="shared" si="200"/>
        <v>30</v>
      </c>
      <c r="AW218" s="1" t="str">
        <f t="shared" si="200"/>
        <v>36</v>
      </c>
      <c r="AX218" s="1" t="str">
        <f t="shared" si="200"/>
        <v>49</v>
      </c>
      <c r="AY218" s="1" t="str">
        <f t="shared" si="200"/>
        <v>26</v>
      </c>
      <c r="AZ218" s="1" t="str">
        <f t="shared" si="200"/>
        <v>1</v>
      </c>
      <c r="BA218" s="1" t="str">
        <f t="shared" si="200"/>
        <v>3</v>
      </c>
      <c r="BB218" s="1" t="str">
        <f t="shared" si="200"/>
        <v>31</v>
      </c>
      <c r="BC218" s="1" t="str">
        <f t="shared" si="200"/>
        <v>44</v>
      </c>
      <c r="BD218" s="1" t="str">
        <f t="shared" si="200"/>
        <v>16</v>
      </c>
      <c r="BE218" s="1" t="str">
        <f t="shared" si="200"/>
        <v>5</v>
      </c>
      <c r="BF218" s="1" t="str">
        <f t="shared" si="200"/>
        <v>8</v>
      </c>
      <c r="BG218" s="1" t="str">
        <f t="shared" si="200"/>
        <v>2</v>
      </c>
      <c r="BH218" s="1" t="str">
        <f t="shared" si="200"/>
        <v>50</v>
      </c>
      <c r="BI218" s="1" t="str">
        <f t="shared" si="200"/>
        <v>15</v>
      </c>
      <c r="BJ218" s="1" t="str">
        <f t="shared" si="200"/>
        <v>=17</v>
      </c>
    </row>
    <row r="219" spans="1:62">
      <c r="A219" s="1" t="str">
        <f t="shared" si="156"/>
        <v>   2.2.2) Water quality</v>
      </c>
      <c r="B219" s="1" t="str">
        <f t="shared" ref="B219:AG219" si="201">IF(B154&gt;1,"=","")&amp;B89</f>
        <v>11</v>
      </c>
      <c r="C219" s="1" t="str">
        <f t="shared" si="201"/>
        <v>5</v>
      </c>
      <c r="D219" s="1" t="str">
        <f t="shared" si="201"/>
        <v>19</v>
      </c>
      <c r="E219" s="1" t="str">
        <f t="shared" si="201"/>
        <v>36</v>
      </c>
      <c r="F219" s="1" t="str">
        <f t="shared" si="201"/>
        <v>38</v>
      </c>
      <c r="G219" s="1" t="str">
        <f t="shared" si="201"/>
        <v>24</v>
      </c>
      <c r="H219" s="1" t="str">
        <f t="shared" si="201"/>
        <v>50</v>
      </c>
      <c r="I219" s="1" t="str">
        <f t="shared" si="201"/>
        <v>2</v>
      </c>
      <c r="J219" s="1" t="str">
        <f t="shared" si="201"/>
        <v>34</v>
      </c>
      <c r="K219" s="1" t="str">
        <f t="shared" si="201"/>
        <v>47</v>
      </c>
      <c r="L219" s="1" t="str">
        <f t="shared" si="201"/>
        <v>59</v>
      </c>
      <c r="M219" s="1" t="str">
        <f t="shared" si="201"/>
        <v>51</v>
      </c>
      <c r="N219" s="1" t="str">
        <f t="shared" si="201"/>
        <v>44</v>
      </c>
      <c r="O219" s="1" t="str">
        <f t="shared" si="201"/>
        <v>=45</v>
      </c>
      <c r="P219" s="1" t="str">
        <f t="shared" si="201"/>
        <v>=45</v>
      </c>
      <c r="Q219" s="1" t="str">
        <f t="shared" si="201"/>
        <v>41</v>
      </c>
      <c r="R219" s="1" t="str">
        <f t="shared" si="201"/>
        <v>22</v>
      </c>
      <c r="S219" s="1" t="str">
        <f t="shared" si="201"/>
        <v>1</v>
      </c>
      <c r="T219" s="1" t="str">
        <f t="shared" si="201"/>
        <v>40</v>
      </c>
      <c r="U219" s="1" t="str">
        <f t="shared" si="201"/>
        <v>29</v>
      </c>
      <c r="V219" s="1" t="str">
        <f t="shared" si="201"/>
        <v>49</v>
      </c>
      <c r="W219" s="1" t="str">
        <f t="shared" si="201"/>
        <v>58</v>
      </c>
      <c r="X219" s="1" t="str">
        <f t="shared" si="201"/>
        <v>32</v>
      </c>
      <c r="Y219" s="1" t="str">
        <f t="shared" si="201"/>
        <v>25</v>
      </c>
      <c r="Z219" s="1" t="str">
        <f t="shared" si="201"/>
        <v>55</v>
      </c>
      <c r="AA219" s="1" t="str">
        <f t="shared" si="201"/>
        <v>39</v>
      </c>
      <c r="AB219" s="1" t="str">
        <f t="shared" si="201"/>
        <v>37</v>
      </c>
      <c r="AC219" s="1" t="str">
        <f t="shared" si="201"/>
        <v>57</v>
      </c>
      <c r="AD219" s="1" t="str">
        <f t="shared" si="201"/>
        <v>12</v>
      </c>
      <c r="AE219" s="1" t="str">
        <f t="shared" si="201"/>
        <v>=42</v>
      </c>
      <c r="AF219" s="1" t="str">
        <f t="shared" si="201"/>
        <v>20</v>
      </c>
      <c r="AG219" s="1" t="str">
        <f t="shared" si="201"/>
        <v>30</v>
      </c>
      <c r="AH219" s="1" t="str">
        <f t="shared" ref="AH219:BJ219" si="202">IF(AH154&gt;1,"=","")&amp;AH89</f>
        <v>9</v>
      </c>
      <c r="AI219" s="1" t="str">
        <f t="shared" si="202"/>
        <v>52</v>
      </c>
      <c r="AJ219" s="1" t="str">
        <f t="shared" si="202"/>
        <v>=21</v>
      </c>
      <c r="AK219" s="1" t="str">
        <f t="shared" si="202"/>
        <v>17</v>
      </c>
      <c r="AL219" s="1" t="str">
        <f t="shared" si="202"/>
        <v>26</v>
      </c>
      <c r="AM219" s="1" t="str">
        <f t="shared" si="202"/>
        <v>27</v>
      </c>
      <c r="AN219" s="1" t="str">
        <f t="shared" si="202"/>
        <v>16</v>
      </c>
      <c r="AO219" s="1" t="str">
        <f t="shared" si="202"/>
        <v>13</v>
      </c>
      <c r="AP219" s="1" t="str">
        <f t="shared" si="202"/>
        <v>54</v>
      </c>
      <c r="AQ219" s="1" t="str">
        <f t="shared" si="202"/>
        <v>53</v>
      </c>
      <c r="AR219" s="1" t="str">
        <f t="shared" si="202"/>
        <v>28</v>
      </c>
      <c r="AS219" s="1" t="str">
        <f t="shared" si="202"/>
        <v>31</v>
      </c>
      <c r="AT219" s="1" t="str">
        <f t="shared" si="202"/>
        <v>=42</v>
      </c>
      <c r="AU219" s="1" t="str">
        <f t="shared" si="202"/>
        <v>23</v>
      </c>
      <c r="AV219" s="1" t="str">
        <f t="shared" si="202"/>
        <v>60</v>
      </c>
      <c r="AW219" s="1" t="str">
        <f t="shared" si="202"/>
        <v>6</v>
      </c>
      <c r="AX219" s="1" t="str">
        <f t="shared" si="202"/>
        <v>33</v>
      </c>
      <c r="AY219" s="1" t="str">
        <f t="shared" si="202"/>
        <v>3</v>
      </c>
      <c r="AZ219" s="1" t="str">
        <f t="shared" si="202"/>
        <v>4</v>
      </c>
      <c r="BA219" s="1" t="str">
        <f t="shared" si="202"/>
        <v>8</v>
      </c>
      <c r="BB219" s="1" t="str">
        <f t="shared" si="202"/>
        <v>18</v>
      </c>
      <c r="BC219" s="1" t="str">
        <f t="shared" si="202"/>
        <v>48</v>
      </c>
      <c r="BD219" s="1" t="str">
        <f t="shared" si="202"/>
        <v>14</v>
      </c>
      <c r="BE219" s="1" t="str">
        <f t="shared" si="202"/>
        <v>7</v>
      </c>
      <c r="BF219" s="1" t="str">
        <f t="shared" si="202"/>
        <v>35</v>
      </c>
      <c r="BG219" s="1" t="str">
        <f t="shared" si="202"/>
        <v>15</v>
      </c>
      <c r="BH219" s="1" t="str">
        <f t="shared" si="202"/>
        <v>56</v>
      </c>
      <c r="BI219" s="1" t="str">
        <f t="shared" si="202"/>
        <v>10</v>
      </c>
      <c r="BJ219" s="1" t="str">
        <f t="shared" si="202"/>
        <v>=21</v>
      </c>
    </row>
    <row r="220" spans="1:62">
      <c r="A220" s="1" t="str">
        <f t="shared" si="156"/>
        <v>   2.2.3) Life expectancy years</v>
      </c>
      <c r="B220" s="1" t="str">
        <f t="shared" ref="B220:AG220" si="203">IF(B155&gt;1,"=","")&amp;B90</f>
        <v>30</v>
      </c>
      <c r="C220" s="1" t="str">
        <f t="shared" si="203"/>
        <v>17</v>
      </c>
      <c r="D220" s="1" t="str">
        <f t="shared" si="203"/>
        <v>19</v>
      </c>
      <c r="E220" s="1" t="str">
        <f t="shared" si="203"/>
        <v>45</v>
      </c>
      <c r="F220" s="1" t="str">
        <f t="shared" si="203"/>
        <v>=6</v>
      </c>
      <c r="G220" s="1" t="str">
        <f t="shared" si="203"/>
        <v>=35</v>
      </c>
      <c r="H220" s="1" t="str">
        <f t="shared" si="203"/>
        <v>50</v>
      </c>
      <c r="I220" s="1" t="str">
        <f t="shared" si="203"/>
        <v>21</v>
      </c>
      <c r="J220" s="1" t="str">
        <f t="shared" si="203"/>
        <v>33</v>
      </c>
      <c r="K220" s="1" t="str">
        <f t="shared" si="203"/>
        <v>52</v>
      </c>
      <c r="L220" s="1" t="str">
        <f t="shared" si="203"/>
        <v>48</v>
      </c>
      <c r="M220" s="1" t="str">
        <f t="shared" si="203"/>
        <v>49</v>
      </c>
      <c r="N220" s="1" t="str">
        <f t="shared" si="203"/>
        <v>27</v>
      </c>
      <c r="O220" s="1" t="str">
        <f t="shared" si="203"/>
        <v>29</v>
      </c>
      <c r="P220" s="1" t="str">
        <f t="shared" si="203"/>
        <v>=56</v>
      </c>
      <c r="Q220" s="1" t="str">
        <f t="shared" si="203"/>
        <v>51</v>
      </c>
      <c r="R220" s="1" t="str">
        <f t="shared" si="203"/>
        <v>28</v>
      </c>
      <c r="S220" s="1" t="str">
        <f t="shared" si="203"/>
        <v>22</v>
      </c>
      <c r="T220" s="1" t="str">
        <f t="shared" si="203"/>
        <v>37</v>
      </c>
      <c r="U220" s="1" t="str">
        <f t="shared" si="203"/>
        <v>1</v>
      </c>
      <c r="V220" s="1" t="str">
        <f t="shared" si="203"/>
        <v>39</v>
      </c>
      <c r="W220" s="1" t="str">
        <f t="shared" si="203"/>
        <v>54</v>
      </c>
      <c r="X220" s="1" t="str">
        <f t="shared" si="203"/>
        <v>=46</v>
      </c>
      <c r="Y220" s="1" t="str">
        <f t="shared" si="203"/>
        <v>60</v>
      </c>
      <c r="Z220" s="1" t="str">
        <f t="shared" si="203"/>
        <v>58</v>
      </c>
      <c r="AA220" s="1" t="str">
        <f t="shared" si="203"/>
        <v>40</v>
      </c>
      <c r="AB220" s="1" t="str">
        <f t="shared" si="203"/>
        <v>42</v>
      </c>
      <c r="AC220" s="1" t="str">
        <f t="shared" si="203"/>
        <v>41</v>
      </c>
      <c r="AD220" s="1" t="str">
        <f t="shared" si="203"/>
        <v>18</v>
      </c>
      <c r="AE220" s="1" t="str">
        <f t="shared" si="203"/>
        <v>=23</v>
      </c>
      <c r="AF220" s="1" t="str">
        <f t="shared" si="203"/>
        <v>=6</v>
      </c>
      <c r="AG220" s="1" t="str">
        <f t="shared" si="203"/>
        <v>55</v>
      </c>
      <c r="AH220" s="1" t="str">
        <f t="shared" ref="AH220:BJ220" si="204">IF(AH155&gt;1,"=","")&amp;AH90</f>
        <v>=12</v>
      </c>
      <c r="AI220" s="1" t="str">
        <f t="shared" si="204"/>
        <v>31</v>
      </c>
      <c r="AJ220" s="1" t="str">
        <f t="shared" si="204"/>
        <v>=4</v>
      </c>
      <c r="AK220" s="1" t="str">
        <f t="shared" si="204"/>
        <v>53</v>
      </c>
      <c r="AL220" s="1" t="str">
        <f t="shared" si="204"/>
        <v>=56</v>
      </c>
      <c r="AM220" s="1" t="str">
        <f t="shared" si="204"/>
        <v>25</v>
      </c>
      <c r="AN220" s="1" t="str">
        <f t="shared" si="204"/>
        <v>=2</v>
      </c>
      <c r="AO220" s="1" t="str">
        <f t="shared" si="204"/>
        <v>9</v>
      </c>
      <c r="AP220" s="1" t="str">
        <f t="shared" si="204"/>
        <v>34</v>
      </c>
      <c r="AQ220" s="1" t="str">
        <f t="shared" si="204"/>
        <v>=43</v>
      </c>
      <c r="AR220" s="1" t="str">
        <f t="shared" si="204"/>
        <v>=46</v>
      </c>
      <c r="AS220" s="1" t="str">
        <f t="shared" si="204"/>
        <v>=4</v>
      </c>
      <c r="AT220" s="1" t="str">
        <f t="shared" si="204"/>
        <v>=23</v>
      </c>
      <c r="AU220" s="1" t="str">
        <f t="shared" si="204"/>
        <v>16</v>
      </c>
      <c r="AV220" s="1" t="str">
        <f t="shared" si="204"/>
        <v>=43</v>
      </c>
      <c r="AW220" s="1" t="str">
        <f t="shared" si="204"/>
        <v>14</v>
      </c>
      <c r="AX220" s="1" t="str">
        <f t="shared" si="204"/>
        <v>=35</v>
      </c>
      <c r="AY220" s="1" t="str">
        <f t="shared" si="204"/>
        <v>10</v>
      </c>
      <c r="AZ220" s="1" t="str">
        <f t="shared" si="204"/>
        <v>11</v>
      </c>
      <c r="BA220" s="1" t="str">
        <f t="shared" si="204"/>
        <v>=12</v>
      </c>
      <c r="BB220" s="1" t="str">
        <f t="shared" si="204"/>
        <v>26</v>
      </c>
      <c r="BC220" s="1" t="str">
        <f t="shared" si="204"/>
        <v>38</v>
      </c>
      <c r="BD220" s="1" t="str">
        <f t="shared" si="204"/>
        <v>=2</v>
      </c>
      <c r="BE220" s="1" t="str">
        <f t="shared" si="204"/>
        <v>15</v>
      </c>
      <c r="BF220" s="1" t="str">
        <f t="shared" si="204"/>
        <v>32</v>
      </c>
      <c r="BG220" s="1" t="str">
        <f t="shared" si="204"/>
        <v>20</v>
      </c>
      <c r="BH220" s="1" t="str">
        <f t="shared" si="204"/>
        <v>59</v>
      </c>
      <c r="BI220" s="1" t="str">
        <f t="shared" si="204"/>
        <v>8</v>
      </c>
      <c r="BJ220" s="1" t="str">
        <f t="shared" si="204"/>
        <v>=2</v>
      </c>
    </row>
    <row r="221" spans="1:62">
      <c r="A221" s="1" t="str">
        <f t="shared" si="156"/>
        <v>   2.2.4) Infant mortality</v>
      </c>
      <c r="B221" s="1" t="str">
        <f t="shared" ref="B221:AG221" si="205">IF(B156&gt;1,"=","")&amp;B91</f>
        <v>28</v>
      </c>
      <c r="C221" s="1" t="str">
        <f t="shared" si="205"/>
        <v>12</v>
      </c>
      <c r="D221" s="1" t="str">
        <f t="shared" si="205"/>
        <v>19</v>
      </c>
      <c r="E221" s="1" t="str">
        <f t="shared" si="205"/>
        <v>37</v>
      </c>
      <c r="F221" s="1" t="str">
        <f t="shared" si="205"/>
        <v>=15</v>
      </c>
      <c r="G221" s="1" t="str">
        <f t="shared" si="205"/>
        <v>=35</v>
      </c>
      <c r="H221" s="1" t="str">
        <f t="shared" si="205"/>
        <v>46</v>
      </c>
      <c r="I221" s="1" t="str">
        <f t="shared" si="205"/>
        <v>13</v>
      </c>
      <c r="J221" s="1" t="str">
        <f t="shared" si="205"/>
        <v>38</v>
      </c>
      <c r="K221" s="1" t="str">
        <f t="shared" si="205"/>
        <v>51</v>
      </c>
      <c r="L221" s="1" t="str">
        <f t="shared" si="205"/>
        <v>43</v>
      </c>
      <c r="M221" s="1" t="str">
        <f t="shared" si="205"/>
        <v>54</v>
      </c>
      <c r="N221" s="1" t="str">
        <f t="shared" si="205"/>
        <v>30</v>
      </c>
      <c r="O221" s="1" t="str">
        <f t="shared" si="205"/>
        <v>27</v>
      </c>
      <c r="P221" s="1" t="str">
        <f t="shared" si="205"/>
        <v>=57</v>
      </c>
      <c r="Q221" s="1" t="str">
        <f t="shared" si="205"/>
        <v>55</v>
      </c>
      <c r="R221" s="1" t="str">
        <f t="shared" si="205"/>
        <v>31</v>
      </c>
      <c r="S221" s="1" t="str">
        <f t="shared" si="205"/>
        <v>11</v>
      </c>
      <c r="T221" s="1" t="str">
        <f t="shared" si="205"/>
        <v>49</v>
      </c>
      <c r="U221" s="1" t="str">
        <f t="shared" si="205"/>
        <v>1</v>
      </c>
      <c r="V221" s="1" t="str">
        <f t="shared" si="205"/>
        <v>40</v>
      </c>
      <c r="W221" s="1" t="str">
        <f t="shared" si="205"/>
        <v>53</v>
      </c>
      <c r="X221" s="1" t="str">
        <f t="shared" si="205"/>
        <v>=41</v>
      </c>
      <c r="Y221" s="1" t="str">
        <f t="shared" si="205"/>
        <v>56</v>
      </c>
      <c r="Z221" s="1" t="str">
        <f t="shared" si="205"/>
        <v>60</v>
      </c>
      <c r="AA221" s="1" t="str">
        <f t="shared" si="205"/>
        <v>29</v>
      </c>
      <c r="AB221" s="1" t="str">
        <f t="shared" si="205"/>
        <v>33</v>
      </c>
      <c r="AC221" s="1" t="str">
        <f t="shared" si="205"/>
        <v>44</v>
      </c>
      <c r="AD221" s="1" t="str">
        <f t="shared" si="205"/>
        <v>=15</v>
      </c>
      <c r="AE221" s="1" t="str">
        <f t="shared" si="205"/>
        <v>=21</v>
      </c>
      <c r="AF221" s="1" t="str">
        <f t="shared" si="205"/>
        <v>=15</v>
      </c>
      <c r="AG221" s="1" t="str">
        <f t="shared" si="205"/>
        <v>52</v>
      </c>
      <c r="AH221" s="1" t="str">
        <f t="shared" ref="AH221:BJ221" si="206">IF(AH156&gt;1,"=","")&amp;AH91</f>
        <v>=9</v>
      </c>
      <c r="AI221" s="1" t="str">
        <f t="shared" si="206"/>
        <v>39</v>
      </c>
      <c r="AJ221" s="1" t="str">
        <f t="shared" si="206"/>
        <v>=6</v>
      </c>
      <c r="AK221" s="1" t="str">
        <f t="shared" si="206"/>
        <v>34</v>
      </c>
      <c r="AL221" s="1" t="str">
        <f t="shared" si="206"/>
        <v>=57</v>
      </c>
      <c r="AM221" s="1" t="str">
        <f t="shared" si="206"/>
        <v>25</v>
      </c>
      <c r="AN221" s="1" t="str">
        <f t="shared" si="206"/>
        <v>=2</v>
      </c>
      <c r="AO221" s="1" t="str">
        <f t="shared" si="206"/>
        <v>=15</v>
      </c>
      <c r="AP221" s="1" t="str">
        <f t="shared" si="206"/>
        <v>50</v>
      </c>
      <c r="AQ221" s="1" t="str">
        <f t="shared" si="206"/>
        <v>=47</v>
      </c>
      <c r="AR221" s="1" t="str">
        <f t="shared" si="206"/>
        <v>=41</v>
      </c>
      <c r="AS221" s="1" t="str">
        <f t="shared" si="206"/>
        <v>=6</v>
      </c>
      <c r="AT221" s="1" t="str">
        <f t="shared" si="206"/>
        <v>=21</v>
      </c>
      <c r="AU221" s="1" t="str">
        <f t="shared" si="206"/>
        <v>32</v>
      </c>
      <c r="AV221" s="1" t="str">
        <f t="shared" si="206"/>
        <v>=47</v>
      </c>
      <c r="AW221" s="1" t="str">
        <f t="shared" si="206"/>
        <v>=6</v>
      </c>
      <c r="AX221" s="1" t="str">
        <f t="shared" si="206"/>
        <v>=35</v>
      </c>
      <c r="AY221" s="1" t="str">
        <f t="shared" si="206"/>
        <v>4</v>
      </c>
      <c r="AZ221" s="1" t="str">
        <f t="shared" si="206"/>
        <v>5</v>
      </c>
      <c r="BA221" s="1" t="str">
        <f t="shared" si="206"/>
        <v>=9</v>
      </c>
      <c r="BB221" s="1" t="str">
        <f t="shared" si="206"/>
        <v>20</v>
      </c>
      <c r="BC221" s="1" t="str">
        <f t="shared" si="206"/>
        <v>45</v>
      </c>
      <c r="BD221" s="1" t="str">
        <f t="shared" si="206"/>
        <v>=2</v>
      </c>
      <c r="BE221" s="1" t="str">
        <f t="shared" si="206"/>
        <v>=21</v>
      </c>
      <c r="BF221" s="1" t="str">
        <f t="shared" si="206"/>
        <v>24</v>
      </c>
      <c r="BG221" s="1" t="str">
        <f t="shared" si="206"/>
        <v>26</v>
      </c>
      <c r="BH221" s="1" t="str">
        <f t="shared" si="206"/>
        <v>59</v>
      </c>
      <c r="BI221" s="1" t="str">
        <f t="shared" si="206"/>
        <v>14</v>
      </c>
      <c r="BJ221" s="1" t="str">
        <f t="shared" si="206"/>
        <v>=2</v>
      </c>
    </row>
    <row r="222" spans="1:62">
      <c r="A222" s="1" t="str">
        <f t="shared" si="156"/>
        <v>   2.2.5) Cancer mortality rate</v>
      </c>
      <c r="B222" s="1" t="str">
        <f t="shared" ref="B222:AG222" si="207">IF(B157&gt;1,"=","")&amp;B92</f>
        <v>8</v>
      </c>
      <c r="C222" s="1" t="str">
        <f t="shared" si="207"/>
        <v>58</v>
      </c>
      <c r="D222" s="1" t="str">
        <f t="shared" si="207"/>
        <v>39</v>
      </c>
      <c r="E222" s="1" t="str">
        <f t="shared" si="207"/>
        <v>18</v>
      </c>
      <c r="F222" s="1" t="str">
        <f t="shared" si="207"/>
        <v>=43</v>
      </c>
      <c r="G222" s="1" t="str">
        <f t="shared" si="207"/>
        <v>49</v>
      </c>
      <c r="H222" s="1" t="str">
        <f t="shared" si="207"/>
        <v>11</v>
      </c>
      <c r="I222" s="1" t="str">
        <f t="shared" si="207"/>
        <v>51</v>
      </c>
      <c r="J222" s="1" t="str">
        <f t="shared" si="207"/>
        <v>48</v>
      </c>
      <c r="K222" s="1" t="str">
        <f t="shared" si="207"/>
        <v>29</v>
      </c>
      <c r="L222" s="1" t="str">
        <f t="shared" si="207"/>
        <v>12</v>
      </c>
      <c r="M222" s="1" t="str">
        <f t="shared" si="207"/>
        <v>15</v>
      </c>
      <c r="N222" s="1" t="str">
        <f t="shared" si="207"/>
        <v>59</v>
      </c>
      <c r="O222" s="1" t="str">
        <f t="shared" si="207"/>
        <v>57</v>
      </c>
      <c r="P222" s="1" t="str">
        <f t="shared" si="207"/>
        <v>=4</v>
      </c>
      <c r="Q222" s="1" t="str">
        <f t="shared" si="207"/>
        <v>9</v>
      </c>
      <c r="R222" s="1" t="str">
        <f t="shared" si="207"/>
        <v>7</v>
      </c>
      <c r="S222" s="1" t="str">
        <f t="shared" si="207"/>
        <v>46</v>
      </c>
      <c r="T222" s="1" t="str">
        <f t="shared" si="207"/>
        <v>24</v>
      </c>
      <c r="U222" s="1" t="str">
        <f t="shared" si="207"/>
        <v>17</v>
      </c>
      <c r="V222" s="1" t="str">
        <f t="shared" si="207"/>
        <v>47</v>
      </c>
      <c r="W222" s="1" t="str">
        <f t="shared" si="207"/>
        <v>20</v>
      </c>
      <c r="X222" s="1" t="str">
        <f t="shared" si="207"/>
        <v>=1</v>
      </c>
      <c r="Y222" s="1" t="str">
        <f t="shared" si="207"/>
        <v>19</v>
      </c>
      <c r="Z222" s="1" t="str">
        <f t="shared" si="207"/>
        <v>10</v>
      </c>
      <c r="AA222" s="1" t="str">
        <f t="shared" si="207"/>
        <v>16</v>
      </c>
      <c r="AB222" s="1" t="str">
        <f t="shared" si="207"/>
        <v>3</v>
      </c>
      <c r="AC222" s="1" t="str">
        <f t="shared" si="207"/>
        <v>22</v>
      </c>
      <c r="AD222" s="1" t="str">
        <f t="shared" si="207"/>
        <v>50</v>
      </c>
      <c r="AE222" s="1" t="str">
        <f t="shared" si="207"/>
        <v>=52</v>
      </c>
      <c r="AF222" s="1" t="str">
        <f t="shared" si="207"/>
        <v>=43</v>
      </c>
      <c r="AG222" s="1" t="str">
        <f t="shared" si="207"/>
        <v>14</v>
      </c>
      <c r="AH222" s="1" t="str">
        <f t="shared" ref="AH222:BJ222" si="208">IF(AH157&gt;1,"=","")&amp;AH92</f>
        <v>=34</v>
      </c>
      <c r="AI222" s="1" t="str">
        <f t="shared" si="208"/>
        <v>6</v>
      </c>
      <c r="AJ222" s="1" t="str">
        <f t="shared" si="208"/>
        <v>=40</v>
      </c>
      <c r="AK222" s="1" t="str">
        <f t="shared" si="208"/>
        <v>55</v>
      </c>
      <c r="AL222" s="1" t="str">
        <f t="shared" si="208"/>
        <v>=4</v>
      </c>
      <c r="AM222" s="1" t="str">
        <f t="shared" si="208"/>
        <v>56</v>
      </c>
      <c r="AN222" s="1" t="str">
        <f t="shared" si="208"/>
        <v>=26</v>
      </c>
      <c r="AO222" s="1" t="str">
        <f t="shared" si="208"/>
        <v>54</v>
      </c>
      <c r="AP222" s="1" t="str">
        <f t="shared" si="208"/>
        <v>23</v>
      </c>
      <c r="AQ222" s="1" t="str">
        <f t="shared" si="208"/>
        <v>=32</v>
      </c>
      <c r="AR222" s="1" t="str">
        <f t="shared" si="208"/>
        <v>=1</v>
      </c>
      <c r="AS222" s="1" t="str">
        <f t="shared" si="208"/>
        <v>=40</v>
      </c>
      <c r="AT222" s="1" t="str">
        <f t="shared" si="208"/>
        <v>=52</v>
      </c>
      <c r="AU222" s="1" t="str">
        <f t="shared" si="208"/>
        <v>36</v>
      </c>
      <c r="AV222" s="1" t="str">
        <f t="shared" si="208"/>
        <v>=32</v>
      </c>
      <c r="AW222" s="1" t="str">
        <f t="shared" si="208"/>
        <v>31</v>
      </c>
      <c r="AX222" s="1" t="str">
        <f t="shared" si="208"/>
        <v>28</v>
      </c>
      <c r="AY222" s="1" t="str">
        <f t="shared" si="208"/>
        <v>21</v>
      </c>
      <c r="AZ222" s="1" t="str">
        <f t="shared" si="208"/>
        <v>37</v>
      </c>
      <c r="BA222" s="1" t="str">
        <f t="shared" si="208"/>
        <v>=34</v>
      </c>
      <c r="BB222" s="1" t="str">
        <f t="shared" si="208"/>
        <v>42</v>
      </c>
      <c r="BC222" s="1" t="str">
        <f t="shared" si="208"/>
        <v>13</v>
      </c>
      <c r="BD222" s="1" t="str">
        <f t="shared" si="208"/>
        <v>=26</v>
      </c>
      <c r="BE222" s="1" t="str">
        <f t="shared" si="208"/>
        <v>45</v>
      </c>
      <c r="BF222" s="1" t="str">
        <f t="shared" si="208"/>
        <v>60</v>
      </c>
      <c r="BG222" s="1" t="str">
        <f t="shared" si="208"/>
        <v>38</v>
      </c>
      <c r="BH222" s="1" t="str">
        <f t="shared" si="208"/>
        <v>30</v>
      </c>
      <c r="BI222" s="1" t="str">
        <f t="shared" si="208"/>
        <v>25</v>
      </c>
      <c r="BJ222" s="1" t="str">
        <f t="shared" si="208"/>
        <v>=26</v>
      </c>
    </row>
    <row r="223" spans="1:62">
      <c r="A223" s="1" t="str">
        <f t="shared" si="156"/>
        <v>   2.2.6) Number of attacks using biological, chemical and/or radiological weapons</v>
      </c>
      <c r="B223" s="1" t="str">
        <f t="shared" ref="B223:AG223" si="209">IF(B158&gt;1,"=","")&amp;B93</f>
        <v>=1</v>
      </c>
      <c r="C223" s="1" t="str">
        <f t="shared" si="209"/>
        <v>=1</v>
      </c>
      <c r="D223" s="1" t="str">
        <f t="shared" si="209"/>
        <v>=1</v>
      </c>
      <c r="E223" s="1" t="str">
        <f t="shared" si="209"/>
        <v>=1</v>
      </c>
      <c r="F223" s="1" t="str">
        <f t="shared" si="209"/>
        <v>=1</v>
      </c>
      <c r="G223" s="1" t="str">
        <f t="shared" si="209"/>
        <v>=1</v>
      </c>
      <c r="H223" s="1" t="str">
        <f t="shared" si="209"/>
        <v>=1</v>
      </c>
      <c r="I223" s="1" t="str">
        <f t="shared" si="209"/>
        <v>=1</v>
      </c>
      <c r="J223" s="1" t="str">
        <f t="shared" si="209"/>
        <v>=1</v>
      </c>
      <c r="K223" s="1" t="str">
        <f t="shared" si="209"/>
        <v>=1</v>
      </c>
      <c r="L223" s="1" t="str">
        <f t="shared" si="209"/>
        <v>=1</v>
      </c>
      <c r="M223" s="1" t="str">
        <f t="shared" si="209"/>
        <v>=1</v>
      </c>
      <c r="N223" s="1" t="str">
        <f t="shared" si="209"/>
        <v>=1</v>
      </c>
      <c r="O223" s="1" t="str">
        <f t="shared" si="209"/>
        <v>=1</v>
      </c>
      <c r="P223" s="1" t="str">
        <f t="shared" si="209"/>
        <v>=1</v>
      </c>
      <c r="Q223" s="1" t="str">
        <f t="shared" si="209"/>
        <v>=1</v>
      </c>
      <c r="R223" s="1" t="str">
        <f t="shared" si="209"/>
        <v>=1</v>
      </c>
      <c r="S223" s="1" t="str">
        <f t="shared" si="209"/>
        <v>=1</v>
      </c>
      <c r="T223" s="1" t="str">
        <f t="shared" si="209"/>
        <v>=1</v>
      </c>
      <c r="U223" s="1" t="str">
        <f t="shared" si="209"/>
        <v>=58</v>
      </c>
      <c r="V223" s="1" t="str">
        <f t="shared" si="209"/>
        <v>=1</v>
      </c>
      <c r="W223" s="1" t="str">
        <f t="shared" si="209"/>
        <v>=1</v>
      </c>
      <c r="X223" s="1" t="str">
        <f t="shared" si="209"/>
        <v>=1</v>
      </c>
      <c r="Y223" s="1" t="str">
        <f t="shared" si="209"/>
        <v>=1</v>
      </c>
      <c r="Z223" s="1" t="str">
        <f t="shared" si="209"/>
        <v>=1</v>
      </c>
      <c r="AA223" s="1" t="str">
        <f t="shared" si="209"/>
        <v>=1</v>
      </c>
      <c r="AB223" s="1" t="str">
        <f t="shared" si="209"/>
        <v>=1</v>
      </c>
      <c r="AC223" s="1" t="str">
        <f t="shared" si="209"/>
        <v>=1</v>
      </c>
      <c r="AD223" s="1" t="str">
        <f t="shared" si="209"/>
        <v>=1</v>
      </c>
      <c r="AE223" s="1" t="str">
        <f t="shared" si="209"/>
        <v>56</v>
      </c>
      <c r="AF223" s="1" t="str">
        <f t="shared" si="209"/>
        <v>=1</v>
      </c>
      <c r="AG223" s="1" t="str">
        <f t="shared" si="209"/>
        <v>=1</v>
      </c>
      <c r="AH223" s="1" t="str">
        <f t="shared" ref="AH223:BJ223" si="210">IF(AH158&gt;1,"=","")&amp;AH93</f>
        <v>=1</v>
      </c>
      <c r="AI223" s="1" t="str">
        <f t="shared" si="210"/>
        <v>=1</v>
      </c>
      <c r="AJ223" s="1" t="str">
        <f t="shared" si="210"/>
        <v>=1</v>
      </c>
      <c r="AK223" s="1" t="str">
        <f t="shared" si="210"/>
        <v>=1</v>
      </c>
      <c r="AL223" s="1" t="str">
        <f t="shared" si="210"/>
        <v>=1</v>
      </c>
      <c r="AM223" s="1" t="str">
        <f t="shared" si="210"/>
        <v>=58</v>
      </c>
      <c r="AN223" s="1" t="str">
        <f t="shared" si="210"/>
        <v>=1</v>
      </c>
      <c r="AO223" s="1" t="str">
        <f t="shared" si="210"/>
        <v>=1</v>
      </c>
      <c r="AP223" s="1" t="str">
        <f t="shared" si="210"/>
        <v>=1</v>
      </c>
      <c r="AQ223" s="1" t="str">
        <f t="shared" si="210"/>
        <v>=1</v>
      </c>
      <c r="AR223" s="1" t="str">
        <f t="shared" si="210"/>
        <v>=1</v>
      </c>
      <c r="AS223" s="1" t="str">
        <f t="shared" si="210"/>
        <v>=1</v>
      </c>
      <c r="AT223" s="1" t="str">
        <f t="shared" si="210"/>
        <v>=1</v>
      </c>
      <c r="AU223" s="1" t="str">
        <f t="shared" si="210"/>
        <v>=1</v>
      </c>
      <c r="AV223" s="1" t="str">
        <f t="shared" si="210"/>
        <v>=1</v>
      </c>
      <c r="AW223" s="1" t="str">
        <f t="shared" si="210"/>
        <v>=1</v>
      </c>
      <c r="AX223" s="1" t="str">
        <f t="shared" si="210"/>
        <v>=1</v>
      </c>
      <c r="AY223" s="1" t="str">
        <f t="shared" si="210"/>
        <v>=1</v>
      </c>
      <c r="AZ223" s="1" t="str">
        <f t="shared" si="210"/>
        <v>=1</v>
      </c>
      <c r="BA223" s="1" t="str">
        <f t="shared" si="210"/>
        <v>=1</v>
      </c>
      <c r="BB223" s="1" t="str">
        <f t="shared" si="210"/>
        <v>=1</v>
      </c>
      <c r="BC223" s="1" t="str">
        <f t="shared" si="210"/>
        <v>=1</v>
      </c>
      <c r="BD223" s="1" t="str">
        <f t="shared" si="210"/>
        <v>=1</v>
      </c>
      <c r="BE223" s="1" t="str">
        <f t="shared" si="210"/>
        <v>=1</v>
      </c>
      <c r="BF223" s="1" t="str">
        <f t="shared" si="210"/>
        <v>57</v>
      </c>
      <c r="BG223" s="1" t="str">
        <f t="shared" si="210"/>
        <v>60</v>
      </c>
      <c r="BH223" s="1" t="str">
        <f t="shared" si="210"/>
        <v>=1</v>
      </c>
      <c r="BI223" s="1" t="str">
        <f t="shared" si="210"/>
        <v>=1</v>
      </c>
      <c r="BJ223" s="1" t="str">
        <f t="shared" si="210"/>
        <v>=1</v>
      </c>
    </row>
    <row r="224" spans="1:62">
      <c r="A224" s="1" t="str">
        <f t="shared" si="156"/>
        <v> 3) INFRASTRUCTURE SECURITY</v>
      </c>
      <c r="B224" s="1" t="str">
        <f t="shared" ref="B224:AG224" si="211">IF(B159&gt;1,"=","")&amp;B94</f>
        <v>16</v>
      </c>
      <c r="C224" s="1" t="str">
        <f t="shared" si="211"/>
        <v>6</v>
      </c>
      <c r="D224" s="1" t="str">
        <f t="shared" si="211"/>
        <v>29</v>
      </c>
      <c r="E224" s="1" t="str">
        <f t="shared" si="211"/>
        <v>43</v>
      </c>
      <c r="F224" s="1" t="str">
        <f t="shared" si="211"/>
        <v>3</v>
      </c>
      <c r="G224" s="1" t="str">
        <f t="shared" si="211"/>
        <v>37</v>
      </c>
      <c r="H224" s="1" t="str">
        <f t="shared" si="211"/>
        <v>42</v>
      </c>
      <c r="I224" s="1" t="str">
        <f t="shared" si="211"/>
        <v>20</v>
      </c>
      <c r="J224" s="1" t="str">
        <f t="shared" si="211"/>
        <v>24</v>
      </c>
      <c r="K224" s="1" t="str">
        <f t="shared" si="211"/>
        <v>44</v>
      </c>
      <c r="L224" s="1" t="str">
        <f t="shared" si="211"/>
        <v>53</v>
      </c>
      <c r="M224" s="1" t="str">
        <f t="shared" si="211"/>
        <v>45</v>
      </c>
      <c r="N224" s="1" t="str">
        <f t="shared" si="211"/>
        <v>27</v>
      </c>
      <c r="O224" s="1" t="str">
        <f t="shared" si="211"/>
        <v>34</v>
      </c>
      <c r="P224" s="1" t="str">
        <f t="shared" si="211"/>
        <v>52</v>
      </c>
      <c r="Q224" s="1" t="str">
        <f t="shared" si="211"/>
        <v>60</v>
      </c>
      <c r="R224" s="1" t="str">
        <f t="shared" si="211"/>
        <v>30</v>
      </c>
      <c r="S224" s="1" t="str">
        <f t="shared" si="211"/>
        <v>23</v>
      </c>
      <c r="T224" s="1" t="str">
        <f t="shared" si="211"/>
        <v>46</v>
      </c>
      <c r="U224" s="1" t="str">
        <f t="shared" si="211"/>
        <v>=7</v>
      </c>
      <c r="V224" s="1" t="str">
        <f t="shared" si="211"/>
        <v>41</v>
      </c>
      <c r="W224" s="1" t="str">
        <f t="shared" si="211"/>
        <v>49</v>
      </c>
      <c r="X224" s="1" t="str">
        <f t="shared" si="211"/>
        <v>50</v>
      </c>
      <c r="Y224" s="1" t="str">
        <f t="shared" si="211"/>
        <v>55</v>
      </c>
      <c r="Z224" s="1" t="str">
        <f t="shared" si="211"/>
        <v>59</v>
      </c>
      <c r="AA224" s="1" t="str">
        <f t="shared" si="211"/>
        <v>35</v>
      </c>
      <c r="AB224" s="1" t="str">
        <f t="shared" si="211"/>
        <v>40</v>
      </c>
      <c r="AC224" s="1" t="str">
        <f t="shared" si="211"/>
        <v>47</v>
      </c>
      <c r="AD224" s="1" t="str">
        <f t="shared" si="211"/>
        <v>13</v>
      </c>
      <c r="AE224" s="1" t="str">
        <f t="shared" si="211"/>
        <v>22</v>
      </c>
      <c r="AF224" s="1" t="str">
        <f t="shared" si="211"/>
        <v>2</v>
      </c>
      <c r="AG224" s="1" t="str">
        <f t="shared" si="211"/>
        <v>56</v>
      </c>
      <c r="AH224" s="1" t="str">
        <f t="shared" ref="AH224:BJ224" si="212">IF(AH159&gt;1,"=","")&amp;AH94</f>
        <v>=7</v>
      </c>
      <c r="AI224" s="1" t="str">
        <f t="shared" si="212"/>
        <v>39</v>
      </c>
      <c r="AJ224" s="1" t="str">
        <f t="shared" si="212"/>
        <v>18</v>
      </c>
      <c r="AK224" s="1" t="str">
        <f t="shared" si="212"/>
        <v>36</v>
      </c>
      <c r="AL224" s="1" t="str">
        <f t="shared" si="212"/>
        <v>51</v>
      </c>
      <c r="AM224" s="1" t="str">
        <f t="shared" si="212"/>
        <v>21</v>
      </c>
      <c r="AN224" s="1" t="str">
        <f t="shared" si="212"/>
        <v>=11</v>
      </c>
      <c r="AO224" s="1" t="str">
        <f t="shared" si="212"/>
        <v>19</v>
      </c>
      <c r="AP224" s="1" t="str">
        <f t="shared" si="212"/>
        <v>57</v>
      </c>
      <c r="AQ224" s="1" t="str">
        <f t="shared" si="212"/>
        <v>32</v>
      </c>
      <c r="AR224" s="1" t="str">
        <f t="shared" si="212"/>
        <v>54</v>
      </c>
      <c r="AS224" s="1" t="str">
        <f t="shared" si="212"/>
        <v>15</v>
      </c>
      <c r="AT224" s="1" t="str">
        <f t="shared" si="212"/>
        <v>17</v>
      </c>
      <c r="AU224" s="1" t="str">
        <f t="shared" si="212"/>
        <v>31</v>
      </c>
      <c r="AV224" s="1" t="str">
        <f t="shared" si="212"/>
        <v>33</v>
      </c>
      <c r="AW224" s="1" t="str">
        <f t="shared" si="212"/>
        <v>25</v>
      </c>
      <c r="AX224" s="1" t="str">
        <f t="shared" si="212"/>
        <v>38</v>
      </c>
      <c r="AY224" s="1" t="str">
        <f t="shared" si="212"/>
        <v>1</v>
      </c>
      <c r="AZ224" s="1" t="str">
        <f t="shared" si="212"/>
        <v>4</v>
      </c>
      <c r="BA224" s="1" t="str">
        <f t="shared" si="212"/>
        <v>9</v>
      </c>
      <c r="BB224" s="1" t="str">
        <f t="shared" si="212"/>
        <v>26</v>
      </c>
      <c r="BC224" s="1" t="str">
        <f t="shared" si="212"/>
        <v>48</v>
      </c>
      <c r="BD224" s="1" t="str">
        <f t="shared" si="212"/>
        <v>12</v>
      </c>
      <c r="BE224" s="1" t="str">
        <f t="shared" si="212"/>
        <v>14</v>
      </c>
      <c r="BF224" s="1" t="str">
        <f t="shared" si="212"/>
        <v>28</v>
      </c>
      <c r="BG224" s="1" t="str">
        <f t="shared" si="212"/>
        <v>5</v>
      </c>
      <c r="BH224" s="1" t="str">
        <f t="shared" si="212"/>
        <v>58</v>
      </c>
      <c r="BI224" s="1" t="str">
        <f t="shared" si="212"/>
        <v>10</v>
      </c>
      <c r="BJ224" s="1" t="str">
        <f t="shared" si="212"/>
        <v>=11</v>
      </c>
    </row>
    <row r="225" spans="1:62">
      <c r="A225" s="1" t="str">
        <f t="shared" si="156"/>
        <v>  3.1) Infrastructure security (Inputs)</v>
      </c>
      <c r="B225" s="1" t="str">
        <f t="shared" ref="B225:AG225" si="213">IF(B160&gt;1,"=","")&amp;B95</f>
        <v>23</v>
      </c>
      <c r="C225" s="1" t="str">
        <f t="shared" si="213"/>
        <v>14</v>
      </c>
      <c r="D225" s="1" t="str">
        <f t="shared" si="213"/>
        <v>36</v>
      </c>
      <c r="E225" s="1" t="str">
        <f t="shared" si="213"/>
        <v>44</v>
      </c>
      <c r="F225" s="1" t="str">
        <f t="shared" si="213"/>
        <v>=2</v>
      </c>
      <c r="G225" s="1" t="str">
        <f t="shared" si="213"/>
        <v>=37</v>
      </c>
      <c r="H225" s="1" t="str">
        <f t="shared" si="213"/>
        <v>43</v>
      </c>
      <c r="I225" s="1" t="str">
        <f t="shared" si="213"/>
        <v>26</v>
      </c>
      <c r="J225" s="1" t="str">
        <f t="shared" si="213"/>
        <v>27</v>
      </c>
      <c r="K225" s="1" t="str">
        <f t="shared" si="213"/>
        <v>46</v>
      </c>
      <c r="L225" s="1" t="str">
        <f t="shared" si="213"/>
        <v>54</v>
      </c>
      <c r="M225" s="1" t="str">
        <f t="shared" si="213"/>
        <v>48</v>
      </c>
      <c r="N225" s="1" t="str">
        <f t="shared" si="213"/>
        <v>=17</v>
      </c>
      <c r="O225" s="1" t="str">
        <f t="shared" si="213"/>
        <v>=30</v>
      </c>
      <c r="P225" s="1" t="str">
        <f t="shared" si="213"/>
        <v>55</v>
      </c>
      <c r="Q225" s="1" t="str">
        <f t="shared" si="213"/>
        <v>60</v>
      </c>
      <c r="R225" s="1" t="str">
        <f t="shared" si="213"/>
        <v>34</v>
      </c>
      <c r="S225" s="1" t="str">
        <f t="shared" si="213"/>
        <v>=10</v>
      </c>
      <c r="T225" s="1" t="str">
        <f t="shared" si="213"/>
        <v>=51</v>
      </c>
      <c r="U225" s="1" t="str">
        <f t="shared" si="213"/>
        <v>=7</v>
      </c>
      <c r="V225" s="1" t="str">
        <f t="shared" si="213"/>
        <v>41</v>
      </c>
      <c r="W225" s="1" t="str">
        <f t="shared" si="213"/>
        <v>=51</v>
      </c>
      <c r="X225" s="1" t="str">
        <f t="shared" si="213"/>
        <v>50</v>
      </c>
      <c r="Y225" s="1" t="str">
        <f t="shared" si="213"/>
        <v>47</v>
      </c>
      <c r="Z225" s="1" t="str">
        <f t="shared" si="213"/>
        <v>59</v>
      </c>
      <c r="AA225" s="1" t="str">
        <f t="shared" si="213"/>
        <v>39</v>
      </c>
      <c r="AB225" s="1" t="str">
        <f t="shared" si="213"/>
        <v>35</v>
      </c>
      <c r="AC225" s="1" t="str">
        <f t="shared" si="213"/>
        <v>45</v>
      </c>
      <c r="AD225" s="1" t="str">
        <f t="shared" si="213"/>
        <v>=15</v>
      </c>
      <c r="AE225" s="1" t="str">
        <f t="shared" si="213"/>
        <v>=17</v>
      </c>
      <c r="AF225" s="1" t="str">
        <f t="shared" si="213"/>
        <v>=2</v>
      </c>
      <c r="AG225" s="1" t="str">
        <f t="shared" si="213"/>
        <v>49</v>
      </c>
      <c r="AH225" s="1" t="str">
        <f t="shared" ref="AH225:BJ225" si="214">IF(AH160&gt;1,"=","")&amp;AH95</f>
        <v>=7</v>
      </c>
      <c r="AI225" s="1" t="str">
        <f t="shared" si="214"/>
        <v>42</v>
      </c>
      <c r="AJ225" s="1" t="str">
        <f t="shared" si="214"/>
        <v>=24</v>
      </c>
      <c r="AK225" s="1" t="str">
        <f t="shared" si="214"/>
        <v>29</v>
      </c>
      <c r="AL225" s="1" t="str">
        <f t="shared" si="214"/>
        <v>57</v>
      </c>
      <c r="AM225" s="1" t="str">
        <f t="shared" si="214"/>
        <v>=17</v>
      </c>
      <c r="AN225" s="1" t="str">
        <f t="shared" si="214"/>
        <v>=2</v>
      </c>
      <c r="AO225" s="1" t="str">
        <f t="shared" si="214"/>
        <v>=15</v>
      </c>
      <c r="AP225" s="1" t="str">
        <f t="shared" si="214"/>
        <v>53</v>
      </c>
      <c r="AQ225" s="1" t="str">
        <f t="shared" si="214"/>
        <v>=32</v>
      </c>
      <c r="AR225" s="1" t="str">
        <f t="shared" si="214"/>
        <v>56</v>
      </c>
      <c r="AS225" s="1" t="str">
        <f t="shared" si="214"/>
        <v>13</v>
      </c>
      <c r="AT225" s="1" t="str">
        <f t="shared" si="214"/>
        <v>=17</v>
      </c>
      <c r="AU225" s="1" t="str">
        <f t="shared" si="214"/>
        <v>28</v>
      </c>
      <c r="AV225" s="1" t="str">
        <f t="shared" si="214"/>
        <v>=32</v>
      </c>
      <c r="AW225" s="1" t="str">
        <f t="shared" si="214"/>
        <v>=24</v>
      </c>
      <c r="AX225" s="1" t="str">
        <f t="shared" si="214"/>
        <v>=37</v>
      </c>
      <c r="AY225" s="1" t="str">
        <f t="shared" si="214"/>
        <v>=2</v>
      </c>
      <c r="AZ225" s="1" t="str">
        <f t="shared" si="214"/>
        <v>=10</v>
      </c>
      <c r="BA225" s="1" t="str">
        <f t="shared" si="214"/>
        <v>=7</v>
      </c>
      <c r="BB225" s="1" t="str">
        <f t="shared" si="214"/>
        <v>=30</v>
      </c>
      <c r="BC225" s="1" t="str">
        <f t="shared" si="214"/>
        <v>40</v>
      </c>
      <c r="BD225" s="1" t="str">
        <f t="shared" si="214"/>
        <v>=2</v>
      </c>
      <c r="BE225" s="1" t="str">
        <f t="shared" si="214"/>
        <v>=17</v>
      </c>
      <c r="BF225" s="1" t="str">
        <f t="shared" si="214"/>
        <v>=17</v>
      </c>
      <c r="BG225" s="1" t="str">
        <f t="shared" si="214"/>
        <v>1</v>
      </c>
      <c r="BH225" s="1" t="str">
        <f t="shared" si="214"/>
        <v>58</v>
      </c>
      <c r="BI225" s="1" t="str">
        <f t="shared" si="214"/>
        <v>=10</v>
      </c>
      <c r="BJ225" s="1" t="str">
        <f t="shared" si="214"/>
        <v>=2</v>
      </c>
    </row>
    <row r="226" spans="1:62">
      <c r="A226" s="1" t="str">
        <f t="shared" si="156"/>
        <v>   3.1.1) Enforcement of transport safety</v>
      </c>
      <c r="B226" s="1" t="str">
        <f t="shared" ref="B226:AG226" si="215">IF(B161&gt;1,"=","")&amp;B96</f>
        <v>1</v>
      </c>
      <c r="C226" s="1" t="str">
        <f t="shared" si="215"/>
        <v>=30</v>
      </c>
      <c r="D226" s="1" t="str">
        <f t="shared" si="215"/>
        <v>=40</v>
      </c>
      <c r="E226" s="1" t="str">
        <f t="shared" si="215"/>
        <v>46</v>
      </c>
      <c r="F226" s="1" t="str">
        <f t="shared" si="215"/>
        <v>=5</v>
      </c>
      <c r="G226" s="1" t="str">
        <f t="shared" si="215"/>
        <v>=10</v>
      </c>
      <c r="H226" s="1" t="str">
        <f t="shared" si="215"/>
        <v>=52</v>
      </c>
      <c r="I226" s="1" t="str">
        <f t="shared" si="215"/>
        <v>=33</v>
      </c>
      <c r="J226" s="1" t="str">
        <f t="shared" si="215"/>
        <v>=38</v>
      </c>
      <c r="K226" s="1" t="str">
        <f t="shared" si="215"/>
        <v>=40</v>
      </c>
      <c r="L226" s="1" t="str">
        <f t="shared" si="215"/>
        <v>=52</v>
      </c>
      <c r="M226" s="1" t="str">
        <f t="shared" si="215"/>
        <v>44</v>
      </c>
      <c r="N226" s="1" t="str">
        <f t="shared" si="215"/>
        <v>=10</v>
      </c>
      <c r="O226" s="1" t="str">
        <f t="shared" si="215"/>
        <v>=10</v>
      </c>
      <c r="P226" s="1" t="str">
        <f t="shared" si="215"/>
        <v>=54</v>
      </c>
      <c r="Q226" s="1" t="str">
        <f t="shared" si="215"/>
        <v>=58</v>
      </c>
      <c r="R226" s="1" t="str">
        <f t="shared" si="215"/>
        <v>=10</v>
      </c>
      <c r="S226" s="1" t="str">
        <f t="shared" si="215"/>
        <v>=24</v>
      </c>
      <c r="T226" s="1" t="str">
        <f t="shared" si="215"/>
        <v>=36</v>
      </c>
      <c r="U226" s="1" t="str">
        <f t="shared" si="215"/>
        <v>=10</v>
      </c>
      <c r="V226" s="1" t="str">
        <f t="shared" si="215"/>
        <v>=58</v>
      </c>
      <c r="W226" s="1" t="str">
        <f t="shared" si="215"/>
        <v>=36</v>
      </c>
      <c r="X226" s="1" t="str">
        <f t="shared" si="215"/>
        <v>=40</v>
      </c>
      <c r="Y226" s="1" t="str">
        <f t="shared" si="215"/>
        <v>57</v>
      </c>
      <c r="Z226" s="1" t="str">
        <f t="shared" si="215"/>
        <v>=58</v>
      </c>
      <c r="AA226" s="1" t="str">
        <f t="shared" si="215"/>
        <v>=47</v>
      </c>
      <c r="AB226" s="1" t="str">
        <f t="shared" si="215"/>
        <v>=38</v>
      </c>
      <c r="AC226" s="1" t="str">
        <f t="shared" si="215"/>
        <v>=54</v>
      </c>
      <c r="AD226" s="1" t="str">
        <f t="shared" si="215"/>
        <v>=2</v>
      </c>
      <c r="AE226" s="1" t="str">
        <f t="shared" si="215"/>
        <v>=10</v>
      </c>
      <c r="AF226" s="1" t="str">
        <f t="shared" si="215"/>
        <v>=5</v>
      </c>
      <c r="AG226" s="1" t="str">
        <f t="shared" si="215"/>
        <v>=50</v>
      </c>
      <c r="AH226" s="1" t="str">
        <f t="shared" ref="AH226:BJ226" si="216">IF(AH161&gt;1,"=","")&amp;AH96</f>
        <v>=10</v>
      </c>
      <c r="AI226" s="1" t="str">
        <f t="shared" si="216"/>
        <v>=50</v>
      </c>
      <c r="AJ226" s="1" t="str">
        <f t="shared" si="216"/>
        <v>=27</v>
      </c>
      <c r="AK226" s="1" t="str">
        <f t="shared" si="216"/>
        <v>=33</v>
      </c>
      <c r="AL226" s="1" t="str">
        <f t="shared" si="216"/>
        <v>=54</v>
      </c>
      <c r="AM226" s="1" t="str">
        <f t="shared" si="216"/>
        <v>=10</v>
      </c>
      <c r="AN226" s="1" t="str">
        <f t="shared" si="216"/>
        <v>=5</v>
      </c>
      <c r="AO226" s="1" t="str">
        <f t="shared" si="216"/>
        <v>=2</v>
      </c>
      <c r="AP226" s="1" t="str">
        <f t="shared" si="216"/>
        <v>45</v>
      </c>
      <c r="AQ226" s="1" t="str">
        <f t="shared" si="216"/>
        <v>=30</v>
      </c>
      <c r="AR226" s="1" t="str">
        <f t="shared" si="216"/>
        <v>=40</v>
      </c>
      <c r="AS226" s="1" t="str">
        <f t="shared" si="216"/>
        <v>=27</v>
      </c>
      <c r="AT226" s="1" t="str">
        <f t="shared" si="216"/>
        <v>=10</v>
      </c>
      <c r="AU226" s="1" t="str">
        <f t="shared" si="216"/>
        <v>49</v>
      </c>
      <c r="AV226" s="1" t="str">
        <f t="shared" si="216"/>
        <v>=30</v>
      </c>
      <c r="AW226" s="1" t="str">
        <f t="shared" si="216"/>
        <v>=27</v>
      </c>
      <c r="AX226" s="1" t="str">
        <f t="shared" si="216"/>
        <v>=10</v>
      </c>
      <c r="AY226" s="1" t="str">
        <f t="shared" si="216"/>
        <v>=5</v>
      </c>
      <c r="AZ226" s="1" t="str">
        <f t="shared" si="216"/>
        <v>=24</v>
      </c>
      <c r="BA226" s="1" t="str">
        <f t="shared" si="216"/>
        <v>=10</v>
      </c>
      <c r="BB226" s="1" t="str">
        <f t="shared" si="216"/>
        <v>=10</v>
      </c>
      <c r="BC226" s="1" t="str">
        <f t="shared" si="216"/>
        <v>=33</v>
      </c>
      <c r="BD226" s="1" t="str">
        <f t="shared" si="216"/>
        <v>=5</v>
      </c>
      <c r="BE226" s="1" t="str">
        <f t="shared" si="216"/>
        <v>=10</v>
      </c>
      <c r="BF226" s="1" t="str">
        <f t="shared" si="216"/>
        <v>=10</v>
      </c>
      <c r="BG226" s="1" t="str">
        <f t="shared" si="216"/>
        <v>=2</v>
      </c>
      <c r="BH226" s="1" t="str">
        <f t="shared" si="216"/>
        <v>=47</v>
      </c>
      <c r="BI226" s="1" t="str">
        <f t="shared" si="216"/>
        <v>=24</v>
      </c>
      <c r="BJ226" s="1" t="str">
        <f t="shared" si="216"/>
        <v>=5</v>
      </c>
    </row>
    <row r="227" spans="1:62">
      <c r="A227" s="1" t="str">
        <f t="shared" si="156"/>
        <v>   3.1.2) Pedestrian friendliness</v>
      </c>
      <c r="B227" s="1" t="str">
        <f t="shared" ref="B227:AG227" si="217">IF(B162&gt;1,"=","")&amp;B97</f>
        <v>=1</v>
      </c>
      <c r="C227" s="1" t="str">
        <f t="shared" si="217"/>
        <v>=1</v>
      </c>
      <c r="D227" s="1" t="str">
        <f t="shared" si="217"/>
        <v>=1</v>
      </c>
      <c r="E227" s="1" t="str">
        <f t="shared" si="217"/>
        <v>=38</v>
      </c>
      <c r="F227" s="1" t="str">
        <f t="shared" si="217"/>
        <v>=1</v>
      </c>
      <c r="G227" s="1" t="str">
        <f t="shared" si="217"/>
        <v>=38</v>
      </c>
      <c r="H227" s="1" t="str">
        <f t="shared" si="217"/>
        <v>=1</v>
      </c>
      <c r="I227" s="1" t="str">
        <f t="shared" si="217"/>
        <v>=1</v>
      </c>
      <c r="J227" s="1" t="str">
        <f t="shared" si="217"/>
        <v>=1</v>
      </c>
      <c r="K227" s="1" t="str">
        <f t="shared" si="217"/>
        <v>=38</v>
      </c>
      <c r="L227" s="1" t="str">
        <f t="shared" si="217"/>
        <v>=50</v>
      </c>
      <c r="M227" s="1" t="str">
        <f t="shared" si="217"/>
        <v>=50</v>
      </c>
      <c r="N227" s="1" t="str">
        <f t="shared" si="217"/>
        <v>=1</v>
      </c>
      <c r="O227" s="1" t="str">
        <f t="shared" si="217"/>
        <v>=38</v>
      </c>
      <c r="P227" s="1" t="str">
        <f t="shared" si="217"/>
        <v>=50</v>
      </c>
      <c r="Q227" s="1" t="str">
        <f t="shared" si="217"/>
        <v>=50</v>
      </c>
      <c r="R227" s="1" t="str">
        <f t="shared" si="217"/>
        <v>=38</v>
      </c>
      <c r="S227" s="1" t="str">
        <f t="shared" si="217"/>
        <v>=1</v>
      </c>
      <c r="T227" s="1" t="str">
        <f t="shared" si="217"/>
        <v>=38</v>
      </c>
      <c r="U227" s="1" t="str">
        <f t="shared" si="217"/>
        <v>=1</v>
      </c>
      <c r="V227" s="1" t="str">
        <f t="shared" si="217"/>
        <v>=1</v>
      </c>
      <c r="W227" s="1" t="str">
        <f t="shared" si="217"/>
        <v>=50</v>
      </c>
      <c r="X227" s="1" t="str">
        <f t="shared" si="217"/>
        <v>=50</v>
      </c>
      <c r="Y227" s="1" t="str">
        <f t="shared" si="217"/>
        <v>=38</v>
      </c>
      <c r="Z227" s="1" t="str">
        <f t="shared" si="217"/>
        <v>=38</v>
      </c>
      <c r="AA227" s="1" t="str">
        <f t="shared" si="217"/>
        <v>=38</v>
      </c>
      <c r="AB227" s="1" t="str">
        <f t="shared" si="217"/>
        <v>=38</v>
      </c>
      <c r="AC227" s="1" t="str">
        <f t="shared" si="217"/>
        <v>=50</v>
      </c>
      <c r="AD227" s="1" t="str">
        <f t="shared" si="217"/>
        <v>=1</v>
      </c>
      <c r="AE227" s="1" t="str">
        <f t="shared" si="217"/>
        <v>=1</v>
      </c>
      <c r="AF227" s="1" t="str">
        <f t="shared" si="217"/>
        <v>=1</v>
      </c>
      <c r="AG227" s="1" t="str">
        <f t="shared" si="217"/>
        <v>=38</v>
      </c>
      <c r="AH227" s="1" t="str">
        <f t="shared" ref="AH227:BJ227" si="218">IF(AH162&gt;1,"=","")&amp;AH97</f>
        <v>=1</v>
      </c>
      <c r="AI227" s="1" t="str">
        <f t="shared" si="218"/>
        <v>=1</v>
      </c>
      <c r="AJ227" s="1" t="str">
        <f t="shared" si="218"/>
        <v>=1</v>
      </c>
      <c r="AK227" s="1" t="str">
        <f t="shared" si="218"/>
        <v>=1</v>
      </c>
      <c r="AL227" s="1" t="str">
        <f t="shared" si="218"/>
        <v>=50</v>
      </c>
      <c r="AM227" s="1" t="str">
        <f t="shared" si="218"/>
        <v>=1</v>
      </c>
      <c r="AN227" s="1" t="str">
        <f t="shared" si="218"/>
        <v>=1</v>
      </c>
      <c r="AO227" s="1" t="str">
        <f t="shared" si="218"/>
        <v>=1</v>
      </c>
      <c r="AP227" s="1" t="str">
        <f t="shared" si="218"/>
        <v>=50</v>
      </c>
      <c r="AQ227" s="1" t="str">
        <f t="shared" si="218"/>
        <v>=1</v>
      </c>
      <c r="AR227" s="1" t="str">
        <f t="shared" si="218"/>
        <v>=50</v>
      </c>
      <c r="AS227" s="1" t="str">
        <f t="shared" si="218"/>
        <v>=1</v>
      </c>
      <c r="AT227" s="1" t="str">
        <f t="shared" si="218"/>
        <v>=1</v>
      </c>
      <c r="AU227" s="1" t="str">
        <f t="shared" si="218"/>
        <v>=1</v>
      </c>
      <c r="AV227" s="1" t="str">
        <f t="shared" si="218"/>
        <v>=1</v>
      </c>
      <c r="AW227" s="1" t="str">
        <f t="shared" si="218"/>
        <v>=1</v>
      </c>
      <c r="AX227" s="1" t="str">
        <f t="shared" si="218"/>
        <v>=38</v>
      </c>
      <c r="AY227" s="1" t="str">
        <f t="shared" si="218"/>
        <v>=1</v>
      </c>
      <c r="AZ227" s="1" t="str">
        <f t="shared" si="218"/>
        <v>=1</v>
      </c>
      <c r="BA227" s="1" t="str">
        <f t="shared" si="218"/>
        <v>=1</v>
      </c>
      <c r="BB227" s="1" t="str">
        <f t="shared" si="218"/>
        <v>=1</v>
      </c>
      <c r="BC227" s="1" t="str">
        <f t="shared" si="218"/>
        <v>=1</v>
      </c>
      <c r="BD227" s="1" t="str">
        <f t="shared" si="218"/>
        <v>=1</v>
      </c>
      <c r="BE227" s="1" t="str">
        <f t="shared" si="218"/>
        <v>=1</v>
      </c>
      <c r="BF227" s="1" t="str">
        <f t="shared" si="218"/>
        <v>=1</v>
      </c>
      <c r="BG227" s="1" t="str">
        <f t="shared" si="218"/>
        <v>=1</v>
      </c>
      <c r="BH227" s="1" t="str">
        <f t="shared" si="218"/>
        <v>=50</v>
      </c>
      <c r="BI227" s="1" t="str">
        <f t="shared" si="218"/>
        <v>=1</v>
      </c>
      <c r="BJ227" s="1" t="str">
        <f t="shared" si="218"/>
        <v>=1</v>
      </c>
    </row>
    <row r="228" spans="1:62">
      <c r="A228" s="1" t="str">
        <f t="shared" si="156"/>
        <v>   3.1.3) Quality of road infrastructure</v>
      </c>
      <c r="B228" s="1" t="str">
        <f t="shared" ref="B228:AG228" si="219">IF(B163&gt;1,"=","")&amp;B98</f>
        <v>=1</v>
      </c>
      <c r="C228" s="1" t="str">
        <f t="shared" si="219"/>
        <v>=1</v>
      </c>
      <c r="D228" s="1" t="str">
        <f t="shared" si="219"/>
        <v>=40</v>
      </c>
      <c r="E228" s="1" t="str">
        <f t="shared" si="219"/>
        <v>=55</v>
      </c>
      <c r="F228" s="1" t="str">
        <f t="shared" si="219"/>
        <v>=1</v>
      </c>
      <c r="G228" s="1" t="str">
        <f t="shared" si="219"/>
        <v>=16</v>
      </c>
      <c r="H228" s="1" t="str">
        <f t="shared" si="219"/>
        <v>=40</v>
      </c>
      <c r="I228" s="1" t="str">
        <f t="shared" si="219"/>
        <v>=16</v>
      </c>
      <c r="J228" s="1" t="str">
        <f t="shared" si="219"/>
        <v>=16</v>
      </c>
      <c r="K228" s="1" t="str">
        <f t="shared" si="219"/>
        <v>=40</v>
      </c>
      <c r="L228" s="1" t="str">
        <f t="shared" si="219"/>
        <v>=40</v>
      </c>
      <c r="M228" s="1" t="str">
        <f t="shared" si="219"/>
        <v>=40</v>
      </c>
      <c r="N228" s="1" t="str">
        <f t="shared" si="219"/>
        <v>=16</v>
      </c>
      <c r="O228" s="1" t="str">
        <f t="shared" si="219"/>
        <v>=16</v>
      </c>
      <c r="P228" s="1" t="str">
        <f t="shared" si="219"/>
        <v>=40</v>
      </c>
      <c r="Q228" s="1" t="str">
        <f t="shared" si="219"/>
        <v>=59</v>
      </c>
      <c r="R228" s="1" t="str">
        <f t="shared" si="219"/>
        <v>=16</v>
      </c>
      <c r="S228" s="1" t="str">
        <f t="shared" si="219"/>
        <v>=1</v>
      </c>
      <c r="T228" s="1" t="str">
        <f t="shared" si="219"/>
        <v>=55</v>
      </c>
      <c r="U228" s="1" t="str">
        <f t="shared" si="219"/>
        <v>=1</v>
      </c>
      <c r="V228" s="1" t="str">
        <f t="shared" si="219"/>
        <v>=40</v>
      </c>
      <c r="W228" s="1" t="str">
        <f t="shared" si="219"/>
        <v>=40</v>
      </c>
      <c r="X228" s="1" t="str">
        <f t="shared" si="219"/>
        <v>=16</v>
      </c>
      <c r="Y228" s="1" t="str">
        <f t="shared" si="219"/>
        <v>=40</v>
      </c>
      <c r="Z228" s="1" t="str">
        <f t="shared" si="219"/>
        <v>=55</v>
      </c>
      <c r="AA228" s="1" t="str">
        <f t="shared" si="219"/>
        <v>=16</v>
      </c>
      <c r="AB228" s="1" t="str">
        <f t="shared" si="219"/>
        <v>=16</v>
      </c>
      <c r="AC228" s="1" t="str">
        <f t="shared" si="219"/>
        <v>=16</v>
      </c>
      <c r="AD228" s="1" t="str">
        <f t="shared" si="219"/>
        <v>=16</v>
      </c>
      <c r="AE228" s="1" t="str">
        <f t="shared" si="219"/>
        <v>=16</v>
      </c>
      <c r="AF228" s="1" t="str">
        <f t="shared" si="219"/>
        <v>=1</v>
      </c>
      <c r="AG228" s="1" t="str">
        <f t="shared" si="219"/>
        <v>=40</v>
      </c>
      <c r="AH228" s="1" t="str">
        <f t="shared" ref="AH228:BJ228" si="220">IF(AH163&gt;1,"=","")&amp;AH98</f>
        <v>=1</v>
      </c>
      <c r="AI228" s="1" t="str">
        <f t="shared" si="220"/>
        <v>=40</v>
      </c>
      <c r="AJ228" s="1" t="str">
        <f t="shared" si="220"/>
        <v>=16</v>
      </c>
      <c r="AK228" s="1" t="str">
        <f t="shared" si="220"/>
        <v>=16</v>
      </c>
      <c r="AL228" s="1" t="str">
        <f t="shared" si="220"/>
        <v>=59</v>
      </c>
      <c r="AM228" s="1" t="str">
        <f t="shared" si="220"/>
        <v>=16</v>
      </c>
      <c r="AN228" s="1" t="str">
        <f t="shared" si="220"/>
        <v>=1</v>
      </c>
      <c r="AO228" s="1" t="str">
        <f t="shared" si="220"/>
        <v>=16</v>
      </c>
      <c r="AP228" s="1" t="str">
        <f t="shared" si="220"/>
        <v>=40</v>
      </c>
      <c r="AQ228" s="1" t="str">
        <f t="shared" si="220"/>
        <v>=40</v>
      </c>
      <c r="AR228" s="1" t="str">
        <f t="shared" si="220"/>
        <v>=40</v>
      </c>
      <c r="AS228" s="1" t="str">
        <f t="shared" si="220"/>
        <v>=1</v>
      </c>
      <c r="AT228" s="1" t="str">
        <f t="shared" si="220"/>
        <v>=16</v>
      </c>
      <c r="AU228" s="1" t="str">
        <f t="shared" si="220"/>
        <v>=16</v>
      </c>
      <c r="AV228" s="1" t="str">
        <f t="shared" si="220"/>
        <v>=16</v>
      </c>
      <c r="AW228" s="1" t="str">
        <f t="shared" si="220"/>
        <v>=16</v>
      </c>
      <c r="AX228" s="1" t="str">
        <f t="shared" si="220"/>
        <v>=16</v>
      </c>
      <c r="AY228" s="1" t="str">
        <f t="shared" si="220"/>
        <v>=1</v>
      </c>
      <c r="AZ228" s="1" t="str">
        <f t="shared" si="220"/>
        <v>=1</v>
      </c>
      <c r="BA228" s="1" t="str">
        <f t="shared" si="220"/>
        <v>=1</v>
      </c>
      <c r="BB228" s="1" t="str">
        <f t="shared" si="220"/>
        <v>=16</v>
      </c>
      <c r="BC228" s="1" t="str">
        <f t="shared" si="220"/>
        <v>=40</v>
      </c>
      <c r="BD228" s="1" t="str">
        <f t="shared" si="220"/>
        <v>=1</v>
      </c>
      <c r="BE228" s="1" t="str">
        <f t="shared" si="220"/>
        <v>=16</v>
      </c>
      <c r="BF228" s="1" t="str">
        <f t="shared" si="220"/>
        <v>=16</v>
      </c>
      <c r="BG228" s="1" t="str">
        <f t="shared" si="220"/>
        <v>=1</v>
      </c>
      <c r="BH228" s="1" t="str">
        <f t="shared" si="220"/>
        <v>=55</v>
      </c>
      <c r="BI228" s="1" t="str">
        <f t="shared" si="220"/>
        <v>=1</v>
      </c>
      <c r="BJ228" s="1" t="str">
        <f t="shared" si="220"/>
        <v>=1</v>
      </c>
    </row>
    <row r="229" spans="1:62">
      <c r="A229" s="1" t="str">
        <f t="shared" ref="A229:A258" si="221">A164</f>
        <v>   3.1.4) Quality of electricity infrastructure</v>
      </c>
      <c r="B229" s="1" t="str">
        <f t="shared" ref="B229:AG229" si="222">IF(B164&gt;1,"=","")&amp;B99</f>
        <v>=38</v>
      </c>
      <c r="C229" s="1" t="str">
        <f t="shared" si="222"/>
        <v>=1</v>
      </c>
      <c r="D229" s="1" t="str">
        <f t="shared" si="222"/>
        <v>=38</v>
      </c>
      <c r="E229" s="1" t="str">
        <f t="shared" si="222"/>
        <v>=1</v>
      </c>
      <c r="F229" s="1" t="str">
        <f t="shared" si="222"/>
        <v>=1</v>
      </c>
      <c r="G229" s="1" t="str">
        <f t="shared" si="222"/>
        <v>=1</v>
      </c>
      <c r="H229" s="1" t="str">
        <f t="shared" si="222"/>
        <v>=38</v>
      </c>
      <c r="I229" s="1" t="str">
        <f t="shared" si="222"/>
        <v>=1</v>
      </c>
      <c r="J229" s="1" t="str">
        <f t="shared" si="222"/>
        <v>=1</v>
      </c>
      <c r="K229" s="1" t="str">
        <f t="shared" si="222"/>
        <v>=38</v>
      </c>
      <c r="L229" s="1" t="str">
        <f t="shared" si="222"/>
        <v>=51</v>
      </c>
      <c r="M229" s="1" t="str">
        <f t="shared" si="222"/>
        <v>=38</v>
      </c>
      <c r="N229" s="1" t="str">
        <f t="shared" si="222"/>
        <v>=1</v>
      </c>
      <c r="O229" s="1" t="str">
        <f t="shared" si="222"/>
        <v>=1</v>
      </c>
      <c r="P229" s="1" t="str">
        <f t="shared" si="222"/>
        <v>=51</v>
      </c>
      <c r="Q229" s="1" t="str">
        <f t="shared" si="222"/>
        <v>=51</v>
      </c>
      <c r="R229" s="1" t="str">
        <f t="shared" si="222"/>
        <v>=38</v>
      </c>
      <c r="S229" s="1" t="str">
        <f t="shared" si="222"/>
        <v>=1</v>
      </c>
      <c r="T229" s="1" t="str">
        <f t="shared" si="222"/>
        <v>=51</v>
      </c>
      <c r="U229" s="1" t="str">
        <f t="shared" si="222"/>
        <v>=1</v>
      </c>
      <c r="V229" s="1" t="str">
        <f t="shared" si="222"/>
        <v>=38</v>
      </c>
      <c r="W229" s="1" t="str">
        <f t="shared" si="222"/>
        <v>=51</v>
      </c>
      <c r="X229" s="1" t="str">
        <f t="shared" si="222"/>
        <v>=1</v>
      </c>
      <c r="Y229" s="1" t="str">
        <f t="shared" si="222"/>
        <v>=51</v>
      </c>
      <c r="Z229" s="1" t="str">
        <f t="shared" si="222"/>
        <v>60</v>
      </c>
      <c r="AA229" s="1" t="str">
        <f t="shared" si="222"/>
        <v>=1</v>
      </c>
      <c r="AB229" s="1" t="str">
        <f t="shared" si="222"/>
        <v>=1</v>
      </c>
      <c r="AC229" s="1" t="str">
        <f t="shared" si="222"/>
        <v>=1</v>
      </c>
      <c r="AD229" s="1" t="str">
        <f t="shared" si="222"/>
        <v>=1</v>
      </c>
      <c r="AE229" s="1" t="str">
        <f t="shared" si="222"/>
        <v>=1</v>
      </c>
      <c r="AF229" s="1" t="str">
        <f t="shared" si="222"/>
        <v>=1</v>
      </c>
      <c r="AG229" s="1" t="str">
        <f t="shared" si="222"/>
        <v>=38</v>
      </c>
      <c r="AH229" s="1" t="str">
        <f t="shared" ref="AH229:BJ229" si="223">IF(AH164&gt;1,"=","")&amp;AH99</f>
        <v>=1</v>
      </c>
      <c r="AI229" s="1" t="str">
        <f t="shared" si="223"/>
        <v>=51</v>
      </c>
      <c r="AJ229" s="1" t="str">
        <f t="shared" si="223"/>
        <v>=1</v>
      </c>
      <c r="AK229" s="1" t="str">
        <f t="shared" si="223"/>
        <v>=1</v>
      </c>
      <c r="AL229" s="1" t="str">
        <f t="shared" si="223"/>
        <v>=38</v>
      </c>
      <c r="AM229" s="1" t="str">
        <f t="shared" si="223"/>
        <v>=1</v>
      </c>
      <c r="AN229" s="1" t="str">
        <f t="shared" si="223"/>
        <v>=1</v>
      </c>
      <c r="AO229" s="1" t="str">
        <f t="shared" si="223"/>
        <v>=1</v>
      </c>
      <c r="AP229" s="1" t="str">
        <f t="shared" si="223"/>
        <v>=38</v>
      </c>
      <c r="AQ229" s="1" t="str">
        <f t="shared" si="223"/>
        <v>=1</v>
      </c>
      <c r="AR229" s="1" t="str">
        <f t="shared" si="223"/>
        <v>=38</v>
      </c>
      <c r="AS229" s="1" t="str">
        <f t="shared" si="223"/>
        <v>=1</v>
      </c>
      <c r="AT229" s="1" t="str">
        <f t="shared" si="223"/>
        <v>=1</v>
      </c>
      <c r="AU229" s="1" t="str">
        <f t="shared" si="223"/>
        <v>=1</v>
      </c>
      <c r="AV229" s="1" t="str">
        <f t="shared" si="223"/>
        <v>=38</v>
      </c>
      <c r="AW229" s="1" t="str">
        <f t="shared" si="223"/>
        <v>=1</v>
      </c>
      <c r="AX229" s="1" t="str">
        <f t="shared" si="223"/>
        <v>=1</v>
      </c>
      <c r="AY229" s="1" t="str">
        <f t="shared" si="223"/>
        <v>=1</v>
      </c>
      <c r="AZ229" s="1" t="str">
        <f t="shared" si="223"/>
        <v>=1</v>
      </c>
      <c r="BA229" s="1" t="str">
        <f t="shared" si="223"/>
        <v>=1</v>
      </c>
      <c r="BB229" s="1" t="str">
        <f t="shared" si="223"/>
        <v>=38</v>
      </c>
      <c r="BC229" s="1" t="str">
        <f t="shared" si="223"/>
        <v>=51</v>
      </c>
      <c r="BD229" s="1" t="str">
        <f t="shared" si="223"/>
        <v>=1</v>
      </c>
      <c r="BE229" s="1" t="str">
        <f t="shared" si="223"/>
        <v>=1</v>
      </c>
      <c r="BF229" s="1" t="str">
        <f t="shared" si="223"/>
        <v>=1</v>
      </c>
      <c r="BG229" s="1" t="str">
        <f t="shared" si="223"/>
        <v>=1</v>
      </c>
      <c r="BH229" s="1" t="str">
        <f t="shared" si="223"/>
        <v>=51</v>
      </c>
      <c r="BI229" s="1" t="str">
        <f t="shared" si="223"/>
        <v>=1</v>
      </c>
      <c r="BJ229" s="1" t="str">
        <f t="shared" si="223"/>
        <v>=1</v>
      </c>
    </row>
    <row r="230" spans="1:62">
      <c r="A230" s="1" t="str">
        <f t="shared" si="221"/>
        <v>   3.1.5) Disaster management/business continuity plan</v>
      </c>
      <c r="B230" s="1" t="str">
        <f t="shared" ref="B230:AG230" si="224">IF(B165&gt;1,"=","")&amp;B100</f>
        <v>=30</v>
      </c>
      <c r="C230" s="1" t="str">
        <f t="shared" si="224"/>
        <v>=1</v>
      </c>
      <c r="D230" s="1" t="str">
        <f t="shared" si="224"/>
        <v>=30</v>
      </c>
      <c r="E230" s="1" t="str">
        <f t="shared" si="224"/>
        <v>=30</v>
      </c>
      <c r="F230" s="1" t="str">
        <f t="shared" si="224"/>
        <v>=1</v>
      </c>
      <c r="G230" s="1" t="str">
        <f t="shared" si="224"/>
        <v>=45</v>
      </c>
      <c r="H230" s="1" t="str">
        <f t="shared" si="224"/>
        <v>=45</v>
      </c>
      <c r="I230" s="1" t="str">
        <f t="shared" si="224"/>
        <v>=1</v>
      </c>
      <c r="J230" s="1" t="str">
        <f t="shared" si="224"/>
        <v>=1</v>
      </c>
      <c r="K230" s="1" t="str">
        <f t="shared" si="224"/>
        <v>=45</v>
      </c>
      <c r="L230" s="1" t="str">
        <f t="shared" si="224"/>
        <v>=45</v>
      </c>
      <c r="M230" s="1" t="str">
        <f t="shared" si="224"/>
        <v>=30</v>
      </c>
      <c r="N230" s="1" t="str">
        <f t="shared" si="224"/>
        <v>=1</v>
      </c>
      <c r="O230" s="1" t="str">
        <f t="shared" si="224"/>
        <v>=1</v>
      </c>
      <c r="P230" s="1" t="str">
        <f t="shared" si="224"/>
        <v>=45</v>
      </c>
      <c r="Q230" s="1" t="str">
        <f t="shared" si="224"/>
        <v>=53</v>
      </c>
      <c r="R230" s="1" t="str">
        <f t="shared" si="224"/>
        <v>=1</v>
      </c>
      <c r="S230" s="1" t="str">
        <f t="shared" si="224"/>
        <v>=1</v>
      </c>
      <c r="T230" s="1" t="str">
        <f t="shared" si="224"/>
        <v>=53</v>
      </c>
      <c r="U230" s="1" t="str">
        <f t="shared" si="224"/>
        <v>=1</v>
      </c>
      <c r="V230" s="1" t="str">
        <f t="shared" si="224"/>
        <v>=30</v>
      </c>
      <c r="W230" s="1" t="str">
        <f t="shared" si="224"/>
        <v>=45</v>
      </c>
      <c r="X230" s="1" t="str">
        <f t="shared" si="224"/>
        <v>=58</v>
      </c>
      <c r="Y230" s="1" t="str">
        <f t="shared" si="224"/>
        <v>=30</v>
      </c>
      <c r="Z230" s="1" t="str">
        <f t="shared" si="224"/>
        <v>=58</v>
      </c>
      <c r="AA230" s="1" t="str">
        <f t="shared" si="224"/>
        <v>=30</v>
      </c>
      <c r="AB230" s="1" t="str">
        <f t="shared" si="224"/>
        <v>=30</v>
      </c>
      <c r="AC230" s="1" t="str">
        <f t="shared" si="224"/>
        <v>=30</v>
      </c>
      <c r="AD230" s="1" t="str">
        <f t="shared" si="224"/>
        <v>=1</v>
      </c>
      <c r="AE230" s="1" t="str">
        <f t="shared" si="224"/>
        <v>=1</v>
      </c>
      <c r="AF230" s="1" t="str">
        <f t="shared" si="224"/>
        <v>=1</v>
      </c>
      <c r="AG230" s="1" t="str">
        <f t="shared" si="224"/>
        <v>=53</v>
      </c>
      <c r="AH230" s="1" t="str">
        <f t="shared" ref="AH230:BJ230" si="225">IF(AH165&gt;1,"=","")&amp;AH100</f>
        <v>=1</v>
      </c>
      <c r="AI230" s="1" t="str">
        <f t="shared" si="225"/>
        <v>=30</v>
      </c>
      <c r="AJ230" s="1" t="str">
        <f t="shared" si="225"/>
        <v>=1</v>
      </c>
      <c r="AK230" s="1" t="str">
        <f t="shared" si="225"/>
        <v>=30</v>
      </c>
      <c r="AL230" s="1" t="str">
        <f t="shared" si="225"/>
        <v>=45</v>
      </c>
      <c r="AM230" s="1" t="str">
        <f t="shared" si="225"/>
        <v>=1</v>
      </c>
      <c r="AN230" s="1" t="str">
        <f t="shared" si="225"/>
        <v>=1</v>
      </c>
      <c r="AO230" s="1" t="str">
        <f t="shared" si="225"/>
        <v>=1</v>
      </c>
      <c r="AP230" s="1" t="str">
        <f t="shared" si="225"/>
        <v>=53</v>
      </c>
      <c r="AQ230" s="1" t="str">
        <f t="shared" si="225"/>
        <v>=30</v>
      </c>
      <c r="AR230" s="1" t="str">
        <f t="shared" si="225"/>
        <v>=58</v>
      </c>
      <c r="AS230" s="1" t="str">
        <f t="shared" si="225"/>
        <v>=1</v>
      </c>
      <c r="AT230" s="1" t="str">
        <f t="shared" si="225"/>
        <v>=1</v>
      </c>
      <c r="AU230" s="1" t="str">
        <f t="shared" si="225"/>
        <v>=1</v>
      </c>
      <c r="AV230" s="1" t="str">
        <f t="shared" si="225"/>
        <v>=30</v>
      </c>
      <c r="AW230" s="1" t="str">
        <f t="shared" si="225"/>
        <v>=1</v>
      </c>
      <c r="AX230" s="1" t="str">
        <f t="shared" si="225"/>
        <v>=45</v>
      </c>
      <c r="AY230" s="1" t="str">
        <f t="shared" si="225"/>
        <v>=1</v>
      </c>
      <c r="AZ230" s="1" t="str">
        <f t="shared" si="225"/>
        <v>=1</v>
      </c>
      <c r="BA230" s="1" t="str">
        <f t="shared" si="225"/>
        <v>=1</v>
      </c>
      <c r="BB230" s="1" t="str">
        <f t="shared" si="225"/>
        <v>=30</v>
      </c>
      <c r="BC230" s="1" t="str">
        <f t="shared" si="225"/>
        <v>=30</v>
      </c>
      <c r="BD230" s="1" t="str">
        <f t="shared" si="225"/>
        <v>=1</v>
      </c>
      <c r="BE230" s="1" t="str">
        <f t="shared" si="225"/>
        <v>=1</v>
      </c>
      <c r="BF230" s="1" t="str">
        <f t="shared" si="225"/>
        <v>=1</v>
      </c>
      <c r="BG230" s="1" t="str">
        <f t="shared" si="225"/>
        <v>=1</v>
      </c>
      <c r="BH230" s="1" t="str">
        <f t="shared" si="225"/>
        <v>=53</v>
      </c>
      <c r="BI230" s="1" t="str">
        <f t="shared" si="225"/>
        <v>=1</v>
      </c>
      <c r="BJ230" s="1" t="str">
        <f t="shared" si="225"/>
        <v>=1</v>
      </c>
    </row>
    <row r="231" spans="1:62">
      <c r="A231" s="1" t="str">
        <f t="shared" si="221"/>
        <v>  3.2) Infrastructure security (Outputs)</v>
      </c>
      <c r="B231" s="1" t="str">
        <f t="shared" ref="B231:AG231" si="226">IF(B166&gt;1,"=","")&amp;B101</f>
        <v>=14</v>
      </c>
      <c r="C231" s="1" t="str">
        <f t="shared" si="226"/>
        <v>1</v>
      </c>
      <c r="D231" s="1" t="str">
        <f t="shared" si="226"/>
        <v>16</v>
      </c>
      <c r="E231" s="1" t="str">
        <f t="shared" si="226"/>
        <v>48</v>
      </c>
      <c r="F231" s="1" t="str">
        <f t="shared" si="226"/>
        <v>5</v>
      </c>
      <c r="G231" s="1" t="str">
        <f t="shared" si="226"/>
        <v>42</v>
      </c>
      <c r="H231" s="1" t="str">
        <f t="shared" si="226"/>
        <v>46</v>
      </c>
      <c r="I231" s="1" t="str">
        <f t="shared" si="226"/>
        <v>21</v>
      </c>
      <c r="J231" s="1" t="str">
        <f t="shared" si="226"/>
        <v>22</v>
      </c>
      <c r="K231" s="1" t="str">
        <f t="shared" si="226"/>
        <v>39</v>
      </c>
      <c r="L231" s="1" t="str">
        <f t="shared" si="226"/>
        <v>40</v>
      </c>
      <c r="M231" s="1" t="str">
        <f t="shared" si="226"/>
        <v>35</v>
      </c>
      <c r="N231" s="1" t="str">
        <f t="shared" si="226"/>
        <v>31</v>
      </c>
      <c r="O231" s="1" t="str">
        <f t="shared" si="226"/>
        <v>44</v>
      </c>
      <c r="P231" s="1" t="str">
        <f t="shared" si="226"/>
        <v>38</v>
      </c>
      <c r="Q231" s="1" t="str">
        <f t="shared" si="226"/>
        <v>59</v>
      </c>
      <c r="R231" s="1" t="str">
        <f t="shared" si="226"/>
        <v>24</v>
      </c>
      <c r="S231" s="1" t="str">
        <f t="shared" si="226"/>
        <v>34</v>
      </c>
      <c r="T231" s="1" t="str">
        <f t="shared" si="226"/>
        <v>23</v>
      </c>
      <c r="U231" s="1" t="str">
        <f t="shared" si="226"/>
        <v>6</v>
      </c>
      <c r="V231" s="1" t="str">
        <f t="shared" si="226"/>
        <v>49</v>
      </c>
      <c r="W231" s="1" t="str">
        <f t="shared" si="226"/>
        <v>32</v>
      </c>
      <c r="X231" s="1" t="str">
        <f t="shared" si="226"/>
        <v>47</v>
      </c>
      <c r="Y231" s="1" t="str">
        <f t="shared" si="226"/>
        <v>57</v>
      </c>
      <c r="Z231" s="1" t="str">
        <f t="shared" si="226"/>
        <v>60</v>
      </c>
      <c r="AA231" s="1" t="str">
        <f t="shared" si="226"/>
        <v>28</v>
      </c>
      <c r="AB231" s="1" t="str">
        <f t="shared" si="226"/>
        <v>52</v>
      </c>
      <c r="AC231" s="1" t="str">
        <f t="shared" si="226"/>
        <v>51</v>
      </c>
      <c r="AD231" s="1" t="str">
        <f t="shared" si="226"/>
        <v>13</v>
      </c>
      <c r="AE231" s="1" t="str">
        <f t="shared" si="226"/>
        <v>29</v>
      </c>
      <c r="AF231" s="1" t="str">
        <f t="shared" si="226"/>
        <v>4</v>
      </c>
      <c r="AG231" s="1" t="str">
        <f t="shared" si="226"/>
        <v>58</v>
      </c>
      <c r="AH231" s="1" t="str">
        <f t="shared" ref="AH231:BJ231" si="227">IF(AH166&gt;1,"=","")&amp;AH101</f>
        <v>7</v>
      </c>
      <c r="AI231" s="1" t="str">
        <f t="shared" si="227"/>
        <v>33</v>
      </c>
      <c r="AJ231" s="1" t="str">
        <f t="shared" si="227"/>
        <v>18</v>
      </c>
      <c r="AK231" s="1" t="str">
        <f t="shared" si="227"/>
        <v>53</v>
      </c>
      <c r="AL231" s="1" t="str">
        <f t="shared" si="227"/>
        <v>30</v>
      </c>
      <c r="AM231" s="1" t="str">
        <f t="shared" si="227"/>
        <v>27</v>
      </c>
      <c r="AN231" s="1" t="str">
        <f t="shared" si="227"/>
        <v>15</v>
      </c>
      <c r="AO231" s="1" t="str">
        <f t="shared" si="227"/>
        <v>25</v>
      </c>
      <c r="AP231" s="1" t="str">
        <f t="shared" si="227"/>
        <v>55</v>
      </c>
      <c r="AQ231" s="1" t="str">
        <f t="shared" si="227"/>
        <v>36</v>
      </c>
      <c r="AR231" s="1" t="str">
        <f t="shared" si="227"/>
        <v>45</v>
      </c>
      <c r="AS231" s="1" t="str">
        <f t="shared" si="227"/>
        <v>20</v>
      </c>
      <c r="AT231" s="1" t="str">
        <f t="shared" si="227"/>
        <v>17</v>
      </c>
      <c r="AU231" s="1" t="str">
        <f t="shared" si="227"/>
        <v>41</v>
      </c>
      <c r="AV231" s="1" t="str">
        <f t="shared" si="227"/>
        <v>37</v>
      </c>
      <c r="AW231" s="1" t="str">
        <f t="shared" si="227"/>
        <v>26</v>
      </c>
      <c r="AX231" s="1" t="str">
        <f t="shared" si="227"/>
        <v>43</v>
      </c>
      <c r="AY231" s="1" t="str">
        <f t="shared" si="227"/>
        <v>2</v>
      </c>
      <c r="AZ231" s="1" t="str">
        <f t="shared" si="227"/>
        <v>3</v>
      </c>
      <c r="BA231" s="1" t="str">
        <f t="shared" si="227"/>
        <v>9</v>
      </c>
      <c r="BB231" s="1" t="str">
        <f t="shared" si="227"/>
        <v>12</v>
      </c>
      <c r="BC231" s="1" t="str">
        <f t="shared" si="227"/>
        <v>56</v>
      </c>
      <c r="BD231" s="1" t="str">
        <f t="shared" si="227"/>
        <v>19</v>
      </c>
      <c r="BE231" s="1" t="str">
        <f t="shared" si="227"/>
        <v>10</v>
      </c>
      <c r="BF231" s="1" t="str">
        <f t="shared" si="227"/>
        <v>50</v>
      </c>
      <c r="BG231" s="1" t="str">
        <f t="shared" si="227"/>
        <v>11</v>
      </c>
      <c r="BH231" s="1" t="str">
        <f t="shared" si="227"/>
        <v>54</v>
      </c>
      <c r="BI231" s="1" t="str">
        <f t="shared" si="227"/>
        <v>8</v>
      </c>
      <c r="BJ231" s="1" t="str">
        <f t="shared" si="227"/>
        <v>=14</v>
      </c>
    </row>
    <row r="232" spans="1:62">
      <c r="A232" s="1" t="str">
        <f t="shared" si="221"/>
        <v>   3.2.1) Deaths from natural disaster</v>
      </c>
      <c r="B232" s="1" t="str">
        <f t="shared" ref="B232:AG232" si="228">IF(B167&gt;1,"=","")&amp;B102</f>
        <v>=1</v>
      </c>
      <c r="C232" s="1" t="str">
        <f t="shared" si="228"/>
        <v>7</v>
      </c>
      <c r="D232" s="1" t="str">
        <f t="shared" si="228"/>
        <v>17</v>
      </c>
      <c r="E232" s="1" t="str">
        <f t="shared" si="228"/>
        <v>23</v>
      </c>
      <c r="F232" s="1" t="str">
        <f t="shared" si="228"/>
        <v>=11</v>
      </c>
      <c r="G232" s="1" t="str">
        <f t="shared" si="228"/>
        <v>=28</v>
      </c>
      <c r="H232" s="1" t="str">
        <f t="shared" si="228"/>
        <v>47</v>
      </c>
      <c r="I232" s="1" t="str">
        <f t="shared" si="228"/>
        <v>57</v>
      </c>
      <c r="J232" s="1" t="str">
        <f t="shared" si="228"/>
        <v>22</v>
      </c>
      <c r="K232" s="1" t="str">
        <f t="shared" si="228"/>
        <v>38</v>
      </c>
      <c r="L232" s="1" t="str">
        <f t="shared" si="228"/>
        <v>=1</v>
      </c>
      <c r="M232" s="1" t="str">
        <f t="shared" si="228"/>
        <v>21</v>
      </c>
      <c r="N232" s="1" t="str">
        <f t="shared" si="228"/>
        <v>=30</v>
      </c>
      <c r="O232" s="1" t="str">
        <f t="shared" si="228"/>
        <v>=30</v>
      </c>
      <c r="P232" s="1" t="str">
        <f t="shared" si="228"/>
        <v>=50</v>
      </c>
      <c r="Q232" s="1" t="str">
        <f t="shared" si="228"/>
        <v>39</v>
      </c>
      <c r="R232" s="1" t="str">
        <f t="shared" si="228"/>
        <v>=1</v>
      </c>
      <c r="S232" s="1" t="str">
        <f t="shared" si="228"/>
        <v>9</v>
      </c>
      <c r="T232" s="1" t="str">
        <f t="shared" si="228"/>
        <v>41</v>
      </c>
      <c r="U232" s="1" t="str">
        <f t="shared" si="228"/>
        <v>=1</v>
      </c>
      <c r="V232" s="1" t="str">
        <f t="shared" si="228"/>
        <v>10</v>
      </c>
      <c r="W232" s="1" t="str">
        <f t="shared" si="228"/>
        <v>26</v>
      </c>
      <c r="X232" s="1" t="str">
        <f t="shared" si="228"/>
        <v>=36</v>
      </c>
      <c r="Y232" s="1" t="str">
        <f t="shared" si="228"/>
        <v>13</v>
      </c>
      <c r="Z232" s="1" t="str">
        <f t="shared" si="228"/>
        <v>55</v>
      </c>
      <c r="AA232" s="1" t="str">
        <f t="shared" si="228"/>
        <v>18</v>
      </c>
      <c r="AB232" s="1" t="str">
        <f t="shared" si="228"/>
        <v>=1</v>
      </c>
      <c r="AC232" s="1" t="str">
        <f t="shared" si="228"/>
        <v>56</v>
      </c>
      <c r="AD232" s="1" t="str">
        <f t="shared" si="228"/>
        <v>54</v>
      </c>
      <c r="AE232" s="1" t="str">
        <f t="shared" si="228"/>
        <v>=30</v>
      </c>
      <c r="AF232" s="1" t="str">
        <f t="shared" si="228"/>
        <v>=11</v>
      </c>
      <c r="AG232" s="1" t="str">
        <f t="shared" si="228"/>
        <v>60</v>
      </c>
      <c r="AH232" s="1" t="str">
        <f t="shared" ref="AH232:BJ232" si="229">IF(AH167&gt;1,"=","")&amp;AH102</f>
        <v>=44</v>
      </c>
      <c r="AI232" s="1" t="str">
        <f t="shared" si="229"/>
        <v>24</v>
      </c>
      <c r="AJ232" s="1" t="str">
        <f t="shared" si="229"/>
        <v>=42</v>
      </c>
      <c r="AK232" s="1" t="str">
        <f t="shared" si="229"/>
        <v>25</v>
      </c>
      <c r="AL232" s="1" t="str">
        <f t="shared" si="229"/>
        <v>=50</v>
      </c>
      <c r="AM232" s="1" t="str">
        <f t="shared" si="229"/>
        <v>=30</v>
      </c>
      <c r="AN232" s="1" t="str">
        <f t="shared" si="229"/>
        <v>=48</v>
      </c>
      <c r="AO232" s="1" t="str">
        <f t="shared" si="229"/>
        <v>59</v>
      </c>
      <c r="AP232" s="1" t="str">
        <f t="shared" si="229"/>
        <v>58</v>
      </c>
      <c r="AQ232" s="1" t="str">
        <f t="shared" si="229"/>
        <v>=15</v>
      </c>
      <c r="AR232" s="1" t="str">
        <f t="shared" si="229"/>
        <v>=36</v>
      </c>
      <c r="AS232" s="1" t="str">
        <f t="shared" si="229"/>
        <v>=42</v>
      </c>
      <c r="AT232" s="1" t="str">
        <f t="shared" si="229"/>
        <v>=30</v>
      </c>
      <c r="AU232" s="1" t="str">
        <f t="shared" si="229"/>
        <v>53</v>
      </c>
      <c r="AV232" s="1" t="str">
        <f t="shared" si="229"/>
        <v>=15</v>
      </c>
      <c r="AW232" s="1" t="str">
        <f t="shared" si="229"/>
        <v>20</v>
      </c>
      <c r="AX232" s="1" t="str">
        <f t="shared" si="229"/>
        <v>=28</v>
      </c>
      <c r="AY232" s="1" t="str">
        <f t="shared" si="229"/>
        <v>=1</v>
      </c>
      <c r="AZ232" s="1" t="str">
        <f t="shared" si="229"/>
        <v>27</v>
      </c>
      <c r="BA232" s="1" t="str">
        <f t="shared" si="229"/>
        <v>=44</v>
      </c>
      <c r="BB232" s="1" t="str">
        <f t="shared" si="229"/>
        <v>52</v>
      </c>
      <c r="BC232" s="1" t="str">
        <f t="shared" si="229"/>
        <v>40</v>
      </c>
      <c r="BD232" s="1" t="str">
        <f t="shared" si="229"/>
        <v>=48</v>
      </c>
      <c r="BE232" s="1" t="str">
        <f t="shared" si="229"/>
        <v>8</v>
      </c>
      <c r="BF232" s="1" t="str">
        <f t="shared" si="229"/>
        <v>=30</v>
      </c>
      <c r="BG232" s="1" t="str">
        <f t="shared" si="229"/>
        <v>14</v>
      </c>
      <c r="BH232" s="1" t="str">
        <f t="shared" si="229"/>
        <v>46</v>
      </c>
      <c r="BI232" s="1" t="str">
        <f t="shared" si="229"/>
        <v>19</v>
      </c>
      <c r="BJ232" s="1" t="str">
        <f t="shared" si="229"/>
        <v>=48</v>
      </c>
    </row>
    <row r="233" spans="1:62">
      <c r="A233" s="1" t="str">
        <f t="shared" si="221"/>
        <v>   3.2.2) Frequency of vehicular accidents</v>
      </c>
      <c r="B233" s="1" t="str">
        <f t="shared" ref="B233:AG233" si="230">IF(B168&gt;1,"=","")&amp;B103</f>
        <v>17</v>
      </c>
      <c r="C233" s="1" t="str">
        <f t="shared" si="230"/>
        <v>11</v>
      </c>
      <c r="D233" s="1" t="str">
        <f t="shared" si="230"/>
        <v>9</v>
      </c>
      <c r="E233" s="1" t="str">
        <f t="shared" si="230"/>
        <v>32</v>
      </c>
      <c r="F233" s="1" t="str">
        <f t="shared" si="230"/>
        <v>34</v>
      </c>
      <c r="G233" s="1" t="str">
        <f t="shared" si="230"/>
        <v>4</v>
      </c>
      <c r="H233" s="1" t="str">
        <f t="shared" si="230"/>
        <v>13</v>
      </c>
      <c r="I233" s="1" t="str">
        <f t="shared" si="230"/>
        <v>37</v>
      </c>
      <c r="J233" s="1" t="str">
        <f t="shared" si="230"/>
        <v>31</v>
      </c>
      <c r="K233" s="1" t="str">
        <f t="shared" si="230"/>
        <v>5</v>
      </c>
      <c r="L233" s="1" t="str">
        <f t="shared" si="230"/>
        <v>10</v>
      </c>
      <c r="M233" s="1" t="str">
        <f t="shared" si="230"/>
        <v>24</v>
      </c>
      <c r="N233" s="1" t="str">
        <f t="shared" si="230"/>
        <v>54</v>
      </c>
      <c r="O233" s="1" t="str">
        <f t="shared" si="230"/>
        <v>57</v>
      </c>
      <c r="P233" s="1" t="str">
        <f t="shared" si="230"/>
        <v>8</v>
      </c>
      <c r="Q233" s="1" t="str">
        <f t="shared" si="230"/>
        <v>1</v>
      </c>
      <c r="R233" s="1" t="str">
        <f t="shared" si="230"/>
        <v>28</v>
      </c>
      <c r="S233" s="1" t="str">
        <f t="shared" si="230"/>
        <v>59</v>
      </c>
      <c r="T233" s="1" t="str">
        <f t="shared" si="230"/>
        <v>7</v>
      </c>
      <c r="U233" s="1" t="str">
        <f t="shared" si="230"/>
        <v>22</v>
      </c>
      <c r="V233" s="1" t="str">
        <f t="shared" si="230"/>
        <v>50</v>
      </c>
      <c r="W233" s="1" t="str">
        <f t="shared" si="230"/>
        <v>6</v>
      </c>
      <c r="X233" s="1" t="str">
        <f t="shared" si="230"/>
        <v>53</v>
      </c>
      <c r="Y233" s="1" t="str">
        <f t="shared" si="230"/>
        <v>55</v>
      </c>
      <c r="Z233" s="1" t="str">
        <f t="shared" si="230"/>
        <v>3</v>
      </c>
      <c r="AA233" s="1" t="str">
        <f t="shared" si="230"/>
        <v>51</v>
      </c>
      <c r="AB233" s="1" t="str">
        <f t="shared" si="230"/>
        <v>58</v>
      </c>
      <c r="AC233" s="1" t="str">
        <f t="shared" si="230"/>
        <v>43</v>
      </c>
      <c r="AD233" s="1" t="str">
        <f t="shared" si="230"/>
        <v>20</v>
      </c>
      <c r="AE233" s="1" t="str">
        <f t="shared" si="230"/>
        <v>48</v>
      </c>
      <c r="AF233" s="1" t="str">
        <f t="shared" si="230"/>
        <v>27</v>
      </c>
      <c r="AG233" s="1" t="str">
        <f t="shared" si="230"/>
        <v>47</v>
      </c>
      <c r="AH233" s="1" t="str">
        <f t="shared" ref="AH233:BJ233" si="231">IF(AH168&gt;1,"=","")&amp;AH103</f>
        <v>25</v>
      </c>
      <c r="AI233" s="1" t="str">
        <f t="shared" si="231"/>
        <v>15</v>
      </c>
      <c r="AJ233" s="1" t="str">
        <f t="shared" si="231"/>
        <v>40</v>
      </c>
      <c r="AK233" s="1" t="str">
        <f t="shared" si="231"/>
        <v>56</v>
      </c>
      <c r="AL233" s="1" t="str">
        <f t="shared" si="231"/>
        <v>12</v>
      </c>
      <c r="AM233" s="1" t="str">
        <f t="shared" si="231"/>
        <v>49</v>
      </c>
      <c r="AN233" s="1" t="str">
        <f t="shared" si="231"/>
        <v>=38</v>
      </c>
      <c r="AO233" s="1" t="str">
        <f t="shared" si="231"/>
        <v>29</v>
      </c>
      <c r="AP233" s="1" t="str">
        <f t="shared" si="231"/>
        <v>23</v>
      </c>
      <c r="AQ233" s="1" t="str">
        <f t="shared" si="231"/>
        <v>19</v>
      </c>
      <c r="AR233" s="1" t="str">
        <f t="shared" si="231"/>
        <v>52</v>
      </c>
      <c r="AS233" s="1" t="str">
        <f t="shared" si="231"/>
        <v>36</v>
      </c>
      <c r="AT233" s="1" t="str">
        <f t="shared" si="231"/>
        <v>35</v>
      </c>
      <c r="AU233" s="1" t="str">
        <f t="shared" si="231"/>
        <v>41</v>
      </c>
      <c r="AV233" s="1" t="str">
        <f t="shared" si="231"/>
        <v>14</v>
      </c>
      <c r="AW233" s="1" t="str">
        <f t="shared" si="231"/>
        <v>42</v>
      </c>
      <c r="AX233" s="1" t="str">
        <f t="shared" si="231"/>
        <v>2</v>
      </c>
      <c r="AY233" s="1" t="str">
        <f t="shared" si="231"/>
        <v>16</v>
      </c>
      <c r="AZ233" s="1" t="str">
        <f t="shared" si="231"/>
        <v>18</v>
      </c>
      <c r="BA233" s="1" t="str">
        <f t="shared" si="231"/>
        <v>26</v>
      </c>
      <c r="BB233" s="1" t="str">
        <f t="shared" si="231"/>
        <v>30</v>
      </c>
      <c r="BC233" s="1" t="str">
        <f t="shared" si="231"/>
        <v>45</v>
      </c>
      <c r="BD233" s="1" t="str">
        <f t="shared" si="231"/>
        <v>=38</v>
      </c>
      <c r="BE233" s="1" t="str">
        <f t="shared" si="231"/>
        <v>44</v>
      </c>
      <c r="BF233" s="1" t="str">
        <f t="shared" si="231"/>
        <v>60</v>
      </c>
      <c r="BG233" s="1" t="str">
        <f t="shared" si="231"/>
        <v>46</v>
      </c>
      <c r="BH233" s="1" t="str">
        <f t="shared" si="231"/>
        <v>33</v>
      </c>
      <c r="BI233" s="1" t="str">
        <f t="shared" si="231"/>
        <v>21</v>
      </c>
      <c r="BJ233" s="1" t="str">
        <f t="shared" si="231"/>
        <v>=38</v>
      </c>
    </row>
    <row r="234" spans="1:62">
      <c r="A234" s="1" t="str">
        <f t="shared" si="221"/>
        <v>   3.2.3) Frequency of pedestrian deaths</v>
      </c>
      <c r="B234" s="1" t="str">
        <f t="shared" ref="B234:AG234" si="232">IF(B169&gt;1,"=","")&amp;B104</f>
        <v>38</v>
      </c>
      <c r="C234" s="1" t="str">
        <f t="shared" si="232"/>
        <v>1</v>
      </c>
      <c r="D234" s="1" t="str">
        <f t="shared" si="232"/>
        <v>23</v>
      </c>
      <c r="E234" s="1" t="str">
        <f t="shared" si="232"/>
        <v>37</v>
      </c>
      <c r="F234" s="1" t="str">
        <f t="shared" si="232"/>
        <v>=10</v>
      </c>
      <c r="G234" s="1" t="str">
        <f t="shared" si="232"/>
        <v>=52</v>
      </c>
      <c r="H234" s="1" t="str">
        <f t="shared" si="232"/>
        <v>51</v>
      </c>
      <c r="I234" s="1" t="str">
        <f t="shared" si="232"/>
        <v>13</v>
      </c>
      <c r="J234" s="1" t="str">
        <f t="shared" si="232"/>
        <v>21</v>
      </c>
      <c r="K234" s="1" t="str">
        <f t="shared" si="232"/>
        <v>41</v>
      </c>
      <c r="L234" s="1" t="str">
        <f t="shared" si="232"/>
        <v>44</v>
      </c>
      <c r="M234" s="1" t="str">
        <f t="shared" si="232"/>
        <v>54</v>
      </c>
      <c r="N234" s="1" t="str">
        <f t="shared" si="232"/>
        <v>20</v>
      </c>
      <c r="O234" s="1" t="str">
        <f t="shared" si="232"/>
        <v>34</v>
      </c>
      <c r="P234" s="1" t="str">
        <f t="shared" si="232"/>
        <v>42</v>
      </c>
      <c r="Q234" s="1" t="str">
        <f t="shared" si="232"/>
        <v>45</v>
      </c>
      <c r="R234" s="1" t="str">
        <f t="shared" si="232"/>
        <v>49</v>
      </c>
      <c r="S234" s="1" t="str">
        <f t="shared" si="232"/>
        <v>8</v>
      </c>
      <c r="T234" s="1" t="str">
        <f t="shared" si="232"/>
        <v>3</v>
      </c>
      <c r="U234" s="1" t="str">
        <f t="shared" si="232"/>
        <v>19</v>
      </c>
      <c r="V234" s="1" t="str">
        <f t="shared" si="232"/>
        <v>32</v>
      </c>
      <c r="W234" s="1" t="str">
        <f t="shared" si="232"/>
        <v>40</v>
      </c>
      <c r="X234" s="1" t="str">
        <f t="shared" si="232"/>
        <v>=35</v>
      </c>
      <c r="Y234" s="1" t="str">
        <f t="shared" si="232"/>
        <v>60</v>
      </c>
      <c r="Z234" s="1" t="str">
        <f t="shared" si="232"/>
        <v>33</v>
      </c>
      <c r="AA234" s="1" t="str">
        <f t="shared" si="232"/>
        <v>24</v>
      </c>
      <c r="AB234" s="1" t="str">
        <f t="shared" si="232"/>
        <v>57</v>
      </c>
      <c r="AC234" s="1" t="str">
        <f t="shared" si="232"/>
        <v>39</v>
      </c>
      <c r="AD234" s="1" t="str">
        <f t="shared" si="232"/>
        <v>5</v>
      </c>
      <c r="AE234" s="1" t="str">
        <f t="shared" si="232"/>
        <v>=29</v>
      </c>
      <c r="AF234" s="1" t="str">
        <f t="shared" si="232"/>
        <v>=10</v>
      </c>
      <c r="AG234" s="1" t="str">
        <f t="shared" si="232"/>
        <v>28</v>
      </c>
      <c r="AH234" s="1" t="str">
        <f t="shared" ref="AH234:BJ234" si="233">IF(AH169&gt;1,"=","")&amp;AH104</f>
        <v>4</v>
      </c>
      <c r="AI234" s="1" t="str">
        <f t="shared" si="233"/>
        <v>43</v>
      </c>
      <c r="AJ234" s="1" t="str">
        <f t="shared" si="233"/>
        <v>16</v>
      </c>
      <c r="AK234" s="1" t="str">
        <f t="shared" si="233"/>
        <v>56</v>
      </c>
      <c r="AL234" s="1" t="str">
        <f t="shared" si="233"/>
        <v>17</v>
      </c>
      <c r="AM234" s="1" t="str">
        <f t="shared" si="233"/>
        <v>25</v>
      </c>
      <c r="AN234" s="1" t="str">
        <f t="shared" si="233"/>
        <v>=26</v>
      </c>
      <c r="AO234" s="1" t="str">
        <f t="shared" si="233"/>
        <v>7</v>
      </c>
      <c r="AP234" s="1" t="str">
        <f t="shared" si="233"/>
        <v>58</v>
      </c>
      <c r="AQ234" s="1" t="str">
        <f t="shared" si="233"/>
        <v>=47</v>
      </c>
      <c r="AR234" s="1" t="str">
        <f t="shared" si="233"/>
        <v>=35</v>
      </c>
      <c r="AS234" s="1" t="str">
        <f t="shared" si="233"/>
        <v>22</v>
      </c>
      <c r="AT234" s="1" t="str">
        <f t="shared" si="233"/>
        <v>=29</v>
      </c>
      <c r="AU234" s="1" t="str">
        <f t="shared" si="233"/>
        <v>50</v>
      </c>
      <c r="AV234" s="1" t="str">
        <f t="shared" si="233"/>
        <v>=47</v>
      </c>
      <c r="AW234" s="1" t="str">
        <f t="shared" si="233"/>
        <v>46</v>
      </c>
      <c r="AX234" s="1" t="str">
        <f t="shared" si="233"/>
        <v>=52</v>
      </c>
      <c r="AY234" s="1" t="str">
        <f t="shared" si="233"/>
        <v>15</v>
      </c>
      <c r="AZ234" s="1" t="str">
        <f t="shared" si="233"/>
        <v>2</v>
      </c>
      <c r="BA234" s="1" t="str">
        <f t="shared" si="233"/>
        <v>9</v>
      </c>
      <c r="BB234" s="1" t="str">
        <f t="shared" si="233"/>
        <v>18</v>
      </c>
      <c r="BC234" s="1" t="str">
        <f t="shared" si="233"/>
        <v>59</v>
      </c>
      <c r="BD234" s="1" t="str">
        <f t="shared" si="233"/>
        <v>=26</v>
      </c>
      <c r="BE234" s="1" t="str">
        <f t="shared" si="233"/>
        <v>14</v>
      </c>
      <c r="BF234" s="1" t="str">
        <f t="shared" si="233"/>
        <v>31</v>
      </c>
      <c r="BG234" s="1" t="str">
        <f t="shared" si="233"/>
        <v>6</v>
      </c>
      <c r="BH234" s="1" t="str">
        <f t="shared" si="233"/>
        <v>55</v>
      </c>
      <c r="BI234" s="1" t="str">
        <f t="shared" si="233"/>
        <v>12</v>
      </c>
      <c r="BJ234" s="1" t="str">
        <f t="shared" si="233"/>
        <v>=26</v>
      </c>
    </row>
    <row r="235" spans="1:62">
      <c r="A235" s="1" t="str">
        <f t="shared" si="221"/>
        <v>   3.2.4) Percentage living in slums</v>
      </c>
      <c r="B235" s="1" t="str">
        <f t="shared" ref="B235:AG235" si="234">IF(B170&gt;1,"=","")&amp;B105</f>
        <v>=1</v>
      </c>
      <c r="C235" s="1" t="str">
        <f t="shared" si="234"/>
        <v>=28</v>
      </c>
      <c r="D235" s="1" t="str">
        <f t="shared" si="234"/>
        <v>31</v>
      </c>
      <c r="E235" s="1" t="str">
        <f t="shared" si="234"/>
        <v>49</v>
      </c>
      <c r="F235" s="1" t="str">
        <f t="shared" si="234"/>
        <v>=1</v>
      </c>
      <c r="G235" s="1" t="str">
        <f t="shared" si="234"/>
        <v>=50</v>
      </c>
      <c r="H235" s="1" t="str">
        <f t="shared" si="234"/>
        <v>=38</v>
      </c>
      <c r="I235" s="1" t="str">
        <f t="shared" si="234"/>
        <v>22</v>
      </c>
      <c r="J235" s="1" t="str">
        <f t="shared" si="234"/>
        <v>40</v>
      </c>
      <c r="K235" s="1" t="str">
        <f t="shared" si="234"/>
        <v>35</v>
      </c>
      <c r="L235" s="1" t="str">
        <f t="shared" si="234"/>
        <v>53</v>
      </c>
      <c r="M235" s="1" t="str">
        <f t="shared" si="234"/>
        <v>=38</v>
      </c>
      <c r="N235" s="1" t="str">
        <f t="shared" si="234"/>
        <v>18</v>
      </c>
      <c r="O235" s="1" t="str">
        <f t="shared" si="234"/>
        <v>=14</v>
      </c>
      <c r="P235" s="1" t="str">
        <f t="shared" si="234"/>
        <v>=47</v>
      </c>
      <c r="Q235" s="1" t="str">
        <f t="shared" si="234"/>
        <v>60</v>
      </c>
      <c r="R235" s="1" t="str">
        <f t="shared" si="234"/>
        <v>=1</v>
      </c>
      <c r="S235" s="1" t="str">
        <f t="shared" si="234"/>
        <v>21</v>
      </c>
      <c r="T235" s="1" t="str">
        <f t="shared" si="234"/>
        <v>52</v>
      </c>
      <c r="U235" s="1" t="str">
        <f t="shared" si="234"/>
        <v>13</v>
      </c>
      <c r="V235" s="1" t="str">
        <f t="shared" si="234"/>
        <v>37</v>
      </c>
      <c r="W235" s="1" t="str">
        <f t="shared" si="234"/>
        <v>43</v>
      </c>
      <c r="X235" s="1" t="str">
        <f t="shared" si="234"/>
        <v>=41</v>
      </c>
      <c r="Y235" s="1" t="str">
        <f t="shared" si="234"/>
        <v>46</v>
      </c>
      <c r="Z235" s="1" t="str">
        <f t="shared" si="234"/>
        <v>58</v>
      </c>
      <c r="AA235" s="1" t="str">
        <f t="shared" si="234"/>
        <v>=24</v>
      </c>
      <c r="AB235" s="1" t="str">
        <f t="shared" si="234"/>
        <v>=1</v>
      </c>
      <c r="AC235" s="1" t="str">
        <f t="shared" si="234"/>
        <v>54</v>
      </c>
      <c r="AD235" s="1" t="str">
        <f t="shared" si="234"/>
        <v>10</v>
      </c>
      <c r="AE235" s="1" t="str">
        <f t="shared" si="234"/>
        <v>19</v>
      </c>
      <c r="AF235" s="1" t="str">
        <f t="shared" si="234"/>
        <v>16</v>
      </c>
      <c r="AG235" s="1" t="str">
        <f t="shared" si="234"/>
        <v>56</v>
      </c>
      <c r="AH235" s="1" t="str">
        <f t="shared" ref="AH235:BJ235" si="235">IF(AH170&gt;1,"=","")&amp;AH105</f>
        <v>=11</v>
      </c>
      <c r="AI235" s="1" t="str">
        <f t="shared" si="235"/>
        <v>36</v>
      </c>
      <c r="AJ235" s="1" t="str">
        <f t="shared" si="235"/>
        <v>=33</v>
      </c>
      <c r="AK235" s="1" t="str">
        <f t="shared" si="235"/>
        <v>=28</v>
      </c>
      <c r="AL235" s="1" t="str">
        <f t="shared" si="235"/>
        <v>=47</v>
      </c>
      <c r="AM235" s="1" t="str">
        <f t="shared" si="235"/>
        <v>30</v>
      </c>
      <c r="AN235" s="1" t="str">
        <f t="shared" si="235"/>
        <v>9</v>
      </c>
      <c r="AO235" s="1" t="str">
        <f t="shared" si="235"/>
        <v>27</v>
      </c>
      <c r="AP235" s="1" t="str">
        <f t="shared" si="235"/>
        <v>55</v>
      </c>
      <c r="AQ235" s="1" t="str">
        <f t="shared" si="235"/>
        <v>=44</v>
      </c>
      <c r="AR235" s="1" t="str">
        <f t="shared" si="235"/>
        <v>=41</v>
      </c>
      <c r="AS235" s="1" t="str">
        <f t="shared" si="235"/>
        <v>=33</v>
      </c>
      <c r="AT235" s="1" t="str">
        <f t="shared" si="235"/>
        <v>26</v>
      </c>
      <c r="AU235" s="1" t="str">
        <f t="shared" si="235"/>
        <v>32</v>
      </c>
      <c r="AV235" s="1" t="str">
        <f t="shared" si="235"/>
        <v>=44</v>
      </c>
      <c r="AW235" s="1" t="str">
        <f t="shared" si="235"/>
        <v>7</v>
      </c>
      <c r="AX235" s="1" t="str">
        <f t="shared" si="235"/>
        <v>=50</v>
      </c>
      <c r="AY235" s="1" t="str">
        <f t="shared" si="235"/>
        <v>=1</v>
      </c>
      <c r="AZ235" s="1" t="str">
        <f t="shared" si="235"/>
        <v>=24</v>
      </c>
      <c r="BA235" s="1" t="str">
        <f t="shared" si="235"/>
        <v>=11</v>
      </c>
      <c r="BB235" s="1" t="str">
        <f t="shared" si="235"/>
        <v>=1</v>
      </c>
      <c r="BC235" s="1" t="str">
        <f t="shared" si="235"/>
        <v>59</v>
      </c>
      <c r="BD235" s="1" t="str">
        <f t="shared" si="235"/>
        <v>8</v>
      </c>
      <c r="BE235" s="1" t="str">
        <f t="shared" si="235"/>
        <v>23</v>
      </c>
      <c r="BF235" s="1" t="str">
        <f t="shared" si="235"/>
        <v>17</v>
      </c>
      <c r="BG235" s="1" t="str">
        <f t="shared" si="235"/>
        <v>=14</v>
      </c>
      <c r="BH235" s="1" t="str">
        <f t="shared" si="235"/>
        <v>57</v>
      </c>
      <c r="BI235" s="1" t="str">
        <f t="shared" si="235"/>
        <v>20</v>
      </c>
      <c r="BJ235" s="1" t="str">
        <f t="shared" si="235"/>
        <v>=1</v>
      </c>
    </row>
    <row r="236" spans="1:62">
      <c r="A236" s="1" t="str">
        <f t="shared" si="221"/>
        <v>   3.2.5) Number of attacks on facilities/infrastructure</v>
      </c>
      <c r="B236" s="1" t="str">
        <f t="shared" ref="B236:AG236" si="236">IF(B171&gt;1,"=","")&amp;B106</f>
        <v>=1</v>
      </c>
      <c r="C236" s="1" t="str">
        <f t="shared" si="236"/>
        <v>=1</v>
      </c>
      <c r="D236" s="1" t="str">
        <f t="shared" si="236"/>
        <v>=48</v>
      </c>
      <c r="E236" s="1" t="str">
        <f t="shared" si="236"/>
        <v>=56</v>
      </c>
      <c r="F236" s="1" t="str">
        <f t="shared" si="236"/>
        <v>=1</v>
      </c>
      <c r="G236" s="1" t="str">
        <f t="shared" si="236"/>
        <v>=1</v>
      </c>
      <c r="H236" s="1" t="str">
        <f t="shared" si="236"/>
        <v>55</v>
      </c>
      <c r="I236" s="1" t="str">
        <f t="shared" si="236"/>
        <v>=37</v>
      </c>
      <c r="J236" s="1" t="str">
        <f t="shared" si="236"/>
        <v>=45</v>
      </c>
      <c r="K236" s="1" t="str">
        <f t="shared" si="236"/>
        <v>58</v>
      </c>
      <c r="L236" s="1" t="str">
        <f t="shared" si="236"/>
        <v>=1</v>
      </c>
      <c r="M236" s="1" t="str">
        <f t="shared" si="236"/>
        <v>=1</v>
      </c>
      <c r="N236" s="1" t="str">
        <f t="shared" si="236"/>
        <v>=1</v>
      </c>
      <c r="O236" s="1" t="str">
        <f t="shared" si="236"/>
        <v>=1</v>
      </c>
      <c r="P236" s="1" t="str">
        <f t="shared" si="236"/>
        <v>=48</v>
      </c>
      <c r="Q236" s="1" t="str">
        <f t="shared" si="236"/>
        <v>59</v>
      </c>
      <c r="R236" s="1" t="str">
        <f t="shared" si="236"/>
        <v>=1</v>
      </c>
      <c r="S236" s="1" t="str">
        <f t="shared" si="236"/>
        <v>=1</v>
      </c>
      <c r="T236" s="1" t="str">
        <f t="shared" si="236"/>
        <v>=1</v>
      </c>
      <c r="U236" s="1" t="str">
        <f t="shared" si="236"/>
        <v>=1</v>
      </c>
      <c r="V236" s="1" t="str">
        <f t="shared" si="236"/>
        <v>=56</v>
      </c>
      <c r="W236" s="1" t="str">
        <f t="shared" si="236"/>
        <v>=37</v>
      </c>
      <c r="X236" s="1" t="str">
        <f t="shared" si="236"/>
        <v>=1</v>
      </c>
      <c r="Y236" s="1" t="str">
        <f t="shared" si="236"/>
        <v>=1</v>
      </c>
      <c r="Z236" s="1" t="str">
        <f t="shared" si="236"/>
        <v>60</v>
      </c>
      <c r="AA236" s="1" t="str">
        <f t="shared" si="236"/>
        <v>=1</v>
      </c>
      <c r="AB236" s="1" t="str">
        <f t="shared" si="236"/>
        <v>=1</v>
      </c>
      <c r="AC236" s="1" t="str">
        <f t="shared" si="236"/>
        <v>=37</v>
      </c>
      <c r="AD236" s="1" t="str">
        <f t="shared" si="236"/>
        <v>=45</v>
      </c>
      <c r="AE236" s="1" t="str">
        <f t="shared" si="236"/>
        <v>=37</v>
      </c>
      <c r="AF236" s="1" t="str">
        <f t="shared" si="236"/>
        <v>=1</v>
      </c>
      <c r="AG236" s="1" t="str">
        <f t="shared" si="236"/>
        <v>=1</v>
      </c>
      <c r="AH236" s="1" t="str">
        <f t="shared" ref="AH236:BJ236" si="237">IF(AH171&gt;1,"=","")&amp;AH106</f>
        <v>=1</v>
      </c>
      <c r="AI236" s="1" t="str">
        <f t="shared" si="237"/>
        <v>54</v>
      </c>
      <c r="AJ236" s="1" t="str">
        <f t="shared" si="237"/>
        <v>=1</v>
      </c>
      <c r="AK236" s="1" t="str">
        <f t="shared" si="237"/>
        <v>=48</v>
      </c>
      <c r="AL236" s="1" t="str">
        <f t="shared" si="237"/>
        <v>47</v>
      </c>
      <c r="AM236" s="1" t="str">
        <f t="shared" si="237"/>
        <v>=37</v>
      </c>
      <c r="AN236" s="1" t="str">
        <f t="shared" si="237"/>
        <v>=1</v>
      </c>
      <c r="AO236" s="1" t="str">
        <f t="shared" si="237"/>
        <v>=1</v>
      </c>
      <c r="AP236" s="1" t="str">
        <f t="shared" si="237"/>
        <v>=1</v>
      </c>
      <c r="AQ236" s="1" t="str">
        <f t="shared" si="237"/>
        <v>=1</v>
      </c>
      <c r="AR236" s="1" t="str">
        <f t="shared" si="237"/>
        <v>=1</v>
      </c>
      <c r="AS236" s="1" t="str">
        <f t="shared" si="237"/>
        <v>=37</v>
      </c>
      <c r="AT236" s="1" t="str">
        <f t="shared" si="237"/>
        <v>=1</v>
      </c>
      <c r="AU236" s="1" t="str">
        <f t="shared" si="237"/>
        <v>=51</v>
      </c>
      <c r="AV236" s="1" t="str">
        <f t="shared" si="237"/>
        <v>=37</v>
      </c>
      <c r="AW236" s="1" t="str">
        <f t="shared" si="237"/>
        <v>=1</v>
      </c>
      <c r="AX236" s="1" t="str">
        <f t="shared" si="237"/>
        <v>=37</v>
      </c>
      <c r="AY236" s="1" t="str">
        <f t="shared" si="237"/>
        <v>=1</v>
      </c>
      <c r="AZ236" s="1" t="str">
        <f t="shared" si="237"/>
        <v>=1</v>
      </c>
      <c r="BA236" s="1" t="str">
        <f t="shared" si="237"/>
        <v>=1</v>
      </c>
      <c r="BB236" s="1" t="str">
        <f t="shared" si="237"/>
        <v>=1</v>
      </c>
      <c r="BC236" s="1" t="str">
        <f t="shared" si="237"/>
        <v>=1</v>
      </c>
      <c r="BD236" s="1" t="str">
        <f t="shared" si="237"/>
        <v>=51</v>
      </c>
      <c r="BE236" s="1" t="str">
        <f t="shared" si="237"/>
        <v>=1</v>
      </c>
      <c r="BF236" s="1" t="str">
        <f t="shared" si="237"/>
        <v>=1</v>
      </c>
      <c r="BG236" s="1" t="str">
        <f t="shared" si="237"/>
        <v>=1</v>
      </c>
      <c r="BH236" s="1" t="str">
        <f t="shared" si="237"/>
        <v>=51</v>
      </c>
      <c r="BI236" s="1" t="str">
        <f t="shared" si="237"/>
        <v>=1</v>
      </c>
      <c r="BJ236" s="1" t="str">
        <f t="shared" si="237"/>
        <v>=1</v>
      </c>
    </row>
    <row r="237" spans="1:62">
      <c r="A237" s="1" t="str">
        <f t="shared" si="221"/>
        <v> 4) PERSONAL SECURITY</v>
      </c>
      <c r="B237" s="1" t="str">
        <f t="shared" ref="B237:AG237" si="238">IF(B172&gt;1,"=","")&amp;B107</f>
        <v>29</v>
      </c>
      <c r="C237" s="1" t="str">
        <f t="shared" si="238"/>
        <v>10</v>
      </c>
      <c r="D237" s="1" t="str">
        <f t="shared" si="238"/>
        <v>41</v>
      </c>
      <c r="E237" s="1" t="str">
        <f t="shared" si="238"/>
        <v>49</v>
      </c>
      <c r="F237" s="1" t="str">
        <f t="shared" si="238"/>
        <v>17</v>
      </c>
      <c r="G237" s="1" t="str">
        <f t="shared" si="238"/>
        <v>=26</v>
      </c>
      <c r="H237" s="1" t="str">
        <f t="shared" si="238"/>
        <v>55</v>
      </c>
      <c r="I237" s="1" t="str">
        <f t="shared" si="238"/>
        <v>23</v>
      </c>
      <c r="J237" s="1" t="str">
        <f t="shared" si="238"/>
        <v>42</v>
      </c>
      <c r="K237" s="1" t="str">
        <f t="shared" si="238"/>
        <v>40</v>
      </c>
      <c r="L237" s="1" t="str">
        <f t="shared" si="238"/>
        <v>59</v>
      </c>
      <c r="M237" s="1" t="str">
        <f t="shared" si="238"/>
        <v>46</v>
      </c>
      <c r="N237" s="1" t="str">
        <f t="shared" si="238"/>
        <v>22</v>
      </c>
      <c r="O237" s="1" t="str">
        <f t="shared" si="238"/>
        <v>=26</v>
      </c>
      <c r="P237" s="1" t="str">
        <f t="shared" si="238"/>
        <v>33</v>
      </c>
      <c r="Q237" s="1" t="str">
        <f t="shared" si="238"/>
        <v>43</v>
      </c>
      <c r="R237" s="1" t="str">
        <f t="shared" si="238"/>
        <v>13</v>
      </c>
      <c r="S237" s="1" t="str">
        <f t="shared" si="238"/>
        <v>11</v>
      </c>
      <c r="T237" s="1" t="str">
        <f t="shared" si="238"/>
        <v>58</v>
      </c>
      <c r="U237" s="1" t="str">
        <f t="shared" si="238"/>
        <v>7</v>
      </c>
      <c r="V237" s="1" t="str">
        <f t="shared" si="238"/>
        <v>44</v>
      </c>
      <c r="W237" s="1" t="str">
        <f t="shared" si="238"/>
        <v>51</v>
      </c>
      <c r="X237" s="1" t="str">
        <f t="shared" si="238"/>
        <v>50</v>
      </c>
      <c r="Y237" s="1" t="str">
        <f t="shared" si="238"/>
        <v>54</v>
      </c>
      <c r="Z237" s="1" t="str">
        <f t="shared" si="238"/>
        <v>60</v>
      </c>
      <c r="AA237" s="1" t="str">
        <f t="shared" si="238"/>
        <v>24</v>
      </c>
      <c r="AB237" s="1" t="str">
        <f t="shared" si="238"/>
        <v>34</v>
      </c>
      <c r="AC237" s="1" t="str">
        <f t="shared" si="238"/>
        <v>48</v>
      </c>
      <c r="AD237" s="1" t="str">
        <f t="shared" si="238"/>
        <v>15</v>
      </c>
      <c r="AE237" s="1" t="str">
        <f t="shared" si="238"/>
        <v>21</v>
      </c>
      <c r="AF237" s="1" t="str">
        <f t="shared" si="238"/>
        <v>14</v>
      </c>
      <c r="AG237" s="1" t="str">
        <f t="shared" si="238"/>
        <v>39</v>
      </c>
      <c r="AH237" s="1" t="str">
        <f t="shared" ref="AH237:BJ237" si="239">IF(AH172&gt;1,"=","")&amp;AH107</f>
        <v>8</v>
      </c>
      <c r="AI237" s="1" t="str">
        <f t="shared" si="239"/>
        <v>45</v>
      </c>
      <c r="AJ237" s="1" t="str">
        <f t="shared" si="239"/>
        <v>32</v>
      </c>
      <c r="AK237" s="1" t="str">
        <f t="shared" si="239"/>
        <v>53</v>
      </c>
      <c r="AL237" s="1" t="str">
        <f t="shared" si="239"/>
        <v>30</v>
      </c>
      <c r="AM237" s="1" t="str">
        <f t="shared" si="239"/>
        <v>25</v>
      </c>
      <c r="AN237" s="1" t="str">
        <f t="shared" si="239"/>
        <v>=3</v>
      </c>
      <c r="AO237" s="1" t="str">
        <f t="shared" si="239"/>
        <v>31</v>
      </c>
      <c r="AP237" s="1" t="str">
        <f t="shared" si="239"/>
        <v>56</v>
      </c>
      <c r="AQ237" s="1" t="str">
        <f t="shared" si="239"/>
        <v>38</v>
      </c>
      <c r="AR237" s="1" t="str">
        <f t="shared" si="239"/>
        <v>47</v>
      </c>
      <c r="AS237" s="1" t="str">
        <f t="shared" si="239"/>
        <v>35</v>
      </c>
      <c r="AT237" s="1" t="str">
        <f t="shared" si="239"/>
        <v>19</v>
      </c>
      <c r="AU237" s="1" t="str">
        <f t="shared" si="239"/>
        <v>36</v>
      </c>
      <c r="AV237" s="1" t="str">
        <f t="shared" si="239"/>
        <v>37</v>
      </c>
      <c r="AW237" s="1" t="str">
        <f t="shared" si="239"/>
        <v>16</v>
      </c>
      <c r="AX237" s="1" t="str">
        <f t="shared" si="239"/>
        <v>28</v>
      </c>
      <c r="AY237" s="1" t="str">
        <f t="shared" si="239"/>
        <v>1</v>
      </c>
      <c r="AZ237" s="1" t="str">
        <f t="shared" si="239"/>
        <v>9</v>
      </c>
      <c r="BA237" s="1" t="str">
        <f t="shared" si="239"/>
        <v>12</v>
      </c>
      <c r="BB237" s="1" t="str">
        <f t="shared" si="239"/>
        <v>6</v>
      </c>
      <c r="BC237" s="1" t="str">
        <f t="shared" si="239"/>
        <v>52</v>
      </c>
      <c r="BD237" s="1" t="str">
        <f t="shared" si="239"/>
        <v>4</v>
      </c>
      <c r="BE237" s="1" t="str">
        <f t="shared" si="239"/>
        <v>5</v>
      </c>
      <c r="BF237" s="1" t="str">
        <f t="shared" si="239"/>
        <v>18</v>
      </c>
      <c r="BG237" s="1" t="str">
        <f t="shared" si="239"/>
        <v>2</v>
      </c>
      <c r="BH237" s="1" t="str">
        <f t="shared" si="239"/>
        <v>57</v>
      </c>
      <c r="BI237" s="1" t="str">
        <f t="shared" si="239"/>
        <v>20</v>
      </c>
      <c r="BJ237" s="1" t="str">
        <f t="shared" si="239"/>
        <v>=3</v>
      </c>
    </row>
    <row r="238" spans="1:62">
      <c r="A238" s="1" t="str">
        <f t="shared" si="221"/>
        <v>  4.1) Personal security (Inputs)</v>
      </c>
      <c r="B238" s="1" t="str">
        <f t="shared" ref="B238:AG238" si="240">IF(B173&gt;1,"=","")&amp;B108</f>
        <v>40</v>
      </c>
      <c r="C238" s="1" t="str">
        <f t="shared" si="240"/>
        <v>11</v>
      </c>
      <c r="D238" s="1" t="str">
        <f t="shared" si="240"/>
        <v>46</v>
      </c>
      <c r="E238" s="1" t="str">
        <f t="shared" si="240"/>
        <v>47</v>
      </c>
      <c r="F238" s="1" t="str">
        <f t="shared" si="240"/>
        <v>=14</v>
      </c>
      <c r="G238" s="1" t="str">
        <f t="shared" si="240"/>
        <v>=24</v>
      </c>
      <c r="H238" s="1" t="str">
        <f t="shared" si="240"/>
        <v>45</v>
      </c>
      <c r="I238" s="1" t="str">
        <f t="shared" si="240"/>
        <v>28</v>
      </c>
      <c r="J238" s="1" t="str">
        <f t="shared" si="240"/>
        <v>43</v>
      </c>
      <c r="K238" s="1" t="str">
        <f t="shared" si="240"/>
        <v>37</v>
      </c>
      <c r="L238" s="1" t="str">
        <f t="shared" si="240"/>
        <v>53</v>
      </c>
      <c r="M238" s="1" t="str">
        <f t="shared" si="240"/>
        <v>50</v>
      </c>
      <c r="N238" s="1" t="str">
        <f t="shared" si="240"/>
        <v>21</v>
      </c>
      <c r="O238" s="1" t="str">
        <f t="shared" si="240"/>
        <v>29</v>
      </c>
      <c r="P238" s="1" t="str">
        <f t="shared" si="240"/>
        <v>=19</v>
      </c>
      <c r="Q238" s="1" t="str">
        <f t="shared" si="240"/>
        <v>39</v>
      </c>
      <c r="R238" s="1" t="str">
        <f t="shared" si="240"/>
        <v>22</v>
      </c>
      <c r="S238" s="1" t="str">
        <f t="shared" si="240"/>
        <v>13</v>
      </c>
      <c r="T238" s="1" t="str">
        <f t="shared" si="240"/>
        <v>60</v>
      </c>
      <c r="U238" s="1" t="str">
        <f t="shared" si="240"/>
        <v>12</v>
      </c>
      <c r="V238" s="1" t="str">
        <f t="shared" si="240"/>
        <v>41</v>
      </c>
      <c r="W238" s="1" t="str">
        <f t="shared" si="240"/>
        <v>52</v>
      </c>
      <c r="X238" s="1" t="str">
        <f t="shared" si="240"/>
        <v>=56</v>
      </c>
      <c r="Y238" s="1" t="str">
        <f t="shared" si="240"/>
        <v>=48</v>
      </c>
      <c r="Z238" s="1" t="str">
        <f t="shared" si="240"/>
        <v>59</v>
      </c>
      <c r="AA238" s="1" t="str">
        <f t="shared" si="240"/>
        <v>27</v>
      </c>
      <c r="AB238" s="1" t="str">
        <f t="shared" si="240"/>
        <v>42</v>
      </c>
      <c r="AC238" s="1" t="str">
        <f t="shared" si="240"/>
        <v>=48</v>
      </c>
      <c r="AD238" s="1" t="str">
        <f t="shared" si="240"/>
        <v>7</v>
      </c>
      <c r="AE238" s="1" t="str">
        <f t="shared" si="240"/>
        <v>=17</v>
      </c>
      <c r="AF238" s="1" t="str">
        <f t="shared" si="240"/>
        <v>=14</v>
      </c>
      <c r="AG238" s="1" t="str">
        <f t="shared" si="240"/>
        <v>38</v>
      </c>
      <c r="AH238" s="1" t="str">
        <f t="shared" ref="AH238:BJ238" si="241">IF(AH173&gt;1,"=","")&amp;AH108</f>
        <v>=3</v>
      </c>
      <c r="AI238" s="1" t="str">
        <f t="shared" si="241"/>
        <v>36</v>
      </c>
      <c r="AJ238" s="1" t="str">
        <f t="shared" si="241"/>
        <v>=32</v>
      </c>
      <c r="AK238" s="1" t="str">
        <f t="shared" si="241"/>
        <v>51</v>
      </c>
      <c r="AL238" s="1" t="str">
        <f t="shared" si="241"/>
        <v>=19</v>
      </c>
      <c r="AM238" s="1" t="str">
        <f t="shared" si="241"/>
        <v>23</v>
      </c>
      <c r="AN238" s="1" t="str">
        <f t="shared" si="241"/>
        <v>=1</v>
      </c>
      <c r="AO238" s="1" t="str">
        <f t="shared" si="241"/>
        <v>34</v>
      </c>
      <c r="AP238" s="1" t="str">
        <f t="shared" si="241"/>
        <v>54</v>
      </c>
      <c r="AQ238" s="1" t="str">
        <f t="shared" si="241"/>
        <v>=30</v>
      </c>
      <c r="AR238" s="1" t="str">
        <f t="shared" si="241"/>
        <v>=56</v>
      </c>
      <c r="AS238" s="1" t="str">
        <f t="shared" si="241"/>
        <v>=32</v>
      </c>
      <c r="AT238" s="1" t="str">
        <f t="shared" si="241"/>
        <v>=17</v>
      </c>
      <c r="AU238" s="1" t="str">
        <f t="shared" si="241"/>
        <v>44</v>
      </c>
      <c r="AV238" s="1" t="str">
        <f t="shared" si="241"/>
        <v>=30</v>
      </c>
      <c r="AW238" s="1" t="str">
        <f t="shared" si="241"/>
        <v>16</v>
      </c>
      <c r="AX238" s="1" t="str">
        <f t="shared" si="241"/>
        <v>=24</v>
      </c>
      <c r="AY238" s="1" t="str">
        <f t="shared" si="241"/>
        <v>5</v>
      </c>
      <c r="AZ238" s="1" t="str">
        <f t="shared" si="241"/>
        <v>26</v>
      </c>
      <c r="BA238" s="1" t="str">
        <f t="shared" si="241"/>
        <v>=3</v>
      </c>
      <c r="BB238" s="1" t="str">
        <f t="shared" si="241"/>
        <v>8</v>
      </c>
      <c r="BC238" s="1" t="str">
        <f t="shared" si="241"/>
        <v>55</v>
      </c>
      <c r="BD238" s="1" t="str">
        <f t="shared" si="241"/>
        <v>=1</v>
      </c>
      <c r="BE238" s="1" t="str">
        <f t="shared" si="241"/>
        <v>10</v>
      </c>
      <c r="BF238" s="1" t="str">
        <f t="shared" si="241"/>
        <v>9</v>
      </c>
      <c r="BG238" s="1" t="str">
        <f t="shared" si="241"/>
        <v>6</v>
      </c>
      <c r="BH238" s="1" t="str">
        <f t="shared" si="241"/>
        <v>58</v>
      </c>
      <c r="BI238" s="1" t="str">
        <f t="shared" si="241"/>
        <v>35</v>
      </c>
      <c r="BJ238" s="1" t="str">
        <f t="shared" si="241"/>
        <v>=1</v>
      </c>
    </row>
    <row r="239" spans="1:62">
      <c r="A239" s="1" t="str">
        <f t="shared" si="221"/>
        <v>   4.1.1) Level of police engagement</v>
      </c>
      <c r="B239" s="1" t="str">
        <f t="shared" ref="B239:AG239" si="242">IF(B174&gt;1,"=","")&amp;B109</f>
        <v>=1</v>
      </c>
      <c r="C239" s="1" t="str">
        <f t="shared" si="242"/>
        <v>=1</v>
      </c>
      <c r="D239" s="1" t="str">
        <f t="shared" si="242"/>
        <v>=29</v>
      </c>
      <c r="E239" s="1" t="str">
        <f t="shared" si="242"/>
        <v>=29</v>
      </c>
      <c r="F239" s="1" t="str">
        <f t="shared" si="242"/>
        <v>=1</v>
      </c>
      <c r="G239" s="1" t="str">
        <f t="shared" si="242"/>
        <v>=29</v>
      </c>
      <c r="H239" s="1" t="str">
        <f t="shared" si="242"/>
        <v>=29</v>
      </c>
      <c r="I239" s="1" t="str">
        <f t="shared" si="242"/>
        <v>=29</v>
      </c>
      <c r="J239" s="1" t="str">
        <f t="shared" si="242"/>
        <v>=29</v>
      </c>
      <c r="K239" s="1" t="str">
        <f t="shared" si="242"/>
        <v>=29</v>
      </c>
      <c r="L239" s="1" t="str">
        <f t="shared" si="242"/>
        <v>=29</v>
      </c>
      <c r="M239" s="1" t="str">
        <f t="shared" si="242"/>
        <v>=1</v>
      </c>
      <c r="N239" s="1" t="str">
        <f t="shared" si="242"/>
        <v>=1</v>
      </c>
      <c r="O239" s="1" t="str">
        <f t="shared" si="242"/>
        <v>=1</v>
      </c>
      <c r="P239" s="1" t="str">
        <f t="shared" si="242"/>
        <v>=1</v>
      </c>
      <c r="Q239" s="1" t="str">
        <f t="shared" si="242"/>
        <v>=1</v>
      </c>
      <c r="R239" s="1" t="str">
        <f t="shared" si="242"/>
        <v>=1</v>
      </c>
      <c r="S239" s="1" t="str">
        <f t="shared" si="242"/>
        <v>=1</v>
      </c>
      <c r="T239" s="1" t="str">
        <f t="shared" si="242"/>
        <v>=59</v>
      </c>
      <c r="U239" s="1" t="str">
        <f t="shared" si="242"/>
        <v>=1</v>
      </c>
      <c r="V239" s="1" t="str">
        <f t="shared" si="242"/>
        <v>=29</v>
      </c>
      <c r="W239" s="1" t="str">
        <f t="shared" si="242"/>
        <v>=29</v>
      </c>
      <c r="X239" s="1" t="str">
        <f t="shared" si="242"/>
        <v>=29</v>
      </c>
      <c r="Y239" s="1" t="str">
        <f t="shared" si="242"/>
        <v>=29</v>
      </c>
      <c r="Z239" s="1" t="str">
        <f t="shared" si="242"/>
        <v>=1</v>
      </c>
      <c r="AA239" s="1" t="str">
        <f t="shared" si="242"/>
        <v>=29</v>
      </c>
      <c r="AB239" s="1" t="str">
        <f t="shared" si="242"/>
        <v>=29</v>
      </c>
      <c r="AC239" s="1" t="str">
        <f t="shared" si="242"/>
        <v>=29</v>
      </c>
      <c r="AD239" s="1" t="str">
        <f t="shared" si="242"/>
        <v>=1</v>
      </c>
      <c r="AE239" s="1" t="str">
        <f t="shared" si="242"/>
        <v>=1</v>
      </c>
      <c r="AF239" s="1" t="str">
        <f t="shared" si="242"/>
        <v>=1</v>
      </c>
      <c r="AG239" s="1" t="str">
        <f t="shared" si="242"/>
        <v>=29</v>
      </c>
      <c r="AH239" s="1" t="str">
        <f t="shared" ref="AH239:BJ239" si="243">IF(AH174&gt;1,"=","")&amp;AH109</f>
        <v>=1</v>
      </c>
      <c r="AI239" s="1" t="str">
        <f t="shared" si="243"/>
        <v>=29</v>
      </c>
      <c r="AJ239" s="1" t="str">
        <f t="shared" si="243"/>
        <v>=29</v>
      </c>
      <c r="AK239" s="1" t="str">
        <f t="shared" si="243"/>
        <v>=59</v>
      </c>
      <c r="AL239" s="1" t="str">
        <f t="shared" si="243"/>
        <v>=1</v>
      </c>
      <c r="AM239" s="1" t="str">
        <f t="shared" si="243"/>
        <v>=1</v>
      </c>
      <c r="AN239" s="1" t="str">
        <f t="shared" si="243"/>
        <v>=1</v>
      </c>
      <c r="AO239" s="1" t="str">
        <f t="shared" si="243"/>
        <v>=29</v>
      </c>
      <c r="AP239" s="1" t="str">
        <f t="shared" si="243"/>
        <v>=29</v>
      </c>
      <c r="AQ239" s="1" t="str">
        <f t="shared" si="243"/>
        <v>=29</v>
      </c>
      <c r="AR239" s="1" t="str">
        <f t="shared" si="243"/>
        <v>=29</v>
      </c>
      <c r="AS239" s="1" t="str">
        <f t="shared" si="243"/>
        <v>=29</v>
      </c>
      <c r="AT239" s="1" t="str">
        <f t="shared" si="243"/>
        <v>=1</v>
      </c>
      <c r="AU239" s="1" t="str">
        <f t="shared" si="243"/>
        <v>=29</v>
      </c>
      <c r="AV239" s="1" t="str">
        <f t="shared" si="243"/>
        <v>=29</v>
      </c>
      <c r="AW239" s="1" t="str">
        <f t="shared" si="243"/>
        <v>=1</v>
      </c>
      <c r="AX239" s="1" t="str">
        <f t="shared" si="243"/>
        <v>=29</v>
      </c>
      <c r="AY239" s="1" t="str">
        <f t="shared" si="243"/>
        <v>=1</v>
      </c>
      <c r="AZ239" s="1" t="str">
        <f t="shared" si="243"/>
        <v>=29</v>
      </c>
      <c r="BA239" s="1" t="str">
        <f t="shared" si="243"/>
        <v>=1</v>
      </c>
      <c r="BB239" s="1" t="str">
        <f t="shared" si="243"/>
        <v>=1</v>
      </c>
      <c r="BC239" s="1" t="str">
        <f t="shared" si="243"/>
        <v>=29</v>
      </c>
      <c r="BD239" s="1" t="str">
        <f t="shared" si="243"/>
        <v>=1</v>
      </c>
      <c r="BE239" s="1" t="str">
        <f t="shared" si="243"/>
        <v>=1</v>
      </c>
      <c r="BF239" s="1" t="str">
        <f t="shared" si="243"/>
        <v>=1</v>
      </c>
      <c r="BG239" s="1" t="str">
        <f t="shared" si="243"/>
        <v>=1</v>
      </c>
      <c r="BH239" s="1" t="str">
        <f t="shared" si="243"/>
        <v>=29</v>
      </c>
      <c r="BI239" s="1" t="str">
        <f t="shared" si="243"/>
        <v>=29</v>
      </c>
      <c r="BJ239" s="1" t="str">
        <f t="shared" si="243"/>
        <v>=1</v>
      </c>
    </row>
    <row r="240" spans="1:62">
      <c r="A240" s="1" t="str">
        <f t="shared" si="221"/>
        <v>   4.1.2) Community-based patrolling</v>
      </c>
      <c r="B240" s="1" t="str">
        <f t="shared" ref="B240:AG240" si="244">IF(B175&gt;1,"=","")&amp;B110</f>
        <v>=1</v>
      </c>
      <c r="C240" s="1" t="str">
        <f t="shared" si="244"/>
        <v>=1</v>
      </c>
      <c r="D240" s="1" t="str">
        <f t="shared" si="244"/>
        <v>=54</v>
      </c>
      <c r="E240" s="1" t="str">
        <f t="shared" si="244"/>
        <v>=1</v>
      </c>
      <c r="F240" s="1" t="str">
        <f t="shared" si="244"/>
        <v>=1</v>
      </c>
      <c r="G240" s="1" t="str">
        <f t="shared" si="244"/>
        <v>=1</v>
      </c>
      <c r="H240" s="1" t="str">
        <f t="shared" si="244"/>
        <v>=1</v>
      </c>
      <c r="I240" s="1" t="str">
        <f t="shared" si="244"/>
        <v>=1</v>
      </c>
      <c r="J240" s="1" t="str">
        <f t="shared" si="244"/>
        <v>=54</v>
      </c>
      <c r="K240" s="1" t="str">
        <f t="shared" si="244"/>
        <v>=1</v>
      </c>
      <c r="L240" s="1" t="str">
        <f t="shared" si="244"/>
        <v>=1</v>
      </c>
      <c r="M240" s="1" t="str">
        <f t="shared" si="244"/>
        <v>=54</v>
      </c>
      <c r="N240" s="1" t="str">
        <f t="shared" si="244"/>
        <v>=1</v>
      </c>
      <c r="O240" s="1" t="str">
        <f t="shared" si="244"/>
        <v>=1</v>
      </c>
      <c r="P240" s="1" t="str">
        <f t="shared" si="244"/>
        <v>=1</v>
      </c>
      <c r="Q240" s="1" t="str">
        <f t="shared" si="244"/>
        <v>=1</v>
      </c>
      <c r="R240" s="1" t="str">
        <f t="shared" si="244"/>
        <v>=1</v>
      </c>
      <c r="S240" s="1" t="str">
        <f t="shared" si="244"/>
        <v>=1</v>
      </c>
      <c r="T240" s="1" t="str">
        <f t="shared" si="244"/>
        <v>=54</v>
      </c>
      <c r="U240" s="1" t="str">
        <f t="shared" si="244"/>
        <v>=1</v>
      </c>
      <c r="V240" s="1" t="str">
        <f t="shared" si="244"/>
        <v>=1</v>
      </c>
      <c r="W240" s="1" t="str">
        <f t="shared" si="244"/>
        <v>=1</v>
      </c>
      <c r="X240" s="1" t="str">
        <f t="shared" si="244"/>
        <v>=1</v>
      </c>
      <c r="Y240" s="1" t="str">
        <f t="shared" si="244"/>
        <v>=1</v>
      </c>
      <c r="Z240" s="1" t="str">
        <f t="shared" si="244"/>
        <v>=1</v>
      </c>
      <c r="AA240" s="1" t="str">
        <f t="shared" si="244"/>
        <v>=1</v>
      </c>
      <c r="AB240" s="1" t="str">
        <f t="shared" si="244"/>
        <v>=1</v>
      </c>
      <c r="AC240" s="1" t="str">
        <f t="shared" si="244"/>
        <v>=1</v>
      </c>
      <c r="AD240" s="1" t="str">
        <f t="shared" si="244"/>
        <v>=1</v>
      </c>
      <c r="AE240" s="1" t="str">
        <f t="shared" si="244"/>
        <v>=1</v>
      </c>
      <c r="AF240" s="1" t="str">
        <f t="shared" si="244"/>
        <v>=1</v>
      </c>
      <c r="AG240" s="1" t="str">
        <f t="shared" si="244"/>
        <v>=1</v>
      </c>
      <c r="AH240" s="1" t="str">
        <f t="shared" ref="AH240:BJ240" si="245">IF(AH175&gt;1,"=","")&amp;AH110</f>
        <v>=1</v>
      </c>
      <c r="AI240" s="1" t="str">
        <f t="shared" si="245"/>
        <v>=1</v>
      </c>
      <c r="AJ240" s="1" t="str">
        <f t="shared" si="245"/>
        <v>=1</v>
      </c>
      <c r="AK240" s="1" t="str">
        <f t="shared" si="245"/>
        <v>=1</v>
      </c>
      <c r="AL240" s="1" t="str">
        <f t="shared" si="245"/>
        <v>=1</v>
      </c>
      <c r="AM240" s="1" t="str">
        <f t="shared" si="245"/>
        <v>=1</v>
      </c>
      <c r="AN240" s="1" t="str">
        <f t="shared" si="245"/>
        <v>=1</v>
      </c>
      <c r="AO240" s="1" t="str">
        <f t="shared" si="245"/>
        <v>=1</v>
      </c>
      <c r="AP240" s="1" t="str">
        <f t="shared" si="245"/>
        <v>=54</v>
      </c>
      <c r="AQ240" s="1" t="str">
        <f t="shared" si="245"/>
        <v>=1</v>
      </c>
      <c r="AR240" s="1" t="str">
        <f t="shared" si="245"/>
        <v>=1</v>
      </c>
      <c r="AS240" s="1" t="str">
        <f t="shared" si="245"/>
        <v>=1</v>
      </c>
      <c r="AT240" s="1" t="str">
        <f t="shared" si="245"/>
        <v>=1</v>
      </c>
      <c r="AU240" s="1" t="str">
        <f t="shared" si="245"/>
        <v>=54</v>
      </c>
      <c r="AV240" s="1" t="str">
        <f t="shared" si="245"/>
        <v>=1</v>
      </c>
      <c r="AW240" s="1" t="str">
        <f t="shared" si="245"/>
        <v>=1</v>
      </c>
      <c r="AX240" s="1" t="str">
        <f t="shared" si="245"/>
        <v>=1</v>
      </c>
      <c r="AY240" s="1" t="str">
        <f t="shared" si="245"/>
        <v>=1</v>
      </c>
      <c r="AZ240" s="1" t="str">
        <f t="shared" si="245"/>
        <v>=1</v>
      </c>
      <c r="BA240" s="1" t="str">
        <f t="shared" si="245"/>
        <v>=1</v>
      </c>
      <c r="BB240" s="1" t="str">
        <f t="shared" si="245"/>
        <v>=1</v>
      </c>
      <c r="BC240" s="1" t="str">
        <f t="shared" si="245"/>
        <v>=54</v>
      </c>
      <c r="BD240" s="1" t="str">
        <f t="shared" si="245"/>
        <v>=1</v>
      </c>
      <c r="BE240" s="1" t="str">
        <f t="shared" si="245"/>
        <v>=1</v>
      </c>
      <c r="BF240" s="1" t="str">
        <f t="shared" si="245"/>
        <v>=1</v>
      </c>
      <c r="BG240" s="1" t="str">
        <f t="shared" si="245"/>
        <v>=1</v>
      </c>
      <c r="BH240" s="1" t="str">
        <f t="shared" si="245"/>
        <v>=1</v>
      </c>
      <c r="BI240" s="1" t="str">
        <f t="shared" si="245"/>
        <v>=1</v>
      </c>
      <c r="BJ240" s="1" t="str">
        <f t="shared" si="245"/>
        <v>=1</v>
      </c>
    </row>
    <row r="241" spans="1:62">
      <c r="A241" s="1" t="str">
        <f t="shared" si="221"/>
        <v>   4.1.3) Available street-level crime data</v>
      </c>
      <c r="B241" s="1" t="str">
        <f t="shared" ref="B241:AG241" si="246">IF(B176&gt;1,"=","")&amp;B111</f>
        <v>=1</v>
      </c>
      <c r="C241" s="1" t="str">
        <f t="shared" si="246"/>
        <v>=1</v>
      </c>
      <c r="D241" s="1" t="str">
        <f t="shared" si="246"/>
        <v>=1</v>
      </c>
      <c r="E241" s="1" t="str">
        <f t="shared" si="246"/>
        <v>=51</v>
      </c>
      <c r="F241" s="1" t="str">
        <f t="shared" si="246"/>
        <v>=1</v>
      </c>
      <c r="G241" s="1" t="str">
        <f t="shared" si="246"/>
        <v>=1</v>
      </c>
      <c r="H241" s="1" t="str">
        <f t="shared" si="246"/>
        <v>=51</v>
      </c>
      <c r="I241" s="1" t="str">
        <f t="shared" si="246"/>
        <v>=1</v>
      </c>
      <c r="J241" s="1" t="str">
        <f t="shared" si="246"/>
        <v>=1</v>
      </c>
      <c r="K241" s="1" t="str">
        <f t="shared" si="246"/>
        <v>=1</v>
      </c>
      <c r="L241" s="1" t="str">
        <f t="shared" si="246"/>
        <v>=51</v>
      </c>
      <c r="M241" s="1" t="str">
        <f t="shared" si="246"/>
        <v>=1</v>
      </c>
      <c r="N241" s="1" t="str">
        <f t="shared" si="246"/>
        <v>=1</v>
      </c>
      <c r="O241" s="1" t="str">
        <f t="shared" si="246"/>
        <v>=1</v>
      </c>
      <c r="P241" s="1" t="str">
        <f t="shared" si="246"/>
        <v>=1</v>
      </c>
      <c r="Q241" s="1" t="str">
        <f t="shared" si="246"/>
        <v>=51</v>
      </c>
      <c r="R241" s="1" t="str">
        <f t="shared" si="246"/>
        <v>=1</v>
      </c>
      <c r="S241" s="1" t="str">
        <f t="shared" si="246"/>
        <v>=1</v>
      </c>
      <c r="T241" s="1" t="str">
        <f t="shared" si="246"/>
        <v>=51</v>
      </c>
      <c r="U241" s="1" t="str">
        <f t="shared" si="246"/>
        <v>=1</v>
      </c>
      <c r="V241" s="1" t="str">
        <f t="shared" si="246"/>
        <v>=1</v>
      </c>
      <c r="W241" s="1" t="str">
        <f t="shared" si="246"/>
        <v>=1</v>
      </c>
      <c r="X241" s="1" t="str">
        <f t="shared" si="246"/>
        <v>=51</v>
      </c>
      <c r="Y241" s="1" t="str">
        <f t="shared" si="246"/>
        <v>=1</v>
      </c>
      <c r="Z241" s="1" t="str">
        <f t="shared" si="246"/>
        <v>=51</v>
      </c>
      <c r="AA241" s="1" t="str">
        <f t="shared" si="246"/>
        <v>=1</v>
      </c>
      <c r="AB241" s="1" t="str">
        <f t="shared" si="246"/>
        <v>=1</v>
      </c>
      <c r="AC241" s="1" t="str">
        <f t="shared" si="246"/>
        <v>=1</v>
      </c>
      <c r="AD241" s="1" t="str">
        <f t="shared" si="246"/>
        <v>=1</v>
      </c>
      <c r="AE241" s="1" t="str">
        <f t="shared" si="246"/>
        <v>=1</v>
      </c>
      <c r="AF241" s="1" t="str">
        <f t="shared" si="246"/>
        <v>=1</v>
      </c>
      <c r="AG241" s="1" t="str">
        <f t="shared" si="246"/>
        <v>=1</v>
      </c>
      <c r="AH241" s="1" t="str">
        <f t="shared" ref="AH241:BJ241" si="247">IF(AH176&gt;1,"=","")&amp;AH111</f>
        <v>=1</v>
      </c>
      <c r="AI241" s="1" t="str">
        <f t="shared" si="247"/>
        <v>=1</v>
      </c>
      <c r="AJ241" s="1" t="str">
        <f t="shared" si="247"/>
        <v>=1</v>
      </c>
      <c r="AK241" s="1" t="str">
        <f t="shared" si="247"/>
        <v>=1</v>
      </c>
      <c r="AL241" s="1" t="str">
        <f t="shared" si="247"/>
        <v>=1</v>
      </c>
      <c r="AM241" s="1" t="str">
        <f t="shared" si="247"/>
        <v>=1</v>
      </c>
      <c r="AN241" s="1" t="str">
        <f t="shared" si="247"/>
        <v>=1</v>
      </c>
      <c r="AO241" s="1" t="str">
        <f t="shared" si="247"/>
        <v>=1</v>
      </c>
      <c r="AP241" s="1" t="str">
        <f t="shared" si="247"/>
        <v>=51</v>
      </c>
      <c r="AQ241" s="1" t="str">
        <f t="shared" si="247"/>
        <v>=1</v>
      </c>
      <c r="AR241" s="1" t="str">
        <f t="shared" si="247"/>
        <v>=51</v>
      </c>
      <c r="AS241" s="1" t="str">
        <f t="shared" si="247"/>
        <v>=1</v>
      </c>
      <c r="AT241" s="1" t="str">
        <f t="shared" si="247"/>
        <v>=1</v>
      </c>
      <c r="AU241" s="1" t="str">
        <f t="shared" si="247"/>
        <v>=1</v>
      </c>
      <c r="AV241" s="1" t="str">
        <f t="shared" si="247"/>
        <v>=1</v>
      </c>
      <c r="AW241" s="1" t="str">
        <f t="shared" si="247"/>
        <v>=1</v>
      </c>
      <c r="AX241" s="1" t="str">
        <f t="shared" si="247"/>
        <v>=1</v>
      </c>
      <c r="AY241" s="1" t="str">
        <f t="shared" si="247"/>
        <v>=1</v>
      </c>
      <c r="AZ241" s="1" t="str">
        <f t="shared" si="247"/>
        <v>=1</v>
      </c>
      <c r="BA241" s="1" t="str">
        <f t="shared" si="247"/>
        <v>=1</v>
      </c>
      <c r="BB241" s="1" t="str">
        <f t="shared" si="247"/>
        <v>=1</v>
      </c>
      <c r="BC241" s="1" t="str">
        <f t="shared" si="247"/>
        <v>=1</v>
      </c>
      <c r="BD241" s="1" t="str">
        <f t="shared" si="247"/>
        <v>=1</v>
      </c>
      <c r="BE241" s="1" t="str">
        <f t="shared" si="247"/>
        <v>=1</v>
      </c>
      <c r="BF241" s="1" t="str">
        <f t="shared" si="247"/>
        <v>=1</v>
      </c>
      <c r="BG241" s="1" t="str">
        <f t="shared" si="247"/>
        <v>=1</v>
      </c>
      <c r="BH241" s="1" t="str">
        <f t="shared" si="247"/>
        <v>=51</v>
      </c>
      <c r="BI241" s="1" t="str">
        <f t="shared" si="247"/>
        <v>=1</v>
      </c>
      <c r="BJ241" s="1" t="str">
        <f t="shared" si="247"/>
        <v>=1</v>
      </c>
    </row>
    <row r="242" spans="1:62">
      <c r="A242" s="1" t="str">
        <f t="shared" si="221"/>
        <v>   4.1.4) Use of data-driven techniques for crime</v>
      </c>
      <c r="B242" s="1" t="str">
        <f t="shared" ref="B242:AG242" si="248">IF(B177&gt;1,"=","")&amp;B112</f>
        <v>=49</v>
      </c>
      <c r="C242" s="1" t="str">
        <f t="shared" si="248"/>
        <v>=1</v>
      </c>
      <c r="D242" s="1" t="str">
        <f t="shared" si="248"/>
        <v>=1</v>
      </c>
      <c r="E242" s="1" t="str">
        <f t="shared" si="248"/>
        <v>=1</v>
      </c>
      <c r="F242" s="1" t="str">
        <f t="shared" si="248"/>
        <v>=1</v>
      </c>
      <c r="G242" s="1" t="str">
        <f t="shared" si="248"/>
        <v>=1</v>
      </c>
      <c r="H242" s="1" t="str">
        <f t="shared" si="248"/>
        <v>=1</v>
      </c>
      <c r="I242" s="1" t="str">
        <f t="shared" si="248"/>
        <v>=1</v>
      </c>
      <c r="J242" s="1" t="str">
        <f t="shared" si="248"/>
        <v>=1</v>
      </c>
      <c r="K242" s="1" t="str">
        <f t="shared" si="248"/>
        <v>=1</v>
      </c>
      <c r="L242" s="1" t="str">
        <f t="shared" si="248"/>
        <v>=49</v>
      </c>
      <c r="M242" s="1" t="str">
        <f t="shared" si="248"/>
        <v>=49</v>
      </c>
      <c r="N242" s="1" t="str">
        <f t="shared" si="248"/>
        <v>=1</v>
      </c>
      <c r="O242" s="1" t="str">
        <f t="shared" si="248"/>
        <v>=1</v>
      </c>
      <c r="P242" s="1" t="str">
        <f t="shared" si="248"/>
        <v>=1</v>
      </c>
      <c r="Q242" s="1" t="str">
        <f t="shared" si="248"/>
        <v>=1</v>
      </c>
      <c r="R242" s="1" t="str">
        <f t="shared" si="248"/>
        <v>=1</v>
      </c>
      <c r="S242" s="1" t="str">
        <f t="shared" si="248"/>
        <v>=1</v>
      </c>
      <c r="T242" s="1" t="str">
        <f t="shared" si="248"/>
        <v>=49</v>
      </c>
      <c r="U242" s="1" t="str">
        <f t="shared" si="248"/>
        <v>=1</v>
      </c>
      <c r="V242" s="1" t="str">
        <f t="shared" si="248"/>
        <v>=1</v>
      </c>
      <c r="W242" s="1" t="str">
        <f t="shared" si="248"/>
        <v>=49</v>
      </c>
      <c r="X242" s="1" t="str">
        <f t="shared" si="248"/>
        <v>=1</v>
      </c>
      <c r="Y242" s="1" t="str">
        <f t="shared" si="248"/>
        <v>=49</v>
      </c>
      <c r="Z242" s="1" t="str">
        <f t="shared" si="248"/>
        <v>=49</v>
      </c>
      <c r="AA242" s="1" t="str">
        <f t="shared" si="248"/>
        <v>=1</v>
      </c>
      <c r="AB242" s="1" t="str">
        <f t="shared" si="248"/>
        <v>=49</v>
      </c>
      <c r="AC242" s="1" t="str">
        <f t="shared" si="248"/>
        <v>=49</v>
      </c>
      <c r="AD242" s="1" t="str">
        <f t="shared" si="248"/>
        <v>=1</v>
      </c>
      <c r="AE242" s="1" t="str">
        <f t="shared" si="248"/>
        <v>=1</v>
      </c>
      <c r="AF242" s="1" t="str">
        <f t="shared" si="248"/>
        <v>=1</v>
      </c>
      <c r="AG242" s="1" t="str">
        <f t="shared" si="248"/>
        <v>=1</v>
      </c>
      <c r="AH242" s="1" t="str">
        <f t="shared" ref="AH242:BJ242" si="249">IF(AH177&gt;1,"=","")&amp;AH112</f>
        <v>=1</v>
      </c>
      <c r="AI242" s="1" t="str">
        <f t="shared" si="249"/>
        <v>=1</v>
      </c>
      <c r="AJ242" s="1" t="str">
        <f t="shared" si="249"/>
        <v>=1</v>
      </c>
      <c r="AK242" s="1" t="str">
        <f t="shared" si="249"/>
        <v>=49</v>
      </c>
      <c r="AL242" s="1" t="str">
        <f t="shared" si="249"/>
        <v>=1</v>
      </c>
      <c r="AM242" s="1" t="str">
        <f t="shared" si="249"/>
        <v>=1</v>
      </c>
      <c r="AN242" s="1" t="str">
        <f t="shared" si="249"/>
        <v>=1</v>
      </c>
      <c r="AO242" s="1" t="str">
        <f t="shared" si="249"/>
        <v>=1</v>
      </c>
      <c r="AP242" s="1" t="str">
        <f t="shared" si="249"/>
        <v>=1</v>
      </c>
      <c r="AQ242" s="1" t="str">
        <f t="shared" si="249"/>
        <v>=1</v>
      </c>
      <c r="AR242" s="1" t="str">
        <f t="shared" si="249"/>
        <v>=1</v>
      </c>
      <c r="AS242" s="1" t="str">
        <f t="shared" si="249"/>
        <v>=1</v>
      </c>
      <c r="AT242" s="1" t="str">
        <f t="shared" si="249"/>
        <v>=1</v>
      </c>
      <c r="AU242" s="1" t="str">
        <f t="shared" si="249"/>
        <v>=1</v>
      </c>
      <c r="AV242" s="1" t="str">
        <f t="shared" si="249"/>
        <v>=1</v>
      </c>
      <c r="AW242" s="1" t="str">
        <f t="shared" si="249"/>
        <v>=1</v>
      </c>
      <c r="AX242" s="1" t="str">
        <f t="shared" si="249"/>
        <v>=1</v>
      </c>
      <c r="AY242" s="1" t="str">
        <f t="shared" si="249"/>
        <v>=1</v>
      </c>
      <c r="AZ242" s="1" t="str">
        <f t="shared" si="249"/>
        <v>=1</v>
      </c>
      <c r="BA242" s="1" t="str">
        <f t="shared" si="249"/>
        <v>=1</v>
      </c>
      <c r="BB242" s="1" t="str">
        <f t="shared" si="249"/>
        <v>=1</v>
      </c>
      <c r="BC242" s="1" t="str">
        <f t="shared" si="249"/>
        <v>=49</v>
      </c>
      <c r="BD242" s="1" t="str">
        <f t="shared" si="249"/>
        <v>=1</v>
      </c>
      <c r="BE242" s="1" t="str">
        <f t="shared" si="249"/>
        <v>=1</v>
      </c>
      <c r="BF242" s="1" t="str">
        <f t="shared" si="249"/>
        <v>=1</v>
      </c>
      <c r="BG242" s="1" t="str">
        <f t="shared" si="249"/>
        <v>=1</v>
      </c>
      <c r="BH242" s="1" t="str">
        <f t="shared" si="249"/>
        <v>=49</v>
      </c>
      <c r="BI242" s="1" t="str">
        <f t="shared" si="249"/>
        <v>=1</v>
      </c>
      <c r="BJ242" s="1" t="str">
        <f t="shared" si="249"/>
        <v>=1</v>
      </c>
    </row>
    <row r="243" spans="1:62">
      <c r="A243" s="1" t="str">
        <f t="shared" si="221"/>
        <v>   4.1.5) Private security measures</v>
      </c>
      <c r="B243" s="1" t="str">
        <f t="shared" ref="B243:AG243" si="250">IF(B178&gt;1,"=","")&amp;B113</f>
        <v>=1</v>
      </c>
      <c r="C243" s="1" t="str">
        <f t="shared" si="250"/>
        <v>=1</v>
      </c>
      <c r="D243" s="1" t="str">
        <f t="shared" si="250"/>
        <v>=1</v>
      </c>
      <c r="E243" s="1" t="str">
        <f t="shared" si="250"/>
        <v>=1</v>
      </c>
      <c r="F243" s="1" t="str">
        <f t="shared" si="250"/>
        <v>=1</v>
      </c>
      <c r="G243" s="1" t="str">
        <f t="shared" si="250"/>
        <v>=1</v>
      </c>
      <c r="H243" s="1" t="str">
        <f t="shared" si="250"/>
        <v>=1</v>
      </c>
      <c r="I243" s="1" t="str">
        <f t="shared" si="250"/>
        <v>=1</v>
      </c>
      <c r="J243" s="1" t="str">
        <f t="shared" si="250"/>
        <v>=1</v>
      </c>
      <c r="K243" s="1" t="str">
        <f t="shared" si="250"/>
        <v>=1</v>
      </c>
      <c r="L243" s="1" t="str">
        <f t="shared" si="250"/>
        <v>=1</v>
      </c>
      <c r="M243" s="1" t="str">
        <f t="shared" si="250"/>
        <v>=1</v>
      </c>
      <c r="N243" s="1" t="str">
        <f t="shared" si="250"/>
        <v>=1</v>
      </c>
      <c r="O243" s="1" t="str">
        <f t="shared" si="250"/>
        <v>=1</v>
      </c>
      <c r="P243" s="1" t="str">
        <f t="shared" si="250"/>
        <v>=1</v>
      </c>
      <c r="Q243" s="1" t="str">
        <f t="shared" si="250"/>
        <v>=1</v>
      </c>
      <c r="R243" s="1" t="str">
        <f t="shared" si="250"/>
        <v>=1</v>
      </c>
      <c r="S243" s="1" t="str">
        <f t="shared" si="250"/>
        <v>=1</v>
      </c>
      <c r="T243" s="1" t="str">
        <f t="shared" si="250"/>
        <v>=1</v>
      </c>
      <c r="U243" s="1" t="str">
        <f t="shared" si="250"/>
        <v>=1</v>
      </c>
      <c r="V243" s="1" t="str">
        <f t="shared" si="250"/>
        <v>=1</v>
      </c>
      <c r="W243" s="1" t="str">
        <f t="shared" si="250"/>
        <v>=56</v>
      </c>
      <c r="X243" s="1" t="str">
        <f t="shared" si="250"/>
        <v>=56</v>
      </c>
      <c r="Y243" s="1" t="str">
        <f t="shared" si="250"/>
        <v>=1</v>
      </c>
      <c r="Z243" s="1" t="str">
        <f t="shared" si="250"/>
        <v>=56</v>
      </c>
      <c r="AA243" s="1" t="str">
        <f t="shared" si="250"/>
        <v>=1</v>
      </c>
      <c r="AB243" s="1" t="str">
        <f t="shared" si="250"/>
        <v>=1</v>
      </c>
      <c r="AC243" s="1" t="str">
        <f t="shared" si="250"/>
        <v>=1</v>
      </c>
      <c r="AD243" s="1" t="str">
        <f t="shared" si="250"/>
        <v>=1</v>
      </c>
      <c r="AE243" s="1" t="str">
        <f t="shared" si="250"/>
        <v>=1</v>
      </c>
      <c r="AF243" s="1" t="str">
        <f t="shared" si="250"/>
        <v>=1</v>
      </c>
      <c r="AG243" s="1" t="str">
        <f t="shared" si="250"/>
        <v>=1</v>
      </c>
      <c r="AH243" s="1" t="str">
        <f t="shared" ref="AH243:BJ243" si="251">IF(AH178&gt;1,"=","")&amp;AH113</f>
        <v>=1</v>
      </c>
      <c r="AI243" s="1" t="str">
        <f t="shared" si="251"/>
        <v>=1</v>
      </c>
      <c r="AJ243" s="1" t="str">
        <f t="shared" si="251"/>
        <v>=1</v>
      </c>
      <c r="AK243" s="1" t="str">
        <f t="shared" si="251"/>
        <v>=1</v>
      </c>
      <c r="AL243" s="1" t="str">
        <f t="shared" si="251"/>
        <v>=1</v>
      </c>
      <c r="AM243" s="1" t="str">
        <f t="shared" si="251"/>
        <v>=1</v>
      </c>
      <c r="AN243" s="1" t="str">
        <f t="shared" si="251"/>
        <v>=1</v>
      </c>
      <c r="AO243" s="1" t="str">
        <f t="shared" si="251"/>
        <v>=1</v>
      </c>
      <c r="AP243" s="1" t="str">
        <f t="shared" si="251"/>
        <v>=1</v>
      </c>
      <c r="AQ243" s="1" t="str">
        <f t="shared" si="251"/>
        <v>=1</v>
      </c>
      <c r="AR243" s="1" t="str">
        <f t="shared" si="251"/>
        <v>=56</v>
      </c>
      <c r="AS243" s="1" t="str">
        <f t="shared" si="251"/>
        <v>=1</v>
      </c>
      <c r="AT243" s="1" t="str">
        <f t="shared" si="251"/>
        <v>=1</v>
      </c>
      <c r="AU243" s="1" t="str">
        <f t="shared" si="251"/>
        <v>=1</v>
      </c>
      <c r="AV243" s="1" t="str">
        <f t="shared" si="251"/>
        <v>=1</v>
      </c>
      <c r="AW243" s="1" t="str">
        <f t="shared" si="251"/>
        <v>=1</v>
      </c>
      <c r="AX243" s="1" t="str">
        <f t="shared" si="251"/>
        <v>=1</v>
      </c>
      <c r="AY243" s="1" t="str">
        <f t="shared" si="251"/>
        <v>=1</v>
      </c>
      <c r="AZ243" s="1" t="str">
        <f t="shared" si="251"/>
        <v>=1</v>
      </c>
      <c r="BA243" s="1" t="str">
        <f t="shared" si="251"/>
        <v>=1</v>
      </c>
      <c r="BB243" s="1" t="str">
        <f t="shared" si="251"/>
        <v>=1</v>
      </c>
      <c r="BC243" s="1" t="str">
        <f t="shared" si="251"/>
        <v>=1</v>
      </c>
      <c r="BD243" s="1" t="str">
        <f t="shared" si="251"/>
        <v>=1</v>
      </c>
      <c r="BE243" s="1" t="str">
        <f t="shared" si="251"/>
        <v>=1</v>
      </c>
      <c r="BF243" s="1" t="str">
        <f t="shared" si="251"/>
        <v>=1</v>
      </c>
      <c r="BG243" s="1" t="str">
        <f t="shared" si="251"/>
        <v>=1</v>
      </c>
      <c r="BH243" s="1" t="str">
        <f t="shared" si="251"/>
        <v>=56</v>
      </c>
      <c r="BI243" s="1" t="str">
        <f t="shared" si="251"/>
        <v>=1</v>
      </c>
      <c r="BJ243" s="1" t="str">
        <f t="shared" si="251"/>
        <v>=1</v>
      </c>
    </row>
    <row r="244" spans="1:62">
      <c r="A244" s="1" t="str">
        <f t="shared" si="221"/>
        <v>   4.1.6) Gun regulation and enforcement</v>
      </c>
      <c r="B244" s="1" t="str">
        <f t="shared" ref="B244:AG244" si="252">IF(B179&gt;1,"=","")&amp;B114</f>
        <v>39</v>
      </c>
      <c r="C244" s="1" t="str">
        <f t="shared" si="252"/>
        <v>=20</v>
      </c>
      <c r="D244" s="1" t="str">
        <f t="shared" si="252"/>
        <v>=51</v>
      </c>
      <c r="E244" s="1" t="str">
        <f t="shared" si="252"/>
        <v>=44</v>
      </c>
      <c r="F244" s="1" t="str">
        <f t="shared" si="252"/>
        <v>=23</v>
      </c>
      <c r="G244" s="1" t="str">
        <f t="shared" si="252"/>
        <v>=1</v>
      </c>
      <c r="H244" s="1" t="str">
        <f t="shared" si="252"/>
        <v>=44</v>
      </c>
      <c r="I244" s="1" t="str">
        <f t="shared" si="252"/>
        <v>=28</v>
      </c>
      <c r="J244" s="1" t="str">
        <f t="shared" si="252"/>
        <v>=20</v>
      </c>
      <c r="K244" s="1" t="str">
        <f t="shared" si="252"/>
        <v>=44</v>
      </c>
      <c r="L244" s="1" t="str">
        <f t="shared" si="252"/>
        <v>6</v>
      </c>
      <c r="M244" s="1" t="str">
        <f t="shared" si="252"/>
        <v>=25</v>
      </c>
      <c r="N244" s="1" t="str">
        <f t="shared" si="252"/>
        <v>=44</v>
      </c>
      <c r="O244" s="1" t="str">
        <f t="shared" si="252"/>
        <v>60</v>
      </c>
      <c r="P244" s="1" t="str">
        <f t="shared" si="252"/>
        <v>=37</v>
      </c>
      <c r="Q244" s="1" t="str">
        <f t="shared" si="252"/>
        <v>=12</v>
      </c>
      <c r="R244" s="1" t="str">
        <f t="shared" si="252"/>
        <v>=25</v>
      </c>
      <c r="S244" s="1" t="str">
        <f t="shared" si="252"/>
        <v>=30</v>
      </c>
      <c r="T244" s="1" t="str">
        <f t="shared" si="252"/>
        <v>=1</v>
      </c>
      <c r="U244" s="1" t="str">
        <f t="shared" si="252"/>
        <v>=7</v>
      </c>
      <c r="V244" s="1" t="str">
        <f t="shared" si="252"/>
        <v>54</v>
      </c>
      <c r="W244" s="1" t="str">
        <f t="shared" si="252"/>
        <v>19</v>
      </c>
      <c r="X244" s="1" t="str">
        <f t="shared" si="252"/>
        <v>=58</v>
      </c>
      <c r="Y244" s="1" t="str">
        <f t="shared" si="252"/>
        <v>=56</v>
      </c>
      <c r="Z244" s="1" t="str">
        <f t="shared" si="252"/>
        <v>53</v>
      </c>
      <c r="AA244" s="1" t="str">
        <f t="shared" si="252"/>
        <v>=12</v>
      </c>
      <c r="AB244" s="1" t="str">
        <f t="shared" si="252"/>
        <v>4</v>
      </c>
      <c r="AC244" s="1" t="str">
        <f t="shared" si="252"/>
        <v>=56</v>
      </c>
      <c r="AD244" s="1" t="str">
        <f t="shared" si="252"/>
        <v>=7</v>
      </c>
      <c r="AE244" s="1" t="str">
        <f t="shared" si="252"/>
        <v>=40</v>
      </c>
      <c r="AF244" s="1" t="str">
        <f t="shared" si="252"/>
        <v>=23</v>
      </c>
      <c r="AG244" s="1" t="str">
        <f t="shared" si="252"/>
        <v>=51</v>
      </c>
      <c r="AH244" s="1" t="str">
        <f t="shared" ref="AH244:BJ244" si="253">IF(AH179&gt;1,"=","")&amp;AH114</f>
        <v>=12</v>
      </c>
      <c r="AI244" s="1" t="str">
        <f t="shared" si="253"/>
        <v>42</v>
      </c>
      <c r="AJ244" s="1" t="str">
        <f t="shared" si="253"/>
        <v>=34</v>
      </c>
      <c r="AK244" s="1" t="str">
        <f t="shared" si="253"/>
        <v>=28</v>
      </c>
      <c r="AL244" s="1" t="str">
        <f t="shared" si="253"/>
        <v>=37</v>
      </c>
      <c r="AM244" s="1" t="str">
        <f t="shared" si="253"/>
        <v>49</v>
      </c>
      <c r="AN244" s="1" t="str">
        <f t="shared" si="253"/>
        <v>=7</v>
      </c>
      <c r="AO244" s="1" t="str">
        <f t="shared" si="253"/>
        <v>43</v>
      </c>
      <c r="AP244" s="1" t="str">
        <f t="shared" si="253"/>
        <v>=44</v>
      </c>
      <c r="AQ244" s="1" t="str">
        <f t="shared" si="253"/>
        <v>=32</v>
      </c>
      <c r="AR244" s="1" t="str">
        <f t="shared" si="253"/>
        <v>=58</v>
      </c>
      <c r="AS244" s="1" t="str">
        <f t="shared" si="253"/>
        <v>=34</v>
      </c>
      <c r="AT244" s="1" t="str">
        <f t="shared" si="253"/>
        <v>=40</v>
      </c>
      <c r="AU244" s="1" t="str">
        <f t="shared" si="253"/>
        <v>50</v>
      </c>
      <c r="AV244" s="1" t="str">
        <f t="shared" si="253"/>
        <v>=32</v>
      </c>
      <c r="AW244" s="1" t="str">
        <f t="shared" si="253"/>
        <v>=12</v>
      </c>
      <c r="AX244" s="1" t="str">
        <f t="shared" si="253"/>
        <v>=1</v>
      </c>
      <c r="AY244" s="1" t="str">
        <f t="shared" si="253"/>
        <v>=7</v>
      </c>
      <c r="AZ244" s="1" t="str">
        <f t="shared" si="253"/>
        <v>=30</v>
      </c>
      <c r="BA244" s="1" t="str">
        <f t="shared" si="253"/>
        <v>=12</v>
      </c>
      <c r="BB244" s="1" t="str">
        <f t="shared" si="253"/>
        <v>5</v>
      </c>
      <c r="BC244" s="1" t="str">
        <f t="shared" si="253"/>
        <v>=34</v>
      </c>
      <c r="BD244" s="1" t="str">
        <f t="shared" si="253"/>
        <v>=7</v>
      </c>
      <c r="BE244" s="1" t="str">
        <f t="shared" si="253"/>
        <v>=25</v>
      </c>
      <c r="BF244" s="1" t="str">
        <f t="shared" si="253"/>
        <v>=12</v>
      </c>
      <c r="BG244" s="1" t="str">
        <f t="shared" si="253"/>
        <v>=12</v>
      </c>
      <c r="BH244" s="1" t="str">
        <f t="shared" si="253"/>
        <v>=20</v>
      </c>
      <c r="BI244" s="1" t="str">
        <f t="shared" si="253"/>
        <v>55</v>
      </c>
      <c r="BJ244" s="1" t="str">
        <f t="shared" si="253"/>
        <v>=7</v>
      </c>
    </row>
    <row r="245" spans="1:62">
      <c r="A245" s="1" t="str">
        <f t="shared" si="221"/>
        <v>   4.1.7) Political stability risk</v>
      </c>
      <c r="B245" s="1" t="str">
        <f t="shared" ref="B245:AG245" si="254">IF(B180&gt;1,"=","")&amp;B115</f>
        <v>=40</v>
      </c>
      <c r="C245" s="1" t="str">
        <f t="shared" si="254"/>
        <v>=10</v>
      </c>
      <c r="D245" s="1" t="str">
        <f t="shared" si="254"/>
        <v>=23</v>
      </c>
      <c r="E245" s="1" t="str">
        <f t="shared" si="254"/>
        <v>=53</v>
      </c>
      <c r="F245" s="1" t="str">
        <f t="shared" si="254"/>
        <v>=23</v>
      </c>
      <c r="G245" s="1" t="str">
        <f t="shared" si="254"/>
        <v>=47</v>
      </c>
      <c r="H245" s="1" t="str">
        <f t="shared" si="254"/>
        <v>=26</v>
      </c>
      <c r="I245" s="1" t="str">
        <f t="shared" si="254"/>
        <v>=19</v>
      </c>
      <c r="J245" s="1" t="str">
        <f t="shared" si="254"/>
        <v>=32</v>
      </c>
      <c r="K245" s="1" t="str">
        <f t="shared" si="254"/>
        <v>=42</v>
      </c>
      <c r="L245" s="1" t="str">
        <f t="shared" si="254"/>
        <v>60</v>
      </c>
      <c r="M245" s="1" t="str">
        <f t="shared" si="254"/>
        <v>=53</v>
      </c>
      <c r="N245" s="1" t="str">
        <f t="shared" si="254"/>
        <v>=10</v>
      </c>
      <c r="O245" s="1" t="str">
        <f t="shared" si="254"/>
        <v>=10</v>
      </c>
      <c r="P245" s="1" t="str">
        <f t="shared" si="254"/>
        <v>=19</v>
      </c>
      <c r="Q245" s="1" t="str">
        <f t="shared" si="254"/>
        <v>=47</v>
      </c>
      <c r="R245" s="1" t="str">
        <f t="shared" si="254"/>
        <v>=32</v>
      </c>
      <c r="S245" s="1" t="str">
        <f t="shared" si="254"/>
        <v>=4</v>
      </c>
      <c r="T245" s="1" t="str">
        <f t="shared" si="254"/>
        <v>=47</v>
      </c>
      <c r="U245" s="1" t="str">
        <f t="shared" si="254"/>
        <v>=32</v>
      </c>
      <c r="V245" s="1" t="str">
        <f t="shared" si="254"/>
        <v>58</v>
      </c>
      <c r="W245" s="1" t="str">
        <f t="shared" si="254"/>
        <v>=32</v>
      </c>
      <c r="X245" s="1" t="str">
        <f t="shared" si="254"/>
        <v>=47</v>
      </c>
      <c r="Y245" s="1" t="str">
        <f t="shared" si="254"/>
        <v>=26</v>
      </c>
      <c r="Z245" s="1" t="str">
        <f t="shared" si="254"/>
        <v>=53</v>
      </c>
      <c r="AA245" s="1" t="str">
        <f t="shared" si="254"/>
        <v>=26</v>
      </c>
      <c r="AB245" s="1" t="str">
        <f t="shared" si="254"/>
        <v>=53</v>
      </c>
      <c r="AC245" s="1" t="str">
        <f t="shared" si="254"/>
        <v>=26</v>
      </c>
      <c r="AD245" s="1" t="str">
        <f t="shared" si="254"/>
        <v>=19</v>
      </c>
      <c r="AE245" s="1" t="str">
        <f t="shared" si="254"/>
        <v>=10</v>
      </c>
      <c r="AF245" s="1" t="str">
        <f t="shared" si="254"/>
        <v>=23</v>
      </c>
      <c r="AG245" s="1" t="str">
        <f t="shared" si="254"/>
        <v>=42</v>
      </c>
      <c r="AH245" s="1" t="str">
        <f t="shared" ref="AH245:BJ245" si="255">IF(AH180&gt;1,"=","")&amp;AH115</f>
        <v>=2</v>
      </c>
      <c r="AI245" s="1" t="str">
        <f t="shared" si="255"/>
        <v>=42</v>
      </c>
      <c r="AJ245" s="1" t="str">
        <f t="shared" si="255"/>
        <v>=32</v>
      </c>
      <c r="AK245" s="1" t="str">
        <f t="shared" si="255"/>
        <v>=53</v>
      </c>
      <c r="AL245" s="1" t="str">
        <f t="shared" si="255"/>
        <v>=19</v>
      </c>
      <c r="AM245" s="1" t="str">
        <f t="shared" si="255"/>
        <v>=10</v>
      </c>
      <c r="AN245" s="1" t="str">
        <f t="shared" si="255"/>
        <v>=4</v>
      </c>
      <c r="AO245" s="1" t="str">
        <f t="shared" si="255"/>
        <v>=26</v>
      </c>
      <c r="AP245" s="1" t="str">
        <f t="shared" si="255"/>
        <v>=42</v>
      </c>
      <c r="AQ245" s="1" t="str">
        <f t="shared" si="255"/>
        <v>=32</v>
      </c>
      <c r="AR245" s="1" t="str">
        <f t="shared" si="255"/>
        <v>=47</v>
      </c>
      <c r="AS245" s="1" t="str">
        <f t="shared" si="255"/>
        <v>=32</v>
      </c>
      <c r="AT245" s="1" t="str">
        <f t="shared" si="255"/>
        <v>=10</v>
      </c>
      <c r="AU245" s="1" t="str">
        <f t="shared" si="255"/>
        <v>=10</v>
      </c>
      <c r="AV245" s="1" t="str">
        <f t="shared" si="255"/>
        <v>=32</v>
      </c>
      <c r="AW245" s="1" t="str">
        <f t="shared" si="255"/>
        <v>=40</v>
      </c>
      <c r="AX245" s="1" t="str">
        <f t="shared" si="255"/>
        <v>=47</v>
      </c>
      <c r="AY245" s="1" t="str">
        <f t="shared" si="255"/>
        <v>=10</v>
      </c>
      <c r="AZ245" s="1" t="str">
        <f t="shared" si="255"/>
        <v>=4</v>
      </c>
      <c r="BA245" s="1" t="str">
        <f t="shared" si="255"/>
        <v>=2</v>
      </c>
      <c r="BB245" s="1" t="str">
        <f t="shared" si="255"/>
        <v>=26</v>
      </c>
      <c r="BC245" s="1" t="str">
        <f t="shared" si="255"/>
        <v>59</v>
      </c>
      <c r="BD245" s="1" t="str">
        <f t="shared" si="255"/>
        <v>=4</v>
      </c>
      <c r="BE245" s="1" t="str">
        <f t="shared" si="255"/>
        <v>1</v>
      </c>
      <c r="BF245" s="1" t="str">
        <f t="shared" si="255"/>
        <v>=10</v>
      </c>
      <c r="BG245" s="1" t="str">
        <f t="shared" si="255"/>
        <v>=4</v>
      </c>
      <c r="BH245" s="1" t="str">
        <f t="shared" si="255"/>
        <v>=42</v>
      </c>
      <c r="BI245" s="1" t="str">
        <f t="shared" si="255"/>
        <v>=4</v>
      </c>
      <c r="BJ245" s="1" t="str">
        <f t="shared" si="255"/>
        <v>=4</v>
      </c>
    </row>
    <row r="246" spans="1:62">
      <c r="A246" s="1" t="str">
        <f t="shared" si="221"/>
        <v>  4.2) Personal security (Outputs)</v>
      </c>
      <c r="B246" s="1" t="str">
        <f t="shared" ref="B246:AG246" si="256">IF(B181&gt;1,"=","")&amp;B116</f>
        <v>10</v>
      </c>
      <c r="C246" s="1" t="str">
        <f t="shared" si="256"/>
        <v>12</v>
      </c>
      <c r="D246" s="1" t="str">
        <f t="shared" si="256"/>
        <v>36</v>
      </c>
      <c r="E246" s="1" t="str">
        <f t="shared" si="256"/>
        <v>50</v>
      </c>
      <c r="F246" s="1" t="str">
        <f t="shared" si="256"/>
        <v>19</v>
      </c>
      <c r="G246" s="1" t="str">
        <f t="shared" si="256"/>
        <v>29</v>
      </c>
      <c r="H246" s="1" t="str">
        <f t="shared" si="256"/>
        <v>58</v>
      </c>
      <c r="I246" s="1" t="str">
        <f t="shared" si="256"/>
        <v>15</v>
      </c>
      <c r="J246" s="1" t="str">
        <f t="shared" si="256"/>
        <v>39</v>
      </c>
      <c r="K246" s="1" t="str">
        <f t="shared" si="256"/>
        <v>47</v>
      </c>
      <c r="L246" s="1" t="str">
        <f t="shared" si="256"/>
        <v>59</v>
      </c>
      <c r="M246" s="1" t="str">
        <f t="shared" si="256"/>
        <v>40</v>
      </c>
      <c r="N246" s="1" t="str">
        <f t="shared" si="256"/>
        <v>27</v>
      </c>
      <c r="O246" s="1" t="str">
        <f t="shared" si="256"/>
        <v>21</v>
      </c>
      <c r="P246" s="1" t="str">
        <f t="shared" si="256"/>
        <v>44</v>
      </c>
      <c r="Q246" s="1" t="str">
        <f t="shared" si="256"/>
        <v>52</v>
      </c>
      <c r="R246" s="1" t="str">
        <f t="shared" si="256"/>
        <v>11</v>
      </c>
      <c r="S246" s="1" t="str">
        <f t="shared" si="256"/>
        <v>14</v>
      </c>
      <c r="T246" s="1" t="str">
        <f t="shared" si="256"/>
        <v>43</v>
      </c>
      <c r="U246" s="1" t="str">
        <f t="shared" si="256"/>
        <v>8</v>
      </c>
      <c r="V246" s="1" t="str">
        <f t="shared" si="256"/>
        <v>51</v>
      </c>
      <c r="W246" s="1" t="str">
        <f t="shared" si="256"/>
        <v>46</v>
      </c>
      <c r="X246" s="1" t="str">
        <f t="shared" si="256"/>
        <v>25</v>
      </c>
      <c r="Y246" s="1" t="str">
        <f t="shared" si="256"/>
        <v>56</v>
      </c>
      <c r="Z246" s="1" t="str">
        <f t="shared" si="256"/>
        <v>60</v>
      </c>
      <c r="AA246" s="1" t="str">
        <f t="shared" si="256"/>
        <v>24</v>
      </c>
      <c r="AB246" s="1" t="str">
        <f t="shared" si="256"/>
        <v>18</v>
      </c>
      <c r="AC246" s="1" t="str">
        <f t="shared" si="256"/>
        <v>49</v>
      </c>
      <c r="AD246" s="1" t="str">
        <f t="shared" si="256"/>
        <v>28</v>
      </c>
      <c r="AE246" s="1" t="str">
        <f t="shared" si="256"/>
        <v>26</v>
      </c>
      <c r="AF246" s="1" t="str">
        <f t="shared" si="256"/>
        <v>17</v>
      </c>
      <c r="AG246" s="1" t="str">
        <f t="shared" si="256"/>
        <v>45</v>
      </c>
      <c r="AH246" s="1" t="str">
        <f t="shared" ref="AH246:BJ246" si="257">IF(AH181&gt;1,"=","")&amp;AH116</f>
        <v>13</v>
      </c>
      <c r="AI246" s="1" t="str">
        <f t="shared" si="257"/>
        <v>57</v>
      </c>
      <c r="AJ246" s="1" t="str">
        <f t="shared" si="257"/>
        <v>35</v>
      </c>
      <c r="AK246" s="1" t="str">
        <f t="shared" si="257"/>
        <v>55</v>
      </c>
      <c r="AL246" s="1" t="str">
        <f t="shared" si="257"/>
        <v>41</v>
      </c>
      <c r="AM246" s="1" t="str">
        <f t="shared" si="257"/>
        <v>34</v>
      </c>
      <c r="AN246" s="1" t="str">
        <f t="shared" si="257"/>
        <v>=6</v>
      </c>
      <c r="AO246" s="1" t="str">
        <f t="shared" si="257"/>
        <v>33</v>
      </c>
      <c r="AP246" s="1" t="str">
        <f t="shared" si="257"/>
        <v>48</v>
      </c>
      <c r="AQ246" s="1" t="str">
        <f t="shared" si="257"/>
        <v>54</v>
      </c>
      <c r="AR246" s="1" t="str">
        <f t="shared" si="257"/>
        <v>20</v>
      </c>
      <c r="AS246" s="1" t="str">
        <f t="shared" si="257"/>
        <v>38</v>
      </c>
      <c r="AT246" s="1" t="str">
        <f t="shared" si="257"/>
        <v>22</v>
      </c>
      <c r="AU246" s="1" t="str">
        <f t="shared" si="257"/>
        <v>31</v>
      </c>
      <c r="AV246" s="1" t="str">
        <f t="shared" si="257"/>
        <v>53</v>
      </c>
      <c r="AW246" s="1" t="str">
        <f t="shared" si="257"/>
        <v>16</v>
      </c>
      <c r="AX246" s="1" t="str">
        <f t="shared" si="257"/>
        <v>32</v>
      </c>
      <c r="AY246" s="1" t="str">
        <f t="shared" si="257"/>
        <v>1</v>
      </c>
      <c r="AZ246" s="1" t="str">
        <f t="shared" si="257"/>
        <v>2</v>
      </c>
      <c r="BA246" s="1" t="str">
        <f t="shared" si="257"/>
        <v>23</v>
      </c>
      <c r="BB246" s="1" t="str">
        <f t="shared" si="257"/>
        <v>9</v>
      </c>
      <c r="BC246" s="1" t="str">
        <f t="shared" si="257"/>
        <v>37</v>
      </c>
      <c r="BD246" s="1" t="str">
        <f t="shared" si="257"/>
        <v>7</v>
      </c>
      <c r="BE246" s="1" t="str">
        <f t="shared" si="257"/>
        <v>4</v>
      </c>
      <c r="BF246" s="1" t="str">
        <f t="shared" si="257"/>
        <v>30</v>
      </c>
      <c r="BG246" s="1" t="str">
        <f t="shared" si="257"/>
        <v>3</v>
      </c>
      <c r="BH246" s="1" t="str">
        <f t="shared" si="257"/>
        <v>42</v>
      </c>
      <c r="BI246" s="1" t="str">
        <f t="shared" si="257"/>
        <v>5</v>
      </c>
      <c r="BJ246" s="1" t="str">
        <f t="shared" si="257"/>
        <v>=6</v>
      </c>
    </row>
    <row r="247" spans="1:62">
      <c r="A247" s="1" t="str">
        <f t="shared" si="221"/>
        <v>   4.2.1) Prevalence of petty crime</v>
      </c>
      <c r="B247" s="1" t="str">
        <f t="shared" ref="B247:AG247" si="258">IF(B182&gt;1,"=","")&amp;B117</f>
        <v>=3</v>
      </c>
      <c r="C247" s="1" t="str">
        <f t="shared" si="258"/>
        <v>=31</v>
      </c>
      <c r="D247" s="1" t="str">
        <f t="shared" si="258"/>
        <v>=3</v>
      </c>
      <c r="E247" s="1" t="str">
        <f t="shared" si="258"/>
        <v>=31</v>
      </c>
      <c r="F247" s="1" t="str">
        <f t="shared" si="258"/>
        <v>=3</v>
      </c>
      <c r="G247" s="1" t="str">
        <f t="shared" si="258"/>
        <v>=31</v>
      </c>
      <c r="H247" s="1" t="str">
        <f t="shared" si="258"/>
        <v>=56</v>
      </c>
      <c r="I247" s="1" t="str">
        <f t="shared" si="258"/>
        <v>=3</v>
      </c>
      <c r="J247" s="1" t="str">
        <f t="shared" si="258"/>
        <v>=31</v>
      </c>
      <c r="K247" s="1" t="str">
        <f t="shared" si="258"/>
        <v>=31</v>
      </c>
      <c r="L247" s="1" t="str">
        <f t="shared" si="258"/>
        <v>=56</v>
      </c>
      <c r="M247" s="1" t="str">
        <f t="shared" si="258"/>
        <v>=3</v>
      </c>
      <c r="N247" s="1" t="str">
        <f t="shared" si="258"/>
        <v>=3</v>
      </c>
      <c r="O247" s="1" t="str">
        <f t="shared" si="258"/>
        <v>=3</v>
      </c>
      <c r="P247" s="1" t="str">
        <f t="shared" si="258"/>
        <v>=31</v>
      </c>
      <c r="Q247" s="1" t="str">
        <f t="shared" si="258"/>
        <v>=31</v>
      </c>
      <c r="R247" s="1" t="str">
        <f t="shared" si="258"/>
        <v>=3</v>
      </c>
      <c r="S247" s="1" t="str">
        <f t="shared" si="258"/>
        <v>=3</v>
      </c>
      <c r="T247" s="1" t="str">
        <f t="shared" si="258"/>
        <v>=50</v>
      </c>
      <c r="U247" s="1" t="str">
        <f t="shared" si="258"/>
        <v>=3</v>
      </c>
      <c r="V247" s="1" t="str">
        <f t="shared" si="258"/>
        <v>=31</v>
      </c>
      <c r="W247" s="1" t="str">
        <f t="shared" si="258"/>
        <v>=50</v>
      </c>
      <c r="X247" s="1" t="str">
        <f t="shared" si="258"/>
        <v>=3</v>
      </c>
      <c r="Y247" s="1" t="str">
        <f t="shared" si="258"/>
        <v>=56</v>
      </c>
      <c r="Z247" s="1" t="str">
        <f t="shared" si="258"/>
        <v>=50</v>
      </c>
      <c r="AA247" s="1" t="str">
        <f t="shared" si="258"/>
        <v>=31</v>
      </c>
      <c r="AB247" s="1" t="str">
        <f t="shared" si="258"/>
        <v>=3</v>
      </c>
      <c r="AC247" s="1" t="str">
        <f t="shared" si="258"/>
        <v>=31</v>
      </c>
      <c r="AD247" s="1" t="str">
        <f t="shared" si="258"/>
        <v>=31</v>
      </c>
      <c r="AE247" s="1" t="str">
        <f t="shared" si="258"/>
        <v>=3</v>
      </c>
      <c r="AF247" s="1" t="str">
        <f t="shared" si="258"/>
        <v>=3</v>
      </c>
      <c r="AG247" s="1" t="str">
        <f t="shared" si="258"/>
        <v>=31</v>
      </c>
      <c r="AH247" s="1" t="str">
        <f t="shared" ref="AH247:BJ247" si="259">IF(AH182&gt;1,"=","")&amp;AH117</f>
        <v>=3</v>
      </c>
      <c r="AI247" s="1" t="str">
        <f t="shared" si="259"/>
        <v>=56</v>
      </c>
      <c r="AJ247" s="1" t="str">
        <f t="shared" si="259"/>
        <v>=3</v>
      </c>
      <c r="AK247" s="1" t="str">
        <f t="shared" si="259"/>
        <v>=31</v>
      </c>
      <c r="AL247" s="1" t="str">
        <f t="shared" si="259"/>
        <v>=50</v>
      </c>
      <c r="AM247" s="1" t="str">
        <f t="shared" si="259"/>
        <v>=31</v>
      </c>
      <c r="AN247" s="1" t="str">
        <f t="shared" si="259"/>
        <v>=3</v>
      </c>
      <c r="AO247" s="1" t="str">
        <f t="shared" si="259"/>
        <v>=3</v>
      </c>
      <c r="AP247" s="1" t="str">
        <f t="shared" si="259"/>
        <v>=56</v>
      </c>
      <c r="AQ247" s="1" t="str">
        <f t="shared" si="259"/>
        <v>=50</v>
      </c>
      <c r="AR247" s="1" t="str">
        <f t="shared" si="259"/>
        <v>=3</v>
      </c>
      <c r="AS247" s="1" t="str">
        <f t="shared" si="259"/>
        <v>=31</v>
      </c>
      <c r="AT247" s="1" t="str">
        <f t="shared" si="259"/>
        <v>=3</v>
      </c>
      <c r="AU247" s="1" t="str">
        <f t="shared" si="259"/>
        <v>=31</v>
      </c>
      <c r="AV247" s="1" t="str">
        <f t="shared" si="259"/>
        <v>=50</v>
      </c>
      <c r="AW247" s="1" t="str">
        <f t="shared" si="259"/>
        <v>=3</v>
      </c>
      <c r="AX247" s="1" t="str">
        <f t="shared" si="259"/>
        <v>=31</v>
      </c>
      <c r="AY247" s="1" t="str">
        <f t="shared" si="259"/>
        <v>=1</v>
      </c>
      <c r="AZ247" s="1" t="str">
        <f t="shared" si="259"/>
        <v>=3</v>
      </c>
      <c r="BA247" s="1" t="str">
        <f t="shared" si="259"/>
        <v>=3</v>
      </c>
      <c r="BB247" s="1" t="str">
        <f t="shared" si="259"/>
        <v>=3</v>
      </c>
      <c r="BC247" s="1" t="str">
        <f t="shared" si="259"/>
        <v>=31</v>
      </c>
      <c r="BD247" s="1" t="str">
        <f t="shared" si="259"/>
        <v>=3</v>
      </c>
      <c r="BE247" s="1" t="str">
        <f t="shared" si="259"/>
        <v>=1</v>
      </c>
      <c r="BF247" s="1" t="str">
        <f t="shared" si="259"/>
        <v>=3</v>
      </c>
      <c r="BG247" s="1" t="str">
        <f t="shared" si="259"/>
        <v>=3</v>
      </c>
      <c r="BH247" s="1" t="str">
        <f t="shared" si="259"/>
        <v>=31</v>
      </c>
      <c r="BI247" s="1" t="str">
        <f t="shared" si="259"/>
        <v>=3</v>
      </c>
      <c r="BJ247" s="1" t="str">
        <f t="shared" si="259"/>
        <v>=3</v>
      </c>
    </row>
    <row r="248" spans="1:62">
      <c r="A248" s="1" t="str">
        <f t="shared" si="221"/>
        <v>   4.2.2) Prevalence of violent crime</v>
      </c>
      <c r="B248" s="1" t="str">
        <f t="shared" ref="B248:AG248" si="260">IF(B183&gt;1,"=","")&amp;B118</f>
        <v>=1</v>
      </c>
      <c r="C248" s="1" t="str">
        <f t="shared" si="260"/>
        <v>=17</v>
      </c>
      <c r="D248" s="1" t="str">
        <f t="shared" si="260"/>
        <v>=1</v>
      </c>
      <c r="E248" s="1" t="str">
        <f t="shared" si="260"/>
        <v>=17</v>
      </c>
      <c r="F248" s="1" t="str">
        <f t="shared" si="260"/>
        <v>=17</v>
      </c>
      <c r="G248" s="1" t="str">
        <f t="shared" si="260"/>
        <v>=17</v>
      </c>
      <c r="H248" s="1" t="str">
        <f t="shared" si="260"/>
        <v>=53</v>
      </c>
      <c r="I248" s="1" t="str">
        <f t="shared" si="260"/>
        <v>=17</v>
      </c>
      <c r="J248" s="1" t="str">
        <f t="shared" si="260"/>
        <v>=45</v>
      </c>
      <c r="K248" s="1" t="str">
        <f t="shared" si="260"/>
        <v>=17</v>
      </c>
      <c r="L248" s="1" t="str">
        <f t="shared" si="260"/>
        <v>=59</v>
      </c>
      <c r="M248" s="1" t="str">
        <f t="shared" si="260"/>
        <v>=17</v>
      </c>
      <c r="N248" s="1" t="str">
        <f t="shared" si="260"/>
        <v>=17</v>
      </c>
      <c r="O248" s="1" t="str">
        <f t="shared" si="260"/>
        <v>=45</v>
      </c>
      <c r="P248" s="1" t="str">
        <f t="shared" si="260"/>
        <v>=45</v>
      </c>
      <c r="Q248" s="1" t="str">
        <f t="shared" si="260"/>
        <v>=45</v>
      </c>
      <c r="R248" s="1" t="str">
        <f t="shared" si="260"/>
        <v>=1</v>
      </c>
      <c r="S248" s="1" t="str">
        <f t="shared" si="260"/>
        <v>=17</v>
      </c>
      <c r="T248" s="1" t="str">
        <f t="shared" si="260"/>
        <v>=45</v>
      </c>
      <c r="U248" s="1" t="str">
        <f t="shared" si="260"/>
        <v>=1</v>
      </c>
      <c r="V248" s="1" t="str">
        <f t="shared" si="260"/>
        <v>=45</v>
      </c>
      <c r="W248" s="1" t="str">
        <f t="shared" si="260"/>
        <v>=17</v>
      </c>
      <c r="X248" s="1" t="str">
        <f t="shared" si="260"/>
        <v>=1</v>
      </c>
      <c r="Y248" s="1" t="str">
        <f t="shared" si="260"/>
        <v>=53</v>
      </c>
      <c r="Z248" s="1" t="str">
        <f t="shared" si="260"/>
        <v>=53</v>
      </c>
      <c r="AA248" s="1" t="str">
        <f t="shared" si="260"/>
        <v>=17</v>
      </c>
      <c r="AB248" s="1" t="str">
        <f t="shared" si="260"/>
        <v>=1</v>
      </c>
      <c r="AC248" s="1" t="str">
        <f t="shared" si="260"/>
        <v>=45</v>
      </c>
      <c r="AD248" s="1" t="str">
        <f t="shared" si="260"/>
        <v>=17</v>
      </c>
      <c r="AE248" s="1" t="str">
        <f t="shared" si="260"/>
        <v>=17</v>
      </c>
      <c r="AF248" s="1" t="str">
        <f t="shared" si="260"/>
        <v>=17</v>
      </c>
      <c r="AG248" s="1" t="str">
        <f t="shared" si="260"/>
        <v>=17</v>
      </c>
      <c r="AH248" s="1" t="str">
        <f t="shared" ref="AH248:BJ248" si="261">IF(AH183&gt;1,"=","")&amp;AH118</f>
        <v>=1</v>
      </c>
      <c r="AI248" s="1" t="str">
        <f t="shared" si="261"/>
        <v>=59</v>
      </c>
      <c r="AJ248" s="1" t="str">
        <f t="shared" si="261"/>
        <v>=17</v>
      </c>
      <c r="AK248" s="1" t="str">
        <f t="shared" si="261"/>
        <v>=17</v>
      </c>
      <c r="AL248" s="1" t="str">
        <f t="shared" si="261"/>
        <v>=17</v>
      </c>
      <c r="AM248" s="1" t="str">
        <f t="shared" si="261"/>
        <v>=17</v>
      </c>
      <c r="AN248" s="1" t="str">
        <f t="shared" si="261"/>
        <v>=1</v>
      </c>
      <c r="AO248" s="1" t="str">
        <f t="shared" si="261"/>
        <v>=17</v>
      </c>
      <c r="AP248" s="1" t="str">
        <f t="shared" si="261"/>
        <v>=53</v>
      </c>
      <c r="AQ248" s="1" t="str">
        <f t="shared" si="261"/>
        <v>=53</v>
      </c>
      <c r="AR248" s="1" t="str">
        <f t="shared" si="261"/>
        <v>=1</v>
      </c>
      <c r="AS248" s="1" t="str">
        <f t="shared" si="261"/>
        <v>=17</v>
      </c>
      <c r="AT248" s="1" t="str">
        <f t="shared" si="261"/>
        <v>=17</v>
      </c>
      <c r="AU248" s="1" t="str">
        <f t="shared" si="261"/>
        <v>=45</v>
      </c>
      <c r="AV248" s="1" t="str">
        <f t="shared" si="261"/>
        <v>=53</v>
      </c>
      <c r="AW248" s="1" t="str">
        <f t="shared" si="261"/>
        <v>=1</v>
      </c>
      <c r="AX248" s="1" t="str">
        <f t="shared" si="261"/>
        <v>=17</v>
      </c>
      <c r="AY248" s="1" t="str">
        <f t="shared" si="261"/>
        <v>=1</v>
      </c>
      <c r="AZ248" s="1" t="str">
        <f t="shared" si="261"/>
        <v>=1</v>
      </c>
      <c r="BA248" s="1" t="str">
        <f t="shared" si="261"/>
        <v>=17</v>
      </c>
      <c r="BB248" s="1" t="str">
        <f t="shared" si="261"/>
        <v>=17</v>
      </c>
      <c r="BC248" s="1" t="str">
        <f t="shared" si="261"/>
        <v>=17</v>
      </c>
      <c r="BD248" s="1" t="str">
        <f t="shared" si="261"/>
        <v>=1</v>
      </c>
      <c r="BE248" s="1" t="str">
        <f t="shared" si="261"/>
        <v>=1</v>
      </c>
      <c r="BF248" s="1" t="str">
        <f t="shared" si="261"/>
        <v>=17</v>
      </c>
      <c r="BG248" s="1" t="str">
        <f t="shared" si="261"/>
        <v>=1</v>
      </c>
      <c r="BH248" s="1" t="str">
        <f t="shared" si="261"/>
        <v>=17</v>
      </c>
      <c r="BI248" s="1" t="str">
        <f t="shared" si="261"/>
        <v>=1</v>
      </c>
      <c r="BJ248" s="1" t="str">
        <f t="shared" si="261"/>
        <v>=1</v>
      </c>
    </row>
    <row r="249" spans="1:62">
      <c r="A249" s="1" t="str">
        <f t="shared" si="221"/>
        <v>   4.2.3) Organised crime</v>
      </c>
      <c r="B249" s="1" t="str">
        <f t="shared" ref="B249:AG249" si="262">IF(B184&gt;1,"=","")&amp;B119</f>
        <v>=6</v>
      </c>
      <c r="C249" s="1" t="str">
        <f t="shared" si="262"/>
        <v>=1</v>
      </c>
      <c r="D249" s="1" t="str">
        <f t="shared" si="262"/>
        <v>=33</v>
      </c>
      <c r="E249" s="1" t="str">
        <f t="shared" si="262"/>
        <v>=33</v>
      </c>
      <c r="F249" s="1" t="str">
        <f t="shared" si="262"/>
        <v>=6</v>
      </c>
      <c r="G249" s="1" t="str">
        <f t="shared" si="262"/>
        <v>=33</v>
      </c>
      <c r="H249" s="1" t="str">
        <f t="shared" si="262"/>
        <v>=49</v>
      </c>
      <c r="I249" s="1" t="str">
        <f t="shared" si="262"/>
        <v>=6</v>
      </c>
      <c r="J249" s="1" t="str">
        <f t="shared" si="262"/>
        <v>=33</v>
      </c>
      <c r="K249" s="1" t="str">
        <f t="shared" si="262"/>
        <v>=33</v>
      </c>
      <c r="L249" s="1" t="str">
        <f t="shared" si="262"/>
        <v>=59</v>
      </c>
      <c r="M249" s="1" t="str">
        <f t="shared" si="262"/>
        <v>=49</v>
      </c>
      <c r="N249" s="1" t="str">
        <f t="shared" si="262"/>
        <v>=6</v>
      </c>
      <c r="O249" s="1" t="str">
        <f t="shared" si="262"/>
        <v>=6</v>
      </c>
      <c r="P249" s="1" t="str">
        <f t="shared" si="262"/>
        <v>=33</v>
      </c>
      <c r="Q249" s="1" t="str">
        <f t="shared" si="262"/>
        <v>=6</v>
      </c>
      <c r="R249" s="1" t="str">
        <f t="shared" si="262"/>
        <v>=1</v>
      </c>
      <c r="S249" s="1" t="str">
        <f t="shared" si="262"/>
        <v>=6</v>
      </c>
      <c r="T249" s="1" t="str">
        <f t="shared" si="262"/>
        <v>=33</v>
      </c>
      <c r="U249" s="1" t="str">
        <f t="shared" si="262"/>
        <v>=6</v>
      </c>
      <c r="V249" s="1" t="str">
        <f t="shared" si="262"/>
        <v>=33</v>
      </c>
      <c r="W249" s="1" t="str">
        <f t="shared" si="262"/>
        <v>=33</v>
      </c>
      <c r="X249" s="1" t="str">
        <f t="shared" si="262"/>
        <v>=6</v>
      </c>
      <c r="Y249" s="1" t="str">
        <f t="shared" si="262"/>
        <v>=49</v>
      </c>
      <c r="Z249" s="1" t="str">
        <f t="shared" si="262"/>
        <v>=49</v>
      </c>
      <c r="AA249" s="1" t="str">
        <f t="shared" si="262"/>
        <v>=6</v>
      </c>
      <c r="AB249" s="1" t="str">
        <f t="shared" si="262"/>
        <v>=6</v>
      </c>
      <c r="AC249" s="1" t="str">
        <f t="shared" si="262"/>
        <v>=49</v>
      </c>
      <c r="AD249" s="1" t="str">
        <f t="shared" si="262"/>
        <v>=6</v>
      </c>
      <c r="AE249" s="1" t="str">
        <f t="shared" si="262"/>
        <v>=6</v>
      </c>
      <c r="AF249" s="1" t="str">
        <f t="shared" si="262"/>
        <v>=6</v>
      </c>
      <c r="AG249" s="1" t="str">
        <f t="shared" si="262"/>
        <v>=49</v>
      </c>
      <c r="AH249" s="1" t="str">
        <f t="shared" ref="AH249:BJ249" si="263">IF(AH184&gt;1,"=","")&amp;AH119</f>
        <v>=6</v>
      </c>
      <c r="AI249" s="1" t="str">
        <f t="shared" si="263"/>
        <v>=59</v>
      </c>
      <c r="AJ249" s="1" t="str">
        <f t="shared" si="263"/>
        <v>=49</v>
      </c>
      <c r="AK249" s="1" t="str">
        <f t="shared" si="263"/>
        <v>=49</v>
      </c>
      <c r="AL249" s="1" t="str">
        <f t="shared" si="263"/>
        <v>=33</v>
      </c>
      <c r="AM249" s="1" t="str">
        <f t="shared" si="263"/>
        <v>=6</v>
      </c>
      <c r="AN249" s="1" t="str">
        <f t="shared" si="263"/>
        <v>=33</v>
      </c>
      <c r="AO249" s="1" t="str">
        <f t="shared" si="263"/>
        <v>=6</v>
      </c>
      <c r="AP249" s="1" t="str">
        <f t="shared" si="263"/>
        <v>=33</v>
      </c>
      <c r="AQ249" s="1" t="str">
        <f t="shared" si="263"/>
        <v>=33</v>
      </c>
      <c r="AR249" s="1" t="str">
        <f t="shared" si="263"/>
        <v>=6</v>
      </c>
      <c r="AS249" s="1" t="str">
        <f t="shared" si="263"/>
        <v>=49</v>
      </c>
      <c r="AT249" s="1" t="str">
        <f t="shared" si="263"/>
        <v>=6</v>
      </c>
      <c r="AU249" s="1" t="str">
        <f t="shared" si="263"/>
        <v>=6</v>
      </c>
      <c r="AV249" s="1" t="str">
        <f t="shared" si="263"/>
        <v>=33</v>
      </c>
      <c r="AW249" s="1" t="str">
        <f t="shared" si="263"/>
        <v>=6</v>
      </c>
      <c r="AX249" s="1" t="str">
        <f t="shared" si="263"/>
        <v>=33</v>
      </c>
      <c r="AY249" s="1" t="str">
        <f t="shared" si="263"/>
        <v>=1</v>
      </c>
      <c r="AZ249" s="1" t="str">
        <f t="shared" si="263"/>
        <v>=1</v>
      </c>
      <c r="BA249" s="1" t="str">
        <f t="shared" si="263"/>
        <v>=6</v>
      </c>
      <c r="BB249" s="1" t="str">
        <f t="shared" si="263"/>
        <v>=6</v>
      </c>
      <c r="BC249" s="1" t="str">
        <f t="shared" si="263"/>
        <v>=6</v>
      </c>
      <c r="BD249" s="1" t="str">
        <f t="shared" si="263"/>
        <v>=33</v>
      </c>
      <c r="BE249" s="1" t="str">
        <f t="shared" si="263"/>
        <v>=6</v>
      </c>
      <c r="BF249" s="1" t="str">
        <f t="shared" si="263"/>
        <v>=6</v>
      </c>
      <c r="BG249" s="1" t="str">
        <f t="shared" si="263"/>
        <v>=1</v>
      </c>
      <c r="BH249" s="1" t="str">
        <f t="shared" si="263"/>
        <v>=49</v>
      </c>
      <c r="BI249" s="1" t="str">
        <f t="shared" si="263"/>
        <v>=6</v>
      </c>
      <c r="BJ249" s="1" t="str">
        <f t="shared" si="263"/>
        <v>=33</v>
      </c>
    </row>
    <row r="250" spans="1:62">
      <c r="A250" s="1" t="str">
        <f t="shared" si="221"/>
        <v>   4.2.4) Level of corruption</v>
      </c>
      <c r="B250" s="1" t="str">
        <f t="shared" ref="B250:AG250" si="264">IF(B185&gt;1,"=","")&amp;B120</f>
        <v>=22</v>
      </c>
      <c r="C250" s="1" t="str">
        <f t="shared" si="264"/>
        <v>5</v>
      </c>
      <c r="D250" s="1" t="str">
        <f t="shared" si="264"/>
        <v>35</v>
      </c>
      <c r="E250" s="1" t="str">
        <f t="shared" si="264"/>
        <v>=48</v>
      </c>
      <c r="F250" s="1" t="str">
        <f t="shared" si="264"/>
        <v>=26</v>
      </c>
      <c r="G250" s="1" t="str">
        <f t="shared" si="264"/>
        <v>=38</v>
      </c>
      <c r="H250" s="1" t="str">
        <f t="shared" si="264"/>
        <v>=44</v>
      </c>
      <c r="I250" s="1" t="str">
        <f t="shared" si="264"/>
        <v>=11</v>
      </c>
      <c r="J250" s="1" t="str">
        <f t="shared" si="264"/>
        <v>47</v>
      </c>
      <c r="K250" s="1" t="str">
        <f t="shared" si="264"/>
        <v>51</v>
      </c>
      <c r="L250" s="1" t="str">
        <f t="shared" si="264"/>
        <v>60</v>
      </c>
      <c r="M250" s="1" t="str">
        <f t="shared" si="264"/>
        <v>=44</v>
      </c>
      <c r="N250" s="1" t="str">
        <f t="shared" si="264"/>
        <v>=13</v>
      </c>
      <c r="O250" s="1" t="str">
        <f t="shared" si="264"/>
        <v>=13</v>
      </c>
      <c r="P250" s="1" t="str">
        <f t="shared" si="264"/>
        <v>=38</v>
      </c>
      <c r="Q250" s="1" t="str">
        <f t="shared" si="264"/>
        <v>59</v>
      </c>
      <c r="R250" s="1" t="str">
        <f t="shared" si="264"/>
        <v>=24</v>
      </c>
      <c r="S250" s="1" t="str">
        <f t="shared" si="264"/>
        <v>=7</v>
      </c>
      <c r="T250" s="1" t="str">
        <f t="shared" si="264"/>
        <v>52</v>
      </c>
      <c r="U250" s="1" t="str">
        <f t="shared" si="264"/>
        <v>=11</v>
      </c>
      <c r="V250" s="1" t="str">
        <f t="shared" si="264"/>
        <v>=36</v>
      </c>
      <c r="W250" s="1" t="str">
        <f t="shared" si="264"/>
        <v>=44</v>
      </c>
      <c r="X250" s="1" t="str">
        <f t="shared" si="264"/>
        <v>=32</v>
      </c>
      <c r="Y250" s="1" t="str">
        <f t="shared" si="264"/>
        <v>34</v>
      </c>
      <c r="Z250" s="1" t="str">
        <f t="shared" si="264"/>
        <v>53</v>
      </c>
      <c r="AA250" s="1" t="str">
        <f t="shared" si="264"/>
        <v>29</v>
      </c>
      <c r="AB250" s="1" t="str">
        <f t="shared" si="264"/>
        <v>=36</v>
      </c>
      <c r="AC250" s="1" t="str">
        <f t="shared" si="264"/>
        <v>=48</v>
      </c>
      <c r="AD250" s="1" t="str">
        <f t="shared" si="264"/>
        <v>=7</v>
      </c>
      <c r="AE250" s="1" t="str">
        <f t="shared" si="264"/>
        <v>=13</v>
      </c>
      <c r="AF250" s="1" t="str">
        <f t="shared" si="264"/>
        <v>=26</v>
      </c>
      <c r="AG250" s="1" t="str">
        <f t="shared" si="264"/>
        <v>=48</v>
      </c>
      <c r="AH250" s="1" t="str">
        <f t="shared" ref="AH250:BJ250" si="265">IF(AH185&gt;1,"=","")&amp;AH120</f>
        <v>=9</v>
      </c>
      <c r="AI250" s="1" t="str">
        <f t="shared" si="265"/>
        <v>55</v>
      </c>
      <c r="AJ250" s="1" t="str">
        <f t="shared" si="265"/>
        <v>=30</v>
      </c>
      <c r="AK250" s="1" t="str">
        <f t="shared" si="265"/>
        <v>=56</v>
      </c>
      <c r="AL250" s="1" t="str">
        <f t="shared" si="265"/>
        <v>=38</v>
      </c>
      <c r="AM250" s="1" t="str">
        <f t="shared" si="265"/>
        <v>=13</v>
      </c>
      <c r="AN250" s="1" t="str">
        <f t="shared" si="265"/>
        <v>=19</v>
      </c>
      <c r="AO250" s="1" t="str">
        <f t="shared" si="265"/>
        <v>21</v>
      </c>
      <c r="AP250" s="1" t="str">
        <f t="shared" si="265"/>
        <v>54</v>
      </c>
      <c r="AQ250" s="1" t="str">
        <f t="shared" si="265"/>
        <v>=38</v>
      </c>
      <c r="AR250" s="1" t="str">
        <f t="shared" si="265"/>
        <v>=32</v>
      </c>
      <c r="AS250" s="1" t="str">
        <f t="shared" si="265"/>
        <v>=30</v>
      </c>
      <c r="AT250" s="1" t="str">
        <f t="shared" si="265"/>
        <v>=13</v>
      </c>
      <c r="AU250" s="1" t="str">
        <f t="shared" si="265"/>
        <v>=22</v>
      </c>
      <c r="AV250" s="1" t="str">
        <f t="shared" si="265"/>
        <v>=38</v>
      </c>
      <c r="AW250" s="1" t="str">
        <f t="shared" si="265"/>
        <v>28</v>
      </c>
      <c r="AX250" s="1" t="str">
        <f t="shared" si="265"/>
        <v>=38</v>
      </c>
      <c r="AY250" s="1" t="str">
        <f t="shared" si="265"/>
        <v>4</v>
      </c>
      <c r="AZ250" s="1" t="str">
        <f t="shared" si="265"/>
        <v>2</v>
      </c>
      <c r="BA250" s="1" t="str">
        <f t="shared" si="265"/>
        <v>=9</v>
      </c>
      <c r="BB250" s="1" t="str">
        <f t="shared" si="265"/>
        <v>=24</v>
      </c>
      <c r="BC250" s="1" t="str">
        <f t="shared" si="265"/>
        <v>=56</v>
      </c>
      <c r="BD250" s="1" t="str">
        <f t="shared" si="265"/>
        <v>=19</v>
      </c>
      <c r="BE250" s="1" t="str">
        <f t="shared" si="265"/>
        <v>6</v>
      </c>
      <c r="BF250" s="1" t="str">
        <f t="shared" si="265"/>
        <v>=13</v>
      </c>
      <c r="BG250" s="1" t="str">
        <f t="shared" si="265"/>
        <v>1</v>
      </c>
      <c r="BH250" s="1" t="str">
        <f t="shared" si="265"/>
        <v>58</v>
      </c>
      <c r="BI250" s="1" t="str">
        <f t="shared" si="265"/>
        <v>3</v>
      </c>
      <c r="BJ250" s="1" t="str">
        <f t="shared" si="265"/>
        <v>=19</v>
      </c>
    </row>
    <row r="251" spans="1:62">
      <c r="A251" s="1" t="str">
        <f t="shared" si="221"/>
        <v>   4.2.5) Rate of drug use </v>
      </c>
      <c r="B251" s="1" t="str">
        <f t="shared" ref="B251:AG251" si="266">IF(B186&gt;1,"=","")&amp;B121</f>
        <v>28</v>
      </c>
      <c r="C251" s="1" t="str">
        <f t="shared" si="266"/>
        <v>51</v>
      </c>
      <c r="D251" s="1" t="str">
        <f t="shared" si="266"/>
        <v>18</v>
      </c>
      <c r="E251" s="1" t="str">
        <f t="shared" si="266"/>
        <v>19</v>
      </c>
      <c r="F251" s="1" t="str">
        <f t="shared" si="266"/>
        <v>=48</v>
      </c>
      <c r="G251" s="1" t="str">
        <f t="shared" si="266"/>
        <v>=1</v>
      </c>
      <c r="H251" s="1" t="str">
        <f t="shared" si="266"/>
        <v>26</v>
      </c>
      <c r="I251" s="1" t="str">
        <f t="shared" si="266"/>
        <v>33</v>
      </c>
      <c r="J251" s="1" t="str">
        <f t="shared" si="266"/>
        <v>31</v>
      </c>
      <c r="K251" s="1" t="str">
        <f t="shared" si="266"/>
        <v>36</v>
      </c>
      <c r="L251" s="1" t="str">
        <f t="shared" si="266"/>
        <v>27</v>
      </c>
      <c r="M251" s="1" t="str">
        <f t="shared" si="266"/>
        <v>25</v>
      </c>
      <c r="N251" s="1" t="str">
        <f t="shared" si="266"/>
        <v>44</v>
      </c>
      <c r="O251" s="1" t="str">
        <f t="shared" si="266"/>
        <v>34</v>
      </c>
      <c r="P251" s="1" t="str">
        <f t="shared" si="266"/>
        <v>=29</v>
      </c>
      <c r="Q251" s="1" t="str">
        <f t="shared" si="266"/>
        <v>24</v>
      </c>
      <c r="R251" s="1" t="str">
        <f t="shared" si="266"/>
        <v>17</v>
      </c>
      <c r="S251" s="1" t="str">
        <f t="shared" si="266"/>
        <v>47</v>
      </c>
      <c r="T251" s="1" t="str">
        <f t="shared" si="266"/>
        <v>9</v>
      </c>
      <c r="U251" s="1" t="str">
        <f t="shared" si="266"/>
        <v>10</v>
      </c>
      <c r="V251" s="1" t="str">
        <f t="shared" si="266"/>
        <v>32</v>
      </c>
      <c r="W251" s="1" t="str">
        <f t="shared" si="266"/>
        <v>12</v>
      </c>
      <c r="X251" s="1" t="str">
        <f t="shared" si="266"/>
        <v>=7</v>
      </c>
      <c r="Y251" s="1" t="str">
        <f t="shared" si="266"/>
        <v>35</v>
      </c>
      <c r="Z251" s="1" t="str">
        <f t="shared" si="266"/>
        <v>42</v>
      </c>
      <c r="AA251" s="1" t="str">
        <f t="shared" si="266"/>
        <v>22</v>
      </c>
      <c r="AB251" s="1" t="str">
        <f t="shared" si="266"/>
        <v>23</v>
      </c>
      <c r="AC251" s="1" t="str">
        <f t="shared" si="266"/>
        <v>21</v>
      </c>
      <c r="AD251" s="1" t="str">
        <f t="shared" si="266"/>
        <v>46</v>
      </c>
      <c r="AE251" s="1" t="str">
        <f t="shared" si="266"/>
        <v>45</v>
      </c>
      <c r="AF251" s="1" t="str">
        <f t="shared" si="266"/>
        <v>=48</v>
      </c>
      <c r="AG251" s="1" t="str">
        <f t="shared" si="266"/>
        <v>20</v>
      </c>
      <c r="AH251" s="1" t="str">
        <f t="shared" ref="AH251:BJ251" si="267">IF(AH186&gt;1,"=","")&amp;AH121</f>
        <v>=59</v>
      </c>
      <c r="AI251" s="1" t="str">
        <f t="shared" si="267"/>
        <v>16</v>
      </c>
      <c r="AJ251" s="1" t="str">
        <f t="shared" si="267"/>
        <v>=57</v>
      </c>
      <c r="AK251" s="1" t="str">
        <f t="shared" si="267"/>
        <v>41</v>
      </c>
      <c r="AL251" s="1" t="str">
        <f t="shared" si="267"/>
        <v>=29</v>
      </c>
      <c r="AM251" s="1" t="str">
        <f t="shared" si="267"/>
        <v>43</v>
      </c>
      <c r="AN251" s="1" t="str">
        <f t="shared" si="267"/>
        <v>=5</v>
      </c>
      <c r="AO251" s="1" t="str">
        <f t="shared" si="267"/>
        <v>50</v>
      </c>
      <c r="AP251" s="1" t="str">
        <f t="shared" si="267"/>
        <v>15</v>
      </c>
      <c r="AQ251" s="1" t="str">
        <f t="shared" si="267"/>
        <v>=39</v>
      </c>
      <c r="AR251" s="1" t="str">
        <f t="shared" si="267"/>
        <v>=7</v>
      </c>
      <c r="AS251" s="1" t="str">
        <f t="shared" si="267"/>
        <v>=57</v>
      </c>
      <c r="AT251" s="1" t="str">
        <f t="shared" si="267"/>
        <v>56</v>
      </c>
      <c r="AU251" s="1" t="str">
        <f t="shared" si="267"/>
        <v>53</v>
      </c>
      <c r="AV251" s="1" t="str">
        <f t="shared" si="267"/>
        <v>=39</v>
      </c>
      <c r="AW251" s="1" t="str">
        <f t="shared" si="267"/>
        <v>3</v>
      </c>
      <c r="AX251" s="1" t="str">
        <f t="shared" si="267"/>
        <v>=1</v>
      </c>
      <c r="AY251" s="1" t="str">
        <f t="shared" si="267"/>
        <v>4</v>
      </c>
      <c r="AZ251" s="1" t="str">
        <f t="shared" si="267"/>
        <v>37</v>
      </c>
      <c r="BA251" s="1" t="str">
        <f t="shared" si="267"/>
        <v>=59</v>
      </c>
      <c r="BB251" s="1" t="str">
        <f t="shared" si="267"/>
        <v>11</v>
      </c>
      <c r="BC251" s="1" t="str">
        <f t="shared" si="267"/>
        <v>14</v>
      </c>
      <c r="BD251" s="1" t="str">
        <f t="shared" si="267"/>
        <v>=5</v>
      </c>
      <c r="BE251" s="1" t="str">
        <f t="shared" si="267"/>
        <v>54</v>
      </c>
      <c r="BF251" s="1" t="str">
        <f t="shared" si="267"/>
        <v>52</v>
      </c>
      <c r="BG251" s="1" t="str">
        <f t="shared" si="267"/>
        <v>55</v>
      </c>
      <c r="BH251" s="1" t="str">
        <f t="shared" si="267"/>
        <v>13</v>
      </c>
      <c r="BI251" s="1" t="str">
        <f t="shared" si="267"/>
        <v>38</v>
      </c>
      <c r="BJ251" s="1" t="str">
        <f t="shared" si="267"/>
        <v>=5</v>
      </c>
    </row>
    <row r="252" spans="1:62">
      <c r="A252" s="1" t="str">
        <f t="shared" si="221"/>
        <v>   4.2.6) Frequency of terrorist attacks </v>
      </c>
      <c r="B252" s="1" t="str">
        <f t="shared" ref="B252:AG252" si="268">IF(B187&gt;1,"=","")&amp;B122</f>
        <v>=14</v>
      </c>
      <c r="C252" s="1" t="str">
        <f t="shared" si="268"/>
        <v>=7</v>
      </c>
      <c r="D252" s="1" t="str">
        <f t="shared" si="268"/>
        <v>58</v>
      </c>
      <c r="E252" s="1" t="str">
        <f t="shared" si="268"/>
        <v>57</v>
      </c>
      <c r="F252" s="1" t="str">
        <f t="shared" si="268"/>
        <v>=1</v>
      </c>
      <c r="G252" s="1" t="str">
        <f t="shared" si="268"/>
        <v>=22</v>
      </c>
      <c r="H252" s="1" t="str">
        <f t="shared" si="268"/>
        <v>54</v>
      </c>
      <c r="I252" s="1" t="str">
        <f t="shared" si="268"/>
        <v>=36</v>
      </c>
      <c r="J252" s="1" t="str">
        <f t="shared" si="268"/>
        <v>=36</v>
      </c>
      <c r="K252" s="1" t="str">
        <f t="shared" si="268"/>
        <v>56</v>
      </c>
      <c r="L252" s="1" t="str">
        <f t="shared" si="268"/>
        <v>39</v>
      </c>
      <c r="M252" s="1" t="str">
        <f t="shared" si="268"/>
        <v>=32</v>
      </c>
      <c r="N252" s="1" t="str">
        <f t="shared" si="268"/>
        <v>=1</v>
      </c>
      <c r="O252" s="1" t="str">
        <f t="shared" si="268"/>
        <v>=14</v>
      </c>
      <c r="P252" s="1" t="str">
        <f t="shared" si="268"/>
        <v>=49</v>
      </c>
      <c r="Q252" s="1" t="str">
        <f t="shared" si="268"/>
        <v>59</v>
      </c>
      <c r="R252" s="1" t="str">
        <f t="shared" si="268"/>
        <v>=7</v>
      </c>
      <c r="S252" s="1" t="str">
        <f t="shared" si="268"/>
        <v>=14</v>
      </c>
      <c r="T252" s="1" t="str">
        <f t="shared" si="268"/>
        <v>=1</v>
      </c>
      <c r="U252" s="1" t="str">
        <f t="shared" si="268"/>
        <v>=25</v>
      </c>
      <c r="V252" s="1" t="str">
        <f t="shared" si="268"/>
        <v>55</v>
      </c>
      <c r="W252" s="1" t="str">
        <f t="shared" si="268"/>
        <v>=46</v>
      </c>
      <c r="X252" s="1" t="str">
        <f t="shared" si="268"/>
        <v>=28</v>
      </c>
      <c r="Y252" s="1" t="str">
        <f t="shared" si="268"/>
        <v>=22</v>
      </c>
      <c r="Z252" s="1" t="str">
        <f t="shared" si="268"/>
        <v>60</v>
      </c>
      <c r="AA252" s="1" t="str">
        <f t="shared" si="268"/>
        <v>=25</v>
      </c>
      <c r="AB252" s="1" t="str">
        <f t="shared" si="268"/>
        <v>=7</v>
      </c>
      <c r="AC252" s="1" t="str">
        <f t="shared" si="268"/>
        <v>=22</v>
      </c>
      <c r="AD252" s="1" t="str">
        <f t="shared" si="268"/>
        <v>45</v>
      </c>
      <c r="AE252" s="1" t="str">
        <f t="shared" si="268"/>
        <v>=32</v>
      </c>
      <c r="AF252" s="1" t="str">
        <f t="shared" si="268"/>
        <v>=28</v>
      </c>
      <c r="AG252" s="1" t="str">
        <f t="shared" si="268"/>
        <v>52</v>
      </c>
      <c r="AH252" s="1" t="str">
        <f t="shared" ref="AH252:BJ252" si="269">IF(AH187&gt;1,"=","")&amp;AH122</f>
        <v>=14</v>
      </c>
      <c r="AI252" s="1" t="str">
        <f t="shared" si="269"/>
        <v>43</v>
      </c>
      <c r="AJ252" s="1" t="str">
        <f t="shared" si="269"/>
        <v>=36</v>
      </c>
      <c r="AK252" s="1" t="str">
        <f t="shared" si="269"/>
        <v>51</v>
      </c>
      <c r="AL252" s="1" t="str">
        <f t="shared" si="269"/>
        <v>41</v>
      </c>
      <c r="AM252" s="1" t="str">
        <f t="shared" si="269"/>
        <v>=46</v>
      </c>
      <c r="AN252" s="1" t="str">
        <f t="shared" si="269"/>
        <v>=1</v>
      </c>
      <c r="AO252" s="1" t="str">
        <f t="shared" si="269"/>
        <v>=49</v>
      </c>
      <c r="AP252" s="1" t="str">
        <f t="shared" si="269"/>
        <v>=7</v>
      </c>
      <c r="AQ252" s="1" t="str">
        <f t="shared" si="269"/>
        <v>=1</v>
      </c>
      <c r="AR252" s="1" t="str">
        <f t="shared" si="269"/>
        <v>44</v>
      </c>
      <c r="AS252" s="1" t="str">
        <f t="shared" si="269"/>
        <v>42</v>
      </c>
      <c r="AT252" s="1" t="str">
        <f t="shared" si="269"/>
        <v>=7</v>
      </c>
      <c r="AU252" s="1" t="str">
        <f t="shared" si="269"/>
        <v>53</v>
      </c>
      <c r="AV252" s="1" t="str">
        <f t="shared" si="269"/>
        <v>=14</v>
      </c>
      <c r="AW252" s="1" t="str">
        <f t="shared" si="269"/>
        <v>=7</v>
      </c>
      <c r="AX252" s="1" t="str">
        <f t="shared" si="269"/>
        <v>=7</v>
      </c>
      <c r="AY252" s="1" t="str">
        <f t="shared" si="269"/>
        <v>=1</v>
      </c>
      <c r="AZ252" s="1" t="str">
        <f t="shared" si="269"/>
        <v>=28</v>
      </c>
      <c r="BA252" s="1" t="str">
        <f t="shared" si="269"/>
        <v>=25</v>
      </c>
      <c r="BB252" s="1" t="str">
        <f t="shared" si="269"/>
        <v>=14</v>
      </c>
      <c r="BC252" s="1" t="str">
        <f t="shared" si="269"/>
        <v>40</v>
      </c>
      <c r="BD252" s="1" t="str">
        <f t="shared" si="269"/>
        <v>35</v>
      </c>
      <c r="BE252" s="1" t="str">
        <f t="shared" si="269"/>
        <v>=14</v>
      </c>
      <c r="BF252" s="1" t="str">
        <f t="shared" si="269"/>
        <v>=32</v>
      </c>
      <c r="BG252" s="1" t="str">
        <f t="shared" si="269"/>
        <v>=28</v>
      </c>
      <c r="BH252" s="1" t="str">
        <f t="shared" si="269"/>
        <v>48</v>
      </c>
      <c r="BI252" s="1" t="str">
        <f t="shared" si="269"/>
        <v>=14</v>
      </c>
      <c r="BJ252" s="1" t="str">
        <f t="shared" si="269"/>
        <v>=1</v>
      </c>
    </row>
    <row r="253" spans="1:62">
      <c r="A253" s="1" t="str">
        <f t="shared" si="221"/>
        <v>   4.2.7) Severity of terrorist attacks</v>
      </c>
      <c r="B253" s="1" t="str">
        <f t="shared" ref="B253:AG253" si="270">IF(B188&gt;1,"=","")&amp;B123</f>
        <v>=15</v>
      </c>
      <c r="C253" s="1" t="str">
        <f t="shared" si="270"/>
        <v>=1</v>
      </c>
      <c r="D253" s="1" t="str">
        <f t="shared" si="270"/>
        <v>40</v>
      </c>
      <c r="E253" s="1" t="str">
        <f t="shared" si="270"/>
        <v>57</v>
      </c>
      <c r="F253" s="1" t="str">
        <f t="shared" si="270"/>
        <v>=1</v>
      </c>
      <c r="G253" s="1" t="str">
        <f t="shared" si="270"/>
        <v>43</v>
      </c>
      <c r="H253" s="1" t="str">
        <f t="shared" si="270"/>
        <v>51</v>
      </c>
      <c r="I253" s="1" t="str">
        <f t="shared" si="270"/>
        <v>50</v>
      </c>
      <c r="J253" s="1" t="str">
        <f t="shared" si="270"/>
        <v>=20</v>
      </c>
      <c r="K253" s="1" t="str">
        <f t="shared" si="270"/>
        <v>55</v>
      </c>
      <c r="L253" s="1" t="str">
        <f t="shared" si="270"/>
        <v>32</v>
      </c>
      <c r="M253" s="1" t="str">
        <f t="shared" si="270"/>
        <v>39</v>
      </c>
      <c r="N253" s="1" t="str">
        <f t="shared" si="270"/>
        <v>=1</v>
      </c>
      <c r="O253" s="1" t="str">
        <f t="shared" si="270"/>
        <v>35</v>
      </c>
      <c r="P253" s="1" t="str">
        <f t="shared" si="270"/>
        <v>52</v>
      </c>
      <c r="Q253" s="1" t="str">
        <f t="shared" si="270"/>
        <v>56</v>
      </c>
      <c r="R253" s="1" t="str">
        <f t="shared" si="270"/>
        <v>=15</v>
      </c>
      <c r="S253" s="1" t="str">
        <f t="shared" si="270"/>
        <v>25</v>
      </c>
      <c r="T253" s="1" t="str">
        <f t="shared" si="270"/>
        <v>=1</v>
      </c>
      <c r="U253" s="1" t="str">
        <f t="shared" si="270"/>
        <v>46</v>
      </c>
      <c r="V253" s="1" t="str">
        <f t="shared" si="270"/>
        <v>59</v>
      </c>
      <c r="W253" s="1" t="str">
        <f t="shared" si="270"/>
        <v>48</v>
      </c>
      <c r="X253" s="1" t="str">
        <f t="shared" si="270"/>
        <v>33</v>
      </c>
      <c r="Y253" s="1" t="str">
        <f t="shared" si="270"/>
        <v>=26</v>
      </c>
      <c r="Z253" s="1" t="str">
        <f t="shared" si="270"/>
        <v>60</v>
      </c>
      <c r="AA253" s="1" t="str">
        <f t="shared" si="270"/>
        <v>=1</v>
      </c>
      <c r="AB253" s="1" t="str">
        <f t="shared" si="270"/>
        <v>53</v>
      </c>
      <c r="AC253" s="1" t="str">
        <f t="shared" si="270"/>
        <v>=28</v>
      </c>
      <c r="AD253" s="1" t="str">
        <f t="shared" si="270"/>
        <v>36</v>
      </c>
      <c r="AE253" s="1" t="str">
        <f t="shared" si="270"/>
        <v>=26</v>
      </c>
      <c r="AF253" s="1" t="str">
        <f t="shared" si="270"/>
        <v>=15</v>
      </c>
      <c r="AG253" s="1" t="str">
        <f t="shared" si="270"/>
        <v>42</v>
      </c>
      <c r="AH253" s="1" t="str">
        <f t="shared" ref="AH253:BJ253" si="271">IF(AH188&gt;1,"=","")&amp;AH123</f>
        <v>=22</v>
      </c>
      <c r="AI253" s="1" t="str">
        <f t="shared" si="271"/>
        <v>49</v>
      </c>
      <c r="AJ253" s="1" t="str">
        <f t="shared" si="271"/>
        <v>=28</v>
      </c>
      <c r="AK253" s="1" t="str">
        <f t="shared" si="271"/>
        <v>45</v>
      </c>
      <c r="AL253" s="1" t="str">
        <f t="shared" si="271"/>
        <v>58</v>
      </c>
      <c r="AM253" s="1" t="str">
        <f t="shared" si="271"/>
        <v>41</v>
      </c>
      <c r="AN253" s="1" t="str">
        <f t="shared" si="271"/>
        <v>=1</v>
      </c>
      <c r="AO253" s="1" t="str">
        <f t="shared" si="271"/>
        <v>54</v>
      </c>
      <c r="AP253" s="1" t="str">
        <f t="shared" si="271"/>
        <v>=1</v>
      </c>
      <c r="AQ253" s="1" t="str">
        <f t="shared" si="271"/>
        <v>=1</v>
      </c>
      <c r="AR253" s="1" t="str">
        <f t="shared" si="271"/>
        <v>38</v>
      </c>
      <c r="AS253" s="1" t="str">
        <f t="shared" si="271"/>
        <v>=28</v>
      </c>
      <c r="AT253" s="1" t="str">
        <f t="shared" si="271"/>
        <v>=1</v>
      </c>
      <c r="AU253" s="1" t="str">
        <f t="shared" si="271"/>
        <v>37</v>
      </c>
      <c r="AV253" s="1" t="str">
        <f t="shared" si="271"/>
        <v>=1</v>
      </c>
      <c r="AW253" s="1" t="str">
        <f t="shared" si="271"/>
        <v>=15</v>
      </c>
      <c r="AX253" s="1" t="str">
        <f t="shared" si="271"/>
        <v>34</v>
      </c>
      <c r="AY253" s="1" t="str">
        <f t="shared" si="271"/>
        <v>=1</v>
      </c>
      <c r="AZ253" s="1" t="str">
        <f t="shared" si="271"/>
        <v>=22</v>
      </c>
      <c r="BA253" s="1" t="str">
        <f t="shared" si="271"/>
        <v>31</v>
      </c>
      <c r="BB253" s="1" t="str">
        <f t="shared" si="271"/>
        <v>=15</v>
      </c>
      <c r="BC253" s="1" t="str">
        <f t="shared" si="271"/>
        <v>47</v>
      </c>
      <c r="BD253" s="1" t="str">
        <f t="shared" si="271"/>
        <v>=1</v>
      </c>
      <c r="BE253" s="1" t="str">
        <f t="shared" si="271"/>
        <v>=22</v>
      </c>
      <c r="BF253" s="1" t="str">
        <f t="shared" si="271"/>
        <v>=20</v>
      </c>
      <c r="BG253" s="1" t="str">
        <f t="shared" si="271"/>
        <v>=1</v>
      </c>
      <c r="BH253" s="1" t="str">
        <f t="shared" si="271"/>
        <v>44</v>
      </c>
      <c r="BI253" s="1" t="str">
        <f t="shared" si="271"/>
        <v>=1</v>
      </c>
      <c r="BJ253" s="1" t="str">
        <f t="shared" si="271"/>
        <v>=1</v>
      </c>
    </row>
    <row r="254" spans="1:62">
      <c r="A254" s="1" t="str">
        <f t="shared" si="221"/>
        <v>   4.2.8) Gender safety</v>
      </c>
      <c r="B254" s="1" t="str">
        <f t="shared" ref="B254:AG254" si="272">IF(B189&gt;1,"=","")&amp;B124</f>
        <v>15</v>
      </c>
      <c r="C254" s="1" t="str">
        <f t="shared" si="272"/>
        <v>8</v>
      </c>
      <c r="D254" s="1" t="str">
        <f t="shared" si="272"/>
        <v>27</v>
      </c>
      <c r="E254" s="1" t="str">
        <f t="shared" si="272"/>
        <v>33</v>
      </c>
      <c r="F254" s="1" t="str">
        <f t="shared" si="272"/>
        <v>=9</v>
      </c>
      <c r="G254" s="1" t="str">
        <f t="shared" si="272"/>
        <v>=11</v>
      </c>
      <c r="H254" s="1" t="str">
        <f t="shared" si="272"/>
        <v>60</v>
      </c>
      <c r="I254" s="1" t="str">
        <f t="shared" si="272"/>
        <v>28</v>
      </c>
      <c r="J254" s="1" t="str">
        <f t="shared" si="272"/>
        <v>34</v>
      </c>
      <c r="K254" s="1" t="str">
        <f t="shared" si="272"/>
        <v>46</v>
      </c>
      <c r="L254" s="1" t="str">
        <f t="shared" si="272"/>
        <v>58</v>
      </c>
      <c r="M254" s="1" t="str">
        <f t="shared" si="272"/>
        <v>13</v>
      </c>
      <c r="N254" s="1" t="str">
        <f t="shared" si="272"/>
        <v>49</v>
      </c>
      <c r="O254" s="1" t="str">
        <f t="shared" si="272"/>
        <v>43</v>
      </c>
      <c r="P254" s="1" t="str">
        <f t="shared" si="272"/>
        <v>=40</v>
      </c>
      <c r="Q254" s="1" t="str">
        <f t="shared" si="272"/>
        <v>42</v>
      </c>
      <c r="R254" s="1" t="str">
        <f t="shared" si="272"/>
        <v>50</v>
      </c>
      <c r="S254" s="1" t="str">
        <f t="shared" si="272"/>
        <v>18</v>
      </c>
      <c r="T254" s="1" t="str">
        <f t="shared" si="272"/>
        <v>19</v>
      </c>
      <c r="U254" s="1" t="str">
        <f t="shared" si="272"/>
        <v>3</v>
      </c>
      <c r="V254" s="1" t="str">
        <f t="shared" si="272"/>
        <v>16</v>
      </c>
      <c r="W254" s="1" t="str">
        <f t="shared" si="272"/>
        <v>35</v>
      </c>
      <c r="X254" s="1" t="str">
        <f t="shared" si="272"/>
        <v>=44</v>
      </c>
      <c r="Y254" s="1" t="str">
        <f t="shared" si="272"/>
        <v>59</v>
      </c>
      <c r="Z254" s="1" t="str">
        <f t="shared" si="272"/>
        <v>53</v>
      </c>
      <c r="AA254" s="1" t="str">
        <f t="shared" si="272"/>
        <v>39</v>
      </c>
      <c r="AB254" s="1" t="str">
        <f t="shared" si="272"/>
        <v>25</v>
      </c>
      <c r="AC254" s="1" t="str">
        <f t="shared" si="272"/>
        <v>57</v>
      </c>
      <c r="AD254" s="1" t="str">
        <f t="shared" si="272"/>
        <v>23</v>
      </c>
      <c r="AE254" s="1" t="str">
        <f t="shared" si="272"/>
        <v>=36</v>
      </c>
      <c r="AF254" s="1" t="str">
        <f t="shared" si="272"/>
        <v>=9</v>
      </c>
      <c r="AG254" s="1" t="str">
        <f t="shared" si="272"/>
        <v>47</v>
      </c>
      <c r="AH254" s="1" t="str">
        <f t="shared" ref="AH254:BJ254" si="273">IF(AH189&gt;1,"=","")&amp;AH124</f>
        <v>=20</v>
      </c>
      <c r="AI254" s="1" t="str">
        <f t="shared" si="273"/>
        <v>52</v>
      </c>
      <c r="AJ254" s="1" t="str">
        <f t="shared" si="273"/>
        <v>=5</v>
      </c>
      <c r="AK254" s="1" t="str">
        <f t="shared" si="273"/>
        <v>54</v>
      </c>
      <c r="AL254" s="1" t="str">
        <f t="shared" si="273"/>
        <v>=40</v>
      </c>
      <c r="AM254" s="1" t="str">
        <f t="shared" si="273"/>
        <v>29</v>
      </c>
      <c r="AN254" s="1" t="str">
        <f t="shared" si="273"/>
        <v>=1</v>
      </c>
      <c r="AO254" s="1" t="str">
        <f t="shared" si="273"/>
        <v>14</v>
      </c>
      <c r="AP254" s="1" t="str">
        <f t="shared" si="273"/>
        <v>48</v>
      </c>
      <c r="AQ254" s="1" t="str">
        <f t="shared" si="273"/>
        <v>=55</v>
      </c>
      <c r="AR254" s="1" t="str">
        <f t="shared" si="273"/>
        <v>=44</v>
      </c>
      <c r="AS254" s="1" t="str">
        <f t="shared" si="273"/>
        <v>=5</v>
      </c>
      <c r="AT254" s="1" t="str">
        <f t="shared" si="273"/>
        <v>=36</v>
      </c>
      <c r="AU254" s="1" t="str">
        <f t="shared" si="273"/>
        <v>30</v>
      </c>
      <c r="AV254" s="1" t="str">
        <f t="shared" si="273"/>
        <v>=55</v>
      </c>
      <c r="AW254" s="1" t="str">
        <f t="shared" si="273"/>
        <v>31</v>
      </c>
      <c r="AX254" s="1" t="str">
        <f t="shared" si="273"/>
        <v>=11</v>
      </c>
      <c r="AY254" s="1" t="str">
        <f t="shared" si="273"/>
        <v>4</v>
      </c>
      <c r="AZ254" s="1" t="str">
        <f t="shared" si="273"/>
        <v>7</v>
      </c>
      <c r="BA254" s="1" t="str">
        <f t="shared" si="273"/>
        <v>=20</v>
      </c>
      <c r="BB254" s="1" t="str">
        <f t="shared" si="273"/>
        <v>26</v>
      </c>
      <c r="BC254" s="1" t="str">
        <f t="shared" si="273"/>
        <v>32</v>
      </c>
      <c r="BD254" s="1" t="str">
        <f t="shared" si="273"/>
        <v>=1</v>
      </c>
      <c r="BE254" s="1" t="str">
        <f t="shared" si="273"/>
        <v>24</v>
      </c>
      <c r="BF254" s="1" t="str">
        <f t="shared" si="273"/>
        <v>51</v>
      </c>
      <c r="BG254" s="1" t="str">
        <f t="shared" si="273"/>
        <v>22</v>
      </c>
      <c r="BH254" s="1" t="str">
        <f t="shared" si="273"/>
        <v>38</v>
      </c>
      <c r="BI254" s="1" t="str">
        <f t="shared" si="273"/>
        <v>17</v>
      </c>
      <c r="BJ254" s="1" t="str">
        <f t="shared" si="273"/>
        <v>=1</v>
      </c>
    </row>
    <row r="255" spans="1:62">
      <c r="A255" s="1" t="str">
        <f t="shared" si="221"/>
        <v>   4.2.9) Perceptions of safety</v>
      </c>
      <c r="B255" s="1" t="str">
        <f t="shared" ref="B255:AG255" si="274">IF(B190&gt;1,"=","")&amp;B125</f>
        <v>1</v>
      </c>
      <c r="C255" s="1" t="str">
        <f t="shared" si="274"/>
        <v>14</v>
      </c>
      <c r="D255" s="1" t="str">
        <f t="shared" si="274"/>
        <v>33</v>
      </c>
      <c r="E255" s="1" t="str">
        <f t="shared" si="274"/>
        <v>30</v>
      </c>
      <c r="F255" s="1" t="str">
        <f t="shared" si="274"/>
        <v>19</v>
      </c>
      <c r="G255" s="1" t="str">
        <f t="shared" si="274"/>
        <v>22</v>
      </c>
      <c r="H255" s="1" t="str">
        <f t="shared" si="274"/>
        <v>49</v>
      </c>
      <c r="I255" s="1" t="str">
        <f t="shared" si="274"/>
        <v>38</v>
      </c>
      <c r="J255" s="1" t="str">
        <f t="shared" si="274"/>
        <v>48</v>
      </c>
      <c r="K255" s="1" t="str">
        <f t="shared" si="274"/>
        <v>43</v>
      </c>
      <c r="L255" s="1" t="str">
        <f t="shared" si="274"/>
        <v>60</v>
      </c>
      <c r="M255" s="1" t="str">
        <f t="shared" si="274"/>
        <v>37</v>
      </c>
      <c r="N255" s="1" t="str">
        <f t="shared" si="274"/>
        <v>52</v>
      </c>
      <c r="O255" s="1" t="str">
        <f t="shared" si="274"/>
        <v>23</v>
      </c>
      <c r="P255" s="1" t="str">
        <f t="shared" si="274"/>
        <v>46</v>
      </c>
      <c r="Q255" s="1" t="str">
        <f t="shared" si="274"/>
        <v>55</v>
      </c>
      <c r="R255" s="1" t="str">
        <f t="shared" si="274"/>
        <v>3</v>
      </c>
      <c r="S255" s="1" t="str">
        <f t="shared" si="274"/>
        <v>18</v>
      </c>
      <c r="T255" s="1" t="str">
        <f t="shared" si="274"/>
        <v>45</v>
      </c>
      <c r="U255" s="1" t="str">
        <f t="shared" si="274"/>
        <v>8</v>
      </c>
      <c r="V255" s="1" t="str">
        <f t="shared" si="274"/>
        <v>31</v>
      </c>
      <c r="W255" s="1" t="str">
        <f t="shared" si="274"/>
        <v>36</v>
      </c>
      <c r="X255" s="1" t="str">
        <f t="shared" si="274"/>
        <v>=9</v>
      </c>
      <c r="Y255" s="1" t="str">
        <f t="shared" si="274"/>
        <v>59</v>
      </c>
      <c r="Z255" s="1" t="str">
        <f t="shared" si="274"/>
        <v>50</v>
      </c>
      <c r="AA255" s="1" t="str">
        <f t="shared" si="274"/>
        <v>56</v>
      </c>
      <c r="AB255" s="1" t="str">
        <f t="shared" si="274"/>
        <v>15</v>
      </c>
      <c r="AC255" s="1" t="str">
        <f t="shared" si="274"/>
        <v>54</v>
      </c>
      <c r="AD255" s="1" t="str">
        <f t="shared" si="274"/>
        <v>26</v>
      </c>
      <c r="AE255" s="1" t="str">
        <f t="shared" si="274"/>
        <v>39</v>
      </c>
      <c r="AF255" s="1" t="str">
        <f t="shared" si="274"/>
        <v>13</v>
      </c>
      <c r="AG255" s="1" t="str">
        <f t="shared" si="274"/>
        <v>47</v>
      </c>
      <c r="AH255" s="1" t="str">
        <f t="shared" ref="AH255:BJ255" si="275">IF(AH190&gt;1,"=","")&amp;AH125</f>
        <v>21</v>
      </c>
      <c r="AI255" s="1" t="str">
        <f t="shared" si="275"/>
        <v>53</v>
      </c>
      <c r="AJ255" s="1" t="str">
        <f t="shared" si="275"/>
        <v>27</v>
      </c>
      <c r="AK255" s="1" t="str">
        <f t="shared" si="275"/>
        <v>24</v>
      </c>
      <c r="AL255" s="1" t="str">
        <f t="shared" si="275"/>
        <v>29</v>
      </c>
      <c r="AM255" s="1" t="str">
        <f t="shared" si="275"/>
        <v>28</v>
      </c>
      <c r="AN255" s="1" t="str">
        <f t="shared" si="275"/>
        <v>=6</v>
      </c>
      <c r="AO255" s="1" t="str">
        <f t="shared" si="275"/>
        <v>35</v>
      </c>
      <c r="AP255" s="1" t="str">
        <f t="shared" si="275"/>
        <v>40</v>
      </c>
      <c r="AQ255" s="1" t="str">
        <f t="shared" si="275"/>
        <v>58</v>
      </c>
      <c r="AR255" s="1" t="str">
        <f t="shared" si="275"/>
        <v>=9</v>
      </c>
      <c r="AS255" s="1" t="str">
        <f t="shared" si="275"/>
        <v>42</v>
      </c>
      <c r="AT255" s="1" t="str">
        <f t="shared" si="275"/>
        <v>32</v>
      </c>
      <c r="AU255" s="1" t="str">
        <f t="shared" si="275"/>
        <v>34</v>
      </c>
      <c r="AV255" s="1" t="str">
        <f t="shared" si="275"/>
        <v>57</v>
      </c>
      <c r="AW255" s="1" t="str">
        <f t="shared" si="275"/>
        <v>11</v>
      </c>
      <c r="AX255" s="1" t="str">
        <f t="shared" si="275"/>
        <v>16</v>
      </c>
      <c r="AY255" s="1" t="str">
        <f t="shared" si="275"/>
        <v>4</v>
      </c>
      <c r="AZ255" s="1" t="str">
        <f t="shared" si="275"/>
        <v>25</v>
      </c>
      <c r="BA255" s="1" t="str">
        <f t="shared" si="275"/>
        <v>20</v>
      </c>
      <c r="BB255" s="1" t="str">
        <f t="shared" si="275"/>
        <v>2</v>
      </c>
      <c r="BC255" s="1" t="str">
        <f t="shared" si="275"/>
        <v>41</v>
      </c>
      <c r="BD255" s="1" t="str">
        <f t="shared" si="275"/>
        <v>=6</v>
      </c>
      <c r="BE255" s="1" t="str">
        <f t="shared" si="275"/>
        <v>17</v>
      </c>
      <c r="BF255" s="1" t="str">
        <f t="shared" si="275"/>
        <v>51</v>
      </c>
      <c r="BG255" s="1" t="str">
        <f t="shared" si="275"/>
        <v>12</v>
      </c>
      <c r="BH255" s="1" t="str">
        <f t="shared" si="275"/>
        <v>44</v>
      </c>
      <c r="BI255" s="1" t="str">
        <f t="shared" si="275"/>
        <v>5</v>
      </c>
      <c r="BJ255" s="1" t="str">
        <f t="shared" si="275"/>
        <v>=6</v>
      </c>
    </row>
    <row r="256" spans="1:62">
      <c r="A256" s="1" t="str">
        <f t="shared" si="221"/>
        <v>   4.2.10) Threat of terrorism</v>
      </c>
      <c r="B256" s="1" t="str">
        <f t="shared" ref="B256:AG256" si="276">IF(B191&gt;1,"=","")&amp;B126</f>
        <v>=11</v>
      </c>
      <c r="C256" s="1" t="str">
        <f t="shared" si="276"/>
        <v>=11</v>
      </c>
      <c r="D256" s="1" t="str">
        <f t="shared" si="276"/>
        <v>=11</v>
      </c>
      <c r="E256" s="1" t="str">
        <f t="shared" si="276"/>
        <v>=54</v>
      </c>
      <c r="F256" s="1" t="str">
        <f t="shared" si="276"/>
        <v>=11</v>
      </c>
      <c r="G256" s="1" t="str">
        <f t="shared" si="276"/>
        <v>=1</v>
      </c>
      <c r="H256" s="1" t="str">
        <f t="shared" si="276"/>
        <v>=41</v>
      </c>
      <c r="I256" s="1" t="str">
        <f t="shared" si="276"/>
        <v>=41</v>
      </c>
      <c r="J256" s="1" t="str">
        <f t="shared" si="276"/>
        <v>=11</v>
      </c>
      <c r="K256" s="1" t="str">
        <f t="shared" si="276"/>
        <v>=41</v>
      </c>
      <c r="L256" s="1" t="str">
        <f t="shared" si="276"/>
        <v>=11</v>
      </c>
      <c r="M256" s="1" t="str">
        <f t="shared" si="276"/>
        <v>=41</v>
      </c>
      <c r="N256" s="1" t="str">
        <f t="shared" si="276"/>
        <v>=11</v>
      </c>
      <c r="O256" s="1" t="str">
        <f t="shared" si="276"/>
        <v>=11</v>
      </c>
      <c r="P256" s="1" t="str">
        <f t="shared" si="276"/>
        <v>=41</v>
      </c>
      <c r="Q256" s="1" t="str">
        <f t="shared" si="276"/>
        <v>=54</v>
      </c>
      <c r="R256" s="1" t="str">
        <f t="shared" si="276"/>
        <v>=11</v>
      </c>
      <c r="S256" s="1" t="str">
        <f t="shared" si="276"/>
        <v>=11</v>
      </c>
      <c r="T256" s="1" t="str">
        <f t="shared" si="276"/>
        <v>=11</v>
      </c>
      <c r="U256" s="1" t="str">
        <f t="shared" si="276"/>
        <v>=1</v>
      </c>
      <c r="V256" s="1" t="str">
        <f t="shared" si="276"/>
        <v>=54</v>
      </c>
      <c r="W256" s="1" t="str">
        <f t="shared" si="276"/>
        <v>=54</v>
      </c>
      <c r="X256" s="1" t="str">
        <f t="shared" si="276"/>
        <v>=54</v>
      </c>
      <c r="Y256" s="1" t="str">
        <f t="shared" si="276"/>
        <v>=11</v>
      </c>
      <c r="Z256" s="1" t="str">
        <f t="shared" si="276"/>
        <v>60</v>
      </c>
      <c r="AA256" s="1" t="str">
        <f t="shared" si="276"/>
        <v>=11</v>
      </c>
      <c r="AB256" s="1" t="str">
        <f t="shared" si="276"/>
        <v>=11</v>
      </c>
      <c r="AC256" s="1" t="str">
        <f t="shared" si="276"/>
        <v>=11</v>
      </c>
      <c r="AD256" s="1" t="str">
        <f t="shared" si="276"/>
        <v>=41</v>
      </c>
      <c r="AE256" s="1" t="str">
        <f t="shared" si="276"/>
        <v>=11</v>
      </c>
      <c r="AF256" s="1" t="str">
        <f t="shared" si="276"/>
        <v>=11</v>
      </c>
      <c r="AG256" s="1" t="str">
        <f t="shared" si="276"/>
        <v>=41</v>
      </c>
      <c r="AH256" s="1" t="str">
        <f t="shared" ref="AH256:BJ256" si="277">IF(AH191&gt;1,"=","")&amp;AH126</f>
        <v>=1</v>
      </c>
      <c r="AI256" s="1" t="str">
        <f t="shared" si="277"/>
        <v>=41</v>
      </c>
      <c r="AJ256" s="1" t="str">
        <f t="shared" si="277"/>
        <v>=1</v>
      </c>
      <c r="AK256" s="1" t="str">
        <f t="shared" si="277"/>
        <v>=41</v>
      </c>
      <c r="AL256" s="1" t="str">
        <f t="shared" si="277"/>
        <v>=41</v>
      </c>
      <c r="AM256" s="1" t="str">
        <f t="shared" si="277"/>
        <v>=41</v>
      </c>
      <c r="AN256" s="1" t="str">
        <f t="shared" si="277"/>
        <v>=11</v>
      </c>
      <c r="AO256" s="1" t="str">
        <f t="shared" si="277"/>
        <v>=54</v>
      </c>
      <c r="AP256" s="1" t="str">
        <f t="shared" si="277"/>
        <v>=11</v>
      </c>
      <c r="AQ256" s="1" t="str">
        <f t="shared" si="277"/>
        <v>=11</v>
      </c>
      <c r="AR256" s="1" t="str">
        <f t="shared" si="277"/>
        <v>=41</v>
      </c>
      <c r="AS256" s="1" t="str">
        <f t="shared" si="277"/>
        <v>=11</v>
      </c>
      <c r="AT256" s="1" t="str">
        <f t="shared" si="277"/>
        <v>=11</v>
      </c>
      <c r="AU256" s="1" t="str">
        <f t="shared" si="277"/>
        <v>=1</v>
      </c>
      <c r="AV256" s="1" t="str">
        <f t="shared" si="277"/>
        <v>=11</v>
      </c>
      <c r="AW256" s="1" t="str">
        <f t="shared" si="277"/>
        <v>=11</v>
      </c>
      <c r="AX256" s="1" t="str">
        <f t="shared" si="277"/>
        <v>=1</v>
      </c>
      <c r="AY256" s="1" t="str">
        <f t="shared" si="277"/>
        <v>=11</v>
      </c>
      <c r="AZ256" s="1" t="str">
        <f t="shared" si="277"/>
        <v>=1</v>
      </c>
      <c r="BA256" s="1" t="str">
        <f t="shared" si="277"/>
        <v>=11</v>
      </c>
      <c r="BB256" s="1" t="str">
        <f t="shared" si="277"/>
        <v>=1</v>
      </c>
      <c r="BC256" s="1" t="str">
        <f t="shared" si="277"/>
        <v>=41</v>
      </c>
      <c r="BD256" s="1" t="str">
        <f t="shared" si="277"/>
        <v>=11</v>
      </c>
      <c r="BE256" s="1" t="str">
        <f t="shared" si="277"/>
        <v>=1</v>
      </c>
      <c r="BF256" s="1" t="str">
        <f t="shared" si="277"/>
        <v>=11</v>
      </c>
      <c r="BG256" s="1" t="str">
        <f t="shared" si="277"/>
        <v>=1</v>
      </c>
      <c r="BH256" s="1" t="str">
        <f t="shared" si="277"/>
        <v>=11</v>
      </c>
      <c r="BI256" s="1" t="str">
        <f t="shared" si="277"/>
        <v>=11</v>
      </c>
      <c r="BJ256" s="1" t="str">
        <f t="shared" si="277"/>
        <v>=11</v>
      </c>
    </row>
    <row r="257" spans="1:62">
      <c r="A257" s="1" t="str">
        <f t="shared" si="221"/>
        <v>   4.2.11) Threat of military conflict</v>
      </c>
      <c r="B257" s="1" t="str">
        <f t="shared" ref="B257:AG257" si="278">IF(B192&gt;1,"=","")&amp;B127</f>
        <v>=1</v>
      </c>
      <c r="C257" s="1" t="str">
        <f t="shared" si="278"/>
        <v>=1</v>
      </c>
      <c r="D257" s="1" t="str">
        <f t="shared" si="278"/>
        <v>=37</v>
      </c>
      <c r="E257" s="1" t="str">
        <f t="shared" si="278"/>
        <v>=55</v>
      </c>
      <c r="F257" s="1" t="str">
        <f t="shared" si="278"/>
        <v>=1</v>
      </c>
      <c r="G257" s="1" t="str">
        <f t="shared" si="278"/>
        <v>=37</v>
      </c>
      <c r="H257" s="1" t="str">
        <f t="shared" si="278"/>
        <v>=55</v>
      </c>
      <c r="I257" s="1" t="str">
        <f t="shared" si="278"/>
        <v>=1</v>
      </c>
      <c r="J257" s="1" t="str">
        <f t="shared" si="278"/>
        <v>=1</v>
      </c>
      <c r="K257" s="1" t="str">
        <f t="shared" si="278"/>
        <v>=37</v>
      </c>
      <c r="L257" s="1" t="str">
        <f t="shared" si="278"/>
        <v>=37</v>
      </c>
      <c r="M257" s="1" t="str">
        <f t="shared" si="278"/>
        <v>=37</v>
      </c>
      <c r="N257" s="1" t="str">
        <f t="shared" si="278"/>
        <v>=1</v>
      </c>
      <c r="O257" s="1" t="str">
        <f t="shared" si="278"/>
        <v>=1</v>
      </c>
      <c r="P257" s="1" t="str">
        <f t="shared" si="278"/>
        <v>=37</v>
      </c>
      <c r="Q257" s="1" t="str">
        <f t="shared" si="278"/>
        <v>=37</v>
      </c>
      <c r="R257" s="1" t="str">
        <f t="shared" si="278"/>
        <v>=37</v>
      </c>
      <c r="S257" s="1" t="str">
        <f t="shared" si="278"/>
        <v>=1</v>
      </c>
      <c r="T257" s="1" t="str">
        <f t="shared" si="278"/>
        <v>=37</v>
      </c>
      <c r="U257" s="1" t="str">
        <f t="shared" si="278"/>
        <v>=1</v>
      </c>
      <c r="V257" s="1" t="str">
        <f t="shared" si="278"/>
        <v>=55</v>
      </c>
      <c r="W257" s="1" t="str">
        <f t="shared" si="278"/>
        <v>=1</v>
      </c>
      <c r="X257" s="1" t="str">
        <f t="shared" si="278"/>
        <v>=37</v>
      </c>
      <c r="Y257" s="1" t="str">
        <f t="shared" si="278"/>
        <v>=1</v>
      </c>
      <c r="Z257" s="1" t="str">
        <f t="shared" si="278"/>
        <v>60</v>
      </c>
      <c r="AA257" s="1" t="str">
        <f t="shared" si="278"/>
        <v>=1</v>
      </c>
      <c r="AB257" s="1" t="str">
        <f t="shared" si="278"/>
        <v>=37</v>
      </c>
      <c r="AC257" s="1" t="str">
        <f t="shared" si="278"/>
        <v>=37</v>
      </c>
      <c r="AD257" s="1" t="str">
        <f t="shared" si="278"/>
        <v>=1</v>
      </c>
      <c r="AE257" s="1" t="str">
        <f t="shared" si="278"/>
        <v>=1</v>
      </c>
      <c r="AF257" s="1" t="str">
        <f t="shared" si="278"/>
        <v>=1</v>
      </c>
      <c r="AG257" s="1" t="str">
        <f t="shared" si="278"/>
        <v>=37</v>
      </c>
      <c r="AH257" s="1" t="str">
        <f t="shared" ref="AH257:BJ257" si="279">IF(AH192&gt;1,"=","")&amp;AH127</f>
        <v>=1</v>
      </c>
      <c r="AI257" s="1" t="str">
        <f t="shared" si="279"/>
        <v>=1</v>
      </c>
      <c r="AJ257" s="1" t="str">
        <f t="shared" si="279"/>
        <v>=1</v>
      </c>
      <c r="AK257" s="1" t="str">
        <f t="shared" si="279"/>
        <v>=55</v>
      </c>
      <c r="AL257" s="1" t="str">
        <f t="shared" si="279"/>
        <v>=37</v>
      </c>
      <c r="AM257" s="1" t="str">
        <f t="shared" si="279"/>
        <v>=1</v>
      </c>
      <c r="AN257" s="1" t="str">
        <f t="shared" si="279"/>
        <v>=1</v>
      </c>
      <c r="AO257" s="1" t="str">
        <f t="shared" si="279"/>
        <v>=1</v>
      </c>
      <c r="AP257" s="1" t="str">
        <f t="shared" si="279"/>
        <v>=1</v>
      </c>
      <c r="AQ257" s="1" t="str">
        <f t="shared" si="279"/>
        <v>=1</v>
      </c>
      <c r="AR257" s="1" t="str">
        <f t="shared" si="279"/>
        <v>=37</v>
      </c>
      <c r="AS257" s="1" t="str">
        <f t="shared" si="279"/>
        <v>=1</v>
      </c>
      <c r="AT257" s="1" t="str">
        <f t="shared" si="279"/>
        <v>=1</v>
      </c>
      <c r="AU257" s="1" t="str">
        <f t="shared" si="279"/>
        <v>=1</v>
      </c>
      <c r="AV257" s="1" t="str">
        <f t="shared" si="279"/>
        <v>=1</v>
      </c>
      <c r="AW257" s="1" t="str">
        <f t="shared" si="279"/>
        <v>=55</v>
      </c>
      <c r="AX257" s="1" t="str">
        <f t="shared" si="279"/>
        <v>=37</v>
      </c>
      <c r="AY257" s="1" t="str">
        <f t="shared" si="279"/>
        <v>=1</v>
      </c>
      <c r="AZ257" s="1" t="str">
        <f t="shared" si="279"/>
        <v>=1</v>
      </c>
      <c r="BA257" s="1" t="str">
        <f t="shared" si="279"/>
        <v>=1</v>
      </c>
      <c r="BB257" s="1" t="str">
        <f t="shared" si="279"/>
        <v>=1</v>
      </c>
      <c r="BC257" s="1" t="str">
        <f t="shared" si="279"/>
        <v>=37</v>
      </c>
      <c r="BD257" s="1" t="str">
        <f t="shared" si="279"/>
        <v>=1</v>
      </c>
      <c r="BE257" s="1" t="str">
        <f t="shared" si="279"/>
        <v>=1</v>
      </c>
      <c r="BF257" s="1" t="str">
        <f t="shared" si="279"/>
        <v>=1</v>
      </c>
      <c r="BG257" s="1" t="str">
        <f t="shared" si="279"/>
        <v>=1</v>
      </c>
      <c r="BH257" s="1" t="str">
        <f t="shared" si="279"/>
        <v>=37</v>
      </c>
      <c r="BI257" s="1" t="str">
        <f t="shared" si="279"/>
        <v>=1</v>
      </c>
      <c r="BJ257" s="1" t="str">
        <f t="shared" si="279"/>
        <v>=1</v>
      </c>
    </row>
    <row r="258" spans="1:62">
      <c r="A258" s="1" t="str">
        <f t="shared" si="221"/>
        <v>   4.2.12) Threat of civil unrest</v>
      </c>
      <c r="B258" s="1" t="str">
        <f t="shared" ref="B258:AG258" si="280">IF(B193&gt;1,"=","")&amp;B128</f>
        <v>=12</v>
      </c>
      <c r="C258" s="1" t="str">
        <f t="shared" si="280"/>
        <v>=12</v>
      </c>
      <c r="D258" s="1" t="str">
        <f t="shared" si="280"/>
        <v>=36</v>
      </c>
      <c r="E258" s="1" t="str">
        <f t="shared" si="280"/>
        <v>=56</v>
      </c>
      <c r="F258" s="1" t="str">
        <f t="shared" si="280"/>
        <v>=12</v>
      </c>
      <c r="G258" s="1" t="str">
        <f t="shared" si="280"/>
        <v>=12</v>
      </c>
      <c r="H258" s="1" t="str">
        <f t="shared" si="280"/>
        <v>=36</v>
      </c>
      <c r="I258" s="1" t="str">
        <f t="shared" si="280"/>
        <v>=1</v>
      </c>
      <c r="J258" s="1" t="str">
        <f t="shared" si="280"/>
        <v>=36</v>
      </c>
      <c r="K258" s="1" t="str">
        <f t="shared" si="280"/>
        <v>=56</v>
      </c>
      <c r="L258" s="1" t="str">
        <f t="shared" si="280"/>
        <v>=56</v>
      </c>
      <c r="M258" s="1" t="str">
        <f t="shared" si="280"/>
        <v>=36</v>
      </c>
      <c r="N258" s="1" t="str">
        <f t="shared" si="280"/>
        <v>=12</v>
      </c>
      <c r="O258" s="1" t="str">
        <f t="shared" si="280"/>
        <v>=12</v>
      </c>
      <c r="P258" s="1" t="str">
        <f t="shared" si="280"/>
        <v>=36</v>
      </c>
      <c r="Q258" s="1" t="str">
        <f t="shared" si="280"/>
        <v>=36</v>
      </c>
      <c r="R258" s="1" t="str">
        <f t="shared" si="280"/>
        <v>=12</v>
      </c>
      <c r="S258" s="1" t="str">
        <f t="shared" si="280"/>
        <v>=12</v>
      </c>
      <c r="T258" s="1" t="str">
        <f t="shared" si="280"/>
        <v>=36</v>
      </c>
      <c r="U258" s="1" t="str">
        <f t="shared" si="280"/>
        <v>=36</v>
      </c>
      <c r="V258" s="1" t="str">
        <f t="shared" si="280"/>
        <v>=36</v>
      </c>
      <c r="W258" s="1" t="str">
        <f t="shared" si="280"/>
        <v>=56</v>
      </c>
      <c r="X258" s="1" t="str">
        <f t="shared" si="280"/>
        <v>=12</v>
      </c>
      <c r="Y258" s="1" t="str">
        <f t="shared" si="280"/>
        <v>=12</v>
      </c>
      <c r="Z258" s="1" t="str">
        <f t="shared" si="280"/>
        <v>=56</v>
      </c>
      <c r="AA258" s="1" t="str">
        <f t="shared" si="280"/>
        <v>=1</v>
      </c>
      <c r="AB258" s="1" t="str">
        <f t="shared" si="280"/>
        <v>=12</v>
      </c>
      <c r="AC258" s="1" t="str">
        <f t="shared" si="280"/>
        <v>=36</v>
      </c>
      <c r="AD258" s="1" t="str">
        <f t="shared" si="280"/>
        <v>=12</v>
      </c>
      <c r="AE258" s="1" t="str">
        <f t="shared" si="280"/>
        <v>=36</v>
      </c>
      <c r="AF258" s="1" t="str">
        <f t="shared" si="280"/>
        <v>=12</v>
      </c>
      <c r="AG258" s="1" t="str">
        <f t="shared" si="280"/>
        <v>=36</v>
      </c>
      <c r="AH258" s="1" t="str">
        <f t="shared" ref="AH258:BJ258" si="281">IF(AH193&gt;1,"=","")&amp;AH128</f>
        <v>=1</v>
      </c>
      <c r="AI258" s="1" t="str">
        <f t="shared" si="281"/>
        <v>=36</v>
      </c>
      <c r="AJ258" s="1" t="str">
        <f t="shared" si="281"/>
        <v>=12</v>
      </c>
      <c r="AK258" s="1" t="str">
        <f t="shared" si="281"/>
        <v>=36</v>
      </c>
      <c r="AL258" s="1" t="str">
        <f t="shared" si="281"/>
        <v>=12</v>
      </c>
      <c r="AM258" s="1" t="str">
        <f t="shared" si="281"/>
        <v>=36</v>
      </c>
      <c r="AN258" s="1" t="str">
        <f t="shared" si="281"/>
        <v>=1</v>
      </c>
      <c r="AO258" s="1" t="str">
        <f t="shared" si="281"/>
        <v>=12</v>
      </c>
      <c r="AP258" s="1" t="str">
        <f t="shared" si="281"/>
        <v>=36</v>
      </c>
      <c r="AQ258" s="1" t="str">
        <f t="shared" si="281"/>
        <v>=36</v>
      </c>
      <c r="AR258" s="1" t="str">
        <f t="shared" si="281"/>
        <v>=12</v>
      </c>
      <c r="AS258" s="1" t="str">
        <f t="shared" si="281"/>
        <v>=12</v>
      </c>
      <c r="AT258" s="1" t="str">
        <f t="shared" si="281"/>
        <v>=12</v>
      </c>
      <c r="AU258" s="1" t="str">
        <f t="shared" si="281"/>
        <v>=12</v>
      </c>
      <c r="AV258" s="1" t="str">
        <f t="shared" si="281"/>
        <v>=36</v>
      </c>
      <c r="AW258" s="1" t="str">
        <f t="shared" si="281"/>
        <v>=12</v>
      </c>
      <c r="AX258" s="1" t="str">
        <f t="shared" si="281"/>
        <v>=36</v>
      </c>
      <c r="AY258" s="1" t="str">
        <f t="shared" si="281"/>
        <v>=1</v>
      </c>
      <c r="AZ258" s="1" t="str">
        <f t="shared" si="281"/>
        <v>=1</v>
      </c>
      <c r="BA258" s="1" t="str">
        <f t="shared" si="281"/>
        <v>=1</v>
      </c>
      <c r="BB258" s="1" t="str">
        <f t="shared" si="281"/>
        <v>=12</v>
      </c>
      <c r="BC258" s="1" t="str">
        <f t="shared" si="281"/>
        <v>=12</v>
      </c>
      <c r="BD258" s="1" t="str">
        <f t="shared" si="281"/>
        <v>=1</v>
      </c>
      <c r="BE258" s="1" t="str">
        <f t="shared" si="281"/>
        <v>=1</v>
      </c>
      <c r="BF258" s="1" t="str">
        <f t="shared" si="281"/>
        <v>=12</v>
      </c>
      <c r="BG258" s="1" t="str">
        <f t="shared" si="281"/>
        <v>=1</v>
      </c>
      <c r="BH258" s="1" t="str">
        <f t="shared" si="281"/>
        <v>=36</v>
      </c>
      <c r="BI258" s="1" t="str">
        <f t="shared" si="281"/>
        <v>=1</v>
      </c>
      <c r="BJ258" s="1" t="str">
        <f t="shared" si="281"/>
        <v>=1</v>
      </c>
    </row>
    <row r="261" spans="1:1">
      <c r="A261" s="1" t="s">
        <v>1018</v>
      </c>
    </row>
    <row r="262" spans="1:62">
      <c r="A262" s="1">
        <v>0</v>
      </c>
      <c r="B262" s="1">
        <f>A262+1</f>
        <v>1</v>
      </c>
      <c r="C262" s="1">
        <f>B262+1</f>
        <v>2</v>
      </c>
      <c r="D262" s="1">
        <f>C262+1</f>
        <v>3</v>
      </c>
      <c r="E262" s="1">
        <f t="shared" ref="E262:BJ262" si="282">D262+1</f>
        <v>4</v>
      </c>
      <c r="F262" s="1">
        <f t="shared" si="282"/>
        <v>5</v>
      </c>
      <c r="G262" s="1">
        <f t="shared" si="282"/>
        <v>6</v>
      </c>
      <c r="H262" s="1">
        <f t="shared" si="282"/>
        <v>7</v>
      </c>
      <c r="I262" s="1">
        <f t="shared" si="282"/>
        <v>8</v>
      </c>
      <c r="J262" s="1">
        <f t="shared" si="282"/>
        <v>9</v>
      </c>
      <c r="K262" s="1">
        <f t="shared" si="282"/>
        <v>10</v>
      </c>
      <c r="L262" s="1">
        <f t="shared" si="282"/>
        <v>11</v>
      </c>
      <c r="M262" s="1">
        <f t="shared" si="282"/>
        <v>12</v>
      </c>
      <c r="N262" s="1">
        <f t="shared" si="282"/>
        <v>13</v>
      </c>
      <c r="O262" s="1">
        <f t="shared" si="282"/>
        <v>14</v>
      </c>
      <c r="P262" s="1">
        <f t="shared" si="282"/>
        <v>15</v>
      </c>
      <c r="Q262" s="1">
        <f t="shared" si="282"/>
        <v>16</v>
      </c>
      <c r="R262" s="1">
        <f t="shared" si="282"/>
        <v>17</v>
      </c>
      <c r="S262" s="1">
        <f t="shared" si="282"/>
        <v>18</v>
      </c>
      <c r="T262" s="1">
        <f t="shared" si="282"/>
        <v>19</v>
      </c>
      <c r="U262" s="1">
        <f t="shared" si="282"/>
        <v>20</v>
      </c>
      <c r="V262" s="1">
        <f t="shared" si="282"/>
        <v>21</v>
      </c>
      <c r="W262" s="1">
        <f t="shared" si="282"/>
        <v>22</v>
      </c>
      <c r="X262" s="1">
        <f t="shared" si="282"/>
        <v>23</v>
      </c>
      <c r="Y262" s="1">
        <f t="shared" si="282"/>
        <v>24</v>
      </c>
      <c r="Z262" s="1">
        <f t="shared" si="282"/>
        <v>25</v>
      </c>
      <c r="AA262" s="1">
        <f t="shared" si="282"/>
        <v>26</v>
      </c>
      <c r="AB262" s="1">
        <f t="shared" si="282"/>
        <v>27</v>
      </c>
      <c r="AC262" s="1">
        <f t="shared" si="282"/>
        <v>28</v>
      </c>
      <c r="AD262" s="1">
        <f t="shared" si="282"/>
        <v>29</v>
      </c>
      <c r="AE262" s="1">
        <f t="shared" si="282"/>
        <v>30</v>
      </c>
      <c r="AF262" s="1">
        <f t="shared" si="282"/>
        <v>31</v>
      </c>
      <c r="AG262" s="1">
        <f t="shared" si="282"/>
        <v>32</v>
      </c>
      <c r="AH262" s="1">
        <f t="shared" si="282"/>
        <v>33</v>
      </c>
      <c r="AI262" s="1">
        <f t="shared" si="282"/>
        <v>34</v>
      </c>
      <c r="AJ262" s="1">
        <f t="shared" si="282"/>
        <v>35</v>
      </c>
      <c r="AK262" s="1">
        <f t="shared" si="282"/>
        <v>36</v>
      </c>
      <c r="AL262" s="1">
        <f t="shared" si="282"/>
        <v>37</v>
      </c>
      <c r="AM262" s="1">
        <f t="shared" si="282"/>
        <v>38</v>
      </c>
      <c r="AN262" s="1">
        <f t="shared" si="282"/>
        <v>39</v>
      </c>
      <c r="AO262" s="1">
        <f t="shared" si="282"/>
        <v>40</v>
      </c>
      <c r="AP262" s="1">
        <f t="shared" si="282"/>
        <v>41</v>
      </c>
      <c r="AQ262" s="1">
        <f t="shared" si="282"/>
        <v>42</v>
      </c>
      <c r="AR262" s="1">
        <f t="shared" si="282"/>
        <v>43</v>
      </c>
      <c r="AS262" s="1">
        <f t="shared" si="282"/>
        <v>44</v>
      </c>
      <c r="AT262" s="1">
        <f t="shared" si="282"/>
        <v>45</v>
      </c>
      <c r="AU262" s="1">
        <f t="shared" si="282"/>
        <v>46</v>
      </c>
      <c r="AV262" s="1">
        <f t="shared" si="282"/>
        <v>47</v>
      </c>
      <c r="AW262" s="1">
        <f t="shared" si="282"/>
        <v>48</v>
      </c>
      <c r="AX262" s="1">
        <f t="shared" si="282"/>
        <v>49</v>
      </c>
      <c r="AY262" s="1">
        <f t="shared" si="282"/>
        <v>50</v>
      </c>
      <c r="AZ262" s="1">
        <f t="shared" si="282"/>
        <v>51</v>
      </c>
      <c r="BA262" s="1">
        <f t="shared" si="282"/>
        <v>52</v>
      </c>
      <c r="BB262" s="1">
        <f t="shared" si="282"/>
        <v>53</v>
      </c>
      <c r="BC262" s="1">
        <f t="shared" si="282"/>
        <v>54</v>
      </c>
      <c r="BD262" s="1">
        <f t="shared" si="282"/>
        <v>55</v>
      </c>
      <c r="BE262" s="1">
        <f t="shared" si="282"/>
        <v>56</v>
      </c>
      <c r="BF262" s="1">
        <f t="shared" si="282"/>
        <v>57</v>
      </c>
      <c r="BG262" s="1">
        <f t="shared" si="282"/>
        <v>58</v>
      </c>
      <c r="BH262" s="1">
        <f t="shared" si="282"/>
        <v>59</v>
      </c>
      <c r="BI262" s="1">
        <f t="shared" si="282"/>
        <v>60</v>
      </c>
      <c r="BJ262" s="1">
        <f t="shared" si="282"/>
        <v>61</v>
      </c>
    </row>
    <row r="263" spans="1:64">
      <c r="A263" s="1" t="str">
        <f>tblTerritories!S4</f>
        <v>All Regions/Groups</v>
      </c>
      <c r="B263" s="1">
        <f>INDEX(tblTerritories_2017!$V$3:$AI$63,B$262,$BL263)</f>
        <v>1</v>
      </c>
      <c r="C263" s="1">
        <f>INDEX(tblTerritories_2017!$V$3:$AI$63,C$262,$BL263)</f>
        <v>1</v>
      </c>
      <c r="D263" s="1">
        <f>INDEX(tblTerritories_2017!$V$3:$AI$63,D$262,$BL263)</f>
        <v>1</v>
      </c>
      <c r="E263" s="1">
        <f>INDEX(tblTerritories_2017!$V$3:$AI$63,E$262,$BL263)</f>
        <v>1</v>
      </c>
      <c r="F263" s="1">
        <f>INDEX(tblTerritories_2017!$V$3:$AI$63,F$262,$BL263)</f>
        <v>1</v>
      </c>
      <c r="G263" s="1">
        <f>INDEX(tblTerritories_2017!$V$3:$AI$63,G$262,$BL263)</f>
        <v>1</v>
      </c>
      <c r="H263" s="1">
        <f>INDEX(tblTerritories_2017!$V$3:$AI$63,H$262,$BL263)</f>
        <v>1</v>
      </c>
      <c r="I263" s="1">
        <f>INDEX(tblTerritories_2017!$V$3:$AI$63,I$262,$BL263)</f>
        <v>1</v>
      </c>
      <c r="J263" s="1">
        <f>INDEX(tblTerritories_2017!$V$3:$AI$63,J$262,$BL263)</f>
        <v>1</v>
      </c>
      <c r="K263" s="1">
        <f>INDEX(tblTerritories_2017!$V$3:$AI$63,K$262,$BL263)</f>
        <v>1</v>
      </c>
      <c r="L263" s="1">
        <f>INDEX(tblTerritories_2017!$V$3:$AI$63,L$262,$BL263)</f>
        <v>1</v>
      </c>
      <c r="M263" s="1">
        <f>INDEX(tblTerritories_2017!$V$3:$AI$63,M$262,$BL263)</f>
        <v>1</v>
      </c>
      <c r="N263" s="1">
        <f>INDEX(tblTerritories_2017!$V$3:$AI$63,N$262,$BL263)</f>
        <v>1</v>
      </c>
      <c r="O263" s="1">
        <f>INDEX(tblTerritories_2017!$V$3:$AI$63,O$262,$BL263)</f>
        <v>1</v>
      </c>
      <c r="P263" s="1">
        <f>INDEX(tblTerritories_2017!$V$3:$AI$63,P$262,$BL263)</f>
        <v>1</v>
      </c>
      <c r="Q263" s="1">
        <f>INDEX(tblTerritories_2017!$V$3:$AI$63,Q$262,$BL263)</f>
        <v>1</v>
      </c>
      <c r="R263" s="1">
        <f>INDEX(tblTerritories_2017!$V$3:$AI$63,R$262,$BL263)</f>
        <v>1</v>
      </c>
      <c r="S263" s="1">
        <f>INDEX(tblTerritories_2017!$V$3:$AI$63,S$262,$BL263)</f>
        <v>1</v>
      </c>
      <c r="T263" s="1">
        <f>INDEX(tblTerritories_2017!$V$3:$AI$63,T$262,$BL263)</f>
        <v>1</v>
      </c>
      <c r="U263" s="1">
        <f>INDEX(tblTerritories_2017!$V$3:$AI$63,U$262,$BL263)</f>
        <v>1</v>
      </c>
      <c r="V263" s="1">
        <f>INDEX(tblTerritories_2017!$V$3:$AI$63,V$262,$BL263)</f>
        <v>1</v>
      </c>
      <c r="W263" s="1">
        <f>INDEX(tblTerritories_2017!$V$3:$AI$63,W$262,$BL263)</f>
        <v>1</v>
      </c>
      <c r="X263" s="1">
        <f>INDEX(tblTerritories_2017!$V$3:$AI$63,X$262,$BL263)</f>
        <v>1</v>
      </c>
      <c r="Y263" s="1">
        <f>INDEX(tblTerritories_2017!$V$3:$AI$63,Y$262,$BL263)</f>
        <v>1</v>
      </c>
      <c r="Z263" s="1">
        <f>INDEX(tblTerritories_2017!$V$3:$AI$63,Z$262,$BL263)</f>
        <v>1</v>
      </c>
      <c r="AA263" s="1">
        <f>INDEX(tblTerritories_2017!$V$3:$AI$63,AA$262,$BL263)</f>
        <v>1</v>
      </c>
      <c r="AB263" s="1">
        <f>INDEX(tblTerritories_2017!$V$3:$AI$63,AB$262,$BL263)</f>
        <v>1</v>
      </c>
      <c r="AC263" s="1">
        <f>INDEX(tblTerritories_2017!$V$3:$AI$63,AC$262,$BL263)</f>
        <v>1</v>
      </c>
      <c r="AD263" s="1">
        <f>INDEX(tblTerritories_2017!$V$3:$AI$63,AD$262,$BL263)</f>
        <v>1</v>
      </c>
      <c r="AE263" s="1">
        <f>INDEX(tblTerritories_2017!$V$3:$AI$63,AE$262,$BL263)</f>
        <v>1</v>
      </c>
      <c r="AF263" s="1">
        <f>INDEX(tblTerritories_2017!$V$3:$AI$63,AF$262,$BL263)</f>
        <v>1</v>
      </c>
      <c r="AG263" s="1">
        <f>INDEX(tblTerritories_2017!$V$3:$AI$63,AG$262,$BL263)</f>
        <v>1</v>
      </c>
      <c r="AH263" s="1">
        <f>INDEX(tblTerritories_2017!$V$3:$AI$63,AH$262,$BL263)</f>
        <v>1</v>
      </c>
      <c r="AI263" s="1">
        <f>INDEX(tblTerritories_2017!$V$3:$AI$63,AI$262,$BL263)</f>
        <v>1</v>
      </c>
      <c r="AJ263" s="1">
        <f>INDEX(tblTerritories_2017!$V$3:$AI$63,AJ$262,$BL263)</f>
        <v>1</v>
      </c>
      <c r="AK263" s="1">
        <f>INDEX(tblTerritories_2017!$V$3:$AI$63,AK$262,$BL263)</f>
        <v>1</v>
      </c>
      <c r="AL263" s="1">
        <f>INDEX(tblTerritories_2017!$V$3:$AI$63,AL$262,$BL263)</f>
        <v>1</v>
      </c>
      <c r="AM263" s="1">
        <f>INDEX(tblTerritories_2017!$V$3:$AI$63,AM$262,$BL263)</f>
        <v>1</v>
      </c>
      <c r="AN263" s="1">
        <f>INDEX(tblTerritories_2017!$V$3:$AI$63,AN$262,$BL263)</f>
        <v>1</v>
      </c>
      <c r="AO263" s="1">
        <f>INDEX(tblTerritories_2017!$V$3:$AI$63,AO$262,$BL263)</f>
        <v>1</v>
      </c>
      <c r="AP263" s="1">
        <f>INDEX(tblTerritories_2017!$V$3:$AI$63,AP$262,$BL263)</f>
        <v>1</v>
      </c>
      <c r="AQ263" s="1">
        <f>INDEX(tblTerritories_2017!$V$3:$AI$63,AQ$262,$BL263)</f>
        <v>1</v>
      </c>
      <c r="AR263" s="1">
        <f>INDEX(tblTerritories_2017!$V$3:$AI$63,AR$262,$BL263)</f>
        <v>1</v>
      </c>
      <c r="AS263" s="1">
        <f>INDEX(tblTerritories_2017!$V$3:$AI$63,AS$262,$BL263)</f>
        <v>1</v>
      </c>
      <c r="AT263" s="1">
        <f>INDEX(tblTerritories_2017!$V$3:$AI$63,AT$262,$BL263)</f>
        <v>1</v>
      </c>
      <c r="AU263" s="1">
        <f>INDEX(tblTerritories_2017!$V$3:$AI$63,AU$262,$BL263)</f>
        <v>1</v>
      </c>
      <c r="AV263" s="1">
        <f>INDEX(tblTerritories_2017!$V$3:$AI$63,AV$262,$BL263)</f>
        <v>1</v>
      </c>
      <c r="AW263" s="1">
        <f>INDEX(tblTerritories_2017!$V$3:$AI$63,AW$262,$BL263)</f>
        <v>1</v>
      </c>
      <c r="AX263" s="1">
        <f>INDEX(tblTerritories_2017!$V$3:$AI$63,AX$262,$BL263)</f>
        <v>1</v>
      </c>
      <c r="AY263" s="1">
        <f>INDEX(tblTerritories_2017!$V$3:$AI$63,AY$262,$BL263)</f>
        <v>1</v>
      </c>
      <c r="AZ263" s="1">
        <f>INDEX(tblTerritories_2017!$V$3:$AI$63,AZ$262,$BL263)</f>
        <v>1</v>
      </c>
      <c r="BA263" s="1">
        <f>INDEX(tblTerritories_2017!$V$3:$AI$63,BA$262,$BL263)</f>
        <v>1</v>
      </c>
      <c r="BB263" s="1">
        <f>INDEX(tblTerritories_2017!$V$3:$AI$63,BB$262,$BL263)</f>
        <v>1</v>
      </c>
      <c r="BC263" s="1">
        <f>INDEX(tblTerritories_2017!$V$3:$AI$63,BC$262,$BL263)</f>
        <v>1</v>
      </c>
      <c r="BD263" s="1">
        <f>INDEX(tblTerritories_2017!$V$3:$AI$63,BD$262,$BL263)</f>
        <v>1</v>
      </c>
      <c r="BE263" s="1">
        <f>INDEX(tblTerritories_2017!$V$3:$AI$63,BE$262,$BL263)</f>
        <v>1</v>
      </c>
      <c r="BF263" s="1">
        <f>INDEX(tblTerritories_2017!$V$3:$AI$63,BF$262,$BL263)</f>
        <v>1</v>
      </c>
      <c r="BG263" s="1">
        <f>INDEX(tblTerritories_2017!$V$3:$AI$63,BG$262,$BL263)</f>
        <v>1</v>
      </c>
      <c r="BH263" s="1">
        <f>INDEX(tblTerritories_2017!$V$3:$AI$63,BH$262,$BL263)</f>
        <v>1</v>
      </c>
      <c r="BI263" s="1">
        <f>INDEX(tblTerritories_2017!$V$3:$AI$63,BI$262,$BL263)</f>
        <v>1</v>
      </c>
      <c r="BJ263" s="1">
        <f>INDEX(tblTerritories_2017!$V$3:$AI$63,BJ$262,$BL263)</f>
        <v>0</v>
      </c>
      <c r="BL263" s="1">
        <f>BL262+1</f>
        <v>1</v>
      </c>
    </row>
    <row r="264" spans="1:64">
      <c r="A264" s="1" t="str">
        <f>tblTerritories!S5</f>
        <v>Asia Pacific</v>
      </c>
      <c r="B264" s="1">
        <f>INDEX(tblTerritories_2017!$V$3:$AI$63,B$262,$BL264)</f>
        <v>0</v>
      </c>
      <c r="C264" s="1">
        <f>INDEX(tblTerritories_2017!$V$3:$AI$63,C$262,$BL264)</f>
        <v>0</v>
      </c>
      <c r="D264" s="1">
        <f>INDEX(tblTerritories_2017!$V$3:$AI$63,D$262,$BL264)</f>
        <v>0</v>
      </c>
      <c r="E264" s="1">
        <f>INDEX(tblTerritories_2017!$V$3:$AI$63,E$262,$BL264)</f>
        <v>1</v>
      </c>
      <c r="F264" s="1">
        <f>INDEX(tblTerritories_2017!$V$3:$AI$63,F$262,$BL264)</f>
        <v>0</v>
      </c>
      <c r="G264" s="1">
        <f>INDEX(tblTerritories_2017!$V$3:$AI$63,G$262,$BL264)</f>
        <v>1</v>
      </c>
      <c r="H264" s="1">
        <f>INDEX(tblTerritories_2017!$V$3:$AI$63,H$262,$BL264)</f>
        <v>0</v>
      </c>
      <c r="I264" s="1">
        <f>INDEX(tblTerritories_2017!$V$3:$AI$63,I$262,$BL264)</f>
        <v>0</v>
      </c>
      <c r="J264" s="1">
        <f>INDEX(tblTerritories_2017!$V$3:$AI$63,J$262,$BL264)</f>
        <v>0</v>
      </c>
      <c r="K264" s="1">
        <f>INDEX(tblTerritories_2017!$V$3:$AI$63,K$262,$BL264)</f>
        <v>0</v>
      </c>
      <c r="L264" s="1">
        <f>INDEX(tblTerritories_2017!$V$3:$AI$63,L$262,$BL264)</f>
        <v>0</v>
      </c>
      <c r="M264" s="1">
        <f>INDEX(tblTerritories_2017!$V$3:$AI$63,M$262,$BL264)</f>
        <v>0</v>
      </c>
      <c r="N264" s="1">
        <f>INDEX(tblTerritories_2017!$V$3:$AI$63,N$262,$BL264)</f>
        <v>0</v>
      </c>
      <c r="O264" s="1">
        <f>INDEX(tblTerritories_2017!$V$3:$AI$63,O$262,$BL264)</f>
        <v>0</v>
      </c>
      <c r="P264" s="1">
        <f>INDEX(tblTerritories_2017!$V$3:$AI$63,P$262,$BL264)</f>
        <v>1</v>
      </c>
      <c r="Q264" s="1">
        <f>INDEX(tblTerritories_2017!$V$3:$AI$63,Q$262,$BL264)</f>
        <v>1</v>
      </c>
      <c r="R264" s="1">
        <f>INDEX(tblTerritories_2017!$V$3:$AI$63,R$262,$BL264)</f>
        <v>0</v>
      </c>
      <c r="S264" s="1">
        <f>INDEX(tblTerritories_2017!$V$3:$AI$63,S$262,$BL264)</f>
        <v>0</v>
      </c>
      <c r="T264" s="1">
        <f>INDEX(tblTerritories_2017!$V$3:$AI$63,T$262,$BL264)</f>
        <v>1</v>
      </c>
      <c r="U264" s="1">
        <f>INDEX(tblTerritories_2017!$V$3:$AI$63,U$262,$BL264)</f>
        <v>1</v>
      </c>
      <c r="V264" s="1">
        <f>INDEX(tblTerritories_2017!$V$3:$AI$63,V$262,$BL264)</f>
        <v>0</v>
      </c>
      <c r="W264" s="1">
        <f>INDEX(tblTerritories_2017!$V$3:$AI$63,W$262,$BL264)</f>
        <v>1</v>
      </c>
      <c r="X264" s="1">
        <f>INDEX(tblTerritories_2017!$V$3:$AI$63,X$262,$BL264)</f>
        <v>0</v>
      </c>
      <c r="Y264" s="1">
        <f>INDEX(tblTerritories_2017!$V$3:$AI$63,Y$262,$BL264)</f>
        <v>0</v>
      </c>
      <c r="Z264" s="1">
        <f>INDEX(tblTerritories_2017!$V$3:$AI$63,Z$262,$BL264)</f>
        <v>1</v>
      </c>
      <c r="AA264" s="1">
        <f>INDEX(tblTerritories_2017!$V$3:$AI$63,AA$262,$BL264)</f>
        <v>1</v>
      </c>
      <c r="AB264" s="1">
        <f>INDEX(tblTerritories_2017!$V$3:$AI$63,AB$262,$BL264)</f>
        <v>0</v>
      </c>
      <c r="AC264" s="1">
        <f>INDEX(tblTerritories_2017!$V$3:$AI$63,AC$262,$BL264)</f>
        <v>0</v>
      </c>
      <c r="AD264" s="1">
        <f>INDEX(tblTerritories_2017!$V$3:$AI$63,AD$262,$BL264)</f>
        <v>0</v>
      </c>
      <c r="AE264" s="1">
        <f>INDEX(tblTerritories_2017!$V$3:$AI$63,AE$262,$BL264)</f>
        <v>0</v>
      </c>
      <c r="AF264" s="1">
        <f>INDEX(tblTerritories_2017!$V$3:$AI$63,AF$262,$BL264)</f>
        <v>0</v>
      </c>
      <c r="AG264" s="1">
        <f>INDEX(tblTerritories_2017!$V$3:$AI$63,AG$262,$BL264)</f>
        <v>1</v>
      </c>
      <c r="AH264" s="1">
        <f>INDEX(tblTerritories_2017!$V$3:$AI$63,AH$262,$BL264)</f>
        <v>1</v>
      </c>
      <c r="AI264" s="1">
        <f>INDEX(tblTerritories_2017!$V$3:$AI$63,AI$262,$BL264)</f>
        <v>0</v>
      </c>
      <c r="AJ264" s="1">
        <f>INDEX(tblTerritories_2017!$V$3:$AI$63,AJ$262,$BL264)</f>
        <v>0</v>
      </c>
      <c r="AK264" s="1">
        <f>INDEX(tblTerritories_2017!$V$3:$AI$63,AK$262,$BL264)</f>
        <v>0</v>
      </c>
      <c r="AL264" s="1">
        <f>INDEX(tblTerritories_2017!$V$3:$AI$63,AL$262,$BL264)</f>
        <v>1</v>
      </c>
      <c r="AM264" s="1">
        <f>INDEX(tblTerritories_2017!$V$3:$AI$63,AM$262,$BL264)</f>
        <v>0</v>
      </c>
      <c r="AN264" s="1">
        <f>INDEX(tblTerritories_2017!$V$3:$AI$63,AN$262,$BL264)</f>
        <v>1</v>
      </c>
      <c r="AO264" s="1">
        <f>INDEX(tblTerritories_2017!$V$3:$AI$63,AO$262,$BL264)</f>
        <v>0</v>
      </c>
      <c r="AP264" s="1">
        <f>INDEX(tblTerritories_2017!$V$3:$AI$63,AP$262,$BL264)</f>
        <v>0</v>
      </c>
      <c r="AQ264" s="1">
        <f>INDEX(tblTerritories_2017!$V$3:$AI$63,AQ$262,$BL264)</f>
        <v>0</v>
      </c>
      <c r="AR264" s="1">
        <f>INDEX(tblTerritories_2017!$V$3:$AI$63,AR$262,$BL264)</f>
        <v>0</v>
      </c>
      <c r="AS264" s="1">
        <f>INDEX(tblTerritories_2017!$V$3:$AI$63,AS$262,$BL264)</f>
        <v>0</v>
      </c>
      <c r="AT264" s="1">
        <f>INDEX(tblTerritories_2017!$V$3:$AI$63,AT$262,$BL264)</f>
        <v>0</v>
      </c>
      <c r="AU264" s="1">
        <f>INDEX(tblTerritories_2017!$V$3:$AI$63,AU$262,$BL264)</f>
        <v>0</v>
      </c>
      <c r="AV264" s="1">
        <f>INDEX(tblTerritories_2017!$V$3:$AI$63,AV$262,$BL264)</f>
        <v>0</v>
      </c>
      <c r="AW264" s="1">
        <f>INDEX(tblTerritories_2017!$V$3:$AI$63,AW$262,$BL264)</f>
        <v>1</v>
      </c>
      <c r="AX264" s="1">
        <f>INDEX(tblTerritories_2017!$V$3:$AI$63,AX$262,$BL264)</f>
        <v>1</v>
      </c>
      <c r="AY264" s="1">
        <f>INDEX(tblTerritories_2017!$V$3:$AI$63,AY$262,$BL264)</f>
        <v>1</v>
      </c>
      <c r="AZ264" s="1">
        <f>INDEX(tblTerritories_2017!$V$3:$AI$63,AZ$262,$BL264)</f>
        <v>0</v>
      </c>
      <c r="BA264" s="1">
        <f>INDEX(tblTerritories_2017!$V$3:$AI$63,BA$262,$BL264)</f>
        <v>1</v>
      </c>
      <c r="BB264" s="1">
        <f>INDEX(tblTerritories_2017!$V$3:$AI$63,BB$262,$BL264)</f>
        <v>1</v>
      </c>
      <c r="BC264" s="1">
        <f>INDEX(tblTerritories_2017!$V$3:$AI$63,BC$262,$BL264)</f>
        <v>0</v>
      </c>
      <c r="BD264" s="1">
        <f>INDEX(tblTerritories_2017!$V$3:$AI$63,BD$262,$BL264)</f>
        <v>1</v>
      </c>
      <c r="BE264" s="1">
        <f>INDEX(tblTerritories_2017!$V$3:$AI$63,BE$262,$BL264)</f>
        <v>0</v>
      </c>
      <c r="BF264" s="1">
        <f>INDEX(tblTerritories_2017!$V$3:$AI$63,BF$262,$BL264)</f>
        <v>0</v>
      </c>
      <c r="BG264" s="1">
        <f>INDEX(tblTerritories_2017!$V$3:$AI$63,BG$262,$BL264)</f>
        <v>1</v>
      </c>
      <c r="BH264" s="1">
        <f>INDEX(tblTerritories_2017!$V$3:$AI$63,BH$262,$BL264)</f>
        <v>1</v>
      </c>
      <c r="BI264" s="1">
        <f>INDEX(tblTerritories_2017!$V$3:$AI$63,BI$262,$BL264)</f>
        <v>0</v>
      </c>
      <c r="BJ264" s="1">
        <f>INDEX(tblTerritories_2017!$V$3:$AI$63,BJ$262,$BL264)</f>
        <v>0</v>
      </c>
      <c r="BL264" s="1">
        <f t="shared" ref="BL264:BL271" si="283">BL263+1</f>
        <v>2</v>
      </c>
    </row>
    <row r="265" spans="1:64">
      <c r="A265" s="1" t="str">
        <f>tblTerritories!S6</f>
        <v>Europe</v>
      </c>
      <c r="B265" s="1">
        <f>INDEX(tblTerritories_2017!$V$3:$AI$63,B$262,$BL265)</f>
        <v>0</v>
      </c>
      <c r="C265" s="1">
        <f>INDEX(tblTerritories_2017!$V$3:$AI$63,C$262,$BL265)</f>
        <v>1</v>
      </c>
      <c r="D265" s="1">
        <f>INDEX(tblTerritories_2017!$V$3:$AI$63,D$262,$BL265)</f>
        <v>1</v>
      </c>
      <c r="E265" s="1">
        <f>INDEX(tblTerritories_2017!$V$3:$AI$63,E$262,$BL265)</f>
        <v>0</v>
      </c>
      <c r="F265" s="1">
        <f>INDEX(tblTerritories_2017!$V$3:$AI$63,F$262,$BL265)</f>
        <v>1</v>
      </c>
      <c r="G265" s="1">
        <f>INDEX(tblTerritories_2017!$V$3:$AI$63,G$262,$BL265)</f>
        <v>0</v>
      </c>
      <c r="H265" s="1">
        <f>INDEX(tblTerritories_2017!$V$3:$AI$63,H$262,$BL265)</f>
        <v>0</v>
      </c>
      <c r="I265" s="1">
        <f>INDEX(tblTerritories_2017!$V$3:$AI$63,I$262,$BL265)</f>
        <v>1</v>
      </c>
      <c r="J265" s="1">
        <f>INDEX(tblTerritories_2017!$V$3:$AI$63,J$262,$BL265)</f>
        <v>0</v>
      </c>
      <c r="K265" s="1">
        <f>INDEX(tblTerritories_2017!$V$3:$AI$63,K$262,$BL265)</f>
        <v>0</v>
      </c>
      <c r="L265" s="1">
        <f>INDEX(tblTerritories_2017!$V$3:$AI$63,L$262,$BL265)</f>
        <v>0</v>
      </c>
      <c r="M265" s="1">
        <f>INDEX(tblTerritories_2017!$V$3:$AI$63,M$262,$BL265)</f>
        <v>0</v>
      </c>
      <c r="N265" s="1">
        <f>INDEX(tblTerritories_2017!$V$3:$AI$63,N$262,$BL265)</f>
        <v>0</v>
      </c>
      <c r="O265" s="1">
        <f>INDEX(tblTerritories_2017!$V$3:$AI$63,O$262,$BL265)</f>
        <v>0</v>
      </c>
      <c r="P265" s="1">
        <f>INDEX(tblTerritories_2017!$V$3:$AI$63,P$262,$BL265)</f>
        <v>0</v>
      </c>
      <c r="Q265" s="1">
        <f>INDEX(tblTerritories_2017!$V$3:$AI$63,Q$262,$BL265)</f>
        <v>0</v>
      </c>
      <c r="R265" s="1">
        <f>INDEX(tblTerritories_2017!$V$3:$AI$63,R$262,$BL265)</f>
        <v>0</v>
      </c>
      <c r="S265" s="1">
        <f>INDEX(tblTerritories_2017!$V$3:$AI$63,S$262,$BL265)</f>
        <v>1</v>
      </c>
      <c r="T265" s="1">
        <f>INDEX(tblTerritories_2017!$V$3:$AI$63,T$262,$BL265)</f>
        <v>0</v>
      </c>
      <c r="U265" s="1">
        <f>INDEX(tblTerritories_2017!$V$3:$AI$63,U$262,$BL265)</f>
        <v>0</v>
      </c>
      <c r="V265" s="1">
        <f>INDEX(tblTerritories_2017!$V$3:$AI$63,V$262,$BL265)</f>
        <v>1</v>
      </c>
      <c r="W265" s="1">
        <f>INDEX(tblTerritories_2017!$V$3:$AI$63,W$262,$BL265)</f>
        <v>0</v>
      </c>
      <c r="X265" s="1">
        <f>INDEX(tblTerritories_2017!$V$3:$AI$63,X$262,$BL265)</f>
        <v>0</v>
      </c>
      <c r="Y265" s="1">
        <f>INDEX(tblTerritories_2017!$V$3:$AI$63,Y$262,$BL265)</f>
        <v>0</v>
      </c>
      <c r="Z265" s="1">
        <f>INDEX(tblTerritories_2017!$V$3:$AI$63,Z$262,$BL265)</f>
        <v>0</v>
      </c>
      <c r="AA265" s="1">
        <f>INDEX(tblTerritories_2017!$V$3:$AI$63,AA$262,$BL265)</f>
        <v>0</v>
      </c>
      <c r="AB265" s="1">
        <f>INDEX(tblTerritories_2017!$V$3:$AI$63,AB$262,$BL265)</f>
        <v>0</v>
      </c>
      <c r="AC265" s="1">
        <f>INDEX(tblTerritories_2017!$V$3:$AI$63,AC$262,$BL265)</f>
        <v>0</v>
      </c>
      <c r="AD265" s="1">
        <f>INDEX(tblTerritories_2017!$V$3:$AI$63,AD$262,$BL265)</f>
        <v>1</v>
      </c>
      <c r="AE265" s="1">
        <f>INDEX(tblTerritories_2017!$V$3:$AI$63,AE$262,$BL265)</f>
        <v>0</v>
      </c>
      <c r="AF265" s="1">
        <f>INDEX(tblTerritories_2017!$V$3:$AI$63,AF$262,$BL265)</f>
        <v>1</v>
      </c>
      <c r="AG265" s="1">
        <f>INDEX(tblTerritories_2017!$V$3:$AI$63,AG$262,$BL265)</f>
        <v>0</v>
      </c>
      <c r="AH265" s="1">
        <f>INDEX(tblTerritories_2017!$V$3:$AI$63,AH$262,$BL265)</f>
        <v>0</v>
      </c>
      <c r="AI265" s="1">
        <f>INDEX(tblTerritories_2017!$V$3:$AI$63,AI$262,$BL265)</f>
        <v>0</v>
      </c>
      <c r="AJ265" s="1">
        <f>INDEX(tblTerritories_2017!$V$3:$AI$63,AJ$262,$BL265)</f>
        <v>1</v>
      </c>
      <c r="AK265" s="1">
        <f>INDEX(tblTerritories_2017!$V$3:$AI$63,AK$262,$BL265)</f>
        <v>1</v>
      </c>
      <c r="AL265" s="1">
        <f>INDEX(tblTerritories_2017!$V$3:$AI$63,AL$262,$BL265)</f>
        <v>0</v>
      </c>
      <c r="AM265" s="1">
        <f>INDEX(tblTerritories_2017!$V$3:$AI$63,AM$262,$BL265)</f>
        <v>0</v>
      </c>
      <c r="AN265" s="1">
        <f>INDEX(tblTerritories_2017!$V$3:$AI$63,AN$262,$BL265)</f>
        <v>0</v>
      </c>
      <c r="AO265" s="1">
        <f>INDEX(tblTerritories_2017!$V$3:$AI$63,AO$262,$BL265)</f>
        <v>1</v>
      </c>
      <c r="AP265" s="1">
        <f>INDEX(tblTerritories_2017!$V$3:$AI$63,AP$262,$BL265)</f>
        <v>0</v>
      </c>
      <c r="AQ265" s="1">
        <f>INDEX(tblTerritories_2017!$V$3:$AI$63,AQ$262,$BL265)</f>
        <v>0</v>
      </c>
      <c r="AR265" s="1">
        <f>INDEX(tblTerritories_2017!$V$3:$AI$63,AR$262,$BL265)</f>
        <v>0</v>
      </c>
      <c r="AS265" s="1">
        <f>INDEX(tblTerritories_2017!$V$3:$AI$63,AS$262,$BL265)</f>
        <v>1</v>
      </c>
      <c r="AT265" s="1">
        <f>INDEX(tblTerritories_2017!$V$3:$AI$63,AT$262,$BL265)</f>
        <v>0</v>
      </c>
      <c r="AU265" s="1">
        <f>INDEX(tblTerritories_2017!$V$3:$AI$63,AU$262,$BL265)</f>
        <v>0</v>
      </c>
      <c r="AV265" s="1">
        <f>INDEX(tblTerritories_2017!$V$3:$AI$63,AV$262,$BL265)</f>
        <v>0</v>
      </c>
      <c r="AW265" s="1">
        <f>INDEX(tblTerritories_2017!$V$3:$AI$63,AW$262,$BL265)</f>
        <v>0</v>
      </c>
      <c r="AX265" s="1">
        <f>INDEX(tblTerritories_2017!$V$3:$AI$63,AX$262,$BL265)</f>
        <v>0</v>
      </c>
      <c r="AY265" s="1">
        <f>INDEX(tblTerritories_2017!$V$3:$AI$63,AY$262,$BL265)</f>
        <v>0</v>
      </c>
      <c r="AZ265" s="1">
        <f>INDEX(tblTerritories_2017!$V$3:$AI$63,AZ$262,$BL265)</f>
        <v>1</v>
      </c>
      <c r="BA265" s="1">
        <f>INDEX(tblTerritories_2017!$V$3:$AI$63,BA$262,$BL265)</f>
        <v>0</v>
      </c>
      <c r="BB265" s="1">
        <f>INDEX(tblTerritories_2017!$V$3:$AI$63,BB$262,$BL265)</f>
        <v>0</v>
      </c>
      <c r="BC265" s="1">
        <f>INDEX(tblTerritories_2017!$V$3:$AI$63,BC$262,$BL265)</f>
        <v>0</v>
      </c>
      <c r="BD265" s="1">
        <f>INDEX(tblTerritories_2017!$V$3:$AI$63,BD$262,$BL265)</f>
        <v>0</v>
      </c>
      <c r="BE265" s="1">
        <f>INDEX(tblTerritories_2017!$V$3:$AI$63,BE$262,$BL265)</f>
        <v>0</v>
      </c>
      <c r="BF265" s="1">
        <f>INDEX(tblTerritories_2017!$V$3:$AI$63,BF$262,$BL265)</f>
        <v>0</v>
      </c>
      <c r="BG265" s="1">
        <f>INDEX(tblTerritories_2017!$V$3:$AI$63,BG$262,$BL265)</f>
        <v>0</v>
      </c>
      <c r="BH265" s="1">
        <f>INDEX(tblTerritories_2017!$V$3:$AI$63,BH$262,$BL265)</f>
        <v>0</v>
      </c>
      <c r="BI265" s="1">
        <f>INDEX(tblTerritories_2017!$V$3:$AI$63,BI$262,$BL265)</f>
        <v>1</v>
      </c>
      <c r="BJ265" s="1">
        <f>INDEX(tblTerritories_2017!$V$3:$AI$63,BJ$262,$BL265)</f>
        <v>0</v>
      </c>
      <c r="BL265" s="1">
        <f t="shared" si="283"/>
        <v>3</v>
      </c>
    </row>
    <row r="266" spans="1:64">
      <c r="A266" s="1" t="str">
        <f>tblTerritories!S7</f>
        <v>Latin America</v>
      </c>
      <c r="B266" s="1">
        <f>INDEX(tblTerritories_2017!$V$3:$AI$63,B$262,$BL266)</f>
        <v>0</v>
      </c>
      <c r="C266" s="1">
        <f>INDEX(tblTerritories_2017!$V$3:$AI$63,C$262,$BL266)</f>
        <v>0</v>
      </c>
      <c r="D266" s="1">
        <f>INDEX(tblTerritories_2017!$V$3:$AI$63,D$262,$BL266)</f>
        <v>0</v>
      </c>
      <c r="E266" s="1">
        <f>INDEX(tblTerritories_2017!$V$3:$AI$63,E$262,$BL266)</f>
        <v>0</v>
      </c>
      <c r="F266" s="1">
        <f>INDEX(tblTerritories_2017!$V$3:$AI$63,F$262,$BL266)</f>
        <v>0</v>
      </c>
      <c r="G266" s="1">
        <f>INDEX(tblTerritories_2017!$V$3:$AI$63,G$262,$BL266)</f>
        <v>0</v>
      </c>
      <c r="H266" s="1">
        <f>INDEX(tblTerritories_2017!$V$3:$AI$63,H$262,$BL266)</f>
        <v>1</v>
      </c>
      <c r="I266" s="1">
        <f>INDEX(tblTerritories_2017!$V$3:$AI$63,I$262,$BL266)</f>
        <v>0</v>
      </c>
      <c r="J266" s="1">
        <f>INDEX(tblTerritories_2017!$V$3:$AI$63,J$262,$BL266)</f>
        <v>1</v>
      </c>
      <c r="K266" s="1">
        <f>INDEX(tblTerritories_2017!$V$3:$AI$63,K$262,$BL266)</f>
        <v>0</v>
      </c>
      <c r="L266" s="1">
        <f>INDEX(tblTerritories_2017!$V$3:$AI$63,L$262,$BL266)</f>
        <v>1</v>
      </c>
      <c r="M266" s="1">
        <f>INDEX(tblTerritories_2017!$V$3:$AI$63,M$262,$BL266)</f>
        <v>0</v>
      </c>
      <c r="N266" s="1">
        <f>INDEX(tblTerritories_2017!$V$3:$AI$63,N$262,$BL266)</f>
        <v>0</v>
      </c>
      <c r="O266" s="1">
        <f>INDEX(tblTerritories_2017!$V$3:$AI$63,O$262,$BL266)</f>
        <v>0</v>
      </c>
      <c r="P266" s="1">
        <f>INDEX(tblTerritories_2017!$V$3:$AI$63,P$262,$BL266)</f>
        <v>0</v>
      </c>
      <c r="Q266" s="1">
        <f>INDEX(tblTerritories_2017!$V$3:$AI$63,Q$262,$BL266)</f>
        <v>0</v>
      </c>
      <c r="R266" s="1">
        <f>INDEX(tblTerritories_2017!$V$3:$AI$63,R$262,$BL266)</f>
        <v>0</v>
      </c>
      <c r="S266" s="1">
        <f>INDEX(tblTerritories_2017!$V$3:$AI$63,S$262,$BL266)</f>
        <v>0</v>
      </c>
      <c r="T266" s="1">
        <f>INDEX(tblTerritories_2017!$V$3:$AI$63,T$262,$BL266)</f>
        <v>0</v>
      </c>
      <c r="U266" s="1">
        <f>INDEX(tblTerritories_2017!$V$3:$AI$63,U$262,$BL266)</f>
        <v>0</v>
      </c>
      <c r="V266" s="1">
        <f>INDEX(tblTerritories_2017!$V$3:$AI$63,V$262,$BL266)</f>
        <v>0</v>
      </c>
      <c r="W266" s="1">
        <f>INDEX(tblTerritories_2017!$V$3:$AI$63,W$262,$BL266)</f>
        <v>0</v>
      </c>
      <c r="X266" s="1">
        <f>INDEX(tblTerritories_2017!$V$3:$AI$63,X$262,$BL266)</f>
        <v>0</v>
      </c>
      <c r="Y266" s="1">
        <f>INDEX(tblTerritories_2017!$V$3:$AI$63,Y$262,$BL266)</f>
        <v>0</v>
      </c>
      <c r="Z266" s="1">
        <f>INDEX(tblTerritories_2017!$V$3:$AI$63,Z$262,$BL266)</f>
        <v>0</v>
      </c>
      <c r="AA266" s="1">
        <f>INDEX(tblTerritories_2017!$V$3:$AI$63,AA$262,$BL266)</f>
        <v>0</v>
      </c>
      <c r="AB266" s="1">
        <f>INDEX(tblTerritories_2017!$V$3:$AI$63,AB$262,$BL266)</f>
        <v>0</v>
      </c>
      <c r="AC266" s="1">
        <f>INDEX(tblTerritories_2017!$V$3:$AI$63,AC$262,$BL266)</f>
        <v>1</v>
      </c>
      <c r="AD266" s="1">
        <f>INDEX(tblTerritories_2017!$V$3:$AI$63,AD$262,$BL266)</f>
        <v>0</v>
      </c>
      <c r="AE266" s="1">
        <f>INDEX(tblTerritories_2017!$V$3:$AI$63,AE$262,$BL266)</f>
        <v>0</v>
      </c>
      <c r="AF266" s="1">
        <f>INDEX(tblTerritories_2017!$V$3:$AI$63,AF$262,$BL266)</f>
        <v>0</v>
      </c>
      <c r="AG266" s="1">
        <f>INDEX(tblTerritories_2017!$V$3:$AI$63,AG$262,$BL266)</f>
        <v>0</v>
      </c>
      <c r="AH266" s="1">
        <f>INDEX(tblTerritories_2017!$V$3:$AI$63,AH$262,$BL266)</f>
        <v>0</v>
      </c>
      <c r="AI266" s="1">
        <f>INDEX(tblTerritories_2017!$V$3:$AI$63,AI$262,$BL266)</f>
        <v>1</v>
      </c>
      <c r="AJ266" s="1">
        <f>INDEX(tblTerritories_2017!$V$3:$AI$63,AJ$262,$BL266)</f>
        <v>0</v>
      </c>
      <c r="AK266" s="1">
        <f>INDEX(tblTerritories_2017!$V$3:$AI$63,AK$262,$BL266)</f>
        <v>0</v>
      </c>
      <c r="AL266" s="1">
        <f>INDEX(tblTerritories_2017!$V$3:$AI$63,AL$262,$BL266)</f>
        <v>0</v>
      </c>
      <c r="AM266" s="1">
        <f>INDEX(tblTerritories_2017!$V$3:$AI$63,AM$262,$BL266)</f>
        <v>0</v>
      </c>
      <c r="AN266" s="1">
        <f>INDEX(tblTerritories_2017!$V$3:$AI$63,AN$262,$BL266)</f>
        <v>0</v>
      </c>
      <c r="AO266" s="1">
        <f>INDEX(tblTerritories_2017!$V$3:$AI$63,AO$262,$BL266)</f>
        <v>0</v>
      </c>
      <c r="AP266" s="1">
        <f>INDEX(tblTerritories_2017!$V$3:$AI$63,AP$262,$BL266)</f>
        <v>1</v>
      </c>
      <c r="AQ266" s="1">
        <f>INDEX(tblTerritories_2017!$V$3:$AI$63,AQ$262,$BL266)</f>
        <v>1</v>
      </c>
      <c r="AR266" s="1">
        <f>INDEX(tblTerritories_2017!$V$3:$AI$63,AR$262,$BL266)</f>
        <v>0</v>
      </c>
      <c r="AS266" s="1">
        <f>INDEX(tblTerritories_2017!$V$3:$AI$63,AS$262,$BL266)</f>
        <v>0</v>
      </c>
      <c r="AT266" s="1">
        <f>INDEX(tblTerritories_2017!$V$3:$AI$63,AT$262,$BL266)</f>
        <v>0</v>
      </c>
      <c r="AU266" s="1">
        <f>INDEX(tblTerritories_2017!$V$3:$AI$63,AU$262,$BL266)</f>
        <v>1</v>
      </c>
      <c r="AV266" s="1">
        <f>INDEX(tblTerritories_2017!$V$3:$AI$63,AV$262,$BL266)</f>
        <v>1</v>
      </c>
      <c r="AW266" s="1">
        <f>INDEX(tblTerritories_2017!$V$3:$AI$63,AW$262,$BL266)</f>
        <v>0</v>
      </c>
      <c r="AX266" s="1">
        <f>INDEX(tblTerritories_2017!$V$3:$AI$63,AX$262,$BL266)</f>
        <v>0</v>
      </c>
      <c r="AY266" s="1">
        <f>INDEX(tblTerritories_2017!$V$3:$AI$63,AY$262,$BL266)</f>
        <v>0</v>
      </c>
      <c r="AZ266" s="1">
        <f>INDEX(tblTerritories_2017!$V$3:$AI$63,AZ$262,$BL266)</f>
        <v>0</v>
      </c>
      <c r="BA266" s="1">
        <f>INDEX(tblTerritories_2017!$V$3:$AI$63,BA$262,$BL266)</f>
        <v>0</v>
      </c>
      <c r="BB266" s="1">
        <f>INDEX(tblTerritories_2017!$V$3:$AI$63,BB$262,$BL266)</f>
        <v>0</v>
      </c>
      <c r="BC266" s="1">
        <f>INDEX(tblTerritories_2017!$V$3:$AI$63,BC$262,$BL266)</f>
        <v>0</v>
      </c>
      <c r="BD266" s="1">
        <f>INDEX(tblTerritories_2017!$V$3:$AI$63,BD$262,$BL266)</f>
        <v>0</v>
      </c>
      <c r="BE266" s="1">
        <f>INDEX(tblTerritories_2017!$V$3:$AI$63,BE$262,$BL266)</f>
        <v>0</v>
      </c>
      <c r="BF266" s="1">
        <f>INDEX(tblTerritories_2017!$V$3:$AI$63,BF$262,$BL266)</f>
        <v>0</v>
      </c>
      <c r="BG266" s="1">
        <f>INDEX(tblTerritories_2017!$V$3:$AI$63,BG$262,$BL266)</f>
        <v>0</v>
      </c>
      <c r="BH266" s="1">
        <f>INDEX(tblTerritories_2017!$V$3:$AI$63,BH$262,$BL266)</f>
        <v>0</v>
      </c>
      <c r="BI266" s="1">
        <f>INDEX(tblTerritories_2017!$V$3:$AI$63,BI$262,$BL266)</f>
        <v>0</v>
      </c>
      <c r="BJ266" s="1">
        <f>INDEX(tblTerritories_2017!$V$3:$AI$63,BJ$262,$BL266)</f>
        <v>0</v>
      </c>
      <c r="BL266" s="1">
        <f t="shared" si="283"/>
        <v>4</v>
      </c>
    </row>
    <row r="267" spans="1:64">
      <c r="A267" s="1" t="str">
        <f>tblTerritories!S8</f>
        <v>Middle East and Africa</v>
      </c>
      <c r="B267" s="1">
        <f>INDEX(tblTerritories_2017!$V$3:$AI$63,B$262,$BL267)</f>
        <v>1</v>
      </c>
      <c r="C267" s="1">
        <f>INDEX(tblTerritories_2017!$V$3:$AI$63,C$262,$BL267)</f>
        <v>0</v>
      </c>
      <c r="D267" s="1">
        <f>INDEX(tblTerritories_2017!$V$3:$AI$63,D$262,$BL267)</f>
        <v>0</v>
      </c>
      <c r="E267" s="1">
        <f>INDEX(tblTerritories_2017!$V$3:$AI$63,E$262,$BL267)</f>
        <v>0</v>
      </c>
      <c r="F267" s="1">
        <f>INDEX(tblTerritories_2017!$V$3:$AI$63,F$262,$BL267)</f>
        <v>0</v>
      </c>
      <c r="G267" s="1">
        <f>INDEX(tblTerritories_2017!$V$3:$AI$63,G$262,$BL267)</f>
        <v>0</v>
      </c>
      <c r="H267" s="1">
        <f>INDEX(tblTerritories_2017!$V$3:$AI$63,H$262,$BL267)</f>
        <v>0</v>
      </c>
      <c r="I267" s="1">
        <f>INDEX(tblTerritories_2017!$V$3:$AI$63,I$262,$BL267)</f>
        <v>0</v>
      </c>
      <c r="J267" s="1">
        <f>INDEX(tblTerritories_2017!$V$3:$AI$63,J$262,$BL267)</f>
        <v>0</v>
      </c>
      <c r="K267" s="1">
        <f>INDEX(tblTerritories_2017!$V$3:$AI$63,K$262,$BL267)</f>
        <v>1</v>
      </c>
      <c r="L267" s="1">
        <f>INDEX(tblTerritories_2017!$V$3:$AI$63,L$262,$BL267)</f>
        <v>0</v>
      </c>
      <c r="M267" s="1">
        <f>INDEX(tblTerritories_2017!$V$3:$AI$63,M$262,$BL267)</f>
        <v>1</v>
      </c>
      <c r="N267" s="1">
        <f>INDEX(tblTerritories_2017!$V$3:$AI$63,N$262,$BL267)</f>
        <v>0</v>
      </c>
      <c r="O267" s="1">
        <f>INDEX(tblTerritories_2017!$V$3:$AI$63,O$262,$BL267)</f>
        <v>0</v>
      </c>
      <c r="P267" s="1">
        <f>INDEX(tblTerritories_2017!$V$3:$AI$63,P$262,$BL267)</f>
        <v>0</v>
      </c>
      <c r="Q267" s="1">
        <f>INDEX(tblTerritories_2017!$V$3:$AI$63,Q$262,$BL267)</f>
        <v>0</v>
      </c>
      <c r="R267" s="1">
        <f>INDEX(tblTerritories_2017!$V$3:$AI$63,R$262,$BL267)</f>
        <v>1</v>
      </c>
      <c r="S267" s="1">
        <f>INDEX(tblTerritories_2017!$V$3:$AI$63,S$262,$BL267)</f>
        <v>0</v>
      </c>
      <c r="T267" s="1">
        <f>INDEX(tblTerritories_2017!$V$3:$AI$63,T$262,$BL267)</f>
        <v>0</v>
      </c>
      <c r="U267" s="1">
        <f>INDEX(tblTerritories_2017!$V$3:$AI$63,U$262,$BL267)</f>
        <v>0</v>
      </c>
      <c r="V267" s="1">
        <f>INDEX(tblTerritories_2017!$V$3:$AI$63,V$262,$BL267)</f>
        <v>0</v>
      </c>
      <c r="W267" s="1">
        <f>INDEX(tblTerritories_2017!$V$3:$AI$63,W$262,$BL267)</f>
        <v>0</v>
      </c>
      <c r="X267" s="1">
        <f>INDEX(tblTerritories_2017!$V$3:$AI$63,X$262,$BL267)</f>
        <v>1</v>
      </c>
      <c r="Y267" s="1">
        <f>INDEX(tblTerritories_2017!$V$3:$AI$63,Y$262,$BL267)</f>
        <v>1</v>
      </c>
      <c r="Z267" s="1">
        <f>INDEX(tblTerritories_2017!$V$3:$AI$63,Z$262,$BL267)</f>
        <v>0</v>
      </c>
      <c r="AA267" s="1">
        <f>INDEX(tblTerritories_2017!$V$3:$AI$63,AA$262,$BL267)</f>
        <v>0</v>
      </c>
      <c r="AB267" s="1">
        <f>INDEX(tblTerritories_2017!$V$3:$AI$63,AB$262,$BL267)</f>
        <v>1</v>
      </c>
      <c r="AC267" s="1">
        <f>INDEX(tblTerritories_2017!$V$3:$AI$63,AC$262,$BL267)</f>
        <v>0</v>
      </c>
      <c r="AD267" s="1">
        <f>INDEX(tblTerritories_2017!$V$3:$AI$63,AD$262,$BL267)</f>
        <v>0</v>
      </c>
      <c r="AE267" s="1">
        <f>INDEX(tblTerritories_2017!$V$3:$AI$63,AE$262,$BL267)</f>
        <v>0</v>
      </c>
      <c r="AF267" s="1">
        <f>INDEX(tblTerritories_2017!$V$3:$AI$63,AF$262,$BL267)</f>
        <v>0</v>
      </c>
      <c r="AG267" s="1">
        <f>INDEX(tblTerritories_2017!$V$3:$AI$63,AG$262,$BL267)</f>
        <v>0</v>
      </c>
      <c r="AH267" s="1">
        <f>INDEX(tblTerritories_2017!$V$3:$AI$63,AH$262,$BL267)</f>
        <v>0</v>
      </c>
      <c r="AI267" s="1">
        <f>INDEX(tblTerritories_2017!$V$3:$AI$63,AI$262,$BL267)</f>
        <v>0</v>
      </c>
      <c r="AJ267" s="1">
        <f>INDEX(tblTerritories_2017!$V$3:$AI$63,AJ$262,$BL267)</f>
        <v>0</v>
      </c>
      <c r="AK267" s="1">
        <f>INDEX(tblTerritories_2017!$V$3:$AI$63,AK$262,$BL267)</f>
        <v>0</v>
      </c>
      <c r="AL267" s="1">
        <f>INDEX(tblTerritories_2017!$V$3:$AI$63,AL$262,$BL267)</f>
        <v>0</v>
      </c>
      <c r="AM267" s="1">
        <f>INDEX(tblTerritories_2017!$V$3:$AI$63,AM$262,$BL267)</f>
        <v>0</v>
      </c>
      <c r="AN267" s="1">
        <f>INDEX(tblTerritories_2017!$V$3:$AI$63,AN$262,$BL267)</f>
        <v>0</v>
      </c>
      <c r="AO267" s="1">
        <f>INDEX(tblTerritories_2017!$V$3:$AI$63,AO$262,$BL267)</f>
        <v>0</v>
      </c>
      <c r="AP267" s="1">
        <f>INDEX(tblTerritories_2017!$V$3:$AI$63,AP$262,$BL267)</f>
        <v>0</v>
      </c>
      <c r="AQ267" s="1">
        <f>INDEX(tblTerritories_2017!$V$3:$AI$63,AQ$262,$BL267)</f>
        <v>0</v>
      </c>
      <c r="AR267" s="1">
        <f>INDEX(tblTerritories_2017!$V$3:$AI$63,AR$262,$BL267)</f>
        <v>1</v>
      </c>
      <c r="AS267" s="1">
        <f>INDEX(tblTerritories_2017!$V$3:$AI$63,AS$262,$BL267)</f>
        <v>0</v>
      </c>
      <c r="AT267" s="1">
        <f>INDEX(tblTerritories_2017!$V$3:$AI$63,AT$262,$BL267)</f>
        <v>0</v>
      </c>
      <c r="AU267" s="1">
        <f>INDEX(tblTerritories_2017!$V$3:$AI$63,AU$262,$BL267)</f>
        <v>0</v>
      </c>
      <c r="AV267" s="1">
        <f>INDEX(tblTerritories_2017!$V$3:$AI$63,AV$262,$BL267)</f>
        <v>0</v>
      </c>
      <c r="AW267" s="1">
        <f>INDEX(tblTerritories_2017!$V$3:$AI$63,AW$262,$BL267)</f>
        <v>0</v>
      </c>
      <c r="AX267" s="1">
        <f>INDEX(tblTerritories_2017!$V$3:$AI$63,AX$262,$BL267)</f>
        <v>0</v>
      </c>
      <c r="AY267" s="1">
        <f>INDEX(tblTerritories_2017!$V$3:$AI$63,AY$262,$BL267)</f>
        <v>0</v>
      </c>
      <c r="AZ267" s="1">
        <f>INDEX(tblTerritories_2017!$V$3:$AI$63,AZ$262,$BL267)</f>
        <v>0</v>
      </c>
      <c r="BA267" s="1">
        <f>INDEX(tblTerritories_2017!$V$3:$AI$63,BA$262,$BL267)</f>
        <v>0</v>
      </c>
      <c r="BB267" s="1">
        <f>INDEX(tblTerritories_2017!$V$3:$AI$63,BB$262,$BL267)</f>
        <v>0</v>
      </c>
      <c r="BC267" s="1">
        <f>INDEX(tblTerritories_2017!$V$3:$AI$63,BC$262,$BL267)</f>
        <v>1</v>
      </c>
      <c r="BD267" s="1">
        <f>INDEX(tblTerritories_2017!$V$3:$AI$63,BD$262,$BL267)</f>
        <v>0</v>
      </c>
      <c r="BE267" s="1">
        <f>INDEX(tblTerritories_2017!$V$3:$AI$63,BE$262,$BL267)</f>
        <v>0</v>
      </c>
      <c r="BF267" s="1">
        <f>INDEX(tblTerritories_2017!$V$3:$AI$63,BF$262,$BL267)</f>
        <v>0</v>
      </c>
      <c r="BG267" s="1">
        <f>INDEX(tblTerritories_2017!$V$3:$AI$63,BG$262,$BL267)</f>
        <v>0</v>
      </c>
      <c r="BH267" s="1">
        <f>INDEX(tblTerritories_2017!$V$3:$AI$63,BH$262,$BL267)</f>
        <v>0</v>
      </c>
      <c r="BI267" s="1">
        <f>INDEX(tblTerritories_2017!$V$3:$AI$63,BI$262,$BL267)</f>
        <v>0</v>
      </c>
      <c r="BJ267" s="1">
        <f>INDEX(tblTerritories_2017!$V$3:$AI$63,BJ$262,$BL267)</f>
        <v>0</v>
      </c>
      <c r="BL267" s="1">
        <f t="shared" si="283"/>
        <v>5</v>
      </c>
    </row>
    <row r="268" spans="1:64">
      <c r="A268" s="1" t="str">
        <f>tblTerritories!S9</f>
        <v>North America</v>
      </c>
      <c r="B268" s="1">
        <f>INDEX(tblTerritories_2017!$V$3:$AI$63,B$262,$BL268)</f>
        <v>0</v>
      </c>
      <c r="C268" s="1">
        <f>INDEX(tblTerritories_2017!$V$3:$AI$63,C$262,$BL268)</f>
        <v>0</v>
      </c>
      <c r="D268" s="1">
        <f>INDEX(tblTerritories_2017!$V$3:$AI$63,D$262,$BL268)</f>
        <v>0</v>
      </c>
      <c r="E268" s="1">
        <f>INDEX(tblTerritories_2017!$V$3:$AI$63,E$262,$BL268)</f>
        <v>0</v>
      </c>
      <c r="F268" s="1">
        <f>INDEX(tblTerritories_2017!$V$3:$AI$63,F$262,$BL268)</f>
        <v>0</v>
      </c>
      <c r="G268" s="1">
        <f>INDEX(tblTerritories_2017!$V$3:$AI$63,G$262,$BL268)</f>
        <v>0</v>
      </c>
      <c r="H268" s="1">
        <f>INDEX(tblTerritories_2017!$V$3:$AI$63,H$262,$BL268)</f>
        <v>0</v>
      </c>
      <c r="I268" s="1">
        <f>INDEX(tblTerritories_2017!$V$3:$AI$63,I$262,$BL268)</f>
        <v>0</v>
      </c>
      <c r="J268" s="1">
        <f>INDEX(tblTerritories_2017!$V$3:$AI$63,J$262,$BL268)</f>
        <v>0</v>
      </c>
      <c r="K268" s="1">
        <f>INDEX(tblTerritories_2017!$V$3:$AI$63,K$262,$BL268)</f>
        <v>0</v>
      </c>
      <c r="L268" s="1">
        <f>INDEX(tblTerritories_2017!$V$3:$AI$63,L$262,$BL268)</f>
        <v>0</v>
      </c>
      <c r="M268" s="1">
        <f>INDEX(tblTerritories_2017!$V$3:$AI$63,M$262,$BL268)</f>
        <v>0</v>
      </c>
      <c r="N268" s="1">
        <f>INDEX(tblTerritories_2017!$V$3:$AI$63,N$262,$BL268)</f>
        <v>1</v>
      </c>
      <c r="O268" s="1">
        <f>INDEX(tblTerritories_2017!$V$3:$AI$63,O$262,$BL268)</f>
        <v>1</v>
      </c>
      <c r="P268" s="1">
        <f>INDEX(tblTerritories_2017!$V$3:$AI$63,P$262,$BL268)</f>
        <v>0</v>
      </c>
      <c r="Q268" s="1">
        <f>INDEX(tblTerritories_2017!$V$3:$AI$63,Q$262,$BL268)</f>
        <v>0</v>
      </c>
      <c r="R268" s="1">
        <f>INDEX(tblTerritories_2017!$V$3:$AI$63,R$262,$BL268)</f>
        <v>0</v>
      </c>
      <c r="S268" s="1">
        <f>INDEX(tblTerritories_2017!$V$3:$AI$63,S$262,$BL268)</f>
        <v>0</v>
      </c>
      <c r="T268" s="1">
        <f>INDEX(tblTerritories_2017!$V$3:$AI$63,T$262,$BL268)</f>
        <v>0</v>
      </c>
      <c r="U268" s="1">
        <f>INDEX(tblTerritories_2017!$V$3:$AI$63,U$262,$BL268)</f>
        <v>0</v>
      </c>
      <c r="V268" s="1">
        <f>INDEX(tblTerritories_2017!$V$3:$AI$63,V$262,$BL268)</f>
        <v>0</v>
      </c>
      <c r="W268" s="1">
        <f>INDEX(tblTerritories_2017!$V$3:$AI$63,W$262,$BL268)</f>
        <v>0</v>
      </c>
      <c r="X268" s="1">
        <f>INDEX(tblTerritories_2017!$V$3:$AI$63,X$262,$BL268)</f>
        <v>0</v>
      </c>
      <c r="Y268" s="1">
        <f>INDEX(tblTerritories_2017!$V$3:$AI$63,Y$262,$BL268)</f>
        <v>0</v>
      </c>
      <c r="Z268" s="1">
        <f>INDEX(tblTerritories_2017!$V$3:$AI$63,Z$262,$BL268)</f>
        <v>0</v>
      </c>
      <c r="AA268" s="1">
        <f>INDEX(tblTerritories_2017!$V$3:$AI$63,AA$262,$BL268)</f>
        <v>0</v>
      </c>
      <c r="AB268" s="1">
        <f>INDEX(tblTerritories_2017!$V$3:$AI$63,AB$262,$BL268)</f>
        <v>0</v>
      </c>
      <c r="AC268" s="1">
        <f>INDEX(tblTerritories_2017!$V$3:$AI$63,AC$262,$BL268)</f>
        <v>0</v>
      </c>
      <c r="AD268" s="1">
        <f>INDEX(tblTerritories_2017!$V$3:$AI$63,AD$262,$BL268)</f>
        <v>0</v>
      </c>
      <c r="AE268" s="1">
        <f>INDEX(tblTerritories_2017!$V$3:$AI$63,AE$262,$BL268)</f>
        <v>1</v>
      </c>
      <c r="AF268" s="1">
        <f>INDEX(tblTerritories_2017!$V$3:$AI$63,AF$262,$BL268)</f>
        <v>0</v>
      </c>
      <c r="AG268" s="1">
        <f>INDEX(tblTerritories_2017!$V$3:$AI$63,AG$262,$BL268)</f>
        <v>0</v>
      </c>
      <c r="AH268" s="1">
        <f>INDEX(tblTerritories_2017!$V$3:$AI$63,AH$262,$BL268)</f>
        <v>0</v>
      </c>
      <c r="AI268" s="1">
        <f>INDEX(tblTerritories_2017!$V$3:$AI$63,AI$262,$BL268)</f>
        <v>0</v>
      </c>
      <c r="AJ268" s="1">
        <f>INDEX(tblTerritories_2017!$V$3:$AI$63,AJ$262,$BL268)</f>
        <v>0</v>
      </c>
      <c r="AK268" s="1">
        <f>INDEX(tblTerritories_2017!$V$3:$AI$63,AK$262,$BL268)</f>
        <v>0</v>
      </c>
      <c r="AL268" s="1">
        <f>INDEX(tblTerritories_2017!$V$3:$AI$63,AL$262,$BL268)</f>
        <v>0</v>
      </c>
      <c r="AM268" s="1">
        <f>INDEX(tblTerritories_2017!$V$3:$AI$63,AM$262,$BL268)</f>
        <v>1</v>
      </c>
      <c r="AN268" s="1">
        <f>INDEX(tblTerritories_2017!$V$3:$AI$63,AN$262,$BL268)</f>
        <v>0</v>
      </c>
      <c r="AO268" s="1">
        <f>INDEX(tblTerritories_2017!$V$3:$AI$63,AO$262,$BL268)</f>
        <v>0</v>
      </c>
      <c r="AP268" s="1">
        <f>INDEX(tblTerritories_2017!$V$3:$AI$63,AP$262,$BL268)</f>
        <v>0</v>
      </c>
      <c r="AQ268" s="1">
        <f>INDEX(tblTerritories_2017!$V$3:$AI$63,AQ$262,$BL268)</f>
        <v>0</v>
      </c>
      <c r="AR268" s="1">
        <f>INDEX(tblTerritories_2017!$V$3:$AI$63,AR$262,$BL268)</f>
        <v>0</v>
      </c>
      <c r="AS268" s="1">
        <f>INDEX(tblTerritories_2017!$V$3:$AI$63,AS$262,$BL268)</f>
        <v>0</v>
      </c>
      <c r="AT268" s="1">
        <f>INDEX(tblTerritories_2017!$V$3:$AI$63,AT$262,$BL268)</f>
        <v>1</v>
      </c>
      <c r="AU268" s="1">
        <f>INDEX(tblTerritories_2017!$V$3:$AI$63,AU$262,$BL268)</f>
        <v>0</v>
      </c>
      <c r="AV268" s="1">
        <f>INDEX(tblTerritories_2017!$V$3:$AI$63,AV$262,$BL268)</f>
        <v>0</v>
      </c>
      <c r="AW268" s="1">
        <f>INDEX(tblTerritories_2017!$V$3:$AI$63,AW$262,$BL268)</f>
        <v>0</v>
      </c>
      <c r="AX268" s="1">
        <f>INDEX(tblTerritories_2017!$V$3:$AI$63,AX$262,$BL268)</f>
        <v>0</v>
      </c>
      <c r="AY268" s="1">
        <f>INDEX(tblTerritories_2017!$V$3:$AI$63,AY$262,$BL268)</f>
        <v>0</v>
      </c>
      <c r="AZ268" s="1">
        <f>INDEX(tblTerritories_2017!$V$3:$AI$63,AZ$262,$BL268)</f>
        <v>0</v>
      </c>
      <c r="BA268" s="1">
        <f>INDEX(tblTerritories_2017!$V$3:$AI$63,BA$262,$BL268)</f>
        <v>0</v>
      </c>
      <c r="BB268" s="1">
        <f>INDEX(tblTerritories_2017!$V$3:$AI$63,BB$262,$BL268)</f>
        <v>0</v>
      </c>
      <c r="BC268" s="1">
        <f>INDEX(tblTerritories_2017!$V$3:$AI$63,BC$262,$BL268)</f>
        <v>0</v>
      </c>
      <c r="BD268" s="1">
        <f>INDEX(tblTerritories_2017!$V$3:$AI$63,BD$262,$BL268)</f>
        <v>0</v>
      </c>
      <c r="BE268" s="1">
        <f>INDEX(tblTerritories_2017!$V$3:$AI$63,BE$262,$BL268)</f>
        <v>1</v>
      </c>
      <c r="BF268" s="1">
        <f>INDEX(tblTerritories_2017!$V$3:$AI$63,BF$262,$BL268)</f>
        <v>1</v>
      </c>
      <c r="BG268" s="1">
        <f>INDEX(tblTerritories_2017!$V$3:$AI$63,BG$262,$BL268)</f>
        <v>0</v>
      </c>
      <c r="BH268" s="1">
        <f>INDEX(tblTerritories_2017!$V$3:$AI$63,BH$262,$BL268)</f>
        <v>0</v>
      </c>
      <c r="BI268" s="1">
        <f>INDEX(tblTerritories_2017!$V$3:$AI$63,BI$262,$BL268)</f>
        <v>0</v>
      </c>
      <c r="BJ268" s="1">
        <f>INDEX(tblTerritories_2017!$V$3:$AI$63,BJ$262,$BL268)</f>
        <v>0</v>
      </c>
      <c r="BL268" s="1">
        <f t="shared" si="283"/>
        <v>6</v>
      </c>
    </row>
    <row r="269" spans="1:64">
      <c r="A269" s="1" t="str">
        <f>tblTerritories!S10</f>
        <v>High Income</v>
      </c>
      <c r="B269" s="1">
        <f>INDEX(tblTerritories_2017!$V$3:$AI$63,B$262,$BL269)</f>
        <v>1</v>
      </c>
      <c r="C269" s="1">
        <f>INDEX(tblTerritories_2017!$V$3:$AI$63,C$262,$BL269)</f>
        <v>0</v>
      </c>
      <c r="D269" s="1">
        <f>INDEX(tblTerritories_2017!$V$3:$AI$63,D$262,$BL269)</f>
        <v>0</v>
      </c>
      <c r="E269" s="1">
        <f>INDEX(tblTerritories_2017!$V$3:$AI$63,E$262,$BL269)</f>
        <v>0</v>
      </c>
      <c r="F269" s="1">
        <f>INDEX(tblTerritories_2017!$V$3:$AI$63,F$262,$BL269)</f>
        <v>0</v>
      </c>
      <c r="G269" s="1">
        <f>INDEX(tblTerritories_2017!$V$3:$AI$63,G$262,$BL269)</f>
        <v>0</v>
      </c>
      <c r="H269" s="1">
        <f>INDEX(tblTerritories_2017!$V$3:$AI$63,H$262,$BL269)</f>
        <v>0</v>
      </c>
      <c r="I269" s="1">
        <f>INDEX(tblTerritories_2017!$V$3:$AI$63,I$262,$BL269)</f>
        <v>0</v>
      </c>
      <c r="J269" s="1">
        <f>INDEX(tblTerritories_2017!$V$3:$AI$63,J$262,$BL269)</f>
        <v>0</v>
      </c>
      <c r="K269" s="1">
        <f>INDEX(tblTerritories_2017!$V$3:$AI$63,K$262,$BL269)</f>
        <v>0</v>
      </c>
      <c r="L269" s="1">
        <f>INDEX(tblTerritories_2017!$V$3:$AI$63,L$262,$BL269)</f>
        <v>0</v>
      </c>
      <c r="M269" s="1">
        <f>INDEX(tblTerritories_2017!$V$3:$AI$63,M$262,$BL269)</f>
        <v>0</v>
      </c>
      <c r="N269" s="1">
        <f>INDEX(tblTerritories_2017!$V$3:$AI$63,N$262,$BL269)</f>
        <v>1</v>
      </c>
      <c r="O269" s="1">
        <f>INDEX(tblTerritories_2017!$V$3:$AI$63,O$262,$BL269)</f>
        <v>1</v>
      </c>
      <c r="P269" s="1">
        <f>INDEX(tblTerritories_2017!$V$3:$AI$63,P$262,$BL269)</f>
        <v>0</v>
      </c>
      <c r="Q269" s="1">
        <f>INDEX(tblTerritories_2017!$V$3:$AI$63,Q$262,$BL269)</f>
        <v>0</v>
      </c>
      <c r="R269" s="1">
        <f>INDEX(tblTerritories_2017!$V$3:$AI$63,R$262,$BL269)</f>
        <v>1</v>
      </c>
      <c r="S269" s="1">
        <f>INDEX(tblTerritories_2017!$V$3:$AI$63,S$262,$BL269)</f>
        <v>0</v>
      </c>
      <c r="T269" s="1">
        <f>INDEX(tblTerritories_2017!$V$3:$AI$63,T$262,$BL269)</f>
        <v>0</v>
      </c>
      <c r="U269" s="1">
        <f>INDEX(tblTerritories_2017!$V$3:$AI$63,U$262,$BL269)</f>
        <v>1</v>
      </c>
      <c r="V269" s="1">
        <f>INDEX(tblTerritories_2017!$V$3:$AI$63,V$262,$BL269)</f>
        <v>0</v>
      </c>
      <c r="W269" s="1">
        <f>INDEX(tblTerritories_2017!$V$3:$AI$63,W$262,$BL269)</f>
        <v>0</v>
      </c>
      <c r="X269" s="1">
        <f>INDEX(tblTerritories_2017!$V$3:$AI$63,X$262,$BL269)</f>
        <v>1</v>
      </c>
      <c r="Y269" s="1">
        <f>INDEX(tblTerritories_2017!$V$3:$AI$63,Y$262,$BL269)</f>
        <v>0</v>
      </c>
      <c r="Z269" s="1">
        <f>INDEX(tblTerritories_2017!$V$3:$AI$63,Z$262,$BL269)</f>
        <v>0</v>
      </c>
      <c r="AA269" s="1">
        <f>INDEX(tblTerritories_2017!$V$3:$AI$63,AA$262,$BL269)</f>
        <v>0</v>
      </c>
      <c r="AB269" s="1">
        <f>INDEX(tblTerritories_2017!$V$3:$AI$63,AB$262,$BL269)</f>
        <v>1</v>
      </c>
      <c r="AC269" s="1">
        <f>INDEX(tblTerritories_2017!$V$3:$AI$63,AC$262,$BL269)</f>
        <v>0</v>
      </c>
      <c r="AD269" s="1">
        <f>INDEX(tblTerritories_2017!$V$3:$AI$63,AD$262,$BL269)</f>
        <v>0</v>
      </c>
      <c r="AE269" s="1">
        <f>INDEX(tblTerritories_2017!$V$3:$AI$63,AE$262,$BL269)</f>
        <v>1</v>
      </c>
      <c r="AF269" s="1">
        <f>INDEX(tblTerritories_2017!$V$3:$AI$63,AF$262,$BL269)</f>
        <v>0</v>
      </c>
      <c r="AG269" s="1">
        <f>INDEX(tblTerritories_2017!$V$3:$AI$63,AG$262,$BL269)</f>
        <v>0</v>
      </c>
      <c r="AH269" s="1">
        <f>INDEX(tblTerritories_2017!$V$3:$AI$63,AH$262,$BL269)</f>
        <v>0</v>
      </c>
      <c r="AI269" s="1">
        <f>INDEX(tblTerritories_2017!$V$3:$AI$63,AI$262,$BL269)</f>
        <v>0</v>
      </c>
      <c r="AJ269" s="1">
        <f>INDEX(tblTerritories_2017!$V$3:$AI$63,AJ$262,$BL269)</f>
        <v>0</v>
      </c>
      <c r="AK269" s="1">
        <f>INDEX(tblTerritories_2017!$V$3:$AI$63,AK$262,$BL269)</f>
        <v>0</v>
      </c>
      <c r="AL269" s="1">
        <f>INDEX(tblTerritories_2017!$V$3:$AI$63,AL$262,$BL269)</f>
        <v>0</v>
      </c>
      <c r="AM269" s="1">
        <f>INDEX(tblTerritories_2017!$V$3:$AI$63,AM$262,$BL269)</f>
        <v>1</v>
      </c>
      <c r="AN269" s="1">
        <f>INDEX(tblTerritories_2017!$V$3:$AI$63,AN$262,$BL269)</f>
        <v>0</v>
      </c>
      <c r="AO269" s="1">
        <f>INDEX(tblTerritories_2017!$V$3:$AI$63,AO$262,$BL269)</f>
        <v>0</v>
      </c>
      <c r="AP269" s="1">
        <f>INDEX(tblTerritories_2017!$V$3:$AI$63,AP$262,$BL269)</f>
        <v>0</v>
      </c>
      <c r="AQ269" s="1">
        <f>INDEX(tblTerritories_2017!$V$3:$AI$63,AQ$262,$BL269)</f>
        <v>0</v>
      </c>
      <c r="AR269" s="1">
        <f>INDEX(tblTerritories_2017!$V$3:$AI$63,AR$262,$BL269)</f>
        <v>1</v>
      </c>
      <c r="AS269" s="1">
        <f>INDEX(tblTerritories_2017!$V$3:$AI$63,AS$262,$BL269)</f>
        <v>0</v>
      </c>
      <c r="AT269" s="1">
        <f>INDEX(tblTerritories_2017!$V$3:$AI$63,AT$262,$BL269)</f>
        <v>1</v>
      </c>
      <c r="AU269" s="1">
        <f>INDEX(tblTerritories_2017!$V$3:$AI$63,AU$262,$BL269)</f>
        <v>0</v>
      </c>
      <c r="AV269" s="1">
        <f>INDEX(tblTerritories_2017!$V$3:$AI$63,AV$262,$BL269)</f>
        <v>0</v>
      </c>
      <c r="AW269" s="1">
        <f>INDEX(tblTerritories_2017!$V$3:$AI$63,AW$262,$BL269)</f>
        <v>0</v>
      </c>
      <c r="AX269" s="1">
        <f>INDEX(tblTerritories_2017!$V$3:$AI$63,AX$262,$BL269)</f>
        <v>0</v>
      </c>
      <c r="AY269" s="1">
        <f>INDEX(tblTerritories_2017!$V$3:$AI$63,AY$262,$BL269)</f>
        <v>1</v>
      </c>
      <c r="AZ269" s="1">
        <f>INDEX(tblTerritories_2017!$V$3:$AI$63,AZ$262,$BL269)</f>
        <v>0</v>
      </c>
      <c r="BA269" s="1">
        <f>INDEX(tblTerritories_2017!$V$3:$AI$63,BA$262,$BL269)</f>
        <v>0</v>
      </c>
      <c r="BB269" s="1">
        <f>INDEX(tblTerritories_2017!$V$3:$AI$63,BB$262,$BL269)</f>
        <v>0</v>
      </c>
      <c r="BC269" s="1">
        <f>INDEX(tblTerritories_2017!$V$3:$AI$63,BC$262,$BL269)</f>
        <v>0</v>
      </c>
      <c r="BD269" s="1">
        <f>INDEX(tblTerritories_2017!$V$3:$AI$63,BD$262,$BL269)</f>
        <v>0</v>
      </c>
      <c r="BE269" s="1">
        <f>INDEX(tblTerritories_2017!$V$3:$AI$63,BE$262,$BL269)</f>
        <v>0</v>
      </c>
      <c r="BF269" s="1">
        <f>INDEX(tblTerritories_2017!$V$3:$AI$63,BF$262,$BL269)</f>
        <v>1</v>
      </c>
      <c r="BG269" s="1">
        <f>INDEX(tblTerritories_2017!$V$3:$AI$63,BG$262,$BL269)</f>
        <v>0</v>
      </c>
      <c r="BH269" s="1">
        <f>INDEX(tblTerritories_2017!$V$3:$AI$63,BH$262,$BL269)</f>
        <v>0</v>
      </c>
      <c r="BI269" s="1">
        <f>INDEX(tblTerritories_2017!$V$3:$AI$63,BI$262,$BL269)</f>
        <v>1</v>
      </c>
      <c r="BJ269" s="1">
        <f>INDEX(tblTerritories_2017!$V$3:$AI$63,BJ$262,$BL269)</f>
        <v>0</v>
      </c>
      <c r="BL269" s="1">
        <f t="shared" si="283"/>
        <v>7</v>
      </c>
    </row>
    <row r="270" spans="1:64">
      <c r="A270" s="1" t="str">
        <f>tblTerritories!S11</f>
        <v>Upper Middle Income</v>
      </c>
      <c r="B270" s="1">
        <f>INDEX(tblTerritories_2017!$V$3:$AI$63,B$262,$BL270)</f>
        <v>0</v>
      </c>
      <c r="C270" s="1">
        <f>INDEX(tblTerritories_2017!$V$3:$AI$63,C$262,$BL270)</f>
        <v>1</v>
      </c>
      <c r="D270" s="1">
        <f>INDEX(tblTerritories_2017!$V$3:$AI$63,D$262,$BL270)</f>
        <v>0</v>
      </c>
      <c r="E270" s="1">
        <f>INDEX(tblTerritories_2017!$V$3:$AI$63,E$262,$BL270)</f>
        <v>0</v>
      </c>
      <c r="F270" s="1">
        <f>INDEX(tblTerritories_2017!$V$3:$AI$63,F$262,$BL270)</f>
        <v>1</v>
      </c>
      <c r="G270" s="1">
        <f>INDEX(tblTerritories_2017!$V$3:$AI$63,G$262,$BL270)</f>
        <v>0</v>
      </c>
      <c r="H270" s="1">
        <f>INDEX(tblTerritories_2017!$V$3:$AI$63,H$262,$BL270)</f>
        <v>0</v>
      </c>
      <c r="I270" s="1">
        <f>INDEX(tblTerritories_2017!$V$3:$AI$63,I$262,$BL270)</f>
        <v>1</v>
      </c>
      <c r="J270" s="1">
        <f>INDEX(tblTerritories_2017!$V$3:$AI$63,J$262,$BL270)</f>
        <v>0</v>
      </c>
      <c r="K270" s="1">
        <f>INDEX(tblTerritories_2017!$V$3:$AI$63,K$262,$BL270)</f>
        <v>0</v>
      </c>
      <c r="L270" s="1">
        <f>INDEX(tblTerritories_2017!$V$3:$AI$63,L$262,$BL270)</f>
        <v>0</v>
      </c>
      <c r="M270" s="1">
        <f>INDEX(tblTerritories_2017!$V$3:$AI$63,M$262,$BL270)</f>
        <v>0</v>
      </c>
      <c r="N270" s="1">
        <f>INDEX(tblTerritories_2017!$V$3:$AI$63,N$262,$BL270)</f>
        <v>0</v>
      </c>
      <c r="O270" s="1">
        <f>INDEX(tblTerritories_2017!$V$3:$AI$63,O$262,$BL270)</f>
        <v>0</v>
      </c>
      <c r="P270" s="1">
        <f>INDEX(tblTerritories_2017!$V$3:$AI$63,P$262,$BL270)</f>
        <v>0</v>
      </c>
      <c r="Q270" s="1">
        <f>INDEX(tblTerritories_2017!$V$3:$AI$63,Q$262,$BL270)</f>
        <v>0</v>
      </c>
      <c r="R270" s="1">
        <f>INDEX(tblTerritories_2017!$V$3:$AI$63,R$262,$BL270)</f>
        <v>0</v>
      </c>
      <c r="S270" s="1">
        <f>INDEX(tblTerritories_2017!$V$3:$AI$63,S$262,$BL270)</f>
        <v>1</v>
      </c>
      <c r="T270" s="1">
        <f>INDEX(tblTerritories_2017!$V$3:$AI$63,T$262,$BL270)</f>
        <v>0</v>
      </c>
      <c r="U270" s="1">
        <f>INDEX(tblTerritories_2017!$V$3:$AI$63,U$262,$BL270)</f>
        <v>0</v>
      </c>
      <c r="V270" s="1">
        <f>INDEX(tblTerritories_2017!$V$3:$AI$63,V$262,$BL270)</f>
        <v>0</v>
      </c>
      <c r="W270" s="1">
        <f>INDEX(tblTerritories_2017!$V$3:$AI$63,W$262,$BL270)</f>
        <v>0</v>
      </c>
      <c r="X270" s="1">
        <f>INDEX(tblTerritories_2017!$V$3:$AI$63,X$262,$BL270)</f>
        <v>0</v>
      </c>
      <c r="Y270" s="1">
        <f>INDEX(tblTerritories_2017!$V$3:$AI$63,Y$262,$BL270)</f>
        <v>0</v>
      </c>
      <c r="Z270" s="1">
        <f>INDEX(tblTerritories_2017!$V$3:$AI$63,Z$262,$BL270)</f>
        <v>0</v>
      </c>
      <c r="AA270" s="1">
        <f>INDEX(tblTerritories_2017!$V$3:$AI$63,AA$262,$BL270)</f>
        <v>0</v>
      </c>
      <c r="AB270" s="1">
        <f>INDEX(tblTerritories_2017!$V$3:$AI$63,AB$262,$BL270)</f>
        <v>0</v>
      </c>
      <c r="AC270" s="1">
        <f>INDEX(tblTerritories_2017!$V$3:$AI$63,AC$262,$BL270)</f>
        <v>0</v>
      </c>
      <c r="AD270" s="1">
        <f>INDEX(tblTerritories_2017!$V$3:$AI$63,AD$262,$BL270)</f>
        <v>1</v>
      </c>
      <c r="AE270" s="1">
        <f>INDEX(tblTerritories_2017!$V$3:$AI$63,AE$262,$BL270)</f>
        <v>0</v>
      </c>
      <c r="AF270" s="1">
        <f>INDEX(tblTerritories_2017!$V$3:$AI$63,AF$262,$BL270)</f>
        <v>1</v>
      </c>
      <c r="AG270" s="1">
        <f>INDEX(tblTerritories_2017!$V$3:$AI$63,AG$262,$BL270)</f>
        <v>0</v>
      </c>
      <c r="AH270" s="1">
        <f>INDEX(tblTerritories_2017!$V$3:$AI$63,AH$262,$BL270)</f>
        <v>1</v>
      </c>
      <c r="AI270" s="1">
        <f>INDEX(tblTerritories_2017!$V$3:$AI$63,AI$262,$BL270)</f>
        <v>0</v>
      </c>
      <c r="AJ270" s="1">
        <f>INDEX(tblTerritories_2017!$V$3:$AI$63,AJ$262,$BL270)</f>
        <v>1</v>
      </c>
      <c r="AK270" s="1">
        <f>INDEX(tblTerritories_2017!$V$3:$AI$63,AK$262,$BL270)</f>
        <v>0</v>
      </c>
      <c r="AL270" s="1">
        <f>INDEX(tblTerritories_2017!$V$3:$AI$63,AL$262,$BL270)</f>
        <v>0</v>
      </c>
      <c r="AM270" s="1">
        <f>INDEX(tblTerritories_2017!$V$3:$AI$63,AM$262,$BL270)</f>
        <v>0</v>
      </c>
      <c r="AN270" s="1">
        <f>INDEX(tblTerritories_2017!$V$3:$AI$63,AN$262,$BL270)</f>
        <v>1</v>
      </c>
      <c r="AO270" s="1">
        <f>INDEX(tblTerritories_2017!$V$3:$AI$63,AO$262,$BL270)</f>
        <v>1</v>
      </c>
      <c r="AP270" s="1">
        <f>INDEX(tblTerritories_2017!$V$3:$AI$63,AP$262,$BL270)</f>
        <v>0</v>
      </c>
      <c r="AQ270" s="1">
        <f>INDEX(tblTerritories_2017!$V$3:$AI$63,AQ$262,$BL270)</f>
        <v>0</v>
      </c>
      <c r="AR270" s="1">
        <f>INDEX(tblTerritories_2017!$V$3:$AI$63,AR$262,$BL270)</f>
        <v>0</v>
      </c>
      <c r="AS270" s="1">
        <f>INDEX(tblTerritories_2017!$V$3:$AI$63,AS$262,$BL270)</f>
        <v>1</v>
      </c>
      <c r="AT270" s="1">
        <f>INDEX(tblTerritories_2017!$V$3:$AI$63,AT$262,$BL270)</f>
        <v>0</v>
      </c>
      <c r="AU270" s="1">
        <f>INDEX(tblTerritories_2017!$V$3:$AI$63,AU$262,$BL270)</f>
        <v>0</v>
      </c>
      <c r="AV270" s="1">
        <f>INDEX(tblTerritories_2017!$V$3:$AI$63,AV$262,$BL270)</f>
        <v>0</v>
      </c>
      <c r="AW270" s="1">
        <f>INDEX(tblTerritories_2017!$V$3:$AI$63,AW$262,$BL270)</f>
        <v>1</v>
      </c>
      <c r="AX270" s="1">
        <f>INDEX(tblTerritories_2017!$V$3:$AI$63,AX$262,$BL270)</f>
        <v>0</v>
      </c>
      <c r="AY270" s="1">
        <f>INDEX(tblTerritories_2017!$V$3:$AI$63,AY$262,$BL270)</f>
        <v>0</v>
      </c>
      <c r="AZ270" s="1">
        <f>INDEX(tblTerritories_2017!$V$3:$AI$63,AZ$262,$BL270)</f>
        <v>1</v>
      </c>
      <c r="BA270" s="1">
        <f>INDEX(tblTerritories_2017!$V$3:$AI$63,BA$262,$BL270)</f>
        <v>1</v>
      </c>
      <c r="BB270" s="1">
        <f>INDEX(tblTerritories_2017!$V$3:$AI$63,BB$262,$BL270)</f>
        <v>1</v>
      </c>
      <c r="BC270" s="1">
        <f>INDEX(tblTerritories_2017!$V$3:$AI$63,BC$262,$BL270)</f>
        <v>0</v>
      </c>
      <c r="BD270" s="1">
        <f>INDEX(tblTerritories_2017!$V$3:$AI$63,BD$262,$BL270)</f>
        <v>1</v>
      </c>
      <c r="BE270" s="1">
        <f>INDEX(tblTerritories_2017!$V$3:$AI$63,BE$262,$BL270)</f>
        <v>1</v>
      </c>
      <c r="BF270" s="1">
        <f>INDEX(tblTerritories_2017!$V$3:$AI$63,BF$262,$BL270)</f>
        <v>0</v>
      </c>
      <c r="BG270" s="1">
        <f>INDEX(tblTerritories_2017!$V$3:$AI$63,BG$262,$BL270)</f>
        <v>1</v>
      </c>
      <c r="BH270" s="1">
        <f>INDEX(tblTerritories_2017!$V$3:$AI$63,BH$262,$BL270)</f>
        <v>0</v>
      </c>
      <c r="BI270" s="1">
        <f>INDEX(tblTerritories_2017!$V$3:$AI$63,BI$262,$BL270)</f>
        <v>0</v>
      </c>
      <c r="BJ270" s="1">
        <f>INDEX(tblTerritories_2017!$V$3:$AI$63,BJ$262,$BL270)</f>
        <v>0</v>
      </c>
      <c r="BL270" s="1">
        <f t="shared" si="283"/>
        <v>8</v>
      </c>
    </row>
    <row r="271" spans="1:64">
      <c r="A271" s="1" t="str">
        <f>tblTerritories!S12</f>
        <v>Lower Middle Income</v>
      </c>
      <c r="B271" s="1">
        <f>INDEX(tblTerritories_2017!$V$3:$AI$63,B$262,$BL271)</f>
        <v>0</v>
      </c>
      <c r="C271" s="1">
        <f>INDEX(tblTerritories_2017!$V$3:$AI$63,C$262,$BL271)</f>
        <v>0</v>
      </c>
      <c r="D271" s="1">
        <f>INDEX(tblTerritories_2017!$V$3:$AI$63,D$262,$BL271)</f>
        <v>1</v>
      </c>
      <c r="E271" s="1">
        <f>INDEX(tblTerritories_2017!$V$3:$AI$63,E$262,$BL271)</f>
        <v>1</v>
      </c>
      <c r="F271" s="1">
        <f>INDEX(tblTerritories_2017!$V$3:$AI$63,F$262,$BL271)</f>
        <v>0</v>
      </c>
      <c r="G271" s="1">
        <f>INDEX(tblTerritories_2017!$V$3:$AI$63,G$262,$BL271)</f>
        <v>1</v>
      </c>
      <c r="H271" s="1">
        <f>INDEX(tblTerritories_2017!$V$3:$AI$63,H$262,$BL271)</f>
        <v>1</v>
      </c>
      <c r="I271" s="1">
        <f>INDEX(tblTerritories_2017!$V$3:$AI$63,I$262,$BL271)</f>
        <v>0</v>
      </c>
      <c r="J271" s="1">
        <f>INDEX(tblTerritories_2017!$V$3:$AI$63,J$262,$BL271)</f>
        <v>1</v>
      </c>
      <c r="K271" s="1">
        <f>INDEX(tblTerritories_2017!$V$3:$AI$63,K$262,$BL271)</f>
        <v>1</v>
      </c>
      <c r="L271" s="1">
        <f>INDEX(tblTerritories_2017!$V$3:$AI$63,L$262,$BL271)</f>
        <v>1</v>
      </c>
      <c r="M271" s="1">
        <f>INDEX(tblTerritories_2017!$V$3:$AI$63,M$262,$BL271)</f>
        <v>0</v>
      </c>
      <c r="N271" s="1">
        <f>INDEX(tblTerritories_2017!$V$3:$AI$63,N$262,$BL271)</f>
        <v>0</v>
      </c>
      <c r="O271" s="1">
        <f>INDEX(tblTerritories_2017!$V$3:$AI$63,O$262,$BL271)</f>
        <v>0</v>
      </c>
      <c r="P271" s="1">
        <f>INDEX(tblTerritories_2017!$V$3:$AI$63,P$262,$BL271)</f>
        <v>0</v>
      </c>
      <c r="Q271" s="1">
        <f>INDEX(tblTerritories_2017!$V$3:$AI$63,Q$262,$BL271)</f>
        <v>0</v>
      </c>
      <c r="R271" s="1">
        <f>INDEX(tblTerritories_2017!$V$3:$AI$63,R$262,$BL271)</f>
        <v>0</v>
      </c>
      <c r="S271" s="1">
        <f>INDEX(tblTerritories_2017!$V$3:$AI$63,S$262,$BL271)</f>
        <v>0</v>
      </c>
      <c r="T271" s="1">
        <f>INDEX(tblTerritories_2017!$V$3:$AI$63,T$262,$BL271)</f>
        <v>0</v>
      </c>
      <c r="U271" s="1">
        <f>INDEX(tblTerritories_2017!$V$3:$AI$63,U$262,$BL271)</f>
        <v>0</v>
      </c>
      <c r="V271" s="1">
        <f>INDEX(tblTerritories_2017!$V$3:$AI$63,V$262,$BL271)</f>
        <v>1</v>
      </c>
      <c r="W271" s="1">
        <f>INDEX(tblTerritories_2017!$V$3:$AI$63,W$262,$BL271)</f>
        <v>1</v>
      </c>
      <c r="X271" s="1">
        <f>INDEX(tblTerritories_2017!$V$3:$AI$63,X$262,$BL271)</f>
        <v>0</v>
      </c>
      <c r="Y271" s="1">
        <f>INDEX(tblTerritories_2017!$V$3:$AI$63,Y$262,$BL271)</f>
        <v>1</v>
      </c>
      <c r="Z271" s="1">
        <f>INDEX(tblTerritories_2017!$V$3:$AI$63,Z$262,$BL271)</f>
        <v>0</v>
      </c>
      <c r="AA271" s="1">
        <f>INDEX(tblTerritories_2017!$V$3:$AI$63,AA$262,$BL271)</f>
        <v>1</v>
      </c>
      <c r="AB271" s="1">
        <f>INDEX(tblTerritories_2017!$V$3:$AI$63,AB$262,$BL271)</f>
        <v>0</v>
      </c>
      <c r="AC271" s="1">
        <f>INDEX(tblTerritories_2017!$V$3:$AI$63,AC$262,$BL271)</f>
        <v>1</v>
      </c>
      <c r="AD271" s="1">
        <f>INDEX(tblTerritories_2017!$V$3:$AI$63,AD$262,$BL271)</f>
        <v>0</v>
      </c>
      <c r="AE271" s="1">
        <f>INDEX(tblTerritories_2017!$V$3:$AI$63,AE$262,$BL271)</f>
        <v>0</v>
      </c>
      <c r="AF271" s="1">
        <f>INDEX(tblTerritories_2017!$V$3:$AI$63,AF$262,$BL271)</f>
        <v>0</v>
      </c>
      <c r="AG271" s="1">
        <f>INDEX(tblTerritories_2017!$V$3:$AI$63,AG$262,$BL271)</f>
        <v>0</v>
      </c>
      <c r="AH271" s="1">
        <f>INDEX(tblTerritories_2017!$V$3:$AI$63,AH$262,$BL271)</f>
        <v>0</v>
      </c>
      <c r="AI271" s="1">
        <f>INDEX(tblTerritories_2017!$V$3:$AI$63,AI$262,$BL271)</f>
        <v>1</v>
      </c>
      <c r="AJ271" s="1">
        <f>INDEX(tblTerritories_2017!$V$3:$AI$63,AJ$262,$BL271)</f>
        <v>0</v>
      </c>
      <c r="AK271" s="1">
        <f>INDEX(tblTerritories_2017!$V$3:$AI$63,AK$262,$BL271)</f>
        <v>1</v>
      </c>
      <c r="AL271" s="1">
        <f>INDEX(tblTerritories_2017!$V$3:$AI$63,AL$262,$BL271)</f>
        <v>0</v>
      </c>
      <c r="AM271" s="1">
        <f>INDEX(tblTerritories_2017!$V$3:$AI$63,AM$262,$BL271)</f>
        <v>0</v>
      </c>
      <c r="AN271" s="1">
        <f>INDEX(tblTerritories_2017!$V$3:$AI$63,AN$262,$BL271)</f>
        <v>0</v>
      </c>
      <c r="AO271" s="1">
        <f>INDEX(tblTerritories_2017!$V$3:$AI$63,AO$262,$BL271)</f>
        <v>0</v>
      </c>
      <c r="AP271" s="1">
        <f>INDEX(tblTerritories_2017!$V$3:$AI$63,AP$262,$BL271)</f>
        <v>1</v>
      </c>
      <c r="AQ271" s="1">
        <f>INDEX(tblTerritories_2017!$V$3:$AI$63,AQ$262,$BL271)</f>
        <v>1</v>
      </c>
      <c r="AR271" s="1">
        <f>INDEX(tblTerritories_2017!$V$3:$AI$63,AR$262,$BL271)</f>
        <v>0</v>
      </c>
      <c r="AS271" s="1">
        <f>INDEX(tblTerritories_2017!$V$3:$AI$63,AS$262,$BL271)</f>
        <v>0</v>
      </c>
      <c r="AT271" s="1">
        <f>INDEX(tblTerritories_2017!$V$3:$AI$63,AT$262,$BL271)</f>
        <v>0</v>
      </c>
      <c r="AU271" s="1">
        <f>INDEX(tblTerritories_2017!$V$3:$AI$63,AU$262,$BL271)</f>
        <v>1</v>
      </c>
      <c r="AV271" s="1">
        <f>INDEX(tblTerritories_2017!$V$3:$AI$63,AV$262,$BL271)</f>
        <v>1</v>
      </c>
      <c r="AW271" s="1">
        <f>INDEX(tblTerritories_2017!$V$3:$AI$63,AW$262,$BL271)</f>
        <v>0</v>
      </c>
      <c r="AX271" s="1">
        <f>INDEX(tblTerritories_2017!$V$3:$AI$63,AX$262,$BL271)</f>
        <v>1</v>
      </c>
      <c r="AY271" s="1">
        <f>INDEX(tblTerritories_2017!$V$3:$AI$63,AY$262,$BL271)</f>
        <v>0</v>
      </c>
      <c r="AZ271" s="1">
        <f>INDEX(tblTerritories_2017!$V$3:$AI$63,AZ$262,$BL271)</f>
        <v>0</v>
      </c>
      <c r="BA271" s="1">
        <f>INDEX(tblTerritories_2017!$V$3:$AI$63,BA$262,$BL271)</f>
        <v>0</v>
      </c>
      <c r="BB271" s="1">
        <f>INDEX(tblTerritories_2017!$V$3:$AI$63,BB$262,$BL271)</f>
        <v>0</v>
      </c>
      <c r="BC271" s="1">
        <f>INDEX(tblTerritories_2017!$V$3:$AI$63,BC$262,$BL271)</f>
        <v>1</v>
      </c>
      <c r="BD271" s="1">
        <f>INDEX(tblTerritories_2017!$V$3:$AI$63,BD$262,$BL271)</f>
        <v>0</v>
      </c>
      <c r="BE271" s="1">
        <f>INDEX(tblTerritories_2017!$V$3:$AI$63,BE$262,$BL271)</f>
        <v>0</v>
      </c>
      <c r="BF271" s="1">
        <f>INDEX(tblTerritories_2017!$V$3:$AI$63,BF$262,$BL271)</f>
        <v>0</v>
      </c>
      <c r="BG271" s="1">
        <f>INDEX(tblTerritories_2017!$V$3:$AI$63,BG$262,$BL271)</f>
        <v>0</v>
      </c>
      <c r="BH271" s="1">
        <f>INDEX(tblTerritories_2017!$V$3:$AI$63,BH$262,$BL271)</f>
        <v>0</v>
      </c>
      <c r="BI271" s="1">
        <f>INDEX(tblTerritories_2017!$V$3:$AI$63,BI$262,$BL271)</f>
        <v>0</v>
      </c>
      <c r="BJ271" s="1">
        <f>INDEX(tblTerritories_2017!$V$3:$AI$63,BJ$262,$BL271)</f>
        <v>0</v>
      </c>
      <c r="BL271" s="1">
        <f t="shared" si="283"/>
        <v>9</v>
      </c>
    </row>
    <row r="272" spans="1:64">
      <c r="A272" s="1" t="str">
        <f>tblTerritories!S13</f>
        <v>Low Income</v>
      </c>
      <c r="B272" s="1">
        <f>INDEX(tblTerritories_2017!$V$3:$AI$63,B$262,$BL272)</f>
        <v>0</v>
      </c>
      <c r="C272" s="1">
        <f>INDEX(tblTerritories_2017!$V$3:$AI$63,C$262,$BL272)</f>
        <v>0</v>
      </c>
      <c r="D272" s="1">
        <f>INDEX(tblTerritories_2017!$V$3:$AI$63,D$262,$BL272)</f>
        <v>0</v>
      </c>
      <c r="E272" s="1">
        <f>INDEX(tblTerritories_2017!$V$3:$AI$63,E$262,$BL272)</f>
        <v>0</v>
      </c>
      <c r="F272" s="1">
        <f>INDEX(tblTerritories_2017!$V$3:$AI$63,F$262,$BL272)</f>
        <v>0</v>
      </c>
      <c r="G272" s="1">
        <f>INDEX(tblTerritories_2017!$V$3:$AI$63,G$262,$BL272)</f>
        <v>0</v>
      </c>
      <c r="H272" s="1">
        <f>INDEX(tblTerritories_2017!$V$3:$AI$63,H$262,$BL272)</f>
        <v>0</v>
      </c>
      <c r="I272" s="1">
        <f>INDEX(tblTerritories_2017!$V$3:$AI$63,I$262,$BL272)</f>
        <v>0</v>
      </c>
      <c r="J272" s="1">
        <f>INDEX(tblTerritories_2017!$V$3:$AI$63,J$262,$BL272)</f>
        <v>0</v>
      </c>
      <c r="K272" s="1">
        <f>INDEX(tblTerritories_2017!$V$3:$AI$63,K$262,$BL272)</f>
        <v>0</v>
      </c>
      <c r="L272" s="1">
        <f>INDEX(tblTerritories_2017!$V$3:$AI$63,L$262,$BL272)</f>
        <v>0</v>
      </c>
      <c r="M272" s="1">
        <f>INDEX(tblTerritories_2017!$V$3:$AI$63,M$262,$BL272)</f>
        <v>1</v>
      </c>
      <c r="N272" s="1">
        <f>INDEX(tblTerritories_2017!$V$3:$AI$63,N$262,$BL272)</f>
        <v>0</v>
      </c>
      <c r="O272" s="1">
        <f>INDEX(tblTerritories_2017!$V$3:$AI$63,O$262,$BL272)</f>
        <v>0</v>
      </c>
      <c r="P272" s="1">
        <f>INDEX(tblTerritories_2017!$V$3:$AI$63,P$262,$BL272)</f>
        <v>1</v>
      </c>
      <c r="Q272" s="1">
        <f>INDEX(tblTerritories_2017!$V$3:$AI$63,Q$262,$BL272)</f>
        <v>1</v>
      </c>
      <c r="R272" s="1">
        <f>INDEX(tblTerritories_2017!$V$3:$AI$63,R$262,$BL272)</f>
        <v>0</v>
      </c>
      <c r="S272" s="1">
        <f>INDEX(tblTerritories_2017!$V$3:$AI$63,S$262,$BL272)</f>
        <v>0</v>
      </c>
      <c r="T272" s="1">
        <f>INDEX(tblTerritories_2017!$V$3:$AI$63,T$262,$BL272)</f>
        <v>1</v>
      </c>
      <c r="U272" s="1">
        <f>INDEX(tblTerritories_2017!$V$3:$AI$63,U$262,$BL272)</f>
        <v>0</v>
      </c>
      <c r="V272" s="1">
        <f>INDEX(tblTerritories_2017!$V$3:$AI$63,V$262,$BL272)</f>
        <v>0</v>
      </c>
      <c r="W272" s="1">
        <f>INDEX(tblTerritories_2017!$V$3:$AI$63,W$262,$BL272)</f>
        <v>0</v>
      </c>
      <c r="X272" s="1">
        <f>INDEX(tblTerritories_2017!$V$3:$AI$63,X$262,$BL272)</f>
        <v>0</v>
      </c>
      <c r="Y272" s="1">
        <f>INDEX(tblTerritories_2017!$V$3:$AI$63,Y$262,$BL272)</f>
        <v>0</v>
      </c>
      <c r="Z272" s="1">
        <f>INDEX(tblTerritories_2017!$V$3:$AI$63,Z$262,$BL272)</f>
        <v>1</v>
      </c>
      <c r="AA272" s="1">
        <f>INDEX(tblTerritories_2017!$V$3:$AI$63,AA$262,$BL272)</f>
        <v>0</v>
      </c>
      <c r="AB272" s="1">
        <f>INDEX(tblTerritories_2017!$V$3:$AI$63,AB$262,$BL272)</f>
        <v>0</v>
      </c>
      <c r="AC272" s="1">
        <f>INDEX(tblTerritories_2017!$V$3:$AI$63,AC$262,$BL272)</f>
        <v>0</v>
      </c>
      <c r="AD272" s="1">
        <f>INDEX(tblTerritories_2017!$V$3:$AI$63,AD$262,$BL272)</f>
        <v>0</v>
      </c>
      <c r="AE272" s="1">
        <f>INDEX(tblTerritories_2017!$V$3:$AI$63,AE$262,$BL272)</f>
        <v>0</v>
      </c>
      <c r="AF272" s="1">
        <f>INDEX(tblTerritories_2017!$V$3:$AI$63,AF$262,$BL272)</f>
        <v>0</v>
      </c>
      <c r="AG272" s="1">
        <f>INDEX(tblTerritories_2017!$V$3:$AI$63,AG$262,$BL272)</f>
        <v>1</v>
      </c>
      <c r="AH272" s="1">
        <f>INDEX(tblTerritories_2017!$V$3:$AI$63,AH$262,$BL272)</f>
        <v>0</v>
      </c>
      <c r="AI272" s="1">
        <f>INDEX(tblTerritories_2017!$V$3:$AI$63,AI$262,$BL272)</f>
        <v>0</v>
      </c>
      <c r="AJ272" s="1">
        <f>INDEX(tblTerritories_2017!$V$3:$AI$63,AJ$262,$BL272)</f>
        <v>0</v>
      </c>
      <c r="AK272" s="1">
        <f>INDEX(tblTerritories_2017!$V$3:$AI$63,AK$262,$BL272)</f>
        <v>0</v>
      </c>
      <c r="AL272" s="1">
        <f>INDEX(tblTerritories_2017!$V$3:$AI$63,AL$262,$BL272)</f>
        <v>1</v>
      </c>
      <c r="AM272" s="1">
        <f>INDEX(tblTerritories_2017!$V$3:$AI$63,AM$262,$BL272)</f>
        <v>0</v>
      </c>
      <c r="AN272" s="1">
        <f>INDEX(tblTerritories_2017!$V$3:$AI$63,AN$262,$BL272)</f>
        <v>0</v>
      </c>
      <c r="AO272" s="1">
        <f>INDEX(tblTerritories_2017!$V$3:$AI$63,AO$262,$BL272)</f>
        <v>0</v>
      </c>
      <c r="AP272" s="1">
        <f>INDEX(tblTerritories_2017!$V$3:$AI$63,AP$262,$BL272)</f>
        <v>0</v>
      </c>
      <c r="AQ272" s="1">
        <f>INDEX(tblTerritories_2017!$V$3:$AI$63,AQ$262,$BL272)</f>
        <v>0</v>
      </c>
      <c r="AR272" s="1">
        <f>INDEX(tblTerritories_2017!$V$3:$AI$63,AR$262,$BL272)</f>
        <v>0</v>
      </c>
      <c r="AS272" s="1">
        <f>INDEX(tblTerritories_2017!$V$3:$AI$63,AS$262,$BL272)</f>
        <v>0</v>
      </c>
      <c r="AT272" s="1">
        <f>INDEX(tblTerritories_2017!$V$3:$AI$63,AT$262,$BL272)</f>
        <v>0</v>
      </c>
      <c r="AU272" s="1">
        <f>INDEX(tblTerritories_2017!$V$3:$AI$63,AU$262,$BL272)</f>
        <v>0</v>
      </c>
      <c r="AV272" s="1">
        <f>INDEX(tblTerritories_2017!$V$3:$AI$63,AV$262,$BL272)</f>
        <v>0</v>
      </c>
      <c r="AW272" s="1">
        <f>INDEX(tblTerritories_2017!$V$3:$AI$63,AW$262,$BL272)</f>
        <v>0</v>
      </c>
      <c r="AX272" s="1">
        <f>INDEX(tblTerritories_2017!$V$3:$AI$63,AX$262,$BL272)</f>
        <v>0</v>
      </c>
      <c r="AY272" s="1">
        <f>INDEX(tblTerritories_2017!$V$3:$AI$63,AY$262,$BL272)</f>
        <v>0</v>
      </c>
      <c r="AZ272" s="1">
        <f>INDEX(tblTerritories_2017!$V$3:$AI$63,AZ$262,$BL272)</f>
        <v>0</v>
      </c>
      <c r="BA272" s="1">
        <f>INDEX(tblTerritories_2017!$V$3:$AI$63,BA$262,$BL272)</f>
        <v>0</v>
      </c>
      <c r="BB272" s="1">
        <f>INDEX(tblTerritories_2017!$V$3:$AI$63,BB$262,$BL272)</f>
        <v>0</v>
      </c>
      <c r="BC272" s="1">
        <f>INDEX(tblTerritories_2017!$V$3:$AI$63,BC$262,$BL272)</f>
        <v>0</v>
      </c>
      <c r="BD272" s="1">
        <f>INDEX(tblTerritories_2017!$V$3:$AI$63,BD$262,$BL272)</f>
        <v>0</v>
      </c>
      <c r="BE272" s="1">
        <f>INDEX(tblTerritories_2017!$V$3:$AI$63,BE$262,$BL272)</f>
        <v>0</v>
      </c>
      <c r="BF272" s="1">
        <f>INDEX(tblTerritories_2017!$V$3:$AI$63,BF$262,$BL272)</f>
        <v>0</v>
      </c>
      <c r="BG272" s="1">
        <f>INDEX(tblTerritories_2017!$V$3:$AI$63,BG$262,$BL272)</f>
        <v>0</v>
      </c>
      <c r="BH272" s="1">
        <f>INDEX(tblTerritories_2017!$V$3:$AI$63,BH$262,$BL272)</f>
        <v>1</v>
      </c>
      <c r="BI272" s="1">
        <f>INDEX(tblTerritories_2017!$V$3:$AI$63,BI$262,$BL272)</f>
        <v>0</v>
      </c>
      <c r="BJ272" s="1">
        <f>INDEX(tblTerritories_2017!$V$3:$AI$63,BJ$262,$BL272)</f>
        <v>0</v>
      </c>
      <c r="BL272" s="1">
        <f t="shared" ref="BL272:BL275" si="284">BL271+1</f>
        <v>10</v>
      </c>
    </row>
    <row r="273" spans="1:64">
      <c r="A273" s="1" t="str">
        <f>tblTerritories!S14</f>
        <v>Population &lt; 5 million</v>
      </c>
      <c r="B273" s="1">
        <f>INDEX(tblTerritories_2017!$V$3:$AI$63,B$262,$BL273)</f>
        <v>1</v>
      </c>
      <c r="C273" s="1">
        <f>INDEX(tblTerritories_2017!$V$3:$AI$63,C$262,$BL273)</f>
        <v>1</v>
      </c>
      <c r="D273" s="1">
        <f>INDEX(tblTerritories_2017!$V$3:$AI$63,D$262,$BL273)</f>
        <v>1</v>
      </c>
      <c r="E273" s="1">
        <f>INDEX(tblTerritories_2017!$V$3:$AI$63,E$262,$BL273)</f>
        <v>0</v>
      </c>
      <c r="F273" s="1">
        <f>INDEX(tblTerritories_2017!$V$3:$AI$63,F$262,$BL273)</f>
        <v>0</v>
      </c>
      <c r="G273" s="1">
        <f>INDEX(tblTerritories_2017!$V$3:$AI$63,G$262,$BL273)</f>
        <v>0</v>
      </c>
      <c r="H273" s="1">
        <f>INDEX(tblTerritories_2017!$V$3:$AI$63,H$262,$BL273)</f>
        <v>0</v>
      </c>
      <c r="I273" s="1">
        <f>INDEX(tblTerritories_2017!$V$3:$AI$63,I$262,$BL273)</f>
        <v>1</v>
      </c>
      <c r="J273" s="1">
        <f>INDEX(tblTerritories_2017!$V$3:$AI$63,J$262,$BL273)</f>
        <v>0</v>
      </c>
      <c r="K273" s="1">
        <f>INDEX(tblTerritories_2017!$V$3:$AI$63,K$262,$BL273)</f>
        <v>0</v>
      </c>
      <c r="L273" s="1">
        <f>INDEX(tblTerritories_2017!$V$3:$AI$63,L$262,$BL273)</f>
        <v>1</v>
      </c>
      <c r="M273" s="1">
        <f>INDEX(tblTerritories_2017!$V$3:$AI$63,M$262,$BL273)</f>
        <v>1</v>
      </c>
      <c r="N273" s="1">
        <f>INDEX(tblTerritories_2017!$V$3:$AI$63,N$262,$BL273)</f>
        <v>0</v>
      </c>
      <c r="O273" s="1">
        <f>INDEX(tblTerritories_2017!$V$3:$AI$63,O$262,$BL273)</f>
        <v>1</v>
      </c>
      <c r="P273" s="1">
        <f>INDEX(tblTerritories_2017!$V$3:$AI$63,P$262,$BL273)</f>
        <v>0</v>
      </c>
      <c r="Q273" s="1">
        <f>INDEX(tblTerritories_2017!$V$3:$AI$63,Q$262,$BL273)</f>
        <v>0</v>
      </c>
      <c r="R273" s="1">
        <f>INDEX(tblTerritories_2017!$V$3:$AI$63,R$262,$BL273)</f>
        <v>1</v>
      </c>
      <c r="S273" s="1">
        <f>INDEX(tblTerritories_2017!$V$3:$AI$63,S$262,$BL273)</f>
        <v>1</v>
      </c>
      <c r="T273" s="1">
        <f>INDEX(tblTerritories_2017!$V$3:$AI$63,T$262,$BL273)</f>
        <v>0</v>
      </c>
      <c r="U273" s="1">
        <f>INDEX(tblTerritories_2017!$V$3:$AI$63,U$262,$BL273)</f>
        <v>0</v>
      </c>
      <c r="V273" s="1">
        <f>INDEX(tblTerritories_2017!$V$3:$AI$63,V$262,$BL273)</f>
        <v>0</v>
      </c>
      <c r="W273" s="1">
        <f>INDEX(tblTerritories_2017!$V$3:$AI$63,W$262,$BL273)</f>
        <v>0</v>
      </c>
      <c r="X273" s="1">
        <f>INDEX(tblTerritories_2017!$V$3:$AI$63,X$262,$BL273)</f>
        <v>1</v>
      </c>
      <c r="Y273" s="1">
        <f>INDEX(tblTerritories_2017!$V$3:$AI$63,Y$262,$BL273)</f>
        <v>0</v>
      </c>
      <c r="Z273" s="1">
        <f>INDEX(tblTerritories_2017!$V$3:$AI$63,Z$262,$BL273)</f>
        <v>0</v>
      </c>
      <c r="AA273" s="1">
        <f>INDEX(tblTerritories_2017!$V$3:$AI$63,AA$262,$BL273)</f>
        <v>0</v>
      </c>
      <c r="AB273" s="1">
        <f>INDEX(tblTerritories_2017!$V$3:$AI$63,AB$262,$BL273)</f>
        <v>1</v>
      </c>
      <c r="AC273" s="1">
        <f>INDEX(tblTerritories_2017!$V$3:$AI$63,AC$262,$BL273)</f>
        <v>0</v>
      </c>
      <c r="AD273" s="1">
        <f>INDEX(tblTerritories_2017!$V$3:$AI$63,AD$262,$BL273)</f>
        <v>0</v>
      </c>
      <c r="AE273" s="1">
        <f>INDEX(tblTerritories_2017!$V$3:$AI$63,AE$262,$BL273)</f>
        <v>0</v>
      </c>
      <c r="AF273" s="1">
        <f>INDEX(tblTerritories_2017!$V$3:$AI$63,AF$262,$BL273)</f>
        <v>0</v>
      </c>
      <c r="AG273" s="1">
        <f>INDEX(tblTerritories_2017!$V$3:$AI$63,AG$262,$BL273)</f>
        <v>0</v>
      </c>
      <c r="AH273" s="1">
        <f>INDEX(tblTerritories_2017!$V$3:$AI$63,AH$262,$BL273)</f>
        <v>1</v>
      </c>
      <c r="AI273" s="1">
        <f>INDEX(tblTerritories_2017!$V$3:$AI$63,AI$262,$BL273)</f>
        <v>0</v>
      </c>
      <c r="AJ273" s="1">
        <f>INDEX(tblTerritories_2017!$V$3:$AI$63,AJ$262,$BL273)</f>
        <v>1</v>
      </c>
      <c r="AK273" s="1">
        <f>INDEX(tblTerritories_2017!$V$3:$AI$63,AK$262,$BL273)</f>
        <v>0</v>
      </c>
      <c r="AL273" s="1">
        <f>INDEX(tblTerritories_2017!$V$3:$AI$63,AL$262,$BL273)</f>
        <v>0</v>
      </c>
      <c r="AM273" s="1">
        <f>INDEX(tblTerritories_2017!$V$3:$AI$63,AM$262,$BL273)</f>
        <v>0</v>
      </c>
      <c r="AN273" s="1">
        <f>INDEX(tblTerritories_2017!$V$3:$AI$63,AN$262,$BL273)</f>
        <v>0</v>
      </c>
      <c r="AO273" s="1">
        <f>INDEX(tblTerritories_2017!$V$3:$AI$63,AO$262,$BL273)</f>
        <v>0</v>
      </c>
      <c r="AP273" s="1">
        <f>INDEX(tblTerritories_2017!$V$3:$AI$63,AP$262,$BL273)</f>
        <v>1</v>
      </c>
      <c r="AQ273" s="1">
        <f>INDEX(tblTerritories_2017!$V$3:$AI$63,AQ$262,$BL273)</f>
        <v>0</v>
      </c>
      <c r="AR273" s="1">
        <f>INDEX(tblTerritories_2017!$V$3:$AI$63,AR$262,$BL273)</f>
        <v>0</v>
      </c>
      <c r="AS273" s="1">
        <f>INDEX(tblTerritories_2017!$V$3:$AI$63,AS$262,$BL273)</f>
        <v>1</v>
      </c>
      <c r="AT273" s="1">
        <f>INDEX(tblTerritories_2017!$V$3:$AI$63,AT$262,$BL273)</f>
        <v>1</v>
      </c>
      <c r="AU273" s="1">
        <f>INDEX(tblTerritories_2017!$V$3:$AI$63,AU$262,$BL273)</f>
        <v>0</v>
      </c>
      <c r="AV273" s="1">
        <f>INDEX(tblTerritories_2017!$V$3:$AI$63,AV$262,$BL273)</f>
        <v>0</v>
      </c>
      <c r="AW273" s="1">
        <f>INDEX(tblTerritories_2017!$V$3:$AI$63,AW$262,$BL273)</f>
        <v>0</v>
      </c>
      <c r="AX273" s="1">
        <f>INDEX(tblTerritories_2017!$V$3:$AI$63,AX$262,$BL273)</f>
        <v>0</v>
      </c>
      <c r="AY273" s="1">
        <f>INDEX(tblTerritories_2017!$V$3:$AI$63,AY$262,$BL273)</f>
        <v>0</v>
      </c>
      <c r="AZ273" s="1">
        <f>INDEX(tblTerritories_2017!$V$3:$AI$63,AZ$262,$BL273)</f>
        <v>1</v>
      </c>
      <c r="BA273" s="1">
        <f>INDEX(tblTerritories_2017!$V$3:$AI$63,BA$262,$BL273)</f>
        <v>1</v>
      </c>
      <c r="BB273" s="1">
        <f>INDEX(tblTerritories_2017!$V$3:$AI$63,BB$262,$BL273)</f>
        <v>0</v>
      </c>
      <c r="BC273" s="1">
        <f>INDEX(tblTerritories_2017!$V$3:$AI$63,BC$262,$BL273)</f>
        <v>0</v>
      </c>
      <c r="BD273" s="1">
        <f>INDEX(tblTerritories_2017!$V$3:$AI$63,BD$262,$BL273)</f>
        <v>0</v>
      </c>
      <c r="BE273" s="1">
        <f>INDEX(tblTerritories_2017!$V$3:$AI$63,BE$262,$BL273)</f>
        <v>0</v>
      </c>
      <c r="BF273" s="1">
        <f>INDEX(tblTerritories_2017!$V$3:$AI$63,BF$262,$BL273)</f>
        <v>0</v>
      </c>
      <c r="BG273" s="1">
        <f>INDEX(tblTerritories_2017!$V$3:$AI$63,BG$262,$BL273)</f>
        <v>1</v>
      </c>
      <c r="BH273" s="1">
        <f>INDEX(tblTerritories_2017!$V$3:$AI$63,BH$262,$BL273)</f>
        <v>1</v>
      </c>
      <c r="BI273" s="1">
        <f>INDEX(tblTerritories_2017!$V$3:$AI$63,BI$262,$BL273)</f>
        <v>1</v>
      </c>
      <c r="BJ273" s="1">
        <f>INDEX(tblTerritories_2017!$V$3:$AI$63,BJ$262,$BL273)</f>
        <v>0</v>
      </c>
      <c r="BL273" s="1">
        <f t="shared" si="284"/>
        <v>11</v>
      </c>
    </row>
    <row r="274" spans="1:64">
      <c r="A274" s="1" t="str">
        <f>tblTerritories!S15</f>
        <v>Population 5 - 10 million</v>
      </c>
      <c r="B274" s="1">
        <f>INDEX(tblTerritories_2017!$V$3:$AI$63,B$262,$BL274)</f>
        <v>0</v>
      </c>
      <c r="C274" s="1">
        <f>INDEX(tblTerritories_2017!$V$3:$AI$63,C$262,$BL274)</f>
        <v>0</v>
      </c>
      <c r="D274" s="1">
        <f>INDEX(tblTerritories_2017!$V$3:$AI$63,D$262,$BL274)</f>
        <v>0</v>
      </c>
      <c r="E274" s="1">
        <f>INDEX(tblTerritories_2017!$V$3:$AI$63,E$262,$BL274)</f>
        <v>0</v>
      </c>
      <c r="F274" s="1">
        <f>INDEX(tblTerritories_2017!$V$3:$AI$63,F$262,$BL274)</f>
        <v>1</v>
      </c>
      <c r="G274" s="1">
        <f>INDEX(tblTerritories_2017!$V$3:$AI$63,G$262,$BL274)</f>
        <v>0</v>
      </c>
      <c r="H274" s="1">
        <f>INDEX(tblTerritories_2017!$V$3:$AI$63,H$262,$BL274)</f>
        <v>1</v>
      </c>
      <c r="I274" s="1">
        <f>INDEX(tblTerritories_2017!$V$3:$AI$63,I$262,$BL274)</f>
        <v>0</v>
      </c>
      <c r="J274" s="1">
        <f>INDEX(tblTerritories_2017!$V$3:$AI$63,J$262,$BL274)</f>
        <v>0</v>
      </c>
      <c r="K274" s="1">
        <f>INDEX(tblTerritories_2017!$V$3:$AI$63,K$262,$BL274)</f>
        <v>0</v>
      </c>
      <c r="L274" s="1">
        <f>INDEX(tblTerritories_2017!$V$3:$AI$63,L$262,$BL274)</f>
        <v>0</v>
      </c>
      <c r="M274" s="1">
        <f>INDEX(tblTerritories_2017!$V$3:$AI$63,M$262,$BL274)</f>
        <v>0</v>
      </c>
      <c r="N274" s="1">
        <f>INDEX(tblTerritories_2017!$V$3:$AI$63,N$262,$BL274)</f>
        <v>1</v>
      </c>
      <c r="O274" s="1">
        <f>INDEX(tblTerritories_2017!$V$3:$AI$63,O$262,$BL274)</f>
        <v>0</v>
      </c>
      <c r="P274" s="1">
        <f>INDEX(tblTerritories_2017!$V$3:$AI$63,P$262,$BL274)</f>
        <v>0</v>
      </c>
      <c r="Q274" s="1">
        <f>INDEX(tblTerritories_2017!$V$3:$AI$63,Q$262,$BL274)</f>
        <v>0</v>
      </c>
      <c r="R274" s="1">
        <f>INDEX(tblTerritories_2017!$V$3:$AI$63,R$262,$BL274)</f>
        <v>0</v>
      </c>
      <c r="S274" s="1">
        <f>INDEX(tblTerritories_2017!$V$3:$AI$63,S$262,$BL274)</f>
        <v>0</v>
      </c>
      <c r="T274" s="1">
        <f>INDEX(tblTerritories_2017!$V$3:$AI$63,T$262,$BL274)</f>
        <v>0</v>
      </c>
      <c r="U274" s="1">
        <f>INDEX(tblTerritories_2017!$V$3:$AI$63,U$262,$BL274)</f>
        <v>1</v>
      </c>
      <c r="V274" s="1">
        <f>INDEX(tblTerritories_2017!$V$3:$AI$63,V$262,$BL274)</f>
        <v>0</v>
      </c>
      <c r="W274" s="1">
        <f>INDEX(tblTerritories_2017!$V$3:$AI$63,W$262,$BL274)</f>
        <v>0</v>
      </c>
      <c r="X274" s="1">
        <f>INDEX(tblTerritories_2017!$V$3:$AI$63,X$262,$BL274)</f>
        <v>0</v>
      </c>
      <c r="Y274" s="1">
        <f>INDEX(tblTerritories_2017!$V$3:$AI$63,Y$262,$BL274)</f>
        <v>1</v>
      </c>
      <c r="Z274" s="1">
        <f>INDEX(tblTerritories_2017!$V$3:$AI$63,Z$262,$BL274)</f>
        <v>0</v>
      </c>
      <c r="AA274" s="1">
        <f>INDEX(tblTerritories_2017!$V$3:$AI$63,AA$262,$BL274)</f>
        <v>1</v>
      </c>
      <c r="AB274" s="1">
        <f>INDEX(tblTerritories_2017!$V$3:$AI$63,AB$262,$BL274)</f>
        <v>0</v>
      </c>
      <c r="AC274" s="1">
        <f>INDEX(tblTerritories_2017!$V$3:$AI$63,AC$262,$BL274)</f>
        <v>0</v>
      </c>
      <c r="AD274" s="1">
        <f>INDEX(tblTerritories_2017!$V$3:$AI$63,AD$262,$BL274)</f>
        <v>0</v>
      </c>
      <c r="AE274" s="1">
        <f>INDEX(tblTerritories_2017!$V$3:$AI$63,AE$262,$BL274)</f>
        <v>0</v>
      </c>
      <c r="AF274" s="1">
        <f>INDEX(tblTerritories_2017!$V$3:$AI$63,AF$262,$BL274)</f>
        <v>1</v>
      </c>
      <c r="AG274" s="1">
        <f>INDEX(tblTerritories_2017!$V$3:$AI$63,AG$262,$BL274)</f>
        <v>0</v>
      </c>
      <c r="AH274" s="1">
        <f>INDEX(tblTerritories_2017!$V$3:$AI$63,AH$262,$BL274)</f>
        <v>0</v>
      </c>
      <c r="AI274" s="1">
        <f>INDEX(tblTerritories_2017!$V$3:$AI$63,AI$262,$BL274)</f>
        <v>0</v>
      </c>
      <c r="AJ274" s="1">
        <f>INDEX(tblTerritories_2017!$V$3:$AI$63,AJ$262,$BL274)</f>
        <v>0</v>
      </c>
      <c r="AK274" s="1">
        <f>INDEX(tblTerritories_2017!$V$3:$AI$63,AK$262,$BL274)</f>
        <v>0</v>
      </c>
      <c r="AL274" s="1">
        <f>INDEX(tblTerritories_2017!$V$3:$AI$63,AL$262,$BL274)</f>
        <v>0</v>
      </c>
      <c r="AM274" s="1">
        <f>INDEX(tblTerritories_2017!$V$3:$AI$63,AM$262,$BL274)</f>
        <v>0</v>
      </c>
      <c r="AN274" s="1">
        <f>INDEX(tblTerritories_2017!$V$3:$AI$63,AN$262,$BL274)</f>
        <v>0</v>
      </c>
      <c r="AO274" s="1">
        <f>INDEX(tblTerritories_2017!$V$3:$AI$63,AO$262,$BL274)</f>
        <v>0</v>
      </c>
      <c r="AP274" s="1">
        <f>INDEX(tblTerritories_2017!$V$3:$AI$63,AP$262,$BL274)</f>
        <v>0</v>
      </c>
      <c r="AQ274" s="1">
        <f>INDEX(tblTerritories_2017!$V$3:$AI$63,AQ$262,$BL274)</f>
        <v>0</v>
      </c>
      <c r="AR274" s="1">
        <f>INDEX(tblTerritories_2017!$V$3:$AI$63,AR$262,$BL274)</f>
        <v>1</v>
      </c>
      <c r="AS274" s="1">
        <f>INDEX(tblTerritories_2017!$V$3:$AI$63,AS$262,$BL274)</f>
        <v>0</v>
      </c>
      <c r="AT274" s="1">
        <f>INDEX(tblTerritories_2017!$V$3:$AI$63,AT$262,$BL274)</f>
        <v>0</v>
      </c>
      <c r="AU274" s="1">
        <f>INDEX(tblTerritories_2017!$V$3:$AI$63,AU$262,$BL274)</f>
        <v>1</v>
      </c>
      <c r="AV274" s="1">
        <f>INDEX(tblTerritories_2017!$V$3:$AI$63,AV$262,$BL274)</f>
        <v>0</v>
      </c>
      <c r="AW274" s="1">
        <f>INDEX(tblTerritories_2017!$V$3:$AI$63,AW$262,$BL274)</f>
        <v>0</v>
      </c>
      <c r="AX274" s="1">
        <f>INDEX(tblTerritories_2017!$V$3:$AI$63,AX$262,$BL274)</f>
        <v>0</v>
      </c>
      <c r="AY274" s="1">
        <f>INDEX(tblTerritories_2017!$V$3:$AI$63,AY$262,$BL274)</f>
        <v>1</v>
      </c>
      <c r="AZ274" s="1">
        <f>INDEX(tblTerritories_2017!$V$3:$AI$63,AZ$262,$BL274)</f>
        <v>0</v>
      </c>
      <c r="BA274" s="1">
        <f>INDEX(tblTerritories_2017!$V$3:$AI$63,BA$262,$BL274)</f>
        <v>0</v>
      </c>
      <c r="BB274" s="1">
        <f>INDEX(tblTerritories_2017!$V$3:$AI$63,BB$262,$BL274)</f>
        <v>1</v>
      </c>
      <c r="BC274" s="1">
        <f>INDEX(tblTerritories_2017!$V$3:$AI$63,BC$262,$BL274)</f>
        <v>1</v>
      </c>
      <c r="BD274" s="1">
        <f>INDEX(tblTerritories_2017!$V$3:$AI$63,BD$262,$BL274)</f>
        <v>0</v>
      </c>
      <c r="BE274" s="1">
        <f>INDEX(tblTerritories_2017!$V$3:$AI$63,BE$262,$BL274)</f>
        <v>1</v>
      </c>
      <c r="BF274" s="1">
        <f>INDEX(tblTerritories_2017!$V$3:$AI$63,BF$262,$BL274)</f>
        <v>1</v>
      </c>
      <c r="BG274" s="1">
        <f>INDEX(tblTerritories_2017!$V$3:$AI$63,BG$262,$BL274)</f>
        <v>0</v>
      </c>
      <c r="BH274" s="1">
        <f>INDEX(tblTerritories_2017!$V$3:$AI$63,BH$262,$BL274)</f>
        <v>0</v>
      </c>
      <c r="BI274" s="1">
        <f>INDEX(tblTerritories_2017!$V$3:$AI$63,BI$262,$BL274)</f>
        <v>0</v>
      </c>
      <c r="BJ274" s="1">
        <f>INDEX(tblTerritories_2017!$V$3:$AI$63,BJ$262,$BL274)</f>
        <v>0</v>
      </c>
      <c r="BL274" s="1">
        <f t="shared" si="284"/>
        <v>12</v>
      </c>
    </row>
    <row r="275" spans="1:64">
      <c r="A275" s="1" t="str">
        <f>tblTerritories!S17</f>
        <v>Population &gt; 15 million</v>
      </c>
      <c r="B275" s="1">
        <f>INDEX(tblTerritories_2017!$V$3:$AI$63,B$262,$BL275)</f>
        <v>0</v>
      </c>
      <c r="C275" s="1">
        <f>INDEX(tblTerritories_2017!$V$3:$AI$63,C$262,$BL275)</f>
        <v>0</v>
      </c>
      <c r="D275" s="1">
        <f>INDEX(tblTerritories_2017!$V$3:$AI$63,D$262,$BL275)</f>
        <v>0</v>
      </c>
      <c r="E275" s="1">
        <f>INDEX(tblTerritories_2017!$V$3:$AI$63,E$262,$BL275)</f>
        <v>1</v>
      </c>
      <c r="F275" s="1">
        <f>INDEX(tblTerritories_2017!$V$3:$AI$63,F$262,$BL275)</f>
        <v>0</v>
      </c>
      <c r="G275" s="1">
        <f>INDEX(tblTerritories_2017!$V$3:$AI$63,G$262,$BL275)</f>
        <v>0</v>
      </c>
      <c r="H275" s="1">
        <f>INDEX(tblTerritories_2017!$V$3:$AI$63,H$262,$BL275)</f>
        <v>0</v>
      </c>
      <c r="I275" s="1">
        <f>INDEX(tblTerritories_2017!$V$3:$AI$63,I$262,$BL275)</f>
        <v>0</v>
      </c>
      <c r="J275" s="1">
        <f>INDEX(tblTerritories_2017!$V$3:$AI$63,J$262,$BL275)</f>
        <v>0</v>
      </c>
      <c r="K275" s="1">
        <f>INDEX(tblTerritories_2017!$V$3:$AI$63,K$262,$BL275)</f>
        <v>0</v>
      </c>
      <c r="L275" s="1">
        <f>INDEX(tblTerritories_2017!$V$3:$AI$63,L$262,$BL275)</f>
        <v>0</v>
      </c>
      <c r="M275" s="1">
        <f>INDEX(tblTerritories_2017!$V$3:$AI$63,M$262,$BL275)</f>
        <v>0</v>
      </c>
      <c r="N275" s="1">
        <f>INDEX(tblTerritories_2017!$V$3:$AI$63,N$262,$BL275)</f>
        <v>0</v>
      </c>
      <c r="O275" s="1">
        <f>INDEX(tblTerritories_2017!$V$3:$AI$63,O$262,$BL275)</f>
        <v>0</v>
      </c>
      <c r="P275" s="1">
        <f>INDEX(tblTerritories_2017!$V$3:$AI$63,P$262,$BL275)</f>
        <v>0</v>
      </c>
      <c r="Q275" s="1">
        <f>INDEX(tblTerritories_2017!$V$3:$AI$63,Q$262,$BL275)</f>
        <v>0</v>
      </c>
      <c r="R275" s="1">
        <f>INDEX(tblTerritories_2017!$V$3:$AI$63,R$262,$BL275)</f>
        <v>0</v>
      </c>
      <c r="S275" s="1">
        <f>INDEX(tblTerritories_2017!$V$3:$AI$63,S$262,$BL275)</f>
        <v>0</v>
      </c>
      <c r="T275" s="1">
        <f>INDEX(tblTerritories_2017!$V$3:$AI$63,T$262,$BL275)</f>
        <v>0</v>
      </c>
      <c r="U275" s="1">
        <f>INDEX(tblTerritories_2017!$V$3:$AI$63,U$262,$BL275)</f>
        <v>0</v>
      </c>
      <c r="V275" s="1">
        <f>INDEX(tblTerritories_2017!$V$3:$AI$63,V$262,$BL275)</f>
        <v>1</v>
      </c>
      <c r="W275" s="1">
        <f>INDEX(tblTerritories_2017!$V$3:$AI$63,W$262,$BL275)</f>
        <v>0</v>
      </c>
      <c r="X275" s="1">
        <f>INDEX(tblTerritories_2017!$V$3:$AI$63,X$262,$BL275)</f>
        <v>0</v>
      </c>
      <c r="Y275" s="1">
        <f>INDEX(tblTerritories_2017!$V$3:$AI$63,Y$262,$BL275)</f>
        <v>0</v>
      </c>
      <c r="Z275" s="1">
        <f>INDEX(tblTerritories_2017!$V$3:$AI$63,Z$262,$BL275)</f>
        <v>0</v>
      </c>
      <c r="AA275" s="1">
        <f>INDEX(tblTerritories_2017!$V$3:$AI$63,AA$262,$BL275)</f>
        <v>0</v>
      </c>
      <c r="AB275" s="1">
        <f>INDEX(tblTerritories_2017!$V$3:$AI$63,AB$262,$BL275)</f>
        <v>0</v>
      </c>
      <c r="AC275" s="1">
        <f>INDEX(tblTerritories_2017!$V$3:$AI$63,AC$262,$BL275)</f>
        <v>1</v>
      </c>
      <c r="AD275" s="1">
        <f>INDEX(tblTerritories_2017!$V$3:$AI$63,AD$262,$BL275)</f>
        <v>1</v>
      </c>
      <c r="AE275" s="1">
        <f>INDEX(tblTerritories_2017!$V$3:$AI$63,AE$262,$BL275)</f>
        <v>1</v>
      </c>
      <c r="AF275" s="1">
        <f>INDEX(tblTerritories_2017!$V$3:$AI$63,AF$262,$BL275)</f>
        <v>0</v>
      </c>
      <c r="AG275" s="1">
        <f>INDEX(tblTerritories_2017!$V$3:$AI$63,AG$262,$BL275)</f>
        <v>0</v>
      </c>
      <c r="AH275" s="1">
        <f>INDEX(tblTerritories_2017!$V$3:$AI$63,AH$262,$BL275)</f>
        <v>0</v>
      </c>
      <c r="AI275" s="1">
        <f>INDEX(tblTerritories_2017!$V$3:$AI$63,AI$262,$BL275)</f>
        <v>0</v>
      </c>
      <c r="AJ275" s="1">
        <f>INDEX(tblTerritories_2017!$V$3:$AI$63,AJ$262,$BL275)</f>
        <v>0</v>
      </c>
      <c r="AK275" s="1">
        <f>INDEX(tblTerritories_2017!$V$3:$AI$63,AK$262,$BL275)</f>
        <v>1</v>
      </c>
      <c r="AL275" s="1">
        <f>INDEX(tblTerritories_2017!$V$3:$AI$63,AL$262,$BL275)</f>
        <v>0</v>
      </c>
      <c r="AM275" s="1">
        <f>INDEX(tblTerritories_2017!$V$3:$AI$63,AM$262,$BL275)</f>
        <v>0</v>
      </c>
      <c r="AN275" s="1">
        <f>INDEX(tblTerritories_2017!$V$3:$AI$63,AN$262,$BL275)</f>
        <v>0</v>
      </c>
      <c r="AO275" s="1">
        <f>INDEX(tblTerritories_2017!$V$3:$AI$63,AO$262,$BL275)</f>
        <v>1</v>
      </c>
      <c r="AP275" s="1">
        <f>INDEX(tblTerritories_2017!$V$3:$AI$63,AP$262,$BL275)</f>
        <v>0</v>
      </c>
      <c r="AQ275" s="1">
        <f>INDEX(tblTerritories_2017!$V$3:$AI$63,AQ$262,$BL275)</f>
        <v>1</v>
      </c>
      <c r="AR275" s="1">
        <f>INDEX(tblTerritories_2017!$V$3:$AI$63,AR$262,$BL275)</f>
        <v>0</v>
      </c>
      <c r="AS275" s="1">
        <f>INDEX(tblTerritories_2017!$V$3:$AI$63,AS$262,$BL275)</f>
        <v>0</v>
      </c>
      <c r="AT275" s="1">
        <f>INDEX(tblTerritories_2017!$V$3:$AI$63,AT$262,$BL275)</f>
        <v>0</v>
      </c>
      <c r="AU275" s="1">
        <f>INDEX(tblTerritories_2017!$V$3:$AI$63,AU$262,$BL275)</f>
        <v>0</v>
      </c>
      <c r="AV275" s="1">
        <f>INDEX(tblTerritories_2017!$V$3:$AI$63,AV$262,$BL275)</f>
        <v>0</v>
      </c>
      <c r="AW275" s="1">
        <f>INDEX(tblTerritories_2017!$V$3:$AI$63,AW$262,$BL275)</f>
        <v>0</v>
      </c>
      <c r="AX275" s="1">
        <f>INDEX(tblTerritories_2017!$V$3:$AI$63,AX$262,$BL275)</f>
        <v>0</v>
      </c>
      <c r="AY275" s="1">
        <f>INDEX(tblTerritories_2017!$V$3:$AI$63,AY$262,$BL275)</f>
        <v>0</v>
      </c>
      <c r="AZ275" s="1">
        <f>INDEX(tblTerritories_2017!$V$3:$AI$63,AZ$262,$BL275)</f>
        <v>0</v>
      </c>
      <c r="BA275" s="1">
        <f>INDEX(tblTerritories_2017!$V$3:$AI$63,BA$262,$BL275)</f>
        <v>0</v>
      </c>
      <c r="BB275" s="1">
        <f>INDEX(tblTerritories_2017!$V$3:$AI$63,BB$262,$BL275)</f>
        <v>0</v>
      </c>
      <c r="BC275" s="1">
        <f>INDEX(tblTerritories_2017!$V$3:$AI$63,BC$262,$BL275)</f>
        <v>0</v>
      </c>
      <c r="BD275" s="1">
        <f>INDEX(tblTerritories_2017!$V$3:$AI$63,BD$262,$BL275)</f>
        <v>0</v>
      </c>
      <c r="BE275" s="1">
        <f>INDEX(tblTerritories_2017!$V$3:$AI$63,BE$262,$BL275)</f>
        <v>0</v>
      </c>
      <c r="BF275" s="1">
        <f>INDEX(tblTerritories_2017!$V$3:$AI$63,BF$262,$BL275)</f>
        <v>0</v>
      </c>
      <c r="BG275" s="1">
        <f>INDEX(tblTerritories_2017!$V$3:$AI$63,BG$262,$BL275)</f>
        <v>0</v>
      </c>
      <c r="BH275" s="1">
        <f>INDEX(tblTerritories_2017!$V$3:$AI$63,BH$262,$BL275)</f>
        <v>0</v>
      </c>
      <c r="BI275" s="1">
        <f>INDEX(tblTerritories_2017!$V$3:$AI$63,BI$262,$BL275)</f>
        <v>0</v>
      </c>
      <c r="BJ275" s="1">
        <f>INDEX(tblTerritories_2017!$V$3:$AI$63,BJ$262,$BL275)</f>
        <v>0</v>
      </c>
      <c r="BL275" s="1">
        <f t="shared" si="284"/>
        <v>13</v>
      </c>
    </row>
    <row r="277" spans="1:1">
      <c r="A277" s="1" t="s">
        <v>1019</v>
      </c>
    </row>
    <row r="278" spans="1:1">
      <c r="A278" s="1">
        <f>uxb_works!$B$9</f>
        <v>1</v>
      </c>
    </row>
    <row r="280" spans="1:64">
      <c r="A280" s="1" t="str">
        <f>INDEX(A263:A275,$A$278)</f>
        <v>All Regions/Groups</v>
      </c>
      <c r="B280" s="1">
        <f>INDEX(B263:B275,$A$278)</f>
        <v>1</v>
      </c>
      <c r="C280" s="1">
        <f>INDEX(C263:C275,$A$278)</f>
        <v>1</v>
      </c>
      <c r="D280" s="1">
        <f>INDEX(D263:D275,$A$278)</f>
        <v>1</v>
      </c>
      <c r="E280" s="1">
        <f t="shared" ref="E280:BJ280" si="285">INDEX(E263:E275,$A$278)</f>
        <v>1</v>
      </c>
      <c r="F280" s="1">
        <f t="shared" si="285"/>
        <v>1</v>
      </c>
      <c r="G280" s="1">
        <f t="shared" si="285"/>
        <v>1</v>
      </c>
      <c r="H280" s="1">
        <f t="shared" si="285"/>
        <v>1</v>
      </c>
      <c r="I280" s="1">
        <f t="shared" si="285"/>
        <v>1</v>
      </c>
      <c r="J280" s="1">
        <f t="shared" si="285"/>
        <v>1</v>
      </c>
      <c r="K280" s="1">
        <f t="shared" si="285"/>
        <v>1</v>
      </c>
      <c r="L280" s="1">
        <f t="shared" si="285"/>
        <v>1</v>
      </c>
      <c r="M280" s="1">
        <f t="shared" si="285"/>
        <v>1</v>
      </c>
      <c r="N280" s="1">
        <f t="shared" si="285"/>
        <v>1</v>
      </c>
      <c r="O280" s="1">
        <f t="shared" si="285"/>
        <v>1</v>
      </c>
      <c r="P280" s="1">
        <f t="shared" si="285"/>
        <v>1</v>
      </c>
      <c r="Q280" s="1">
        <f t="shared" si="285"/>
        <v>1</v>
      </c>
      <c r="R280" s="1">
        <f t="shared" si="285"/>
        <v>1</v>
      </c>
      <c r="S280" s="1">
        <f t="shared" si="285"/>
        <v>1</v>
      </c>
      <c r="T280" s="1">
        <f t="shared" si="285"/>
        <v>1</v>
      </c>
      <c r="U280" s="1">
        <f t="shared" si="285"/>
        <v>1</v>
      </c>
      <c r="V280" s="1">
        <f t="shared" si="285"/>
        <v>1</v>
      </c>
      <c r="W280" s="1">
        <f t="shared" si="285"/>
        <v>1</v>
      </c>
      <c r="X280" s="1">
        <f t="shared" si="285"/>
        <v>1</v>
      </c>
      <c r="Y280" s="1">
        <f t="shared" si="285"/>
        <v>1</v>
      </c>
      <c r="Z280" s="1">
        <f t="shared" si="285"/>
        <v>1</v>
      </c>
      <c r="AA280" s="1">
        <f t="shared" si="285"/>
        <v>1</v>
      </c>
      <c r="AB280" s="1">
        <f t="shared" si="285"/>
        <v>1</v>
      </c>
      <c r="AC280" s="1">
        <f t="shared" si="285"/>
        <v>1</v>
      </c>
      <c r="AD280" s="1">
        <f t="shared" si="285"/>
        <v>1</v>
      </c>
      <c r="AE280" s="1">
        <f t="shared" si="285"/>
        <v>1</v>
      </c>
      <c r="AF280" s="1">
        <f t="shared" si="285"/>
        <v>1</v>
      </c>
      <c r="AG280" s="1">
        <f t="shared" si="285"/>
        <v>1</v>
      </c>
      <c r="AH280" s="1">
        <f t="shared" si="285"/>
        <v>1</v>
      </c>
      <c r="AI280" s="1">
        <f t="shared" si="285"/>
        <v>1</v>
      </c>
      <c r="AJ280" s="1">
        <f t="shared" si="285"/>
        <v>1</v>
      </c>
      <c r="AK280" s="1">
        <f t="shared" si="285"/>
        <v>1</v>
      </c>
      <c r="AL280" s="1">
        <f t="shared" si="285"/>
        <v>1</v>
      </c>
      <c r="AM280" s="1">
        <f t="shared" si="285"/>
        <v>1</v>
      </c>
      <c r="AN280" s="1">
        <f t="shared" si="285"/>
        <v>1</v>
      </c>
      <c r="AO280" s="1">
        <f t="shared" si="285"/>
        <v>1</v>
      </c>
      <c r="AP280" s="1">
        <f t="shared" si="285"/>
        <v>1</v>
      </c>
      <c r="AQ280" s="1">
        <f t="shared" si="285"/>
        <v>1</v>
      </c>
      <c r="AR280" s="1">
        <f t="shared" si="285"/>
        <v>1</v>
      </c>
      <c r="AS280" s="1">
        <f t="shared" si="285"/>
        <v>1</v>
      </c>
      <c r="AT280" s="1">
        <f t="shared" si="285"/>
        <v>1</v>
      </c>
      <c r="AU280" s="1">
        <f t="shared" si="285"/>
        <v>1</v>
      </c>
      <c r="AV280" s="1">
        <f t="shared" si="285"/>
        <v>1</v>
      </c>
      <c r="AW280" s="1">
        <f t="shared" si="285"/>
        <v>1</v>
      </c>
      <c r="AX280" s="1">
        <f t="shared" si="285"/>
        <v>1</v>
      </c>
      <c r="AY280" s="1">
        <f t="shared" si="285"/>
        <v>1</v>
      </c>
      <c r="AZ280" s="1">
        <f t="shared" si="285"/>
        <v>1</v>
      </c>
      <c r="BA280" s="1">
        <f t="shared" si="285"/>
        <v>1</v>
      </c>
      <c r="BB280" s="1">
        <f t="shared" si="285"/>
        <v>1</v>
      </c>
      <c r="BC280" s="1">
        <f t="shared" si="285"/>
        <v>1</v>
      </c>
      <c r="BD280" s="1">
        <f t="shared" si="285"/>
        <v>1</v>
      </c>
      <c r="BE280" s="1">
        <f t="shared" si="285"/>
        <v>1</v>
      </c>
      <c r="BF280" s="1">
        <f t="shared" si="285"/>
        <v>1</v>
      </c>
      <c r="BG280" s="1">
        <f t="shared" si="285"/>
        <v>1</v>
      </c>
      <c r="BH280" s="1">
        <f t="shared" si="285"/>
        <v>1</v>
      </c>
      <c r="BI280" s="1">
        <f t="shared" si="285"/>
        <v>1</v>
      </c>
      <c r="BJ280" s="1">
        <f t="shared" si="285"/>
        <v>0</v>
      </c>
      <c r="BL280" s="1">
        <f>SUM(B280:BJ280)</f>
        <v>60</v>
      </c>
    </row>
  </sheetData>
  <pageMargins left="0.551181102362205" right="0.551181102362205" top="0.590551181102362" bottom="0.78740157480315" header="0.511811023622047" footer="0.511811023622047"/>
  <pageSetup paperSize="9" scale="16" orientation="landscape"/>
  <headerFooter alignWithMargins="0">
    <oddHeader>&amp;RSafe Cities Index : 2017</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pageSetUpPr fitToPage="1"/>
  </sheetPr>
  <dimension ref="A1:BB33"/>
  <sheetViews>
    <sheetView showGridLines="0" showRowColHeaders="0" zoomScale="90" zoomScaleNormal="90" workbookViewId="0">
      <pane ySplit="3" topLeftCell="A4" activePane="bottomLeft" state="frozen"/>
      <selection/>
      <selection pane="bottomLeft" activeCell="A1" sqref="A1"/>
    </sheetView>
  </sheetViews>
  <sheetFormatPr defaultColWidth="9" defaultRowHeight="15"/>
  <cols>
    <col min="1" max="1" width="1.71428571428571" style="68" customWidth="1"/>
    <col min="2" max="2" width="40.5714285714286" style="68" customWidth="1"/>
    <col min="3" max="3" width="4.71428571428571" style="68" customWidth="1"/>
    <col min="4" max="4" width="3.71428571428571" style="68" customWidth="1"/>
    <col min="5" max="5" width="8.71428571428571" style="68" hidden="1" customWidth="1"/>
    <col min="6" max="6" width="20.2857142857143" style="68" customWidth="1"/>
    <col min="7" max="9" width="9.14285714285714" style="68"/>
    <col min="10" max="10" width="9.57142857142857" style="423" customWidth="1"/>
    <col min="11" max="11" width="49.7142857142857" style="68" customWidth="1"/>
    <col min="12" max="16" width="9.14285714285714" style="68"/>
    <col min="17" max="18" width="5.57142857142857" style="68" customWidth="1"/>
    <col min="19" max="19" width="11.7142857142857" style="68" customWidth="1"/>
    <col min="20" max="20" width="9.14285714285714" style="68"/>
    <col min="21" max="21" width="1.14285714285714" style="68" customWidth="1"/>
    <col min="22" max="22" width="9.14285714285714" style="68"/>
    <col min="23" max="23" width="2.71428571428571" style="108" customWidth="1"/>
    <col min="24" max="24" width="4.28571428571429" style="108" customWidth="1"/>
    <col min="25" max="25" width="8.57142857142857" style="68" customWidth="1"/>
    <col min="26" max="16384" width="9.14285714285714" style="68"/>
  </cols>
  <sheetData>
    <row r="1" ht="29.1" customHeight="1" spans="2:54">
      <c r="B1" s="565" t="str">
        <f>uxb_works!B90</f>
        <v>Safe Cities Index: 2017</v>
      </c>
      <c r="BA1" s="423">
        <v>2</v>
      </c>
      <c r="BB1" s="423">
        <v>2</v>
      </c>
    </row>
    <row r="2" ht="29.1" customHeight="1" spans="1:54">
      <c r="A2" s="566"/>
      <c r="B2" s="567"/>
      <c r="C2" s="567"/>
      <c r="D2" s="567"/>
      <c r="E2" s="567"/>
      <c r="F2" s="567"/>
      <c r="G2" s="567"/>
      <c r="H2" s="567"/>
      <c r="I2" s="567"/>
      <c r="J2" s="573"/>
      <c r="K2" s="567"/>
      <c r="L2" s="567"/>
      <c r="M2" s="567"/>
      <c r="N2" s="567"/>
      <c r="O2" s="567"/>
      <c r="P2" s="567"/>
      <c r="Q2" s="567"/>
      <c r="R2" s="567"/>
      <c r="S2" s="567"/>
      <c r="T2" s="567"/>
      <c r="U2" s="567"/>
      <c r="V2" s="567"/>
      <c r="W2" s="588"/>
      <c r="X2" s="588"/>
      <c r="BA2" s="423">
        <v>1</v>
      </c>
      <c r="BB2" s="423">
        <v>3</v>
      </c>
    </row>
    <row r="3" ht="71.1" customHeight="1" spans="1:24">
      <c r="A3" s="567"/>
      <c r="B3" s="567"/>
      <c r="C3" s="567"/>
      <c r="D3" s="567"/>
      <c r="E3" s="567"/>
      <c r="F3" s="567"/>
      <c r="G3" s="567"/>
      <c r="H3" s="567"/>
      <c r="I3" s="567"/>
      <c r="J3" s="573"/>
      <c r="K3" s="567"/>
      <c r="L3" s="567"/>
      <c r="M3" s="567"/>
      <c r="N3" s="567"/>
      <c r="O3" s="567"/>
      <c r="P3" s="567"/>
      <c r="Q3" s="567"/>
      <c r="R3" s="567"/>
      <c r="S3" s="567"/>
      <c r="T3" s="567"/>
      <c r="U3" s="567"/>
      <c r="V3" s="567"/>
      <c r="W3" s="588"/>
      <c r="X3" s="588"/>
    </row>
    <row r="4" ht="3.75" customHeight="1"/>
    <row r="5" s="564" customFormat="1" ht="47.25" customHeight="1" spans="2:25">
      <c r="B5" s="568" t="str">
        <f>iScatter_InOut!F1</f>
        <v>1) DIGITAL SECURITY</v>
      </c>
      <c r="C5" s="569"/>
      <c r="D5" s="569"/>
      <c r="E5" s="569"/>
      <c r="F5" s="569"/>
      <c r="G5" s="569"/>
      <c r="H5" s="569"/>
      <c r="I5" s="574" t="str">
        <f>"Scores relating to "&amp;uxb_works!C46&amp;" index"</f>
        <v>Scores relating to 2017 index</v>
      </c>
      <c r="J5" s="575"/>
      <c r="K5" s="569"/>
      <c r="L5" s="569"/>
      <c r="M5" s="576"/>
      <c r="N5" s="569"/>
      <c r="P5" s="569"/>
      <c r="R5" s="576"/>
      <c r="S5" s="569"/>
      <c r="T5" s="569"/>
      <c r="U5" s="569"/>
      <c r="V5" s="569"/>
      <c r="W5" s="589"/>
      <c r="X5" s="590"/>
      <c r="Y5" s="569"/>
    </row>
    <row r="6" ht="27.75" customHeight="1" spans="2:25">
      <c r="B6" s="570"/>
      <c r="C6" s="570"/>
      <c r="D6" s="570"/>
      <c r="E6" s="570"/>
      <c r="F6" s="570"/>
      <c r="G6" s="570"/>
      <c r="H6" s="571"/>
      <c r="I6" s="577"/>
      <c r="J6" s="578"/>
      <c r="K6" s="579" t="str">
        <f ca="1">iRatios!C2</f>
        <v>Select a city</v>
      </c>
      <c r="M6" s="577"/>
      <c r="N6" s="577"/>
      <c r="O6" s="577"/>
      <c r="P6" s="577"/>
      <c r="R6" s="591"/>
      <c r="S6" s="572"/>
      <c r="T6" s="572"/>
      <c r="U6" s="572"/>
      <c r="V6" s="572"/>
      <c r="X6" s="592"/>
      <c r="Y6" s="572"/>
    </row>
    <row r="7" ht="7.5" customHeight="1" spans="2:25">
      <c r="B7" s="572"/>
      <c r="C7" s="572"/>
      <c r="D7" s="572"/>
      <c r="E7" s="572"/>
      <c r="F7" s="572"/>
      <c r="G7" s="572"/>
      <c r="H7" s="572"/>
      <c r="I7" s="572"/>
      <c r="M7" s="572"/>
      <c r="N7" s="572"/>
      <c r="O7" s="572"/>
      <c r="P7" s="572"/>
      <c r="Q7" s="572"/>
      <c r="R7" s="572"/>
      <c r="S7" s="572"/>
      <c r="T7" s="572"/>
      <c r="U7" s="572"/>
      <c r="V7" s="572"/>
      <c r="W7" s="592"/>
      <c r="X7" s="592"/>
      <c r="Y7" s="572"/>
    </row>
    <row r="8" ht="16.5" customHeight="1" spans="5:25">
      <c r="E8" s="572"/>
      <c r="F8" s="572"/>
      <c r="G8" s="572"/>
      <c r="H8" s="572"/>
      <c r="I8" s="572"/>
      <c r="J8" s="423">
        <f>IF(K8="",0,1)</f>
        <v>1</v>
      </c>
      <c r="K8" s="580" t="s">
        <v>19</v>
      </c>
      <c r="L8" s="581"/>
      <c r="M8" s="572"/>
      <c r="N8" s="572"/>
      <c r="O8" s="572"/>
      <c r="P8" s="572"/>
      <c r="Q8" s="572"/>
      <c r="R8" s="572"/>
      <c r="S8" s="572"/>
      <c r="T8" s="572"/>
      <c r="U8" s="572"/>
      <c r="V8" s="572"/>
      <c r="W8" s="592"/>
      <c r="X8" s="592"/>
      <c r="Y8" s="572"/>
    </row>
    <row r="9" spans="10:12">
      <c r="J9" s="423">
        <f t="shared" ref="J9:J27" si="0">IF(K9="",0,1)</f>
        <v>1</v>
      </c>
      <c r="K9" s="582" t="str">
        <f>iRatios!O31</f>
        <v>   1.1.1) Privacy policy</v>
      </c>
      <c r="L9" s="583" t="str">
        <f>iRatios!P31</f>
        <v/>
      </c>
    </row>
    <row r="10" ht="16.5" customHeight="1" spans="10:12">
      <c r="J10" s="423">
        <f t="shared" si="0"/>
        <v>1</v>
      </c>
      <c r="K10" s="584" t="str">
        <f>iRatios!O32</f>
        <v>   1.1.2) Citizen awareness of digital threats</v>
      </c>
      <c r="L10" s="585" t="str">
        <f>iRatios!P32</f>
        <v/>
      </c>
    </row>
    <row r="11" ht="16.5" customHeight="1" spans="10:12">
      <c r="J11" s="423">
        <f t="shared" si="0"/>
        <v>1</v>
      </c>
      <c r="K11" s="584" t="str">
        <f>iRatios!O33</f>
        <v>   1.1.3) Public-private partnerships</v>
      </c>
      <c r="L11" s="585" t="str">
        <f>iRatios!P33</f>
        <v/>
      </c>
    </row>
    <row r="12" ht="16.5" customHeight="1" spans="10:12">
      <c r="J12" s="423">
        <f t="shared" si="0"/>
        <v>1</v>
      </c>
      <c r="K12" s="584" t="str">
        <f>iRatios!O34</f>
        <v>   1.1.4) Level of technology employed</v>
      </c>
      <c r="L12" s="585" t="str">
        <f>iRatios!P34</f>
        <v/>
      </c>
    </row>
    <row r="13" ht="16.5" customHeight="1" spans="10:12">
      <c r="J13" s="423">
        <f t="shared" si="0"/>
        <v>1</v>
      </c>
      <c r="K13" s="584" t="str">
        <f>iRatios!O35</f>
        <v>   1.1.5) Dedicated cyber security teams</v>
      </c>
      <c r="L13" s="585" t="str">
        <f>iRatios!P35</f>
        <v/>
      </c>
    </row>
    <row r="14" ht="16.5" customHeight="1" spans="10:12">
      <c r="J14" s="423">
        <f t="shared" si="0"/>
        <v>0</v>
      </c>
      <c r="K14" s="584" t="str">
        <f>iRatios!O36</f>
        <v/>
      </c>
      <c r="L14" s="585" t="str">
        <f>iRatios!P36</f>
        <v/>
      </c>
    </row>
    <row r="15" ht="16.5" customHeight="1" spans="10:12">
      <c r="J15" s="423">
        <f t="shared" si="0"/>
        <v>0</v>
      </c>
      <c r="K15" s="584" t="str">
        <f>iRatios!O37</f>
        <v/>
      </c>
      <c r="L15" s="585" t="str">
        <f>iRatios!P37</f>
        <v/>
      </c>
    </row>
    <row r="16" ht="16.5" customHeight="1" spans="10:12">
      <c r="J16" s="423">
        <f t="shared" si="0"/>
        <v>0</v>
      </c>
      <c r="K16" s="586" t="str">
        <f>iRatios!O38</f>
        <v/>
      </c>
      <c r="L16" s="587" t="str">
        <f>iRatios!P38</f>
        <v/>
      </c>
    </row>
    <row r="17" ht="16.5" customHeight="1" spans="10:12">
      <c r="J17" s="423">
        <f t="shared" si="0"/>
        <v>1</v>
      </c>
      <c r="K17" s="580" t="s">
        <v>20</v>
      </c>
      <c r="L17" s="581" t="str">
        <f>iRatios!P39</f>
        <v/>
      </c>
    </row>
    <row r="18" ht="16.5" customHeight="1" spans="10:12">
      <c r="J18" s="423">
        <f t="shared" si="0"/>
        <v>1</v>
      </c>
      <c r="K18" s="584" t="str">
        <f>iRatios!O42</f>
        <v>   1.2.1) Frequency of identity theft</v>
      </c>
      <c r="L18" s="585" t="str">
        <f>iRatios!P42</f>
        <v/>
      </c>
    </row>
    <row r="19" ht="16.5" customHeight="1" spans="10:12">
      <c r="J19" s="423">
        <f t="shared" si="0"/>
        <v>1</v>
      </c>
      <c r="K19" s="584" t="str">
        <f>iRatios!O43</f>
        <v>   1.2.2) Percentage of computers infected</v>
      </c>
      <c r="L19" s="585" t="str">
        <f>iRatios!P43</f>
        <v/>
      </c>
    </row>
    <row r="20" ht="16.5" customHeight="1" spans="10:12">
      <c r="J20" s="423">
        <f t="shared" si="0"/>
        <v>1</v>
      </c>
      <c r="K20" s="584" t="str">
        <f>iRatios!O44</f>
        <v>   1.2.3) Percentage with Internet access</v>
      </c>
      <c r="L20" s="585" t="str">
        <f>iRatios!P44</f>
        <v/>
      </c>
    </row>
    <row r="21" ht="16.5" customHeight="1" spans="10:12">
      <c r="J21" s="423">
        <f t="shared" si="0"/>
        <v>0</v>
      </c>
      <c r="K21" s="584" t="str">
        <f>iRatios!O45</f>
        <v/>
      </c>
      <c r="L21" s="585" t="str">
        <f>iRatios!P45</f>
        <v/>
      </c>
    </row>
    <row r="22" ht="16.5" customHeight="1" spans="10:12">
      <c r="J22" s="423">
        <f t="shared" si="0"/>
        <v>0</v>
      </c>
      <c r="K22" s="584" t="str">
        <f>iRatios!O46</f>
        <v/>
      </c>
      <c r="L22" s="585" t="str">
        <f>iRatios!P46</f>
        <v/>
      </c>
    </row>
    <row r="23" ht="16.5" customHeight="1" spans="10:12">
      <c r="J23" s="423">
        <f t="shared" si="0"/>
        <v>0</v>
      </c>
      <c r="K23" s="584" t="str">
        <f>iRatios!O47</f>
        <v/>
      </c>
      <c r="L23" s="585" t="str">
        <f>iRatios!P47</f>
        <v/>
      </c>
    </row>
    <row r="24" ht="16.5" customHeight="1" spans="10:25">
      <c r="J24" s="423">
        <f t="shared" si="0"/>
        <v>0</v>
      </c>
      <c r="K24" s="584" t="str">
        <f>iRatios!O48</f>
        <v/>
      </c>
      <c r="L24" s="585" t="str">
        <f>iRatios!P48</f>
        <v/>
      </c>
      <c r="U24" s="108"/>
      <c r="V24" s="108"/>
      <c r="Y24" s="108"/>
    </row>
    <row r="25" ht="16.5" customHeight="1" spans="10:25">
      <c r="J25" s="423">
        <f t="shared" si="0"/>
        <v>0</v>
      </c>
      <c r="K25" s="584" t="str">
        <f>iRatios!O49</f>
        <v/>
      </c>
      <c r="L25" s="585" t="str">
        <f>iRatios!P49</f>
        <v/>
      </c>
      <c r="U25" s="108"/>
      <c r="Y25" s="594"/>
    </row>
    <row r="26" ht="16.5" customHeight="1" spans="10:25">
      <c r="J26" s="423">
        <f t="shared" si="0"/>
        <v>0</v>
      </c>
      <c r="K26" s="584" t="str">
        <f>iRatios!O50</f>
        <v/>
      </c>
      <c r="L26" s="585" t="str">
        <f>iRatios!P50</f>
        <v/>
      </c>
      <c r="U26" s="108"/>
      <c r="X26" s="593"/>
      <c r="Y26" s="593"/>
    </row>
    <row r="27" ht="16.5" customHeight="1" spans="10:25">
      <c r="J27" s="423">
        <f t="shared" si="0"/>
        <v>0</v>
      </c>
      <c r="K27" s="584" t="str">
        <f>iRatios!O51</f>
        <v/>
      </c>
      <c r="L27" s="585" t="str">
        <f>iRatios!P51</f>
        <v/>
      </c>
      <c r="U27" s="108"/>
      <c r="V27" s="108"/>
      <c r="Y27" s="108"/>
    </row>
    <row r="28" ht="16.5" customHeight="1" spans="10:12">
      <c r="J28" s="423">
        <f t="shared" ref="J28:J29" si="1">IF(K28="",0,1)</f>
        <v>0</v>
      </c>
      <c r="K28" s="584" t="str">
        <f>iRatios!O52</f>
        <v/>
      </c>
      <c r="L28" s="585" t="str">
        <f>iRatios!P52</f>
        <v/>
      </c>
    </row>
    <row r="29" ht="16.5" customHeight="1" spans="10:12">
      <c r="J29" s="423">
        <f t="shared" si="1"/>
        <v>0</v>
      </c>
      <c r="K29" s="584" t="str">
        <f>iRatios!O53</f>
        <v/>
      </c>
      <c r="L29" s="585" t="str">
        <f>iRatios!P53</f>
        <v/>
      </c>
    </row>
    <row r="30" ht="16.5" customHeight="1"/>
    <row r="31" ht="16.5" customHeight="1"/>
    <row r="32" ht="16.5" customHeight="1"/>
    <row r="33" s="68" customFormat="1" ht="16.5" customHeight="1"/>
  </sheetData>
  <sheetProtection password="A0BB" sheet="1" objects="1" scenarios="1"/>
  <mergeCells count="2">
    <mergeCell ref="B6:G6"/>
    <mergeCell ref="X26:Y26"/>
  </mergeCells>
  <conditionalFormatting sqref="K28:L28">
    <cfRule type="expression" dxfId="12" priority="2">
      <formula>$J28=0</formula>
    </cfRule>
  </conditionalFormatting>
  <conditionalFormatting sqref="K29:L29">
    <cfRule type="expression" dxfId="12" priority="1">
      <formula>$J29=0</formula>
    </cfRule>
  </conditionalFormatting>
  <conditionalFormatting sqref="K9:L16">
    <cfRule type="expression" dxfId="12" priority="4">
      <formula>$J9=0</formula>
    </cfRule>
  </conditionalFormatting>
  <conditionalFormatting sqref="K18:L27">
    <cfRule type="expression" dxfId="12" priority="3">
      <formula>$J18=0</formula>
    </cfRule>
  </conditionalFormatting>
  <pageMargins left="0.551181102362205" right="0.551181102362205" top="0.590551181102362" bottom="0.78740157480315" header="0.511811023622047" footer="0.511811023622047"/>
  <pageSetup paperSize="9" scale="28" orientation="landscape"/>
  <headerFooter alignWithMargins="0">
    <oddHeader>&amp;RSafe Cities Index : 2017</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3449227" name="Drop Down 11" r:id="rId3">
              <controlPr print="0" defaultSize="0">
                <anchor>
                  <from>
                    <xdr:col>14</xdr:col>
                    <xdr:colOff>233045</xdr:colOff>
                    <xdr:row>4</xdr:row>
                    <xdr:rowOff>273050</xdr:rowOff>
                  </from>
                  <to>
                    <xdr:col>18</xdr:col>
                    <xdr:colOff>151765</xdr:colOff>
                    <xdr:row>4</xdr:row>
                    <xdr:rowOff>477520</xdr:rowOff>
                  </to>
                </anchor>
              </controlPr>
            </control>
          </mc:Choice>
        </mc:AlternateContent>
        <mc:AlternateContent xmlns:mc="http://schemas.openxmlformats.org/markup-compatibility/2006">
          <mc:Choice Requires="x14">
            <control shapeId="13449217" name="Button 1" r:id="rId4">
              <controlPr print="0" defaultSize="0">
                <anchor>
                  <from>
                    <xdr:col>15</xdr:col>
                    <xdr:colOff>427990</xdr:colOff>
                    <xdr:row>2</xdr:row>
                    <xdr:rowOff>531495</xdr:rowOff>
                  </from>
                  <to>
                    <xdr:col>17</xdr:col>
                    <xdr:colOff>132715</xdr:colOff>
                    <xdr:row>2</xdr:row>
                    <xdr:rowOff>809625</xdr:rowOff>
                  </to>
                </anchor>
              </controlPr>
            </control>
          </mc:Choice>
        </mc:AlternateContent>
        <mc:AlternateContent xmlns:mc="http://schemas.openxmlformats.org/markup-compatibility/2006">
          <mc:Choice Requires="x14">
            <control shapeId="13449218" name="cnt_indicator" r:id="rId5">
              <controlPr print="0" defaultSize="0">
                <anchor>
                  <from>
                    <xdr:col>1</xdr:col>
                    <xdr:colOff>31115</xdr:colOff>
                    <xdr:row>2</xdr:row>
                    <xdr:rowOff>583565</xdr:rowOff>
                  </from>
                  <to>
                    <xdr:col>2</xdr:col>
                    <xdr:colOff>201295</xdr:colOff>
                    <xdr:row>2</xdr:row>
                    <xdr:rowOff>803910</xdr:rowOff>
                  </to>
                </anchor>
              </controlPr>
            </control>
          </mc:Choice>
        </mc:AlternateContent>
        <mc:AlternateContent xmlns:mc="http://schemas.openxmlformats.org/markup-compatibility/2006">
          <mc:Choice Requires="x14">
            <control shapeId="13449220" name="Drop Down 4" r:id="rId6">
              <controlPr print="0" defaultSize="0">
                <anchor>
                  <from>
                    <xdr:col>15</xdr:col>
                    <xdr:colOff>110490</xdr:colOff>
                    <xdr:row>7</xdr:row>
                    <xdr:rowOff>109855</xdr:rowOff>
                  </from>
                  <to>
                    <xdr:col>17</xdr:col>
                    <xdr:colOff>260350</xdr:colOff>
                    <xdr:row>8</xdr:row>
                    <xdr:rowOff>106045</xdr:rowOff>
                  </to>
                </anchor>
              </controlPr>
            </control>
          </mc:Choice>
        </mc:AlternateContent>
        <mc:AlternateContent xmlns:mc="http://schemas.openxmlformats.org/markup-compatibility/2006">
          <mc:Choice Requires="x14">
            <control shapeId="13449221" name="Drop Down 5" r:id="rId7">
              <controlPr print="0" defaultSize="0">
                <anchor>
                  <from>
                    <xdr:col>13</xdr:col>
                    <xdr:colOff>239395</xdr:colOff>
                    <xdr:row>10</xdr:row>
                    <xdr:rowOff>64135</xdr:rowOff>
                  </from>
                  <to>
                    <xdr:col>18</xdr:col>
                    <xdr:colOff>138430</xdr:colOff>
                    <xdr:row>11</xdr:row>
                    <xdr:rowOff>62865</xdr:rowOff>
                  </to>
                </anchor>
              </controlPr>
            </control>
          </mc:Choice>
        </mc:AlternateContent>
        <mc:AlternateContent xmlns:mc="http://schemas.openxmlformats.org/markup-compatibility/2006">
          <mc:Choice Requires="x14">
            <control shapeId="13449222" name="Check Box 6" r:id="rId8">
              <controlPr print="0" defaultSize="0">
                <anchor>
                  <from>
                    <xdr:col>15</xdr:col>
                    <xdr:colOff>339090</xdr:colOff>
                    <xdr:row>19</xdr:row>
                    <xdr:rowOff>104775</xdr:rowOff>
                  </from>
                  <to>
                    <xdr:col>18</xdr:col>
                    <xdr:colOff>438785</xdr:colOff>
                    <xdr:row>20</xdr:row>
                    <xdr:rowOff>137160</xdr:rowOff>
                  </to>
                </anchor>
              </controlPr>
            </control>
          </mc:Choice>
        </mc:AlternateContent>
        <mc:AlternateContent xmlns:mc="http://schemas.openxmlformats.org/markup-compatibility/2006">
          <mc:Choice Requires="x14">
            <control shapeId="13449223" name="Check Box 7" r:id="rId9">
              <controlPr print="0" defaultSize="0">
                <anchor>
                  <from>
                    <xdr:col>15</xdr:col>
                    <xdr:colOff>139065</xdr:colOff>
                    <xdr:row>21</xdr:row>
                    <xdr:rowOff>164465</xdr:rowOff>
                  </from>
                  <to>
                    <xdr:col>18</xdr:col>
                    <xdr:colOff>138430</xdr:colOff>
                    <xdr:row>22</xdr:row>
                    <xdr:rowOff>182245</xdr:rowOff>
                  </to>
                </anchor>
              </controlPr>
            </control>
          </mc:Choice>
        </mc:AlternateContent>
        <mc:AlternateContent xmlns:mc="http://schemas.openxmlformats.org/markup-compatibility/2006">
          <mc:Choice Requires="x14">
            <control shapeId="13449224" name="Drop Down 8" r:id="rId10">
              <controlPr print="0" defaultSize="0">
                <anchor>
                  <from>
                    <xdr:col>13</xdr:col>
                    <xdr:colOff>220345</xdr:colOff>
                    <xdr:row>12</xdr:row>
                    <xdr:rowOff>118745</xdr:rowOff>
                  </from>
                  <to>
                    <xdr:col>18</xdr:col>
                    <xdr:colOff>119380</xdr:colOff>
                    <xdr:row>13</xdr:row>
                    <xdr:rowOff>117475</xdr:rowOff>
                  </to>
                </anchor>
              </controlPr>
            </control>
          </mc:Choice>
        </mc:AlternateContent>
        <mc:AlternateContent xmlns:mc="http://schemas.openxmlformats.org/markup-compatibility/2006">
          <mc:Choice Requires="x14">
            <control shapeId="13449225" name="Drop Down 9" r:id="rId11">
              <controlPr print="0" defaultSize="0">
                <anchor>
                  <from>
                    <xdr:col>15</xdr:col>
                    <xdr:colOff>110490</xdr:colOff>
                    <xdr:row>5</xdr:row>
                    <xdr:rowOff>52070</xdr:rowOff>
                  </from>
                  <to>
                    <xdr:col>18</xdr:col>
                    <xdr:colOff>149860</xdr:colOff>
                    <xdr:row>5</xdr:row>
                    <xdr:rowOff>260350</xdr:rowOff>
                  </to>
                </anchor>
              </controlPr>
            </control>
          </mc:Choice>
        </mc:AlternateContent>
        <mc:AlternateContent xmlns:mc="http://schemas.openxmlformats.org/markup-compatibility/2006">
          <mc:Choice Requires="x14">
            <control shapeId="13449226" name="Drop Down 10" r:id="rId12">
              <controlPr print="0" defaultSize="0">
                <anchor>
                  <from>
                    <xdr:col>13</xdr:col>
                    <xdr:colOff>220345</xdr:colOff>
                    <xdr:row>14</xdr:row>
                    <xdr:rowOff>173355</xdr:rowOff>
                  </from>
                  <to>
                    <xdr:col>18</xdr:col>
                    <xdr:colOff>119380</xdr:colOff>
                    <xdr:row>15</xdr:row>
                    <xdr:rowOff>172085</xdr:rowOff>
                  </to>
                </anchor>
              </controlPr>
            </control>
          </mc:Choice>
        </mc:AlternateContent>
        <mc:AlternateContent xmlns:mc="http://schemas.openxmlformats.org/markup-compatibility/2006">
          <mc:Choice Requires="x14">
            <control shapeId="13449228" name="Drop Down 12" r:id="rId13">
              <controlPr print="0" defaultSize="0">
                <anchor>
                  <from>
                    <xdr:col>13</xdr:col>
                    <xdr:colOff>206375</xdr:colOff>
                    <xdr:row>17</xdr:row>
                    <xdr:rowOff>14605</xdr:rowOff>
                  </from>
                  <to>
                    <xdr:col>18</xdr:col>
                    <xdr:colOff>110490</xdr:colOff>
                    <xdr:row>18</xdr:row>
                    <xdr:rowOff>10160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DZ87"/>
  <sheetViews>
    <sheetView showGridLines="0" showRowColHeaders="0" zoomScale="90" zoomScaleNormal="90" workbookViewId="0">
      <pane xSplit="15" ySplit="5" topLeftCell="P6" activePane="bottomRight" state="frozen"/>
      <selection/>
      <selection pane="topRight"/>
      <selection pane="bottomLeft"/>
      <selection pane="bottomRight" activeCell="A1" sqref="A1"/>
    </sheetView>
  </sheetViews>
  <sheetFormatPr defaultColWidth="9" defaultRowHeight="15"/>
  <cols>
    <col min="1" max="1" width="1.71428571428571" customWidth="1"/>
    <col min="2" max="2" width="3.71428571428571" style="71" hidden="1" customWidth="1"/>
    <col min="3" max="3" width="5.85714285714286" style="71" hidden="1" customWidth="1"/>
    <col min="4" max="4" width="13.4285714285714" style="72" hidden="1" customWidth="1"/>
    <col min="5" max="5" width="17.4285714285714" style="72" hidden="1" customWidth="1"/>
    <col min="6" max="6" width="8.42857142857143" style="73" hidden="1" customWidth="1"/>
    <col min="7" max="7" width="8.85714285714286" style="73" hidden="1" customWidth="1"/>
    <col min="8" max="8" width="56.7142857142857" style="73" hidden="1" customWidth="1"/>
    <col min="9" max="10" width="14.4285714285714" style="72" hidden="1" customWidth="1"/>
    <col min="11" max="11" width="6.28571428571429" style="72" hidden="1" customWidth="1"/>
    <col min="12" max="12" width="6.85714285714286" style="72" hidden="1" customWidth="1"/>
    <col min="13" max="13" width="6.14285714285714" style="72" hidden="1" customWidth="1"/>
    <col min="14" max="14" width="53.4285714285714" style="74" customWidth="1"/>
    <col min="15" max="15" width="12.7142857142857" style="75" customWidth="1"/>
    <col min="16" max="76" width="17.2857142857143" style="76" customWidth="1"/>
    <col min="77" max="127" width="11.8571428571429" customWidth="1"/>
    <col min="128" max="130" width="9.14285714285714"/>
    <col min="131" max="16384" width="9.14285714285714" style="70"/>
  </cols>
  <sheetData>
    <row r="1" s="64" customFormat="1" ht="29.1" customHeight="1" spans="1:80">
      <c r="A1"/>
      <c r="B1" s="78"/>
      <c r="D1" s="79"/>
      <c r="E1" s="79"/>
      <c r="N1" s="79" t="str">
        <f>uxb_works!$B$90</f>
        <v>Safe Cities Index: 2017</v>
      </c>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498">
        <v>2</v>
      </c>
      <c r="BB1" s="498">
        <v>3</v>
      </c>
      <c r="BC1" s="93"/>
      <c r="BD1" s="93"/>
      <c r="BE1" s="93"/>
      <c r="BF1" s="93"/>
      <c r="BG1" s="93"/>
      <c r="BH1" s="93"/>
      <c r="BI1" s="93"/>
      <c r="BJ1" s="93"/>
      <c r="BK1" s="93"/>
      <c r="BL1" s="93"/>
      <c r="BM1" s="93"/>
      <c r="BN1" s="93"/>
      <c r="BO1" s="93"/>
      <c r="BP1" s="93"/>
      <c r="BQ1" s="93"/>
      <c r="BR1" s="93"/>
      <c r="BS1" s="93"/>
      <c r="BT1" s="93"/>
      <c r="BU1" s="93"/>
      <c r="BV1" s="93"/>
      <c r="BW1" s="93"/>
      <c r="BX1" s="93"/>
      <c r="CA1" s="77"/>
      <c r="CB1" s="77"/>
    </row>
    <row r="2" s="93" customFormat="1" ht="29.1" customHeight="1" spans="1:76">
      <c r="A2" s="199"/>
      <c r="B2" s="53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row>
    <row r="3" s="306" customFormat="1" ht="71.1" customHeight="1" spans="1:76">
      <c r="A3" s="199"/>
      <c r="B3" s="53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row>
    <row r="4" s="535" customFormat="1" ht="35.25" hidden="1" customHeight="1" spans="1:130">
      <c r="A4" s="429"/>
      <c r="B4" s="539"/>
      <c r="C4" s="539"/>
      <c r="D4" s="540"/>
      <c r="E4" s="540"/>
      <c r="F4" s="541"/>
      <c r="G4" s="541"/>
      <c r="H4" s="541"/>
      <c r="I4" s="540"/>
      <c r="J4" s="540"/>
      <c r="K4" s="540"/>
      <c r="L4" s="540"/>
      <c r="M4" s="540"/>
      <c r="N4" s="544"/>
      <c r="O4" s="545"/>
      <c r="P4" s="546">
        <f>Data_2017!J4</f>
        <v>1</v>
      </c>
      <c r="Q4" s="546">
        <f>Data_2017!K4</f>
        <v>2</v>
      </c>
      <c r="R4" s="546">
        <f>Data_2017!L4</f>
        <v>3</v>
      </c>
      <c r="S4" s="546">
        <f>Data_2017!M4</f>
        <v>4</v>
      </c>
      <c r="T4" s="546">
        <f>Data_2017!N4</f>
        <v>5</v>
      </c>
      <c r="U4" s="546">
        <f>Data_2017!O4</f>
        <v>6</v>
      </c>
      <c r="V4" s="546">
        <f>Data_2017!P4</f>
        <v>7</v>
      </c>
      <c r="W4" s="546">
        <f>Data_2017!Q4</f>
        <v>8</v>
      </c>
      <c r="X4" s="546">
        <f>Data_2017!R4</f>
        <v>9</v>
      </c>
      <c r="Y4" s="546">
        <f>Data_2017!S4</f>
        <v>10</v>
      </c>
      <c r="Z4" s="546">
        <f>Data_2017!T4</f>
        <v>11</v>
      </c>
      <c r="AA4" s="546">
        <f>Data_2017!U4</f>
        <v>12</v>
      </c>
      <c r="AB4" s="546">
        <f>Data_2017!V4</f>
        <v>13</v>
      </c>
      <c r="AC4" s="546">
        <f>Data_2017!W4</f>
        <v>14</v>
      </c>
      <c r="AD4" s="546">
        <f>Data_2017!X4</f>
        <v>15</v>
      </c>
      <c r="AE4" s="546">
        <f>Data_2017!Y4</f>
        <v>16</v>
      </c>
      <c r="AF4" s="546">
        <f>Data_2017!Z4</f>
        <v>17</v>
      </c>
      <c r="AG4" s="546">
        <f>Data_2017!AA4</f>
        <v>18</v>
      </c>
      <c r="AH4" s="546">
        <f>Data_2017!AB4</f>
        <v>19</v>
      </c>
      <c r="AI4" s="546">
        <f>Data_2017!AC4</f>
        <v>20</v>
      </c>
      <c r="AJ4" s="546">
        <f>Data_2017!AD4</f>
        <v>21</v>
      </c>
      <c r="AK4" s="546">
        <f>Data_2017!AE4</f>
        <v>22</v>
      </c>
      <c r="AL4" s="546">
        <f>Data_2017!AF4</f>
        <v>23</v>
      </c>
      <c r="AM4" s="546">
        <f>Data_2017!AG4</f>
        <v>24</v>
      </c>
      <c r="AN4" s="546">
        <f>Data_2017!AH4</f>
        <v>25</v>
      </c>
      <c r="AO4" s="546">
        <f>Data_2017!AI4</f>
        <v>26</v>
      </c>
      <c r="AP4" s="546">
        <f>Data_2017!AJ4</f>
        <v>27</v>
      </c>
      <c r="AQ4" s="546">
        <f>Data_2017!AK4</f>
        <v>28</v>
      </c>
      <c r="AR4" s="546">
        <f>Data_2017!AL4</f>
        <v>29</v>
      </c>
      <c r="AS4" s="546">
        <f>Data_2017!AM4</f>
        <v>30</v>
      </c>
      <c r="AT4" s="546">
        <f>Data_2017!AN4</f>
        <v>31</v>
      </c>
      <c r="AU4" s="546">
        <f>Data_2017!AO4</f>
        <v>32</v>
      </c>
      <c r="AV4" s="546">
        <f>Data_2017!AP4</f>
        <v>33</v>
      </c>
      <c r="AW4" s="546">
        <f>Data_2017!AQ4</f>
        <v>34</v>
      </c>
      <c r="AX4" s="546">
        <f>Data_2017!AR4</f>
        <v>35</v>
      </c>
      <c r="AY4" s="546">
        <f>Data_2017!AS4</f>
        <v>36</v>
      </c>
      <c r="AZ4" s="546">
        <f>Data_2017!AT4</f>
        <v>37</v>
      </c>
      <c r="BA4" s="546">
        <f>Data_2017!AU4</f>
        <v>38</v>
      </c>
      <c r="BB4" s="546">
        <f>Data_2017!AV4</f>
        <v>39</v>
      </c>
      <c r="BC4" s="546">
        <f>Data_2017!AW4</f>
        <v>40</v>
      </c>
      <c r="BD4" s="546">
        <f>Data_2017!AX4</f>
        <v>41</v>
      </c>
      <c r="BE4" s="546">
        <f>Data_2017!AY4</f>
        <v>42</v>
      </c>
      <c r="BF4" s="546">
        <f>Data_2017!AZ4</f>
        <v>43</v>
      </c>
      <c r="BG4" s="546">
        <f>Data_2017!BA4</f>
        <v>44</v>
      </c>
      <c r="BH4" s="546">
        <f>Data_2017!BB4</f>
        <v>45</v>
      </c>
      <c r="BI4" s="546">
        <f>Data_2017!BC4</f>
        <v>46</v>
      </c>
      <c r="BJ4" s="546">
        <f>Data_2017!BD4</f>
        <v>47</v>
      </c>
      <c r="BK4" s="546">
        <f>Data_2017!BE4</f>
        <v>48</v>
      </c>
      <c r="BL4" s="546">
        <f>Data_2017!BF4</f>
        <v>49</v>
      </c>
      <c r="BM4" s="546">
        <f>Data_2017!BG4</f>
        <v>50</v>
      </c>
      <c r="BN4" s="546">
        <f>Data_2017!BH4</f>
        <v>51</v>
      </c>
      <c r="BO4" s="546">
        <f>Data_2017!BI4</f>
        <v>52</v>
      </c>
      <c r="BP4" s="546">
        <f>Data_2017!BJ4</f>
        <v>53</v>
      </c>
      <c r="BQ4" s="546">
        <f>Data_2017!BK4</f>
        <v>54</v>
      </c>
      <c r="BR4" s="546">
        <f>Data_2017!BL4</f>
        <v>55</v>
      </c>
      <c r="BS4" s="546">
        <f>Data_2017!BM4</f>
        <v>56</v>
      </c>
      <c r="BT4" s="546">
        <f>Data_2017!BN4</f>
        <v>57</v>
      </c>
      <c r="BU4" s="546">
        <f>Data_2017!BO4</f>
        <v>58</v>
      </c>
      <c r="BV4" s="546">
        <f>Data_2017!BP4</f>
        <v>59</v>
      </c>
      <c r="BW4" s="546">
        <f>Data_2017!BQ4</f>
        <v>60</v>
      </c>
      <c r="BX4" s="546">
        <f>Data_2017!BR4</f>
        <v>61</v>
      </c>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row>
    <row r="5" s="536" customFormat="1" ht="50.1" customHeight="1" spans="1:130">
      <c r="A5" s="215"/>
      <c r="B5" s="542" t="str">
        <f>tblIndicators!A1</f>
        <v>ID</v>
      </c>
      <c r="C5" s="542"/>
      <c r="D5" s="543"/>
      <c r="E5" s="543"/>
      <c r="F5" s="542" t="str">
        <f>tblIndicators!F1</f>
        <v>DEPTH</v>
      </c>
      <c r="G5" s="542"/>
      <c r="H5" s="542"/>
      <c r="I5" s="543"/>
      <c r="J5" s="543"/>
      <c r="K5" s="543"/>
      <c r="L5" s="543"/>
      <c r="M5" s="543"/>
      <c r="N5" s="547" t="str">
        <f>"Indicators: "&amp;uxb_works!C46</f>
        <v>Indicators: 2017</v>
      </c>
      <c r="O5" s="548" t="s">
        <v>21</v>
      </c>
      <c r="P5" s="549" t="str">
        <f>CHOOSE(uxb_works!$B$46,Scores_2014_O!P5,Scores_2014_N!P5,Scores_2017!P5)</f>
        <v>Abu Dhabi</v>
      </c>
      <c r="Q5" s="558" t="str">
        <f>CHOOSE(uxb_works!$B$46,Scores_2014_O!Q5,Scores_2014_N!Q5,Scores_2017!Q5)</f>
        <v>Amsterdam</v>
      </c>
      <c r="R5" s="558" t="str">
        <f>CHOOSE(uxb_works!$B$46,Scores_2014_O!R5,Scores_2014_N!R5,Scores_2017!R5)</f>
        <v>Athens</v>
      </c>
      <c r="S5" s="558" t="str">
        <f>CHOOSE(uxb_works!$B$46,Scores_2014_O!S5,Scores_2014_N!S5,Scores_2017!S5)</f>
        <v>Bangkok</v>
      </c>
      <c r="T5" s="558" t="str">
        <f>CHOOSE(uxb_works!$B$46,Scores_2014_O!T5,Scores_2014_N!T5,Scores_2017!T5)</f>
        <v>Barcelona</v>
      </c>
      <c r="U5" s="558" t="str">
        <f>CHOOSE(uxb_works!$B$46,Scores_2014_O!U5,Scores_2014_N!U5,Scores_2017!U5)</f>
        <v>Beijing</v>
      </c>
      <c r="V5" s="558" t="str">
        <f>CHOOSE(uxb_works!$B$46,Scores_2014_O!V5,Scores_2014_N!V5,Scores_2017!V5)</f>
        <v>Bogota</v>
      </c>
      <c r="W5" s="558" t="str">
        <f>CHOOSE(uxb_works!$B$46,Scores_2014_O!W5,Scores_2014_N!W5,Scores_2017!W5)</f>
        <v>Brussels</v>
      </c>
      <c r="X5" s="558" t="str">
        <f>CHOOSE(uxb_works!$B$46,Scores_2014_O!X5,Scores_2014_N!X5,Scores_2017!X5)</f>
        <v>Buenos Aires</v>
      </c>
      <c r="Y5" s="558" t="str">
        <f>CHOOSE(uxb_works!$B$46,Scores_2014_O!Z5,Scores_2014_N!Y5,Scores_2017!Y5)</f>
        <v>Cairo</v>
      </c>
      <c r="Z5" s="558" t="str">
        <f>CHOOSE(uxb_works!$B$46,Scores_2014_O!AA5,Scores_2014_N!Z5,Scores_2017!Z5)</f>
        <v>Caracas</v>
      </c>
      <c r="AA5" s="558" t="str">
        <f>CHOOSE(uxb_works!$B$46,Scores_2014_O!AB5,Scores_2014_N!AA5,Scores_2017!AA5)</f>
        <v>Casablanca</v>
      </c>
      <c r="AB5" s="558" t="str">
        <f>CHOOSE(uxb_works!$B$46,Scores_2014_O!AC5,Scores_2014_N!AB5,Scores_2017!AB5)</f>
        <v>Chicago</v>
      </c>
      <c r="AC5" s="558" t="str">
        <f>CHOOSE(uxb_works!$B$46,Scores_2014_O!AD5,Scores_2014_N!AC5,Scores_2017!AC5)</f>
        <v>Dallas</v>
      </c>
      <c r="AD5" s="558" t="str">
        <f>CHOOSE(uxb_works!$B$46,Scores_2014_O!AE5,Scores_2014_N!AD5,Scores_2017!AD5)</f>
        <v>Delhi</v>
      </c>
      <c r="AE5" s="558" t="str">
        <f>CHOOSE(uxb_works!$B$46,Scores_2014_O!AF5,Scores_2014_N!AE5,Scores_2017!AE5)</f>
        <v>Dhaka</v>
      </c>
      <c r="AF5" s="558" t="str">
        <f>CHOOSE(uxb_works!$B$46,Scores_2014_O!AG5,Scores_2014_N!AF5,Scores_2017!AF5)</f>
        <v>Doha</v>
      </c>
      <c r="AG5" s="558" t="str">
        <f>CHOOSE(uxb_works!$B$46,Scores_2014_O!AH5,Scores_2014_N!AG5,Scores_2017!AG5)</f>
        <v>Frankfurt</v>
      </c>
      <c r="AH5" s="558" t="str">
        <f>CHOOSE(uxb_works!$B$46,Scores_2014_O!AI5,Scores_2014_N!AH5,Scores_2017!AH5)</f>
        <v>Ho Chi Minh City</v>
      </c>
      <c r="AI5" s="558" t="str">
        <f>CHOOSE(uxb_works!$B$46,Scores_2014_O!AJ5,Scores_2014_N!AI5,Scores_2017!AI5)</f>
        <v>Hong Kong</v>
      </c>
      <c r="AJ5" s="558" t="str">
        <f>CHOOSE(uxb_works!$B$46,Scores_2014_O!AK5,Scores_2014_N!AJ5,Scores_2017!AJ5)</f>
        <v>Istanbul</v>
      </c>
      <c r="AK5" s="558" t="str">
        <f>CHOOSE(uxb_works!$B$46,Scores_2014_O!AL5,Scores_2014_N!AK5,Scores_2017!AK5)</f>
        <v>Jakarta</v>
      </c>
      <c r="AL5" s="558" t="str">
        <f>CHOOSE(uxb_works!$B$46,Scores_2014_O!AM5,Scores_2014_N!AL5,Scores_2017!AL5)</f>
        <v>Jeddah</v>
      </c>
      <c r="AM5" s="558" t="str">
        <f>CHOOSE(uxb_works!$B$46,Scores_2014_O!AN5,Scores_2014_N!AM5,Scores_2017!AM5)</f>
        <v>Johannesburg</v>
      </c>
      <c r="AN5" s="558" t="str">
        <f>CHOOSE(uxb_works!$B$46,Scores_2014_O!AO5,Scores_2014_N!AN5,Scores_2017!AN5)</f>
        <v>Karachi</v>
      </c>
      <c r="AO5" s="558" t="str">
        <f>CHOOSE(uxb_works!$B$46,Scores_2014_O!AP5,Scores_2014_N!AO5,Scores_2017!AO5)</f>
        <v>Kuala Lumpur</v>
      </c>
      <c r="AP5" s="558" t="str">
        <f>CHOOSE(uxb_works!$B$46,Scores_2014_O!AQ5,Scores_2014_N!AP5,Scores_2017!AP5)</f>
        <v>Kuwait City</v>
      </c>
      <c r="AQ5" s="558" t="str">
        <f>CHOOSE(uxb_works!$B$46,Scores_2014_O!Y5,Scores_2014_N!AQ5,Scores_2017!AQ5)</f>
        <v>Lima</v>
      </c>
      <c r="AR5" s="558" t="str">
        <f>CHOOSE(uxb_works!$B$46,Scores_2014_O!AR5,Scores_2014_N!AR5,Scores_2017!AR5)</f>
        <v>London</v>
      </c>
      <c r="AS5" s="558" t="str">
        <f>CHOOSE(uxb_works!$B$46,Scores_2014_O!AS5,Scores_2014_N!AS5,Scores_2017!AS5)</f>
        <v>Los Angeles</v>
      </c>
      <c r="AT5" s="558" t="str">
        <f>CHOOSE(uxb_works!$B$46,Scores_2014_O!AT5,Scores_2014_N!AT5,Scores_2017!AT5)</f>
        <v>Madrid</v>
      </c>
      <c r="AU5" s="558" t="str">
        <f>CHOOSE(uxb_works!$B$46,Scores_2014_O!AU5,Scores_2014_N!AU5,Scores_2017!AU5)</f>
        <v>Manila</v>
      </c>
      <c r="AV5" s="558" t="str">
        <f>CHOOSE(uxb_works!$B$46,Scores_2014_O!AV5,Scores_2014_N!AV5,Scores_2017!AV5)</f>
        <v>Melbourne</v>
      </c>
      <c r="AW5" s="558" t="str">
        <f>CHOOSE(uxb_works!$B$46,Scores_2014_O!AW5,Scores_2014_N!AW5,Scores_2017!AW5)</f>
        <v>Mexico City</v>
      </c>
      <c r="AX5" s="558" t="str">
        <f>CHOOSE(uxb_works!$B$46,Scores_2014_O!AX5,Scores_2014_N!AX5,Scores_2017!AX5)</f>
        <v>Milan</v>
      </c>
      <c r="AY5" s="558" t="str">
        <f>CHOOSE(uxb_works!$B$46,Scores_2014_O!AY5,Scores_2014_N!AY5,Scores_2017!AY5)</f>
        <v>Moscow</v>
      </c>
      <c r="AZ5" s="558" t="str">
        <f>CHOOSE(uxb_works!$B$46,Scores_2014_O!AZ5,Scores_2014_N!AZ5,Scores_2017!AZ5)</f>
        <v>Mumbai</v>
      </c>
      <c r="BA5" s="558" t="str">
        <f>CHOOSE(uxb_works!$B$46,Scores_2014_O!BA5,Scores_2014_N!BA5,Scores_2017!BA5)</f>
        <v>New York</v>
      </c>
      <c r="BB5" s="558" t="str">
        <f>CHOOSE(uxb_works!$B$46,Scores_2014_O!BB5,Scores_2014_N!BB5,Scores_2017!BB5)</f>
        <v>Osaka</v>
      </c>
      <c r="BC5" s="558" t="str">
        <f>CHOOSE(uxb_works!$B$46,Scores_2014_O!BC5,Scores_2014_N!BC5,Scores_2017!BC5)</f>
        <v>Paris</v>
      </c>
      <c r="BD5" s="558" t="str">
        <f>CHOOSE(uxb_works!$B$46,Scores_2014_O!BD5,Scores_2014_N!BD5,Scores_2017!BD5)</f>
        <v>Quito</v>
      </c>
      <c r="BE5" s="558" t="str">
        <f>CHOOSE(uxb_works!$B$46,Scores_2014_O!BE5,Scores_2014_N!BE5,Scores_2017!BE5)</f>
        <v>Rio de Janeiro</v>
      </c>
      <c r="BF5" s="558" t="str">
        <f>CHOOSE(uxb_works!$B$46,Scores_2014_O!BF5,Scores_2014_N!BF5,Scores_2017!BF5)</f>
        <v>Riyadh</v>
      </c>
      <c r="BG5" s="558" t="str">
        <f>CHOOSE(uxb_works!$B$46,Scores_2014_O!BG5,Scores_2014_N!BG5,Scores_2017!BG5)</f>
        <v>Rome</v>
      </c>
      <c r="BH5" s="558" t="str">
        <f>CHOOSE(uxb_works!$B$46,Scores_2014_O!BH5,Scores_2014_N!BH5,Scores_2017!BH5)</f>
        <v>San Francisco</v>
      </c>
      <c r="BI5" s="558" t="str">
        <f>CHOOSE(uxb_works!$B$46,Scores_2014_O!BI5,Scores_2014_N!BI5,Scores_2017!BI5)</f>
        <v>Santiago</v>
      </c>
      <c r="BJ5" s="558" t="str">
        <f>CHOOSE(uxb_works!$B$46,Scores_2014_O!BJ5,Scores_2014_N!BJ5,Scores_2017!BJ5)</f>
        <v>Sao Paulo</v>
      </c>
      <c r="BK5" s="558" t="str">
        <f>CHOOSE(uxb_works!$B$46,Scores_2014_O!BK5,Scores_2014_N!BK5,Scores_2017!BK5)</f>
        <v>Seoul</v>
      </c>
      <c r="BL5" s="558" t="str">
        <f>CHOOSE(uxb_works!$B$46,Scores_2014_O!BL5,Scores_2014_N!BL5,Scores_2017!BL5)</f>
        <v>Shanghai</v>
      </c>
      <c r="BM5" s="558" t="str">
        <f>CHOOSE(uxb_works!$B$46,Scores_2014_O!BM5,Scores_2014_N!BM5,Scores_2017!BM5)</f>
        <v>Singapore</v>
      </c>
      <c r="BN5" s="558" t="str">
        <f>CHOOSE(uxb_works!$B$46,Scores_2014_O!BN5,Scores_2014_N!BN5,Scores_2017!BN5)</f>
        <v>Stockholm</v>
      </c>
      <c r="BO5" s="558" t="str">
        <f>CHOOSE(uxb_works!$B$46,Scores_2014_O!BO5,Scores_2014_N!BO5,Scores_2017!BO5)</f>
        <v>Sydney</v>
      </c>
      <c r="BP5" s="558" t="str">
        <f>CHOOSE(uxb_works!$B$46,Scores_2014_O!BP5,Scores_2014_N!BP5,Scores_2017!BP5)</f>
        <v>Taipei</v>
      </c>
      <c r="BQ5" s="558" t="str">
        <f>CHOOSE(uxb_works!$B$46,Scores_2014_O!BQ5,Scores_2014_N!BQ5,Scores_2017!BQ5)</f>
        <v>Tehran</v>
      </c>
      <c r="BR5" s="558" t="str">
        <f>CHOOSE(uxb_works!$B$46,Scores_2014_O!BR5,Scores_2014_N!BR5,Scores_2017!BR5)</f>
        <v>Tokyo</v>
      </c>
      <c r="BS5" s="558" t="str">
        <f>CHOOSE(uxb_works!$B$46,Scores_2014_O!BS5,Scores_2014_N!BS5,Scores_2017!BS5)</f>
        <v>Toronto</v>
      </c>
      <c r="BT5" s="558" t="str">
        <f>CHOOSE(uxb_works!$B$46,Scores_2014_O!BT5,Scores_2014_N!BT5,Scores_2017!BT5)</f>
        <v>Washington DC</v>
      </c>
      <c r="BU5" s="558" t="str">
        <f>CHOOSE(uxb_works!$B$46,Scores_2014_O!BU5,Scores_2014_N!BU5,Scores_2017!BU5)</f>
        <v>Wellington</v>
      </c>
      <c r="BV5" s="558" t="str">
        <f>CHOOSE(uxb_works!$B$46,Scores_2014_O!BV5,Scores_2014_N!BV5,Scores_2017!BV5)</f>
        <v>Yangon</v>
      </c>
      <c r="BW5" s="558" t="str">
        <f>CHOOSE(uxb_works!$B$46,Scores_2014_O!BW5,Scores_2014_N!BW5,Scores_2017!BW5)</f>
        <v>Zurich</v>
      </c>
      <c r="BX5" s="562">
        <f>IF(uxb_works!B66=0,Scores_2017!$BY$5,CHOOSE(uxb_works!$B$46,Scores_2014_O!BX5,Scores_2014_N!BX5,Scores_2017!BX5))</f>
        <v>0</v>
      </c>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V5" s="563"/>
      <c r="CW5" s="563"/>
      <c r="CX5" s="563"/>
      <c r="CY5" s="563"/>
      <c r="CZ5" s="563"/>
      <c r="DA5" s="563"/>
      <c r="DB5" s="563"/>
      <c r="DC5" s="563"/>
      <c r="DD5" s="563"/>
      <c r="DE5" s="563"/>
      <c r="DF5" s="563"/>
      <c r="DG5" s="563"/>
      <c r="DH5" s="563"/>
      <c r="DI5" s="563"/>
      <c r="DJ5" s="563"/>
      <c r="DK5" s="563"/>
      <c r="DL5" s="563"/>
      <c r="DM5" s="563"/>
      <c r="DN5" s="563"/>
      <c r="DO5" s="563"/>
      <c r="DP5" s="563"/>
      <c r="DQ5" s="563"/>
      <c r="DR5" s="563"/>
      <c r="DS5" s="563"/>
      <c r="DT5" s="563"/>
      <c r="DU5" s="563"/>
      <c r="DV5" s="563"/>
      <c r="DW5" s="563"/>
      <c r="DX5" s="563"/>
      <c r="DY5" s="563"/>
      <c r="DZ5" s="563"/>
    </row>
    <row r="6" s="67" customFormat="1" ht="30" customHeight="1" spans="1:79">
      <c r="A6"/>
      <c r="B6" s="89">
        <f>tblIndicators!A2</f>
        <v>1</v>
      </c>
      <c r="C6" s="89"/>
      <c r="D6" s="89"/>
      <c r="E6" s="89"/>
      <c r="F6" s="89">
        <v>5</v>
      </c>
      <c r="G6" s="89"/>
      <c r="H6" s="89"/>
      <c r="I6" s="96"/>
      <c r="J6" s="89"/>
      <c r="K6" s="89"/>
      <c r="L6" s="97"/>
      <c r="M6" s="89"/>
      <c r="N6" s="550" t="str">
        <f>CHOOSE(uxb_works!$B$46,Scores_2014_O!N6,Scores_2014_N!N6,Scores_2017!N6)</f>
        <v>OVERALL SCORE</v>
      </c>
      <c r="O6" s="551"/>
      <c r="P6" s="552">
        <f>CHOOSE(uxb_works!$B$46,Scores_2014_O!P6,Scores_2014_N!P6,Scores_2017!P6)</f>
        <v>76.9075622869516</v>
      </c>
      <c r="Q6" s="559">
        <f>CHOOSE(uxb_works!$B$46,Scores_2014_O!Q6,Scores_2014_N!Q6,Scores_2017!Q6)</f>
        <v>87.26365184148</v>
      </c>
      <c r="R6" s="559">
        <f>CHOOSE(uxb_works!$B$46,Scores_2014_O!R6,Scores_2014_N!R6,Scores_2017!R6)</f>
        <v>71.8968367863189</v>
      </c>
      <c r="S6" s="559">
        <f>CHOOSE(uxb_works!$B$46,Scores_2014_O!S6,Scores_2014_N!S6,Scores_2017!S6)</f>
        <v>60.0526481789</v>
      </c>
      <c r="T6" s="559">
        <f>CHOOSE(uxb_works!$B$46,Scores_2014_O!T6,Scores_2014_N!T6,Scores_2017!T6)</f>
        <v>83.7146072727325</v>
      </c>
      <c r="U6" s="559">
        <f>CHOOSE(uxb_works!$B$46,Scores_2014_O!U6,Scores_2014_N!U6,Scores_2017!U6)</f>
        <v>72.0648727049485</v>
      </c>
      <c r="V6" s="559">
        <f>CHOOSE(uxb_works!$B$46,Scores_2014_O!V6,Scores_2014_N!V6,Scores_2017!V6)</f>
        <v>61.3595461626815</v>
      </c>
      <c r="W6" s="559">
        <f>CHOOSE(uxb_works!$B$46,Scores_2014_O!W6,Scores_2014_N!W6,Scores_2017!W6)</f>
        <v>83.0061449550164</v>
      </c>
      <c r="X6" s="559">
        <f>CHOOSE(uxb_works!$B$46,Scores_2014_O!X6,Scores_2014_N!X6,Scores_2017!X6)</f>
        <v>76.3482567325707</v>
      </c>
      <c r="Y6" s="559">
        <f>CHOOSE(uxb_works!$B$46,Scores_2014_O!Z6,Scores_2014_N!Y6,Scores_2017!Y6)</f>
        <v>58.3318815508511</v>
      </c>
      <c r="Z6" s="559">
        <f>CHOOSE(uxb_works!$B$46,Scores_2014_O!AA6,Scores_2014_N!Z6,Scores_2017!Z6)</f>
        <v>55.2206246013062</v>
      </c>
      <c r="AA6" s="559">
        <f>CHOOSE(uxb_works!$B$46,Scores_2014_O!AB6,Scores_2014_N!AA6,Scores_2017!AA6)</f>
        <v>61.1983208612297</v>
      </c>
      <c r="AB6" s="559">
        <f>CHOOSE(uxb_works!$B$46,Scores_2014_O!AC6,Scores_2014_N!AB6,Scores_2017!AB6)</f>
        <v>82.2084414540222</v>
      </c>
      <c r="AC6" s="559">
        <f>CHOOSE(uxb_works!$B$46,Scores_2014_O!AD6,Scores_2014_N!AC6,Scores_2017!AC6)</f>
        <v>78.72792026883</v>
      </c>
      <c r="AD6" s="559">
        <f>CHOOSE(uxb_works!$B$46,Scores_2014_O!AE6,Scores_2014_N!AD6,Scores_2017!AD6)</f>
        <v>62.3376987406359</v>
      </c>
      <c r="AE6" s="559">
        <f>CHOOSE(uxb_works!$B$46,Scores_2014_O!AF6,Scores_2014_N!AE6,Scores_2017!AE6)</f>
        <v>47.3725540843484</v>
      </c>
      <c r="AF6" s="559">
        <f>CHOOSE(uxb_works!$B$46,Scores_2014_O!AG6,Scores_2014_N!AF6,Scores_2017!AF6)</f>
        <v>73.5941578880355</v>
      </c>
      <c r="AG6" s="559">
        <f>CHOOSE(uxb_works!$B$46,Scores_2014_O!AH6,Scores_2014_N!AG6,Scores_2017!AG6)</f>
        <v>84.856365317326</v>
      </c>
      <c r="AH6" s="559">
        <f>CHOOSE(uxb_works!$B$46,Scores_2014_O!AI6,Scores_2014_N!AH6,Scores_2017!AH6)</f>
        <v>54.3323116699598</v>
      </c>
      <c r="AI6" s="559">
        <f>CHOOSE(uxb_works!$B$46,Scores_2014_O!AJ6,Scores_2014_N!AI6,Scores_2017!AI6)</f>
        <v>86.2151497119042</v>
      </c>
      <c r="AJ6" s="559">
        <f>CHOOSE(uxb_works!$B$46,Scores_2014_O!AK6,Scores_2014_N!AJ6,Scores_2017!AJ6)</f>
        <v>65.2335954830484</v>
      </c>
      <c r="AK6" s="559">
        <f>CHOOSE(uxb_works!$B$46,Scores_2014_O!AL6,Scores_2014_N!AK6,Scores_2017!AK6)</f>
        <v>53.392628751357</v>
      </c>
      <c r="AL6" s="559">
        <f>CHOOSE(uxb_works!$B$46,Scores_2014_O!AM6,Scores_2014_N!AL6,Scores_2017!AL6)</f>
        <v>62.8027593796319</v>
      </c>
      <c r="AM6" s="559">
        <f>CHOOSE(uxb_works!$B$46,Scores_2014_O!AN6,Scores_2014_N!AM6,Scores_2017!AM6)</f>
        <v>59.1742659320692</v>
      </c>
      <c r="AN6" s="559">
        <f>CHOOSE(uxb_works!$B$46,Scores_2014_O!AO6,Scores_2014_N!AN6,Scores_2017!AN6)</f>
        <v>38.7737795060127</v>
      </c>
      <c r="AO6" s="559">
        <f>CHOOSE(uxb_works!$B$46,Scores_2014_O!AP6,Scores_2014_N!AO6,Scores_2017!AO6)</f>
        <v>73.1127713624099</v>
      </c>
      <c r="AP6" s="559">
        <f>CHOOSE(uxb_works!$B$46,Scores_2014_O!AQ6,Scores_2014_N!AP6,Scores_2017!AP6)</f>
        <v>67.6137892324585</v>
      </c>
      <c r="AQ6" s="559">
        <f>CHOOSE(uxb_works!$B$46,Scores_2014_O!Y6,Scores_2014_N!AQ6,Scores_2017!AQ6)</f>
        <v>61.8984041015981</v>
      </c>
      <c r="AR6" s="559">
        <f>CHOOSE(uxb_works!$B$46,Scores_2014_O!AR6,Scores_2014_N!AR6,Scores_2017!AR6)</f>
        <v>82.0960116014609</v>
      </c>
      <c r="AS6" s="559">
        <f>CHOOSE(uxb_works!$B$46,Scores_2014_O!AS6,Scores_2014_N!AS6,Scores_2017!AS6)</f>
        <v>82.2630741993645</v>
      </c>
      <c r="AT6" s="559">
        <f>CHOOSE(uxb_works!$B$46,Scores_2014_O!AT6,Scores_2014_N!AT6,Scores_2017!AT6)</f>
        <v>83.8763007180121</v>
      </c>
      <c r="AU6" s="559">
        <f>CHOOSE(uxb_works!$B$46,Scores_2014_O!AU6,Scores_2014_N!AU6,Scores_2017!AU6)</f>
        <v>54.8612405257348</v>
      </c>
      <c r="AV6" s="559">
        <f>CHOOSE(uxb_works!$B$46,Scores_2014_O!AV6,Scores_2014_N!AV6,Scores_2017!AV6)</f>
        <v>87.3034408940153</v>
      </c>
      <c r="AW6" s="559">
        <f>CHOOSE(uxb_works!$B$46,Scores_2014_O!AW6,Scores_2014_N!AW6,Scores_2017!AW6)</f>
        <v>65.5192607721301</v>
      </c>
      <c r="AX6" s="559">
        <f>CHOOSE(uxb_works!$B$46,Scores_2014_O!AX6,Scores_2014_N!AX6,Scores_2017!AX6)</f>
        <v>79.3002825401348</v>
      </c>
      <c r="AY6" s="559">
        <f>CHOOSE(uxb_works!$B$46,Scores_2014_O!AY6,Scores_2014_N!AY6,Scores_2017!AY6)</f>
        <v>63.9940668909029</v>
      </c>
      <c r="AZ6" s="559">
        <f>CHOOSE(uxb_works!$B$46,Scores_2014_O!AZ6,Scores_2014_N!AZ6,Scores_2017!AZ6)</f>
        <v>61.8400556388434</v>
      </c>
      <c r="BA6" s="559">
        <f>CHOOSE(uxb_works!$B$46,Scores_2014_O!BA6,Scores_2014_N!BA6,Scores_2017!BA6)</f>
        <v>81.0121651371737</v>
      </c>
      <c r="BB6" s="559">
        <f>CHOOSE(uxb_works!$B$46,Scores_2014_O!BB6,Scores_2014_N!BB6,Scores_2017!BB6)</f>
        <v>88.8650564291072</v>
      </c>
      <c r="BC6" s="559">
        <f>CHOOSE(uxb_works!$B$46,Scores_2014_O!BC6,Scores_2014_N!BC6,Scores_2017!BC6)</f>
        <v>79.7132878977853</v>
      </c>
      <c r="BD6" s="559">
        <f>CHOOSE(uxb_works!$B$46,Scores_2014_O!BD6,Scores_2014_N!BD6,Scores_2017!BD6)</f>
        <v>56.3875885986625</v>
      </c>
      <c r="BE6" s="559">
        <f>CHOOSE(uxb_works!$B$46,Scores_2014_O!BE6,Scores_2014_N!BE6,Scores_2017!BE6)</f>
        <v>66.5377458964152</v>
      </c>
      <c r="BF6" s="559">
        <f>CHOOSE(uxb_works!$B$46,Scores_2014_O!BF6,Scores_2014_N!BF6,Scores_2017!BF6)</f>
        <v>61.2274416918829</v>
      </c>
      <c r="BG6" s="559">
        <f>CHOOSE(uxb_works!$B$46,Scores_2014_O!BG6,Scores_2014_N!BG6,Scores_2017!BG6)</f>
        <v>78.6744389612512</v>
      </c>
      <c r="BH6" s="559">
        <f>CHOOSE(uxb_works!$B$46,Scores_2014_O!BH6,Scores_2014_N!BH6,Scores_2017!BH6)</f>
        <v>83.5529579436713</v>
      </c>
      <c r="BI6" s="559">
        <f>CHOOSE(uxb_works!$B$46,Scores_2014_O!BI6,Scores_2014_N!BI6,Scores_2017!BI6)</f>
        <v>70.0251545363467</v>
      </c>
      <c r="BJ6" s="559">
        <f>CHOOSE(uxb_works!$B$46,Scores_2014_O!BJ6,Scores_2014_N!BJ6,Scores_2017!BJ6)</f>
        <v>66.3048271427125</v>
      </c>
      <c r="BK6" s="559">
        <f>CHOOSE(uxb_works!$B$46,Scores_2014_O!BK6,Scores_2014_N!BK6,Scores_2017!BK6)</f>
        <v>83.6051084788302</v>
      </c>
      <c r="BL6" s="559">
        <f>CHOOSE(uxb_works!$B$46,Scores_2014_O!BL6,Scores_2014_N!BL6,Scores_2017!BL6)</f>
        <v>70.9283922590062</v>
      </c>
      <c r="BM6" s="559">
        <f>CHOOSE(uxb_works!$B$46,Scores_2014_O!BM6,Scores_2014_N!BM6,Scores_2017!BM6)</f>
        <v>89.6376695961923</v>
      </c>
      <c r="BN6" s="559">
        <f>CHOOSE(uxb_works!$B$46,Scores_2014_O!BN6,Scores_2014_N!BN6,Scores_2017!BN6)</f>
        <v>86.7165220056286</v>
      </c>
      <c r="BO6" s="559">
        <f>CHOOSE(uxb_works!$B$46,Scores_2014_O!BO6,Scores_2014_N!BO6,Scores_2017!BO6)</f>
        <v>86.7359744709291</v>
      </c>
      <c r="BP6" s="559">
        <f>CHOOSE(uxb_works!$B$46,Scores_2014_O!BP6,Scores_2014_N!BP6,Scores_2017!BP6)</f>
        <v>80.7020484094921</v>
      </c>
      <c r="BQ6" s="559">
        <f>CHOOSE(uxb_works!$B$46,Scores_2014_O!BQ6,Scores_2014_N!BQ6,Scores_2017!BQ6)</f>
        <v>56.4934110813736</v>
      </c>
      <c r="BR6" s="559">
        <f>CHOOSE(uxb_works!$B$46,Scores_2014_O!BR6,Scores_2014_N!BR6,Scores_2017!BR6)</f>
        <v>89.7970622963426</v>
      </c>
      <c r="BS6" s="559">
        <f>CHOOSE(uxb_works!$B$46,Scores_2014_O!BS6,Scores_2014_N!BS6,Scores_2017!BS6)</f>
        <v>87.3597968868532</v>
      </c>
      <c r="BT6" s="559">
        <f>CHOOSE(uxb_works!$B$46,Scores_2014_O!BT6,Scores_2014_N!BT6,Scores_2017!BT6)</f>
        <v>80.366206891911</v>
      </c>
      <c r="BU6" s="559">
        <f>CHOOSE(uxb_works!$B$46,Scores_2014_O!BU6,Scores_2014_N!BU6,Scores_2017!BU6)</f>
        <v>83.1809690089348</v>
      </c>
      <c r="BV6" s="559">
        <f>CHOOSE(uxb_works!$B$46,Scores_2014_O!BV6,Scores_2014_N!BV6,Scores_2017!BV6)</f>
        <v>46.4662143998747</v>
      </c>
      <c r="BW6" s="559">
        <f>CHOOSE(uxb_works!$B$46,Scores_2014_O!BW6,Scores_2014_N!BW6,Scores_2017!BW6)</f>
        <v>85.1985461163896</v>
      </c>
      <c r="BX6" s="559">
        <f>CHOOSE(uxb_works!$B$46,Scores_2014_O!BX6,Scores_2014_N!BX6,Scores_2017!BX6)</f>
        <v>89.5758327166669</v>
      </c>
      <c r="BZ6" s="214"/>
      <c r="CA6" s="214"/>
    </row>
    <row r="7" s="68" customFormat="1" ht="24.95" customHeight="1" spans="1:130">
      <c r="A7"/>
      <c r="B7" s="91">
        <f>tblIndicators!A3</f>
        <v>2</v>
      </c>
      <c r="C7" s="91"/>
      <c r="D7" s="91"/>
      <c r="E7" s="91"/>
      <c r="F7" s="91">
        <f>CHOOSE(uxb_works!$B$46,Scores_2014_O!F7,Scores_2014_N!F7,Scores_2017!F7)</f>
        <v>1</v>
      </c>
      <c r="G7" s="91"/>
      <c r="H7" s="91"/>
      <c r="I7" s="101"/>
      <c r="J7" s="91"/>
      <c r="K7" s="91"/>
      <c r="L7" s="162"/>
      <c r="M7" s="91"/>
      <c r="N7" s="553" t="str">
        <f>REPT(" ",F7)&amp;CHOOSE(uxb_works!$B$46,Scores_2014_O!N7,Scores_2014_N!N7,Scores_2017!N7)</f>
        <v>  1) DIGITAL SECURITY</v>
      </c>
      <c r="O7" s="554">
        <f>CHOOSE(uxb_works!$B$46,Scores_2014_O!O7,Scores_2014_N!O7,Scores_2017!O7)</f>
        <v>0.25</v>
      </c>
      <c r="P7" s="555">
        <f>CHOOSE(uxb_works!$B$46,Scores_2014_O!P7,Scores_2014_N!P7,Scores_2017!P7)</f>
        <v>68.7742107919604</v>
      </c>
      <c r="Q7" s="560">
        <f>CHOOSE(uxb_works!$B$46,Scores_2014_O!Q7,Scores_2014_N!Q7,Scores_2017!Q7)</f>
        <v>85.7907100318575</v>
      </c>
      <c r="R7" s="560">
        <f>CHOOSE(uxb_works!$B$46,Scores_2014_O!R7,Scores_2014_N!R7,Scores_2017!R7)</f>
        <v>61.9382321111273</v>
      </c>
      <c r="S7" s="560">
        <f>CHOOSE(uxb_works!$B$46,Scores_2014_O!S7,Scores_2014_N!S7,Scores_2017!S7)</f>
        <v>44.4431229517073</v>
      </c>
      <c r="T7" s="560">
        <f>CHOOSE(uxb_works!$B$46,Scores_2014_O!T7,Scores_2014_N!T7,Scores_2017!T7)</f>
        <v>74.4414672324979</v>
      </c>
      <c r="U7" s="560">
        <f>CHOOSE(uxb_works!$B$46,Scores_2014_O!U7,Scores_2014_N!U7,Scores_2017!U7)</f>
        <v>65.3762531165856</v>
      </c>
      <c r="V7" s="560">
        <f>CHOOSE(uxb_works!$B$46,Scores_2014_O!V7,Scores_2014_N!V7,Scores_2017!V7)</f>
        <v>54.6226799469689</v>
      </c>
      <c r="W7" s="560">
        <f>CHOOSE(uxb_works!$B$46,Scores_2014_O!W7,Scores_2014_N!W7,Scores_2017!W7)</f>
        <v>79.9631601574826</v>
      </c>
      <c r="X7" s="560">
        <f>CHOOSE(uxb_works!$B$46,Scores_2014_O!X7,Scores_2014_N!X7,Scores_2017!X7)</f>
        <v>74.1430026566381</v>
      </c>
      <c r="Y7" s="560">
        <f>CHOOSE(uxb_works!$B$46,Scores_2014_O!Z7,Scores_2014_N!Y7,Scores_2017!Y7)</f>
        <v>43.2931861492557</v>
      </c>
      <c r="Z7" s="560">
        <f>CHOOSE(uxb_works!$B$46,Scores_2014_O!AA7,Scores_2014_N!Z7,Scores_2017!Z7)</f>
        <v>58.3865648608426</v>
      </c>
      <c r="AA7" s="560">
        <f>CHOOSE(uxb_works!$B$46,Scores_2014_O!AB7,Scores_2014_N!AA7,Scores_2017!AA7)</f>
        <v>57.3722783097088</v>
      </c>
      <c r="AB7" s="560">
        <f>CHOOSE(uxb_works!$B$46,Scores_2014_O!AC7,Scores_2014_N!AB7,Scores_2017!AB7)</f>
        <v>86.7504474887893</v>
      </c>
      <c r="AC7" s="560">
        <f>CHOOSE(uxb_works!$B$46,Scores_2014_O!AD7,Scores_2014_N!AC7,Scores_2017!AC7)</f>
        <v>84.6537849942692</v>
      </c>
      <c r="AD7" s="560">
        <f>CHOOSE(uxb_works!$B$46,Scores_2014_O!AE7,Scores_2014_N!AD7,Scores_2017!AD7)</f>
        <v>54.6055882755424</v>
      </c>
      <c r="AE7" s="560">
        <f>CHOOSE(uxb_works!$B$46,Scores_2014_O!AF7,Scores_2014_N!AE7,Scores_2017!AE7)</f>
        <v>38.3333333333333</v>
      </c>
      <c r="AF7" s="560">
        <f>CHOOSE(uxb_works!$B$46,Scores_2014_O!AG7,Scores_2014_N!AF7,Scores_2017!AF7)</f>
        <v>64.0183809238191</v>
      </c>
      <c r="AG7" s="560">
        <f>CHOOSE(uxb_works!$B$46,Scores_2014_O!AH7,Scores_2014_N!AG7,Scores_2017!AG7)</f>
        <v>80.5004352163057</v>
      </c>
      <c r="AH7" s="560">
        <f>CHOOSE(uxb_works!$B$46,Scores_2014_O!AI7,Scores_2014_N!AH7,Scores_2017!AH7)</f>
        <v>39.7822330091035</v>
      </c>
      <c r="AI7" s="560">
        <f>CHOOSE(uxb_works!$B$46,Scores_2014_O!AJ7,Scores_2014_N!AI7,Scores_2017!AI7)</f>
        <v>85.7743520917716</v>
      </c>
      <c r="AJ7" s="560">
        <f>CHOOSE(uxb_works!$B$46,Scores_2014_O!AK7,Scores_2014_N!AJ7,Scores_2017!AJ7)</f>
        <v>61.7064558654502</v>
      </c>
      <c r="AK7" s="560">
        <f>CHOOSE(uxb_works!$B$46,Scores_2014_O!AL7,Scores_2014_N!AK7,Scores_2017!AK7)</f>
        <v>36.6044906087199</v>
      </c>
      <c r="AL7" s="560">
        <f>CHOOSE(uxb_works!$B$46,Scores_2014_O!AM7,Scores_2014_N!AL7,Scores_2017!AL7)</f>
        <v>65.8605869387246</v>
      </c>
      <c r="AM7" s="560">
        <f>CHOOSE(uxb_works!$B$46,Scores_2014_O!AN7,Scores_2014_N!AM7,Scores_2017!AM7)</f>
        <v>66.2779167150079</v>
      </c>
      <c r="AN7" s="560">
        <f>CHOOSE(uxb_works!$B$46,Scores_2014_O!AO7,Scores_2014_N!AN7,Scores_2017!AN7)</f>
        <v>43.2175596978271</v>
      </c>
      <c r="AO7" s="560">
        <f>CHOOSE(uxb_works!$B$46,Scores_2014_O!AP7,Scores_2014_N!AO7,Scores_2017!AO7)</f>
        <v>66.1672147239068</v>
      </c>
      <c r="AP7" s="560">
        <f>CHOOSE(uxb_works!$B$46,Scores_2014_O!AQ7,Scores_2014_N!AP7,Scores_2017!AP7)</f>
        <v>60.1666930894403</v>
      </c>
      <c r="AQ7" s="560">
        <f>CHOOSE(uxb_works!$B$46,Scores_2014_O!Y7,Scores_2014_N!AQ7,Scores_2017!AQ7)</f>
        <v>59.7789450610891</v>
      </c>
      <c r="AR7" s="560">
        <f>CHOOSE(uxb_works!$B$46,Scores_2014_O!AR7,Scores_2014_N!AR7,Scores_2017!AR7)</f>
        <v>73.3635081842551</v>
      </c>
      <c r="AS7" s="560">
        <f>CHOOSE(uxb_works!$B$46,Scores_2014_O!AS7,Scores_2014_N!AS7,Scores_2017!AS7)</f>
        <v>85.1197099930515</v>
      </c>
      <c r="AT7" s="560">
        <f>CHOOSE(uxb_works!$B$46,Scores_2014_O!AT7,Scores_2014_N!AT7,Scores_2017!AT7)</f>
        <v>74.4414672324979</v>
      </c>
      <c r="AU7" s="560">
        <f>CHOOSE(uxb_works!$B$46,Scores_2014_O!AU7,Scores_2014_N!AU7,Scores_2017!AU7)</f>
        <v>36.6091842915087</v>
      </c>
      <c r="AV7" s="560">
        <f>CHOOSE(uxb_works!$B$46,Scores_2014_O!AV7,Scores_2014_N!AV7,Scores_2017!AV7)</f>
        <v>83.3170628544238</v>
      </c>
      <c r="AW7" s="560">
        <f>CHOOSE(uxb_works!$B$46,Scores_2014_O!AW7,Scores_2014_N!AW7,Scores_2017!AW7)</f>
        <v>53.6903313839784</v>
      </c>
      <c r="AX7" s="560">
        <f>CHOOSE(uxb_works!$B$46,Scores_2014_O!AX7,Scores_2014_N!AX7,Scores_2017!AX7)</f>
        <v>73.2896559159726</v>
      </c>
      <c r="AY7" s="560">
        <f>CHOOSE(uxb_works!$B$46,Scores_2014_O!AY7,Scores_2014_N!AY7,Scores_2017!AY7)</f>
        <v>49.027957899833</v>
      </c>
      <c r="AZ7" s="560">
        <f>CHOOSE(uxb_works!$B$46,Scores_2014_O!AZ7,Scores_2014_N!AZ7,Scores_2017!AZ7)</f>
        <v>54.6055882755424</v>
      </c>
      <c r="BA7" s="560">
        <f>CHOOSE(uxb_works!$B$46,Scores_2014_O!BA7,Scores_2014_N!BA7,Scores_2017!BA7)</f>
        <v>84.950282720767</v>
      </c>
      <c r="BB7" s="560">
        <f>CHOOSE(uxb_works!$B$46,Scores_2014_O!BB7,Scores_2014_N!BB7,Scores_2017!BB7)</f>
        <v>82.1109532990777</v>
      </c>
      <c r="BC7" s="560">
        <f>CHOOSE(uxb_works!$B$46,Scores_2014_O!BC7,Scores_2014_N!BC7,Scores_2017!BC7)</f>
        <v>70.3734320124007</v>
      </c>
      <c r="BD7" s="560">
        <f>CHOOSE(uxb_works!$B$46,Scores_2014_O!BD7,Scores_2014_N!BD7,Scores_2017!BD7)</f>
        <v>60.6484476838798</v>
      </c>
      <c r="BE7" s="560">
        <f>CHOOSE(uxb_works!$B$46,Scores_2014_O!BE7,Scores_2014_N!BE7,Scores_2017!BE7)</f>
        <v>51.9624025868378</v>
      </c>
      <c r="BF7" s="560">
        <f>CHOOSE(uxb_works!$B$46,Scores_2014_O!BF7,Scores_2014_N!BF7,Scores_2017!BF7)</f>
        <v>60.8605869387246</v>
      </c>
      <c r="BG7" s="560">
        <f>CHOOSE(uxb_works!$B$46,Scores_2014_O!BG7,Scores_2014_N!BG7,Scores_2017!BG7)</f>
        <v>71.622989249306</v>
      </c>
      <c r="BH7" s="560">
        <f>CHOOSE(uxb_works!$B$46,Scores_2014_O!BH7,Scores_2014_N!BH7,Scores_2017!BH7)</f>
        <v>85.1197099930515</v>
      </c>
      <c r="BI7" s="560">
        <f>CHOOSE(uxb_works!$B$46,Scores_2014_O!BI7,Scores_2014_N!BI7,Scores_2017!BI7)</f>
        <v>60.5656964837487</v>
      </c>
      <c r="BJ7" s="560">
        <f>CHOOSE(uxb_works!$B$46,Scores_2014_O!BJ7,Scores_2014_N!BJ7,Scores_2017!BJ7)</f>
        <v>51.9624025868378</v>
      </c>
      <c r="BK7" s="560">
        <f>CHOOSE(uxb_works!$B$46,Scores_2014_O!BK7,Scores_2014_N!BK7,Scores_2017!BK7)</f>
        <v>78.4243335201438</v>
      </c>
      <c r="BL7" s="560">
        <f>CHOOSE(uxb_works!$B$46,Scores_2014_O!BL7,Scores_2014_N!BL7,Scores_2017!BL7)</f>
        <v>59.4232247099855</v>
      </c>
      <c r="BM7" s="560">
        <f>CHOOSE(uxb_works!$B$46,Scores_2014_O!BM7,Scores_2014_N!BM7,Scores_2017!BM7)</f>
        <v>86.8384182693428</v>
      </c>
      <c r="BN7" s="560">
        <f>CHOOSE(uxb_works!$B$46,Scores_2014_O!BN7,Scores_2014_N!BN7,Scores_2017!BN7)</f>
        <v>82.8067745494823</v>
      </c>
      <c r="BO7" s="560">
        <f>CHOOSE(uxb_works!$B$46,Scores_2014_O!BO7,Scores_2014_N!BO7,Scores_2017!BO7)</f>
        <v>82.9570299008193</v>
      </c>
      <c r="BP7" s="560">
        <f>CHOOSE(uxb_works!$B$46,Scores_2014_O!BP7,Scores_2014_N!BP7,Scores_2017!BP7)</f>
        <v>65.9772772917516</v>
      </c>
      <c r="BQ7" s="560">
        <f>CHOOSE(uxb_works!$B$46,Scores_2014_O!BQ7,Scores_2014_N!BQ7,Scores_2017!BQ7)</f>
        <v>39.8848690612455</v>
      </c>
      <c r="BR7" s="560">
        <f>CHOOSE(uxb_works!$B$46,Scores_2014_O!BR7,Scores_2014_N!BR7,Scores_2017!BR7)</f>
        <v>88.4028362502467</v>
      </c>
      <c r="BS7" s="560">
        <f>CHOOSE(uxb_works!$B$46,Scores_2014_O!BS7,Scores_2014_N!BS7,Scores_2017!BS7)</f>
        <v>85.3315893644284</v>
      </c>
      <c r="BT7" s="560">
        <f>CHOOSE(uxb_works!$B$46,Scores_2014_O!BT7,Scores_2014_N!BT7,Scores_2017!BT7)</f>
        <v>80.8821327183315</v>
      </c>
      <c r="BU7" s="560">
        <f>CHOOSE(uxb_works!$B$46,Scores_2014_O!BU7,Scores_2014_N!BU7,Scores_2017!BU7)</f>
        <v>74.8010213712539</v>
      </c>
      <c r="BV7" s="560">
        <f>CHOOSE(uxb_works!$B$46,Scores_2014_O!BV7,Scores_2014_N!BV7,Scores_2017!BV7)</f>
        <v>39.0672022686312</v>
      </c>
      <c r="BW7" s="560">
        <f>CHOOSE(uxb_works!$B$46,Scores_2014_O!BW7,Scores_2014_N!BW7,Scores_2017!BW7)</f>
        <v>77.9769813138381</v>
      </c>
      <c r="BX7" s="560">
        <f>CHOOSE(uxb_works!$B$46,Scores_2014_O!BX7,Scores_2014_N!BX7,Scores_2017!BX7)</f>
        <v>82.5345214797888</v>
      </c>
      <c r="BY7"/>
      <c r="BZ7" s="214"/>
      <c r="CA7" s="214"/>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69" customFormat="1" ht="24.95" customHeight="1" spans="1:130">
      <c r="A8"/>
      <c r="B8" s="92">
        <f>tblIndicators!A4</f>
        <v>3</v>
      </c>
      <c r="C8" s="92"/>
      <c r="D8" s="92"/>
      <c r="E8" s="92"/>
      <c r="F8" s="92">
        <f>CHOOSE(uxb_works!$B$46,Scores_2014_O!F8,Scores_2014_N!F8,Scores_2017!F8)</f>
        <v>2</v>
      </c>
      <c r="G8" s="92"/>
      <c r="H8" s="92"/>
      <c r="I8" s="104"/>
      <c r="J8" s="92"/>
      <c r="K8" s="92"/>
      <c r="L8" s="165"/>
      <c r="M8" s="92"/>
      <c r="N8" s="105" t="str">
        <f>REPT(" ",F8)&amp;CHOOSE(uxb_works!$B$46,Scores_2014_O!N8,Scores_2014_N!N8,Scores_2017!N8)</f>
        <v>    1.1) Digital security (Inputs)</v>
      </c>
      <c r="O8" s="556">
        <f>CHOOSE(uxb_works!$B$46,Scores_2014_O!O8,Scores_2014_N!O8,Scores_2017!O8)</f>
        <v>0.5</v>
      </c>
      <c r="P8" s="557">
        <f>CHOOSE(uxb_works!$B$46,Scores_2014_O!P8,Scores_2014_N!P8,Scores_2017!P8)</f>
        <v>63.3333333333333</v>
      </c>
      <c r="Q8" s="561">
        <f>CHOOSE(uxb_works!$B$46,Scores_2014_O!Q8,Scores_2014_N!Q8,Scores_2017!Q8)</f>
        <v>80</v>
      </c>
      <c r="R8" s="561">
        <f>CHOOSE(uxb_works!$B$46,Scores_2014_O!R8,Scores_2014_N!R8,Scores_2017!R8)</f>
        <v>60</v>
      </c>
      <c r="S8" s="561">
        <f>CHOOSE(uxb_works!$B$46,Scores_2014_O!S8,Scores_2014_N!S8,Scores_2017!S8)</f>
        <v>28.3333333333333</v>
      </c>
      <c r="T8" s="561">
        <f>CHOOSE(uxb_works!$B$46,Scores_2014_O!T8,Scores_2014_N!T8,Scores_2017!T8)</f>
        <v>80</v>
      </c>
      <c r="U8" s="561">
        <f>CHOOSE(uxb_works!$B$46,Scores_2014_O!U8,Scores_2014_N!U8,Scores_2017!U8)</f>
        <v>63.3333333333333</v>
      </c>
      <c r="V8" s="561">
        <f>CHOOSE(uxb_works!$B$46,Scores_2014_O!V8,Scores_2014_N!V8,Scores_2017!V8)</f>
        <v>41.6666666666667</v>
      </c>
      <c r="W8" s="561">
        <f>CHOOSE(uxb_works!$B$46,Scores_2014_O!W8,Scores_2014_N!W8,Scores_2017!W8)</f>
        <v>80</v>
      </c>
      <c r="X8" s="561">
        <f>CHOOSE(uxb_works!$B$46,Scores_2014_O!X8,Scores_2014_N!X8,Scores_2017!X8)</f>
        <v>66.6666666666667</v>
      </c>
      <c r="Y8" s="561">
        <f>CHOOSE(uxb_works!$B$46,Scores_2014_O!Z8,Scores_2014_N!Y8,Scores_2017!Y8)</f>
        <v>26.6666666666667</v>
      </c>
      <c r="Z8" s="561">
        <f>CHOOSE(uxb_works!$B$46,Scores_2014_O!AA8,Scores_2014_N!Z8,Scores_2017!Z8)</f>
        <v>46.6666666666667</v>
      </c>
      <c r="AA8" s="561">
        <f>CHOOSE(uxb_works!$B$46,Scores_2014_O!AB8,Scores_2014_N!AA8,Scores_2017!AA8)</f>
        <v>46.6666666666667</v>
      </c>
      <c r="AB8" s="561">
        <f>CHOOSE(uxb_works!$B$46,Scores_2014_O!AC8,Scores_2014_N!AB8,Scores_2017!AB8)</f>
        <v>100</v>
      </c>
      <c r="AC8" s="561">
        <f>CHOOSE(uxb_works!$B$46,Scores_2014_O!AD8,Scores_2014_N!AC8,Scores_2017!AC8)</f>
        <v>100</v>
      </c>
      <c r="AD8" s="561">
        <f>CHOOSE(uxb_works!$B$46,Scores_2014_O!AE8,Scores_2014_N!AD8,Scores_2017!AD8)</f>
        <v>63.3333333333333</v>
      </c>
      <c r="AE8" s="561">
        <f>CHOOSE(uxb_works!$B$46,Scores_2014_O!AF8,Scores_2014_N!AE8,Scores_2017!AE8)</f>
        <v>26.6666666666667</v>
      </c>
      <c r="AF8" s="561">
        <f>CHOOSE(uxb_works!$B$46,Scores_2014_O!AG8,Scores_2014_N!AF8,Scores_2017!AF8)</f>
        <v>58.3333333333333</v>
      </c>
      <c r="AG8" s="561">
        <f>CHOOSE(uxb_works!$B$46,Scores_2014_O!AH8,Scores_2014_N!AG8,Scores_2017!AG8)</f>
        <v>80</v>
      </c>
      <c r="AH8" s="561">
        <f>CHOOSE(uxb_works!$B$46,Scores_2014_O!AI8,Scores_2014_N!AH8,Scores_2017!AH8)</f>
        <v>21.6666666666667</v>
      </c>
      <c r="AI8" s="561">
        <f>CHOOSE(uxb_works!$B$46,Scores_2014_O!AJ8,Scores_2014_N!AI8,Scores_2017!AI8)</f>
        <v>100</v>
      </c>
      <c r="AJ8" s="561">
        <f>CHOOSE(uxb_works!$B$46,Scores_2014_O!AK8,Scores_2014_N!AJ8,Scores_2017!AJ8)</f>
        <v>60</v>
      </c>
      <c r="AK8" s="561">
        <f>CHOOSE(uxb_works!$B$46,Scores_2014_O!AL8,Scores_2014_N!AK8,Scores_2017!AK8)</f>
        <v>28.3333333333333</v>
      </c>
      <c r="AL8" s="561">
        <f>CHOOSE(uxb_works!$B$46,Scores_2014_O!AM8,Scores_2014_N!AL8,Scores_2017!AL8)</f>
        <v>58.3333333333333</v>
      </c>
      <c r="AM8" s="561">
        <f>CHOOSE(uxb_works!$B$46,Scores_2014_O!AN8,Scores_2014_N!AM8,Scores_2017!AM8)</f>
        <v>58.3333333333333</v>
      </c>
      <c r="AN8" s="561">
        <f>CHOOSE(uxb_works!$B$46,Scores_2014_O!AO8,Scores_2014_N!AN8,Scores_2017!AN8)</f>
        <v>35</v>
      </c>
      <c r="AO8" s="561">
        <f>CHOOSE(uxb_works!$B$46,Scores_2014_O!AP8,Scores_2014_N!AO8,Scores_2017!AO8)</f>
        <v>58.3333333333333</v>
      </c>
      <c r="AP8" s="561">
        <f>CHOOSE(uxb_works!$B$46,Scores_2014_O!AQ8,Scores_2014_N!AP8,Scores_2017!AP8)</f>
        <v>41.6666666666667</v>
      </c>
      <c r="AQ8" s="561">
        <f>CHOOSE(uxb_works!$B$46,Scores_2014_O!Y8,Scores_2014_N!AQ8,Scores_2017!AQ8)</f>
        <v>58.3333333333333</v>
      </c>
      <c r="AR8" s="561">
        <f>CHOOSE(uxb_works!$B$46,Scores_2014_O!AR8,Scores_2014_N!AR8,Scores_2017!AR8)</f>
        <v>80</v>
      </c>
      <c r="AS8" s="561">
        <f>CHOOSE(uxb_works!$B$46,Scores_2014_O!AS8,Scores_2014_N!AS8,Scores_2017!AS8)</f>
        <v>100</v>
      </c>
      <c r="AT8" s="561">
        <f>CHOOSE(uxb_works!$B$46,Scores_2014_O!AT8,Scores_2014_N!AT8,Scores_2017!AT8)</f>
        <v>80</v>
      </c>
      <c r="AU8" s="561">
        <f>CHOOSE(uxb_works!$B$46,Scores_2014_O!AU8,Scores_2014_N!AU8,Scores_2017!AU8)</f>
        <v>31.6666666666667</v>
      </c>
      <c r="AV8" s="561">
        <f>CHOOSE(uxb_works!$B$46,Scores_2014_O!AV8,Scores_2014_N!AV8,Scores_2017!AV8)</f>
        <v>90</v>
      </c>
      <c r="AW8" s="561">
        <f>CHOOSE(uxb_works!$B$46,Scores_2014_O!AW8,Scores_2014_N!AW8,Scores_2017!AW8)</f>
        <v>58.3333333333333</v>
      </c>
      <c r="AX8" s="561">
        <f>CHOOSE(uxb_works!$B$46,Scores_2014_O!AX8,Scores_2014_N!AX8,Scores_2017!AX8)</f>
        <v>83.3333333333333</v>
      </c>
      <c r="AY8" s="561">
        <f>CHOOSE(uxb_works!$B$46,Scores_2014_O!AY8,Scores_2014_N!AY8,Scores_2017!AY8)</f>
        <v>41.6666666666667</v>
      </c>
      <c r="AZ8" s="561">
        <f>CHOOSE(uxb_works!$B$46,Scores_2014_O!AZ8,Scores_2014_N!AZ8,Scores_2017!AZ8)</f>
        <v>63.3333333333333</v>
      </c>
      <c r="BA8" s="561">
        <f>CHOOSE(uxb_works!$B$46,Scores_2014_O!BA8,Scores_2014_N!BA8,Scores_2017!BA8)</f>
        <v>100</v>
      </c>
      <c r="BB8" s="561">
        <f>CHOOSE(uxb_works!$B$46,Scores_2014_O!BB8,Scores_2014_N!BB8,Scores_2017!BB8)</f>
        <v>78.3333333333333</v>
      </c>
      <c r="BC8" s="561">
        <f>CHOOSE(uxb_works!$B$46,Scores_2014_O!BC8,Scores_2014_N!BC8,Scores_2017!BC8)</f>
        <v>73.3333333333333</v>
      </c>
      <c r="BD8" s="561">
        <f>CHOOSE(uxb_works!$B$46,Scores_2014_O!BD8,Scores_2014_N!BD8,Scores_2017!BD8)</f>
        <v>48.3333333333333</v>
      </c>
      <c r="BE8" s="561">
        <f>CHOOSE(uxb_works!$B$46,Scores_2014_O!BE8,Scores_2014_N!BE8,Scores_2017!BE8)</f>
        <v>43.3333333333333</v>
      </c>
      <c r="BF8" s="561">
        <f>CHOOSE(uxb_works!$B$46,Scores_2014_O!BF8,Scores_2014_N!BF8,Scores_2017!BF8)</f>
        <v>48.3333333333333</v>
      </c>
      <c r="BG8" s="561">
        <f>CHOOSE(uxb_works!$B$46,Scores_2014_O!BG8,Scores_2014_N!BG8,Scores_2017!BG8)</f>
        <v>80</v>
      </c>
      <c r="BH8" s="561">
        <f>CHOOSE(uxb_works!$B$46,Scores_2014_O!BH8,Scores_2014_N!BH8,Scores_2017!BH8)</f>
        <v>100</v>
      </c>
      <c r="BI8" s="561">
        <f>CHOOSE(uxb_works!$B$46,Scores_2014_O!BI8,Scores_2014_N!BI8,Scores_2017!BI8)</f>
        <v>58.3333333333333</v>
      </c>
      <c r="BJ8" s="561">
        <f>CHOOSE(uxb_works!$B$46,Scores_2014_O!BJ8,Scores_2014_N!BJ8,Scores_2017!BJ8)</f>
        <v>43.3333333333333</v>
      </c>
      <c r="BK8" s="561">
        <f>CHOOSE(uxb_works!$B$46,Scores_2014_O!BK8,Scores_2014_N!BK8,Scores_2017!BK8)</f>
        <v>66.6666666666667</v>
      </c>
      <c r="BL8" s="561">
        <f>CHOOSE(uxb_works!$B$46,Scores_2014_O!BL8,Scores_2014_N!BL8,Scores_2017!BL8)</f>
        <v>53.3333333333333</v>
      </c>
      <c r="BM8" s="561">
        <f>CHOOSE(uxb_works!$B$46,Scores_2014_O!BM8,Scores_2014_N!BM8,Scores_2017!BM8)</f>
        <v>95</v>
      </c>
      <c r="BN8" s="561">
        <f>CHOOSE(uxb_works!$B$46,Scores_2014_O!BN8,Scores_2014_N!BN8,Scores_2017!BN8)</f>
        <v>75</v>
      </c>
      <c r="BO8" s="561">
        <f>CHOOSE(uxb_works!$B$46,Scores_2014_O!BO8,Scores_2014_N!BO8,Scores_2017!BO8)</f>
        <v>90</v>
      </c>
      <c r="BP8" s="561">
        <f>CHOOSE(uxb_works!$B$46,Scores_2014_O!BP8,Scores_2014_N!BP8,Scores_2017!BP8)</f>
        <v>88.3333333333333</v>
      </c>
      <c r="BQ8" s="561">
        <f>CHOOSE(uxb_works!$B$46,Scores_2014_O!BQ8,Scores_2014_N!BQ8,Scores_2017!BQ8)</f>
        <v>16.6666666666667</v>
      </c>
      <c r="BR8" s="561">
        <f>CHOOSE(uxb_works!$B$46,Scores_2014_O!BR8,Scores_2014_N!BR8,Scores_2017!BR8)</f>
        <v>88.3333333333333</v>
      </c>
      <c r="BS8" s="561">
        <f>CHOOSE(uxb_works!$B$46,Scores_2014_O!BS8,Scores_2014_N!BS8,Scores_2017!BS8)</f>
        <v>90</v>
      </c>
      <c r="BT8" s="561">
        <f>CHOOSE(uxb_works!$B$46,Scores_2014_O!BT8,Scores_2014_N!BT8,Scores_2017!BT8)</f>
        <v>90</v>
      </c>
      <c r="BU8" s="561">
        <f>CHOOSE(uxb_works!$B$46,Scores_2014_O!BU8,Scores_2014_N!BU8,Scores_2017!BU8)</f>
        <v>68.3333333333333</v>
      </c>
      <c r="BV8" s="561">
        <f>CHOOSE(uxb_works!$B$46,Scores_2014_O!BV8,Scores_2014_N!BV8,Scores_2017!BV8)</f>
        <v>16.6666666666667</v>
      </c>
      <c r="BW8" s="561">
        <f>CHOOSE(uxb_works!$B$46,Scores_2014_O!BW8,Scores_2014_N!BW8,Scores_2017!BW8)</f>
        <v>75</v>
      </c>
      <c r="BX8" s="561">
        <f>CHOOSE(uxb_works!$B$46,Scores_2014_O!BX8,Scores_2014_N!BX8,Scores_2017!BX8)</f>
        <v>78.3333333333333</v>
      </c>
      <c r="BY8"/>
      <c r="BZ8" s="214"/>
      <c r="CA8" s="214"/>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69" customFormat="1" ht="24.95" customHeight="1" spans="1:130">
      <c r="A9"/>
      <c r="B9" s="92">
        <f>tblIndicators!A5</f>
        <v>4</v>
      </c>
      <c r="C9" s="92"/>
      <c r="D9" s="92"/>
      <c r="E9" s="92"/>
      <c r="F9" s="92">
        <f>CHOOSE(uxb_works!$B$46,Scores_2014_O!F9,Scores_2014_N!F9,Scores_2017!F9)</f>
        <v>3</v>
      </c>
      <c r="G9" s="92"/>
      <c r="H9" s="92"/>
      <c r="I9" s="104"/>
      <c r="J9" s="92"/>
      <c r="K9" s="92"/>
      <c r="L9" s="165"/>
      <c r="M9" s="92"/>
      <c r="N9" s="105" t="str">
        <f>REPT(" ",F9)&amp;CHOOSE(uxb_works!$B$46,Scores_2014_O!N9,Scores_2014_N!N9,Scores_2017!N9)</f>
        <v>      1.1.1) Privacy policy</v>
      </c>
      <c r="O9" s="556">
        <f>CHOOSE(uxb_works!$B$46,Scores_2014_O!O9,Scores_2014_N!O9,Scores_2017!O9)</f>
        <v>0.2</v>
      </c>
      <c r="P9" s="557">
        <f>CHOOSE(uxb_works!$B$46,Scores_2014_O!P9,Scores_2014_N!P9,Scores_2017!P9)</f>
        <v>50</v>
      </c>
      <c r="Q9" s="561">
        <f>CHOOSE(uxb_works!$B$46,Scores_2014_O!Q9,Scores_2014_N!Q9,Scores_2017!Q9)</f>
        <v>100</v>
      </c>
      <c r="R9" s="561">
        <f>CHOOSE(uxb_works!$B$46,Scores_2014_O!R9,Scores_2014_N!R9,Scores_2017!R9)</f>
        <v>75</v>
      </c>
      <c r="S9" s="561">
        <f>CHOOSE(uxb_works!$B$46,Scores_2014_O!S9,Scores_2014_N!S9,Scores_2017!S9)</f>
        <v>25</v>
      </c>
      <c r="T9" s="561">
        <f>CHOOSE(uxb_works!$B$46,Scores_2014_O!T9,Scores_2014_N!T9,Scores_2017!T9)</f>
        <v>100</v>
      </c>
      <c r="U9" s="561">
        <f>CHOOSE(uxb_works!$B$46,Scores_2014_O!U9,Scores_2014_N!U9,Scores_2017!U9)</f>
        <v>75</v>
      </c>
      <c r="V9" s="561">
        <f>CHOOSE(uxb_works!$B$46,Scores_2014_O!V9,Scores_2014_N!V9,Scores_2017!V9)</f>
        <v>50</v>
      </c>
      <c r="W9" s="561">
        <f>CHOOSE(uxb_works!$B$46,Scores_2014_O!W9,Scores_2014_N!W9,Scores_2017!W9)</f>
        <v>100</v>
      </c>
      <c r="X9" s="561">
        <f>CHOOSE(uxb_works!$B$46,Scores_2014_O!X9,Scores_2014_N!X9,Scores_2017!X9)</f>
        <v>75</v>
      </c>
      <c r="Y9" s="561">
        <f>CHOOSE(uxb_works!$B$46,Scores_2014_O!Z9,Scores_2014_N!Y9,Scores_2017!Y9)</f>
        <v>50</v>
      </c>
      <c r="Z9" s="561">
        <f>CHOOSE(uxb_works!$B$46,Scores_2014_O!AA9,Scores_2014_N!Z9,Scores_2017!Z9)</f>
        <v>25</v>
      </c>
      <c r="AA9" s="561">
        <f>CHOOSE(uxb_works!$B$46,Scores_2014_O!AB9,Scores_2014_N!AA9,Scores_2017!AA9)</f>
        <v>75</v>
      </c>
      <c r="AB9" s="561">
        <f>CHOOSE(uxb_works!$B$46,Scores_2014_O!AC9,Scores_2014_N!AB9,Scores_2017!AB9)</f>
        <v>100</v>
      </c>
      <c r="AC9" s="561">
        <f>CHOOSE(uxb_works!$B$46,Scores_2014_O!AD9,Scores_2014_N!AC9,Scores_2017!AC9)</f>
        <v>100</v>
      </c>
      <c r="AD9" s="561">
        <f>CHOOSE(uxb_works!$B$46,Scores_2014_O!AE9,Scores_2014_N!AD9,Scores_2017!AD9)</f>
        <v>25</v>
      </c>
      <c r="AE9" s="561">
        <f>CHOOSE(uxb_works!$B$46,Scores_2014_O!AF9,Scores_2014_N!AE9,Scores_2017!AE9)</f>
        <v>0</v>
      </c>
      <c r="AF9" s="561">
        <f>CHOOSE(uxb_works!$B$46,Scores_2014_O!AG9,Scores_2014_N!AF9,Scores_2017!AF9)</f>
        <v>50</v>
      </c>
      <c r="AG9" s="561">
        <f>CHOOSE(uxb_works!$B$46,Scores_2014_O!AH9,Scores_2014_N!AG9,Scores_2017!AG9)</f>
        <v>100</v>
      </c>
      <c r="AH9" s="561">
        <f>CHOOSE(uxb_works!$B$46,Scores_2014_O!AI9,Scores_2014_N!AH9,Scores_2017!AH9)</f>
        <v>25</v>
      </c>
      <c r="AI9" s="561">
        <f>CHOOSE(uxb_works!$B$46,Scores_2014_O!AJ9,Scores_2014_N!AI9,Scores_2017!AI9)</f>
        <v>100</v>
      </c>
      <c r="AJ9" s="561">
        <f>CHOOSE(uxb_works!$B$46,Scores_2014_O!AK9,Scores_2014_N!AJ9,Scores_2017!AJ9)</f>
        <v>25</v>
      </c>
      <c r="AK9" s="561">
        <f>CHOOSE(uxb_works!$B$46,Scores_2014_O!AL9,Scores_2014_N!AK9,Scores_2017!AK9)</f>
        <v>25</v>
      </c>
      <c r="AL9" s="561">
        <f>CHOOSE(uxb_works!$B$46,Scores_2014_O!AM9,Scores_2014_N!AL9,Scores_2017!AL9)</f>
        <v>50</v>
      </c>
      <c r="AM9" s="561">
        <f>CHOOSE(uxb_works!$B$46,Scores_2014_O!AN9,Scores_2014_N!AM9,Scores_2017!AM9)</f>
        <v>50</v>
      </c>
      <c r="AN9" s="561">
        <f>CHOOSE(uxb_works!$B$46,Scores_2014_O!AO9,Scores_2014_N!AN9,Scores_2017!AN9)</f>
        <v>25</v>
      </c>
      <c r="AO9" s="561">
        <f>CHOOSE(uxb_works!$B$46,Scores_2014_O!AP9,Scores_2014_N!AO9,Scores_2017!AO9)</f>
        <v>50</v>
      </c>
      <c r="AP9" s="561">
        <f>CHOOSE(uxb_works!$B$46,Scores_2014_O!AQ9,Scores_2014_N!AP9,Scores_2017!AP9)</f>
        <v>50</v>
      </c>
      <c r="AQ9" s="561">
        <f>CHOOSE(uxb_works!$B$46,Scores_2014_O!Y9,Scores_2014_N!AQ9,Scores_2017!AQ9)</f>
        <v>50</v>
      </c>
      <c r="AR9" s="561">
        <f>CHOOSE(uxb_works!$B$46,Scores_2014_O!AR9,Scores_2014_N!AR9,Scores_2017!AR9)</f>
        <v>100</v>
      </c>
      <c r="AS9" s="561">
        <f>CHOOSE(uxb_works!$B$46,Scores_2014_O!AS9,Scores_2014_N!AS9,Scores_2017!AS9)</f>
        <v>100</v>
      </c>
      <c r="AT9" s="561">
        <f>CHOOSE(uxb_works!$B$46,Scores_2014_O!AT9,Scores_2014_N!AT9,Scores_2017!AT9)</f>
        <v>100</v>
      </c>
      <c r="AU9" s="561">
        <f>CHOOSE(uxb_works!$B$46,Scores_2014_O!AU9,Scores_2014_N!AU9,Scores_2017!AU9)</f>
        <v>25</v>
      </c>
      <c r="AV9" s="561">
        <f>CHOOSE(uxb_works!$B$46,Scores_2014_O!AV9,Scores_2014_N!AV9,Scores_2017!AV9)</f>
        <v>100</v>
      </c>
      <c r="AW9" s="561">
        <f>CHOOSE(uxb_works!$B$46,Scores_2014_O!AW9,Scores_2014_N!AW9,Scores_2017!AW9)</f>
        <v>50</v>
      </c>
      <c r="AX9" s="561">
        <f>CHOOSE(uxb_works!$B$46,Scores_2014_O!AX9,Scores_2014_N!AX9,Scores_2017!AX9)</f>
        <v>100</v>
      </c>
      <c r="AY9" s="561">
        <f>CHOOSE(uxb_works!$B$46,Scores_2014_O!AY9,Scores_2014_N!AY9,Scores_2017!AY9)</f>
        <v>50</v>
      </c>
      <c r="AZ9" s="561">
        <f>CHOOSE(uxb_works!$B$46,Scores_2014_O!AZ9,Scores_2014_N!AZ9,Scores_2017!AZ9)</f>
        <v>25</v>
      </c>
      <c r="BA9" s="561">
        <f>CHOOSE(uxb_works!$B$46,Scores_2014_O!BA9,Scores_2014_N!BA9,Scores_2017!BA9)</f>
        <v>100</v>
      </c>
      <c r="BB9" s="561">
        <f>CHOOSE(uxb_works!$B$46,Scores_2014_O!BB9,Scores_2014_N!BB9,Scores_2017!BB9)</f>
        <v>75</v>
      </c>
      <c r="BC9" s="561">
        <f>CHOOSE(uxb_works!$B$46,Scores_2014_O!BC9,Scores_2014_N!BC9,Scores_2017!BC9)</f>
        <v>100</v>
      </c>
      <c r="BD9" s="561">
        <f>CHOOSE(uxb_works!$B$46,Scores_2014_O!BD9,Scores_2014_N!BD9,Scores_2017!BD9)</f>
        <v>0</v>
      </c>
      <c r="BE9" s="561">
        <f>CHOOSE(uxb_works!$B$46,Scores_2014_O!BE9,Scores_2014_N!BE9,Scores_2017!BE9)</f>
        <v>25</v>
      </c>
      <c r="BF9" s="561">
        <f>CHOOSE(uxb_works!$B$46,Scores_2014_O!BF9,Scores_2014_N!BF9,Scores_2017!BF9)</f>
        <v>50</v>
      </c>
      <c r="BG9" s="561">
        <f>CHOOSE(uxb_works!$B$46,Scores_2014_O!BG9,Scores_2014_N!BG9,Scores_2017!BG9)</f>
        <v>100</v>
      </c>
      <c r="BH9" s="561">
        <f>CHOOSE(uxb_works!$B$46,Scores_2014_O!BH9,Scores_2014_N!BH9,Scores_2017!BH9)</f>
        <v>100</v>
      </c>
      <c r="BI9" s="561">
        <f>CHOOSE(uxb_works!$B$46,Scores_2014_O!BI9,Scores_2014_N!BI9,Scores_2017!BI9)</f>
        <v>50</v>
      </c>
      <c r="BJ9" s="561">
        <f>CHOOSE(uxb_works!$B$46,Scores_2014_O!BJ9,Scores_2014_N!BJ9,Scores_2017!BJ9)</f>
        <v>25</v>
      </c>
      <c r="BK9" s="561">
        <f>CHOOSE(uxb_works!$B$46,Scores_2014_O!BK9,Scores_2014_N!BK9,Scores_2017!BK9)</f>
        <v>100</v>
      </c>
      <c r="BL9" s="561">
        <f>CHOOSE(uxb_works!$B$46,Scores_2014_O!BL9,Scores_2014_N!BL9,Scores_2017!BL9)</f>
        <v>75</v>
      </c>
      <c r="BM9" s="561">
        <f>CHOOSE(uxb_works!$B$46,Scores_2014_O!BM9,Scores_2014_N!BM9,Scores_2017!BM9)</f>
        <v>75</v>
      </c>
      <c r="BN9" s="561">
        <f>CHOOSE(uxb_works!$B$46,Scores_2014_O!BN9,Scores_2014_N!BN9,Scores_2017!BN9)</f>
        <v>75</v>
      </c>
      <c r="BO9" s="561">
        <f>CHOOSE(uxb_works!$B$46,Scores_2014_O!BO9,Scores_2014_N!BO9,Scores_2017!BO9)</f>
        <v>100</v>
      </c>
      <c r="BP9" s="561">
        <f>CHOOSE(uxb_works!$B$46,Scores_2014_O!BP9,Scores_2014_N!BP9,Scores_2017!BP9)</f>
        <v>75</v>
      </c>
      <c r="BQ9" s="561">
        <f>CHOOSE(uxb_works!$B$46,Scores_2014_O!BQ9,Scores_2014_N!BQ9,Scores_2017!BQ9)</f>
        <v>0</v>
      </c>
      <c r="BR9" s="561">
        <f>CHOOSE(uxb_works!$B$46,Scores_2014_O!BR9,Scores_2014_N!BR9,Scores_2017!BR9)</f>
        <v>75</v>
      </c>
      <c r="BS9" s="561">
        <f>CHOOSE(uxb_works!$B$46,Scores_2014_O!BS9,Scores_2014_N!BS9,Scores_2017!BS9)</f>
        <v>100</v>
      </c>
      <c r="BT9" s="561">
        <f>CHOOSE(uxb_works!$B$46,Scores_2014_O!BT9,Scores_2014_N!BT9,Scores_2017!BT9)</f>
        <v>100</v>
      </c>
      <c r="BU9" s="561">
        <f>CHOOSE(uxb_works!$B$46,Scores_2014_O!BU9,Scores_2014_N!BU9,Scores_2017!BU9)</f>
        <v>75</v>
      </c>
      <c r="BV9" s="561">
        <f>CHOOSE(uxb_works!$B$46,Scores_2014_O!BV9,Scores_2014_N!BV9,Scores_2017!BV9)</f>
        <v>0</v>
      </c>
      <c r="BW9" s="561">
        <f>CHOOSE(uxb_works!$B$46,Scores_2014_O!BW9,Scores_2014_N!BW9,Scores_2017!BW9)</f>
        <v>75</v>
      </c>
      <c r="BX9" s="561">
        <f>CHOOSE(uxb_works!$B$46,Scores_2014_O!BX9,Scores_2014_N!BX9,Scores_2017!BX9)</f>
        <v>75</v>
      </c>
      <c r="BY9"/>
      <c r="BZ9" s="214"/>
      <c r="CA9" s="214"/>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69" customFormat="1" ht="24.95" customHeight="1" spans="1:130">
      <c r="A10"/>
      <c r="B10" s="92">
        <f>tblIndicators!A6</f>
        <v>5</v>
      </c>
      <c r="C10" s="92"/>
      <c r="D10" s="92"/>
      <c r="E10" s="92"/>
      <c r="F10" s="92">
        <f>CHOOSE(uxb_works!$B$46,Scores_2014_O!F10,Scores_2014_N!F10,Scores_2017!F10)</f>
        <v>3</v>
      </c>
      <c r="G10" s="92"/>
      <c r="H10" s="92"/>
      <c r="I10" s="104"/>
      <c r="J10" s="92"/>
      <c r="K10" s="92"/>
      <c r="L10" s="165"/>
      <c r="M10" s="92"/>
      <c r="N10" s="105" t="str">
        <f>REPT(" ",F10)&amp;CHOOSE(uxb_works!$B$46,Scores_2014_O!N10,Scores_2014_N!N10,Scores_2017!N10)</f>
        <v>      1.1.2) Citizen awareness of digital threats</v>
      </c>
      <c r="O10" s="556">
        <f>CHOOSE(uxb_works!$B$46,Scores_2014_O!O10,Scores_2014_N!O10,Scores_2017!O10)</f>
        <v>0.2</v>
      </c>
      <c r="P10" s="557">
        <f>CHOOSE(uxb_works!$B$46,Scores_2014_O!P10,Scores_2014_N!P10,Scores_2017!P10)</f>
        <v>66.6666666666667</v>
      </c>
      <c r="Q10" s="561">
        <f>CHOOSE(uxb_works!$B$46,Scores_2014_O!Q10,Scores_2014_N!Q10,Scores_2017!Q10)</f>
        <v>100</v>
      </c>
      <c r="R10" s="561">
        <f>CHOOSE(uxb_works!$B$46,Scores_2014_O!R10,Scores_2014_N!R10,Scores_2017!R10)</f>
        <v>100</v>
      </c>
      <c r="S10" s="561">
        <f>CHOOSE(uxb_works!$B$46,Scores_2014_O!S10,Scores_2014_N!S10,Scores_2017!S10)</f>
        <v>66.6666666666667</v>
      </c>
      <c r="T10" s="561">
        <f>CHOOSE(uxb_works!$B$46,Scores_2014_O!T10,Scores_2014_N!T10,Scores_2017!T10)</f>
        <v>100</v>
      </c>
      <c r="U10" s="561">
        <f>CHOOSE(uxb_works!$B$46,Scores_2014_O!U10,Scores_2014_N!U10,Scores_2017!U10)</f>
        <v>66.6666666666667</v>
      </c>
      <c r="V10" s="561">
        <f>CHOOSE(uxb_works!$B$46,Scores_2014_O!V10,Scores_2014_N!V10,Scores_2017!V10)</f>
        <v>33.3333333333333</v>
      </c>
      <c r="W10" s="561">
        <f>CHOOSE(uxb_works!$B$46,Scores_2014_O!W10,Scores_2014_N!W10,Scores_2017!W10)</f>
        <v>100</v>
      </c>
      <c r="X10" s="561">
        <f>CHOOSE(uxb_works!$B$46,Scores_2014_O!X10,Scores_2014_N!X10,Scores_2017!X10)</f>
        <v>33.3333333333333</v>
      </c>
      <c r="Y10" s="561">
        <f>CHOOSE(uxb_works!$B$46,Scores_2014_O!Z10,Scores_2014_N!Y10,Scores_2017!Y10)</f>
        <v>33.3333333333333</v>
      </c>
      <c r="Z10" s="561">
        <f>CHOOSE(uxb_works!$B$46,Scores_2014_O!AA10,Scores_2014_N!Z10,Scores_2017!Z10)</f>
        <v>33.3333333333333</v>
      </c>
      <c r="AA10" s="561">
        <f>CHOOSE(uxb_works!$B$46,Scores_2014_O!AB10,Scores_2014_N!AA10,Scores_2017!AA10)</f>
        <v>33.3333333333333</v>
      </c>
      <c r="AB10" s="561">
        <f>CHOOSE(uxb_works!$B$46,Scores_2014_O!AC10,Scores_2014_N!AB10,Scores_2017!AB10)</f>
        <v>100</v>
      </c>
      <c r="AC10" s="561">
        <f>CHOOSE(uxb_works!$B$46,Scores_2014_O!AD10,Scores_2014_N!AC10,Scores_2017!AC10)</f>
        <v>100</v>
      </c>
      <c r="AD10" s="561">
        <f>CHOOSE(uxb_works!$B$46,Scores_2014_O!AE10,Scores_2014_N!AD10,Scores_2017!AD10)</f>
        <v>66.6666666666667</v>
      </c>
      <c r="AE10" s="561">
        <f>CHOOSE(uxb_works!$B$46,Scores_2014_O!AF10,Scores_2014_N!AE10,Scores_2017!AE10)</f>
        <v>33.3333333333333</v>
      </c>
      <c r="AF10" s="561">
        <f>CHOOSE(uxb_works!$B$46,Scores_2014_O!AG10,Scores_2014_N!AF10,Scores_2017!AF10)</f>
        <v>66.6666666666667</v>
      </c>
      <c r="AG10" s="561">
        <f>CHOOSE(uxb_works!$B$46,Scores_2014_O!AH10,Scores_2014_N!AG10,Scores_2017!AG10)</f>
        <v>100</v>
      </c>
      <c r="AH10" s="561">
        <f>CHOOSE(uxb_works!$B$46,Scores_2014_O!AI10,Scores_2014_N!AH10,Scores_2017!AH10)</f>
        <v>33.3333333333333</v>
      </c>
      <c r="AI10" s="561">
        <f>CHOOSE(uxb_works!$B$46,Scores_2014_O!AJ10,Scores_2014_N!AI10,Scores_2017!AI10)</f>
        <v>100</v>
      </c>
      <c r="AJ10" s="561">
        <f>CHOOSE(uxb_works!$B$46,Scores_2014_O!AK10,Scores_2014_N!AJ10,Scores_2017!AJ10)</f>
        <v>100</v>
      </c>
      <c r="AK10" s="561">
        <f>CHOOSE(uxb_works!$B$46,Scores_2014_O!AL10,Scores_2014_N!AK10,Scores_2017!AK10)</f>
        <v>66.6666666666667</v>
      </c>
      <c r="AL10" s="561">
        <f>CHOOSE(uxb_works!$B$46,Scores_2014_O!AM10,Scores_2014_N!AL10,Scores_2017!AL10)</f>
        <v>66.6666666666667</v>
      </c>
      <c r="AM10" s="561">
        <f>CHOOSE(uxb_works!$B$46,Scores_2014_O!AN10,Scores_2014_N!AM10,Scores_2017!AM10)</f>
        <v>66.6666666666667</v>
      </c>
      <c r="AN10" s="561">
        <f>CHOOSE(uxb_works!$B$46,Scores_2014_O!AO10,Scores_2014_N!AN10,Scores_2017!AN10)</f>
        <v>100</v>
      </c>
      <c r="AO10" s="561">
        <f>CHOOSE(uxb_works!$B$46,Scores_2014_O!AP10,Scores_2014_N!AO10,Scores_2017!AO10)</f>
        <v>66.6666666666667</v>
      </c>
      <c r="AP10" s="561">
        <f>CHOOSE(uxb_works!$B$46,Scores_2014_O!AQ10,Scores_2014_N!AP10,Scores_2017!AP10)</f>
        <v>33.3333333333333</v>
      </c>
      <c r="AQ10" s="561">
        <f>CHOOSE(uxb_works!$B$46,Scores_2014_O!Y10,Scores_2014_N!AQ10,Scores_2017!AQ10)</f>
        <v>66.6666666666667</v>
      </c>
      <c r="AR10" s="561">
        <f>CHOOSE(uxb_works!$B$46,Scores_2014_O!AR10,Scores_2014_N!AR10,Scores_2017!AR10)</f>
        <v>100</v>
      </c>
      <c r="AS10" s="561">
        <f>CHOOSE(uxb_works!$B$46,Scores_2014_O!AS10,Scores_2014_N!AS10,Scores_2017!AS10)</f>
        <v>100</v>
      </c>
      <c r="AT10" s="561">
        <f>CHOOSE(uxb_works!$B$46,Scores_2014_O!AT10,Scores_2014_N!AT10,Scores_2017!AT10)</f>
        <v>100</v>
      </c>
      <c r="AU10" s="561">
        <f>CHOOSE(uxb_works!$B$46,Scores_2014_O!AU10,Scores_2014_N!AU10,Scores_2017!AU10)</f>
        <v>33.3333333333333</v>
      </c>
      <c r="AV10" s="561">
        <f>CHOOSE(uxb_works!$B$46,Scores_2014_O!AV10,Scores_2014_N!AV10,Scores_2017!AV10)</f>
        <v>100</v>
      </c>
      <c r="AW10" s="561">
        <f>CHOOSE(uxb_works!$B$46,Scores_2014_O!AW10,Scores_2014_N!AW10,Scores_2017!AW10)</f>
        <v>66.6666666666667</v>
      </c>
      <c r="AX10" s="561">
        <f>CHOOSE(uxb_works!$B$46,Scores_2014_O!AX10,Scores_2014_N!AX10,Scores_2017!AX10)</f>
        <v>66.6666666666667</v>
      </c>
      <c r="AY10" s="561">
        <f>CHOOSE(uxb_works!$B$46,Scores_2014_O!AY10,Scores_2014_N!AY10,Scores_2017!AY10)</f>
        <v>33.3333333333333</v>
      </c>
      <c r="AZ10" s="561">
        <f>CHOOSE(uxb_works!$B$46,Scores_2014_O!AZ10,Scores_2014_N!AZ10,Scores_2017!AZ10)</f>
        <v>66.6666666666667</v>
      </c>
      <c r="BA10" s="561">
        <f>CHOOSE(uxb_works!$B$46,Scores_2014_O!BA10,Scores_2014_N!BA10,Scores_2017!BA10)</f>
        <v>100</v>
      </c>
      <c r="BB10" s="561">
        <f>CHOOSE(uxb_works!$B$46,Scores_2014_O!BB10,Scores_2014_N!BB10,Scores_2017!BB10)</f>
        <v>66.6666666666667</v>
      </c>
      <c r="BC10" s="561">
        <f>CHOOSE(uxb_works!$B$46,Scores_2014_O!BC10,Scores_2014_N!BC10,Scores_2017!BC10)</f>
        <v>66.6666666666667</v>
      </c>
      <c r="BD10" s="561">
        <f>CHOOSE(uxb_works!$B$46,Scores_2014_O!BD10,Scores_2014_N!BD10,Scores_2017!BD10)</f>
        <v>66.6666666666667</v>
      </c>
      <c r="BE10" s="561">
        <f>CHOOSE(uxb_works!$B$46,Scores_2014_O!BE10,Scores_2014_N!BE10,Scores_2017!BE10)</f>
        <v>66.6666666666667</v>
      </c>
      <c r="BF10" s="561">
        <f>CHOOSE(uxb_works!$B$46,Scores_2014_O!BF10,Scores_2014_N!BF10,Scores_2017!BF10)</f>
        <v>66.6666666666667</v>
      </c>
      <c r="BG10" s="561">
        <f>CHOOSE(uxb_works!$B$46,Scores_2014_O!BG10,Scores_2014_N!BG10,Scores_2017!BG10)</f>
        <v>100</v>
      </c>
      <c r="BH10" s="561">
        <f>CHOOSE(uxb_works!$B$46,Scores_2014_O!BH10,Scores_2014_N!BH10,Scores_2017!BH10)</f>
        <v>100</v>
      </c>
      <c r="BI10" s="561">
        <f>CHOOSE(uxb_works!$B$46,Scores_2014_O!BI10,Scores_2014_N!BI10,Scores_2017!BI10)</f>
        <v>66.6666666666667</v>
      </c>
      <c r="BJ10" s="561">
        <f>CHOOSE(uxb_works!$B$46,Scores_2014_O!BJ10,Scores_2014_N!BJ10,Scores_2017!BJ10)</f>
        <v>66.6666666666667</v>
      </c>
      <c r="BK10" s="561">
        <f>CHOOSE(uxb_works!$B$46,Scores_2014_O!BK10,Scores_2014_N!BK10,Scores_2017!BK10)</f>
        <v>33.3333333333333</v>
      </c>
      <c r="BL10" s="561">
        <f>CHOOSE(uxb_works!$B$46,Scores_2014_O!BL10,Scores_2014_N!BL10,Scores_2017!BL10)</f>
        <v>66.6666666666667</v>
      </c>
      <c r="BM10" s="561">
        <f>CHOOSE(uxb_works!$B$46,Scores_2014_O!BM10,Scores_2014_N!BM10,Scores_2017!BM10)</f>
        <v>100</v>
      </c>
      <c r="BN10" s="561">
        <f>CHOOSE(uxb_works!$B$46,Scores_2014_O!BN10,Scores_2014_N!BN10,Scores_2017!BN10)</f>
        <v>100</v>
      </c>
      <c r="BO10" s="561">
        <f>CHOOSE(uxb_works!$B$46,Scores_2014_O!BO10,Scores_2014_N!BO10,Scores_2017!BO10)</f>
        <v>100</v>
      </c>
      <c r="BP10" s="561">
        <f>CHOOSE(uxb_works!$B$46,Scores_2014_O!BP10,Scores_2014_N!BP10,Scores_2017!BP10)</f>
        <v>66.6666666666667</v>
      </c>
      <c r="BQ10" s="561">
        <f>CHOOSE(uxb_works!$B$46,Scores_2014_O!BQ10,Scores_2014_N!BQ10,Scores_2017!BQ10)</f>
        <v>33.3333333333333</v>
      </c>
      <c r="BR10" s="561">
        <f>CHOOSE(uxb_works!$B$46,Scores_2014_O!BR10,Scores_2014_N!BR10,Scores_2017!BR10)</f>
        <v>66.6666666666667</v>
      </c>
      <c r="BS10" s="561">
        <f>CHOOSE(uxb_works!$B$46,Scores_2014_O!BS10,Scores_2014_N!BS10,Scores_2017!BS10)</f>
        <v>100</v>
      </c>
      <c r="BT10" s="561">
        <f>CHOOSE(uxb_works!$B$46,Scores_2014_O!BT10,Scores_2014_N!BT10,Scores_2017!BT10)</f>
        <v>100</v>
      </c>
      <c r="BU10" s="561">
        <f>CHOOSE(uxb_works!$B$46,Scores_2014_O!BU10,Scores_2014_N!BU10,Scores_2017!BU10)</f>
        <v>66.6666666666667</v>
      </c>
      <c r="BV10" s="561">
        <f>CHOOSE(uxb_works!$B$46,Scores_2014_O!BV10,Scores_2014_N!BV10,Scores_2017!BV10)</f>
        <v>33.3333333333333</v>
      </c>
      <c r="BW10" s="561">
        <f>CHOOSE(uxb_works!$B$46,Scores_2014_O!BW10,Scores_2014_N!BW10,Scores_2017!BW10)</f>
        <v>100</v>
      </c>
      <c r="BX10" s="561">
        <f>CHOOSE(uxb_works!$B$46,Scores_2014_O!BX10,Scores_2014_N!BX10,Scores_2017!BX10)</f>
        <v>66.6666666666667</v>
      </c>
      <c r="BY10"/>
      <c r="BZ10" s="214"/>
      <c r="CA10" s="214"/>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row>
    <row r="11" s="69" customFormat="1" ht="24.95" customHeight="1" spans="1:130">
      <c r="A11"/>
      <c r="B11" s="92">
        <f>tblIndicators!A7</f>
        <v>6</v>
      </c>
      <c r="C11" s="92"/>
      <c r="D11" s="92"/>
      <c r="E11" s="92"/>
      <c r="F11" s="92">
        <f>CHOOSE(uxb_works!$B$46,Scores_2014_O!F11,Scores_2014_N!F11,Scores_2017!F11)</f>
        <v>3</v>
      </c>
      <c r="G11" s="92"/>
      <c r="H11" s="92"/>
      <c r="I11" s="104"/>
      <c r="J11" s="92"/>
      <c r="K11" s="92"/>
      <c r="L11" s="165"/>
      <c r="M11" s="92"/>
      <c r="N11" s="105" t="str">
        <f>REPT(" ",F11)&amp;CHOOSE(uxb_works!$B$46,Scores_2014_O!N11,Scores_2014_N!N11,Scores_2017!N11)</f>
        <v>      1.1.3) Public-private partnerships</v>
      </c>
      <c r="O11" s="556">
        <f>CHOOSE(uxb_works!$B$46,Scores_2014_O!O11,Scores_2014_N!O11,Scores_2017!O11)</f>
        <v>0.2</v>
      </c>
      <c r="P11" s="557">
        <f>CHOOSE(uxb_works!$B$46,Scores_2014_O!P11,Scores_2014_N!P11,Scores_2017!P11)</f>
        <v>50</v>
      </c>
      <c r="Q11" s="561">
        <f>CHOOSE(uxb_works!$B$46,Scores_2014_O!Q11,Scores_2014_N!Q11,Scores_2017!Q11)</f>
        <v>50</v>
      </c>
      <c r="R11" s="561">
        <f>CHOOSE(uxb_works!$B$46,Scores_2014_O!R11,Scores_2014_N!R11,Scores_2017!R11)</f>
        <v>0</v>
      </c>
      <c r="S11" s="561">
        <f>CHOOSE(uxb_works!$B$46,Scores_2014_O!S11,Scores_2014_N!S11,Scores_2017!S11)</f>
        <v>0</v>
      </c>
      <c r="T11" s="561">
        <f>CHOOSE(uxb_works!$B$46,Scores_2014_O!T11,Scores_2014_N!T11,Scores_2017!T11)</f>
        <v>50</v>
      </c>
      <c r="U11" s="561">
        <f>CHOOSE(uxb_works!$B$46,Scores_2014_O!U11,Scores_2014_N!U11,Scores_2017!U11)</f>
        <v>0</v>
      </c>
      <c r="V11" s="561">
        <f>CHOOSE(uxb_works!$B$46,Scores_2014_O!V11,Scores_2014_N!V11,Scores_2017!V11)</f>
        <v>0</v>
      </c>
      <c r="W11" s="561">
        <f>CHOOSE(uxb_works!$B$46,Scores_2014_O!W11,Scores_2014_N!W11,Scores_2017!W11)</f>
        <v>50</v>
      </c>
      <c r="X11" s="561">
        <f>CHOOSE(uxb_works!$B$46,Scores_2014_O!X11,Scores_2014_N!X11,Scores_2017!X11)</f>
        <v>50</v>
      </c>
      <c r="Y11" s="561">
        <f>CHOOSE(uxb_works!$B$46,Scores_2014_O!Z11,Scores_2014_N!Y11,Scores_2017!Y11)</f>
        <v>0</v>
      </c>
      <c r="Z11" s="561">
        <f>CHOOSE(uxb_works!$B$46,Scores_2014_O!AA11,Scores_2014_N!Z11,Scores_2017!Z11)</f>
        <v>50</v>
      </c>
      <c r="AA11" s="561">
        <f>CHOOSE(uxb_works!$B$46,Scores_2014_O!AB11,Scores_2014_N!AA11,Scores_2017!AA11)</f>
        <v>0</v>
      </c>
      <c r="AB11" s="561">
        <f>CHOOSE(uxb_works!$B$46,Scores_2014_O!AC11,Scores_2014_N!AB11,Scores_2017!AB11)</f>
        <v>100</v>
      </c>
      <c r="AC11" s="561">
        <f>CHOOSE(uxb_works!$B$46,Scores_2014_O!AD11,Scores_2014_N!AC11,Scores_2017!AC11)</f>
        <v>100</v>
      </c>
      <c r="AD11" s="561">
        <f>CHOOSE(uxb_works!$B$46,Scores_2014_O!AE11,Scores_2014_N!AD11,Scores_2017!AD11)</f>
        <v>50</v>
      </c>
      <c r="AE11" s="561">
        <f>CHOOSE(uxb_works!$B$46,Scores_2014_O!AF11,Scores_2014_N!AE11,Scores_2017!AE11)</f>
        <v>50</v>
      </c>
      <c r="AF11" s="561">
        <f>CHOOSE(uxb_works!$B$46,Scores_2014_O!AG11,Scores_2014_N!AF11,Scores_2017!AF11)</f>
        <v>50</v>
      </c>
      <c r="AG11" s="561">
        <f>CHOOSE(uxb_works!$B$46,Scores_2014_O!AH11,Scores_2014_N!AG11,Scores_2017!AG11)</f>
        <v>50</v>
      </c>
      <c r="AH11" s="561">
        <f>CHOOSE(uxb_works!$B$46,Scores_2014_O!AI11,Scores_2014_N!AH11,Scores_2017!AH11)</f>
        <v>0</v>
      </c>
      <c r="AI11" s="561">
        <f>CHOOSE(uxb_works!$B$46,Scores_2014_O!AJ11,Scores_2014_N!AI11,Scores_2017!AI11)</f>
        <v>100</v>
      </c>
      <c r="AJ11" s="561">
        <f>CHOOSE(uxb_works!$B$46,Scores_2014_O!AK11,Scores_2014_N!AJ11,Scores_2017!AJ11)</f>
        <v>50</v>
      </c>
      <c r="AK11" s="561">
        <f>CHOOSE(uxb_works!$B$46,Scores_2014_O!AL11,Scores_2014_N!AK11,Scores_2017!AK11)</f>
        <v>0</v>
      </c>
      <c r="AL11" s="561">
        <f>CHOOSE(uxb_works!$B$46,Scores_2014_O!AM11,Scores_2014_N!AL11,Scores_2017!AL11)</f>
        <v>0</v>
      </c>
      <c r="AM11" s="561">
        <f>CHOOSE(uxb_works!$B$46,Scores_2014_O!AN11,Scores_2014_N!AM11,Scores_2017!AM11)</f>
        <v>50</v>
      </c>
      <c r="AN11" s="561">
        <f>CHOOSE(uxb_works!$B$46,Scores_2014_O!AO11,Scores_2014_N!AN11,Scores_2017!AN11)</f>
        <v>0</v>
      </c>
      <c r="AO11" s="561">
        <f>CHOOSE(uxb_works!$B$46,Scores_2014_O!AP11,Scores_2014_N!AO11,Scores_2017!AO11)</f>
        <v>50</v>
      </c>
      <c r="AP11" s="561">
        <f>CHOOSE(uxb_works!$B$46,Scores_2014_O!AQ11,Scores_2014_N!AP11,Scores_2017!AP11)</f>
        <v>0</v>
      </c>
      <c r="AQ11" s="561">
        <f>CHOOSE(uxb_works!$B$46,Scores_2014_O!Y11,Scores_2014_N!AQ11,Scores_2017!AQ11)</f>
        <v>50</v>
      </c>
      <c r="AR11" s="561">
        <f>CHOOSE(uxb_works!$B$46,Scores_2014_O!AR11,Scores_2014_N!AR11,Scores_2017!AR11)</f>
        <v>50</v>
      </c>
      <c r="AS11" s="561">
        <f>CHOOSE(uxb_works!$B$46,Scores_2014_O!AS11,Scores_2014_N!AS11,Scores_2017!AS11)</f>
        <v>100</v>
      </c>
      <c r="AT11" s="561">
        <f>CHOOSE(uxb_works!$B$46,Scores_2014_O!AT11,Scores_2014_N!AT11,Scores_2017!AT11)</f>
        <v>50</v>
      </c>
      <c r="AU11" s="561">
        <f>CHOOSE(uxb_works!$B$46,Scores_2014_O!AU11,Scores_2014_N!AU11,Scores_2017!AU11)</f>
        <v>50</v>
      </c>
      <c r="AV11" s="561">
        <f>CHOOSE(uxb_works!$B$46,Scores_2014_O!AV11,Scores_2014_N!AV11,Scores_2017!AV11)</f>
        <v>50</v>
      </c>
      <c r="AW11" s="561">
        <f>CHOOSE(uxb_works!$B$46,Scores_2014_O!AW11,Scores_2014_N!AW11,Scores_2017!AW11)</f>
        <v>50</v>
      </c>
      <c r="AX11" s="561">
        <f>CHOOSE(uxb_works!$B$46,Scores_2014_O!AX11,Scores_2014_N!AX11,Scores_2017!AX11)</f>
        <v>100</v>
      </c>
      <c r="AY11" s="561">
        <f>CHOOSE(uxb_works!$B$46,Scores_2014_O!AY11,Scores_2014_N!AY11,Scores_2017!AY11)</f>
        <v>0</v>
      </c>
      <c r="AZ11" s="561">
        <f>CHOOSE(uxb_works!$B$46,Scores_2014_O!AZ11,Scores_2014_N!AZ11,Scores_2017!AZ11)</f>
        <v>50</v>
      </c>
      <c r="BA11" s="561">
        <f>CHOOSE(uxb_works!$B$46,Scores_2014_O!BA11,Scores_2014_N!BA11,Scores_2017!BA11)</f>
        <v>100</v>
      </c>
      <c r="BB11" s="561">
        <f>CHOOSE(uxb_works!$B$46,Scores_2014_O!BB11,Scores_2014_N!BB11,Scores_2017!BB11)</f>
        <v>50</v>
      </c>
      <c r="BC11" s="561">
        <f>CHOOSE(uxb_works!$B$46,Scores_2014_O!BC11,Scores_2014_N!BC11,Scores_2017!BC11)</f>
        <v>50</v>
      </c>
      <c r="BD11" s="561">
        <f>CHOOSE(uxb_works!$B$46,Scores_2014_O!BD11,Scores_2014_N!BD11,Scores_2017!BD11)</f>
        <v>50</v>
      </c>
      <c r="BE11" s="561">
        <f>CHOOSE(uxb_works!$B$46,Scores_2014_O!BE11,Scores_2014_N!BE11,Scores_2017!BE11)</f>
        <v>0</v>
      </c>
      <c r="BF11" s="561">
        <f>CHOOSE(uxb_works!$B$46,Scores_2014_O!BF11,Scores_2014_N!BF11,Scores_2017!BF11)</f>
        <v>0</v>
      </c>
      <c r="BG11" s="561">
        <f>CHOOSE(uxb_works!$B$46,Scores_2014_O!BG11,Scores_2014_N!BG11,Scores_2017!BG11)</f>
        <v>50</v>
      </c>
      <c r="BH11" s="561">
        <f>CHOOSE(uxb_works!$B$46,Scores_2014_O!BH11,Scores_2014_N!BH11,Scores_2017!BH11)</f>
        <v>100</v>
      </c>
      <c r="BI11" s="561">
        <f>CHOOSE(uxb_works!$B$46,Scores_2014_O!BI11,Scores_2014_N!BI11,Scores_2017!BI11)</f>
        <v>50</v>
      </c>
      <c r="BJ11" s="561">
        <f>CHOOSE(uxb_works!$B$46,Scores_2014_O!BJ11,Scores_2014_N!BJ11,Scores_2017!BJ11)</f>
        <v>0</v>
      </c>
      <c r="BK11" s="561">
        <f>CHOOSE(uxb_works!$B$46,Scores_2014_O!BK11,Scores_2014_N!BK11,Scores_2017!BK11)</f>
        <v>50</v>
      </c>
      <c r="BL11" s="561">
        <f>CHOOSE(uxb_works!$B$46,Scores_2014_O!BL11,Scores_2014_N!BL11,Scores_2017!BL11)</f>
        <v>0</v>
      </c>
      <c r="BM11" s="561">
        <f>CHOOSE(uxb_works!$B$46,Scores_2014_O!BM11,Scores_2014_N!BM11,Scores_2017!BM11)</f>
        <v>100</v>
      </c>
      <c r="BN11" s="561">
        <f>CHOOSE(uxb_works!$B$46,Scores_2014_O!BN11,Scores_2014_N!BN11,Scores_2017!BN11)</f>
        <v>50</v>
      </c>
      <c r="BO11" s="561">
        <f>CHOOSE(uxb_works!$B$46,Scores_2014_O!BO11,Scores_2014_N!BO11,Scores_2017!BO11)</f>
        <v>50</v>
      </c>
      <c r="BP11" s="561">
        <f>CHOOSE(uxb_works!$B$46,Scores_2014_O!BP11,Scores_2014_N!BP11,Scores_2017!BP11)</f>
        <v>100</v>
      </c>
      <c r="BQ11" s="561">
        <f>CHOOSE(uxb_works!$B$46,Scores_2014_O!BQ11,Scores_2014_N!BQ11,Scores_2017!BQ11)</f>
        <v>0</v>
      </c>
      <c r="BR11" s="561">
        <f>CHOOSE(uxb_works!$B$46,Scores_2014_O!BR11,Scores_2014_N!BR11,Scores_2017!BR11)</f>
        <v>100</v>
      </c>
      <c r="BS11" s="561">
        <f>CHOOSE(uxb_works!$B$46,Scores_2014_O!BS11,Scores_2014_N!BS11,Scores_2017!BS11)</f>
        <v>50</v>
      </c>
      <c r="BT11" s="561">
        <f>CHOOSE(uxb_works!$B$46,Scores_2014_O!BT11,Scores_2014_N!BT11,Scores_2017!BT11)</f>
        <v>50</v>
      </c>
      <c r="BU11" s="561">
        <f>CHOOSE(uxb_works!$B$46,Scores_2014_O!BU11,Scores_2014_N!BU11,Scores_2017!BU11)</f>
        <v>50</v>
      </c>
      <c r="BV11" s="561">
        <f>CHOOSE(uxb_works!$B$46,Scores_2014_O!BV11,Scores_2014_N!BV11,Scores_2017!BV11)</f>
        <v>0</v>
      </c>
      <c r="BW11" s="561">
        <f>CHOOSE(uxb_works!$B$46,Scores_2014_O!BW11,Scores_2014_N!BW11,Scores_2017!BW11)</f>
        <v>50</v>
      </c>
      <c r="BX11" s="561">
        <f>CHOOSE(uxb_works!$B$46,Scores_2014_O!BX11,Scores_2014_N!BX11,Scores_2017!BX11)</f>
        <v>50</v>
      </c>
      <c r="BY11"/>
      <c r="BZ11" s="214"/>
      <c r="CA11" s="214"/>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row>
    <row r="12" s="69" customFormat="1" ht="24.95" customHeight="1" spans="1:130">
      <c r="A12"/>
      <c r="B12" s="92">
        <f>tblIndicators!A8</f>
        <v>7</v>
      </c>
      <c r="C12" s="92"/>
      <c r="D12" s="92"/>
      <c r="E12" s="92"/>
      <c r="F12" s="92">
        <f>CHOOSE(uxb_works!$B$46,Scores_2014_O!F12,Scores_2014_N!F12,Scores_2017!F12)</f>
        <v>3</v>
      </c>
      <c r="G12" s="92"/>
      <c r="H12" s="92"/>
      <c r="I12" s="104"/>
      <c r="J12" s="92"/>
      <c r="K12" s="92"/>
      <c r="L12" s="165"/>
      <c r="M12" s="92"/>
      <c r="N12" s="105" t="str">
        <f>REPT(" ",F12)&amp;CHOOSE(uxb_works!$B$46,Scores_2014_O!N12,Scores_2014_N!N12,Scores_2017!N12)</f>
        <v>      1.1.4) Level of technology employed</v>
      </c>
      <c r="O12" s="556">
        <f>CHOOSE(uxb_works!$B$46,Scores_2014_O!O12,Scores_2014_N!O12,Scores_2017!O12)</f>
        <v>0.2</v>
      </c>
      <c r="P12" s="557">
        <f>CHOOSE(uxb_works!$B$46,Scores_2014_O!P12,Scores_2014_N!P12,Scores_2017!P12)</f>
        <v>100</v>
      </c>
      <c r="Q12" s="561">
        <f>CHOOSE(uxb_works!$B$46,Scores_2014_O!Q12,Scores_2014_N!Q12,Scores_2017!Q12)</f>
        <v>100</v>
      </c>
      <c r="R12" s="561">
        <f>CHOOSE(uxb_works!$B$46,Scores_2014_O!R12,Scores_2014_N!R12,Scores_2017!R12)</f>
        <v>75</v>
      </c>
      <c r="S12" s="561">
        <f>CHOOSE(uxb_works!$B$46,Scores_2014_O!S12,Scores_2014_N!S12,Scores_2017!S12)</f>
        <v>0</v>
      </c>
      <c r="T12" s="561">
        <f>CHOOSE(uxb_works!$B$46,Scores_2014_O!T12,Scores_2014_N!T12,Scores_2017!T12)</f>
        <v>100</v>
      </c>
      <c r="U12" s="561">
        <f>CHOOSE(uxb_works!$B$46,Scores_2014_O!U12,Scores_2014_N!U12,Scores_2017!U12)</f>
        <v>75</v>
      </c>
      <c r="V12" s="561">
        <f>CHOOSE(uxb_works!$B$46,Scores_2014_O!V12,Scores_2014_N!V12,Scores_2017!V12)</f>
        <v>75</v>
      </c>
      <c r="W12" s="561">
        <f>CHOOSE(uxb_works!$B$46,Scores_2014_O!W12,Scores_2014_N!W12,Scores_2017!W12)</f>
        <v>100</v>
      </c>
      <c r="X12" s="561">
        <f>CHOOSE(uxb_works!$B$46,Scores_2014_O!X12,Scores_2014_N!X12,Scores_2017!X12)</f>
        <v>75</v>
      </c>
      <c r="Y12" s="561">
        <f>CHOOSE(uxb_works!$B$46,Scores_2014_O!Z12,Scores_2014_N!Y12,Scores_2017!Y12)</f>
        <v>0</v>
      </c>
      <c r="Z12" s="561">
        <f>CHOOSE(uxb_works!$B$46,Scores_2014_O!AA12,Scores_2014_N!Z12,Scores_2017!Z12)</f>
        <v>75</v>
      </c>
      <c r="AA12" s="561">
        <f>CHOOSE(uxb_works!$B$46,Scores_2014_O!AB12,Scores_2014_N!AA12,Scores_2017!AA12)</f>
        <v>75</v>
      </c>
      <c r="AB12" s="561">
        <f>CHOOSE(uxb_works!$B$46,Scores_2014_O!AC12,Scores_2014_N!AB12,Scores_2017!AB12)</f>
        <v>100</v>
      </c>
      <c r="AC12" s="561">
        <f>CHOOSE(uxb_works!$B$46,Scores_2014_O!AD12,Scores_2014_N!AC12,Scores_2017!AC12)</f>
        <v>100</v>
      </c>
      <c r="AD12" s="561">
        <f>CHOOSE(uxb_works!$B$46,Scores_2014_O!AE12,Scores_2014_N!AD12,Scores_2017!AD12)</f>
        <v>75</v>
      </c>
      <c r="AE12" s="561">
        <f>CHOOSE(uxb_works!$B$46,Scores_2014_O!AF12,Scores_2014_N!AE12,Scores_2017!AE12)</f>
        <v>0</v>
      </c>
      <c r="AF12" s="561">
        <f>CHOOSE(uxb_works!$B$46,Scores_2014_O!AG12,Scores_2014_N!AF12,Scores_2017!AF12)</f>
        <v>75</v>
      </c>
      <c r="AG12" s="561">
        <f>CHOOSE(uxb_works!$B$46,Scores_2014_O!AH12,Scores_2014_N!AG12,Scores_2017!AG12)</f>
        <v>100</v>
      </c>
      <c r="AH12" s="561">
        <f>CHOOSE(uxb_works!$B$46,Scores_2014_O!AI12,Scores_2014_N!AH12,Scores_2017!AH12)</f>
        <v>0</v>
      </c>
      <c r="AI12" s="561">
        <f>CHOOSE(uxb_works!$B$46,Scores_2014_O!AJ12,Scores_2014_N!AI12,Scores_2017!AI12)</f>
        <v>100</v>
      </c>
      <c r="AJ12" s="561">
        <f>CHOOSE(uxb_works!$B$46,Scores_2014_O!AK12,Scores_2014_N!AJ12,Scores_2017!AJ12)</f>
        <v>75</v>
      </c>
      <c r="AK12" s="561">
        <f>CHOOSE(uxb_works!$B$46,Scores_2014_O!AL12,Scores_2014_N!AK12,Scores_2017!AK12)</f>
        <v>0</v>
      </c>
      <c r="AL12" s="561">
        <f>CHOOSE(uxb_works!$B$46,Scores_2014_O!AM12,Scores_2014_N!AL12,Scores_2017!AL12)</f>
        <v>75</v>
      </c>
      <c r="AM12" s="561">
        <f>CHOOSE(uxb_works!$B$46,Scores_2014_O!AN12,Scores_2014_N!AM12,Scores_2017!AM12)</f>
        <v>75</v>
      </c>
      <c r="AN12" s="561">
        <f>CHOOSE(uxb_works!$B$46,Scores_2014_O!AO12,Scores_2014_N!AN12,Scores_2017!AN12)</f>
        <v>0</v>
      </c>
      <c r="AO12" s="561">
        <f>CHOOSE(uxb_works!$B$46,Scores_2014_O!AP12,Scores_2014_N!AO12,Scores_2017!AO12)</f>
        <v>75</v>
      </c>
      <c r="AP12" s="561">
        <f>CHOOSE(uxb_works!$B$46,Scores_2014_O!AQ12,Scores_2014_N!AP12,Scores_2017!AP12)</f>
        <v>75</v>
      </c>
      <c r="AQ12" s="561">
        <f>CHOOSE(uxb_works!$B$46,Scores_2014_O!Y12,Scores_2014_N!AQ12,Scores_2017!AQ12)</f>
        <v>75</v>
      </c>
      <c r="AR12" s="561">
        <f>CHOOSE(uxb_works!$B$46,Scores_2014_O!AR12,Scores_2014_N!AR12,Scores_2017!AR12)</f>
        <v>100</v>
      </c>
      <c r="AS12" s="561">
        <f>CHOOSE(uxb_works!$B$46,Scores_2014_O!AS12,Scores_2014_N!AS12,Scores_2017!AS12)</f>
        <v>100</v>
      </c>
      <c r="AT12" s="561">
        <f>CHOOSE(uxb_works!$B$46,Scores_2014_O!AT12,Scores_2014_N!AT12,Scores_2017!AT12)</f>
        <v>100</v>
      </c>
      <c r="AU12" s="561">
        <f>CHOOSE(uxb_works!$B$46,Scores_2014_O!AU12,Scores_2014_N!AU12,Scores_2017!AU12)</f>
        <v>0</v>
      </c>
      <c r="AV12" s="561">
        <f>CHOOSE(uxb_works!$B$46,Scores_2014_O!AV12,Scores_2014_N!AV12,Scores_2017!AV12)</f>
        <v>100</v>
      </c>
      <c r="AW12" s="561">
        <f>CHOOSE(uxb_works!$B$46,Scores_2014_O!AW12,Scores_2014_N!AW12,Scores_2017!AW12)</f>
        <v>75</v>
      </c>
      <c r="AX12" s="561">
        <f>CHOOSE(uxb_works!$B$46,Scores_2014_O!AX12,Scores_2014_N!AX12,Scores_2017!AX12)</f>
        <v>100</v>
      </c>
      <c r="AY12" s="561">
        <f>CHOOSE(uxb_works!$B$46,Scores_2014_O!AY12,Scores_2014_N!AY12,Scores_2017!AY12)</f>
        <v>75</v>
      </c>
      <c r="AZ12" s="561">
        <f>CHOOSE(uxb_works!$B$46,Scores_2014_O!AZ12,Scores_2014_N!AZ12,Scores_2017!AZ12)</f>
        <v>75</v>
      </c>
      <c r="BA12" s="561">
        <f>CHOOSE(uxb_works!$B$46,Scores_2014_O!BA12,Scores_2014_N!BA12,Scores_2017!BA12)</f>
        <v>100</v>
      </c>
      <c r="BB12" s="561">
        <f>CHOOSE(uxb_works!$B$46,Scores_2014_O!BB12,Scores_2014_N!BB12,Scores_2017!BB12)</f>
        <v>100</v>
      </c>
      <c r="BC12" s="561">
        <f>CHOOSE(uxb_works!$B$46,Scores_2014_O!BC12,Scores_2014_N!BC12,Scores_2017!BC12)</f>
        <v>100</v>
      </c>
      <c r="BD12" s="561">
        <f>CHOOSE(uxb_works!$B$46,Scores_2014_O!BD12,Scores_2014_N!BD12,Scores_2017!BD12)</f>
        <v>75</v>
      </c>
      <c r="BE12" s="561">
        <f>CHOOSE(uxb_works!$B$46,Scores_2014_O!BE12,Scores_2014_N!BE12,Scores_2017!BE12)</f>
        <v>75</v>
      </c>
      <c r="BF12" s="561">
        <f>CHOOSE(uxb_works!$B$46,Scores_2014_O!BF12,Scores_2014_N!BF12,Scores_2017!BF12)</f>
        <v>75</v>
      </c>
      <c r="BG12" s="561">
        <f>CHOOSE(uxb_works!$B$46,Scores_2014_O!BG12,Scores_2014_N!BG12,Scores_2017!BG12)</f>
        <v>100</v>
      </c>
      <c r="BH12" s="561">
        <f>CHOOSE(uxb_works!$B$46,Scores_2014_O!BH12,Scores_2014_N!BH12,Scores_2017!BH12)</f>
        <v>100</v>
      </c>
      <c r="BI12" s="561">
        <f>CHOOSE(uxb_works!$B$46,Scores_2014_O!BI12,Scores_2014_N!BI12,Scores_2017!BI12)</f>
        <v>75</v>
      </c>
      <c r="BJ12" s="561">
        <f>CHOOSE(uxb_works!$B$46,Scores_2014_O!BJ12,Scores_2014_N!BJ12,Scores_2017!BJ12)</f>
        <v>75</v>
      </c>
      <c r="BK12" s="561">
        <f>CHOOSE(uxb_works!$B$46,Scores_2014_O!BK12,Scores_2014_N!BK12,Scores_2017!BK12)</f>
        <v>100</v>
      </c>
      <c r="BL12" s="561">
        <f>CHOOSE(uxb_works!$B$46,Scores_2014_O!BL12,Scores_2014_N!BL12,Scores_2017!BL12)</f>
        <v>75</v>
      </c>
      <c r="BM12" s="561">
        <f>CHOOSE(uxb_works!$B$46,Scores_2014_O!BM12,Scores_2014_N!BM12,Scores_2017!BM12)</f>
        <v>100</v>
      </c>
      <c r="BN12" s="561">
        <f>CHOOSE(uxb_works!$B$46,Scores_2014_O!BN12,Scores_2014_N!BN12,Scores_2017!BN12)</f>
        <v>100</v>
      </c>
      <c r="BO12" s="561">
        <f>CHOOSE(uxb_works!$B$46,Scores_2014_O!BO12,Scores_2014_N!BO12,Scores_2017!BO12)</f>
        <v>100</v>
      </c>
      <c r="BP12" s="561">
        <f>CHOOSE(uxb_works!$B$46,Scores_2014_O!BP12,Scores_2014_N!BP12,Scores_2017!BP12)</f>
        <v>100</v>
      </c>
      <c r="BQ12" s="561">
        <f>CHOOSE(uxb_works!$B$46,Scores_2014_O!BQ12,Scores_2014_N!BQ12,Scores_2017!BQ12)</f>
        <v>0</v>
      </c>
      <c r="BR12" s="561">
        <f>CHOOSE(uxb_works!$B$46,Scores_2014_O!BR12,Scores_2014_N!BR12,Scores_2017!BR12)</f>
        <v>100</v>
      </c>
      <c r="BS12" s="561">
        <f>CHOOSE(uxb_works!$B$46,Scores_2014_O!BS12,Scores_2014_N!BS12,Scores_2017!BS12)</f>
        <v>100</v>
      </c>
      <c r="BT12" s="561">
        <f>CHOOSE(uxb_works!$B$46,Scores_2014_O!BT12,Scores_2014_N!BT12,Scores_2017!BT12)</f>
        <v>100</v>
      </c>
      <c r="BU12" s="561">
        <f>CHOOSE(uxb_works!$B$46,Scores_2014_O!BU12,Scores_2014_N!BU12,Scores_2017!BU12)</f>
        <v>100</v>
      </c>
      <c r="BV12" s="561">
        <f>CHOOSE(uxb_works!$B$46,Scores_2014_O!BV12,Scores_2014_N!BV12,Scores_2017!BV12)</f>
        <v>0</v>
      </c>
      <c r="BW12" s="561">
        <f>CHOOSE(uxb_works!$B$46,Scores_2014_O!BW12,Scores_2014_N!BW12,Scores_2017!BW12)</f>
        <v>100</v>
      </c>
      <c r="BX12" s="561">
        <f>CHOOSE(uxb_works!$B$46,Scores_2014_O!BX12,Scores_2014_N!BX12,Scores_2017!BX12)</f>
        <v>100</v>
      </c>
      <c r="BY12"/>
      <c r="BZ12" s="214"/>
      <c r="CA12" s="214"/>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row>
    <row r="13" s="69" customFormat="1" ht="24.95" customHeight="1" spans="1:130">
      <c r="A13"/>
      <c r="B13" s="92">
        <f>tblIndicators!A9</f>
        <v>8</v>
      </c>
      <c r="C13" s="92"/>
      <c r="D13" s="92"/>
      <c r="E13" s="92"/>
      <c r="F13" s="92">
        <f>CHOOSE(uxb_works!$B$46,Scores_2014_O!F13,Scores_2014_N!F13,Scores_2017!F13)</f>
        <v>3</v>
      </c>
      <c r="G13" s="92"/>
      <c r="H13" s="92"/>
      <c r="I13" s="104"/>
      <c r="J13" s="92"/>
      <c r="K13" s="92"/>
      <c r="L13" s="165"/>
      <c r="M13" s="92"/>
      <c r="N13" s="105" t="str">
        <f>REPT(" ",F13)&amp;CHOOSE(uxb_works!$B$46,Scores_2014_O!N13,Scores_2014_N!N13,Scores_2017!N13)</f>
        <v>      1.1.5) Dedicated cyber security teams</v>
      </c>
      <c r="O13" s="556">
        <f>CHOOSE(uxb_works!$B$46,Scores_2014_O!O13,Scores_2014_N!O13,Scores_2017!O13)</f>
        <v>0.2</v>
      </c>
      <c r="P13" s="557">
        <f>CHOOSE(uxb_works!$B$46,Scores_2014_O!P13,Scores_2014_N!P13,Scores_2017!P13)</f>
        <v>50</v>
      </c>
      <c r="Q13" s="561">
        <f>CHOOSE(uxb_works!$B$46,Scores_2014_O!Q13,Scores_2014_N!Q13,Scores_2017!Q13)</f>
        <v>50</v>
      </c>
      <c r="R13" s="561">
        <f>CHOOSE(uxb_works!$B$46,Scores_2014_O!R13,Scores_2014_N!R13,Scores_2017!R13)</f>
        <v>50</v>
      </c>
      <c r="S13" s="561">
        <f>CHOOSE(uxb_works!$B$46,Scores_2014_O!S13,Scores_2014_N!S13,Scores_2017!S13)</f>
        <v>50</v>
      </c>
      <c r="T13" s="561">
        <f>CHOOSE(uxb_works!$B$46,Scores_2014_O!T13,Scores_2014_N!T13,Scores_2017!T13)</f>
        <v>50</v>
      </c>
      <c r="U13" s="561">
        <f>CHOOSE(uxb_works!$B$46,Scores_2014_O!U13,Scores_2014_N!U13,Scores_2017!U13)</f>
        <v>100</v>
      </c>
      <c r="V13" s="561">
        <f>CHOOSE(uxb_works!$B$46,Scores_2014_O!V13,Scores_2014_N!V13,Scores_2017!V13)</f>
        <v>50</v>
      </c>
      <c r="W13" s="561">
        <f>CHOOSE(uxb_works!$B$46,Scores_2014_O!W13,Scores_2014_N!W13,Scores_2017!W13)</f>
        <v>50</v>
      </c>
      <c r="X13" s="561">
        <f>CHOOSE(uxb_works!$B$46,Scores_2014_O!X13,Scores_2014_N!X13,Scores_2017!X13)</f>
        <v>100</v>
      </c>
      <c r="Y13" s="561">
        <f>CHOOSE(uxb_works!$B$46,Scores_2014_O!Z13,Scores_2014_N!Y13,Scores_2017!Y13)</f>
        <v>50</v>
      </c>
      <c r="Z13" s="561">
        <f>CHOOSE(uxb_works!$B$46,Scores_2014_O!AA13,Scores_2014_N!Z13,Scores_2017!Z13)</f>
        <v>50</v>
      </c>
      <c r="AA13" s="561">
        <f>CHOOSE(uxb_works!$B$46,Scores_2014_O!AB13,Scores_2014_N!AA13,Scores_2017!AA13)</f>
        <v>50</v>
      </c>
      <c r="AB13" s="561">
        <f>CHOOSE(uxb_works!$B$46,Scores_2014_O!AC13,Scores_2014_N!AB13,Scores_2017!AB13)</f>
        <v>100</v>
      </c>
      <c r="AC13" s="561">
        <f>CHOOSE(uxb_works!$B$46,Scores_2014_O!AD13,Scores_2014_N!AC13,Scores_2017!AC13)</f>
        <v>100</v>
      </c>
      <c r="AD13" s="561">
        <f>CHOOSE(uxb_works!$B$46,Scores_2014_O!AE13,Scores_2014_N!AD13,Scores_2017!AD13)</f>
        <v>100</v>
      </c>
      <c r="AE13" s="561">
        <f>CHOOSE(uxb_works!$B$46,Scores_2014_O!AF13,Scores_2014_N!AE13,Scores_2017!AE13)</f>
        <v>50</v>
      </c>
      <c r="AF13" s="561">
        <f>CHOOSE(uxb_works!$B$46,Scores_2014_O!AG13,Scores_2014_N!AF13,Scores_2017!AF13)</f>
        <v>50</v>
      </c>
      <c r="AG13" s="561">
        <f>CHOOSE(uxb_works!$B$46,Scores_2014_O!AH13,Scores_2014_N!AG13,Scores_2017!AG13)</f>
        <v>50</v>
      </c>
      <c r="AH13" s="561">
        <f>CHOOSE(uxb_works!$B$46,Scores_2014_O!AI13,Scores_2014_N!AH13,Scores_2017!AH13)</f>
        <v>50</v>
      </c>
      <c r="AI13" s="561">
        <f>CHOOSE(uxb_works!$B$46,Scores_2014_O!AJ13,Scores_2014_N!AI13,Scores_2017!AI13)</f>
        <v>100</v>
      </c>
      <c r="AJ13" s="561">
        <f>CHOOSE(uxb_works!$B$46,Scores_2014_O!AK13,Scores_2014_N!AJ13,Scores_2017!AJ13)</f>
        <v>50</v>
      </c>
      <c r="AK13" s="561">
        <f>CHOOSE(uxb_works!$B$46,Scores_2014_O!AL13,Scores_2014_N!AK13,Scores_2017!AK13)</f>
        <v>50</v>
      </c>
      <c r="AL13" s="561">
        <f>CHOOSE(uxb_works!$B$46,Scores_2014_O!AM13,Scores_2014_N!AL13,Scores_2017!AL13)</f>
        <v>100</v>
      </c>
      <c r="AM13" s="561">
        <f>CHOOSE(uxb_works!$B$46,Scores_2014_O!AN13,Scores_2014_N!AM13,Scores_2017!AM13)</f>
        <v>50</v>
      </c>
      <c r="AN13" s="561">
        <f>CHOOSE(uxb_works!$B$46,Scores_2014_O!AO13,Scores_2014_N!AN13,Scores_2017!AN13)</f>
        <v>50</v>
      </c>
      <c r="AO13" s="561">
        <f>CHOOSE(uxb_works!$B$46,Scores_2014_O!AP13,Scores_2014_N!AO13,Scores_2017!AO13)</f>
        <v>50</v>
      </c>
      <c r="AP13" s="561">
        <f>CHOOSE(uxb_works!$B$46,Scores_2014_O!AQ13,Scores_2014_N!AP13,Scores_2017!AP13)</f>
        <v>50</v>
      </c>
      <c r="AQ13" s="561">
        <f>CHOOSE(uxb_works!$B$46,Scores_2014_O!Y13,Scores_2014_N!AQ13,Scores_2017!AQ13)</f>
        <v>50</v>
      </c>
      <c r="AR13" s="561">
        <f>CHOOSE(uxb_works!$B$46,Scores_2014_O!AR13,Scores_2014_N!AR13,Scores_2017!AR13)</f>
        <v>50</v>
      </c>
      <c r="AS13" s="561">
        <f>CHOOSE(uxb_works!$B$46,Scores_2014_O!AS13,Scores_2014_N!AS13,Scores_2017!AS13)</f>
        <v>100</v>
      </c>
      <c r="AT13" s="561">
        <f>CHOOSE(uxb_works!$B$46,Scores_2014_O!AT13,Scores_2014_N!AT13,Scores_2017!AT13)</f>
        <v>50</v>
      </c>
      <c r="AU13" s="561">
        <f>CHOOSE(uxb_works!$B$46,Scores_2014_O!AU13,Scores_2014_N!AU13,Scores_2017!AU13)</f>
        <v>50</v>
      </c>
      <c r="AV13" s="561">
        <f>CHOOSE(uxb_works!$B$46,Scores_2014_O!AV13,Scores_2014_N!AV13,Scores_2017!AV13)</f>
        <v>100</v>
      </c>
      <c r="AW13" s="561">
        <f>CHOOSE(uxb_works!$B$46,Scores_2014_O!AW13,Scores_2014_N!AW13,Scores_2017!AW13)</f>
        <v>50</v>
      </c>
      <c r="AX13" s="561">
        <f>CHOOSE(uxb_works!$B$46,Scores_2014_O!AX13,Scores_2014_N!AX13,Scores_2017!AX13)</f>
        <v>50</v>
      </c>
      <c r="AY13" s="561">
        <f>CHOOSE(uxb_works!$B$46,Scores_2014_O!AY13,Scores_2014_N!AY13,Scores_2017!AY13)</f>
        <v>50</v>
      </c>
      <c r="AZ13" s="561">
        <f>CHOOSE(uxb_works!$B$46,Scores_2014_O!AZ13,Scores_2014_N!AZ13,Scores_2017!AZ13)</f>
        <v>100</v>
      </c>
      <c r="BA13" s="561">
        <f>CHOOSE(uxb_works!$B$46,Scores_2014_O!BA13,Scores_2014_N!BA13,Scores_2017!BA13)</f>
        <v>100</v>
      </c>
      <c r="BB13" s="561">
        <f>CHOOSE(uxb_works!$B$46,Scores_2014_O!BB13,Scores_2014_N!BB13,Scores_2017!BB13)</f>
        <v>100</v>
      </c>
      <c r="BC13" s="561">
        <f>CHOOSE(uxb_works!$B$46,Scores_2014_O!BC13,Scores_2014_N!BC13,Scores_2017!BC13)</f>
        <v>50</v>
      </c>
      <c r="BD13" s="561">
        <f>CHOOSE(uxb_works!$B$46,Scores_2014_O!BD13,Scores_2014_N!BD13,Scores_2017!BD13)</f>
        <v>50</v>
      </c>
      <c r="BE13" s="561">
        <f>CHOOSE(uxb_works!$B$46,Scores_2014_O!BE13,Scores_2014_N!BE13,Scores_2017!BE13)</f>
        <v>50</v>
      </c>
      <c r="BF13" s="561">
        <f>CHOOSE(uxb_works!$B$46,Scores_2014_O!BF13,Scores_2014_N!BF13,Scores_2017!BF13)</f>
        <v>50</v>
      </c>
      <c r="BG13" s="561">
        <f>CHOOSE(uxb_works!$B$46,Scores_2014_O!BG13,Scores_2014_N!BG13,Scores_2017!BG13)</f>
        <v>50</v>
      </c>
      <c r="BH13" s="561">
        <f>CHOOSE(uxb_works!$B$46,Scores_2014_O!BH13,Scores_2014_N!BH13,Scores_2017!BH13)</f>
        <v>100</v>
      </c>
      <c r="BI13" s="561">
        <f>CHOOSE(uxb_works!$B$46,Scores_2014_O!BI13,Scores_2014_N!BI13,Scores_2017!BI13)</f>
        <v>50</v>
      </c>
      <c r="BJ13" s="561">
        <f>CHOOSE(uxb_works!$B$46,Scores_2014_O!BJ13,Scores_2014_N!BJ13,Scores_2017!BJ13)</f>
        <v>50</v>
      </c>
      <c r="BK13" s="561">
        <f>CHOOSE(uxb_works!$B$46,Scores_2014_O!BK13,Scores_2014_N!BK13,Scores_2017!BK13)</f>
        <v>50</v>
      </c>
      <c r="BL13" s="561">
        <f>CHOOSE(uxb_works!$B$46,Scores_2014_O!BL13,Scores_2014_N!BL13,Scores_2017!BL13)</f>
        <v>50</v>
      </c>
      <c r="BM13" s="561">
        <f>CHOOSE(uxb_works!$B$46,Scores_2014_O!BM13,Scores_2014_N!BM13,Scores_2017!BM13)</f>
        <v>100</v>
      </c>
      <c r="BN13" s="561">
        <f>CHOOSE(uxb_works!$B$46,Scores_2014_O!BN13,Scores_2014_N!BN13,Scores_2017!BN13)</f>
        <v>50</v>
      </c>
      <c r="BO13" s="561">
        <f>CHOOSE(uxb_works!$B$46,Scores_2014_O!BO13,Scores_2014_N!BO13,Scores_2017!BO13)</f>
        <v>100</v>
      </c>
      <c r="BP13" s="561">
        <f>CHOOSE(uxb_works!$B$46,Scores_2014_O!BP13,Scores_2014_N!BP13,Scores_2017!BP13)</f>
        <v>100</v>
      </c>
      <c r="BQ13" s="561">
        <f>CHOOSE(uxb_works!$B$46,Scores_2014_O!BQ13,Scores_2014_N!BQ13,Scores_2017!BQ13)</f>
        <v>50</v>
      </c>
      <c r="BR13" s="561">
        <f>CHOOSE(uxb_works!$B$46,Scores_2014_O!BR13,Scores_2014_N!BR13,Scores_2017!BR13)</f>
        <v>100</v>
      </c>
      <c r="BS13" s="561">
        <f>CHOOSE(uxb_works!$B$46,Scores_2014_O!BS13,Scores_2014_N!BS13,Scores_2017!BS13)</f>
        <v>100</v>
      </c>
      <c r="BT13" s="561">
        <f>CHOOSE(uxb_works!$B$46,Scores_2014_O!BT13,Scores_2014_N!BT13,Scores_2017!BT13)</f>
        <v>100</v>
      </c>
      <c r="BU13" s="561">
        <f>CHOOSE(uxb_works!$B$46,Scores_2014_O!BU13,Scores_2014_N!BU13,Scores_2017!BU13)</f>
        <v>50</v>
      </c>
      <c r="BV13" s="561">
        <f>CHOOSE(uxb_works!$B$46,Scores_2014_O!BV13,Scores_2014_N!BV13,Scores_2017!BV13)</f>
        <v>50</v>
      </c>
      <c r="BW13" s="561">
        <f>CHOOSE(uxb_works!$B$46,Scores_2014_O!BW13,Scores_2014_N!BW13,Scores_2017!BW13)</f>
        <v>50</v>
      </c>
      <c r="BX13" s="561">
        <f>CHOOSE(uxb_works!$B$46,Scores_2014_O!BX13,Scores_2014_N!BX13,Scores_2017!BX13)</f>
        <v>100</v>
      </c>
      <c r="BY13"/>
      <c r="BZ13" s="214"/>
      <c r="CA13" s="214"/>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row>
    <row r="14" s="69" customFormat="1" ht="24.95" customHeight="1" spans="1:130">
      <c r="A14"/>
      <c r="B14" s="92">
        <f>tblIndicators!A10</f>
        <v>9</v>
      </c>
      <c r="C14" s="92"/>
      <c r="D14" s="92"/>
      <c r="E14" s="92"/>
      <c r="F14" s="92">
        <f>CHOOSE(uxb_works!$B$46,Scores_2014_O!F14,Scores_2014_N!F14,Scores_2017!F14)</f>
        <v>2</v>
      </c>
      <c r="G14" s="92"/>
      <c r="H14" s="92"/>
      <c r="I14" s="104"/>
      <c r="J14" s="92"/>
      <c r="K14" s="92"/>
      <c r="L14" s="165"/>
      <c r="M14" s="92"/>
      <c r="N14" s="105" t="str">
        <f>REPT(" ",F14)&amp;CHOOSE(uxb_works!$B$46,Scores_2014_O!N14,Scores_2014_N!N14,Scores_2017!N14)</f>
        <v>    1.2) Digital security (Outputs)</v>
      </c>
      <c r="O14" s="556">
        <f>CHOOSE(uxb_works!$B$46,Scores_2014_O!O14,Scores_2014_N!O14,Scores_2017!O14)</f>
        <v>0.5</v>
      </c>
      <c r="P14" s="557">
        <f>CHOOSE(uxb_works!$B$46,Scores_2014_O!P14,Scores_2014_N!P14,Scores_2017!P14)</f>
        <v>74.2150882505875</v>
      </c>
      <c r="Q14" s="561">
        <f>CHOOSE(uxb_works!$B$46,Scores_2014_O!Q14,Scores_2014_N!Q14,Scores_2017!Q14)</f>
        <v>91.581420063715</v>
      </c>
      <c r="R14" s="561">
        <f>CHOOSE(uxb_works!$B$46,Scores_2014_O!R14,Scores_2014_N!R14,Scores_2017!R14)</f>
        <v>63.8764642222547</v>
      </c>
      <c r="S14" s="561">
        <f>CHOOSE(uxb_works!$B$46,Scores_2014_O!S14,Scores_2014_N!S14,Scores_2017!S14)</f>
        <v>60.5529125700813</v>
      </c>
      <c r="T14" s="561">
        <f>CHOOSE(uxb_works!$B$46,Scores_2014_O!T14,Scores_2014_N!T14,Scores_2017!T14)</f>
        <v>68.8829344649958</v>
      </c>
      <c r="U14" s="561">
        <f>CHOOSE(uxb_works!$B$46,Scores_2014_O!U14,Scores_2014_N!U14,Scores_2017!U14)</f>
        <v>67.4191728998378</v>
      </c>
      <c r="V14" s="561">
        <f>CHOOSE(uxb_works!$B$46,Scores_2014_O!V14,Scores_2014_N!V14,Scores_2017!V14)</f>
        <v>67.5786932272712</v>
      </c>
      <c r="W14" s="561">
        <f>CHOOSE(uxb_works!$B$46,Scores_2014_O!W14,Scores_2014_N!W14,Scores_2017!W14)</f>
        <v>79.9263203149653</v>
      </c>
      <c r="X14" s="561">
        <f>CHOOSE(uxb_works!$B$46,Scores_2014_O!X14,Scores_2014_N!X14,Scores_2017!X14)</f>
        <v>81.6193386466095</v>
      </c>
      <c r="Y14" s="561">
        <f>CHOOSE(uxb_works!$B$46,Scores_2014_O!Z14,Scores_2014_N!Y14,Scores_2017!Y14)</f>
        <v>59.9197056318446</v>
      </c>
      <c r="Z14" s="561">
        <f>CHOOSE(uxb_works!$B$46,Scores_2014_O!AA14,Scores_2014_N!Z14,Scores_2017!Z14)</f>
        <v>70.1064630550185</v>
      </c>
      <c r="AA14" s="561">
        <f>CHOOSE(uxb_works!$B$46,Scores_2014_O!AB14,Scores_2014_N!AA14,Scores_2017!AA14)</f>
        <v>68.077889952751</v>
      </c>
      <c r="AB14" s="561">
        <f>CHOOSE(uxb_works!$B$46,Scores_2014_O!AC14,Scores_2014_N!AB14,Scores_2017!AB14)</f>
        <v>73.5008949775786</v>
      </c>
      <c r="AC14" s="561">
        <f>CHOOSE(uxb_works!$B$46,Scores_2014_O!AD14,Scores_2014_N!AC14,Scores_2017!AC14)</f>
        <v>69.3075699885384</v>
      </c>
      <c r="AD14" s="561">
        <f>CHOOSE(uxb_works!$B$46,Scores_2014_O!AE14,Scores_2014_N!AD14,Scores_2017!AD14)</f>
        <v>45.8778432177515</v>
      </c>
      <c r="AE14" s="561">
        <f>CHOOSE(uxb_works!$B$46,Scores_2014_O!AF14,Scores_2014_N!AE14,Scores_2017!AE14)</f>
        <v>50</v>
      </c>
      <c r="AF14" s="561">
        <f>CHOOSE(uxb_works!$B$46,Scores_2014_O!AG14,Scores_2014_N!AF14,Scores_2017!AF14)</f>
        <v>69.7034285143048</v>
      </c>
      <c r="AG14" s="561">
        <f>CHOOSE(uxb_works!$B$46,Scores_2014_O!AH14,Scores_2014_N!AG14,Scores_2017!AG14)</f>
        <v>81.0008704326114</v>
      </c>
      <c r="AH14" s="561">
        <f>CHOOSE(uxb_works!$B$46,Scores_2014_O!AI14,Scores_2014_N!AH14,Scores_2017!AH14)</f>
        <v>57.8977993515404</v>
      </c>
      <c r="AI14" s="561">
        <f>CHOOSE(uxb_works!$B$46,Scores_2014_O!AJ14,Scores_2014_N!AI14,Scores_2017!AI14)</f>
        <v>71.5487041835432</v>
      </c>
      <c r="AJ14" s="561">
        <f>CHOOSE(uxb_works!$B$46,Scores_2014_O!AK14,Scores_2014_N!AJ14,Scores_2017!AJ14)</f>
        <v>63.4129117309004</v>
      </c>
      <c r="AK14" s="561">
        <f>CHOOSE(uxb_works!$B$46,Scores_2014_O!AL14,Scores_2014_N!AK14,Scores_2017!AK14)</f>
        <v>44.8756478841065</v>
      </c>
      <c r="AL14" s="561">
        <f>CHOOSE(uxb_works!$B$46,Scores_2014_O!AM14,Scores_2014_N!AL14,Scores_2017!AL14)</f>
        <v>73.3878405441158</v>
      </c>
      <c r="AM14" s="561">
        <f>CHOOSE(uxb_works!$B$46,Scores_2014_O!AN14,Scores_2014_N!AM14,Scores_2017!AM14)</f>
        <v>74.2225000966826</v>
      </c>
      <c r="AN14" s="561">
        <f>CHOOSE(uxb_works!$B$46,Scores_2014_O!AO14,Scores_2014_N!AN14,Scores_2017!AN14)</f>
        <v>51.4351193956541</v>
      </c>
      <c r="AO14" s="561">
        <f>CHOOSE(uxb_works!$B$46,Scores_2014_O!AP14,Scores_2014_N!AO14,Scores_2017!AO14)</f>
        <v>74.0010961144802</v>
      </c>
      <c r="AP14" s="561">
        <f>CHOOSE(uxb_works!$B$46,Scores_2014_O!AQ14,Scores_2014_N!AP14,Scores_2017!AP14)</f>
        <v>78.6667195122139</v>
      </c>
      <c r="AQ14" s="561">
        <f>CHOOSE(uxb_works!$B$46,Scores_2014_O!Y14,Scores_2014_N!AQ14,Scores_2017!AQ14)</f>
        <v>61.2245567888449</v>
      </c>
      <c r="AR14" s="561">
        <f>CHOOSE(uxb_works!$B$46,Scores_2014_O!AR14,Scores_2014_N!AR14,Scores_2017!AR14)</f>
        <v>66.7270163685102</v>
      </c>
      <c r="AS14" s="561">
        <f>CHOOSE(uxb_works!$B$46,Scores_2014_O!AS14,Scores_2014_N!AS14,Scores_2017!AS14)</f>
        <v>70.2394199861029</v>
      </c>
      <c r="AT14" s="561">
        <f>CHOOSE(uxb_works!$B$46,Scores_2014_O!AT14,Scores_2014_N!AT14,Scores_2017!AT14)</f>
        <v>68.8829344649958</v>
      </c>
      <c r="AU14" s="561">
        <f>CHOOSE(uxb_works!$B$46,Scores_2014_O!AU14,Scores_2014_N!AU14,Scores_2017!AU14)</f>
        <v>41.5517019163507</v>
      </c>
      <c r="AV14" s="561">
        <f>CHOOSE(uxb_works!$B$46,Scores_2014_O!AV14,Scores_2014_N!AV14,Scores_2017!AV14)</f>
        <v>76.6341257088476</v>
      </c>
      <c r="AW14" s="561">
        <f>CHOOSE(uxb_works!$B$46,Scores_2014_O!AW14,Scores_2014_N!AW14,Scores_2017!AW14)</f>
        <v>49.0473294346234</v>
      </c>
      <c r="AX14" s="561">
        <f>CHOOSE(uxb_works!$B$46,Scores_2014_O!AX14,Scores_2014_N!AX14,Scores_2017!AX14)</f>
        <v>63.245978498612</v>
      </c>
      <c r="AY14" s="561">
        <f>CHOOSE(uxb_works!$B$46,Scores_2014_O!AY14,Scores_2014_N!AY14,Scores_2017!AY14)</f>
        <v>56.3892491329993</v>
      </c>
      <c r="AZ14" s="561">
        <f>CHOOSE(uxb_works!$B$46,Scores_2014_O!AZ14,Scores_2014_N!AZ14,Scores_2017!AZ14)</f>
        <v>45.8778432177515</v>
      </c>
      <c r="BA14" s="561">
        <f>CHOOSE(uxb_works!$B$46,Scores_2014_O!BA14,Scores_2014_N!BA14,Scores_2017!BA14)</f>
        <v>69.900565441534</v>
      </c>
      <c r="BB14" s="561">
        <f>CHOOSE(uxb_works!$B$46,Scores_2014_O!BB14,Scores_2014_N!BB14,Scores_2017!BB14)</f>
        <v>85.8885732648221</v>
      </c>
      <c r="BC14" s="561">
        <f>CHOOSE(uxb_works!$B$46,Scores_2014_O!BC14,Scores_2014_N!BC14,Scores_2017!BC14)</f>
        <v>67.4135306914681</v>
      </c>
      <c r="BD14" s="561">
        <f>CHOOSE(uxb_works!$B$46,Scores_2014_O!BD14,Scores_2014_N!BD14,Scores_2017!BD14)</f>
        <v>72.9635620344263</v>
      </c>
      <c r="BE14" s="561">
        <f>CHOOSE(uxb_works!$B$46,Scores_2014_O!BE14,Scores_2014_N!BE14,Scores_2017!BE14)</f>
        <v>60.5914718403423</v>
      </c>
      <c r="BF14" s="561">
        <f>CHOOSE(uxb_works!$B$46,Scores_2014_O!BF14,Scores_2014_N!BF14,Scores_2017!BF14)</f>
        <v>73.3878405441158</v>
      </c>
      <c r="BG14" s="561">
        <f>CHOOSE(uxb_works!$B$46,Scores_2014_O!BG14,Scores_2014_N!BG14,Scores_2017!BG14)</f>
        <v>63.245978498612</v>
      </c>
      <c r="BH14" s="561">
        <f>CHOOSE(uxb_works!$B$46,Scores_2014_O!BH14,Scores_2014_N!BH14,Scores_2017!BH14)</f>
        <v>70.2394199861029</v>
      </c>
      <c r="BI14" s="561">
        <f>CHOOSE(uxb_works!$B$46,Scores_2014_O!BI14,Scores_2014_N!BI14,Scores_2017!BI14)</f>
        <v>62.7980596341641</v>
      </c>
      <c r="BJ14" s="561">
        <f>CHOOSE(uxb_works!$B$46,Scores_2014_O!BJ14,Scores_2014_N!BJ14,Scores_2017!BJ14)</f>
        <v>60.5914718403423</v>
      </c>
      <c r="BK14" s="561">
        <f>CHOOSE(uxb_works!$B$46,Scores_2014_O!BK14,Scores_2014_N!BK14,Scores_2017!BK14)</f>
        <v>90.1820003736209</v>
      </c>
      <c r="BL14" s="561">
        <f>CHOOSE(uxb_works!$B$46,Scores_2014_O!BL14,Scores_2014_N!BL14,Scores_2017!BL14)</f>
        <v>65.5131160866378</v>
      </c>
      <c r="BM14" s="561">
        <f>CHOOSE(uxb_works!$B$46,Scores_2014_O!BM14,Scores_2014_N!BM14,Scores_2017!BM14)</f>
        <v>78.6768365386855</v>
      </c>
      <c r="BN14" s="561">
        <f>CHOOSE(uxb_works!$B$46,Scores_2014_O!BN14,Scores_2014_N!BN14,Scores_2017!BN14)</f>
        <v>90.6135490989646</v>
      </c>
      <c r="BO14" s="561">
        <f>CHOOSE(uxb_works!$B$46,Scores_2014_O!BO14,Scores_2014_N!BO14,Scores_2017!BO14)</f>
        <v>75.9140598016387</v>
      </c>
      <c r="BP14" s="561">
        <f>CHOOSE(uxb_works!$B$46,Scores_2014_O!BP14,Scores_2014_N!BP14,Scores_2017!BP14)</f>
        <v>43.6212212501698</v>
      </c>
      <c r="BQ14" s="561">
        <f>CHOOSE(uxb_works!$B$46,Scores_2014_O!BQ14,Scores_2014_N!BQ14,Scores_2017!BQ14)</f>
        <v>63.1030714558244</v>
      </c>
      <c r="BR14" s="561">
        <f>CHOOSE(uxb_works!$B$46,Scores_2014_O!BR14,Scores_2014_N!BR14,Scores_2017!BR14)</f>
        <v>88.47233916716</v>
      </c>
      <c r="BS14" s="561">
        <f>CHOOSE(uxb_works!$B$46,Scores_2014_O!BS14,Scores_2014_N!BS14,Scores_2017!BS14)</f>
        <v>80.6631787288569</v>
      </c>
      <c r="BT14" s="561">
        <f>CHOOSE(uxb_works!$B$46,Scores_2014_O!BT14,Scores_2014_N!BT14,Scores_2017!BT14)</f>
        <v>71.764265436663</v>
      </c>
      <c r="BU14" s="561">
        <f>CHOOSE(uxb_works!$B$46,Scores_2014_O!BU14,Scores_2014_N!BU14,Scores_2017!BU14)</f>
        <v>81.2687094091745</v>
      </c>
      <c r="BV14" s="561">
        <f>CHOOSE(uxb_works!$B$46,Scores_2014_O!BV14,Scores_2014_N!BV14,Scores_2017!BV14)</f>
        <v>61.4677378705957</v>
      </c>
      <c r="BW14" s="561">
        <f>CHOOSE(uxb_works!$B$46,Scores_2014_O!BW14,Scores_2014_N!BW14,Scores_2017!BW14)</f>
        <v>80.9539626276761</v>
      </c>
      <c r="BX14" s="561">
        <f>CHOOSE(uxb_works!$B$46,Scores_2014_O!BX14,Scores_2014_N!BX14,Scores_2017!BX14)</f>
        <v>86.7357096262443</v>
      </c>
      <c r="BY14"/>
      <c r="BZ14" s="214"/>
      <c r="CA14" s="2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row>
    <row r="15" s="69" customFormat="1" ht="24.95" customHeight="1" spans="1:130">
      <c r="A15"/>
      <c r="B15" s="92">
        <f>tblIndicators!A11</f>
        <v>10</v>
      </c>
      <c r="C15" s="92"/>
      <c r="D15" s="92"/>
      <c r="E15" s="92"/>
      <c r="F15" s="92">
        <f>CHOOSE(uxb_works!$B$46,Scores_2014_O!F15,Scores_2014_N!F15,Scores_2017!F15)</f>
        <v>3</v>
      </c>
      <c r="G15" s="92"/>
      <c r="H15" s="92"/>
      <c r="I15" s="104"/>
      <c r="J15" s="92"/>
      <c r="K15" s="92"/>
      <c r="L15" s="165"/>
      <c r="M15" s="92"/>
      <c r="N15" s="105" t="str">
        <f>REPT(" ",F15)&amp;CHOOSE(uxb_works!$B$46,Scores_2014_O!N15,Scores_2014_N!N15,Scores_2017!N15)</f>
        <v>      1.2.1) Frequency of identity theft</v>
      </c>
      <c r="O15" s="556">
        <f>CHOOSE(uxb_works!$B$46,Scores_2014_O!O15,Scores_2014_N!O15,Scores_2017!O15)</f>
        <v>0.333333333333333</v>
      </c>
      <c r="P15" s="557">
        <f>CHOOSE(uxb_works!$B$46,Scores_2014_O!P15,Scores_2014_N!P15,Scores_2017!P15)</f>
        <v>100</v>
      </c>
      <c r="Q15" s="561">
        <f>CHOOSE(uxb_works!$B$46,Scores_2014_O!Q15,Scores_2014_N!Q15,Scores_2017!Q15)</f>
        <v>99.7442601911449</v>
      </c>
      <c r="R15" s="561">
        <f>CHOOSE(uxb_works!$B$46,Scores_2014_O!R15,Scores_2014_N!R15,Scores_2017!R15)</f>
        <v>100</v>
      </c>
      <c r="S15" s="561">
        <f>CHOOSE(uxb_works!$B$46,Scores_2014_O!S15,Scores_2014_N!S15,Scores_2017!S15)</f>
        <v>99.9977022938019</v>
      </c>
      <c r="T15" s="561">
        <f>CHOOSE(uxb_works!$B$46,Scores_2014_O!T15,Scores_2014_N!T15,Scores_2017!T15)</f>
        <v>99.955716663049</v>
      </c>
      <c r="U15" s="561">
        <f>CHOOSE(uxb_works!$B$46,Scores_2014_O!U15,Scores_2014_N!U15,Scores_2017!U15)</f>
        <v>99.9986825378037</v>
      </c>
      <c r="V15" s="561">
        <f>CHOOSE(uxb_works!$B$46,Scores_2014_O!V15,Scores_2014_N!V15,Scores_2017!V15)</f>
        <v>99.9955225867808</v>
      </c>
      <c r="W15" s="561">
        <f>CHOOSE(uxb_works!$B$46,Scores_2014_O!W15,Scores_2014_N!W15,Scores_2017!W15)</f>
        <v>100</v>
      </c>
      <c r="X15" s="561">
        <f>CHOOSE(uxb_works!$B$46,Scores_2014_O!X15,Scores_2014_N!X15,Scores_2017!X15)</f>
        <v>99.9680957759205</v>
      </c>
      <c r="Y15" s="561">
        <f>CHOOSE(uxb_works!$B$46,Scores_2014_O!Z15,Scores_2014_N!Y15,Scores_2017!Y15)</f>
        <v>100</v>
      </c>
      <c r="Z15" s="561">
        <f>CHOOSE(uxb_works!$B$46,Scores_2014_O!AA15,Scores_2014_N!Z15,Scores_2017!Z15)</f>
        <v>100</v>
      </c>
      <c r="AA15" s="561">
        <f>CHOOSE(uxb_works!$B$46,Scores_2014_O!AB15,Scores_2014_N!AA15,Scores_2017!AA15)</f>
        <v>100</v>
      </c>
      <c r="AB15" s="561">
        <f>CHOOSE(uxb_works!$B$46,Scores_2014_O!AC15,Scores_2014_N!AB15,Scores_2017!AB15)</f>
        <v>85.4925510640123</v>
      </c>
      <c r="AC15" s="561">
        <f>CHOOSE(uxb_works!$B$46,Scores_2014_O!AD15,Scores_2014_N!AC15,Scores_2017!AC15)</f>
        <v>85.4925510640123</v>
      </c>
      <c r="AD15" s="561">
        <f>CHOOSE(uxb_works!$B$46,Scores_2014_O!AE15,Scores_2014_N!AD15,Scores_2017!AD15)</f>
        <v>97.8933569645073</v>
      </c>
      <c r="AE15" s="561">
        <f>CHOOSE(uxb_works!$B$46,Scores_2014_O!AF15,Scores_2014_N!AE15,Scores_2017!AE15)</f>
        <v>100</v>
      </c>
      <c r="AF15" s="561">
        <f>CHOOSE(uxb_works!$B$46,Scores_2014_O!AG15,Scores_2014_N!AF15,Scores_2017!AF15)</f>
        <v>84.3792600798403</v>
      </c>
      <c r="AG15" s="561">
        <f>CHOOSE(uxb_works!$B$46,Scores_2014_O!AH15,Scores_2014_N!AG15,Scores_2017!AG15)</f>
        <v>100</v>
      </c>
      <c r="AH15" s="561">
        <f>CHOOSE(uxb_works!$B$46,Scores_2014_O!AI15,Scores_2014_N!AH15,Scores_2017!AH15)</f>
        <v>100</v>
      </c>
      <c r="AI15" s="561">
        <f>CHOOSE(uxb_works!$B$46,Scores_2014_O!AJ15,Scores_2014_N!AI15,Scores_2017!AI15)</f>
        <v>100</v>
      </c>
      <c r="AJ15" s="561">
        <f>CHOOSE(uxb_works!$B$46,Scores_2014_O!AK15,Scores_2014_N!AJ15,Scores_2017!AJ15)</f>
        <v>90.2428914863633</v>
      </c>
      <c r="AK15" s="561">
        <f>CHOOSE(uxb_works!$B$46,Scores_2014_O!AL15,Scores_2014_N!AK15,Scores_2017!AK15)</f>
        <v>100</v>
      </c>
      <c r="AL15" s="561">
        <f>CHOOSE(uxb_works!$B$46,Scores_2014_O!AM15,Scores_2014_N!AL15,Scores_2017!AL15)</f>
        <v>100</v>
      </c>
      <c r="AM15" s="561">
        <f>CHOOSE(uxb_works!$B$46,Scores_2014_O!AN15,Scores_2014_N!AM15,Scores_2017!AM15)</f>
        <v>99.991789524325</v>
      </c>
      <c r="AN15" s="561">
        <f>CHOOSE(uxb_works!$B$46,Scores_2014_O!AO15,Scores_2014_N!AN15,Scores_2017!AN15)</f>
        <v>99.7308218352822</v>
      </c>
      <c r="AO15" s="561">
        <f>CHOOSE(uxb_works!$B$46,Scores_2014_O!AP15,Scores_2014_N!AO15,Scores_2017!AO15)</f>
        <v>100</v>
      </c>
      <c r="AP15" s="561">
        <f>CHOOSE(uxb_works!$B$46,Scores_2014_O!AQ15,Scores_2014_N!AP15,Scores_2017!AP15)</f>
        <v>100</v>
      </c>
      <c r="AQ15" s="561">
        <f>CHOOSE(uxb_works!$B$46,Scores_2014_O!Y15,Scores_2014_N!AQ15,Scores_2017!AQ15)</f>
        <v>100</v>
      </c>
      <c r="AR15" s="561">
        <f>CHOOSE(uxb_works!$B$46,Scores_2014_O!AR15,Scores_2014_N!AR15,Scores_2017!AR15)</f>
        <v>51.5739954246171</v>
      </c>
      <c r="AS15" s="561">
        <f>CHOOSE(uxb_works!$B$46,Scores_2014_O!AS15,Scores_2014_N!AS15,Scores_2017!AS15)</f>
        <v>85.4925510640123</v>
      </c>
      <c r="AT15" s="561">
        <f>CHOOSE(uxb_works!$B$46,Scores_2014_O!AT15,Scores_2014_N!AT15,Scores_2017!AT15)</f>
        <v>99.955716663049</v>
      </c>
      <c r="AU15" s="561">
        <f>CHOOSE(uxb_works!$B$46,Scores_2014_O!AU15,Scores_2014_N!AU15,Scores_2017!AU15)</f>
        <v>41.2355762909441</v>
      </c>
      <c r="AV15" s="561">
        <f>CHOOSE(uxb_works!$B$46,Scores_2014_O!AV15,Scores_2014_N!AV15,Scores_2017!AV15)</f>
        <v>89.8094250892857</v>
      </c>
      <c r="AW15" s="561">
        <f>CHOOSE(uxb_works!$B$46,Scores_2014_O!AW15,Scores_2014_N!AW15,Scores_2017!AW15)</f>
        <v>42.4622465207373</v>
      </c>
      <c r="AX15" s="561">
        <f>CHOOSE(uxb_works!$B$46,Scores_2014_O!AX15,Scores_2014_N!AX15,Scores_2017!AX15)</f>
        <v>99.7139509476031</v>
      </c>
      <c r="AY15" s="561">
        <f>CHOOSE(uxb_works!$B$46,Scores_2014_O!AY15,Scores_2014_N!AY15,Scores_2017!AY15)</f>
        <v>98.390468579235</v>
      </c>
      <c r="AZ15" s="561">
        <f>CHOOSE(uxb_works!$B$46,Scores_2014_O!AZ15,Scores_2014_N!AZ15,Scores_2017!AZ15)</f>
        <v>97.8933569645073</v>
      </c>
      <c r="BA15" s="561">
        <f>CHOOSE(uxb_works!$B$46,Scores_2014_O!BA15,Scores_2014_N!BA15,Scores_2017!BA15)</f>
        <v>85.4925510640123</v>
      </c>
      <c r="BB15" s="561">
        <f>CHOOSE(uxb_works!$B$46,Scores_2014_O!BB15,Scores_2014_N!BB15,Scores_2017!BB15)</f>
        <v>94.732965478836</v>
      </c>
      <c r="BC15" s="561">
        <f>CHOOSE(uxb_works!$B$46,Scores_2014_O!BC15,Scores_2014_N!BC15,Scores_2017!BC15)</f>
        <v>87.9170516374089</v>
      </c>
      <c r="BD15" s="561">
        <f>CHOOSE(uxb_works!$B$46,Scores_2014_O!BD15,Scores_2014_N!BD15,Scores_2017!BD15)</f>
        <v>100</v>
      </c>
      <c r="BE15" s="561">
        <f>CHOOSE(uxb_works!$B$46,Scores_2014_O!BE15,Scores_2014_N!BE15,Scores_2017!BE15)</f>
        <v>100</v>
      </c>
      <c r="BF15" s="561">
        <f>CHOOSE(uxb_works!$B$46,Scores_2014_O!BF15,Scores_2014_N!BF15,Scores_2017!BF15)</f>
        <v>100</v>
      </c>
      <c r="BG15" s="561">
        <f>CHOOSE(uxb_works!$B$46,Scores_2014_O!BG15,Scores_2014_N!BG15,Scores_2017!BG15)</f>
        <v>99.7139509476031</v>
      </c>
      <c r="BH15" s="561">
        <f>CHOOSE(uxb_works!$B$46,Scores_2014_O!BH15,Scores_2014_N!BH15,Scores_2017!BH15)</f>
        <v>85.4925510640123</v>
      </c>
      <c r="BI15" s="561">
        <f>CHOOSE(uxb_works!$B$46,Scores_2014_O!BI15,Scores_2014_N!BI15,Scores_2017!BI15)</f>
        <v>100</v>
      </c>
      <c r="BJ15" s="561">
        <f>CHOOSE(uxb_works!$B$46,Scores_2014_O!BJ15,Scores_2014_N!BJ15,Scores_2017!BJ15)</f>
        <v>100</v>
      </c>
      <c r="BK15" s="561">
        <f>CHOOSE(uxb_works!$B$46,Scores_2014_O!BK15,Scores_2014_N!BK15,Scores_2017!BK15)</f>
        <v>99.9272241012492</v>
      </c>
      <c r="BL15" s="561">
        <f>CHOOSE(uxb_works!$B$46,Scores_2014_O!BL15,Scores_2014_N!BL15,Scores_2017!BL15)</f>
        <v>99.9986825378037</v>
      </c>
      <c r="BM15" s="561">
        <f>CHOOSE(uxb_works!$B$46,Scores_2014_O!BM15,Scores_2014_N!BM15,Scores_2017!BM15)</f>
        <v>100</v>
      </c>
      <c r="BN15" s="561">
        <f>CHOOSE(uxb_works!$B$46,Scores_2014_O!BN15,Scores_2014_N!BN15,Scores_2017!BN15)</f>
        <v>100</v>
      </c>
      <c r="BO15" s="561">
        <f>CHOOSE(uxb_works!$B$46,Scores_2014_O!BO15,Scores_2014_N!BO15,Scores_2017!BO15)</f>
        <v>89.8094250892857</v>
      </c>
      <c r="BP15" s="561">
        <f>CHOOSE(uxb_works!$B$46,Scores_2014_O!BP15,Scores_2014_N!BP15,Scores_2017!BP15)</f>
        <v>0</v>
      </c>
      <c r="BQ15" s="561">
        <f>CHOOSE(uxb_works!$B$46,Scores_2014_O!BQ15,Scores_2014_N!BQ15,Scores_2017!BQ15)</f>
        <v>100</v>
      </c>
      <c r="BR15" s="561">
        <f>CHOOSE(uxb_works!$B$46,Scores_2014_O!BR15,Scores_2014_N!BR15,Scores_2017!BR15)</f>
        <v>94.732965478836</v>
      </c>
      <c r="BS15" s="561">
        <f>CHOOSE(uxb_works!$B$46,Scores_2014_O!BS15,Scores_2014_N!BS15,Scores_2017!BS15)</f>
        <v>97.8684507507508</v>
      </c>
      <c r="BT15" s="561">
        <f>CHOOSE(uxb_works!$B$46,Scores_2014_O!BT15,Scores_2014_N!BT15,Scores_2017!BT15)</f>
        <v>85.4925510640123</v>
      </c>
      <c r="BU15" s="561">
        <f>CHOOSE(uxb_works!$B$46,Scores_2014_O!BU15,Scores_2014_N!BU15,Scores_2017!BU15)</f>
        <v>99.9990480931465</v>
      </c>
      <c r="BV15" s="561">
        <f>CHOOSE(uxb_works!$B$46,Scores_2014_O!BV15,Scores_2014_N!BV15,Scores_2017!BV15)</f>
        <v>100</v>
      </c>
      <c r="BW15" s="561">
        <f>CHOOSE(uxb_works!$B$46,Scores_2014_O!BW15,Scores_2014_N!BW15,Scores_2017!BW15)</f>
        <v>100</v>
      </c>
      <c r="BX15" s="561">
        <f>CHOOSE(uxb_works!$B$46,Scores_2014_O!BX15,Scores_2014_N!BX15,Scores_2017!BX15)</f>
        <v>94.732965478836</v>
      </c>
      <c r="BY15"/>
      <c r="BZ15" s="214"/>
      <c r="CA15" s="214"/>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row>
    <row r="16" s="69" customFormat="1" ht="24.95" customHeight="1" spans="1:130">
      <c r="A16"/>
      <c r="B16" s="92">
        <f>tblIndicators!A12</f>
        <v>11</v>
      </c>
      <c r="C16" s="92"/>
      <c r="D16" s="92"/>
      <c r="E16" s="92"/>
      <c r="F16" s="92">
        <f>CHOOSE(uxb_works!$B$46,Scores_2014_O!F16,Scores_2014_N!F16,Scores_2017!F16)</f>
        <v>3</v>
      </c>
      <c r="G16" s="92"/>
      <c r="H16" s="92"/>
      <c r="I16" s="104"/>
      <c r="J16" s="92"/>
      <c r="K16" s="92"/>
      <c r="L16" s="165"/>
      <c r="M16" s="92"/>
      <c r="N16" s="105" t="str">
        <f>REPT(" ",F16)&amp;CHOOSE(uxb_works!$B$46,Scores_2014_O!N16,Scores_2014_N!N16,Scores_2017!N16)</f>
        <v>      1.2.2) Percentage of computers infected</v>
      </c>
      <c r="O16" s="556">
        <f>CHOOSE(uxb_works!$B$46,Scores_2014_O!O16,Scores_2014_N!O16,Scores_2017!O16)</f>
        <v>0.333333333333333</v>
      </c>
      <c r="P16" s="557">
        <f>CHOOSE(uxb_works!$B$46,Scores_2014_O!P16,Scores_2014_N!P16,Scores_2017!P16)</f>
        <v>25</v>
      </c>
      <c r="Q16" s="561">
        <f>CHOOSE(uxb_works!$B$46,Scores_2014_O!Q16,Scores_2014_N!Q16,Scores_2017!Q16)</f>
        <v>75</v>
      </c>
      <c r="R16" s="561">
        <f>CHOOSE(uxb_works!$B$46,Scores_2014_O!R16,Scores_2014_N!R16,Scores_2017!R16)</f>
        <v>25</v>
      </c>
      <c r="S16" s="561">
        <f>CHOOSE(uxb_works!$B$46,Scores_2014_O!S16,Scores_2014_N!S16,Scores_2017!S16)</f>
        <v>50</v>
      </c>
      <c r="T16" s="561">
        <f>CHOOSE(uxb_works!$B$46,Scores_2014_O!T16,Scores_2014_N!T16,Scores_2017!T16)</f>
        <v>25</v>
      </c>
      <c r="U16" s="561">
        <f>CHOOSE(uxb_works!$B$46,Scores_2014_O!U16,Scores_2014_N!U16,Scores_2017!U16)</f>
        <v>25</v>
      </c>
      <c r="V16" s="561">
        <f>CHOOSE(uxb_works!$B$46,Scores_2014_O!V16,Scores_2014_N!V16,Scores_2017!V16)</f>
        <v>50</v>
      </c>
      <c r="W16" s="561">
        <f>CHOOSE(uxb_works!$B$46,Scores_2014_O!W16,Scores_2014_N!W16,Scores_2017!W16)</f>
        <v>50</v>
      </c>
      <c r="X16" s="561">
        <f>CHOOSE(uxb_works!$B$46,Scores_2014_O!X16,Scores_2014_N!X16,Scores_2017!X16)</f>
        <v>75</v>
      </c>
      <c r="Y16" s="561">
        <f>CHOOSE(uxb_works!$B$46,Scores_2014_O!Z16,Scores_2014_N!Y16,Scores_2017!Y16)</f>
        <v>50</v>
      </c>
      <c r="Z16" s="561">
        <f>CHOOSE(uxb_works!$B$46,Scores_2014_O!AA16,Scores_2014_N!Z16,Scores_2017!Z16)</f>
        <v>50</v>
      </c>
      <c r="AA16" s="561">
        <f>CHOOSE(uxb_works!$B$46,Scores_2014_O!AB16,Scores_2014_N!AA16,Scores_2017!AA16)</f>
        <v>50</v>
      </c>
      <c r="AB16" s="561">
        <f>CHOOSE(uxb_works!$B$46,Scores_2014_O!AC16,Scores_2014_N!AB16,Scores_2017!AB16)</f>
        <v>50</v>
      </c>
      <c r="AC16" s="561">
        <f>CHOOSE(uxb_works!$B$46,Scores_2014_O!AD16,Scores_2014_N!AC16,Scores_2017!AC16)</f>
        <v>50</v>
      </c>
      <c r="AD16" s="561">
        <f>CHOOSE(uxb_works!$B$46,Scores_2014_O!AE16,Scores_2014_N!AD16,Scores_2017!AD16)</f>
        <v>25</v>
      </c>
      <c r="AE16" s="561">
        <f>CHOOSE(uxb_works!$B$46,Scores_2014_O!AF16,Scores_2014_N!AE16,Scores_2017!AE16)</f>
        <v>50</v>
      </c>
      <c r="AF16" s="561">
        <f>CHOOSE(uxb_works!$B$46,Scores_2014_O!AG16,Scores_2014_N!AF16,Scores_2017!AF16)</f>
        <v>25</v>
      </c>
      <c r="AG16" s="561">
        <f>CHOOSE(uxb_works!$B$46,Scores_2014_O!AH16,Scores_2014_N!AG16,Scores_2017!AG16)</f>
        <v>50</v>
      </c>
      <c r="AH16" s="561">
        <f>CHOOSE(uxb_works!$B$46,Scores_2014_O!AI16,Scores_2014_N!AH16,Scores_2017!AH16)</f>
        <v>25</v>
      </c>
      <c r="AI16" s="561">
        <f>CHOOSE(uxb_works!$B$46,Scores_2014_O!AJ16,Scores_2014_N!AI16,Scores_2017!AI16)</f>
        <v>25</v>
      </c>
      <c r="AJ16" s="561">
        <f>CHOOSE(uxb_works!$B$46,Scores_2014_O!AK16,Scores_2014_N!AJ16,Scores_2017!AJ16)</f>
        <v>50</v>
      </c>
      <c r="AK16" s="561">
        <f>CHOOSE(uxb_works!$B$46,Scores_2014_O!AL16,Scores_2014_N!AK16,Scores_2017!AK16)</f>
        <v>25</v>
      </c>
      <c r="AL16" s="561">
        <f>CHOOSE(uxb_works!$B$46,Scores_2014_O!AM16,Scores_2014_N!AL16,Scores_2017!AL16)</f>
        <v>50</v>
      </c>
      <c r="AM16" s="561">
        <f>CHOOSE(uxb_works!$B$46,Scores_2014_O!AN16,Scores_2014_N!AM16,Scores_2017!AM16)</f>
        <v>75</v>
      </c>
      <c r="AN16" s="561">
        <f>CHOOSE(uxb_works!$B$46,Scores_2014_O!AO16,Scores_2014_N!AN16,Scores_2017!AN16)</f>
        <v>50</v>
      </c>
      <c r="AO16" s="561">
        <f>CHOOSE(uxb_works!$B$46,Scores_2014_O!AP16,Scores_2014_N!AO16,Scores_2017!AO16)</f>
        <v>50</v>
      </c>
      <c r="AP16" s="561">
        <f>CHOOSE(uxb_works!$B$46,Scores_2014_O!AQ16,Scores_2014_N!AP16,Scores_2017!AP16)</f>
        <v>50</v>
      </c>
      <c r="AQ16" s="561">
        <f>CHOOSE(uxb_works!$B$46,Scores_2014_O!Y16,Scores_2014_N!AQ16,Scores_2017!AQ16)</f>
        <v>50</v>
      </c>
      <c r="AR16" s="561">
        <f>CHOOSE(uxb_works!$B$46,Scores_2014_O!AR16,Scores_2014_N!AR16,Scores_2017!AR16)</f>
        <v>50</v>
      </c>
      <c r="AS16" s="561">
        <f>CHOOSE(uxb_works!$B$46,Scores_2014_O!AS16,Scores_2014_N!AS16,Scores_2017!AS16)</f>
        <v>50</v>
      </c>
      <c r="AT16" s="561">
        <f>CHOOSE(uxb_works!$B$46,Scores_2014_O!AT16,Scores_2014_N!AT16,Scores_2017!AT16)</f>
        <v>25</v>
      </c>
      <c r="AU16" s="561">
        <f>CHOOSE(uxb_works!$B$46,Scores_2014_O!AU16,Scores_2014_N!AU16,Scores_2017!AU16)</f>
        <v>50</v>
      </c>
      <c r="AV16" s="561">
        <f>CHOOSE(uxb_works!$B$46,Scores_2014_O!AV16,Scores_2014_N!AV16,Scores_2017!AV16)</f>
        <v>50</v>
      </c>
      <c r="AW16" s="561">
        <f>CHOOSE(uxb_works!$B$46,Scores_2014_O!AW16,Scores_2014_N!AW16,Scores_2017!AW16)</f>
        <v>50</v>
      </c>
      <c r="AX16" s="561">
        <f>CHOOSE(uxb_works!$B$46,Scores_2014_O!AX16,Scores_2014_N!AX16,Scores_2017!AX16)</f>
        <v>25</v>
      </c>
      <c r="AY16" s="561">
        <f>CHOOSE(uxb_works!$B$46,Scores_2014_O!AY16,Scores_2014_N!AY16,Scores_2017!AY16)</f>
        <v>0</v>
      </c>
      <c r="AZ16" s="561">
        <f>CHOOSE(uxb_works!$B$46,Scores_2014_O!AZ16,Scores_2014_N!AZ16,Scores_2017!AZ16)</f>
        <v>25</v>
      </c>
      <c r="BA16" s="561">
        <f>CHOOSE(uxb_works!$B$46,Scores_2014_O!BA16,Scores_2014_N!BA16,Scores_2017!BA16)</f>
        <v>50</v>
      </c>
      <c r="BB16" s="561">
        <f>CHOOSE(uxb_works!$B$46,Scores_2014_O!BB16,Scores_2014_N!BB16,Scores_2017!BB16)</f>
        <v>75</v>
      </c>
      <c r="BC16" s="561">
        <f>CHOOSE(uxb_works!$B$46,Scores_2014_O!BC16,Scores_2014_N!BC16,Scores_2017!BC16)</f>
        <v>25</v>
      </c>
      <c r="BD16" s="561">
        <f>CHOOSE(uxb_works!$B$46,Scores_2014_O!BD16,Scores_2014_N!BD16,Scores_2017!BD16)</f>
        <v>75</v>
      </c>
      <c r="BE16" s="561">
        <f>CHOOSE(uxb_works!$B$46,Scores_2014_O!BE16,Scores_2014_N!BE16,Scores_2017!BE16)</f>
        <v>25</v>
      </c>
      <c r="BF16" s="561">
        <f>CHOOSE(uxb_works!$B$46,Scores_2014_O!BF16,Scores_2014_N!BF16,Scores_2017!BF16)</f>
        <v>50</v>
      </c>
      <c r="BG16" s="561">
        <f>CHOOSE(uxb_works!$B$46,Scores_2014_O!BG16,Scores_2014_N!BG16,Scores_2017!BG16)</f>
        <v>25</v>
      </c>
      <c r="BH16" s="561">
        <f>CHOOSE(uxb_works!$B$46,Scores_2014_O!BH16,Scores_2014_N!BH16,Scores_2017!BH16)</f>
        <v>50</v>
      </c>
      <c r="BI16" s="561">
        <f>CHOOSE(uxb_works!$B$46,Scores_2014_O!BI16,Scores_2014_N!BI16,Scores_2017!BI16)</f>
        <v>25</v>
      </c>
      <c r="BJ16" s="561">
        <f>CHOOSE(uxb_works!$B$46,Scores_2014_O!BJ16,Scores_2014_N!BJ16,Scores_2017!BJ16)</f>
        <v>25</v>
      </c>
      <c r="BK16" s="561">
        <f>CHOOSE(uxb_works!$B$46,Scores_2014_O!BK16,Scores_2014_N!BK16,Scores_2017!BK16)</f>
        <v>75</v>
      </c>
      <c r="BL16" s="561">
        <f>CHOOSE(uxb_works!$B$46,Scores_2014_O!BL16,Scores_2014_N!BL16,Scores_2017!BL16)</f>
        <v>25</v>
      </c>
      <c r="BM16" s="561">
        <f>CHOOSE(uxb_works!$B$46,Scores_2014_O!BM16,Scores_2014_N!BM16,Scores_2017!BM16)</f>
        <v>50</v>
      </c>
      <c r="BN16" s="561">
        <f>CHOOSE(uxb_works!$B$46,Scores_2014_O!BN16,Scores_2014_N!BN16,Scores_2017!BN16)</f>
        <v>75</v>
      </c>
      <c r="BO16" s="561">
        <f>CHOOSE(uxb_works!$B$46,Scores_2014_O!BO16,Scores_2014_N!BO16,Scores_2017!BO16)</f>
        <v>50</v>
      </c>
      <c r="BP16" s="561">
        <f>CHOOSE(uxb_works!$B$46,Scores_2014_O!BP16,Scores_2014_N!BP16,Scores_2017!BP16)</f>
        <v>50</v>
      </c>
      <c r="BQ16" s="561">
        <f>CHOOSE(uxb_works!$B$46,Scores_2014_O!BQ16,Scores_2014_N!BQ16,Scores_2017!BQ16)</f>
        <v>50</v>
      </c>
      <c r="BR16" s="561">
        <f>CHOOSE(uxb_works!$B$46,Scores_2014_O!BR16,Scores_2014_N!BR16,Scores_2017!BR16)</f>
        <v>75</v>
      </c>
      <c r="BS16" s="561">
        <f>CHOOSE(uxb_works!$B$46,Scores_2014_O!BS16,Scores_2014_N!BS16,Scores_2017!BS16)</f>
        <v>50</v>
      </c>
      <c r="BT16" s="561">
        <f>CHOOSE(uxb_works!$B$46,Scores_2014_O!BT16,Scores_2014_N!BT16,Scores_2017!BT16)</f>
        <v>50</v>
      </c>
      <c r="BU16" s="561">
        <f>CHOOSE(uxb_works!$B$46,Scores_2014_O!BU16,Scores_2014_N!BU16,Scores_2017!BU16)</f>
        <v>50</v>
      </c>
      <c r="BV16" s="561">
        <f>CHOOSE(uxb_works!$B$46,Scores_2014_O!BV16,Scores_2014_N!BV16,Scores_2017!BV16)</f>
        <v>75</v>
      </c>
      <c r="BW16" s="561">
        <f>CHOOSE(uxb_works!$B$46,Scores_2014_O!BW16,Scores_2014_N!BW16,Scores_2017!BW16)</f>
        <v>50</v>
      </c>
      <c r="BX16" s="561">
        <f>CHOOSE(uxb_works!$B$46,Scores_2014_O!BX16,Scores_2014_N!BX16,Scores_2017!BX16)</f>
        <v>75</v>
      </c>
      <c r="BY16"/>
      <c r="BZ16" s="214"/>
      <c r="CA16" s="214"/>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row>
    <row r="17" s="69" customFormat="1" ht="24.95" customHeight="1" spans="1:130">
      <c r="A17"/>
      <c r="B17" s="92">
        <f>tblIndicators!A13</f>
        <v>12</v>
      </c>
      <c r="C17" s="92"/>
      <c r="D17" s="92"/>
      <c r="E17" s="92"/>
      <c r="F17" s="92">
        <f>CHOOSE(uxb_works!$B$46,Scores_2014_O!F17,Scores_2014_N!F17,Scores_2017!F17)</f>
        <v>3</v>
      </c>
      <c r="G17" s="92"/>
      <c r="H17" s="92"/>
      <c r="I17" s="104"/>
      <c r="J17" s="92"/>
      <c r="K17" s="92"/>
      <c r="L17" s="165"/>
      <c r="M17" s="92"/>
      <c r="N17" s="105" t="str">
        <f>REPT(" ",F17)&amp;CHOOSE(uxb_works!$B$46,Scores_2014_O!N17,Scores_2014_N!N17,Scores_2017!N17)</f>
        <v>      1.2.3) Percentage with Internet access</v>
      </c>
      <c r="O17" s="556">
        <f>CHOOSE(uxb_works!$B$46,Scores_2014_O!O17,Scores_2014_N!O17,Scores_2017!O17)</f>
        <v>0.333333333333333</v>
      </c>
      <c r="P17" s="557">
        <f>CHOOSE(uxb_works!$B$46,Scores_2014_O!P17,Scores_2014_N!P17,Scores_2017!P17)</f>
        <v>97.6452647517627</v>
      </c>
      <c r="Q17" s="561">
        <f>CHOOSE(uxb_works!$B$46,Scores_2014_O!Q17,Scores_2014_N!Q17,Scores_2017!Q17)</f>
        <v>100</v>
      </c>
      <c r="R17" s="561">
        <f>CHOOSE(uxb_works!$B$46,Scores_2014_O!R17,Scores_2014_N!R17,Scores_2017!R17)</f>
        <v>66.6293926667641</v>
      </c>
      <c r="S17" s="561">
        <f>CHOOSE(uxb_works!$B$46,Scores_2014_O!S17,Scores_2014_N!S17,Scores_2017!S17)</f>
        <v>31.6610354164422</v>
      </c>
      <c r="T17" s="561">
        <f>CHOOSE(uxb_works!$B$46,Scores_2014_O!T17,Scores_2014_N!T17,Scores_2017!T17)</f>
        <v>81.6930867319385</v>
      </c>
      <c r="U17" s="561">
        <f>CHOOSE(uxb_works!$B$46,Scores_2014_O!U17,Scores_2014_N!U17,Scores_2017!U17)</f>
        <v>77.2588361617099</v>
      </c>
      <c r="V17" s="561">
        <f>CHOOSE(uxb_works!$B$46,Scores_2014_O!V17,Scores_2014_N!V17,Scores_2017!V17)</f>
        <v>52.7405570950327</v>
      </c>
      <c r="W17" s="561">
        <f>CHOOSE(uxb_works!$B$46,Scores_2014_O!W17,Scores_2014_N!W17,Scores_2017!W17)</f>
        <v>89.7789609448959</v>
      </c>
      <c r="X17" s="561">
        <f>CHOOSE(uxb_works!$B$46,Scores_2014_O!X17,Scores_2014_N!X17,Scores_2017!X17)</f>
        <v>69.8899201639082</v>
      </c>
      <c r="Y17" s="561">
        <f>CHOOSE(uxb_works!$B$46,Scores_2014_O!Z17,Scores_2014_N!Y17,Scores_2017!Y17)</f>
        <v>29.759116895534</v>
      </c>
      <c r="Z17" s="561">
        <f>CHOOSE(uxb_works!$B$46,Scores_2014_O!AA17,Scores_2014_N!Z17,Scores_2017!Z17)</f>
        <v>60.3193891650556</v>
      </c>
      <c r="AA17" s="561">
        <f>CHOOSE(uxb_works!$B$46,Scores_2014_O!AB17,Scores_2014_N!AA17,Scores_2017!AA17)</f>
        <v>54.2336698582529</v>
      </c>
      <c r="AB17" s="561">
        <f>CHOOSE(uxb_works!$B$46,Scores_2014_O!AC17,Scores_2014_N!AB17,Scores_2017!AB17)</f>
        <v>85.0101338687235</v>
      </c>
      <c r="AC17" s="561">
        <f>CHOOSE(uxb_works!$B$46,Scores_2014_O!AD17,Scores_2014_N!AC17,Scores_2017!AC17)</f>
        <v>72.430158901603</v>
      </c>
      <c r="AD17" s="561">
        <f>CHOOSE(uxb_works!$B$46,Scores_2014_O!AE17,Scores_2014_N!AD17,Scores_2017!AD17)</f>
        <v>14.7401726887473</v>
      </c>
      <c r="AE17" s="561">
        <f>CHOOSE(uxb_works!$B$46,Scores_2014_O!AF17,Scores_2014_N!AE17,Scores_2017!AE17)</f>
        <v>0</v>
      </c>
      <c r="AF17" s="561">
        <f>CHOOSE(uxb_works!$B$46,Scores_2014_O!AG17,Scores_2014_N!AF17,Scores_2017!AF17)</f>
        <v>99.7310254630741</v>
      </c>
      <c r="AG17" s="561">
        <f>CHOOSE(uxb_works!$B$46,Scores_2014_O!AH17,Scores_2014_N!AG17,Scores_2017!AG17)</f>
        <v>93.0026112978341</v>
      </c>
      <c r="AH17" s="561">
        <f>CHOOSE(uxb_works!$B$46,Scores_2014_O!AI17,Scores_2014_N!AH17,Scores_2017!AH17)</f>
        <v>48.6933980546212</v>
      </c>
      <c r="AI17" s="561">
        <f>CHOOSE(uxb_works!$B$46,Scores_2014_O!AJ17,Scores_2014_N!AI17,Scores_2017!AI17)</f>
        <v>89.6461125506296</v>
      </c>
      <c r="AJ17" s="561">
        <f>CHOOSE(uxb_works!$B$46,Scores_2014_O!AK17,Scores_2014_N!AJ17,Scores_2017!AJ17)</f>
        <v>49.995843706338</v>
      </c>
      <c r="AK17" s="561">
        <f>CHOOSE(uxb_works!$B$46,Scores_2014_O!AL17,Scores_2014_N!AK17,Scores_2017!AK17)</f>
        <v>9.62694365231948</v>
      </c>
      <c r="AL17" s="561">
        <f>CHOOSE(uxb_works!$B$46,Scores_2014_O!AM17,Scores_2014_N!AL17,Scores_2017!AL17)</f>
        <v>70.1635216323476</v>
      </c>
      <c r="AM17" s="561">
        <f>CHOOSE(uxb_works!$B$46,Scores_2014_O!AN17,Scores_2014_N!AM17,Scores_2017!AM17)</f>
        <v>47.6757107657227</v>
      </c>
      <c r="AN17" s="561">
        <f>CHOOSE(uxb_works!$B$46,Scores_2014_O!AO17,Scores_2014_N!AN17,Scores_2017!AN17)</f>
        <v>4.57453635168019</v>
      </c>
      <c r="AO17" s="561">
        <f>CHOOSE(uxb_works!$B$46,Scores_2014_O!AP17,Scores_2014_N!AO17,Scores_2017!AO17)</f>
        <v>72.0032883434406</v>
      </c>
      <c r="AP17" s="561">
        <f>CHOOSE(uxb_works!$B$46,Scores_2014_O!AQ17,Scores_2014_N!AP17,Scores_2017!AP17)</f>
        <v>86.0001585366418</v>
      </c>
      <c r="AQ17" s="561">
        <f>CHOOSE(uxb_works!$B$46,Scores_2014_O!Y17,Scores_2014_N!AQ17,Scores_2017!AQ17)</f>
        <v>33.6736703665347</v>
      </c>
      <c r="AR17" s="561">
        <f>CHOOSE(uxb_works!$B$46,Scores_2014_O!AR17,Scores_2014_N!AR17,Scores_2017!AR17)</f>
        <v>98.6070536809134</v>
      </c>
      <c r="AS17" s="561">
        <f>CHOOSE(uxb_works!$B$46,Scores_2014_O!AS17,Scores_2014_N!AS17,Scores_2017!AS17)</f>
        <v>75.2257088942964</v>
      </c>
      <c r="AT17" s="561">
        <f>CHOOSE(uxb_works!$B$46,Scores_2014_O!AT17,Scores_2014_N!AT17,Scores_2017!AT17)</f>
        <v>81.6930867319385</v>
      </c>
      <c r="AU17" s="561">
        <f>CHOOSE(uxb_works!$B$46,Scores_2014_O!AU17,Scores_2014_N!AU17,Scores_2017!AU17)</f>
        <v>33.4195294581081</v>
      </c>
      <c r="AV17" s="561">
        <f>CHOOSE(uxb_works!$B$46,Scores_2014_O!AV17,Scores_2014_N!AV17,Scores_2017!AV17)</f>
        <v>90.092952037257</v>
      </c>
      <c r="AW17" s="561">
        <f>CHOOSE(uxb_works!$B$46,Scores_2014_O!AW17,Scores_2014_N!AW17,Scores_2017!AW17)</f>
        <v>54.6797417831331</v>
      </c>
      <c r="AX17" s="561">
        <f>CHOOSE(uxb_works!$B$46,Scores_2014_O!AX17,Scores_2014_N!AX17,Scores_2017!AX17)</f>
        <v>65.0239845482328</v>
      </c>
      <c r="AY17" s="561">
        <f>CHOOSE(uxb_works!$B$46,Scores_2014_O!AY17,Scores_2014_N!AY17,Scores_2017!AY17)</f>
        <v>70.7772788197629</v>
      </c>
      <c r="AZ17" s="561">
        <f>CHOOSE(uxb_works!$B$46,Scores_2014_O!AZ17,Scores_2014_N!AZ17,Scores_2017!AZ17)</f>
        <v>14.7401726887473</v>
      </c>
      <c r="BA17" s="561">
        <f>CHOOSE(uxb_works!$B$46,Scores_2014_O!BA17,Scores_2014_N!BA17,Scores_2017!BA17)</f>
        <v>74.2091452605897</v>
      </c>
      <c r="BB17" s="561">
        <f>CHOOSE(uxb_works!$B$46,Scores_2014_O!BB17,Scores_2014_N!BB17,Scores_2017!BB17)</f>
        <v>87.9327543156303</v>
      </c>
      <c r="BC17" s="561">
        <f>CHOOSE(uxb_works!$B$46,Scores_2014_O!BC17,Scores_2014_N!BC17,Scores_2017!BC17)</f>
        <v>89.3235404369953</v>
      </c>
      <c r="BD17" s="561">
        <f>CHOOSE(uxb_works!$B$46,Scores_2014_O!BD17,Scores_2014_N!BD17,Scores_2017!BD17)</f>
        <v>43.8906861032789</v>
      </c>
      <c r="BE17" s="561">
        <f>CHOOSE(uxb_works!$B$46,Scores_2014_O!BE17,Scores_2014_N!BE17,Scores_2017!BE17)</f>
        <v>56.774415521027</v>
      </c>
      <c r="BF17" s="561">
        <f>CHOOSE(uxb_works!$B$46,Scores_2014_O!BF17,Scores_2014_N!BF17,Scores_2017!BF17)</f>
        <v>70.1635216323476</v>
      </c>
      <c r="BG17" s="561">
        <f>CHOOSE(uxb_works!$B$46,Scores_2014_O!BG17,Scores_2014_N!BG17,Scores_2017!BG17)</f>
        <v>65.0239845482328</v>
      </c>
      <c r="BH17" s="561">
        <f>CHOOSE(uxb_works!$B$46,Scores_2014_O!BH17,Scores_2014_N!BH17,Scores_2017!BH17)</f>
        <v>75.2257088942964</v>
      </c>
      <c r="BI17" s="561">
        <f>CHOOSE(uxb_works!$B$46,Scores_2014_O!BI17,Scores_2014_N!BI17,Scores_2017!BI17)</f>
        <v>63.3941789024925</v>
      </c>
      <c r="BJ17" s="561">
        <f>CHOOSE(uxb_works!$B$46,Scores_2014_O!BJ17,Scores_2014_N!BJ17,Scores_2017!BJ17)</f>
        <v>56.774415521027</v>
      </c>
      <c r="BK17" s="561">
        <f>CHOOSE(uxb_works!$B$46,Scores_2014_O!BK17,Scores_2014_N!BK17,Scores_2017!BK17)</f>
        <v>95.6187770196134</v>
      </c>
      <c r="BL17" s="561">
        <f>CHOOSE(uxb_works!$B$46,Scores_2014_O!BL17,Scores_2014_N!BL17,Scores_2017!BL17)</f>
        <v>71.5406657221096</v>
      </c>
      <c r="BM17" s="561">
        <f>CHOOSE(uxb_works!$B$46,Scores_2014_O!BM17,Scores_2014_N!BM17,Scores_2017!BM17)</f>
        <v>86.0305096160566</v>
      </c>
      <c r="BN17" s="561">
        <f>CHOOSE(uxb_works!$B$46,Scores_2014_O!BN17,Scores_2014_N!BN17,Scores_2017!BN17)</f>
        <v>96.8406472968938</v>
      </c>
      <c r="BO17" s="561">
        <f>CHOOSE(uxb_works!$B$46,Scores_2014_O!BO17,Scores_2014_N!BO17,Scores_2017!BO17)</f>
        <v>87.9327543156303</v>
      </c>
      <c r="BP17" s="561">
        <f>CHOOSE(uxb_works!$B$46,Scores_2014_O!BP17,Scores_2014_N!BP17,Scores_2017!BP17)</f>
        <v>80.8636637505093</v>
      </c>
      <c r="BQ17" s="561">
        <f>CHOOSE(uxb_works!$B$46,Scores_2014_O!BQ17,Scores_2014_N!BQ17,Scores_2017!BQ17)</f>
        <v>39.3092143674733</v>
      </c>
      <c r="BR17" s="561">
        <f>CHOOSE(uxb_works!$B$46,Scores_2014_O!BR17,Scores_2014_N!BR17,Scores_2017!BR17)</f>
        <v>95.684052022644</v>
      </c>
      <c r="BS17" s="561">
        <f>CHOOSE(uxb_works!$B$46,Scores_2014_O!BS17,Scores_2014_N!BS17,Scores_2017!BS17)</f>
        <v>94.1210854358199</v>
      </c>
      <c r="BT17" s="561">
        <f>CHOOSE(uxb_works!$B$46,Scores_2014_O!BT17,Scores_2014_N!BT17,Scores_2017!BT17)</f>
        <v>79.8002452459766</v>
      </c>
      <c r="BU17" s="561">
        <f>CHOOSE(uxb_works!$B$46,Scores_2014_O!BU17,Scores_2014_N!BU17,Scores_2017!BU17)</f>
        <v>93.807080134377</v>
      </c>
      <c r="BV17" s="561">
        <f>CHOOSE(uxb_works!$B$46,Scores_2014_O!BV17,Scores_2014_N!BV17,Scores_2017!BV17)</f>
        <v>9.40321361178705</v>
      </c>
      <c r="BW17" s="561">
        <f>CHOOSE(uxb_works!$B$46,Scores_2014_O!BW17,Scores_2014_N!BW17,Scores_2017!BW17)</f>
        <v>92.8618878830285</v>
      </c>
      <c r="BX17" s="561">
        <f>CHOOSE(uxb_works!$B$46,Scores_2014_O!BX17,Scores_2014_N!BX17,Scores_2017!BX17)</f>
        <v>90.4741633998971</v>
      </c>
      <c r="BY17"/>
      <c r="BZ17" s="214"/>
      <c r="CA17" s="214"/>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row>
    <row r="18" s="69" customFormat="1" ht="24.95" customHeight="1" spans="1:130">
      <c r="A18"/>
      <c r="B18" s="92">
        <f>tblIndicators!A14</f>
        <v>13</v>
      </c>
      <c r="C18" s="92"/>
      <c r="D18" s="92"/>
      <c r="E18" s="92"/>
      <c r="F18" s="92">
        <f>CHOOSE(uxb_works!$B$46,Scores_2014_O!F18,Scores_2014_N!F18,Scores_2017!F18)</f>
        <v>1</v>
      </c>
      <c r="G18" s="92"/>
      <c r="H18" s="92"/>
      <c r="I18" s="104"/>
      <c r="J18" s="92"/>
      <c r="K18" s="92"/>
      <c r="L18" s="165"/>
      <c r="M18" s="92"/>
      <c r="N18" s="105" t="str">
        <f>REPT(" ",F18)&amp;CHOOSE(uxb_works!$B$46,Scores_2014_O!N18,Scores_2014_N!N18,Scores_2017!N18)</f>
        <v>  2) HEALTH SECURITY</v>
      </c>
      <c r="O18" s="556">
        <f>CHOOSE(uxb_works!$B$46,Scores_2014_O!O18,Scores_2014_N!O18,Scores_2017!O18)</f>
        <v>0.25</v>
      </c>
      <c r="P18" s="557">
        <f>CHOOSE(uxb_works!$B$46,Scores_2014_O!P18,Scores_2014_N!P18,Scores_2017!P18)</f>
        <v>68.5404322865189</v>
      </c>
      <c r="Q18" s="561">
        <f>CHOOSE(uxb_works!$B$46,Scores_2014_O!Q18,Scores_2014_N!Q18,Scores_2017!Q18)</f>
        <v>79.7932254038547</v>
      </c>
      <c r="R18" s="561">
        <f>CHOOSE(uxb_works!$B$46,Scores_2014_O!R18,Scores_2014_N!R18,Scores_2017!R18)</f>
        <v>74.5716076702999</v>
      </c>
      <c r="S18" s="561">
        <f>CHOOSE(uxb_works!$B$46,Scores_2014_O!S18,Scores_2014_N!S18,Scores_2017!S18)</f>
        <v>66.6373895667999</v>
      </c>
      <c r="T18" s="561">
        <f>CHOOSE(uxb_works!$B$46,Scores_2014_O!T18,Scores_2014_N!T18,Scores_2017!T18)</f>
        <v>78.5411276097704</v>
      </c>
      <c r="U18" s="561">
        <f>CHOOSE(uxb_works!$B$46,Scores_2014_O!U18,Scores_2014_N!U18,Scores_2017!U18)</f>
        <v>67.6294169135286</v>
      </c>
      <c r="V18" s="561">
        <f>CHOOSE(uxb_works!$B$46,Scores_2014_O!V18,Scores_2014_N!V18,Scores_2017!V18)</f>
        <v>65.3739668546807</v>
      </c>
      <c r="W18" s="561">
        <f>CHOOSE(uxb_works!$B$46,Scores_2014_O!W18,Scores_2014_N!W18,Scores_2017!W18)</f>
        <v>81.4126196569291</v>
      </c>
      <c r="X18" s="561">
        <f>CHOOSE(uxb_works!$B$46,Scores_2014_O!X18,Scores_2014_N!X18,Scores_2017!X18)</f>
        <v>74.8441020956128</v>
      </c>
      <c r="Y18" s="561">
        <f>CHOOSE(uxb_works!$B$46,Scores_2014_O!Z18,Scores_2014_N!Y18,Scores_2017!Y18)</f>
        <v>52.2806390395639</v>
      </c>
      <c r="Z18" s="561">
        <f>CHOOSE(uxb_works!$B$46,Scores_2014_O!AA18,Scores_2014_N!Z18,Scores_2017!Z18)</f>
        <v>56.7224351756007</v>
      </c>
      <c r="AA18" s="561">
        <f>CHOOSE(uxb_works!$B$46,Scores_2014_O!AB18,Scores_2014_N!AA18,Scores_2017!AA18)</f>
        <v>58.5216055295972</v>
      </c>
      <c r="AB18" s="561">
        <f>CHOOSE(uxb_works!$B$46,Scores_2014_O!AC18,Scores_2014_N!AB18,Scores_2017!AB18)</f>
        <v>71.7808287167097</v>
      </c>
      <c r="AC18" s="561">
        <f>CHOOSE(uxb_works!$B$46,Scores_2014_O!AD18,Scores_2014_N!AC18,Scores_2017!AC18)</f>
        <v>70.2733087872303</v>
      </c>
      <c r="AD18" s="561">
        <f>CHOOSE(uxb_works!$B$46,Scores_2014_O!AE18,Scores_2014_N!AD18,Scores_2017!AD18)</f>
        <v>59.6494460841144</v>
      </c>
      <c r="AE18" s="561">
        <f>CHOOSE(uxb_works!$B$46,Scores_2014_O!AF18,Scores_2014_N!AE18,Scores_2017!AE18)</f>
        <v>45.5859282500325</v>
      </c>
      <c r="AF18" s="561">
        <f>CHOOSE(uxb_works!$B$46,Scores_2014_O!AG18,Scores_2014_N!AF18,Scores_2017!AF18)</f>
        <v>62.6022311014463</v>
      </c>
      <c r="AG18" s="561">
        <f>CHOOSE(uxb_works!$B$46,Scores_2014_O!AH18,Scores_2014_N!AG18,Scores_2017!AG18)</f>
        <v>84.0633016902858</v>
      </c>
      <c r="AH18" s="561">
        <f>CHOOSE(uxb_works!$B$46,Scores_2014_O!AI18,Scores_2014_N!AH18,Scores_2017!AH18)</f>
        <v>61.287417956729</v>
      </c>
      <c r="AI18" s="561">
        <f>CHOOSE(uxb_works!$B$46,Scores_2014_O!AJ18,Scores_2014_N!AI18,Scores_2017!AI18)</f>
        <v>73.2917363465489</v>
      </c>
      <c r="AJ18" s="561">
        <f>CHOOSE(uxb_works!$B$46,Scores_2014_O!AK18,Scores_2014_N!AJ18,Scores_2017!AJ18)</f>
        <v>62.5983055141362</v>
      </c>
      <c r="AK18" s="561">
        <f>CHOOSE(uxb_works!$B$46,Scores_2014_O!AL18,Scores_2014_N!AK18,Scores_2017!AK18)</f>
        <v>54.4048711125749</v>
      </c>
      <c r="AL18" s="561">
        <f>CHOOSE(uxb_works!$B$46,Scores_2014_O!AM18,Scores_2014_N!AL18,Scores_2017!AL18)</f>
        <v>63.5595116955628</v>
      </c>
      <c r="AM18" s="561">
        <f>CHOOSE(uxb_works!$B$46,Scores_2014_O!AN18,Scores_2014_N!AM18,Scores_2017!AM18)</f>
        <v>57.7085752751893</v>
      </c>
      <c r="AN18" s="561">
        <f>CHOOSE(uxb_works!$B$46,Scores_2014_O!AO18,Scores_2014_N!AN18,Scores_2017!AN18)</f>
        <v>39.9212106600053</v>
      </c>
      <c r="AO18" s="561">
        <f>CHOOSE(uxb_works!$B$46,Scores_2014_O!AP18,Scores_2014_N!AO18,Scores_2017!AO18)</f>
        <v>67.1493273990489</v>
      </c>
      <c r="AP18" s="561">
        <f>CHOOSE(uxb_works!$B$46,Scores_2014_O!AQ18,Scores_2014_N!AP18,Scores_2017!AP18)</f>
        <v>63.8103578590452</v>
      </c>
      <c r="AQ18" s="561">
        <f>CHOOSE(uxb_works!$B$46,Scores_2014_O!Y18,Scores_2014_N!AQ18,Scores_2017!AQ18)</f>
        <v>62.4800665576582</v>
      </c>
      <c r="AR18" s="561">
        <f>CHOOSE(uxb_works!$B$46,Scores_2014_O!AR18,Scores_2014_N!AR18,Scores_2017!AR18)</f>
        <v>76.0642876445033</v>
      </c>
      <c r="AS18" s="561">
        <f>CHOOSE(uxb_works!$B$46,Scores_2014_O!AS18,Scores_2014_N!AS18,Scores_2017!AS18)</f>
        <v>72.2636540212726</v>
      </c>
      <c r="AT18" s="561">
        <f>CHOOSE(uxb_works!$B$46,Scores_2014_O!AT18,Scores_2014_N!AT18,Scores_2017!AT18)</f>
        <v>78.6915054456037</v>
      </c>
      <c r="AU18" s="561">
        <f>CHOOSE(uxb_works!$B$46,Scores_2014_O!AU18,Scores_2014_N!AU18,Scores_2017!AU18)</f>
        <v>60.1191675579554</v>
      </c>
      <c r="AV18" s="561">
        <f>CHOOSE(uxb_works!$B$46,Scores_2014_O!AV18,Scores_2014_N!AV18,Scores_2017!AV18)</f>
        <v>81.3391869794216</v>
      </c>
      <c r="AW18" s="561">
        <f>CHOOSE(uxb_works!$B$46,Scores_2014_O!AW18,Scores_2014_N!AW18,Scores_2017!AW18)</f>
        <v>70.7886932164127</v>
      </c>
      <c r="AX18" s="561">
        <f>CHOOSE(uxb_works!$B$46,Scores_2014_O!AX18,Scores_2014_N!AX18,Scores_2017!AX18)</f>
        <v>76.7221090946216</v>
      </c>
      <c r="AY18" s="561">
        <f>CHOOSE(uxb_works!$B$46,Scores_2014_O!AY18,Scores_2014_N!AY18,Scores_2017!AY18)</f>
        <v>72.5922613624171</v>
      </c>
      <c r="AZ18" s="561">
        <f>CHOOSE(uxb_works!$B$46,Scores_2014_O!AZ18,Scores_2014_N!AZ18,Scores_2017!AZ18)</f>
        <v>55.7426683048991</v>
      </c>
      <c r="BA18" s="561">
        <f>CHOOSE(uxb_works!$B$46,Scores_2014_O!BA18,Scores_2014_N!BA18,Scores_2017!BA18)</f>
        <v>69.7300246464941</v>
      </c>
      <c r="BB18" s="561">
        <f>CHOOSE(uxb_works!$B$46,Scores_2014_O!BB18,Scores_2014_N!BB18,Scores_2017!BB18)</f>
        <v>87.1482616413409</v>
      </c>
      <c r="BC18" s="561">
        <f>CHOOSE(uxb_works!$B$46,Scores_2014_O!BC18,Scores_2014_N!BC18,Scores_2017!BC18)</f>
        <v>81.3513942026754</v>
      </c>
      <c r="BD18" s="561">
        <f>CHOOSE(uxb_works!$B$46,Scores_2014_O!BD18,Scores_2014_N!BD18,Scores_2017!BD18)</f>
        <v>57.464131117582</v>
      </c>
      <c r="BE18" s="561">
        <f>CHOOSE(uxb_works!$B$46,Scores_2014_O!BE18,Scores_2014_N!BE18,Scores_2017!BE18)</f>
        <v>64.8041839567064</v>
      </c>
      <c r="BF18" s="561">
        <f>CHOOSE(uxb_works!$B$46,Scores_2014_O!BF18,Scores_2014_N!BF18,Scores_2017!BF18)</f>
        <v>66.1348096614954</v>
      </c>
      <c r="BG18" s="561">
        <f>CHOOSE(uxb_works!$B$46,Scores_2014_O!BG18,Scores_2014_N!BG18,Scores_2017!BG18)</f>
        <v>76.3781291129955</v>
      </c>
      <c r="BH18" s="561">
        <f>CHOOSE(uxb_works!$B$46,Scores_2014_O!BH18,Scores_2014_N!BH18,Scores_2017!BH18)</f>
        <v>74.1470061961219</v>
      </c>
      <c r="BI18" s="561">
        <f>CHOOSE(uxb_works!$B$46,Scores_2014_O!BI18,Scores_2014_N!BI18,Scores_2017!BI18)</f>
        <v>67.1662319709746</v>
      </c>
      <c r="BJ18" s="561">
        <f>CHOOSE(uxb_works!$B$46,Scores_2014_O!BJ18,Scores_2014_N!BJ18,Scores_2017!BJ18)</f>
        <v>63.7395189240267</v>
      </c>
      <c r="BK18" s="561">
        <f>CHOOSE(uxb_works!$B$46,Scores_2014_O!BK18,Scores_2014_N!BK18,Scores_2017!BK18)</f>
        <v>82.7224155922812</v>
      </c>
      <c r="BL18" s="561">
        <f>CHOOSE(uxb_works!$B$46,Scores_2014_O!BL18,Scores_2014_N!BL18,Scores_2017!BL18)</f>
        <v>69.9217059101635</v>
      </c>
      <c r="BM18" s="561">
        <f>CHOOSE(uxb_works!$B$46,Scores_2014_O!BM18,Scores_2014_N!BM18,Scores_2017!BM18)</f>
        <v>79.7204264778452</v>
      </c>
      <c r="BN18" s="561">
        <f>CHOOSE(uxb_works!$B$46,Scores_2014_O!BN18,Scores_2014_N!BN18,Scores_2017!BN18)</f>
        <v>79.9430805624143</v>
      </c>
      <c r="BO18" s="561">
        <f>CHOOSE(uxb_works!$B$46,Scores_2014_O!BO18,Scores_2014_N!BO18,Scores_2017!BO18)</f>
        <v>81.7986033130295</v>
      </c>
      <c r="BP18" s="561">
        <f>CHOOSE(uxb_works!$B$46,Scores_2014_O!BP18,Scores_2014_N!BP18,Scores_2017!BP18)</f>
        <v>79.2262317869643</v>
      </c>
      <c r="BQ18" s="561">
        <f>CHOOSE(uxb_works!$B$46,Scores_2014_O!BQ18,Scores_2014_N!BQ18,Scores_2017!BQ18)</f>
        <v>62.962229439847</v>
      </c>
      <c r="BR18" s="561">
        <f>CHOOSE(uxb_works!$B$46,Scores_2014_O!BR18,Scores_2014_N!BR18,Scores_2017!BR18)</f>
        <v>85.6254192700744</v>
      </c>
      <c r="BS18" s="561">
        <f>CHOOSE(uxb_works!$B$46,Scores_2014_O!BS18,Scores_2014_N!BS18,Scores_2017!BS18)</f>
        <v>79.8359516843624</v>
      </c>
      <c r="BT18" s="561">
        <f>CHOOSE(uxb_works!$B$46,Scores_2014_O!BT18,Scores_2014_N!BT18,Scores_2017!BT18)</f>
        <v>73.3784180107914</v>
      </c>
      <c r="BU18" s="561">
        <f>CHOOSE(uxb_works!$B$46,Scores_2014_O!BU18,Scores_2014_N!BU18,Scores_2017!BU18)</f>
        <v>69.5127604898796</v>
      </c>
      <c r="BV18" s="561">
        <f>CHOOSE(uxb_works!$B$46,Scores_2014_O!BV18,Scores_2014_N!BV18,Scores_2017!BV18)</f>
        <v>45.7892310322449</v>
      </c>
      <c r="BW18" s="561">
        <f>CHOOSE(uxb_works!$B$46,Scores_2014_O!BW18,Scores_2014_N!BW18,Scores_2017!BW18)</f>
        <v>83.3857572780462</v>
      </c>
      <c r="BX18" s="561">
        <f>CHOOSE(uxb_works!$B$46,Scores_2014_O!BX18,Scores_2014_N!BX18,Scores_2017!BX18)</f>
        <v>89.5165886212333</v>
      </c>
      <c r="BY18"/>
      <c r="BZ18" s="214"/>
      <c r="CA18" s="214"/>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row>
    <row r="19" s="69" customFormat="1" ht="24.95" customHeight="1" spans="1:130">
      <c r="A19"/>
      <c r="B19" s="92">
        <f>tblIndicators!A15</f>
        <v>14</v>
      </c>
      <c r="C19" s="92"/>
      <c r="D19" s="92"/>
      <c r="E19" s="92"/>
      <c r="F19" s="92">
        <f>CHOOSE(uxb_works!$B$46,Scores_2014_O!F19,Scores_2014_N!F19,Scores_2017!F19)</f>
        <v>2</v>
      </c>
      <c r="G19" s="92"/>
      <c r="H19" s="92"/>
      <c r="I19" s="104"/>
      <c r="J19" s="92"/>
      <c r="K19" s="92"/>
      <c r="L19" s="165"/>
      <c r="M19" s="92"/>
      <c r="N19" s="105" t="str">
        <f>REPT(" ",F19)&amp;CHOOSE(uxb_works!$B$46,Scores_2014_O!N19,Scores_2014_N!N19,Scores_2017!N19)</f>
        <v>    2.1) Health security (Inputs)</v>
      </c>
      <c r="O19" s="556">
        <f>CHOOSE(uxb_works!$B$46,Scores_2014_O!O19,Scores_2014_N!O19,Scores_2017!O19)</f>
        <v>0.5</v>
      </c>
      <c r="P19" s="557">
        <f>CHOOSE(uxb_works!$B$46,Scores_2014_O!P19,Scores_2014_N!P19,Scores_2017!P19)</f>
        <v>55.909058022829</v>
      </c>
      <c r="Q19" s="561">
        <f>CHOOSE(uxb_works!$B$46,Scores_2014_O!Q19,Scores_2014_N!Q19,Scores_2017!Q19)</f>
        <v>78.9490953407521</v>
      </c>
      <c r="R19" s="561">
        <f>CHOOSE(uxb_works!$B$46,Scores_2014_O!R19,Scores_2014_N!R19,Scores_2017!R19)</f>
        <v>64.9250190551349</v>
      </c>
      <c r="S19" s="561">
        <f>CHOOSE(uxb_works!$B$46,Scores_2014_O!S19,Scores_2014_N!S19,Scores_2017!S19)</f>
        <v>55.2751432727975</v>
      </c>
      <c r="T19" s="561">
        <f>CHOOSE(uxb_works!$B$46,Scores_2014_O!T19,Scores_2014_N!T19,Scores_2017!T19)</f>
        <v>73.8594227662136</v>
      </c>
      <c r="U19" s="561">
        <f>CHOOSE(uxb_works!$B$46,Scores_2014_O!U19,Scores_2014_N!U19,Scores_2017!U19)</f>
        <v>69.4909260892918</v>
      </c>
      <c r="V19" s="561">
        <f>CHOOSE(uxb_works!$B$46,Scores_2014_O!V19,Scores_2014_N!V19,Scores_2017!V19)</f>
        <v>53.2468341093019</v>
      </c>
      <c r="W19" s="561">
        <f>CHOOSE(uxb_works!$B$46,Scores_2014_O!W19,Scores_2014_N!W19,Scores_2017!W19)</f>
        <v>80.6628407448346</v>
      </c>
      <c r="X19" s="561">
        <f>CHOOSE(uxb_works!$B$46,Scores_2014_O!X19,Scores_2014_N!X19,Scores_2017!X19)</f>
        <v>73.199281005837</v>
      </c>
      <c r="Y19" s="561">
        <f>CHOOSE(uxb_works!$B$46,Scores_2014_O!Z19,Scores_2014_N!Y19,Scores_2017!Y19)</f>
        <v>42.3683923150598</v>
      </c>
      <c r="Z19" s="561">
        <f>CHOOSE(uxb_works!$B$46,Scores_2014_O!AA19,Scores_2014_N!Z19,Scores_2017!Z19)</f>
        <v>39.2820646609329</v>
      </c>
      <c r="AA19" s="561">
        <f>CHOOSE(uxb_works!$B$46,Scores_2014_O!AB19,Scores_2014_N!AA19,Scores_2017!AA19)</f>
        <v>43.2719596563894</v>
      </c>
      <c r="AB19" s="561">
        <f>CHOOSE(uxb_works!$B$46,Scores_2014_O!AC19,Scores_2014_N!AB19,Scores_2017!AB19)</f>
        <v>70.1642895040257</v>
      </c>
      <c r="AC19" s="561">
        <f>CHOOSE(uxb_works!$B$46,Scores_2014_O!AD19,Scores_2014_N!AC19,Scores_2017!AC19)</f>
        <v>64.8946930166738</v>
      </c>
      <c r="AD19" s="561">
        <f>CHOOSE(uxb_works!$B$46,Scores_2014_O!AE19,Scores_2014_N!AD19,Scores_2017!AD19)</f>
        <v>57.2648415184866</v>
      </c>
      <c r="AE19" s="561">
        <f>CHOOSE(uxb_works!$B$46,Scores_2014_O!AF19,Scores_2014_N!AE19,Scores_2017!AE19)</f>
        <v>28.6196079891908</v>
      </c>
      <c r="AF19" s="561">
        <f>CHOOSE(uxb_works!$B$46,Scores_2014_O!AG19,Scores_2014_N!AF19,Scores_2017!AF19)</f>
        <v>50.1266823396416</v>
      </c>
      <c r="AG19" s="561">
        <f>CHOOSE(uxb_works!$B$46,Scores_2014_O!AH19,Scores_2014_N!AG19,Scores_2017!AG19)</f>
        <v>84.1613461233051</v>
      </c>
      <c r="AH19" s="561">
        <f>CHOOSE(uxb_works!$B$46,Scores_2014_O!AI19,Scores_2014_N!AH19,Scores_2017!AH19)</f>
        <v>47.7723947866165</v>
      </c>
      <c r="AI19" s="561">
        <f>CHOOSE(uxb_works!$B$46,Scores_2014_O!AJ19,Scores_2014_N!AI19,Scores_2017!AI19)</f>
        <v>72.8916040804561</v>
      </c>
      <c r="AJ19" s="561">
        <f>CHOOSE(uxb_works!$B$46,Scores_2014_O!AK19,Scores_2014_N!AJ19,Scores_2017!AJ19)</f>
        <v>53.4329949341218</v>
      </c>
      <c r="AK19" s="561">
        <f>CHOOSE(uxb_works!$B$46,Scores_2014_O!AL19,Scores_2014_N!AK19,Scores_2017!AK19)</f>
        <v>39.7552494248035</v>
      </c>
      <c r="AL19" s="561">
        <f>CHOOSE(uxb_works!$B$46,Scores_2014_O!AM19,Scores_2014_N!AL19,Scores_2017!AL19)</f>
        <v>50.2155614882312</v>
      </c>
      <c r="AM19" s="561">
        <f>CHOOSE(uxb_works!$B$46,Scores_2014_O!AN19,Scores_2014_N!AM19,Scores_2017!AM19)</f>
        <v>56.1681196644119</v>
      </c>
      <c r="AN19" s="561">
        <f>CHOOSE(uxb_works!$B$46,Scores_2014_O!AO19,Scores_2014_N!AN19,Scores_2017!AN19)</f>
        <v>31.691486179433</v>
      </c>
      <c r="AO19" s="561">
        <f>CHOOSE(uxb_works!$B$46,Scores_2014_O!AP19,Scores_2014_N!AO19,Scores_2017!AO19)</f>
        <v>54.1709826029143</v>
      </c>
      <c r="AP19" s="561">
        <f>CHOOSE(uxb_works!$B$46,Scores_2014_O!AQ19,Scores_2014_N!AP19,Scores_2017!AP19)</f>
        <v>50.8562276538544</v>
      </c>
      <c r="AQ19" s="561">
        <f>CHOOSE(uxb_works!$B$46,Scores_2014_O!Y19,Scores_2014_N!AQ19,Scores_2017!AQ19)</f>
        <v>55.056674171826</v>
      </c>
      <c r="AR19" s="561">
        <f>CHOOSE(uxb_works!$B$46,Scores_2014_O!AR19,Scores_2014_N!AR19,Scores_2017!AR19)</f>
        <v>68.7409713070388</v>
      </c>
      <c r="AS19" s="561">
        <f>CHOOSE(uxb_works!$B$46,Scores_2014_O!AS19,Scores_2014_N!AS19,Scores_2017!AS19)</f>
        <v>69.7943190328006</v>
      </c>
      <c r="AT19" s="561">
        <f>CHOOSE(uxb_works!$B$46,Scores_2014_O!AT19,Scores_2014_N!AT19,Scores_2017!AT19)</f>
        <v>71.7760894328803</v>
      </c>
      <c r="AU19" s="561">
        <f>CHOOSE(uxb_works!$B$46,Scores_2014_O!AU19,Scores_2014_N!AU19,Scores_2017!AU19)</f>
        <v>45.8735524568811</v>
      </c>
      <c r="AV19" s="561">
        <f>CHOOSE(uxb_works!$B$46,Scores_2014_O!AV19,Scores_2014_N!AV19,Scores_2017!AV19)</f>
        <v>75.1781169234014</v>
      </c>
      <c r="AW19" s="561">
        <f>CHOOSE(uxb_works!$B$46,Scores_2014_O!AW19,Scores_2014_N!AW19,Scores_2017!AW19)</f>
        <v>58.9227066230165</v>
      </c>
      <c r="AX19" s="561">
        <f>CHOOSE(uxb_works!$B$46,Scores_2014_O!AX19,Scores_2014_N!AX19,Scores_2017!AX19)</f>
        <v>70.7468664432695</v>
      </c>
      <c r="AY19" s="561">
        <f>CHOOSE(uxb_works!$B$46,Scores_2014_O!AY19,Scores_2014_N!AY19,Scores_2017!AY19)</f>
        <v>74.0238227958988</v>
      </c>
      <c r="AZ19" s="561">
        <f>CHOOSE(uxb_works!$B$46,Scores_2014_O!AZ19,Scores_2014_N!AZ19,Scores_2017!AZ19)</f>
        <v>45.3321028271603</v>
      </c>
      <c r="BA19" s="561">
        <f>CHOOSE(uxb_works!$B$46,Scores_2014_O!BA19,Scores_2014_N!BA19,Scores_2017!BA19)</f>
        <v>72.8691930212223</v>
      </c>
      <c r="BB19" s="561">
        <f>CHOOSE(uxb_works!$B$46,Scores_2014_O!BB19,Scores_2014_N!BB19,Scores_2017!BB19)</f>
        <v>86.898317982776</v>
      </c>
      <c r="BC19" s="561">
        <f>CHOOSE(uxb_works!$B$46,Scores_2014_O!BC19,Scores_2014_N!BC19,Scores_2017!BC19)</f>
        <v>81.0396404923111</v>
      </c>
      <c r="BD19" s="561">
        <f>CHOOSE(uxb_works!$B$46,Scores_2014_O!BD19,Scores_2014_N!BD19,Scores_2017!BD19)</f>
        <v>39.9681840680895</v>
      </c>
      <c r="BE19" s="561">
        <f>CHOOSE(uxb_works!$B$46,Scores_2014_O!BE19,Scores_2014_N!BE19,Scores_2017!BE19)</f>
        <v>55.4654213174176</v>
      </c>
      <c r="BF19" s="561">
        <f>CHOOSE(uxb_works!$B$46,Scores_2014_O!BF19,Scores_2014_N!BF19,Scores_2017!BF19)</f>
        <v>51.4107841184679</v>
      </c>
      <c r="BG19" s="561">
        <f>CHOOSE(uxb_works!$B$46,Scores_2014_O!BG19,Scores_2014_N!BG19,Scores_2017!BG19)</f>
        <v>68.4212850479207</v>
      </c>
      <c r="BH19" s="561">
        <f>CHOOSE(uxb_works!$B$46,Scores_2014_O!BH19,Scores_2014_N!BH19,Scores_2017!BH19)</f>
        <v>69.019125234351</v>
      </c>
      <c r="BI19" s="561">
        <f>CHOOSE(uxb_works!$B$46,Scores_2014_O!BI19,Scores_2014_N!BI19,Scores_2017!BI19)</f>
        <v>52.8502114247849</v>
      </c>
      <c r="BJ19" s="561">
        <f>CHOOSE(uxb_works!$B$46,Scores_2014_O!BJ19,Scores_2014_N!BJ19,Scores_2017!BJ19)</f>
        <v>56.5765324285288</v>
      </c>
      <c r="BK19" s="561">
        <f>CHOOSE(uxb_works!$B$46,Scores_2014_O!BK19,Scores_2014_N!BK19,Scores_2017!BK19)</f>
        <v>80.3904175006326</v>
      </c>
      <c r="BL19" s="561">
        <f>CHOOSE(uxb_works!$B$46,Scores_2014_O!BL19,Scores_2014_N!BL19,Scores_2017!BL19)</f>
        <v>66.3188159299108</v>
      </c>
      <c r="BM19" s="561">
        <f>CHOOSE(uxb_works!$B$46,Scores_2014_O!BM19,Scores_2014_N!BM19,Scores_2017!BM19)</f>
        <v>71.2263225473796</v>
      </c>
      <c r="BN19" s="561">
        <f>CHOOSE(uxb_works!$B$46,Scores_2014_O!BN19,Scores_2014_N!BN19,Scores_2017!BN19)</f>
        <v>71.4680335960549</v>
      </c>
      <c r="BO19" s="561">
        <f>CHOOSE(uxb_works!$B$46,Scores_2014_O!BO19,Scores_2014_N!BO19,Scores_2017!BO19)</f>
        <v>75.953310721851</v>
      </c>
      <c r="BP19" s="561">
        <f>CHOOSE(uxb_works!$B$46,Scores_2014_O!BP19,Scores_2014_N!BP19,Scores_2017!BP19)</f>
        <v>76.2388327805633</v>
      </c>
      <c r="BQ19" s="561">
        <f>CHOOSE(uxb_works!$B$46,Scores_2014_O!BQ19,Scores_2014_N!BQ19,Scores_2017!BQ19)</f>
        <v>48.7357546453666</v>
      </c>
      <c r="BR19" s="561">
        <f>CHOOSE(uxb_works!$B$46,Scores_2014_O!BR19,Scores_2014_N!BR19,Scores_2017!BR19)</f>
        <v>83.362633240243</v>
      </c>
      <c r="BS19" s="561">
        <f>CHOOSE(uxb_works!$B$46,Scores_2014_O!BS19,Scores_2014_N!BS19,Scores_2017!BS19)</f>
        <v>74.0143932141794</v>
      </c>
      <c r="BT19" s="561">
        <f>CHOOSE(uxb_works!$B$46,Scores_2014_O!BT19,Scores_2014_N!BT19,Scores_2017!BT19)</f>
        <v>82.2262611235088</v>
      </c>
      <c r="BU19" s="561">
        <f>CHOOSE(uxb_works!$B$46,Scores_2014_O!BU19,Scores_2014_N!BU19,Scores_2017!BU19)</f>
        <v>69.5056233240216</v>
      </c>
      <c r="BV19" s="561">
        <f>CHOOSE(uxb_works!$B$46,Scores_2014_O!BV19,Scores_2014_N!BV19,Scores_2017!BV19)</f>
        <v>35.8823904298325</v>
      </c>
      <c r="BW19" s="561">
        <f>CHOOSE(uxb_works!$B$46,Scores_2014_O!BW19,Scores_2014_N!BW19,Scores_2017!BW19)</f>
        <v>78.9559648583492</v>
      </c>
      <c r="BX19" s="561">
        <f>CHOOSE(uxb_works!$B$46,Scores_2014_O!BX19,Scores_2014_N!BX19,Scores_2017!BX19)</f>
        <v>91.656083053672</v>
      </c>
      <c r="BY19"/>
      <c r="BZ19" s="214"/>
      <c r="CA19" s="214"/>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row>
    <row r="20" s="69" customFormat="1" ht="24.95" customHeight="1" spans="1:130">
      <c r="A20"/>
      <c r="B20" s="92">
        <f>tblIndicators!A16</f>
        <v>15</v>
      </c>
      <c r="C20" s="92"/>
      <c r="D20" s="92"/>
      <c r="E20" s="92"/>
      <c r="F20" s="92">
        <f>CHOOSE(uxb_works!$B$46,Scores_2014_O!F20,Scores_2014_N!F20,Scores_2017!F20)</f>
        <v>3</v>
      </c>
      <c r="G20" s="92"/>
      <c r="H20" s="92"/>
      <c r="I20" s="104"/>
      <c r="J20" s="92"/>
      <c r="K20" s="92"/>
      <c r="L20" s="165"/>
      <c r="M20" s="92"/>
      <c r="N20" s="105" t="str">
        <f>REPT(" ",F20)&amp;CHOOSE(uxb_works!$B$46,Scores_2014_O!N20,Scores_2014_N!N20,Scores_2017!N20)</f>
        <v>      2.1.1) Environmental policies</v>
      </c>
      <c r="O20" s="556">
        <f>CHOOSE(uxb_works!$B$46,Scores_2014_O!O20,Scores_2014_N!O20,Scores_2017!O20)</f>
        <v>0.166666666666667</v>
      </c>
      <c r="P20" s="557">
        <f>CHOOSE(uxb_works!$B$46,Scores_2014_O!P20,Scores_2014_N!P20,Scores_2017!P20)</f>
        <v>62.7906976744186</v>
      </c>
      <c r="Q20" s="561">
        <f>CHOOSE(uxb_works!$B$46,Scores_2014_O!Q20,Scores_2014_N!Q20,Scores_2017!Q20)</f>
        <v>97.6744186046511</v>
      </c>
      <c r="R20" s="561">
        <f>CHOOSE(uxb_works!$B$46,Scores_2014_O!R20,Scores_2014_N!R20,Scores_2017!R20)</f>
        <v>41.8604651162791</v>
      </c>
      <c r="S20" s="561">
        <f>CHOOSE(uxb_works!$B$46,Scores_2014_O!S20,Scores_2014_N!S20,Scores_2017!S20)</f>
        <v>72.0930232558139</v>
      </c>
      <c r="T20" s="561">
        <f>CHOOSE(uxb_works!$B$46,Scores_2014_O!T20,Scores_2014_N!T20,Scores_2017!T20)</f>
        <v>81.3953488372093</v>
      </c>
      <c r="U20" s="561">
        <f>CHOOSE(uxb_works!$B$46,Scores_2014_O!U20,Scores_2014_N!U20,Scores_2017!U20)</f>
        <v>79.0697674418604</v>
      </c>
      <c r="V20" s="561">
        <f>CHOOSE(uxb_works!$B$46,Scores_2014_O!V20,Scores_2014_N!V20,Scores_2017!V20)</f>
        <v>62.7906976744186</v>
      </c>
      <c r="W20" s="561">
        <f>CHOOSE(uxb_works!$B$46,Scores_2014_O!W20,Scores_2014_N!W20,Scores_2017!W20)</f>
        <v>97.6744186046511</v>
      </c>
      <c r="X20" s="561">
        <f>CHOOSE(uxb_works!$B$46,Scores_2014_O!X20,Scores_2014_N!X20,Scores_2017!X20)</f>
        <v>90.6976744186046</v>
      </c>
      <c r="Y20" s="561">
        <f>CHOOSE(uxb_works!$B$46,Scores_2014_O!Z20,Scores_2014_N!Y20,Scores_2017!Y20)</f>
        <v>46.5116279069767</v>
      </c>
      <c r="Z20" s="561">
        <f>CHOOSE(uxb_works!$B$46,Scores_2014_O!AA20,Scores_2014_N!Z20,Scores_2017!Z20)</f>
        <v>23.2558139534884</v>
      </c>
      <c r="AA20" s="561">
        <f>CHOOSE(uxb_works!$B$46,Scores_2014_O!AB20,Scores_2014_N!AA20,Scores_2017!AA20)</f>
        <v>62.7906976744186</v>
      </c>
      <c r="AB20" s="561">
        <f>CHOOSE(uxb_works!$B$46,Scores_2014_O!AC20,Scores_2014_N!AB20,Scores_2017!AB20)</f>
        <v>90.6976744186046</v>
      </c>
      <c r="AC20" s="561">
        <f>CHOOSE(uxb_works!$B$46,Scores_2014_O!AD20,Scores_2014_N!AC20,Scores_2017!AC20)</f>
        <v>74.4186046511628</v>
      </c>
      <c r="AD20" s="561">
        <f>CHOOSE(uxb_works!$B$46,Scores_2014_O!AE20,Scores_2014_N!AD20,Scores_2017!AD20)</f>
        <v>90.6976744186046</v>
      </c>
      <c r="AE20" s="561">
        <f>CHOOSE(uxb_works!$B$46,Scores_2014_O!AF20,Scores_2014_N!AE20,Scores_2017!AE20)</f>
        <v>4.65116279069767</v>
      </c>
      <c r="AF20" s="561">
        <f>CHOOSE(uxb_works!$B$46,Scores_2014_O!AG20,Scores_2014_N!AF20,Scores_2017!AF20)</f>
        <v>27.906976744186</v>
      </c>
      <c r="AG20" s="561">
        <f>CHOOSE(uxb_works!$B$46,Scores_2014_O!AH20,Scores_2014_N!AG20,Scores_2017!AG20)</f>
        <v>90.6976744186046</v>
      </c>
      <c r="AH20" s="561">
        <f>CHOOSE(uxb_works!$B$46,Scores_2014_O!AI20,Scores_2014_N!AH20,Scores_2017!AH20)</f>
        <v>62.7906976744186</v>
      </c>
      <c r="AI20" s="561">
        <f>CHOOSE(uxb_works!$B$46,Scores_2014_O!AJ20,Scores_2014_N!AI20,Scores_2017!AI20)</f>
        <v>97.6744186046511</v>
      </c>
      <c r="AJ20" s="561">
        <f>CHOOSE(uxb_works!$B$46,Scores_2014_O!AK20,Scores_2014_N!AJ20,Scores_2017!AJ20)</f>
        <v>72.0930232558139</v>
      </c>
      <c r="AK20" s="561">
        <f>CHOOSE(uxb_works!$B$46,Scores_2014_O!AL20,Scores_2014_N!AK20,Scores_2017!AK20)</f>
        <v>44.1860465116279</v>
      </c>
      <c r="AL20" s="561">
        <f>CHOOSE(uxb_works!$B$46,Scores_2014_O!AM20,Scores_2014_N!AL20,Scores_2017!AL20)</f>
        <v>32.5581395348837</v>
      </c>
      <c r="AM20" s="561">
        <f>CHOOSE(uxb_works!$B$46,Scores_2014_O!AN20,Scores_2014_N!AM20,Scores_2017!AM20)</f>
        <v>86.046511627907</v>
      </c>
      <c r="AN20" s="561">
        <f>CHOOSE(uxb_works!$B$46,Scores_2014_O!AO20,Scores_2014_N!AN20,Scores_2017!AN20)</f>
        <v>13.953488372093</v>
      </c>
      <c r="AO20" s="561">
        <f>CHOOSE(uxb_works!$B$46,Scores_2014_O!AP20,Scores_2014_N!AO20,Scores_2017!AO20)</f>
        <v>62.7906976744186</v>
      </c>
      <c r="AP20" s="561">
        <f>CHOOSE(uxb_works!$B$46,Scores_2014_O!AQ20,Scores_2014_N!AP20,Scores_2017!AP20)</f>
        <v>0</v>
      </c>
      <c r="AQ20" s="561">
        <f>CHOOSE(uxb_works!$B$46,Scores_2014_O!Y20,Scores_2014_N!AQ20,Scores_2017!AQ20)</f>
        <v>69.7674418604651</v>
      </c>
      <c r="AR20" s="561">
        <f>CHOOSE(uxb_works!$B$46,Scores_2014_O!AR20,Scores_2014_N!AR20,Scores_2017!AR20)</f>
        <v>83.7209302325581</v>
      </c>
      <c r="AS20" s="561">
        <f>CHOOSE(uxb_works!$B$46,Scores_2014_O!AS20,Scores_2014_N!AS20,Scores_2017!AS20)</f>
        <v>95.3488372093023</v>
      </c>
      <c r="AT20" s="561">
        <f>CHOOSE(uxb_works!$B$46,Scores_2014_O!AT20,Scores_2014_N!AT20,Scores_2017!AT20)</f>
        <v>81.3953488372093</v>
      </c>
      <c r="AU20" s="561">
        <f>CHOOSE(uxb_works!$B$46,Scores_2014_O!AU20,Scores_2014_N!AU20,Scores_2017!AU20)</f>
        <v>27.906976744186</v>
      </c>
      <c r="AV20" s="561">
        <f>CHOOSE(uxb_works!$B$46,Scores_2014_O!AV20,Scores_2014_N!AV20,Scores_2017!AV20)</f>
        <v>81.3953488372093</v>
      </c>
      <c r="AW20" s="561">
        <f>CHOOSE(uxb_works!$B$46,Scores_2014_O!AW20,Scores_2014_N!AW20,Scores_2017!AW20)</f>
        <v>86.046511627907</v>
      </c>
      <c r="AX20" s="561">
        <f>CHOOSE(uxb_works!$B$46,Scores_2014_O!AX20,Scores_2014_N!AX20,Scores_2017!AX20)</f>
        <v>83.7209302325581</v>
      </c>
      <c r="AY20" s="561">
        <f>CHOOSE(uxb_works!$B$46,Scores_2014_O!AY20,Scores_2014_N!AY20,Scores_2017!AY20)</f>
        <v>65.1162790697674</v>
      </c>
      <c r="AZ20" s="561">
        <f>CHOOSE(uxb_works!$B$46,Scores_2014_O!AZ20,Scores_2014_N!AZ20,Scores_2017!AZ20)</f>
        <v>32.5581395348837</v>
      </c>
      <c r="BA20" s="561">
        <f>CHOOSE(uxb_works!$B$46,Scores_2014_O!BA20,Scores_2014_N!BA20,Scores_2017!BA20)</f>
        <v>95.3488372093023</v>
      </c>
      <c r="BB20" s="561">
        <f>CHOOSE(uxb_works!$B$46,Scores_2014_O!BB20,Scores_2014_N!BB20,Scores_2017!BB20)</f>
        <v>90.6976744186046</v>
      </c>
      <c r="BC20" s="561">
        <f>CHOOSE(uxb_works!$B$46,Scores_2014_O!BC20,Scores_2014_N!BC20,Scores_2017!BC20)</f>
        <v>97.6744186046511</v>
      </c>
      <c r="BD20" s="561">
        <f>CHOOSE(uxb_works!$B$46,Scores_2014_O!BD20,Scores_2014_N!BD20,Scores_2017!BD20)</f>
        <v>23.2558139534884</v>
      </c>
      <c r="BE20" s="561">
        <f>CHOOSE(uxb_works!$B$46,Scores_2014_O!BE20,Scores_2014_N!BE20,Scores_2017!BE20)</f>
        <v>60.4651162790698</v>
      </c>
      <c r="BF20" s="561">
        <f>CHOOSE(uxb_works!$B$46,Scores_2014_O!BF20,Scores_2014_N!BF20,Scores_2017!BF20)</f>
        <v>32.5581395348837</v>
      </c>
      <c r="BG20" s="561">
        <f>CHOOSE(uxb_works!$B$46,Scores_2014_O!BG20,Scores_2014_N!BG20,Scores_2017!BG20)</f>
        <v>69.7674418604651</v>
      </c>
      <c r="BH20" s="561">
        <f>CHOOSE(uxb_works!$B$46,Scores_2014_O!BH20,Scores_2014_N!BH20,Scores_2017!BH20)</f>
        <v>90.6976744186046</v>
      </c>
      <c r="BI20" s="561">
        <f>CHOOSE(uxb_works!$B$46,Scores_2014_O!BI20,Scores_2014_N!BI20,Scores_2017!BI20)</f>
        <v>48.8372093023256</v>
      </c>
      <c r="BJ20" s="561">
        <f>CHOOSE(uxb_works!$B$46,Scores_2014_O!BJ20,Scores_2014_N!BJ20,Scores_2017!BJ20)</f>
        <v>60.4651162790698</v>
      </c>
      <c r="BK20" s="561">
        <f>CHOOSE(uxb_works!$B$46,Scores_2014_O!BK20,Scores_2014_N!BK20,Scores_2017!BK20)</f>
        <v>93.0232558139535</v>
      </c>
      <c r="BL20" s="561">
        <f>CHOOSE(uxb_works!$B$46,Scores_2014_O!BL20,Scores_2014_N!BL20,Scores_2017!BL20)</f>
        <v>79.0697674418604</v>
      </c>
      <c r="BM20" s="561">
        <f>CHOOSE(uxb_works!$B$46,Scores_2014_O!BM20,Scores_2014_N!BM20,Scores_2017!BM20)</f>
        <v>97.6744186046511</v>
      </c>
      <c r="BN20" s="561">
        <f>CHOOSE(uxb_works!$B$46,Scores_2014_O!BN20,Scores_2014_N!BN20,Scores_2017!BN20)</f>
        <v>86.046511627907</v>
      </c>
      <c r="BO20" s="561">
        <f>CHOOSE(uxb_works!$B$46,Scores_2014_O!BO20,Scores_2014_N!BO20,Scores_2017!BO20)</f>
        <v>86.046511627907</v>
      </c>
      <c r="BP20" s="561">
        <f>CHOOSE(uxb_works!$B$46,Scores_2014_O!BP20,Scores_2014_N!BP20,Scores_2017!BP20)</f>
        <v>97.6744186046511</v>
      </c>
      <c r="BQ20" s="561">
        <f>CHOOSE(uxb_works!$B$46,Scores_2014_O!BQ20,Scores_2014_N!BQ20,Scores_2017!BQ20)</f>
        <v>62.7906976744186</v>
      </c>
      <c r="BR20" s="561">
        <f>CHOOSE(uxb_works!$B$46,Scores_2014_O!BR20,Scores_2014_N!BR20,Scores_2017!BR20)</f>
        <v>86.046511627907</v>
      </c>
      <c r="BS20" s="561">
        <f>CHOOSE(uxb_works!$B$46,Scores_2014_O!BS20,Scores_2014_N!BS20,Scores_2017!BS20)</f>
        <v>95.3488372093023</v>
      </c>
      <c r="BT20" s="561">
        <f>CHOOSE(uxb_works!$B$46,Scores_2014_O!BT20,Scores_2014_N!BT20,Scores_2017!BT20)</f>
        <v>100</v>
      </c>
      <c r="BU20" s="561">
        <f>CHOOSE(uxb_works!$B$46,Scores_2014_O!BU20,Scores_2014_N!BU20,Scores_2017!BU20)</f>
        <v>86.046511627907</v>
      </c>
      <c r="BV20" s="561">
        <f>CHOOSE(uxb_works!$B$46,Scores_2014_O!BV20,Scores_2014_N!BV20,Scores_2017!BV20)</f>
        <v>37.2093023255814</v>
      </c>
      <c r="BW20" s="561">
        <f>CHOOSE(uxb_works!$B$46,Scores_2014_O!BW20,Scores_2014_N!BW20,Scores_2017!BW20)</f>
        <v>86.046511627907</v>
      </c>
      <c r="BX20" s="561">
        <f>CHOOSE(uxb_works!$B$46,Scores_2014_O!BX20,Scores_2014_N!BX20,Scores_2017!BX20)</f>
        <v>100</v>
      </c>
      <c r="BY20"/>
      <c r="BZ20" s="214"/>
      <c r="CA20" s="214"/>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row>
    <row r="21" s="69" customFormat="1" ht="24.95" customHeight="1" spans="1:130">
      <c r="A21"/>
      <c r="B21" s="92">
        <f>tblIndicators!A17</f>
        <v>16</v>
      </c>
      <c r="C21" s="92"/>
      <c r="D21" s="92"/>
      <c r="E21" s="92"/>
      <c r="F21" s="92">
        <f>CHOOSE(uxb_works!$B$46,Scores_2014_O!F21,Scores_2014_N!F21,Scores_2017!F21)</f>
        <v>3</v>
      </c>
      <c r="G21" s="92"/>
      <c r="H21" s="92"/>
      <c r="I21" s="104"/>
      <c r="J21" s="92"/>
      <c r="K21" s="92"/>
      <c r="L21" s="165"/>
      <c r="M21" s="92"/>
      <c r="N21" s="105" t="str">
        <f>REPT(" ",F21)&amp;CHOOSE(uxb_works!$B$46,Scores_2014_O!N21,Scores_2014_N!N21,Scores_2017!N21)</f>
        <v>      2.1.2) Access to healthcare</v>
      </c>
      <c r="O21" s="556">
        <f>CHOOSE(uxb_works!$B$46,Scores_2014_O!O21,Scores_2014_N!O21,Scores_2017!O21)</f>
        <v>0.166666666666667</v>
      </c>
      <c r="P21" s="557">
        <f>CHOOSE(uxb_works!$B$46,Scores_2014_O!P21,Scores_2014_N!P21,Scores_2017!P21)</f>
        <v>73.3333333333333</v>
      </c>
      <c r="Q21" s="561">
        <f>CHOOSE(uxb_works!$B$46,Scores_2014_O!Q21,Scores_2014_N!Q21,Scores_2017!Q21)</f>
        <v>100</v>
      </c>
      <c r="R21" s="561">
        <f>CHOOSE(uxb_works!$B$46,Scores_2014_O!R21,Scores_2014_N!R21,Scores_2017!R21)</f>
        <v>73.3333333333333</v>
      </c>
      <c r="S21" s="561">
        <f>CHOOSE(uxb_works!$B$46,Scores_2014_O!S21,Scores_2014_N!S21,Scores_2017!S21)</f>
        <v>80</v>
      </c>
      <c r="T21" s="561">
        <f>CHOOSE(uxb_works!$B$46,Scores_2014_O!T21,Scores_2014_N!T21,Scores_2017!T21)</f>
        <v>93.3333333333333</v>
      </c>
      <c r="U21" s="561">
        <f>CHOOSE(uxb_works!$B$46,Scores_2014_O!U21,Scores_2014_N!U21,Scores_2017!U21)</f>
        <v>86.6666666666667</v>
      </c>
      <c r="V21" s="561">
        <f>CHOOSE(uxb_works!$B$46,Scores_2014_O!V21,Scores_2014_N!V21,Scores_2017!V21)</f>
        <v>73.3333333333333</v>
      </c>
      <c r="W21" s="561">
        <f>CHOOSE(uxb_works!$B$46,Scores_2014_O!W21,Scores_2014_N!W21,Scores_2017!W21)</f>
        <v>100</v>
      </c>
      <c r="X21" s="561">
        <f>CHOOSE(uxb_works!$B$46,Scores_2014_O!X21,Scores_2014_N!X21,Scores_2017!X21)</f>
        <v>93.3333333333333</v>
      </c>
      <c r="Y21" s="561">
        <f>CHOOSE(uxb_works!$B$46,Scores_2014_O!Z21,Scores_2014_N!Y21,Scores_2017!Y21)</f>
        <v>60</v>
      </c>
      <c r="Z21" s="561">
        <f>CHOOSE(uxb_works!$B$46,Scores_2014_O!AA21,Scores_2014_N!Z21,Scores_2017!Z21)</f>
        <v>53.3333333333333</v>
      </c>
      <c r="AA21" s="561">
        <f>CHOOSE(uxb_works!$B$46,Scores_2014_O!AB21,Scores_2014_N!AA21,Scores_2017!AA21)</f>
        <v>60</v>
      </c>
      <c r="AB21" s="561">
        <f>CHOOSE(uxb_works!$B$46,Scores_2014_O!AC21,Scores_2014_N!AB21,Scores_2017!AB21)</f>
        <v>93.3333333333333</v>
      </c>
      <c r="AC21" s="561">
        <f>CHOOSE(uxb_works!$B$46,Scores_2014_O!AD21,Scores_2014_N!AC21,Scores_2017!AC21)</f>
        <v>86.6666666666667</v>
      </c>
      <c r="AD21" s="561">
        <f>CHOOSE(uxb_works!$B$46,Scores_2014_O!AE21,Scores_2014_N!AD21,Scores_2017!AD21)</f>
        <v>80</v>
      </c>
      <c r="AE21" s="561">
        <f>CHOOSE(uxb_works!$B$46,Scores_2014_O!AF21,Scores_2014_N!AE21,Scores_2017!AE21)</f>
        <v>46.6666666666667</v>
      </c>
      <c r="AF21" s="561">
        <f>CHOOSE(uxb_works!$B$46,Scores_2014_O!AG21,Scores_2014_N!AF21,Scores_2017!AF21)</f>
        <v>80</v>
      </c>
      <c r="AG21" s="561">
        <f>CHOOSE(uxb_works!$B$46,Scores_2014_O!AH21,Scores_2014_N!AG21,Scores_2017!AG21)</f>
        <v>100</v>
      </c>
      <c r="AH21" s="561">
        <f>CHOOSE(uxb_works!$B$46,Scores_2014_O!AI21,Scores_2014_N!AH21,Scores_2017!AH21)</f>
        <v>73.3333333333333</v>
      </c>
      <c r="AI21" s="561">
        <f>CHOOSE(uxb_works!$B$46,Scores_2014_O!AJ21,Scores_2014_N!AI21,Scores_2017!AI21)</f>
        <v>93.3333333333333</v>
      </c>
      <c r="AJ21" s="561">
        <f>CHOOSE(uxb_works!$B$46,Scores_2014_O!AK21,Scores_2014_N!AJ21,Scores_2017!AJ21)</f>
        <v>60</v>
      </c>
      <c r="AK21" s="561">
        <f>CHOOSE(uxb_works!$B$46,Scores_2014_O!AL21,Scores_2014_N!AK21,Scores_2017!AK21)</f>
        <v>73.3333333333333</v>
      </c>
      <c r="AL21" s="561">
        <f>CHOOSE(uxb_works!$B$46,Scores_2014_O!AM21,Scores_2014_N!AL21,Scores_2017!AL21)</f>
        <v>73.3333333333333</v>
      </c>
      <c r="AM21" s="561">
        <f>CHOOSE(uxb_works!$B$46,Scores_2014_O!AN21,Scores_2014_N!AM21,Scores_2017!AM21)</f>
        <v>80</v>
      </c>
      <c r="AN21" s="561">
        <f>CHOOSE(uxb_works!$B$46,Scores_2014_O!AO21,Scores_2014_N!AN21,Scores_2017!AN21)</f>
        <v>66.6666666666667</v>
      </c>
      <c r="AO21" s="561">
        <f>CHOOSE(uxb_works!$B$46,Scores_2014_O!AP21,Scores_2014_N!AO21,Scores_2017!AO21)</f>
        <v>73.3333333333333</v>
      </c>
      <c r="AP21" s="561">
        <f>CHOOSE(uxb_works!$B$46,Scores_2014_O!AQ21,Scores_2014_N!AP21,Scores_2017!AP21)</f>
        <v>80</v>
      </c>
      <c r="AQ21" s="561">
        <f>CHOOSE(uxb_works!$B$46,Scores_2014_O!Y21,Scores_2014_N!AQ21,Scores_2017!AQ21)</f>
        <v>86.6666666666667</v>
      </c>
      <c r="AR21" s="561">
        <f>CHOOSE(uxb_works!$B$46,Scores_2014_O!AR21,Scores_2014_N!AR21,Scores_2017!AR21)</f>
        <v>86.6666666666667</v>
      </c>
      <c r="AS21" s="561">
        <f>CHOOSE(uxb_works!$B$46,Scores_2014_O!AS21,Scores_2014_N!AS21,Scores_2017!AS21)</f>
        <v>93.3333333333333</v>
      </c>
      <c r="AT21" s="561">
        <f>CHOOSE(uxb_works!$B$46,Scores_2014_O!AT21,Scores_2014_N!AT21,Scores_2017!AT21)</f>
        <v>93.3333333333333</v>
      </c>
      <c r="AU21" s="561">
        <f>CHOOSE(uxb_works!$B$46,Scores_2014_O!AU21,Scores_2014_N!AU21,Scores_2017!AU21)</f>
        <v>73.3333333333333</v>
      </c>
      <c r="AV21" s="561">
        <f>CHOOSE(uxb_works!$B$46,Scores_2014_O!AV21,Scores_2014_N!AV21,Scores_2017!AV21)</f>
        <v>100</v>
      </c>
      <c r="AW21" s="561">
        <f>CHOOSE(uxb_works!$B$46,Scores_2014_O!AW21,Scores_2014_N!AW21,Scores_2017!AW21)</f>
        <v>86.6666666666667</v>
      </c>
      <c r="AX21" s="561">
        <f>CHOOSE(uxb_works!$B$46,Scores_2014_O!AX21,Scores_2014_N!AX21,Scores_2017!AX21)</f>
        <v>93.3333333333333</v>
      </c>
      <c r="AY21" s="561">
        <f>CHOOSE(uxb_works!$B$46,Scores_2014_O!AY21,Scores_2014_N!AY21,Scores_2017!AY21)</f>
        <v>80</v>
      </c>
      <c r="AZ21" s="561">
        <f>CHOOSE(uxb_works!$B$46,Scores_2014_O!AZ21,Scores_2014_N!AZ21,Scores_2017!AZ21)</f>
        <v>86.6666666666667</v>
      </c>
      <c r="BA21" s="561">
        <f>CHOOSE(uxb_works!$B$46,Scores_2014_O!BA21,Scores_2014_N!BA21,Scores_2017!BA21)</f>
        <v>93.3333333333333</v>
      </c>
      <c r="BB21" s="561">
        <f>CHOOSE(uxb_works!$B$46,Scores_2014_O!BB21,Scores_2014_N!BB21,Scores_2017!BB21)</f>
        <v>100</v>
      </c>
      <c r="BC21" s="561">
        <f>CHOOSE(uxb_works!$B$46,Scores_2014_O!BC21,Scores_2014_N!BC21,Scores_2017!BC21)</f>
        <v>100</v>
      </c>
      <c r="BD21" s="561">
        <f>CHOOSE(uxb_works!$B$46,Scores_2014_O!BD21,Scores_2014_N!BD21,Scores_2017!BD21)</f>
        <v>60</v>
      </c>
      <c r="BE21" s="561">
        <f>CHOOSE(uxb_works!$B$46,Scores_2014_O!BE21,Scores_2014_N!BE21,Scores_2017!BE21)</f>
        <v>73.3333333333333</v>
      </c>
      <c r="BF21" s="561">
        <f>CHOOSE(uxb_works!$B$46,Scores_2014_O!BF21,Scores_2014_N!BF21,Scores_2017!BF21)</f>
        <v>80</v>
      </c>
      <c r="BG21" s="561">
        <f>CHOOSE(uxb_works!$B$46,Scores_2014_O!BG21,Scores_2014_N!BG21,Scores_2017!BG21)</f>
        <v>93.3333333333333</v>
      </c>
      <c r="BH21" s="561">
        <f>CHOOSE(uxb_works!$B$46,Scores_2014_O!BH21,Scores_2014_N!BH21,Scores_2017!BH21)</f>
        <v>93.3333333333333</v>
      </c>
      <c r="BI21" s="561">
        <f>CHOOSE(uxb_works!$B$46,Scores_2014_O!BI21,Scores_2014_N!BI21,Scores_2017!BI21)</f>
        <v>80</v>
      </c>
      <c r="BJ21" s="561">
        <f>CHOOSE(uxb_works!$B$46,Scores_2014_O!BJ21,Scores_2014_N!BJ21,Scores_2017!BJ21)</f>
        <v>80</v>
      </c>
      <c r="BK21" s="561">
        <f>CHOOSE(uxb_works!$B$46,Scores_2014_O!BK21,Scores_2014_N!BK21,Scores_2017!BK21)</f>
        <v>93.3333333333333</v>
      </c>
      <c r="BL21" s="561">
        <f>CHOOSE(uxb_works!$B$46,Scores_2014_O!BL21,Scores_2014_N!BL21,Scores_2017!BL21)</f>
        <v>86.6666666666667</v>
      </c>
      <c r="BM21" s="561">
        <f>CHOOSE(uxb_works!$B$46,Scores_2014_O!BM21,Scores_2014_N!BM21,Scores_2017!BM21)</f>
        <v>93.3333333333333</v>
      </c>
      <c r="BN21" s="561">
        <f>CHOOSE(uxb_works!$B$46,Scores_2014_O!BN21,Scores_2014_N!BN21,Scores_2017!BN21)</f>
        <v>86.6666666666667</v>
      </c>
      <c r="BO21" s="561">
        <f>CHOOSE(uxb_works!$B$46,Scores_2014_O!BO21,Scores_2014_N!BO21,Scores_2017!BO21)</f>
        <v>100</v>
      </c>
      <c r="BP21" s="561">
        <f>CHOOSE(uxb_works!$B$46,Scores_2014_O!BP21,Scores_2014_N!BP21,Scores_2017!BP21)</f>
        <v>86.6666666666667</v>
      </c>
      <c r="BQ21" s="561">
        <f>CHOOSE(uxb_works!$B$46,Scores_2014_O!BQ21,Scores_2014_N!BQ21,Scores_2017!BQ21)</f>
        <v>66.6666666666667</v>
      </c>
      <c r="BR21" s="561">
        <f>CHOOSE(uxb_works!$B$46,Scores_2014_O!BR21,Scores_2014_N!BR21,Scores_2017!BR21)</f>
        <v>100</v>
      </c>
      <c r="BS21" s="561">
        <f>CHOOSE(uxb_works!$B$46,Scores_2014_O!BS21,Scores_2014_N!BS21,Scores_2017!BS21)</f>
        <v>100</v>
      </c>
      <c r="BT21" s="561">
        <f>CHOOSE(uxb_works!$B$46,Scores_2014_O!BT21,Scores_2014_N!BT21,Scores_2017!BT21)</f>
        <v>93.3333333333333</v>
      </c>
      <c r="BU21" s="561">
        <f>CHOOSE(uxb_works!$B$46,Scores_2014_O!BU21,Scores_2014_N!BU21,Scores_2017!BU21)</f>
        <v>93.3333333333333</v>
      </c>
      <c r="BV21" s="561">
        <f>CHOOSE(uxb_works!$B$46,Scores_2014_O!BV21,Scores_2014_N!BV21,Scores_2017!BV21)</f>
        <v>60</v>
      </c>
      <c r="BW21" s="561">
        <f>CHOOSE(uxb_works!$B$46,Scores_2014_O!BW21,Scores_2014_N!BW21,Scores_2017!BW21)</f>
        <v>100</v>
      </c>
      <c r="BX21" s="561">
        <f>CHOOSE(uxb_works!$B$46,Scores_2014_O!BX21,Scores_2014_N!BX21,Scores_2017!BX21)</f>
        <v>100</v>
      </c>
      <c r="BY21"/>
      <c r="BZ21" s="214"/>
      <c r="CA21" s="214"/>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row>
    <row r="22" s="69" customFormat="1" ht="24.95" customHeight="1" spans="1:130">
      <c r="A22"/>
      <c r="B22" s="92">
        <f>tblIndicators!A18</f>
        <v>17</v>
      </c>
      <c r="C22" s="92"/>
      <c r="D22" s="92"/>
      <c r="E22" s="92"/>
      <c r="F22" s="92">
        <f>CHOOSE(uxb_works!$B$46,Scores_2014_O!F22,Scores_2014_N!F22,Scores_2017!F22)</f>
        <v>3</v>
      </c>
      <c r="G22" s="92"/>
      <c r="H22" s="92"/>
      <c r="I22" s="104"/>
      <c r="J22" s="92"/>
      <c r="K22" s="92"/>
      <c r="L22" s="165"/>
      <c r="M22" s="92"/>
      <c r="N22" s="105" t="str">
        <f>REPT(" ",F22)&amp;CHOOSE(uxb_works!$B$46,Scores_2014_O!N22,Scores_2014_N!N22,Scores_2017!N22)</f>
        <v>      2.1.3) No. of beds per 1,000</v>
      </c>
      <c r="O22" s="556">
        <f>CHOOSE(uxb_works!$B$46,Scores_2014_O!O22,Scores_2014_N!O22,Scores_2017!O22)</f>
        <v>0.166666666666667</v>
      </c>
      <c r="P22" s="557">
        <f>CHOOSE(uxb_works!$B$46,Scores_2014_O!P22,Scores_2014_N!P22,Scores_2017!P22)</f>
        <v>8.26514587982478</v>
      </c>
      <c r="Q22" s="561">
        <f>CHOOSE(uxb_works!$B$46,Scores_2014_O!Q22,Scores_2014_N!Q22,Scores_2017!Q22)</f>
        <v>38.019671047194</v>
      </c>
      <c r="R22" s="561">
        <f>CHOOSE(uxb_works!$B$46,Scores_2014_O!R22,Scores_2014_N!R22,Scores_2017!R22)</f>
        <v>38.8461856351765</v>
      </c>
      <c r="S22" s="561">
        <f>CHOOSE(uxb_works!$B$46,Scores_2014_O!S22,Scores_2014_N!S22,Scores_2017!S22)</f>
        <v>16.5302917596496</v>
      </c>
      <c r="T22" s="561">
        <f>CHOOSE(uxb_works!$B$46,Scores_2014_O!T22,Scores_2014_N!T22,Scores_2017!T22)</f>
        <v>24.7954376394743</v>
      </c>
      <c r="U22" s="561">
        <f>CHOOSE(uxb_works!$B$46,Scores_2014_O!U22,Scores_2014_N!U22,Scores_2017!U22)</f>
        <v>47.8998604880051</v>
      </c>
      <c r="V22" s="561">
        <f>CHOOSE(uxb_works!$B$46,Scores_2014_O!V22,Scores_2014_N!V22,Scores_2017!V22)</f>
        <v>11.5712042317547</v>
      </c>
      <c r="W22" s="561">
        <f>CHOOSE(uxb_works!$B$46,Scores_2014_O!W22,Scores_2014_N!W22,Scores_2017!W22)</f>
        <v>52.8969336308786</v>
      </c>
      <c r="X22" s="561">
        <f>CHOOSE(uxb_works!$B$46,Scores_2014_O!X22,Scores_2014_N!X22,Scores_2017!X22)</f>
        <v>38.019671047194</v>
      </c>
      <c r="Y22" s="561">
        <f>CHOOSE(uxb_works!$B$46,Scores_2014_O!Z22,Scores_2014_N!Y22,Scores_2017!Y22)</f>
        <v>3.30605835192991</v>
      </c>
      <c r="Z22" s="561">
        <f>CHOOSE(uxb_works!$B$46,Scores_2014_O!AA22,Scores_2014_N!Z22,Scores_2017!Z22)</f>
        <v>6.61211670385982</v>
      </c>
      <c r="AA22" s="561">
        <f>CHOOSE(uxb_works!$B$46,Scores_2014_O!AB22,Scores_2014_N!AA22,Scores_2017!AA22)</f>
        <v>6.61211670385982</v>
      </c>
      <c r="AB22" s="561">
        <f>CHOOSE(uxb_works!$B$46,Scores_2014_O!AC22,Scores_2014_N!AB22,Scores_2017!AB22)</f>
        <v>19.8363501115795</v>
      </c>
      <c r="AC22" s="561">
        <f>CHOOSE(uxb_works!$B$46,Scores_2014_O!AD22,Scores_2014_N!AC22,Scores_2017!AC22)</f>
        <v>18.1833209356145</v>
      </c>
      <c r="AD22" s="561">
        <f>CHOOSE(uxb_works!$B$46,Scores_2014_O!AE22,Scores_2014_N!AD22,Scores_2017!AD22)</f>
        <v>21.5720307463427</v>
      </c>
      <c r="AE22" s="561">
        <f>CHOOSE(uxb_works!$B$46,Scores_2014_O!AF22,Scores_2014_N!AE22,Scores_2017!AE22)</f>
        <v>4.13257293991239</v>
      </c>
      <c r="AF22" s="561">
        <f>CHOOSE(uxb_works!$B$46,Scores_2014_O!AG22,Scores_2014_N!AF22,Scores_2017!AF22)</f>
        <v>9.09166046780725</v>
      </c>
      <c r="AG22" s="561">
        <f>CHOOSE(uxb_works!$B$46,Scores_2014_O!AH22,Scores_2014_N!AG22,Scores_2017!AG22)</f>
        <v>66.9476816265807</v>
      </c>
      <c r="AH22" s="561">
        <f>CHOOSE(uxb_works!$B$46,Scores_2014_O!AI22,Scores_2014_N!AH22,Scores_2017!AH22)</f>
        <v>15.7037771716671</v>
      </c>
      <c r="AI22" s="561">
        <f>CHOOSE(uxb_works!$B$46,Scores_2014_O!AJ22,Scores_2014_N!AI22,Scores_2017!AI22)</f>
        <v>42.1522439871064</v>
      </c>
      <c r="AJ22" s="561">
        <f>CHOOSE(uxb_works!$B$46,Scores_2014_O!AK22,Scores_2014_N!AJ22,Scores_2017!AJ22)</f>
        <v>19.8363501115795</v>
      </c>
      <c r="AK22" s="561">
        <f>CHOOSE(uxb_works!$B$46,Scores_2014_O!AL22,Scores_2014_N!AK22,Scores_2017!AK22)</f>
        <v>6.61211670385982</v>
      </c>
      <c r="AL22" s="561">
        <f>CHOOSE(uxb_works!$B$46,Scores_2014_O!AM22,Scores_2014_N!AL22,Scores_2017!AL22)</f>
        <v>11.1884749095716</v>
      </c>
      <c r="AM22" s="561">
        <f>CHOOSE(uxb_works!$B$46,Scores_2014_O!AN22,Scores_2014_N!AM22,Scores_2017!AM22)</f>
        <v>19.8363501115795</v>
      </c>
      <c r="AN22" s="561">
        <f>CHOOSE(uxb_works!$B$46,Scores_2014_O!AO22,Scores_2014_N!AN22,Scores_2017!AN22)</f>
        <v>4.13257293991239</v>
      </c>
      <c r="AO22" s="561">
        <f>CHOOSE(uxb_works!$B$46,Scores_2014_O!AP22,Scores_2014_N!AO22,Scores_2017!AO22)</f>
        <v>14.8772625836846</v>
      </c>
      <c r="AP22" s="561">
        <f>CHOOSE(uxb_works!$B$46,Scores_2014_O!AQ22,Scores_2014_N!AP22,Scores_2017!AP22)</f>
        <v>17.356806347632</v>
      </c>
      <c r="AQ22" s="561">
        <f>CHOOSE(uxb_works!$B$46,Scores_2014_O!Y22,Scores_2014_N!AQ22,Scores_2017!AQ22)</f>
        <v>11.5712042317547</v>
      </c>
      <c r="AR22" s="561">
        <f>CHOOSE(uxb_works!$B$46,Scores_2014_O!AR22,Scores_2014_N!AR22,Scores_2017!AR22)</f>
        <v>23.1424084635094</v>
      </c>
      <c r="AS22" s="561">
        <f>CHOOSE(uxb_works!$B$46,Scores_2014_O!AS22,Scores_2014_N!AS22,Scores_2017!AS22)</f>
        <v>14.0507479957021</v>
      </c>
      <c r="AT22" s="561">
        <f>CHOOSE(uxb_works!$B$46,Scores_2014_O!AT22,Scores_2014_N!AT22,Scores_2017!AT22)</f>
        <v>24.7954376394743</v>
      </c>
      <c r="AU22" s="561">
        <f>CHOOSE(uxb_works!$B$46,Scores_2014_O!AU22,Scores_2014_N!AU22,Scores_2017!AU22)</f>
        <v>7.4386312918423</v>
      </c>
      <c r="AV22" s="561">
        <f>CHOOSE(uxb_works!$B$46,Scores_2014_O!AV22,Scores_2014_N!AV22,Scores_2017!AV22)</f>
        <v>31.4075543433342</v>
      </c>
      <c r="AW22" s="561">
        <f>CHOOSE(uxb_works!$B$46,Scores_2014_O!AW22,Scores_2014_N!AW22,Scores_2017!AW22)</f>
        <v>11.5712042317547</v>
      </c>
      <c r="AX22" s="561">
        <f>CHOOSE(uxb_works!$B$46,Scores_2014_O!AX22,Scores_2014_N!AX22,Scores_2017!AX22)</f>
        <v>27.2749814034218</v>
      </c>
      <c r="AY22" s="561">
        <f>CHOOSE(uxb_works!$B$46,Scores_2014_O!AY22,Scores_2014_N!AY22,Scores_2017!AY22)</f>
        <v>89.1809268807339</v>
      </c>
      <c r="AZ22" s="561">
        <f>CHOOSE(uxb_works!$B$46,Scores_2014_O!AZ22,Scores_2014_N!AZ22,Scores_2017!AZ22)</f>
        <v>26.4484668154393</v>
      </c>
      <c r="BA22" s="561">
        <f>CHOOSE(uxb_works!$B$46,Scores_2014_O!BA22,Scores_2014_N!BA22,Scores_2017!BA22)</f>
        <v>21.4893792875444</v>
      </c>
      <c r="BB22" s="561">
        <f>CHOOSE(uxb_works!$B$46,Scores_2014_O!BB22,Scores_2014_N!BB22,Scores_2017!BB22)</f>
        <v>100</v>
      </c>
      <c r="BC22" s="561">
        <f>CHOOSE(uxb_works!$B$46,Scores_2014_O!BC22,Scores_2014_N!BC22,Scores_2017!BC22)</f>
        <v>52.0704190428961</v>
      </c>
      <c r="BD22" s="561">
        <f>CHOOSE(uxb_works!$B$46,Scores_2014_O!BD22,Scores_2014_N!BD22,Scores_2017!BD22)</f>
        <v>12.3977188197372</v>
      </c>
      <c r="BE22" s="561">
        <f>CHOOSE(uxb_works!$B$46,Scores_2014_O!BE22,Scores_2014_N!BE22,Scores_2017!BE22)</f>
        <v>18.1833209356145</v>
      </c>
      <c r="BF22" s="561">
        <f>CHOOSE(uxb_works!$B$46,Scores_2014_O!BF22,Scores_2014_N!BF22,Scores_2017!BF22)</f>
        <v>12.7043408014275</v>
      </c>
      <c r="BG22" s="561">
        <f>CHOOSE(uxb_works!$B$46,Scores_2014_O!BG22,Scores_2014_N!BG22,Scores_2017!BG22)</f>
        <v>27.2749814034218</v>
      </c>
      <c r="BH22" s="561">
        <f>CHOOSE(uxb_works!$B$46,Scores_2014_O!BH22,Scores_2014_N!BH22,Scores_2017!BH22)</f>
        <v>14.0507479957021</v>
      </c>
      <c r="BI22" s="561">
        <f>CHOOSE(uxb_works!$B$46,Scores_2014_O!BI22,Scores_2014_N!BI22,Scores_2017!BI22)</f>
        <v>16.5302917596496</v>
      </c>
      <c r="BJ22" s="561">
        <f>CHOOSE(uxb_works!$B$46,Scores_2014_O!BJ22,Scores_2014_N!BJ22,Scores_2017!BJ22)</f>
        <v>18.1833209356145</v>
      </c>
      <c r="BK22" s="561">
        <f>CHOOSE(uxb_works!$B$46,Scores_2014_O!BK22,Scores_2014_N!BK22,Scores_2017!BK22)</f>
        <v>84.3044879742127</v>
      </c>
      <c r="BL22" s="561">
        <f>CHOOSE(uxb_works!$B$46,Scores_2014_O!BL22,Scores_2014_N!BL22,Scores_2017!BL22)</f>
        <v>44.5449612297414</v>
      </c>
      <c r="BM22" s="561">
        <f>CHOOSE(uxb_works!$B$46,Scores_2014_O!BM22,Scores_2014_N!BM22,Scores_2017!BM22)</f>
        <v>15.7037771716671</v>
      </c>
      <c r="BN22" s="561">
        <f>CHOOSE(uxb_works!$B$46,Scores_2014_O!BN22,Scores_2014_N!BN22,Scores_2017!BN22)</f>
        <v>21.4893792875444</v>
      </c>
      <c r="BO22" s="561">
        <f>CHOOSE(uxb_works!$B$46,Scores_2014_O!BO22,Scores_2014_N!BO22,Scores_2017!BO22)</f>
        <v>31.4075543433342</v>
      </c>
      <c r="BP22" s="561">
        <f>CHOOSE(uxb_works!$B$46,Scores_2014_O!BP22,Scores_2014_N!BP22,Scores_2017!BP22)</f>
        <v>75.328539548723</v>
      </c>
      <c r="BQ22" s="561">
        <f>CHOOSE(uxb_works!$B$46,Scores_2014_O!BQ22,Scores_2014_N!BQ22,Scores_2017!BQ22)</f>
        <v>0</v>
      </c>
      <c r="BR22" s="561">
        <f>CHOOSE(uxb_works!$B$46,Scores_2014_O!BR22,Scores_2014_N!BR22,Scores_2017!BR22)</f>
        <v>77.5518637903959</v>
      </c>
      <c r="BS22" s="561">
        <f>CHOOSE(uxb_works!$B$46,Scores_2014_O!BS22,Scores_2014_N!BS22,Scores_2017!BS22)</f>
        <v>21.4893792875444</v>
      </c>
      <c r="BT22" s="561">
        <f>CHOOSE(uxb_works!$B$46,Scores_2014_O!BT22,Scores_2014_N!BT22,Scores_2017!BT22)</f>
        <v>13.2242334077196</v>
      </c>
      <c r="BU22" s="561">
        <f>CHOOSE(uxb_works!$B$46,Scores_2014_O!BU22,Scores_2014_N!BU22,Scores_2017!BU22)</f>
        <v>18.1833209356145</v>
      </c>
      <c r="BV22" s="561">
        <f>CHOOSE(uxb_works!$B$46,Scores_2014_O!BV22,Scores_2014_N!BV22,Scores_2017!BV22)</f>
        <v>4.95908752789487</v>
      </c>
      <c r="BW22" s="561">
        <f>CHOOSE(uxb_works!$B$46,Scores_2014_O!BW22,Scores_2014_N!BW22,Scores_2017!BW22)</f>
        <v>40.4992148111414</v>
      </c>
      <c r="BX22" s="561">
        <f>CHOOSE(uxb_works!$B$46,Scores_2014_O!BX22,Scores_2014_N!BX22,Scores_2017!BX22)</f>
        <v>113.009339614844</v>
      </c>
      <c r="BY22"/>
      <c r="BZ22" s="214"/>
      <c r="CA22" s="214"/>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row>
    <row r="23" s="69" customFormat="1" ht="24.95" customHeight="1" spans="1:130">
      <c r="A23"/>
      <c r="B23" s="92">
        <f>tblIndicators!A19</f>
        <v>18</v>
      </c>
      <c r="C23" s="92"/>
      <c r="D23" s="92"/>
      <c r="E23" s="92"/>
      <c r="F23" s="92">
        <f>CHOOSE(uxb_works!$B$46,Scores_2014_O!F23,Scores_2014_N!F23,Scores_2017!F23)</f>
        <v>3</v>
      </c>
      <c r="G23" s="92"/>
      <c r="H23" s="92"/>
      <c r="I23" s="104"/>
      <c r="J23" s="92"/>
      <c r="K23" s="92"/>
      <c r="L23" s="165"/>
      <c r="M23" s="92"/>
      <c r="N23" s="105" t="str">
        <f>REPT(" ",F23)&amp;CHOOSE(uxb_works!$B$46,Scores_2014_O!N23,Scores_2014_N!N23,Scores_2017!N23)</f>
        <v>      2.1.4) No. of doctors per 1,000</v>
      </c>
      <c r="O23" s="556">
        <f>CHOOSE(uxb_works!$B$46,Scores_2014_O!O23,Scores_2014_N!O23,Scores_2017!O23)</f>
        <v>0.166666666666667</v>
      </c>
      <c r="P23" s="557">
        <f>CHOOSE(uxb_works!$B$46,Scores_2014_O!P23,Scores_2014_N!P23,Scores_2017!P23)</f>
        <v>16.365171249397</v>
      </c>
      <c r="Q23" s="561">
        <f>CHOOSE(uxb_works!$B$46,Scores_2014_O!Q23,Scores_2014_N!Q23,Scores_2017!Q23)</f>
        <v>38.0004823926676</v>
      </c>
      <c r="R23" s="561">
        <f>CHOOSE(uxb_works!$B$46,Scores_2014_O!R23,Scores_2014_N!R23,Scores_2017!R23)</f>
        <v>73.0101302460203</v>
      </c>
      <c r="S23" s="561">
        <f>CHOOSE(uxb_works!$B$46,Scores_2014_O!S23,Scores_2014_N!S23,Scores_2017!S23)</f>
        <v>2.32754462132176</v>
      </c>
      <c r="T23" s="561">
        <f>CHOOSE(uxb_works!$B$46,Scores_2014_O!T23,Scores_2014_N!T23,Scores_2017!T23)</f>
        <v>43.6324167872648</v>
      </c>
      <c r="U23" s="561">
        <f>CHOOSE(uxb_works!$B$46,Scores_2014_O!U23,Scores_2014_N!U23,Scores_2017!U23)</f>
        <v>44.6092619392185</v>
      </c>
      <c r="V23" s="561">
        <f>CHOOSE(uxb_works!$B$46,Scores_2014_O!V23,Scores_2014_N!V23,Scores_2017!V23)</f>
        <v>16.4857694163049</v>
      </c>
      <c r="W23" s="561">
        <f>CHOOSE(uxb_works!$B$46,Scores_2014_O!W23,Scores_2014_N!W23,Scores_2017!W23)</f>
        <v>33.405692233478</v>
      </c>
      <c r="X23" s="561">
        <f>CHOOSE(uxb_works!$B$46,Scores_2014_O!X23,Scores_2014_N!X23,Scores_2017!X23)</f>
        <v>42.94500723589</v>
      </c>
      <c r="Y23" s="561">
        <f>CHOOSE(uxb_works!$B$46,Scores_2014_O!Z23,Scores_2014_N!Y23,Scores_2017!Y23)</f>
        <v>7.392667631452</v>
      </c>
      <c r="Z23" s="561">
        <f>CHOOSE(uxb_works!$B$46,Scores_2014_O!AA23,Scores_2014_N!Z23,Scores_2017!Z23)</f>
        <v>20.7911239749156</v>
      </c>
      <c r="AA23" s="561">
        <f>CHOOSE(uxb_works!$B$46,Scores_2014_O!AB23,Scores_2014_N!AA23,Scores_2017!AA23)</f>
        <v>5.02894356005789</v>
      </c>
      <c r="AB23" s="561">
        <f>CHOOSE(uxb_works!$B$46,Scores_2014_O!AC23,Scores_2014_N!AB23,Scores_2017!AB23)</f>
        <v>30.3183791606368</v>
      </c>
      <c r="AC23" s="561">
        <f>CHOOSE(uxb_works!$B$46,Scores_2014_O!AD23,Scores_2014_N!AC23,Scores_2017!AC23)</f>
        <v>23.2995658465991</v>
      </c>
      <c r="AD23" s="561">
        <f>CHOOSE(uxb_works!$B$46,Scores_2014_O!AE23,Scores_2014_N!AD23,Scores_2017!AD23)</f>
        <v>6.31934394597202</v>
      </c>
      <c r="AE23" s="561">
        <f>CHOOSE(uxb_works!$B$46,Scores_2014_O!AF23,Scores_2014_N!AE23,Scores_2017!AE23)</f>
        <v>2.26724553786782</v>
      </c>
      <c r="AF23" s="561">
        <f>CHOOSE(uxb_works!$B$46,Scores_2014_O!AG23,Scores_2014_N!AF23,Scores_2017!AF23)</f>
        <v>21.2614568258562</v>
      </c>
      <c r="AG23" s="561">
        <f>CHOOSE(uxb_works!$B$46,Scores_2014_O!AH23,Scores_2014_N!AG23,Scores_2017!AG23)</f>
        <v>47.3227206946454</v>
      </c>
      <c r="AH23" s="561">
        <f>CHOOSE(uxb_works!$B$46,Scores_2014_O!AI23,Scores_2014_N!AH23,Scores_2017!AH23)</f>
        <v>11.8065605402798</v>
      </c>
      <c r="AI23" s="561">
        <f>CHOOSE(uxb_works!$B$46,Scores_2014_O!AJ23,Scores_2014_N!AI23,Scores_2017!AI23)</f>
        <v>20.4896285576459</v>
      </c>
      <c r="AJ23" s="561">
        <f>CHOOSE(uxb_works!$B$46,Scores_2014_O!AK23,Scores_2014_N!AJ23,Scores_2017!AJ23)</f>
        <v>18.6685962373372</v>
      </c>
      <c r="AK23" s="561">
        <f>CHOOSE(uxb_works!$B$46,Scores_2014_O!AL23,Scores_2014_N!AK23,Scores_2017!AK23)</f>
        <v>0</v>
      </c>
      <c r="AL23" s="561">
        <f>CHOOSE(uxb_works!$B$46,Scores_2014_O!AM23,Scores_2014_N!AL23,Scores_2017!AL23)</f>
        <v>24.2134211515987</v>
      </c>
      <c r="AM23" s="561">
        <f>CHOOSE(uxb_works!$B$46,Scores_2014_O!AN23,Scores_2014_N!AM23,Scores_2017!AM23)</f>
        <v>6.82585624698505</v>
      </c>
      <c r="AN23" s="561">
        <f>CHOOSE(uxb_works!$B$46,Scores_2014_O!AO23,Scores_2014_N!AN23,Scores_2017!AN23)</f>
        <v>7.29618909792571</v>
      </c>
      <c r="AO23" s="561">
        <f>CHOOSE(uxb_works!$B$46,Scores_2014_O!AP23,Scores_2014_N!AO23,Scores_2017!AO23)</f>
        <v>13.0246020260492</v>
      </c>
      <c r="AP23" s="561">
        <f>CHOOSE(uxb_works!$B$46,Scores_2014_O!AQ23,Scores_2014_N!AP23,Scores_2017!AP23)</f>
        <v>21.0805595754945</v>
      </c>
      <c r="AQ23" s="561">
        <f>CHOOSE(uxb_works!$B$46,Scores_2014_O!Y23,Scores_2014_N!AQ23,Scores_2017!AQ23)</f>
        <v>11.0347322720695</v>
      </c>
      <c r="AR23" s="561">
        <f>CHOOSE(uxb_works!$B$46,Scores_2014_O!AR23,Scores_2014_N!AR23,Scores_2017!AR23)</f>
        <v>31.4158224794983</v>
      </c>
      <c r="AS23" s="561">
        <f>CHOOSE(uxb_works!$B$46,Scores_2014_O!AS23,Scores_2014_N!AS23,Scores_2017!AS23)</f>
        <v>29.232995658466</v>
      </c>
      <c r="AT23" s="561">
        <f>CHOOSE(uxb_works!$B$46,Scores_2014_O!AT23,Scores_2014_N!AT23,Scores_2017!AT23)</f>
        <v>43.6324167872648</v>
      </c>
      <c r="AU23" s="561">
        <f>CHOOSE(uxb_works!$B$46,Scores_2014_O!AU23,Scores_2014_N!AU23,Scores_2017!AU23)</f>
        <v>10.9623733719247</v>
      </c>
      <c r="AV23" s="561">
        <f>CHOOSE(uxb_works!$B$46,Scores_2014_O!AV23,Scores_2014_N!AV23,Scores_2017!AV23)</f>
        <v>38.2657983598649</v>
      </c>
      <c r="AW23" s="561">
        <f>CHOOSE(uxb_works!$B$46,Scores_2014_O!AW23,Scores_2014_N!AW23,Scores_2017!AW23)</f>
        <v>22.5518572117704</v>
      </c>
      <c r="AX23" s="561">
        <f>CHOOSE(uxb_works!$B$46,Scores_2014_O!AX23,Scores_2014_N!AX23,Scores_2017!AX23)</f>
        <v>45.1519536903039</v>
      </c>
      <c r="AY23" s="561">
        <f>CHOOSE(uxb_works!$B$46,Scores_2014_O!AY23,Scores_2014_N!AY23,Scores_2017!AY23)</f>
        <v>37.4457308248915</v>
      </c>
      <c r="AZ23" s="561">
        <f>CHOOSE(uxb_works!$B$46,Scores_2014_O!AZ23,Scores_2014_N!AZ23,Scores_2017!AZ23)</f>
        <v>6.31934394597202</v>
      </c>
      <c r="BA23" s="561">
        <f>CHOOSE(uxb_works!$B$46,Scores_2014_O!BA23,Scores_2014_N!BA23,Scores_2017!BA23)</f>
        <v>40.2436082971539</v>
      </c>
      <c r="BB23" s="561">
        <f>CHOOSE(uxb_works!$B$46,Scores_2014_O!BB23,Scores_2014_N!BB23,Scores_2017!BB23)</f>
        <v>30.6922334780511</v>
      </c>
      <c r="BC23" s="561">
        <f>CHOOSE(uxb_works!$B$46,Scores_2014_O!BC23,Scores_2014_N!BC23,Scores_2017!BC23)</f>
        <v>36.4930053063193</v>
      </c>
      <c r="BD23" s="561">
        <f>CHOOSE(uxb_works!$B$46,Scores_2014_O!BD23,Scores_2014_N!BD23,Scores_2017!BD23)</f>
        <v>17.6555716353111</v>
      </c>
      <c r="BE23" s="561">
        <f>CHOOSE(uxb_works!$B$46,Scores_2014_O!BE23,Scores_2014_N!BE23,Scores_2017!BE23)</f>
        <v>19.9107573564882</v>
      </c>
      <c r="BF23" s="561">
        <f>CHOOSE(uxb_works!$B$46,Scores_2014_O!BF23,Scores_2014_N!BF23,Scores_2017!BF23)</f>
        <v>23.2022243744959</v>
      </c>
      <c r="BG23" s="561">
        <f>CHOOSE(uxb_works!$B$46,Scores_2014_O!BG23,Scores_2014_N!BG23,Scores_2017!BG23)</f>
        <v>45.1519536903039</v>
      </c>
      <c r="BH23" s="561">
        <f>CHOOSE(uxb_works!$B$46,Scores_2014_O!BH23,Scores_2014_N!BH23,Scores_2017!BH23)</f>
        <v>29.232995658466</v>
      </c>
      <c r="BI23" s="561">
        <f>CHOOSE(uxb_works!$B$46,Scores_2014_O!BI23,Scores_2014_N!BI23,Scores_2017!BI23)</f>
        <v>10.0337674867342</v>
      </c>
      <c r="BJ23" s="561">
        <f>CHOOSE(uxb_works!$B$46,Scores_2014_O!BJ23,Scores_2014_N!BJ23,Scores_2017!BJ23)</f>
        <v>19.9107573564882</v>
      </c>
      <c r="BK23" s="561">
        <f>CHOOSE(uxb_works!$B$46,Scores_2014_O!BK23,Scores_2014_N!BK23,Scores_2017!BK23)</f>
        <v>24.4814278822962</v>
      </c>
      <c r="BL23" s="561">
        <f>CHOOSE(uxb_works!$B$46,Scores_2014_O!BL23,Scores_2014_N!BL23,Scores_2017!BL23)</f>
        <v>28.9315002411963</v>
      </c>
      <c r="BM23" s="561">
        <f>CHOOSE(uxb_works!$B$46,Scores_2014_O!BM23,Scores_2014_N!BM23,Scores_2017!BM23)</f>
        <v>20.6464061746261</v>
      </c>
      <c r="BN23" s="561">
        <f>CHOOSE(uxb_works!$B$46,Scores_2014_O!BN23,Scores_2014_N!BN23,Scores_2017!BN23)</f>
        <v>47.1056439942113</v>
      </c>
      <c r="BO23" s="561">
        <f>CHOOSE(uxb_works!$B$46,Scores_2014_O!BO23,Scores_2014_N!BO23,Scores_2017!BO23)</f>
        <v>38.2657983598649</v>
      </c>
      <c r="BP23" s="561">
        <f>CHOOSE(uxb_works!$B$46,Scores_2014_O!BP23,Scores_2014_N!BP23,Scores_2017!BP23)</f>
        <v>14.0633718633389</v>
      </c>
      <c r="BQ23" s="561">
        <f>CHOOSE(uxb_works!$B$46,Scores_2014_O!BQ23,Scores_2014_N!BQ23,Scores_2017!BQ23)</f>
        <v>15.5571635311143</v>
      </c>
      <c r="BR23" s="561">
        <f>CHOOSE(uxb_works!$B$46,Scores_2014_O!BR23,Scores_2014_N!BR23,Scores_2017!BR23)</f>
        <v>36.5774240231548</v>
      </c>
      <c r="BS23" s="561">
        <f>CHOOSE(uxb_works!$B$46,Scores_2014_O!BS23,Scores_2014_N!BS23,Scores_2017!BS23)</f>
        <v>27.4481427882296</v>
      </c>
      <c r="BT23" s="561">
        <f>CHOOSE(uxb_works!$B$46,Scores_2014_O!BT23,Scores_2014_N!BT23,Scores_2017!BT23)</f>
        <v>100</v>
      </c>
      <c r="BU23" s="561">
        <f>CHOOSE(uxb_works!$B$46,Scores_2014_O!BU23,Scores_2014_N!BU23,Scores_2017!BU23)</f>
        <v>31.9705740472745</v>
      </c>
      <c r="BV23" s="561">
        <f>CHOOSE(uxb_works!$B$46,Scores_2014_O!BV23,Scores_2014_N!BV23,Scores_2017!BV23)</f>
        <v>4.42595272551857</v>
      </c>
      <c r="BW23" s="561">
        <f>CHOOSE(uxb_works!$B$46,Scores_2014_O!BW23,Scores_2014_N!BW23,Scores_2017!BW23)</f>
        <v>47.1900627110468</v>
      </c>
      <c r="BX23" s="561">
        <f>CHOOSE(uxb_works!$B$46,Scores_2014_O!BX23,Scores_2014_N!BX23,Scores_2017!BX23)</f>
        <v>36.9271587071877</v>
      </c>
      <c r="BY23"/>
      <c r="BZ23" s="214"/>
      <c r="CA23" s="214"/>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row>
    <row r="24" s="69" customFormat="1" ht="24.95" customHeight="1" spans="1:130">
      <c r="A24"/>
      <c r="B24" s="92">
        <f>tblIndicators!A20</f>
        <v>19</v>
      </c>
      <c r="C24" s="92"/>
      <c r="D24" s="92"/>
      <c r="E24" s="92"/>
      <c r="F24" s="92">
        <f>CHOOSE(uxb_works!$B$46,Scores_2014_O!F24,Scores_2014_N!F24,Scores_2017!F24)</f>
        <v>3</v>
      </c>
      <c r="G24" s="92"/>
      <c r="H24" s="92"/>
      <c r="I24" s="104"/>
      <c r="J24" s="92"/>
      <c r="K24" s="92"/>
      <c r="L24" s="165"/>
      <c r="M24" s="92"/>
      <c r="N24" s="105" t="str">
        <f>REPT(" ",F24)&amp;CHOOSE(uxb_works!$B$46,Scores_2014_O!N24,Scores_2014_N!N24,Scores_2017!N24)</f>
        <v>      2.1.5) Access to safe and quality food</v>
      </c>
      <c r="O24" s="556">
        <f>CHOOSE(uxb_works!$B$46,Scores_2014_O!O24,Scores_2014_N!O24,Scores_2017!O24)</f>
        <v>0.166666666666667</v>
      </c>
      <c r="P24" s="557">
        <f>CHOOSE(uxb_works!$B$46,Scores_2014_O!P24,Scores_2014_N!P24,Scores_2017!P24)</f>
        <v>99.7</v>
      </c>
      <c r="Q24" s="561">
        <f>CHOOSE(uxb_works!$B$46,Scores_2014_O!Q24,Scores_2014_N!Q24,Scores_2017!Q24)</f>
        <v>100</v>
      </c>
      <c r="R24" s="561">
        <f>CHOOSE(uxb_works!$B$46,Scores_2014_O!R24,Scores_2014_N!R24,Scores_2017!R24)</f>
        <v>100</v>
      </c>
      <c r="S24" s="561">
        <f>CHOOSE(uxb_works!$B$46,Scores_2014_O!S24,Scores_2014_N!S24,Scores_2017!S24)</f>
        <v>98.2</v>
      </c>
      <c r="T24" s="561">
        <f>CHOOSE(uxb_works!$B$46,Scores_2014_O!T24,Scores_2014_N!T24,Scores_2017!T24)</f>
        <v>100</v>
      </c>
      <c r="U24" s="561">
        <f>CHOOSE(uxb_works!$B$46,Scores_2014_O!U24,Scores_2014_N!U24,Scores_2017!U24)</f>
        <v>96.2</v>
      </c>
      <c r="V24" s="561">
        <f>CHOOSE(uxb_works!$B$46,Scores_2014_O!V24,Scores_2014_N!V24,Scores_2017!V24)</f>
        <v>92.8</v>
      </c>
      <c r="W24" s="561">
        <f>CHOOSE(uxb_works!$B$46,Scores_2014_O!W24,Scores_2014_N!W24,Scores_2017!W24)</f>
        <v>100</v>
      </c>
      <c r="X24" s="561">
        <f>CHOOSE(uxb_works!$B$46,Scores_2014_O!X24,Scores_2014_N!X24,Scores_2017!X24)</f>
        <v>99.2</v>
      </c>
      <c r="Y24" s="561">
        <f>CHOOSE(uxb_works!$B$46,Scores_2014_O!Z24,Scores_2014_N!Y24,Scores_2017!Y24)</f>
        <v>99.5</v>
      </c>
      <c r="Z24" s="561">
        <f>CHOOSE(uxb_works!$B$46,Scores_2014_O!AA24,Scores_2014_N!Z24,Scores_2017!Z24)</f>
        <v>94.2</v>
      </c>
      <c r="AA24" s="561">
        <f>CHOOSE(uxb_works!$B$46,Scores_2014_O!AB24,Scores_2014_N!AA24,Scores_2017!AA24)</f>
        <v>87.7</v>
      </c>
      <c r="AB24" s="561">
        <f>CHOOSE(uxb_works!$B$46,Scores_2014_O!AC24,Scores_2014_N!AB24,Scores_2017!AB24)</f>
        <v>99.3</v>
      </c>
      <c r="AC24" s="561">
        <f>CHOOSE(uxb_works!$B$46,Scores_2014_O!AD24,Scores_2014_N!AC24,Scores_2017!AC24)</f>
        <v>99.3</v>
      </c>
      <c r="AD24" s="561">
        <f>CHOOSE(uxb_works!$B$46,Scores_2014_O!AE24,Scores_2014_N!AD24,Scores_2017!AD24)</f>
        <v>82.5</v>
      </c>
      <c r="AE24" s="561">
        <f>CHOOSE(uxb_works!$B$46,Scores_2014_O!AF24,Scores_2014_N!AE24,Scores_2017!AE24)</f>
        <v>76.5</v>
      </c>
      <c r="AF24" s="561">
        <f>CHOOSE(uxb_works!$B$46,Scores_2014_O!AG24,Scores_2014_N!AF24,Scores_2017!AF24)</f>
        <v>87.5</v>
      </c>
      <c r="AG24" s="561">
        <f>CHOOSE(uxb_works!$B$46,Scores_2014_O!AH24,Scores_2014_N!AG24,Scores_2017!AG24)</f>
        <v>100</v>
      </c>
      <c r="AH24" s="561">
        <f>CHOOSE(uxb_works!$B$46,Scores_2014_O!AI24,Scores_2014_N!AH24,Scores_2017!AH24)</f>
        <v>85.5</v>
      </c>
      <c r="AI24" s="561">
        <f>CHOOSE(uxb_works!$B$46,Scores_2014_O!AJ24,Scores_2014_N!AI24,Scores_2017!AI24)</f>
        <v>96.2</v>
      </c>
      <c r="AJ24" s="561">
        <f>CHOOSE(uxb_works!$B$46,Scores_2014_O!AK24,Scores_2014_N!AJ24,Scores_2017!AJ24)</f>
        <v>100</v>
      </c>
      <c r="AK24" s="561">
        <f>CHOOSE(uxb_works!$B$46,Scores_2014_O!AL24,Scores_2014_N!AK24,Scores_2017!AK24)</f>
        <v>76.9</v>
      </c>
      <c r="AL24" s="561">
        <f>CHOOSE(uxb_works!$B$46,Scores_2014_O!AM24,Scores_2014_N!AL24,Scores_2017!AL24)</f>
        <v>97.5</v>
      </c>
      <c r="AM24" s="561">
        <f>CHOOSE(uxb_works!$B$46,Scores_2014_O!AN24,Scores_2014_N!AM24,Scores_2017!AM24)</f>
        <v>94.3</v>
      </c>
      <c r="AN24" s="561">
        <f>CHOOSE(uxb_works!$B$46,Scores_2014_O!AO24,Scores_2014_N!AN24,Scores_2017!AN24)</f>
        <v>48.1</v>
      </c>
      <c r="AO24" s="561">
        <f>CHOOSE(uxb_works!$B$46,Scores_2014_O!AP24,Scores_2014_N!AO24,Scores_2017!AO24)</f>
        <v>98.5</v>
      </c>
      <c r="AP24" s="561">
        <f>CHOOSE(uxb_works!$B$46,Scores_2014_O!AQ24,Scores_2014_N!AP24,Scores_2017!AP24)</f>
        <v>99.2</v>
      </c>
      <c r="AQ24" s="561">
        <f>CHOOSE(uxb_works!$B$46,Scores_2014_O!Y24,Scores_2014_N!AQ24,Scores_2017!AQ24)</f>
        <v>88.8</v>
      </c>
      <c r="AR24" s="561">
        <f>CHOOSE(uxb_works!$B$46,Scores_2014_O!AR24,Scores_2014_N!AR24,Scores_2017!AR24)</f>
        <v>100</v>
      </c>
      <c r="AS24" s="561">
        <f>CHOOSE(uxb_works!$B$46,Scores_2014_O!AS24,Scores_2014_N!AS24,Scores_2017!AS24)</f>
        <v>99.3</v>
      </c>
      <c r="AT24" s="561">
        <f>CHOOSE(uxb_works!$B$46,Scores_2014_O!AT24,Scores_2014_N!AT24,Scores_2017!AT24)</f>
        <v>100</v>
      </c>
      <c r="AU24" s="561">
        <f>CHOOSE(uxb_works!$B$46,Scores_2014_O!AU24,Scores_2014_N!AU24,Scores_2017!AU24)</f>
        <v>93.1</v>
      </c>
      <c r="AV24" s="561">
        <f>CHOOSE(uxb_works!$B$46,Scores_2014_O!AV24,Scores_2014_N!AV24,Scores_2017!AV24)</f>
        <v>100</v>
      </c>
      <c r="AW24" s="561">
        <f>CHOOSE(uxb_works!$B$46,Scores_2014_O!AW24,Scores_2014_N!AW24,Scores_2017!AW24)</f>
        <v>96.7</v>
      </c>
      <c r="AX24" s="561">
        <f>CHOOSE(uxb_works!$B$46,Scores_2014_O!AX24,Scores_2014_N!AX24,Scores_2017!AX24)</f>
        <v>100</v>
      </c>
      <c r="AY24" s="561">
        <f>CHOOSE(uxb_works!$B$46,Scores_2014_O!AY24,Scores_2014_N!AY24,Scores_2017!AY24)</f>
        <v>97.4</v>
      </c>
      <c r="AZ24" s="561">
        <f>CHOOSE(uxb_works!$B$46,Scores_2014_O!AZ24,Scores_2014_N!AZ24,Scores_2017!AZ24)</f>
        <v>82.5</v>
      </c>
      <c r="BA24" s="561">
        <f>CHOOSE(uxb_works!$B$46,Scores_2014_O!BA24,Scores_2014_N!BA24,Scores_2017!BA24)</f>
        <v>99.3</v>
      </c>
      <c r="BB24" s="561">
        <f>CHOOSE(uxb_works!$B$46,Scores_2014_O!BB24,Scores_2014_N!BB24,Scores_2017!BB24)</f>
        <v>100</v>
      </c>
      <c r="BC24" s="561">
        <f>CHOOSE(uxb_works!$B$46,Scores_2014_O!BC24,Scores_2014_N!BC24,Scores_2017!BC24)</f>
        <v>100</v>
      </c>
      <c r="BD24" s="561">
        <f>CHOOSE(uxb_works!$B$46,Scores_2014_O!BD24,Scores_2014_N!BD24,Scores_2017!BD24)</f>
        <v>89</v>
      </c>
      <c r="BE24" s="561">
        <f>CHOOSE(uxb_works!$B$46,Scores_2014_O!BE24,Scores_2014_N!BE24,Scores_2017!BE24)</f>
        <v>98.4</v>
      </c>
      <c r="BF24" s="561">
        <f>CHOOSE(uxb_works!$B$46,Scores_2014_O!BF24,Scores_2014_N!BF24,Scores_2017!BF24)</f>
        <v>97.5</v>
      </c>
      <c r="BG24" s="561">
        <f>CHOOSE(uxb_works!$B$46,Scores_2014_O!BG24,Scores_2014_N!BG24,Scores_2017!BG24)</f>
        <v>100</v>
      </c>
      <c r="BH24" s="561">
        <f>CHOOSE(uxb_works!$B$46,Scores_2014_O!BH24,Scores_2014_N!BH24,Scores_2017!BH24)</f>
        <v>99.3</v>
      </c>
      <c r="BI24" s="561">
        <f>CHOOSE(uxb_works!$B$46,Scores_2014_O!BI24,Scores_2014_N!BI24,Scores_2017!BI24)</f>
        <v>99.2</v>
      </c>
      <c r="BJ24" s="561">
        <f>CHOOSE(uxb_works!$B$46,Scores_2014_O!BJ24,Scores_2014_N!BJ24,Scores_2017!BJ24)</f>
        <v>98.4</v>
      </c>
      <c r="BK24" s="561">
        <f>CHOOSE(uxb_works!$B$46,Scores_2014_O!BK24,Scores_2014_N!BK24,Scores_2017!BK24)</f>
        <v>99.7</v>
      </c>
      <c r="BL24" s="561">
        <f>CHOOSE(uxb_works!$B$46,Scores_2014_O!BL24,Scores_2014_N!BL24,Scores_2017!BL24)</f>
        <v>96.2</v>
      </c>
      <c r="BM24" s="561">
        <f>CHOOSE(uxb_works!$B$46,Scores_2014_O!BM24,Scores_2014_N!BM24,Scores_2017!BM24)</f>
        <v>100</v>
      </c>
      <c r="BN24" s="561">
        <f>CHOOSE(uxb_works!$B$46,Scores_2014_O!BN24,Scores_2014_N!BN24,Scores_2017!BN24)</f>
        <v>100</v>
      </c>
      <c r="BO24" s="561">
        <f>CHOOSE(uxb_works!$B$46,Scores_2014_O!BO24,Scores_2014_N!BO24,Scores_2017!BO24)</f>
        <v>100</v>
      </c>
      <c r="BP24" s="561">
        <f>CHOOSE(uxb_works!$B$46,Scores_2014_O!BP24,Scores_2014_N!BP24,Scores_2017!BP24)</f>
        <v>96.2</v>
      </c>
      <c r="BQ24" s="561">
        <f>CHOOSE(uxb_works!$B$46,Scores_2014_O!BQ24,Scores_2014_N!BQ24,Scores_2017!BQ24)</f>
        <v>84.9</v>
      </c>
      <c r="BR24" s="561">
        <f>CHOOSE(uxb_works!$B$46,Scores_2014_O!BR24,Scores_2014_N!BR24,Scores_2017!BR24)</f>
        <v>100</v>
      </c>
      <c r="BS24" s="561">
        <f>CHOOSE(uxb_works!$B$46,Scores_2014_O!BS24,Scores_2014_N!BS24,Scores_2017!BS24)</f>
        <v>99.8</v>
      </c>
      <c r="BT24" s="561">
        <f>CHOOSE(uxb_works!$B$46,Scores_2014_O!BT24,Scores_2014_N!BT24,Scores_2017!BT24)</f>
        <v>99.3</v>
      </c>
      <c r="BU24" s="561">
        <f>CHOOSE(uxb_works!$B$46,Scores_2014_O!BU24,Scores_2014_N!BU24,Scores_2017!BU24)</f>
        <v>100</v>
      </c>
      <c r="BV24" s="561">
        <f>CHOOSE(uxb_works!$B$46,Scores_2014_O!BV24,Scores_2014_N!BV24,Scores_2017!BV24)</f>
        <v>71.2</v>
      </c>
      <c r="BW24" s="561">
        <f>CHOOSE(uxb_works!$B$46,Scores_2014_O!BW24,Scores_2014_N!BW24,Scores_2017!BW24)</f>
        <v>100</v>
      </c>
      <c r="BX24" s="561">
        <f>CHOOSE(uxb_works!$B$46,Scores_2014_O!BX24,Scores_2014_N!BX24,Scores_2017!BX24)</f>
        <v>100</v>
      </c>
      <c r="BY24"/>
      <c r="BZ24" s="214"/>
      <c r="CA24" s="21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row>
    <row r="25" s="69" customFormat="1" ht="24.95" customHeight="1" spans="1:130">
      <c r="A25"/>
      <c r="B25" s="92">
        <f>tblIndicators!A21</f>
        <v>20</v>
      </c>
      <c r="C25" s="92"/>
      <c r="D25" s="92"/>
      <c r="E25" s="92"/>
      <c r="F25" s="92">
        <f>CHOOSE(uxb_works!$B$46,Scores_2014_O!F25,Scores_2014_N!F25,Scores_2017!F25)</f>
        <v>3</v>
      </c>
      <c r="G25" s="92"/>
      <c r="H25" s="92"/>
      <c r="I25" s="104"/>
      <c r="J25" s="92"/>
      <c r="K25" s="92"/>
      <c r="L25" s="165"/>
      <c r="M25" s="92"/>
      <c r="N25" s="105" t="str">
        <f>REPT(" ",F25)&amp;CHOOSE(uxb_works!$B$46,Scores_2014_O!N25,Scores_2014_N!N25,Scores_2017!N25)</f>
        <v>      2.1.6) Quality of health services</v>
      </c>
      <c r="O25" s="556">
        <f>CHOOSE(uxb_works!$B$46,Scores_2014_O!O25,Scores_2014_N!O25,Scores_2017!O25)</f>
        <v>0.166666666666667</v>
      </c>
      <c r="P25" s="557">
        <f>CHOOSE(uxb_works!$B$46,Scores_2014_O!P25,Scores_2014_N!P25,Scores_2017!P25)</f>
        <v>75</v>
      </c>
      <c r="Q25" s="561">
        <f>CHOOSE(uxb_works!$B$46,Scores_2014_O!Q25,Scores_2014_N!Q25,Scores_2017!Q25)</f>
        <v>100</v>
      </c>
      <c r="R25" s="561">
        <f>CHOOSE(uxb_works!$B$46,Scores_2014_O!R25,Scores_2014_N!R25,Scores_2017!R25)</f>
        <v>62.5</v>
      </c>
      <c r="S25" s="561">
        <f>CHOOSE(uxb_works!$B$46,Scores_2014_O!S25,Scores_2014_N!S25,Scores_2017!S25)</f>
        <v>62.5</v>
      </c>
      <c r="T25" s="561">
        <f>CHOOSE(uxb_works!$B$46,Scores_2014_O!T25,Scores_2014_N!T25,Scores_2017!T25)</f>
        <v>100</v>
      </c>
      <c r="U25" s="561">
        <f>CHOOSE(uxb_works!$B$46,Scores_2014_O!U25,Scores_2014_N!U25,Scores_2017!U25)</f>
        <v>62.5</v>
      </c>
      <c r="V25" s="561">
        <f>CHOOSE(uxb_works!$B$46,Scores_2014_O!V25,Scores_2014_N!V25,Scores_2017!V25)</f>
        <v>62.5</v>
      </c>
      <c r="W25" s="561">
        <f>CHOOSE(uxb_works!$B$46,Scores_2014_O!W25,Scores_2014_N!W25,Scores_2017!W25)</f>
        <v>100</v>
      </c>
      <c r="X25" s="561">
        <f>CHOOSE(uxb_works!$B$46,Scores_2014_O!X25,Scores_2014_N!X25,Scores_2017!X25)</f>
        <v>75</v>
      </c>
      <c r="Y25" s="561">
        <f>CHOOSE(uxb_works!$B$46,Scores_2014_O!Z25,Scores_2014_N!Y25,Scores_2017!Y25)</f>
        <v>37.5</v>
      </c>
      <c r="Z25" s="561">
        <f>CHOOSE(uxb_works!$B$46,Scores_2014_O!AA25,Scores_2014_N!Z25,Scores_2017!Z25)</f>
        <v>37.5</v>
      </c>
      <c r="AA25" s="561">
        <f>CHOOSE(uxb_works!$B$46,Scores_2014_O!AB25,Scores_2014_N!AA25,Scores_2017!AA25)</f>
        <v>37.5</v>
      </c>
      <c r="AB25" s="561">
        <f>CHOOSE(uxb_works!$B$46,Scores_2014_O!AC25,Scores_2014_N!AB25,Scores_2017!AB25)</f>
        <v>87.5</v>
      </c>
      <c r="AC25" s="561">
        <f>CHOOSE(uxb_works!$B$46,Scores_2014_O!AD25,Scores_2014_N!AC25,Scores_2017!AC25)</f>
        <v>87.5</v>
      </c>
      <c r="AD25" s="561">
        <f>CHOOSE(uxb_works!$B$46,Scores_2014_O!AE25,Scores_2014_N!AD25,Scores_2017!AD25)</f>
        <v>62.5</v>
      </c>
      <c r="AE25" s="561">
        <f>CHOOSE(uxb_works!$B$46,Scores_2014_O!AF25,Scores_2014_N!AE25,Scores_2017!AE25)</f>
        <v>37.5</v>
      </c>
      <c r="AF25" s="561">
        <f>CHOOSE(uxb_works!$B$46,Scores_2014_O!AG25,Scores_2014_N!AF25,Scores_2017!AF25)</f>
        <v>75</v>
      </c>
      <c r="AG25" s="561">
        <f>CHOOSE(uxb_works!$B$46,Scores_2014_O!AH25,Scores_2014_N!AG25,Scores_2017!AG25)</f>
        <v>100</v>
      </c>
      <c r="AH25" s="561">
        <f>CHOOSE(uxb_works!$B$46,Scores_2014_O!AI25,Scores_2014_N!AH25,Scores_2017!AH25)</f>
        <v>37.5</v>
      </c>
      <c r="AI25" s="561">
        <f>CHOOSE(uxb_works!$B$46,Scores_2014_O!AJ25,Scores_2014_N!AI25,Scores_2017!AI25)</f>
        <v>87.5</v>
      </c>
      <c r="AJ25" s="561">
        <f>CHOOSE(uxb_works!$B$46,Scores_2014_O!AK25,Scores_2014_N!AJ25,Scores_2017!AJ25)</f>
        <v>50</v>
      </c>
      <c r="AK25" s="561">
        <f>CHOOSE(uxb_works!$B$46,Scores_2014_O!AL25,Scores_2014_N!AK25,Scores_2017!AK25)</f>
        <v>37.5</v>
      </c>
      <c r="AL25" s="561">
        <f>CHOOSE(uxb_works!$B$46,Scores_2014_O!AM25,Scores_2014_N!AL25,Scores_2017!AL25)</f>
        <v>62.5</v>
      </c>
      <c r="AM25" s="561">
        <f>CHOOSE(uxb_works!$B$46,Scores_2014_O!AN25,Scores_2014_N!AM25,Scores_2017!AM25)</f>
        <v>50</v>
      </c>
      <c r="AN25" s="561">
        <f>CHOOSE(uxb_works!$B$46,Scores_2014_O!AO25,Scores_2014_N!AN25,Scores_2017!AN25)</f>
        <v>50</v>
      </c>
      <c r="AO25" s="561">
        <f>CHOOSE(uxb_works!$B$46,Scores_2014_O!AP25,Scores_2014_N!AO25,Scores_2017!AO25)</f>
        <v>62.5</v>
      </c>
      <c r="AP25" s="561">
        <f>CHOOSE(uxb_works!$B$46,Scores_2014_O!AQ25,Scores_2014_N!AP25,Scores_2017!AP25)</f>
        <v>87.5</v>
      </c>
      <c r="AQ25" s="561">
        <f>CHOOSE(uxb_works!$B$46,Scores_2014_O!Y25,Scores_2014_N!AQ25,Scores_2017!AQ25)</f>
        <v>62.5</v>
      </c>
      <c r="AR25" s="561">
        <f>CHOOSE(uxb_works!$B$46,Scores_2014_O!AR25,Scores_2014_N!AR25,Scores_2017!AR25)</f>
        <v>87.5</v>
      </c>
      <c r="AS25" s="561">
        <f>CHOOSE(uxb_works!$B$46,Scores_2014_O!AS25,Scores_2014_N!AS25,Scores_2017!AS25)</f>
        <v>87.5</v>
      </c>
      <c r="AT25" s="561">
        <f>CHOOSE(uxb_works!$B$46,Scores_2014_O!AT25,Scores_2014_N!AT25,Scores_2017!AT25)</f>
        <v>87.5</v>
      </c>
      <c r="AU25" s="561">
        <f>CHOOSE(uxb_works!$B$46,Scores_2014_O!AU25,Scores_2014_N!AU25,Scores_2017!AU25)</f>
        <v>62.5</v>
      </c>
      <c r="AV25" s="561">
        <f>CHOOSE(uxb_works!$B$46,Scores_2014_O!AV25,Scores_2014_N!AV25,Scores_2017!AV25)</f>
        <v>100</v>
      </c>
      <c r="AW25" s="561">
        <f>CHOOSE(uxb_works!$B$46,Scores_2014_O!AW25,Scores_2014_N!AW25,Scores_2017!AW25)</f>
        <v>50</v>
      </c>
      <c r="AX25" s="561">
        <f>CHOOSE(uxb_works!$B$46,Scores_2014_O!AX25,Scores_2014_N!AX25,Scores_2017!AX25)</f>
        <v>75</v>
      </c>
      <c r="AY25" s="561">
        <f>CHOOSE(uxb_works!$B$46,Scores_2014_O!AY25,Scores_2014_N!AY25,Scores_2017!AY25)</f>
        <v>75</v>
      </c>
      <c r="AZ25" s="561">
        <f>CHOOSE(uxb_works!$B$46,Scores_2014_O!AZ25,Scores_2014_N!AZ25,Scores_2017!AZ25)</f>
        <v>37.5</v>
      </c>
      <c r="BA25" s="561">
        <f>CHOOSE(uxb_works!$B$46,Scores_2014_O!BA25,Scores_2014_N!BA25,Scores_2017!BA25)</f>
        <v>87.5</v>
      </c>
      <c r="BB25" s="561">
        <f>CHOOSE(uxb_works!$B$46,Scores_2014_O!BB25,Scores_2014_N!BB25,Scores_2017!BB25)</f>
        <v>100</v>
      </c>
      <c r="BC25" s="561">
        <f>CHOOSE(uxb_works!$B$46,Scores_2014_O!BC25,Scores_2014_N!BC25,Scores_2017!BC25)</f>
        <v>100</v>
      </c>
      <c r="BD25" s="561">
        <f>CHOOSE(uxb_works!$B$46,Scores_2014_O!BD25,Scores_2014_N!BD25,Scores_2017!BD25)</f>
        <v>37.5</v>
      </c>
      <c r="BE25" s="561">
        <f>CHOOSE(uxb_works!$B$46,Scores_2014_O!BE25,Scores_2014_N!BE25,Scores_2017!BE25)</f>
        <v>62.5</v>
      </c>
      <c r="BF25" s="561">
        <f>CHOOSE(uxb_works!$B$46,Scores_2014_O!BF25,Scores_2014_N!BF25,Scores_2017!BF25)</f>
        <v>62.5</v>
      </c>
      <c r="BG25" s="561">
        <f>CHOOSE(uxb_works!$B$46,Scores_2014_O!BG25,Scores_2014_N!BG25,Scores_2017!BG25)</f>
        <v>75</v>
      </c>
      <c r="BH25" s="561">
        <f>CHOOSE(uxb_works!$B$46,Scores_2014_O!BH25,Scores_2014_N!BH25,Scores_2017!BH25)</f>
        <v>87.5</v>
      </c>
      <c r="BI25" s="561">
        <f>CHOOSE(uxb_works!$B$46,Scores_2014_O!BI25,Scores_2014_N!BI25,Scores_2017!BI25)</f>
        <v>62.5</v>
      </c>
      <c r="BJ25" s="561">
        <f>CHOOSE(uxb_works!$B$46,Scores_2014_O!BJ25,Scores_2014_N!BJ25,Scores_2017!BJ25)</f>
        <v>62.5</v>
      </c>
      <c r="BK25" s="561">
        <f>CHOOSE(uxb_works!$B$46,Scores_2014_O!BK25,Scores_2014_N!BK25,Scores_2017!BK25)</f>
        <v>87.5</v>
      </c>
      <c r="BL25" s="561">
        <f>CHOOSE(uxb_works!$B$46,Scores_2014_O!BL25,Scores_2014_N!BL25,Scores_2017!BL25)</f>
        <v>62.5</v>
      </c>
      <c r="BM25" s="561">
        <f>CHOOSE(uxb_works!$B$46,Scores_2014_O!BM25,Scores_2014_N!BM25,Scores_2017!BM25)</f>
        <v>100</v>
      </c>
      <c r="BN25" s="561">
        <f>CHOOSE(uxb_works!$B$46,Scores_2014_O!BN25,Scores_2014_N!BN25,Scores_2017!BN25)</f>
        <v>87.5</v>
      </c>
      <c r="BO25" s="561">
        <f>CHOOSE(uxb_works!$B$46,Scores_2014_O!BO25,Scores_2014_N!BO25,Scores_2017!BO25)</f>
        <v>100</v>
      </c>
      <c r="BP25" s="561">
        <f>CHOOSE(uxb_works!$B$46,Scores_2014_O!BP25,Scores_2014_N!BP25,Scores_2017!BP25)</f>
        <v>87.5</v>
      </c>
      <c r="BQ25" s="561">
        <f>CHOOSE(uxb_works!$B$46,Scores_2014_O!BQ25,Scores_2014_N!BQ25,Scores_2017!BQ25)</f>
        <v>62.5</v>
      </c>
      <c r="BR25" s="561">
        <f>CHOOSE(uxb_works!$B$46,Scores_2014_O!BR25,Scores_2014_N!BR25,Scores_2017!BR25)</f>
        <v>100</v>
      </c>
      <c r="BS25" s="561">
        <f>CHOOSE(uxb_works!$B$46,Scores_2014_O!BS25,Scores_2014_N!BS25,Scores_2017!BS25)</f>
        <v>100</v>
      </c>
      <c r="BT25" s="561">
        <f>CHOOSE(uxb_works!$B$46,Scores_2014_O!BT25,Scores_2014_N!BT25,Scores_2017!BT25)</f>
        <v>87.5</v>
      </c>
      <c r="BU25" s="561">
        <f>CHOOSE(uxb_works!$B$46,Scores_2014_O!BU25,Scores_2014_N!BU25,Scores_2017!BU25)</f>
        <v>87.5</v>
      </c>
      <c r="BV25" s="561">
        <f>CHOOSE(uxb_works!$B$46,Scores_2014_O!BV25,Scores_2014_N!BV25,Scores_2017!BV25)</f>
        <v>37.5</v>
      </c>
      <c r="BW25" s="561">
        <f>CHOOSE(uxb_works!$B$46,Scores_2014_O!BW25,Scores_2014_N!BW25,Scores_2017!BW25)</f>
        <v>100</v>
      </c>
      <c r="BX25" s="561">
        <f>CHOOSE(uxb_works!$B$46,Scores_2014_O!BX25,Scores_2014_N!BX25,Scores_2017!BX25)</f>
        <v>100</v>
      </c>
      <c r="BY25"/>
      <c r="BZ25" s="214"/>
      <c r="CA25" s="214"/>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row>
    <row r="26" s="69" customFormat="1" ht="24.95" customHeight="1" spans="1:130">
      <c r="A26"/>
      <c r="B26" s="92">
        <f>tblIndicators!A22</f>
        <v>21</v>
      </c>
      <c r="C26" s="92"/>
      <c r="D26" s="92"/>
      <c r="E26" s="92"/>
      <c r="F26" s="92">
        <f>CHOOSE(uxb_works!$B$46,Scores_2014_O!F26,Scores_2014_N!F26,Scores_2017!F26)</f>
        <v>2</v>
      </c>
      <c r="G26" s="92"/>
      <c r="H26" s="92"/>
      <c r="I26" s="104"/>
      <c r="J26" s="92"/>
      <c r="K26" s="92"/>
      <c r="L26" s="165"/>
      <c r="M26" s="92"/>
      <c r="N26" s="105" t="str">
        <f>REPT(" ",F26)&amp;CHOOSE(uxb_works!$B$46,Scores_2014_O!N26,Scores_2014_N!N26,Scores_2017!N26)</f>
        <v>    2.2) Health security (Outputs)</v>
      </c>
      <c r="O26" s="556">
        <f>CHOOSE(uxb_works!$B$46,Scores_2014_O!O26,Scores_2014_N!O26,Scores_2017!O26)</f>
        <v>0.5</v>
      </c>
      <c r="P26" s="557">
        <f>CHOOSE(uxb_works!$B$46,Scores_2014_O!P26,Scores_2014_N!P26,Scores_2017!P26)</f>
        <v>81.1718065502088</v>
      </c>
      <c r="Q26" s="561">
        <f>CHOOSE(uxb_works!$B$46,Scores_2014_O!Q26,Scores_2014_N!Q26,Scores_2017!Q26)</f>
        <v>80.6373554669572</v>
      </c>
      <c r="R26" s="561">
        <f>CHOOSE(uxb_works!$B$46,Scores_2014_O!R26,Scores_2014_N!R26,Scores_2017!R26)</f>
        <v>84.2181962854649</v>
      </c>
      <c r="S26" s="561">
        <f>CHOOSE(uxb_works!$B$46,Scores_2014_O!S26,Scores_2014_N!S26,Scores_2017!S26)</f>
        <v>77.9996358608022</v>
      </c>
      <c r="T26" s="561">
        <f>CHOOSE(uxb_works!$B$46,Scores_2014_O!T26,Scores_2014_N!T26,Scores_2017!T26)</f>
        <v>83.2228324533271</v>
      </c>
      <c r="U26" s="561">
        <f>CHOOSE(uxb_works!$B$46,Scores_2014_O!U26,Scores_2014_N!U26,Scores_2017!U26)</f>
        <v>65.7679077377655</v>
      </c>
      <c r="V26" s="561">
        <f>CHOOSE(uxb_works!$B$46,Scores_2014_O!V26,Scores_2014_N!V26,Scores_2017!V26)</f>
        <v>77.5010996000594</v>
      </c>
      <c r="W26" s="561">
        <f>CHOOSE(uxb_works!$B$46,Scores_2014_O!W26,Scores_2014_N!W26,Scores_2017!W26)</f>
        <v>82.1623985690235</v>
      </c>
      <c r="X26" s="561">
        <f>CHOOSE(uxb_works!$B$46,Scores_2014_O!X26,Scores_2014_N!X26,Scores_2017!X26)</f>
        <v>76.4889231853885</v>
      </c>
      <c r="Y26" s="561">
        <f>CHOOSE(uxb_works!$B$46,Scores_2014_O!Z26,Scores_2014_N!Y26,Scores_2017!Y26)</f>
        <v>62.192885764068</v>
      </c>
      <c r="Z26" s="561">
        <f>CHOOSE(uxb_works!$B$46,Scores_2014_O!AA26,Scores_2014_N!Z26,Scores_2017!Z26)</f>
        <v>74.1628056902685</v>
      </c>
      <c r="AA26" s="561">
        <f>CHOOSE(uxb_works!$B$46,Scores_2014_O!AB26,Scores_2014_N!AA26,Scores_2017!AA26)</f>
        <v>73.7712514028051</v>
      </c>
      <c r="AB26" s="561">
        <f>CHOOSE(uxb_works!$B$46,Scores_2014_O!AC26,Scores_2014_N!AB26,Scores_2017!AB26)</f>
        <v>73.3973679293937</v>
      </c>
      <c r="AC26" s="561">
        <f>CHOOSE(uxb_works!$B$46,Scores_2014_O!AD26,Scores_2014_N!AC26,Scores_2017!AC26)</f>
        <v>75.6519245577867</v>
      </c>
      <c r="AD26" s="561">
        <f>CHOOSE(uxb_works!$B$46,Scores_2014_O!AE26,Scores_2014_N!AD26,Scores_2017!AD26)</f>
        <v>62.0340506497421</v>
      </c>
      <c r="AE26" s="561">
        <f>CHOOSE(uxb_works!$B$46,Scores_2014_O!AF26,Scores_2014_N!AE26,Scores_2017!AE26)</f>
        <v>62.5522485108742</v>
      </c>
      <c r="AF26" s="561">
        <f>CHOOSE(uxb_works!$B$46,Scores_2014_O!AG26,Scores_2014_N!AF26,Scores_2017!AF26)</f>
        <v>75.077779863251</v>
      </c>
      <c r="AG26" s="561">
        <f>CHOOSE(uxb_works!$B$46,Scores_2014_O!AH26,Scores_2014_N!AG26,Scores_2017!AG26)</f>
        <v>83.9652572572665</v>
      </c>
      <c r="AH26" s="561">
        <f>CHOOSE(uxb_works!$B$46,Scores_2014_O!AI26,Scores_2014_N!AH26,Scores_2017!AH26)</f>
        <v>74.8024411268416</v>
      </c>
      <c r="AI26" s="561">
        <f>CHOOSE(uxb_works!$B$46,Scores_2014_O!AJ26,Scores_2014_N!AI26,Scores_2017!AI26)</f>
        <v>73.6918686126416</v>
      </c>
      <c r="AJ26" s="561">
        <f>CHOOSE(uxb_works!$B$46,Scores_2014_O!AK26,Scores_2014_N!AJ26,Scores_2017!AJ26)</f>
        <v>71.7636160941507</v>
      </c>
      <c r="AK26" s="561">
        <f>CHOOSE(uxb_works!$B$46,Scores_2014_O!AL26,Scores_2014_N!AK26,Scores_2017!AK26)</f>
        <v>69.0544928003463</v>
      </c>
      <c r="AL26" s="561">
        <f>CHOOSE(uxb_works!$B$46,Scores_2014_O!AM26,Scores_2014_N!AL26,Scores_2017!AL26)</f>
        <v>76.9034619028943</v>
      </c>
      <c r="AM26" s="561">
        <f>CHOOSE(uxb_works!$B$46,Scores_2014_O!AN26,Scores_2014_N!AM26,Scores_2017!AM26)</f>
        <v>59.2490308859667</v>
      </c>
      <c r="AN26" s="561">
        <f>CHOOSE(uxb_works!$B$46,Scores_2014_O!AO26,Scores_2014_N!AN26,Scores_2017!AN26)</f>
        <v>48.1509351405775</v>
      </c>
      <c r="AO26" s="561">
        <f>CHOOSE(uxb_works!$B$46,Scores_2014_O!AP26,Scores_2014_N!AO26,Scores_2017!AO26)</f>
        <v>80.1276721951836</v>
      </c>
      <c r="AP26" s="561">
        <f>CHOOSE(uxb_works!$B$46,Scores_2014_O!AQ26,Scores_2014_N!AP26,Scores_2017!AP26)</f>
        <v>76.7644880642359</v>
      </c>
      <c r="AQ26" s="561">
        <f>CHOOSE(uxb_works!$B$46,Scores_2014_O!Y26,Scores_2014_N!AQ26,Scores_2017!AQ26)</f>
        <v>69.9034589434905</v>
      </c>
      <c r="AR26" s="561">
        <f>CHOOSE(uxb_works!$B$46,Scores_2014_O!AR26,Scores_2014_N!AR26,Scores_2017!AR26)</f>
        <v>83.3876039819678</v>
      </c>
      <c r="AS26" s="561">
        <f>CHOOSE(uxb_works!$B$46,Scores_2014_O!AS26,Scores_2014_N!AS26,Scores_2017!AS26)</f>
        <v>74.7329890097446</v>
      </c>
      <c r="AT26" s="561">
        <f>CHOOSE(uxb_works!$B$46,Scores_2014_O!AT26,Scores_2014_N!AT26,Scores_2017!AT26)</f>
        <v>85.6069214583271</v>
      </c>
      <c r="AU26" s="561">
        <f>CHOOSE(uxb_works!$B$46,Scores_2014_O!AU26,Scores_2014_N!AU26,Scores_2017!AU26)</f>
        <v>74.3647826590297</v>
      </c>
      <c r="AV26" s="561">
        <f>CHOOSE(uxb_works!$B$46,Scores_2014_O!AV26,Scores_2014_N!AV26,Scores_2017!AV26)</f>
        <v>87.5002570354419</v>
      </c>
      <c r="AW26" s="561">
        <f>CHOOSE(uxb_works!$B$46,Scores_2014_O!AW26,Scores_2014_N!AW26,Scores_2017!AW26)</f>
        <v>82.6546798098089</v>
      </c>
      <c r="AX26" s="561">
        <f>CHOOSE(uxb_works!$B$46,Scores_2014_O!AX26,Scores_2014_N!AX26,Scores_2017!AX26)</f>
        <v>82.6973517459736</v>
      </c>
      <c r="AY26" s="561">
        <f>CHOOSE(uxb_works!$B$46,Scores_2014_O!AY26,Scores_2014_N!AY26,Scores_2017!AY26)</f>
        <v>71.1606999289354</v>
      </c>
      <c r="AZ26" s="561">
        <f>CHOOSE(uxb_works!$B$46,Scores_2014_O!AZ26,Scores_2014_N!AZ26,Scores_2017!AZ26)</f>
        <v>66.153233782638</v>
      </c>
      <c r="BA26" s="561">
        <f>CHOOSE(uxb_works!$B$46,Scores_2014_O!BA26,Scores_2014_N!BA26,Scores_2017!BA26)</f>
        <v>66.5908562717659</v>
      </c>
      <c r="BB26" s="561">
        <f>CHOOSE(uxb_works!$B$46,Scores_2014_O!BB26,Scores_2014_N!BB26,Scores_2017!BB26)</f>
        <v>87.3982052999057</v>
      </c>
      <c r="BC26" s="561">
        <f>CHOOSE(uxb_works!$B$46,Scores_2014_O!BC26,Scores_2014_N!BC26,Scores_2017!BC26)</f>
        <v>81.6631479130396</v>
      </c>
      <c r="BD26" s="561">
        <f>CHOOSE(uxb_works!$B$46,Scores_2014_O!BD26,Scores_2014_N!BD26,Scores_2017!BD26)</f>
        <v>74.9600781670746</v>
      </c>
      <c r="BE26" s="561">
        <f>CHOOSE(uxb_works!$B$46,Scores_2014_O!BE26,Scores_2014_N!BE26,Scores_2017!BE26)</f>
        <v>74.1429465959952</v>
      </c>
      <c r="BF26" s="561">
        <f>CHOOSE(uxb_works!$B$46,Scores_2014_O!BF26,Scores_2014_N!BF26,Scores_2017!BF26)</f>
        <v>80.8588352045229</v>
      </c>
      <c r="BG26" s="561">
        <f>CHOOSE(uxb_works!$B$46,Scores_2014_O!BG26,Scores_2014_N!BG26,Scores_2017!BG26)</f>
        <v>84.3349731780704</v>
      </c>
      <c r="BH26" s="561">
        <f>CHOOSE(uxb_works!$B$46,Scores_2014_O!BH26,Scores_2014_N!BH26,Scores_2017!BH26)</f>
        <v>79.2748871578928</v>
      </c>
      <c r="BI26" s="561">
        <f>CHOOSE(uxb_works!$B$46,Scores_2014_O!BI26,Scores_2014_N!BI26,Scores_2017!BI26)</f>
        <v>81.4822525171642</v>
      </c>
      <c r="BJ26" s="561">
        <f>CHOOSE(uxb_works!$B$46,Scores_2014_O!BJ26,Scores_2014_N!BJ26,Scores_2017!BJ26)</f>
        <v>70.9025054195246</v>
      </c>
      <c r="BK26" s="561">
        <f>CHOOSE(uxb_works!$B$46,Scores_2014_O!BK26,Scores_2014_N!BK26,Scores_2017!BK26)</f>
        <v>85.0544136839298</v>
      </c>
      <c r="BL26" s="561">
        <f>CHOOSE(uxb_works!$B$46,Scores_2014_O!BL26,Scores_2014_N!BL26,Scores_2017!BL26)</f>
        <v>73.5245958904163</v>
      </c>
      <c r="BM26" s="561">
        <f>CHOOSE(uxb_works!$B$46,Scores_2014_O!BM26,Scores_2014_N!BM26,Scores_2017!BM26)</f>
        <v>88.2145304083107</v>
      </c>
      <c r="BN26" s="561">
        <f>CHOOSE(uxb_works!$B$46,Scores_2014_O!BN26,Scores_2014_N!BN26,Scores_2017!BN26)</f>
        <v>88.4181275287736</v>
      </c>
      <c r="BO26" s="561">
        <f>CHOOSE(uxb_works!$B$46,Scores_2014_O!BO26,Scores_2014_N!BO26,Scores_2017!BO26)</f>
        <v>87.643895904208</v>
      </c>
      <c r="BP26" s="561">
        <f>CHOOSE(uxb_works!$B$46,Scores_2014_O!BP26,Scores_2014_N!BP26,Scores_2017!BP26)</f>
        <v>82.2136307933653</v>
      </c>
      <c r="BQ26" s="561">
        <f>CHOOSE(uxb_works!$B$46,Scores_2014_O!BQ26,Scores_2014_N!BQ26,Scores_2017!BQ26)</f>
        <v>77.1887042343273</v>
      </c>
      <c r="BR26" s="561">
        <f>CHOOSE(uxb_works!$B$46,Scores_2014_O!BR26,Scores_2014_N!BR26,Scores_2017!BR26)</f>
        <v>87.8882052999057</v>
      </c>
      <c r="BS26" s="561">
        <f>CHOOSE(uxb_works!$B$46,Scores_2014_O!BS26,Scores_2014_N!BS26,Scores_2017!BS26)</f>
        <v>85.6575101545455</v>
      </c>
      <c r="BT26" s="561">
        <f>CHOOSE(uxb_works!$B$46,Scores_2014_O!BT26,Scores_2014_N!BT26,Scores_2017!BT26)</f>
        <v>64.5305748980739</v>
      </c>
      <c r="BU26" s="561">
        <f>CHOOSE(uxb_works!$B$46,Scores_2014_O!BU26,Scores_2014_N!BU26,Scores_2017!BU26)</f>
        <v>69.5198976557376</v>
      </c>
      <c r="BV26" s="561">
        <f>CHOOSE(uxb_works!$B$46,Scores_2014_O!BV26,Scores_2014_N!BV26,Scores_2017!BV26)</f>
        <v>55.6960716346574</v>
      </c>
      <c r="BW26" s="561">
        <f>CHOOSE(uxb_works!$B$46,Scores_2014_O!BW26,Scores_2014_N!BW26,Scores_2017!BW26)</f>
        <v>87.8155496977432</v>
      </c>
      <c r="BX26" s="561">
        <f>CHOOSE(uxb_works!$B$46,Scores_2014_O!BX26,Scores_2014_N!BX26,Scores_2017!BX26)</f>
        <v>87.3770941887946</v>
      </c>
      <c r="BY26"/>
      <c r="BZ26" s="214"/>
      <c r="CA26" s="214"/>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row>
    <row r="27" s="69" customFormat="1" ht="24.95" customHeight="1" spans="1:130">
      <c r="A27"/>
      <c r="B27" s="92">
        <f>tblIndicators!A23</f>
        <v>22</v>
      </c>
      <c r="C27" s="92"/>
      <c r="D27" s="92"/>
      <c r="E27" s="92"/>
      <c r="F27" s="92">
        <f>CHOOSE(uxb_works!$B$46,Scores_2014_O!F27,Scores_2014_N!F27,Scores_2017!F27)</f>
        <v>3</v>
      </c>
      <c r="G27" s="92"/>
      <c r="H27" s="92"/>
      <c r="I27" s="104"/>
      <c r="J27" s="92"/>
      <c r="K27" s="92"/>
      <c r="L27" s="165"/>
      <c r="M27" s="92"/>
      <c r="N27" s="105" t="str">
        <f>REPT(" ",F27)&amp;CHOOSE(uxb_works!$B$46,Scores_2014_O!N27,Scores_2014_N!N27,Scores_2017!N27)</f>
        <v>      2.2.1) Air quality (PM 2.5 levels)</v>
      </c>
      <c r="O27" s="556">
        <f>CHOOSE(uxb_works!$B$46,Scores_2014_O!O27,Scores_2014_N!O27,Scores_2017!O27)</f>
        <v>0.166666666666667</v>
      </c>
      <c r="P27" s="557">
        <f>CHOOSE(uxb_works!$B$46,Scores_2014_O!P27,Scores_2014_N!P27,Scores_2017!P27)</f>
        <v>44.2188213579332</v>
      </c>
      <c r="Q27" s="561">
        <f>CHOOSE(uxb_works!$B$46,Scores_2014_O!Q27,Scores_2014_N!Q27,Scores_2017!Q27)</f>
        <v>84.4425936871428</v>
      </c>
      <c r="R27" s="561">
        <f>CHOOSE(uxb_works!$B$46,Scores_2014_O!R27,Scores_2014_N!R27,Scores_2017!R27)</f>
        <v>85.0015876433254</v>
      </c>
      <c r="S27" s="561">
        <f>CHOOSE(uxb_works!$B$46,Scores_2014_O!S27,Scores_2014_N!S27,Scores_2017!S27)</f>
        <v>76.4810751759005</v>
      </c>
      <c r="T27" s="561">
        <f>CHOOSE(uxb_works!$B$46,Scores_2014_O!T27,Scores_2014_N!T27,Scores_2017!T27)</f>
        <v>84.7493633883333</v>
      </c>
      <c r="U27" s="561">
        <f>CHOOSE(uxb_works!$B$46,Scores_2014_O!U27,Scores_2014_N!U27,Scores_2017!U27)</f>
        <v>14.7614644487932</v>
      </c>
      <c r="V27" s="561">
        <f>CHOOSE(uxb_works!$B$46,Scores_2014_O!V27,Scores_2014_N!V27,Scores_2017!V27)</f>
        <v>76</v>
      </c>
      <c r="W27" s="561">
        <f>CHOOSE(uxb_works!$B$46,Scores_2014_O!W27,Scores_2014_N!W27,Scores_2017!W27)</f>
        <v>81.752734334</v>
      </c>
      <c r="X27" s="561">
        <f>CHOOSE(uxb_works!$B$46,Scores_2014_O!X27,Scores_2014_N!X27,Scores_2017!X27)</f>
        <v>85.8404069506296</v>
      </c>
      <c r="Y27" s="561">
        <f>CHOOSE(uxb_works!$B$46,Scores_2014_O!Z27,Scores_2014_N!Y27,Scores_2017!Y27)</f>
        <v>24.3573410838639</v>
      </c>
      <c r="Z27" s="561">
        <f>CHOOSE(uxb_works!$B$46,Scores_2014_O!AA27,Scores_2014_N!Z27,Scores_2017!Z27)</f>
        <v>74.5522577278539</v>
      </c>
      <c r="AA27" s="561">
        <f>CHOOSE(uxb_works!$B$46,Scores_2014_O!AB27,Scores_2014_N!AA27,Scores_2017!AA27)</f>
        <v>74.4336264557194</v>
      </c>
      <c r="AB27" s="561">
        <f>CHOOSE(uxb_works!$B$46,Scores_2014_O!AC27,Scores_2014_N!AB27,Scores_2017!AB27)</f>
        <v>88.34</v>
      </c>
      <c r="AC27" s="561">
        <f>CHOOSE(uxb_works!$B$46,Scores_2014_O!AD27,Scores_2014_N!AC27,Scores_2017!AC27)</f>
        <v>90</v>
      </c>
      <c r="AD27" s="561">
        <f>CHOOSE(uxb_works!$B$46,Scores_2014_O!AE27,Scores_2014_N!AD27,Scores_2017!AD27)</f>
        <v>22.105666</v>
      </c>
      <c r="AE27" s="561">
        <f>CHOOSE(uxb_works!$B$46,Scores_2014_O!AF27,Scores_2014_N!AE27,Scores_2017!AE27)</f>
        <v>10.3039772727273</v>
      </c>
      <c r="AF27" s="561">
        <f>CHOOSE(uxb_works!$B$46,Scores_2014_O!AG27,Scores_2014_N!AF27,Scores_2017!AF27)</f>
        <v>6.56666666666671</v>
      </c>
      <c r="AG27" s="561">
        <f>CHOOSE(uxb_works!$B$46,Scores_2014_O!AH27,Scores_2014_N!AG27,Scores_2017!AG27)</f>
        <v>81.74473133</v>
      </c>
      <c r="AH27" s="561">
        <f>CHOOSE(uxb_works!$B$46,Scores_2014_O!AI27,Scores_2014_N!AH27,Scores_2017!AH27)</f>
        <v>71.7483445</v>
      </c>
      <c r="AI27" s="561">
        <f>CHOOSE(uxb_works!$B$46,Scores_2014_O!AJ27,Scores_2014_N!AI27,Scores_2017!AI27)</f>
        <v>70.5333333333333</v>
      </c>
      <c r="AJ27" s="561">
        <f>CHOOSE(uxb_works!$B$46,Scores_2014_O!AK27,Scores_2014_N!AJ27,Scores_2017!AJ27)</f>
        <v>67.4572231910926</v>
      </c>
      <c r="AK27" s="561">
        <f>CHOOSE(uxb_works!$B$46,Scores_2014_O!AL27,Scores_2014_N!AK27,Scores_2017!AK27)</f>
        <v>84.59179593</v>
      </c>
      <c r="AL27" s="561">
        <f>CHOOSE(uxb_works!$B$46,Scores_2014_O!AM27,Scores_2014_N!AL27,Scores_2017!AL27)</f>
        <v>31.9638654441458</v>
      </c>
      <c r="AM27" s="561">
        <f>CHOOSE(uxb_works!$B$46,Scores_2014_O!AN27,Scores_2014_N!AM27,Scores_2017!AM27)</f>
        <v>59.38304128</v>
      </c>
      <c r="AN27" s="561">
        <f>CHOOSE(uxb_works!$B$46,Scores_2014_O!AO27,Scores_2014_N!AN27,Scores_2017!AN27)</f>
        <v>11.65</v>
      </c>
      <c r="AO27" s="561">
        <f>CHOOSE(uxb_works!$B$46,Scores_2014_O!AP27,Scores_2014_N!AO27,Scores_2017!AO27)</f>
        <v>75.1291480630574</v>
      </c>
      <c r="AP27" s="561">
        <f>CHOOSE(uxb_works!$B$46,Scores_2014_O!AQ27,Scores_2014_N!AP27,Scores_2017!AP27)</f>
        <v>32.56650997</v>
      </c>
      <c r="AQ27" s="561">
        <f>CHOOSE(uxb_works!$B$46,Scores_2014_O!Y27,Scores_2014_N!AQ27,Scores_2017!AQ27)</f>
        <v>52.4635185700374</v>
      </c>
      <c r="AR27" s="561">
        <f>CHOOSE(uxb_works!$B$46,Scores_2014_O!AR27,Scores_2014_N!AR27,Scores_2017!AR27)</f>
        <v>91</v>
      </c>
      <c r="AS27" s="561">
        <f>CHOOSE(uxb_works!$B$46,Scores_2014_O!AS27,Scores_2014_N!AS27,Scores_2017!AS27)</f>
        <v>89.2111111111111</v>
      </c>
      <c r="AT27" s="561">
        <f>CHOOSE(uxb_works!$B$46,Scores_2014_O!AT27,Scores_2014_N!AT27,Scores_2017!AT27)</f>
        <v>90.0538974183333</v>
      </c>
      <c r="AU27" s="561">
        <f>CHOOSE(uxb_works!$B$46,Scores_2014_O!AU27,Scores_2014_N!AU27,Scores_2017!AU27)</f>
        <v>82.8</v>
      </c>
      <c r="AV27" s="561">
        <f>CHOOSE(uxb_works!$B$46,Scores_2014_O!AV27,Scores_2014_N!AV27,Scores_2017!AV27)</f>
        <v>92.3</v>
      </c>
      <c r="AW27" s="561">
        <f>CHOOSE(uxb_works!$B$46,Scores_2014_O!AW27,Scores_2014_N!AW27,Scores_2017!AW27)</f>
        <v>80.2234609986552</v>
      </c>
      <c r="AX27" s="561">
        <f>CHOOSE(uxb_works!$B$46,Scores_2014_O!AX27,Scores_2014_N!AX27,Scores_2017!AX27)</f>
        <v>69.818219755</v>
      </c>
      <c r="AY27" s="561">
        <f>CHOOSE(uxb_works!$B$46,Scores_2014_O!AY27,Scores_2014_N!AY27,Scores_2017!AY27)</f>
        <v>80.1824983363096</v>
      </c>
      <c r="AZ27" s="561">
        <f>CHOOSE(uxb_works!$B$46,Scores_2014_O!AZ27,Scores_2014_N!AZ27,Scores_2017!AZ27)</f>
        <v>37.0625</v>
      </c>
      <c r="BA27" s="561">
        <f>CHOOSE(uxb_works!$B$46,Scores_2014_O!BA27,Scores_2014_N!BA27,Scores_2017!BA27)</f>
        <v>91.1888888888889</v>
      </c>
      <c r="BB27" s="561">
        <f>CHOOSE(uxb_works!$B$46,Scores_2014_O!BB27,Scores_2014_N!BB27,Scores_2017!BB27)</f>
        <v>83.16</v>
      </c>
      <c r="BC27" s="561">
        <f>CHOOSE(uxb_works!$B$46,Scores_2014_O!BC27,Scores_2014_N!BC27,Scores_2017!BC27)</f>
        <v>82.5</v>
      </c>
      <c r="BD27" s="561">
        <f>CHOOSE(uxb_works!$B$46,Scores_2014_O!BD27,Scores_2014_N!BD27,Scores_2017!BD27)</f>
        <v>81.554</v>
      </c>
      <c r="BE27" s="561">
        <f>CHOOSE(uxb_works!$B$46,Scores_2014_O!BE27,Scores_2014_N!BE27,Scores_2017!BE27)</f>
        <v>84.1176470588235</v>
      </c>
      <c r="BF27" s="561">
        <f>CHOOSE(uxb_works!$B$46,Scores_2014_O!BF27,Scores_2014_N!BF27,Scores_2017!BF27)</f>
        <v>55.5111646990954</v>
      </c>
      <c r="BG27" s="561">
        <f>CHOOSE(uxb_works!$B$46,Scores_2014_O!BG27,Scores_2014_N!BG27,Scores_2017!BG27)</f>
        <v>82.982658025</v>
      </c>
      <c r="BH27" s="561">
        <f>CHOOSE(uxb_works!$B$46,Scores_2014_O!BH27,Scores_2014_N!BH27,Scores_2017!BH27)</f>
        <v>91.4625</v>
      </c>
      <c r="BI27" s="561">
        <f>CHOOSE(uxb_works!$B$46,Scores_2014_O!BI27,Scores_2014_N!BI27,Scores_2017!BI27)</f>
        <v>71.229</v>
      </c>
      <c r="BJ27" s="561">
        <f>CHOOSE(uxb_works!$B$46,Scores_2014_O!BJ27,Scores_2014_N!BJ27,Scores_2017!BJ27)</f>
        <v>81.375</v>
      </c>
      <c r="BK27" s="561">
        <f>CHOOSE(uxb_works!$B$46,Scores_2014_O!BK27,Scores_2014_N!BK27,Scores_2017!BK27)</f>
        <v>75.766592054663</v>
      </c>
      <c r="BL27" s="561">
        <f>CHOOSE(uxb_works!$B$46,Scores_2014_O!BL27,Scores_2014_N!BL27,Scores_2017!BL27)</f>
        <v>48.4</v>
      </c>
      <c r="BM27" s="561">
        <f>CHOOSE(uxb_works!$B$46,Scores_2014_O!BM27,Scores_2014_N!BM27,Scores_2017!BM27)</f>
        <v>82</v>
      </c>
      <c r="BN27" s="561">
        <f>CHOOSE(uxb_works!$B$46,Scores_2014_O!BN27,Scores_2014_N!BN27,Scores_2017!BN27)</f>
        <v>94.4854889975</v>
      </c>
      <c r="BO27" s="561">
        <f>CHOOSE(uxb_works!$B$46,Scores_2014_O!BO27,Scores_2014_N!BO27,Scores_2017!BO27)</f>
        <v>92.32</v>
      </c>
      <c r="BP27" s="561">
        <f>CHOOSE(uxb_works!$B$46,Scores_2014_O!BP27,Scores_2014_N!BP27,Scores_2017!BP27)</f>
        <v>81.2857142857143</v>
      </c>
      <c r="BQ27" s="561">
        <f>CHOOSE(uxb_works!$B$46,Scores_2014_O!BQ27,Scores_2014_N!BQ27,Scores_2017!BQ27)</f>
        <v>68.34</v>
      </c>
      <c r="BR27" s="561">
        <f>CHOOSE(uxb_works!$B$46,Scores_2014_O!BR27,Scores_2014_N!BR27,Scores_2017!BR27)</f>
        <v>85.1</v>
      </c>
      <c r="BS27" s="561">
        <f>CHOOSE(uxb_works!$B$46,Scores_2014_O!BS27,Scores_2014_N!BS27,Scores_2017!BS27)</f>
        <v>91.6</v>
      </c>
      <c r="BT27" s="561">
        <f>CHOOSE(uxb_works!$B$46,Scores_2014_O!BT27,Scores_2014_N!BT27,Scores_2017!BT27)</f>
        <v>91.1125</v>
      </c>
      <c r="BU27" s="561">
        <f>CHOOSE(uxb_works!$B$46,Scores_2014_O!BU27,Scores_2014_N!BU27,Scores_2017!BU27)</f>
        <v>93.7125993275396</v>
      </c>
      <c r="BV27" s="561">
        <f>CHOOSE(uxb_works!$B$46,Scores_2014_O!BV27,Scores_2014_N!BV27,Scores_2017!BV27)</f>
        <v>45.61187811</v>
      </c>
      <c r="BW27" s="561">
        <f>CHOOSE(uxb_works!$B$46,Scores_2014_O!BW27,Scores_2014_N!BW27,Scores_2017!BW27)</f>
        <v>85.6957121812</v>
      </c>
      <c r="BX27" s="561">
        <f>CHOOSE(uxb_works!$B$46,Scores_2014_O!BX27,Scores_2014_N!BX27,Scores_2017!BX27)</f>
        <v>85.0333333333333</v>
      </c>
      <c r="BY27"/>
      <c r="BZ27" s="214"/>
      <c r="CA27" s="214"/>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row>
    <row r="28" s="69" customFormat="1" ht="24.95" customHeight="1" spans="1:130">
      <c r="A28"/>
      <c r="B28" s="92">
        <f>tblIndicators!A24</f>
        <v>23</v>
      </c>
      <c r="C28" s="92"/>
      <c r="D28" s="92"/>
      <c r="E28" s="92"/>
      <c r="F28" s="92">
        <f>CHOOSE(uxb_works!$B$46,Scores_2014_O!F28,Scores_2014_N!F28,Scores_2017!F28)</f>
        <v>3</v>
      </c>
      <c r="G28" s="92"/>
      <c r="H28" s="92"/>
      <c r="I28" s="104"/>
      <c r="J28" s="92"/>
      <c r="K28" s="92"/>
      <c r="L28" s="165"/>
      <c r="M28" s="92"/>
      <c r="N28" s="105" t="str">
        <f>REPT(" ",F28)&amp;CHOOSE(uxb_works!$B$46,Scores_2014_O!N28,Scores_2014_N!N28,Scores_2017!N28)</f>
        <v>      2.2.2) Water quality</v>
      </c>
      <c r="O28" s="556">
        <f>CHOOSE(uxb_works!$B$46,Scores_2014_O!O28,Scores_2014_N!O28,Scores_2017!O28)</f>
        <v>0.166666666666667</v>
      </c>
      <c r="P28" s="557">
        <f>CHOOSE(uxb_works!$B$46,Scores_2014_O!P28,Scores_2014_N!P28,Scores_2017!P28)</f>
        <v>91.3447138534964</v>
      </c>
      <c r="Q28" s="561">
        <f>CHOOSE(uxb_works!$B$46,Scores_2014_O!Q28,Scores_2014_N!Q28,Scores_2017!Q28)</f>
        <v>94.4980184940555</v>
      </c>
      <c r="R28" s="561">
        <f>CHOOSE(uxb_works!$B$46,Scores_2014_O!R28,Scores_2014_N!R28,Scores_2017!R28)</f>
        <v>87.6489240209656</v>
      </c>
      <c r="S28" s="561">
        <f>CHOOSE(uxb_works!$B$46,Scores_2014_O!S28,Scores_2014_N!S28,Scores_2017!S28)</f>
        <v>79.3330165764691</v>
      </c>
      <c r="T28" s="561">
        <f>CHOOSE(uxb_works!$B$46,Scores_2014_O!T28,Scores_2014_N!T28,Scores_2017!T28)</f>
        <v>78.2850769165211</v>
      </c>
      <c r="U28" s="561">
        <f>CHOOSE(uxb_works!$B$46,Scores_2014_O!U28,Scores_2014_N!U28,Scores_2017!U28)</f>
        <v>85.9515234158606</v>
      </c>
      <c r="V28" s="561">
        <f>CHOOSE(uxb_works!$B$46,Scores_2014_O!V28,Scores_2014_N!V28,Scores_2017!V28)</f>
        <v>71.4101853666851</v>
      </c>
      <c r="W28" s="561">
        <f>CHOOSE(uxb_works!$B$46,Scores_2014_O!W28,Scores_2014_N!W28,Scores_2017!W28)</f>
        <v>94.8823667277453</v>
      </c>
      <c r="X28" s="561">
        <f>CHOOSE(uxb_works!$B$46,Scores_2014_O!X28,Scores_2014_N!X28,Scores_2017!X28)</f>
        <v>80.5849763497678</v>
      </c>
      <c r="Y28" s="561">
        <f>CHOOSE(uxb_works!$B$46,Scores_2014_O!Z28,Scores_2014_N!Y28,Scores_2017!Y28)</f>
        <v>74.477965653897</v>
      </c>
      <c r="Z28" s="561">
        <f>CHOOSE(uxb_works!$B$46,Scores_2014_O!AA28,Scores_2014_N!Z28,Scores_2017!Z28)</f>
        <v>51.4702169003281</v>
      </c>
      <c r="AA28" s="561">
        <f>CHOOSE(uxb_works!$B$46,Scores_2014_O!AB28,Scores_2014_N!AA28,Scores_2017!AA28)</f>
        <v>68.918064516129</v>
      </c>
      <c r="AB28" s="561">
        <f>CHOOSE(uxb_works!$B$46,Scores_2014_O!AC28,Scores_2014_N!AB28,Scores_2017!AB28)</f>
        <v>74.68</v>
      </c>
      <c r="AC28" s="561">
        <f>CHOOSE(uxb_works!$B$46,Scores_2014_O!AD28,Scores_2014_N!AC28,Scores_2017!AC28)</f>
        <v>74.5977355435292</v>
      </c>
      <c r="AD28" s="561">
        <f>CHOOSE(uxb_works!$B$46,Scores_2014_O!AE28,Scores_2014_N!AD28,Scores_2017!AD28)</f>
        <v>74.6005667533132</v>
      </c>
      <c r="AE28" s="561">
        <f>CHOOSE(uxb_works!$B$46,Scores_2014_O!AF28,Scores_2014_N!AE28,Scores_2017!AE28)</f>
        <v>75.6312234201219</v>
      </c>
      <c r="AF28" s="561">
        <f>CHOOSE(uxb_works!$B$46,Scores_2014_O!AG28,Scores_2014_N!AF28,Scores_2017!AF28)</f>
        <v>86.3282694848085</v>
      </c>
      <c r="AG28" s="561">
        <f>CHOOSE(uxb_works!$B$46,Scores_2014_O!AH28,Scores_2014_N!AG28,Scores_2017!AG28)</f>
        <v>96.9922018153151</v>
      </c>
      <c r="AH28" s="561">
        <f>CHOOSE(uxb_works!$B$46,Scores_2014_O!AI28,Scores_2014_N!AH28,Scores_2017!AH28)</f>
        <v>75.8059359952273</v>
      </c>
      <c r="AI28" s="561">
        <f>CHOOSE(uxb_works!$B$46,Scores_2014_O!AJ28,Scores_2014_N!AI28,Scores_2017!AI28)</f>
        <v>83.1285166403886</v>
      </c>
      <c r="AJ28" s="561">
        <f>CHOOSE(uxb_works!$B$46,Scores_2014_O!AK28,Scores_2014_N!AJ28,Scores_2017!AJ28)</f>
        <v>72.8538884390847</v>
      </c>
      <c r="AK28" s="561">
        <f>CHOOSE(uxb_works!$B$46,Scores_2014_O!AL28,Scores_2014_N!AK28,Scores_2017!AK28)</f>
        <v>58.8163847104445</v>
      </c>
      <c r="AL28" s="561">
        <f>CHOOSE(uxb_works!$B$46,Scores_2014_O!AM28,Scores_2014_N!AL28,Scores_2017!AL28)</f>
        <v>83.0237823326373</v>
      </c>
      <c r="AM28" s="561">
        <f>CHOOSE(uxb_works!$B$46,Scores_2014_O!AN28,Scores_2014_N!AM28,Scores_2017!AM28)</f>
        <v>85.1482771551541</v>
      </c>
      <c r="AN28" s="561">
        <f>CHOOSE(uxb_works!$B$46,Scores_2014_O!AO28,Scores_2014_N!AN28,Scores_2017!AN28)</f>
        <v>64.843312737035</v>
      </c>
      <c r="AO28" s="561">
        <f>CHOOSE(uxb_works!$B$46,Scores_2014_O!AP28,Scores_2014_N!AO28,Scores_2017!AO28)</f>
        <v>77.8593667703584</v>
      </c>
      <c r="AP28" s="561">
        <f>CHOOSE(uxb_works!$B$46,Scores_2014_O!AQ28,Scores_2014_N!AP28,Scores_2017!AP28)</f>
        <v>79.0954190991605</v>
      </c>
      <c r="AQ28" s="561">
        <f>CHOOSE(uxb_works!$B$46,Scores_2014_O!Y28,Scores_2014_N!AQ28,Scores_2017!AQ28)</f>
        <v>61.2459445178336</v>
      </c>
      <c r="AR28" s="561">
        <f>CHOOSE(uxb_works!$B$46,Scores_2014_O!AR28,Scores_2014_N!AR28,Scores_2017!AR28)</f>
        <v>90.3712234201219</v>
      </c>
      <c r="AS28" s="561">
        <f>CHOOSE(uxb_works!$B$46,Scores_2014_O!AS28,Scores_2014_N!AS28,Scores_2017!AS28)</f>
        <v>75.1299509950143</v>
      </c>
      <c r="AT28" s="561">
        <f>CHOOSE(uxb_works!$B$46,Scores_2014_O!AT28,Scores_2014_N!AT28,Scores_2017!AT28)</f>
        <v>87.2850769165211</v>
      </c>
      <c r="AU28" s="561">
        <f>CHOOSE(uxb_works!$B$46,Scores_2014_O!AU28,Scores_2014_N!AU28,Scores_2017!AU28)</f>
        <v>83.0867703583756</v>
      </c>
      <c r="AV28" s="561">
        <f>CHOOSE(uxb_works!$B$46,Scores_2014_O!AV28,Scores_2014_N!AV28,Scores_2017!AV28)</f>
        <v>92.3350662632633</v>
      </c>
      <c r="AW28" s="561">
        <f>CHOOSE(uxb_works!$B$46,Scores_2014_O!AW28,Scores_2014_N!AW28,Scores_2017!AW28)</f>
        <v>68.1903217283845</v>
      </c>
      <c r="AX28" s="561">
        <f>CHOOSE(uxb_works!$B$46,Scores_2014_O!AX28,Scores_2014_N!AX28,Scores_2017!AX28)</f>
        <v>86.3978352580219</v>
      </c>
      <c r="AY28" s="561">
        <f>CHOOSE(uxb_works!$B$46,Scores_2014_O!AY28,Scores_2014_N!AY28,Scores_2017!AY28)</f>
        <v>87.9379469041633</v>
      </c>
      <c r="AZ28" s="561">
        <f>CHOOSE(uxb_works!$B$46,Scores_2014_O!AZ28,Scores_2014_N!AZ28,Scores_2017!AZ28)</f>
        <v>84.3588315506882</v>
      </c>
      <c r="BA28" s="561">
        <f>CHOOSE(uxb_works!$B$46,Scores_2014_O!BA28,Scores_2014_N!BA28,Scores_2017!BA28)</f>
        <v>83.4326100481527</v>
      </c>
      <c r="BB28" s="561">
        <f>CHOOSE(uxb_works!$B$46,Scores_2014_O!BB28,Scores_2014_N!BB28,Scores_2017!BB28)</f>
        <v>89.1403460178122</v>
      </c>
      <c r="BC28" s="561">
        <f>CHOOSE(uxb_works!$B$46,Scores_2014_O!BC28,Scores_2014_N!BC28,Scores_2017!BC28)</f>
        <v>90.2805855030468</v>
      </c>
      <c r="BD28" s="561">
        <f>CHOOSE(uxb_works!$B$46,Scores_2014_O!BD28,Scores_2014_N!BD28,Scores_2017!BD28)</f>
        <v>65.9302049686794</v>
      </c>
      <c r="BE28" s="561">
        <f>CHOOSE(uxb_works!$B$46,Scores_2014_O!BE28,Scores_2014_N!BE28,Scores_2017!BE28)</f>
        <v>66.8841752247837</v>
      </c>
      <c r="BF28" s="561">
        <f>CHOOSE(uxb_works!$B$46,Scores_2014_O!BF28,Scores_2014_N!BF28,Scores_2017!BF28)</f>
        <v>83.208722887459</v>
      </c>
      <c r="BG28" s="561">
        <f>CHOOSE(uxb_works!$B$46,Scores_2014_O!BG28,Scores_2014_N!BG28,Scores_2017!BG28)</f>
        <v>83.0591255806026</v>
      </c>
      <c r="BH28" s="561">
        <f>CHOOSE(uxb_works!$B$46,Scores_2014_O!BH28,Scores_2014_N!BH28,Scores_2017!BH28)</f>
        <v>75.1299509950143</v>
      </c>
      <c r="BI28" s="561">
        <f>CHOOSE(uxb_works!$B$46,Scores_2014_O!BI28,Scores_2014_N!BI28,Scores_2017!BI28)</f>
        <v>86.1620019601994</v>
      </c>
      <c r="BJ28" s="561">
        <f>CHOOSE(uxb_works!$B$46,Scores_2014_O!BJ28,Scores_2014_N!BJ28,Scores_2017!BJ28)</f>
        <v>50.1841752247837</v>
      </c>
      <c r="BK28" s="561">
        <f>CHOOSE(uxb_works!$B$46,Scores_2014_O!BK28,Scores_2014_N!BK28,Scores_2017!BK28)</f>
        <v>93.8108194485874</v>
      </c>
      <c r="BL28" s="561">
        <f>CHOOSE(uxb_works!$B$46,Scores_2014_O!BL28,Scores_2014_N!BL28,Scores_2017!BL28)</f>
        <v>82.7680103975796</v>
      </c>
      <c r="BM28" s="561">
        <f>CHOOSE(uxb_works!$B$46,Scores_2014_O!BM28,Scores_2014_N!BM28,Scores_2017!BM28)</f>
        <v>94.8656624195679</v>
      </c>
      <c r="BN28" s="561">
        <f>CHOOSE(uxb_works!$B$46,Scores_2014_O!BN28,Scores_2014_N!BN28,Scores_2017!BN28)</f>
        <v>94.5553117143222</v>
      </c>
      <c r="BO28" s="561">
        <f>CHOOSE(uxb_works!$B$46,Scores_2014_O!BO28,Scores_2014_N!BO28,Scores_2017!BO28)</f>
        <v>93.1768994758597</v>
      </c>
      <c r="BP28" s="561">
        <f>CHOOSE(uxb_works!$B$46,Scores_2014_O!BP28,Scores_2014_N!BP28,Scores_2017!BP28)</f>
        <v>87.916005454468</v>
      </c>
      <c r="BQ28" s="561">
        <f>CHOOSE(uxb_works!$B$46,Scores_2014_O!BQ28,Scores_2014_N!BQ28,Scores_2017!BQ28)</f>
        <v>73.3695742958197</v>
      </c>
      <c r="BR28" s="561">
        <f>CHOOSE(uxb_works!$B$46,Scores_2014_O!BR28,Scores_2014_N!BR28,Scores_2017!BR28)</f>
        <v>90.1403460178122</v>
      </c>
      <c r="BS28" s="561">
        <f>CHOOSE(uxb_works!$B$46,Scores_2014_O!BS28,Scores_2014_N!BS28,Scores_2017!BS28)</f>
        <v>93.4071308646184</v>
      </c>
      <c r="BT28" s="561">
        <f>CHOOSE(uxb_works!$B$46,Scores_2014_O!BT28,Scores_2014_N!BT28,Scores_2017!BT28)</f>
        <v>79.5964145395662</v>
      </c>
      <c r="BU28" s="561">
        <f>CHOOSE(uxb_works!$B$46,Scores_2014_O!BU28,Scores_2014_N!BU28,Scores_2017!BU28)</f>
        <v>90.0277410832233</v>
      </c>
      <c r="BV28" s="561">
        <f>CHOOSE(uxb_works!$B$46,Scores_2014_O!BV28,Scores_2014_N!BV28,Scores_2017!BV28)</f>
        <v>64.4896274768824</v>
      </c>
      <c r="BW28" s="561">
        <f>CHOOSE(uxb_works!$B$46,Scores_2014_O!BW28,Scores_2014_N!BW28,Scores_2017!BW28)</f>
        <v>92.0764477777304</v>
      </c>
      <c r="BX28" s="561">
        <f>CHOOSE(uxb_works!$B$46,Scores_2014_O!BX28,Scores_2014_N!BX28,Scores_2017!BX28)</f>
        <v>87.1403460178122</v>
      </c>
      <c r="BY28"/>
      <c r="BZ28" s="214"/>
      <c r="CA28" s="214"/>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row>
    <row r="29" s="69" customFormat="1" ht="24.95" customHeight="1" spans="1:130">
      <c r="A29"/>
      <c r="B29" s="92">
        <f>tblIndicators!A25</f>
        <v>24</v>
      </c>
      <c r="C29" s="92"/>
      <c r="D29" s="92"/>
      <c r="E29" s="92"/>
      <c r="F29" s="92">
        <f>CHOOSE(uxb_works!$B$46,Scores_2014_O!F29,Scores_2014_N!F29,Scores_2017!F29)</f>
        <v>3</v>
      </c>
      <c r="G29" s="92"/>
      <c r="H29" s="92"/>
      <c r="I29" s="104"/>
      <c r="J29" s="92"/>
      <c r="K29" s="92"/>
      <c r="L29" s="165"/>
      <c r="M29" s="92"/>
      <c r="N29" s="105" t="str">
        <f>REPT(" ",F29)&amp;CHOOSE(uxb_works!$B$46,Scores_2014_O!N29,Scores_2014_N!N29,Scores_2017!N29)</f>
        <v>      2.2.3) Life expectancy years</v>
      </c>
      <c r="O29" s="556">
        <f>CHOOSE(uxb_works!$B$46,Scores_2014_O!O29,Scores_2014_N!O29,Scores_2017!O29)</f>
        <v>0.166666666666667</v>
      </c>
      <c r="P29" s="557">
        <f>CHOOSE(uxb_works!$B$46,Scores_2014_O!P29,Scores_2014_N!P29,Scores_2017!P29)</f>
        <v>74.8974619270887</v>
      </c>
      <c r="Q29" s="561">
        <f>CHOOSE(uxb_works!$B$46,Scores_2014_O!Q29,Scores_2014_N!Q29,Scores_2017!Q29)</f>
        <v>90.4209945625057</v>
      </c>
      <c r="R29" s="561">
        <f>CHOOSE(uxb_works!$B$46,Scores_2014_O!R29,Scores_2014_N!R29,Scores_2017!R29)</f>
        <v>89.9756707803072</v>
      </c>
      <c r="S29" s="561">
        <f>CHOOSE(uxb_works!$B$46,Scores_2014_O!S29,Scores_2014_N!S29,Scores_2017!S29)</f>
        <v>63.9423151201965</v>
      </c>
      <c r="T29" s="561">
        <f>CHOOSE(uxb_works!$B$46,Scores_2014_O!T29,Scores_2014_N!T29,Scores_2017!T29)</f>
        <v>96.6555275132847</v>
      </c>
      <c r="U29" s="561">
        <f>CHOOSE(uxb_works!$B$46,Scores_2014_O!U29,Scores_2014_N!U29,Scores_2017!U29)</f>
        <v>69.1036177558771</v>
      </c>
      <c r="V29" s="561">
        <f>CHOOSE(uxb_works!$B$46,Scores_2014_O!V29,Scores_2014_N!V29,Scores_2017!V29)</f>
        <v>62.3804101159387</v>
      </c>
      <c r="W29" s="561">
        <f>CHOOSE(uxb_works!$B$46,Scores_2014_O!W29,Scores_2014_N!W29,Scores_2017!W29)</f>
        <v>88.8578172045844</v>
      </c>
      <c r="X29" s="561">
        <f>CHOOSE(uxb_works!$B$46,Scores_2014_O!X29,Scores_2014_N!X29,Scores_2017!X29)</f>
        <v>70.3998734916929</v>
      </c>
      <c r="Y29" s="561">
        <f>CHOOSE(uxb_works!$B$46,Scores_2014_O!Z29,Scores_2014_N!Y29,Scores_2017!Y29)</f>
        <v>51.7046358205727</v>
      </c>
      <c r="Z29" s="561">
        <f>CHOOSE(uxb_works!$B$46,Scores_2014_O!AA29,Scores_2014_N!Z29,Scores_2017!Z29)</f>
        <v>63.2284338326109</v>
      </c>
      <c r="AA29" s="561">
        <f>CHOOSE(uxb_works!$B$46,Scores_2014_O!AB29,Scores_2014_N!AA29,Scores_2017!AA29)</f>
        <v>62.7802018134675</v>
      </c>
      <c r="AB29" s="561">
        <f>CHOOSE(uxb_works!$B$46,Scores_2014_O!AC29,Scores_2014_N!AB29,Scores_2017!AB29)</f>
        <v>80.1893953596914</v>
      </c>
      <c r="AC29" s="561">
        <f>CHOOSE(uxb_works!$B$46,Scores_2014_O!AD29,Scores_2014_N!AC29,Scores_2017!AC29)</f>
        <v>78.2990869429943</v>
      </c>
      <c r="AD29" s="561">
        <f>CHOOSE(uxb_works!$B$46,Scores_2014_O!AE29,Scores_2014_N!AD29,Scores_2017!AD29)</f>
        <v>40.6438836596163</v>
      </c>
      <c r="AE29" s="561">
        <f>CHOOSE(uxb_works!$B$46,Scores_2014_O!AF29,Scores_2014_N!AE29,Scores_2017!AE29)</f>
        <v>54.2542507972659</v>
      </c>
      <c r="AF29" s="561">
        <f>CHOOSE(uxb_works!$B$46,Scores_2014_O!AG29,Scores_2014_N!AF29,Scores_2017!AF29)</f>
        <v>79.4483983339437</v>
      </c>
      <c r="AG29" s="561">
        <f>CHOOSE(uxb_works!$B$46,Scores_2014_O!AH29,Scores_2014_N!AG29,Scores_2017!AG29)</f>
        <v>88.121669727889</v>
      </c>
      <c r="AH29" s="561">
        <f>CHOOSE(uxb_works!$B$46,Scores_2014_O!AI29,Scores_2014_N!AH29,Scores_2017!AH29)</f>
        <v>68.3263005499294</v>
      </c>
      <c r="AI29" s="561">
        <f>CHOOSE(uxb_works!$B$46,Scores_2014_O!AJ29,Scores_2014_N!AI29,Scores_2017!AI29)</f>
        <v>100</v>
      </c>
      <c r="AJ29" s="561">
        <f>CHOOSE(uxb_works!$B$46,Scores_2014_O!AK29,Scores_2014_N!AJ29,Scores_2017!AJ29)</f>
        <v>67.0165033358387</v>
      </c>
      <c r="AK29" s="561">
        <f>CHOOSE(uxb_works!$B$46,Scores_2014_O!AL29,Scores_2014_N!AK29,Scores_2017!AK29)</f>
        <v>43.3383651891308</v>
      </c>
      <c r="AL29" s="561">
        <f>CHOOSE(uxb_works!$B$46,Scores_2014_O!AM29,Scores_2014_N!AL29,Scores_2017!AL29)</f>
        <v>63.5404331273635</v>
      </c>
      <c r="AM29" s="561">
        <f>CHOOSE(uxb_works!$B$46,Scores_2014_O!AN29,Scores_2014_N!AM29,Scores_2017!AM29)</f>
        <v>0</v>
      </c>
      <c r="AN29" s="561">
        <f>CHOOSE(uxb_works!$B$46,Scores_2014_O!AO29,Scores_2014_N!AN29,Scores_2017!AN29)</f>
        <v>33.297404489409</v>
      </c>
      <c r="AO29" s="561">
        <f>CHOOSE(uxb_works!$B$46,Scores_2014_O!AP29,Scores_2014_N!AO29,Scores_2017!AO29)</f>
        <v>64.9631971702854</v>
      </c>
      <c r="AP29" s="561">
        <f>CHOOSE(uxb_works!$B$46,Scores_2014_O!AQ29,Scores_2014_N!AP29,Scores_2017!AP29)</f>
        <v>64.3026638541591</v>
      </c>
      <c r="AQ29" s="561">
        <f>CHOOSE(uxb_works!$B$46,Scores_2014_O!Y29,Scores_2014_N!AQ29,Scores_2017!AQ29)</f>
        <v>64.6113004999441</v>
      </c>
      <c r="AR29" s="561">
        <f>CHOOSE(uxb_works!$B$46,Scores_2014_O!AR29,Scores_2014_N!AR29,Scores_2017!AR29)</f>
        <v>90.0392884634785</v>
      </c>
      <c r="AS29" s="561">
        <f>CHOOSE(uxb_works!$B$46,Scores_2014_O!AS29,Scores_2014_N!AS29,Scores_2017!AS29)</f>
        <v>86.9433747153216</v>
      </c>
      <c r="AT29" s="561">
        <f>CHOOSE(uxb_works!$B$46,Scores_2014_O!AT29,Scores_2014_N!AT29,Scores_2017!AT29)</f>
        <v>96.6555275132847</v>
      </c>
      <c r="AU29" s="561">
        <f>CHOOSE(uxb_works!$B$46,Scores_2014_O!AU29,Scores_2014_N!AU29,Scores_2017!AU29)</f>
        <v>40.8607290768256</v>
      </c>
      <c r="AV29" s="561">
        <f>CHOOSE(uxb_works!$B$46,Scores_2014_O!AV29,Scores_2014_N!AV29,Scores_2017!AV29)</f>
        <v>93.1929079006801</v>
      </c>
      <c r="AW29" s="561">
        <f>CHOOSE(uxb_works!$B$46,Scores_2014_O!AW29,Scores_2014_N!AW29,Scores_2017!AW29)</f>
        <v>72.5851409086241</v>
      </c>
      <c r="AX29" s="561">
        <f>CHOOSE(uxb_works!$B$46,Scores_2014_O!AX29,Scores_2014_N!AX29,Scores_2017!AX29)</f>
        <v>97.0644983336711</v>
      </c>
      <c r="AY29" s="561">
        <f>CHOOSE(uxb_works!$B$46,Scores_2014_O!AY29,Scores_2014_N!AY29,Scores_2017!AY29)</f>
        <v>50.1828099567127</v>
      </c>
      <c r="AZ29" s="561">
        <f>CHOOSE(uxb_works!$B$46,Scores_2014_O!AZ29,Scores_2014_N!AZ29,Scores_2017!AZ29)</f>
        <v>40.6438836596163</v>
      </c>
      <c r="BA29" s="561">
        <f>CHOOSE(uxb_works!$B$46,Scores_2014_O!BA29,Scores_2014_N!BA29,Scores_2017!BA29)</f>
        <v>85.8511725276426</v>
      </c>
      <c r="BB29" s="561">
        <f>CHOOSE(uxb_works!$B$46,Scores_2014_O!BB29,Scores_2014_N!BB29,Scores_2017!BB29)</f>
        <v>98.3813843753152</v>
      </c>
      <c r="BC29" s="561">
        <f>CHOOSE(uxb_works!$B$46,Scores_2014_O!BC29,Scores_2014_N!BC29,Scores_2017!BC29)</f>
        <v>94.0108495414528</v>
      </c>
      <c r="BD29" s="561">
        <f>CHOOSE(uxb_works!$B$46,Scores_2014_O!BD29,Scores_2014_N!BD29,Scores_2017!BD29)</f>
        <v>69.538035649532</v>
      </c>
      <c r="BE29" s="561">
        <f>CHOOSE(uxb_works!$B$46,Scores_2014_O!BE29,Scores_2014_N!BE29,Scores_2017!BE29)</f>
        <v>64.2205970428683</v>
      </c>
      <c r="BF29" s="561">
        <f>CHOOSE(uxb_works!$B$46,Scores_2014_O!BF29,Scores_2014_N!BF29,Scores_2017!BF29)</f>
        <v>63.5404331273635</v>
      </c>
      <c r="BG29" s="561">
        <f>CHOOSE(uxb_works!$B$46,Scores_2014_O!BG29,Scores_2014_N!BG29,Scores_2017!BG29)</f>
        <v>97.0644983336711</v>
      </c>
      <c r="BH29" s="561">
        <f>CHOOSE(uxb_works!$B$46,Scores_2014_O!BH29,Scores_2014_N!BH29,Scores_2017!BH29)</f>
        <v>86.9433747153216</v>
      </c>
      <c r="BI29" s="561">
        <f>CHOOSE(uxb_works!$B$46,Scores_2014_O!BI29,Scores_2014_N!BI29,Scores_2017!BI29)</f>
        <v>90.7199976734104</v>
      </c>
      <c r="BJ29" s="561">
        <f>CHOOSE(uxb_works!$B$46,Scores_2014_O!BJ29,Scores_2014_N!BJ29,Scores_2017!BJ29)</f>
        <v>64.2205970428683</v>
      </c>
      <c r="BK29" s="561">
        <f>CHOOSE(uxb_works!$B$46,Scores_2014_O!BK29,Scores_2014_N!BK29,Scores_2017!BK29)</f>
        <v>92.092321981818</v>
      </c>
      <c r="BL29" s="561">
        <f>CHOOSE(uxb_works!$B$46,Scores_2014_O!BL29,Scores_2014_N!BL29,Scores_2017!BL29)</f>
        <v>69.1036177558771</v>
      </c>
      <c r="BM29" s="561">
        <f>CHOOSE(uxb_works!$B$46,Scores_2014_O!BM29,Scores_2014_N!BM29,Scores_2017!BM29)</f>
        <v>93.7291140874089</v>
      </c>
      <c r="BN29" s="561">
        <f>CHOOSE(uxb_works!$B$46,Scores_2014_O!BN29,Scores_2014_N!BN29,Scores_2017!BN29)</f>
        <v>93.5655257592543</v>
      </c>
      <c r="BO29" s="561">
        <f>CHOOSE(uxb_works!$B$46,Scores_2014_O!BO29,Scores_2014_N!BO29,Scores_2017!BO29)</f>
        <v>93.1929079006801</v>
      </c>
      <c r="BP29" s="561">
        <f>CHOOSE(uxb_works!$B$46,Scores_2014_O!BP29,Scores_2014_N!BP29,Scores_2017!BP29)</f>
        <v>84.8044619625328</v>
      </c>
      <c r="BQ29" s="561">
        <f>CHOOSE(uxb_works!$B$46,Scores_2014_O!BQ29,Scores_2014_N!BQ29,Scores_2017!BQ29)</f>
        <v>67.6317772145088</v>
      </c>
      <c r="BR29" s="561">
        <f>CHOOSE(uxb_works!$B$46,Scores_2014_O!BR29,Scores_2014_N!BR29,Scores_2017!BR29)</f>
        <v>98.3813843753152</v>
      </c>
      <c r="BS29" s="561">
        <f>CHOOSE(uxb_works!$B$46,Scores_2014_O!BS29,Scores_2014_N!BS29,Scores_2017!BS29)</f>
        <v>92.0244328256339</v>
      </c>
      <c r="BT29" s="561">
        <f>CHOOSE(uxb_works!$B$46,Scores_2014_O!BT29,Scores_2014_N!BT29,Scores_2017!BT29)</f>
        <v>71.1401647089084</v>
      </c>
      <c r="BU29" s="561">
        <f>CHOOSE(uxb_works!$B$46,Scores_2014_O!BU29,Scores_2014_N!BU29,Scores_2017!BU29)</f>
        <v>89.4876322679795</v>
      </c>
      <c r="BV29" s="561">
        <f>CHOOSE(uxb_works!$B$46,Scores_2014_O!BV29,Scores_2014_N!BV29,Scores_2017!BV29)</f>
        <v>32.0494981928034</v>
      </c>
      <c r="BW29" s="561">
        <f>CHOOSE(uxb_works!$B$46,Scores_2014_O!BW29,Scores_2014_N!BW29,Scores_2017!BW29)</f>
        <v>95.9739094793074</v>
      </c>
      <c r="BX29" s="561">
        <f>CHOOSE(uxb_works!$B$46,Scores_2014_O!BX29,Scores_2014_N!BX29,Scores_2017!BX29)</f>
        <v>98.3813843753152</v>
      </c>
      <c r="BY29"/>
      <c r="BZ29" s="214"/>
      <c r="CA29" s="214"/>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row>
    <row r="30" s="69" customFormat="1" ht="24.95" customHeight="1" spans="1:130">
      <c r="A30"/>
      <c r="B30" s="92">
        <f>tblIndicators!A26</f>
        <v>25</v>
      </c>
      <c r="C30" s="92"/>
      <c r="D30" s="92"/>
      <c r="E30" s="92"/>
      <c r="F30" s="92">
        <f>CHOOSE(uxb_works!$B$46,Scores_2014_O!F30,Scores_2014_N!F30,Scores_2017!F30)</f>
        <v>3</v>
      </c>
      <c r="G30" s="92"/>
      <c r="H30" s="92"/>
      <c r="I30" s="104"/>
      <c r="J30" s="92"/>
      <c r="K30" s="92"/>
      <c r="L30" s="165"/>
      <c r="M30" s="92"/>
      <c r="N30" s="105" t="str">
        <f>REPT(" ",F30)&amp;CHOOSE(uxb_works!$B$46,Scores_2014_O!N30,Scores_2014_N!N30,Scores_2017!N30)</f>
        <v>      2.2.4) Infant mortality</v>
      </c>
      <c r="O30" s="556">
        <f>CHOOSE(uxb_works!$B$46,Scores_2014_O!O30,Scores_2014_N!O30,Scores_2017!O30)</f>
        <v>0.166666666666667</v>
      </c>
      <c r="P30" s="557">
        <f>CHOOSE(uxb_works!$B$46,Scores_2014_O!P30,Scores_2014_N!P30,Scores_2017!P30)</f>
        <v>93.1570762052877</v>
      </c>
      <c r="Q30" s="561">
        <f>CHOOSE(uxb_works!$B$46,Scores_2014_O!Q30,Scores_2014_N!Q30,Scores_2017!Q30)</f>
        <v>97.3561430793157</v>
      </c>
      <c r="R30" s="561">
        <f>CHOOSE(uxb_works!$B$46,Scores_2014_O!R30,Scores_2014_N!R30,Scores_2017!R30)</f>
        <v>96.7340590979782</v>
      </c>
      <c r="S30" s="561">
        <f>CHOOSE(uxb_works!$B$46,Scores_2014_O!S30,Scores_2014_N!S30,Scores_2017!S30)</f>
        <v>86.0031104199067</v>
      </c>
      <c r="T30" s="561">
        <f>CHOOSE(uxb_works!$B$46,Scores_2014_O!T30,Scores_2014_N!T30,Scores_2017!T30)</f>
        <v>96.8895800933126</v>
      </c>
      <c r="U30" s="561">
        <f>CHOOSE(uxb_works!$B$46,Scores_2014_O!U30,Scores_2014_N!U30,Scores_2017!U30)</f>
        <v>88.0248833592535</v>
      </c>
      <c r="V30" s="561">
        <f>CHOOSE(uxb_works!$B$46,Scores_2014_O!V30,Scores_2014_N!V30,Scores_2017!V30)</f>
        <v>81.1819595645412</v>
      </c>
      <c r="W30" s="561">
        <f>CHOOSE(uxb_works!$B$46,Scores_2014_O!W30,Scores_2014_N!W30,Scores_2017!W30)</f>
        <v>97.2006220839813</v>
      </c>
      <c r="X30" s="561">
        <f>CHOOSE(uxb_works!$B$46,Scores_2014_O!X30,Scores_2014_N!X30,Scores_2017!X30)</f>
        <v>85.0699844479005</v>
      </c>
      <c r="Y30" s="561">
        <f>CHOOSE(uxb_works!$B$46,Scores_2014_O!Z30,Scores_2014_N!Y30,Scores_2017!Y30)</f>
        <v>70.7620528771384</v>
      </c>
      <c r="Z30" s="561">
        <f>CHOOSE(uxb_works!$B$46,Scores_2014_O!AA30,Scores_2014_N!Z30,Scores_2017!Z30)</f>
        <v>82.2706065318818</v>
      </c>
      <c r="AA30" s="561">
        <f>CHOOSE(uxb_works!$B$46,Scores_2014_O!AB30,Scores_2014_N!AA30,Scores_2017!AA30)</f>
        <v>65.4743390357698</v>
      </c>
      <c r="AB30" s="561">
        <f>CHOOSE(uxb_works!$B$46,Scores_2014_O!AC30,Scores_2014_N!AB30,Scores_2017!AB30)</f>
        <v>92.0684292379471</v>
      </c>
      <c r="AC30" s="561">
        <f>CHOOSE(uxb_works!$B$46,Scores_2014_O!AD30,Scores_2014_N!AC30,Scores_2017!AC30)</f>
        <v>93.3125972006221</v>
      </c>
      <c r="AD30" s="561">
        <f>CHOOSE(uxb_works!$B$46,Scores_2014_O!AE30,Scores_2014_N!AD30,Scores_2017!AD30)</f>
        <v>43.3903576982893</v>
      </c>
      <c r="AE30" s="561">
        <f>CHOOSE(uxb_works!$B$46,Scores_2014_O!AF30,Scores_2014_N!AE30,Scores_2017!AE30)</f>
        <v>54.5878693623639</v>
      </c>
      <c r="AF30" s="561">
        <f>CHOOSE(uxb_works!$B$46,Scores_2014_O!AG30,Scores_2014_N!AF30,Scores_2017!AF30)</f>
        <v>91.7573872472784</v>
      </c>
      <c r="AG30" s="561">
        <f>CHOOSE(uxb_works!$B$46,Scores_2014_O!AH30,Scores_2014_N!AG30,Scores_2017!AG30)</f>
        <v>97.5116640746501</v>
      </c>
      <c r="AH30" s="561">
        <f>CHOOSE(uxb_works!$B$46,Scores_2014_O!AI30,Scores_2014_N!AH30,Scores_2017!AH30)</f>
        <v>75.4276827371695</v>
      </c>
      <c r="AI30" s="561">
        <f>CHOOSE(uxb_works!$B$46,Scores_2014_O!AJ30,Scores_2014_N!AI30,Scores_2017!AI30)</f>
        <v>100</v>
      </c>
      <c r="AJ30" s="561">
        <f>CHOOSE(uxb_works!$B$46,Scores_2014_O!AK30,Scores_2014_N!AJ30,Scores_2017!AJ30)</f>
        <v>84.2923794712286</v>
      </c>
      <c r="AK30" s="561">
        <f>CHOOSE(uxb_works!$B$46,Scores_2014_O!AL30,Scores_2014_N!AK30,Scores_2017!AK30)</f>
        <v>66.8740279937792</v>
      </c>
      <c r="AL30" s="561">
        <f>CHOOSE(uxb_works!$B$46,Scores_2014_O!AM30,Scores_2014_N!AL30,Scores_2017!AL30)</f>
        <v>82.8926905132193</v>
      </c>
      <c r="AM30" s="561">
        <f>CHOOSE(uxb_works!$B$46,Scores_2014_O!AN30,Scores_2014_N!AM30,Scores_2017!AM30)</f>
        <v>50.0777604976672</v>
      </c>
      <c r="AN30" s="561">
        <f>CHOOSE(uxb_works!$B$46,Scores_2014_O!AO30,Scores_2014_N!AN30,Scores_2017!AN30)</f>
        <v>0</v>
      </c>
      <c r="AO30" s="561">
        <f>CHOOSE(uxb_works!$B$46,Scores_2014_O!AP30,Scores_2014_N!AO30,Scores_2017!AO30)</f>
        <v>93.0015552099534</v>
      </c>
      <c r="AP30" s="561">
        <f>CHOOSE(uxb_works!$B$46,Scores_2014_O!AQ30,Scores_2014_N!AP30,Scores_2017!AP30)</f>
        <v>90.9797822706065</v>
      </c>
      <c r="AQ30" s="561">
        <f>CHOOSE(uxb_works!$B$46,Scores_2014_O!Y30,Scores_2014_N!AQ30,Scores_2017!AQ30)</f>
        <v>81.9595645412131</v>
      </c>
      <c r="AR30" s="561">
        <f>CHOOSE(uxb_works!$B$46,Scores_2014_O!AR30,Scores_2014_N!AR30,Scores_2017!AR30)</f>
        <v>96.8895800933126</v>
      </c>
      <c r="AS30" s="561">
        <f>CHOOSE(uxb_works!$B$46,Scores_2014_O!AS30,Scores_2014_N!AS30,Scores_2017!AS30)</f>
        <v>95.6454121306376</v>
      </c>
      <c r="AT30" s="561">
        <f>CHOOSE(uxb_works!$B$46,Scores_2014_O!AT30,Scores_2014_N!AT30,Scores_2017!AT30)</f>
        <v>96.8895800933126</v>
      </c>
      <c r="AU30" s="561">
        <f>CHOOSE(uxb_works!$B$46,Scores_2014_O!AU30,Scores_2014_N!AU30,Scores_2017!AU30)</f>
        <v>67.8071539657854</v>
      </c>
      <c r="AV30" s="561">
        <f>CHOOSE(uxb_works!$B$46,Scores_2014_O!AV30,Scores_2014_N!AV30,Scores_2017!AV30)</f>
        <v>97.6671850699845</v>
      </c>
      <c r="AW30" s="561">
        <f>CHOOSE(uxb_works!$B$46,Scores_2014_O!AW30,Scores_2014_N!AW30,Scores_2017!AW30)</f>
        <v>84.7589424572317</v>
      </c>
      <c r="AX30" s="561">
        <f>CHOOSE(uxb_works!$B$46,Scores_2014_O!AX30,Scores_2014_N!AX30,Scores_2017!AX30)</f>
        <v>97.8227060653188</v>
      </c>
      <c r="AY30" s="561">
        <f>CHOOSE(uxb_works!$B$46,Scores_2014_O!AY30,Scores_2014_N!AY30,Scores_2017!AY30)</f>
        <v>89.5800933125972</v>
      </c>
      <c r="AZ30" s="561">
        <f>CHOOSE(uxb_works!$B$46,Scores_2014_O!AZ30,Scores_2014_N!AZ30,Scores_2017!AZ30)</f>
        <v>43.3903576982893</v>
      </c>
      <c r="BA30" s="561">
        <f>CHOOSE(uxb_works!$B$46,Scores_2014_O!BA30,Scores_2014_N!BA30,Scores_2017!BA30)</f>
        <v>95.1788491446345</v>
      </c>
      <c r="BB30" s="561">
        <f>CHOOSE(uxb_works!$B$46,Scores_2014_O!BB30,Scores_2014_N!BB30,Scores_2017!BB30)</f>
        <v>99.2223950233281</v>
      </c>
      <c r="BC30" s="561">
        <f>CHOOSE(uxb_works!$B$46,Scores_2014_O!BC30,Scores_2014_N!BC30,Scores_2017!BC30)</f>
        <v>96.8895800933126</v>
      </c>
      <c r="BD30" s="561">
        <f>CHOOSE(uxb_works!$B$46,Scores_2014_O!BD30,Scores_2014_N!BD30,Scores_2017!BD30)</f>
        <v>73.7169517884914</v>
      </c>
      <c r="BE30" s="561">
        <f>CHOOSE(uxb_works!$B$46,Scores_2014_O!BE30,Scores_2014_N!BE30,Scores_2017!BE30)</f>
        <v>79.6267496111975</v>
      </c>
      <c r="BF30" s="561">
        <f>CHOOSE(uxb_works!$B$46,Scores_2014_O!BF30,Scores_2014_N!BF30,Scores_2017!BF30)</f>
        <v>82.8926905132193</v>
      </c>
      <c r="BG30" s="561">
        <f>CHOOSE(uxb_works!$B$46,Scores_2014_O!BG30,Scores_2014_N!BG30,Scores_2017!BG30)</f>
        <v>97.8227060653188</v>
      </c>
      <c r="BH30" s="561">
        <f>CHOOSE(uxb_works!$B$46,Scores_2014_O!BH30,Scores_2014_N!BH30,Scores_2017!BH30)</f>
        <v>95.6454121306376</v>
      </c>
      <c r="BI30" s="561">
        <f>CHOOSE(uxb_works!$B$46,Scores_2014_O!BI30,Scores_2014_N!BI30,Scores_2017!BI30)</f>
        <v>91.4463452566096</v>
      </c>
      <c r="BJ30" s="561">
        <f>CHOOSE(uxb_works!$B$46,Scores_2014_O!BJ30,Scores_2014_N!BJ30,Scores_2017!BJ30)</f>
        <v>79.6267496111975</v>
      </c>
      <c r="BK30" s="561">
        <f>CHOOSE(uxb_works!$B$46,Scores_2014_O!BK30,Scores_2014_N!BK30,Scores_2017!BK30)</f>
        <v>97.8227060653188</v>
      </c>
      <c r="BL30" s="561">
        <f>CHOOSE(uxb_works!$B$46,Scores_2014_O!BL30,Scores_2014_N!BL30,Scores_2017!BL30)</f>
        <v>88.0248833592535</v>
      </c>
      <c r="BM30" s="561">
        <f>CHOOSE(uxb_works!$B$46,Scores_2014_O!BM30,Scores_2014_N!BM30,Scores_2017!BM30)</f>
        <v>99.0668740279938</v>
      </c>
      <c r="BN30" s="561">
        <f>CHOOSE(uxb_works!$B$46,Scores_2014_O!BN30,Scores_2014_N!BN30,Scores_2017!BN30)</f>
        <v>98.6003110419907</v>
      </c>
      <c r="BO30" s="561">
        <f>CHOOSE(uxb_works!$B$46,Scores_2014_O!BO30,Scores_2014_N!BO30,Scores_2017!BO30)</f>
        <v>97.6671850699845</v>
      </c>
      <c r="BP30" s="561">
        <f>CHOOSE(uxb_works!$B$46,Scores_2014_O!BP30,Scores_2014_N!BP30,Scores_2017!BP30)</f>
        <v>95.9564541213064</v>
      </c>
      <c r="BQ30" s="561">
        <f>CHOOSE(uxb_works!$B$46,Scores_2014_O!BQ30,Scores_2014_N!BQ30,Scores_2017!BQ30)</f>
        <v>81.49300155521</v>
      </c>
      <c r="BR30" s="561">
        <f>CHOOSE(uxb_works!$B$46,Scores_2014_O!BR30,Scores_2014_N!BR30,Scores_2017!BR30)</f>
        <v>99.2223950233281</v>
      </c>
      <c r="BS30" s="561">
        <f>CHOOSE(uxb_works!$B$46,Scores_2014_O!BS30,Scores_2014_N!BS30,Scores_2017!BS30)</f>
        <v>95.6454121306376</v>
      </c>
      <c r="BT30" s="561">
        <f>CHOOSE(uxb_works!$B$46,Scores_2014_O!BT30,Scores_2014_N!BT30,Scores_2017!BT30)</f>
        <v>95.3343701399689</v>
      </c>
      <c r="BU30" s="561">
        <f>CHOOSE(uxb_works!$B$46,Scores_2014_O!BU30,Scores_2014_N!BU30,Scores_2017!BU30)</f>
        <v>95.0233281493002</v>
      </c>
      <c r="BV30" s="561">
        <f>CHOOSE(uxb_works!$B$46,Scores_2014_O!BV30,Scores_2014_N!BV30,Scores_2017!BV30)</f>
        <v>40.9020217729393</v>
      </c>
      <c r="BW30" s="561">
        <f>CHOOSE(uxb_works!$B$46,Scores_2014_O!BW30,Scores_2014_N!BW30,Scores_2017!BW30)</f>
        <v>97.045101088647</v>
      </c>
      <c r="BX30" s="561">
        <f>CHOOSE(uxb_works!$B$46,Scores_2014_O!BX30,Scores_2014_N!BX30,Scores_2017!BX30)</f>
        <v>99.2223950233281</v>
      </c>
      <c r="BY30"/>
      <c r="BZ30" s="214"/>
      <c r="CA30" s="214"/>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row>
    <row r="31" s="69" customFormat="1" ht="24.95" customHeight="1" spans="1:130">
      <c r="A31"/>
      <c r="B31" s="92">
        <f>tblIndicators!A27</f>
        <v>26</v>
      </c>
      <c r="C31" s="92"/>
      <c r="D31" s="92"/>
      <c r="E31" s="92"/>
      <c r="F31" s="92">
        <f>CHOOSE(uxb_works!$B$46,Scores_2014_O!F31,Scores_2014_N!F31,Scores_2017!F31)</f>
        <v>3</v>
      </c>
      <c r="G31" s="92"/>
      <c r="H31" s="92"/>
      <c r="I31" s="104"/>
      <c r="J31" s="92"/>
      <c r="K31" s="92"/>
      <c r="L31" s="165"/>
      <c r="M31" s="92"/>
      <c r="N31" s="105" t="str">
        <f>REPT(" ",F31)&amp;CHOOSE(uxb_works!$B$46,Scores_2014_O!N31,Scores_2014_N!N31,Scores_2017!N31)</f>
        <v>      2.2.5) Cancer mortality rate</v>
      </c>
      <c r="O31" s="556">
        <f>CHOOSE(uxb_works!$B$46,Scores_2014_O!O31,Scores_2014_N!O31,Scores_2017!O31)</f>
        <v>0.166666666666667</v>
      </c>
      <c r="P31" s="557">
        <f>CHOOSE(uxb_works!$B$46,Scores_2014_O!P31,Scores_2014_N!P31,Scores_2017!P31)</f>
        <v>83.4127659574468</v>
      </c>
      <c r="Q31" s="561">
        <f>CHOOSE(uxb_works!$B$46,Scores_2014_O!Q31,Scores_2014_N!Q31,Scores_2017!Q31)</f>
        <v>17.1063829787234</v>
      </c>
      <c r="R31" s="561">
        <f>CHOOSE(uxb_works!$B$46,Scores_2014_O!R31,Scores_2014_N!R31,Scores_2017!R31)</f>
        <v>45.9489361702128</v>
      </c>
      <c r="S31" s="561">
        <f>CHOOSE(uxb_works!$B$46,Scores_2014_O!S31,Scores_2014_N!S31,Scores_2017!S31)</f>
        <v>62.2382978723404</v>
      </c>
      <c r="T31" s="561">
        <f>CHOOSE(uxb_works!$B$46,Scores_2014_O!T31,Scores_2014_N!T31,Scores_2017!T31)</f>
        <v>42.7574468085106</v>
      </c>
      <c r="U31" s="561">
        <f>CHOOSE(uxb_works!$B$46,Scores_2014_O!U31,Scores_2014_N!U31,Scores_2017!U31)</f>
        <v>36.7659574468085</v>
      </c>
      <c r="V31" s="561">
        <f>CHOOSE(uxb_works!$B$46,Scores_2014_O!V31,Scores_2014_N!V31,Scores_2017!V31)</f>
        <v>74.0340425531915</v>
      </c>
      <c r="W31" s="561">
        <f>CHOOSE(uxb_works!$B$46,Scores_2014_O!W31,Scores_2014_N!W31,Scores_2017!W31)</f>
        <v>30.2808510638298</v>
      </c>
      <c r="X31" s="561">
        <f>CHOOSE(uxb_works!$B$46,Scores_2014_O!X31,Scores_2014_N!X31,Scores_2017!X31)</f>
        <v>37.0382978723404</v>
      </c>
      <c r="Y31" s="561">
        <f>CHOOSE(uxb_works!$B$46,Scores_2014_O!Z31,Scores_2014_N!Y31,Scores_2017!Y31)</f>
        <v>51.8553191489362</v>
      </c>
      <c r="Z31" s="561">
        <f>CHOOSE(uxb_works!$B$46,Scores_2014_O!AA31,Scores_2014_N!Z31,Scores_2017!Z31)</f>
        <v>73.4553191489362</v>
      </c>
      <c r="AA31" s="561">
        <f>CHOOSE(uxb_works!$B$46,Scores_2014_O!AB31,Scores_2014_N!AA31,Scores_2017!AA31)</f>
        <v>71.0212765957447</v>
      </c>
      <c r="AB31" s="561">
        <f>CHOOSE(uxb_works!$B$46,Scores_2014_O!AC31,Scores_2014_N!AB31,Scores_2017!AB31)</f>
        <v>5.1063829787234</v>
      </c>
      <c r="AC31" s="561">
        <f>CHOOSE(uxb_works!$B$46,Scores_2014_O!AD31,Scores_2014_N!AC31,Scores_2017!AC31)</f>
        <v>17.7021276595745</v>
      </c>
      <c r="AD31" s="561">
        <f>CHOOSE(uxb_works!$B$46,Scores_2014_O!AE31,Scores_2014_N!AD31,Scores_2017!AD31)</f>
        <v>91.463829787234</v>
      </c>
      <c r="AE31" s="561">
        <f>CHOOSE(uxb_works!$B$46,Scores_2014_O!AF31,Scores_2014_N!AE31,Scores_2017!AE31)</f>
        <v>80.536170212766</v>
      </c>
      <c r="AF31" s="561">
        <f>CHOOSE(uxb_works!$B$46,Scores_2014_O!AG31,Scores_2014_N!AF31,Scores_2017!AF31)</f>
        <v>86.3659574468085</v>
      </c>
      <c r="AG31" s="561">
        <f>CHOOSE(uxb_works!$B$46,Scores_2014_O!AH31,Scores_2014_N!AG31,Scores_2017!AG31)</f>
        <v>39.4212765957447</v>
      </c>
      <c r="AH31" s="561">
        <f>CHOOSE(uxb_works!$B$46,Scores_2014_O!AI31,Scores_2014_N!AH31,Scores_2017!AH31)</f>
        <v>57.5063829787234</v>
      </c>
      <c r="AI31" s="561">
        <f>CHOOSE(uxb_works!$B$46,Scores_2014_O!AJ31,Scores_2014_N!AI31,Scores_2017!AI31)</f>
        <v>63.4893617021277</v>
      </c>
      <c r="AJ31" s="561">
        <f>CHOOSE(uxb_works!$B$46,Scores_2014_O!AK31,Scores_2014_N!AJ31,Scores_2017!AJ31)</f>
        <v>38.9617021276596</v>
      </c>
      <c r="AK31" s="561">
        <f>CHOOSE(uxb_works!$B$46,Scores_2014_O!AL31,Scores_2014_N!AK31,Scores_2017!AK31)</f>
        <v>60.7063829787234</v>
      </c>
      <c r="AL31" s="561">
        <f>CHOOSE(uxb_works!$B$46,Scores_2014_O!AM31,Scores_2014_N!AL31,Scores_2017!AL31)</f>
        <v>100</v>
      </c>
      <c r="AM31" s="561">
        <f>CHOOSE(uxb_works!$B$46,Scores_2014_O!AN31,Scores_2014_N!AM31,Scores_2017!AM31)</f>
        <v>60.8851063829787</v>
      </c>
      <c r="AN31" s="561">
        <f>CHOOSE(uxb_works!$B$46,Scores_2014_O!AO31,Scores_2014_N!AN31,Scores_2017!AN31)</f>
        <v>79.1148936170213</v>
      </c>
      <c r="AO31" s="561">
        <f>CHOOSE(uxb_works!$B$46,Scores_2014_O!AP31,Scores_2014_N!AO31,Scores_2017!AO31)</f>
        <v>69.8127659574468</v>
      </c>
      <c r="AP31" s="561">
        <f>CHOOSE(uxb_works!$B$46,Scores_2014_O!AQ31,Scores_2014_N!AP31,Scores_2017!AP31)</f>
        <v>93.6425531914894</v>
      </c>
      <c r="AQ31" s="561">
        <f>CHOOSE(uxb_works!$B$46,Scores_2014_O!Y31,Scores_2014_N!AQ31,Scores_2017!AQ31)</f>
        <v>59.1404255319149</v>
      </c>
      <c r="AR31" s="561">
        <f>CHOOSE(uxb_works!$B$46,Scores_2014_O!AR31,Scores_2014_N!AR31,Scores_2017!AR31)</f>
        <v>32.0255319148936</v>
      </c>
      <c r="AS31" s="561">
        <f>CHOOSE(uxb_works!$B$46,Scores_2014_O!AS31,Scores_2014_N!AS31,Scores_2017!AS31)</f>
        <v>26.468085106383</v>
      </c>
      <c r="AT31" s="561">
        <f>CHOOSE(uxb_works!$B$46,Scores_2014_O!AT31,Scores_2014_N!AT31,Scores_2017!AT31)</f>
        <v>42.7574468085106</v>
      </c>
      <c r="AU31" s="561">
        <f>CHOOSE(uxb_works!$B$46,Scores_2014_O!AU31,Scores_2014_N!AU31,Scores_2017!AU31)</f>
        <v>71.6340425531915</v>
      </c>
      <c r="AV31" s="561">
        <f>CHOOSE(uxb_works!$B$46,Scores_2014_O!AV31,Scores_2014_N!AV31,Scores_2017!AV31)</f>
        <v>49.5063829787234</v>
      </c>
      <c r="AW31" s="561">
        <f>CHOOSE(uxb_works!$B$46,Scores_2014_O!AW31,Scores_2014_N!AW31,Scores_2017!AW31)</f>
        <v>90.1702127659574</v>
      </c>
      <c r="AX31" s="561">
        <f>CHOOSE(uxb_works!$B$46,Scores_2014_O!AX31,Scores_2014_N!AX31,Scores_2017!AX31)</f>
        <v>45.0808510638298</v>
      </c>
      <c r="AY31" s="561">
        <f>CHOOSE(uxb_works!$B$46,Scores_2014_O!AY31,Scores_2014_N!AY31,Scores_2017!AY31)</f>
        <v>19.0808510638298</v>
      </c>
      <c r="AZ31" s="561">
        <f>CHOOSE(uxb_works!$B$46,Scores_2014_O!AZ31,Scores_2014_N!AZ31,Scores_2017!AZ31)</f>
        <v>91.463829787234</v>
      </c>
      <c r="BA31" s="561">
        <f>CHOOSE(uxb_works!$B$46,Scores_2014_O!BA31,Scores_2014_N!BA31,Scores_2017!BA31)</f>
        <v>18.8936170212766</v>
      </c>
      <c r="BB31" s="561">
        <f>CHOOSE(uxb_works!$B$46,Scores_2014_O!BB31,Scores_2014_N!BB31,Scores_2017!BB31)</f>
        <v>54.4851063829787</v>
      </c>
      <c r="BC31" s="561">
        <f>CHOOSE(uxb_works!$B$46,Scores_2014_O!BC31,Scores_2014_N!BC31,Scores_2017!BC31)</f>
        <v>26.2978723404255</v>
      </c>
      <c r="BD31" s="561">
        <f>CHOOSE(uxb_works!$B$46,Scores_2014_O!BD31,Scores_2014_N!BD31,Scores_2017!BD31)</f>
        <v>59.0212765957447</v>
      </c>
      <c r="BE31" s="561">
        <f>CHOOSE(uxb_works!$B$46,Scores_2014_O!BE31,Scores_2014_N!BE31,Scores_2017!BE31)</f>
        <v>50.0085106382979</v>
      </c>
      <c r="BF31" s="561">
        <f>CHOOSE(uxb_works!$B$46,Scores_2014_O!BF31,Scores_2014_N!BF31,Scores_2017!BF31)</f>
        <v>100</v>
      </c>
      <c r="BG31" s="561">
        <f>CHOOSE(uxb_works!$B$46,Scores_2014_O!BG31,Scores_2014_N!BG31,Scores_2017!BG31)</f>
        <v>45.0808510638298</v>
      </c>
      <c r="BH31" s="561">
        <f>CHOOSE(uxb_works!$B$46,Scores_2014_O!BH31,Scores_2014_N!BH31,Scores_2017!BH31)</f>
        <v>26.468085106383</v>
      </c>
      <c r="BI31" s="561">
        <f>CHOOSE(uxb_works!$B$46,Scores_2014_O!BI31,Scores_2014_N!BI31,Scores_2017!BI31)</f>
        <v>49.3361702127659</v>
      </c>
      <c r="BJ31" s="561">
        <f>CHOOSE(uxb_works!$B$46,Scores_2014_O!BJ31,Scores_2014_N!BJ31,Scores_2017!BJ31)</f>
        <v>50.0085106382979</v>
      </c>
      <c r="BK31" s="561">
        <f>CHOOSE(uxb_works!$B$46,Scores_2014_O!BK31,Scores_2014_N!BK31,Scores_2017!BK31)</f>
        <v>50.8340425531915</v>
      </c>
      <c r="BL31" s="561">
        <f>CHOOSE(uxb_works!$B$46,Scores_2014_O!BL31,Scores_2014_N!BL31,Scores_2017!BL31)</f>
        <v>52.8510638297872</v>
      </c>
      <c r="BM31" s="561">
        <f>CHOOSE(uxb_works!$B$46,Scores_2014_O!BM31,Scores_2014_N!BM31,Scores_2017!BM31)</f>
        <v>59.6255319148936</v>
      </c>
      <c r="BN31" s="561">
        <f>CHOOSE(uxb_works!$B$46,Scores_2014_O!BN31,Scores_2014_N!BN31,Scores_2017!BN31)</f>
        <v>49.3021276595745</v>
      </c>
      <c r="BO31" s="561">
        <f>CHOOSE(uxb_works!$B$46,Scores_2014_O!BO31,Scores_2014_N!BO31,Scores_2017!BO31)</f>
        <v>49.5063829787234</v>
      </c>
      <c r="BP31" s="561">
        <f>CHOOSE(uxb_works!$B$46,Scores_2014_O!BP31,Scores_2014_N!BP31,Scores_2017!BP31)</f>
        <v>43.3191489361702</v>
      </c>
      <c r="BQ31" s="561">
        <f>CHOOSE(uxb_works!$B$46,Scores_2014_O!BQ31,Scores_2014_N!BQ31,Scores_2017!BQ31)</f>
        <v>72.2978723404255</v>
      </c>
      <c r="BR31" s="561">
        <f>CHOOSE(uxb_works!$B$46,Scores_2014_O!BR31,Scores_2014_N!BR31,Scores_2017!BR31)</f>
        <v>54.4851063829787</v>
      </c>
      <c r="BS31" s="561">
        <f>CHOOSE(uxb_works!$B$46,Scores_2014_O!BS31,Scores_2014_N!BS31,Scores_2017!BS31)</f>
        <v>41.268085106383</v>
      </c>
      <c r="BT31" s="561">
        <f>CHOOSE(uxb_works!$B$46,Scores_2014_O!BT31,Scores_2014_N!BT31,Scores_2017!BT31)</f>
        <v>0</v>
      </c>
      <c r="BU31" s="561">
        <f>CHOOSE(uxb_works!$B$46,Scores_2014_O!BU31,Scores_2014_N!BU31,Scores_2017!BU31)</f>
        <v>48.868085106383</v>
      </c>
      <c r="BV31" s="561">
        <f>CHOOSE(uxb_works!$B$46,Scores_2014_O!BV31,Scores_2014_N!BV31,Scores_2017!BV31)</f>
        <v>51.1234042553192</v>
      </c>
      <c r="BW31" s="561">
        <f>CHOOSE(uxb_works!$B$46,Scores_2014_O!BW31,Scores_2014_N!BW31,Scores_2017!BW31)</f>
        <v>56.1021276595745</v>
      </c>
      <c r="BX31" s="561">
        <f>CHOOSE(uxb_works!$B$46,Scores_2014_O!BX31,Scores_2014_N!BX31,Scores_2017!BX31)</f>
        <v>54.4851063829787</v>
      </c>
      <c r="BY31"/>
      <c r="BZ31" s="214"/>
      <c r="CA31" s="214"/>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row>
    <row r="32" s="69" customFormat="1" ht="24.95" customHeight="1" spans="1:130">
      <c r="A32"/>
      <c r="B32" s="92">
        <f>tblIndicators!A28</f>
        <v>27</v>
      </c>
      <c r="C32" s="92"/>
      <c r="D32" s="92"/>
      <c r="E32" s="92"/>
      <c r="F32" s="92">
        <f>CHOOSE(uxb_works!$B$46,Scores_2014_O!F32,Scores_2014_N!F32,Scores_2017!F32)</f>
        <v>3</v>
      </c>
      <c r="G32" s="92"/>
      <c r="H32" s="92"/>
      <c r="I32" s="104"/>
      <c r="J32" s="92"/>
      <c r="K32" s="92"/>
      <c r="L32" s="165"/>
      <c r="M32" s="92"/>
      <c r="N32" s="105" t="str">
        <f>REPT(" ",F32)&amp;CHOOSE(uxb_works!$B$46,Scores_2014_O!N32,Scores_2014_N!N32,Scores_2017!N32)</f>
        <v>      2.2.6) Number of attacks using biological, chemical and/or radiological weapons</v>
      </c>
      <c r="O32" s="556">
        <f>CHOOSE(uxb_works!$B$46,Scores_2014_O!O32,Scores_2014_N!O32,Scores_2017!O32)</f>
        <v>0.166666666666667</v>
      </c>
      <c r="P32" s="557">
        <f>CHOOSE(uxb_works!$B$46,Scores_2014_O!P32,Scores_2014_N!P32,Scores_2017!P32)</f>
        <v>100</v>
      </c>
      <c r="Q32" s="561">
        <f>CHOOSE(uxb_works!$B$46,Scores_2014_O!Q32,Scores_2014_N!Q32,Scores_2017!Q32)</f>
        <v>100</v>
      </c>
      <c r="R32" s="561">
        <f>CHOOSE(uxb_works!$B$46,Scores_2014_O!R32,Scores_2014_N!R32,Scores_2017!R32)</f>
        <v>100</v>
      </c>
      <c r="S32" s="561">
        <f>CHOOSE(uxb_works!$B$46,Scores_2014_O!S32,Scores_2014_N!S32,Scores_2017!S32)</f>
        <v>100</v>
      </c>
      <c r="T32" s="561">
        <f>CHOOSE(uxb_works!$B$46,Scores_2014_O!T32,Scores_2014_N!T32,Scores_2017!T32)</f>
        <v>100</v>
      </c>
      <c r="U32" s="561">
        <f>CHOOSE(uxb_works!$B$46,Scores_2014_O!U32,Scores_2014_N!U32,Scores_2017!U32)</f>
        <v>100</v>
      </c>
      <c r="V32" s="561">
        <f>CHOOSE(uxb_works!$B$46,Scores_2014_O!V32,Scores_2014_N!V32,Scores_2017!V32)</f>
        <v>100</v>
      </c>
      <c r="W32" s="561">
        <f>CHOOSE(uxb_works!$B$46,Scores_2014_O!W32,Scores_2014_N!W32,Scores_2017!W32)</f>
        <v>100</v>
      </c>
      <c r="X32" s="561">
        <f>CHOOSE(uxb_works!$B$46,Scores_2014_O!X32,Scores_2014_N!X32,Scores_2017!X32)</f>
        <v>100</v>
      </c>
      <c r="Y32" s="561">
        <f>CHOOSE(uxb_works!$B$46,Scores_2014_O!Z32,Scores_2014_N!Y32,Scores_2017!Y32)</f>
        <v>100</v>
      </c>
      <c r="Z32" s="561">
        <f>CHOOSE(uxb_works!$B$46,Scores_2014_O!AA32,Scores_2014_N!Z32,Scores_2017!Z32)</f>
        <v>100</v>
      </c>
      <c r="AA32" s="561">
        <f>CHOOSE(uxb_works!$B$46,Scores_2014_O!AB32,Scores_2014_N!AA32,Scores_2017!AA32)</f>
        <v>100</v>
      </c>
      <c r="AB32" s="561">
        <f>CHOOSE(uxb_works!$B$46,Scores_2014_O!AC32,Scores_2014_N!AB32,Scores_2017!AB32)</f>
        <v>100</v>
      </c>
      <c r="AC32" s="561">
        <f>CHOOSE(uxb_works!$B$46,Scores_2014_O!AD32,Scores_2014_N!AC32,Scores_2017!AC32)</f>
        <v>100</v>
      </c>
      <c r="AD32" s="561">
        <f>CHOOSE(uxb_works!$B$46,Scores_2014_O!AE32,Scores_2014_N!AD32,Scores_2017!AD32)</f>
        <v>100</v>
      </c>
      <c r="AE32" s="561">
        <f>CHOOSE(uxb_works!$B$46,Scores_2014_O!AF32,Scores_2014_N!AE32,Scores_2017!AE32)</f>
        <v>100</v>
      </c>
      <c r="AF32" s="561">
        <f>CHOOSE(uxb_works!$B$46,Scores_2014_O!AG32,Scores_2014_N!AF32,Scores_2017!AF32)</f>
        <v>100</v>
      </c>
      <c r="AG32" s="561">
        <f>CHOOSE(uxb_works!$B$46,Scores_2014_O!AH32,Scores_2014_N!AG32,Scores_2017!AG32)</f>
        <v>100</v>
      </c>
      <c r="AH32" s="561">
        <f>CHOOSE(uxb_works!$B$46,Scores_2014_O!AI32,Scores_2014_N!AH32,Scores_2017!AH32)</f>
        <v>100</v>
      </c>
      <c r="AI32" s="561">
        <f>CHOOSE(uxb_works!$B$46,Scores_2014_O!AJ32,Scores_2014_N!AI32,Scores_2017!AI32)</f>
        <v>25</v>
      </c>
      <c r="AJ32" s="561">
        <f>CHOOSE(uxb_works!$B$46,Scores_2014_O!AK32,Scores_2014_N!AJ32,Scores_2017!AJ32)</f>
        <v>100</v>
      </c>
      <c r="AK32" s="561">
        <f>CHOOSE(uxb_works!$B$46,Scores_2014_O!AL32,Scores_2014_N!AK32,Scores_2017!AK32)</f>
        <v>100</v>
      </c>
      <c r="AL32" s="561">
        <f>CHOOSE(uxb_works!$B$46,Scores_2014_O!AM32,Scores_2014_N!AL32,Scores_2017!AL32)</f>
        <v>100</v>
      </c>
      <c r="AM32" s="561">
        <f>CHOOSE(uxb_works!$B$46,Scores_2014_O!AN32,Scores_2014_N!AM32,Scores_2017!AM32)</f>
        <v>100</v>
      </c>
      <c r="AN32" s="561">
        <f>CHOOSE(uxb_works!$B$46,Scores_2014_O!AO32,Scores_2014_N!AN32,Scores_2017!AN32)</f>
        <v>100</v>
      </c>
      <c r="AO32" s="561">
        <f>CHOOSE(uxb_works!$B$46,Scores_2014_O!AP32,Scores_2014_N!AO32,Scores_2017!AO32)</f>
        <v>100</v>
      </c>
      <c r="AP32" s="561">
        <f>CHOOSE(uxb_works!$B$46,Scores_2014_O!AQ32,Scores_2014_N!AP32,Scores_2017!AP32)</f>
        <v>100</v>
      </c>
      <c r="AQ32" s="561">
        <f>CHOOSE(uxb_works!$B$46,Scores_2014_O!Y32,Scores_2014_N!AQ32,Scores_2017!AQ32)</f>
        <v>100</v>
      </c>
      <c r="AR32" s="561">
        <f>CHOOSE(uxb_works!$B$46,Scores_2014_O!AR32,Scores_2014_N!AR32,Scores_2017!AR32)</f>
        <v>100</v>
      </c>
      <c r="AS32" s="561">
        <f>CHOOSE(uxb_works!$B$46,Scores_2014_O!AS32,Scores_2014_N!AS32,Scores_2017!AS32)</f>
        <v>75</v>
      </c>
      <c r="AT32" s="561">
        <f>CHOOSE(uxb_works!$B$46,Scores_2014_O!AT32,Scores_2014_N!AT32,Scores_2017!AT32)</f>
        <v>100</v>
      </c>
      <c r="AU32" s="561">
        <f>CHOOSE(uxb_works!$B$46,Scores_2014_O!AU32,Scores_2014_N!AU32,Scores_2017!AU32)</f>
        <v>100</v>
      </c>
      <c r="AV32" s="561">
        <f>CHOOSE(uxb_works!$B$46,Scores_2014_O!AV32,Scores_2014_N!AV32,Scores_2017!AV32)</f>
        <v>100</v>
      </c>
      <c r="AW32" s="561">
        <f>CHOOSE(uxb_works!$B$46,Scores_2014_O!AW32,Scores_2014_N!AW32,Scores_2017!AW32)</f>
        <v>100</v>
      </c>
      <c r="AX32" s="561">
        <f>CHOOSE(uxb_works!$B$46,Scores_2014_O!AX32,Scores_2014_N!AX32,Scores_2017!AX32)</f>
        <v>100</v>
      </c>
      <c r="AY32" s="561">
        <f>CHOOSE(uxb_works!$B$46,Scores_2014_O!AY32,Scores_2014_N!AY32,Scores_2017!AY32)</f>
        <v>100</v>
      </c>
      <c r="AZ32" s="561">
        <f>CHOOSE(uxb_works!$B$46,Scores_2014_O!AZ32,Scores_2014_N!AZ32,Scores_2017!AZ32)</f>
        <v>100</v>
      </c>
      <c r="BA32" s="561">
        <f>CHOOSE(uxb_works!$B$46,Scores_2014_O!BA32,Scores_2014_N!BA32,Scores_2017!BA32)</f>
        <v>25</v>
      </c>
      <c r="BB32" s="561">
        <f>CHOOSE(uxb_works!$B$46,Scores_2014_O!BB32,Scores_2014_N!BB32,Scores_2017!BB32)</f>
        <v>100</v>
      </c>
      <c r="BC32" s="561">
        <f>CHOOSE(uxb_works!$B$46,Scores_2014_O!BC32,Scores_2014_N!BC32,Scores_2017!BC32)</f>
        <v>100</v>
      </c>
      <c r="BD32" s="561">
        <f>CHOOSE(uxb_works!$B$46,Scores_2014_O!BD32,Scores_2014_N!BD32,Scores_2017!BD32)</f>
        <v>100</v>
      </c>
      <c r="BE32" s="561">
        <f>CHOOSE(uxb_works!$B$46,Scores_2014_O!BE32,Scores_2014_N!BE32,Scores_2017!BE32)</f>
        <v>100</v>
      </c>
      <c r="BF32" s="561">
        <f>CHOOSE(uxb_works!$B$46,Scores_2014_O!BF32,Scores_2014_N!BF32,Scores_2017!BF32)</f>
        <v>100</v>
      </c>
      <c r="BG32" s="561">
        <f>CHOOSE(uxb_works!$B$46,Scores_2014_O!BG32,Scores_2014_N!BG32,Scores_2017!BG32)</f>
        <v>100</v>
      </c>
      <c r="BH32" s="561">
        <f>CHOOSE(uxb_works!$B$46,Scores_2014_O!BH32,Scores_2014_N!BH32,Scores_2017!BH32)</f>
        <v>100</v>
      </c>
      <c r="BI32" s="561">
        <f>CHOOSE(uxb_works!$B$46,Scores_2014_O!BI32,Scores_2014_N!BI32,Scores_2017!BI32)</f>
        <v>100</v>
      </c>
      <c r="BJ32" s="561">
        <f>CHOOSE(uxb_works!$B$46,Scores_2014_O!BJ32,Scores_2014_N!BJ32,Scores_2017!BJ32)</f>
        <v>100</v>
      </c>
      <c r="BK32" s="561">
        <f>CHOOSE(uxb_works!$B$46,Scores_2014_O!BK32,Scores_2014_N!BK32,Scores_2017!BK32)</f>
        <v>100</v>
      </c>
      <c r="BL32" s="561">
        <f>CHOOSE(uxb_works!$B$46,Scores_2014_O!BL32,Scores_2014_N!BL32,Scores_2017!BL32)</f>
        <v>100</v>
      </c>
      <c r="BM32" s="561">
        <f>CHOOSE(uxb_works!$B$46,Scores_2014_O!BM32,Scores_2014_N!BM32,Scores_2017!BM32)</f>
        <v>100</v>
      </c>
      <c r="BN32" s="561">
        <f>CHOOSE(uxb_works!$B$46,Scores_2014_O!BN32,Scores_2014_N!BN32,Scores_2017!BN32)</f>
        <v>100</v>
      </c>
      <c r="BO32" s="561">
        <f>CHOOSE(uxb_works!$B$46,Scores_2014_O!BO32,Scores_2014_N!BO32,Scores_2017!BO32)</f>
        <v>100</v>
      </c>
      <c r="BP32" s="561">
        <f>CHOOSE(uxb_works!$B$46,Scores_2014_O!BP32,Scores_2014_N!BP32,Scores_2017!BP32)</f>
        <v>100</v>
      </c>
      <c r="BQ32" s="561">
        <f>CHOOSE(uxb_works!$B$46,Scores_2014_O!BQ32,Scores_2014_N!BQ32,Scores_2017!BQ32)</f>
        <v>100</v>
      </c>
      <c r="BR32" s="561">
        <f>CHOOSE(uxb_works!$B$46,Scores_2014_O!BR32,Scores_2014_N!BR32,Scores_2017!BR32)</f>
        <v>100</v>
      </c>
      <c r="BS32" s="561">
        <f>CHOOSE(uxb_works!$B$46,Scores_2014_O!BS32,Scores_2014_N!BS32,Scores_2017!BS32)</f>
        <v>100</v>
      </c>
      <c r="BT32" s="561">
        <f>CHOOSE(uxb_works!$B$46,Scores_2014_O!BT32,Scores_2014_N!BT32,Scores_2017!BT32)</f>
        <v>50</v>
      </c>
      <c r="BU32" s="561">
        <f>CHOOSE(uxb_works!$B$46,Scores_2014_O!BU32,Scores_2014_N!BU32,Scores_2017!BU32)</f>
        <v>0</v>
      </c>
      <c r="BV32" s="561">
        <f>CHOOSE(uxb_works!$B$46,Scores_2014_O!BV32,Scores_2014_N!BV32,Scores_2017!BV32)</f>
        <v>100</v>
      </c>
      <c r="BW32" s="561">
        <f>CHOOSE(uxb_works!$B$46,Scores_2014_O!BW32,Scores_2014_N!BW32,Scores_2017!BW32)</f>
        <v>100</v>
      </c>
      <c r="BX32" s="561">
        <f>CHOOSE(uxb_works!$B$46,Scores_2014_O!BX32,Scores_2014_N!BX32,Scores_2017!BX32)</f>
        <v>100</v>
      </c>
      <c r="BY32"/>
      <c r="BZ32" s="214"/>
      <c r="CA32" s="214"/>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row>
    <row r="33" s="69" customFormat="1" ht="24.95" customHeight="1" spans="1:130">
      <c r="A33"/>
      <c r="B33" s="92">
        <f>tblIndicators!A29</f>
        <v>28</v>
      </c>
      <c r="C33" s="92"/>
      <c r="D33" s="92"/>
      <c r="E33" s="92"/>
      <c r="F33" s="92">
        <f>CHOOSE(uxb_works!$B$46,Scores_2014_O!F33,Scores_2014_N!F33,Scores_2017!F33)</f>
        <v>1</v>
      </c>
      <c r="G33" s="92"/>
      <c r="H33" s="92"/>
      <c r="I33" s="104"/>
      <c r="J33" s="92"/>
      <c r="K33" s="92"/>
      <c r="L33" s="165"/>
      <c r="M33" s="92"/>
      <c r="N33" s="105" t="str">
        <f>REPT(" ",F33)&amp;CHOOSE(uxb_works!$B$46,Scores_2014_O!N33,Scores_2014_N!N33,Scores_2017!N33)</f>
        <v>  3) INFRASTRUCTURE SECURITY</v>
      </c>
      <c r="O33" s="556">
        <f>CHOOSE(uxb_works!$B$46,Scores_2014_O!O33,Scores_2014_N!O33,Scores_2017!O33)</f>
        <v>0.25</v>
      </c>
      <c r="P33" s="557">
        <f>CHOOSE(uxb_works!$B$46,Scores_2014_O!P33,Scores_2014_N!P33,Scores_2017!P33)</f>
        <v>91.3641602398045</v>
      </c>
      <c r="Q33" s="561">
        <f>CHOOSE(uxb_works!$B$46,Scores_2014_O!Q33,Scores_2014_N!Q33,Scores_2017!Q33)</f>
        <v>96.0487020964921</v>
      </c>
      <c r="R33" s="561">
        <f>CHOOSE(uxb_works!$B$46,Scores_2014_O!R33,Scores_2014_N!R33,Scores_2017!R33)</f>
        <v>82.0450727670822</v>
      </c>
      <c r="S33" s="561">
        <f>CHOOSE(uxb_works!$B$46,Scores_2014_O!S33,Scores_2014_N!S33,Scores_2017!S33)</f>
        <v>68.3322310976069</v>
      </c>
      <c r="T33" s="561">
        <f>CHOOSE(uxb_works!$B$46,Scores_2014_O!T33,Scores_2014_N!T33,Scores_2017!T33)</f>
        <v>96.5932931771737</v>
      </c>
      <c r="U33" s="561">
        <f>CHOOSE(uxb_works!$B$46,Scores_2014_O!U33,Scores_2014_N!U33,Scores_2017!U33)</f>
        <v>74.4895357167155</v>
      </c>
      <c r="V33" s="561">
        <f>CHOOSE(uxb_works!$B$46,Scores_2014_O!V33,Scores_2014_N!V33,Scores_2017!V33)</f>
        <v>69.7850257376166</v>
      </c>
      <c r="W33" s="561">
        <f>CHOOSE(uxb_works!$B$46,Scores_2014_O!W33,Scores_2014_N!W33,Scores_2017!W33)</f>
        <v>88.5618810078511</v>
      </c>
      <c r="X33" s="561">
        <f>CHOOSE(uxb_works!$B$46,Scores_2014_O!X33,Scores_2014_N!X33,Scores_2017!X33)</f>
        <v>87.992217350021</v>
      </c>
      <c r="Y33" s="561">
        <f>CHOOSE(uxb_works!$B$46,Scores_2014_O!Z33,Scores_2014_N!Y33,Scores_2017!Y33)</f>
        <v>68.0018524380856</v>
      </c>
      <c r="Z33" s="561">
        <f>CHOOSE(uxb_works!$B$46,Scores_2014_O!AA33,Scores_2014_N!Z33,Scores_2017!Z33)</f>
        <v>58.417287888492</v>
      </c>
      <c r="AA33" s="561">
        <f>CHOOSE(uxb_works!$B$46,Scores_2014_O!AB33,Scores_2014_N!AA33,Scores_2017!AA33)</f>
        <v>66.2715702654957</v>
      </c>
      <c r="AB33" s="561">
        <f>CHOOSE(uxb_works!$B$46,Scores_2014_O!AC33,Scores_2014_N!AB33,Scores_2017!AB33)</f>
        <v>87.4662031145375</v>
      </c>
      <c r="AC33" s="561">
        <f>CHOOSE(uxb_works!$B$46,Scores_2014_O!AD33,Scores_2014_N!AC33,Scores_2017!AC33)</f>
        <v>79.2281408050174</v>
      </c>
      <c r="AD33" s="561">
        <f>CHOOSE(uxb_works!$B$46,Scores_2014_O!AE33,Scores_2014_N!AD33,Scores_2017!AD33)</f>
        <v>58.4862536094941</v>
      </c>
      <c r="AE33" s="561">
        <f>CHOOSE(uxb_works!$B$46,Scores_2014_O!AF33,Scores_2014_N!AE33,Scores_2017!AE33)</f>
        <v>38.4188834103654</v>
      </c>
      <c r="AF33" s="561">
        <f>CHOOSE(uxb_works!$B$46,Scores_2014_O!AG33,Scores_2014_N!AF33,Scores_2017!AF33)</f>
        <v>81.7204033378227</v>
      </c>
      <c r="AG33" s="561">
        <f>CHOOSE(uxb_works!$B$46,Scores_2014_O!AH33,Scores_2014_N!AG33,Scores_2017!AG33)</f>
        <v>88.1584769903501</v>
      </c>
      <c r="AH33" s="561">
        <f>CHOOSE(uxb_works!$B$46,Scores_2014_O!AI33,Scores_2014_N!AH33,Scores_2017!AH33)</f>
        <v>65.7276199587451</v>
      </c>
      <c r="AI33" s="561">
        <f>CHOOSE(uxb_works!$B$46,Scores_2014_O!AJ33,Scores_2014_N!AI33,Scores_2017!AI33)</f>
        <v>96.0401670743199</v>
      </c>
      <c r="AJ33" s="561">
        <f>CHOOSE(uxb_works!$B$46,Scores_2014_O!AK33,Scores_2014_N!AJ33,Scores_2017!AJ33)</f>
        <v>70.7912962945649</v>
      </c>
      <c r="AK33" s="561">
        <f>CHOOSE(uxb_works!$B$46,Scores_2014_O!AL33,Scores_2014_N!AK33,Scores_2017!AK33)</f>
        <v>63.3189954694381</v>
      </c>
      <c r="AL33" s="561">
        <f>CHOOSE(uxb_works!$B$46,Scores_2014_O!AM33,Scores_2014_N!AL33,Scores_2017!AL33)</f>
        <v>61.7422079955886</v>
      </c>
      <c r="AM33" s="561">
        <f>CHOOSE(uxb_works!$B$46,Scores_2014_O!AN33,Scores_2014_N!AM33,Scores_2017!AM33)</f>
        <v>55.058886033288</v>
      </c>
      <c r="AN33" s="561">
        <f>CHOOSE(uxb_works!$B$46,Scores_2014_O!AO33,Scores_2014_N!AN33,Scores_2017!AN33)</f>
        <v>40.1112106909003</v>
      </c>
      <c r="AO33" s="561">
        <f>CHOOSE(uxb_works!$B$46,Scores_2014_O!AP33,Scores_2014_N!AO33,Scores_2017!AO33)</f>
        <v>78.1190759836028</v>
      </c>
      <c r="AP33" s="561">
        <f>CHOOSE(uxb_works!$B$46,Scores_2014_O!AQ33,Scores_2014_N!AP33,Scores_2017!AP33)</f>
        <v>71.6585348410983</v>
      </c>
      <c r="AQ33" s="561">
        <f>CHOOSE(uxb_works!$B$46,Scores_2014_O!Y33,Scores_2014_N!AQ33,Scores_2017!AQ33)</f>
        <v>64.468667825633</v>
      </c>
      <c r="AR33" s="561">
        <f>CHOOSE(uxb_works!$B$46,Scores_2014_O!AR33,Scores_2014_N!AR33,Scores_2017!AR33)</f>
        <v>93.4394058871563</v>
      </c>
      <c r="AS33" s="561">
        <f>CHOOSE(uxb_works!$B$46,Scores_2014_O!AS33,Scores_2014_N!AS33,Scores_2017!AS33)</f>
        <v>88.2653941225815</v>
      </c>
      <c r="AT33" s="561">
        <f>CHOOSE(uxb_works!$B$46,Scores_2014_O!AT33,Scores_2014_N!AT33,Scores_2017!AT33)</f>
        <v>96.7641371581147</v>
      </c>
      <c r="AU33" s="561">
        <f>CHOOSE(uxb_works!$B$46,Scores_2014_O!AU33,Scores_2014_N!AU33,Scores_2017!AU33)</f>
        <v>52.8899109711199</v>
      </c>
      <c r="AV33" s="561">
        <f>CHOOSE(uxb_works!$B$46,Scores_2014_O!AV33,Scores_2014_N!AV33,Scores_2017!AV33)</f>
        <v>96.0350335712365</v>
      </c>
      <c r="AW33" s="561">
        <f>CHOOSE(uxb_works!$B$46,Scores_2014_O!AW33,Scores_2014_N!AW33,Scores_2017!AW33)</f>
        <v>72.9768510140906</v>
      </c>
      <c r="AX33" s="561">
        <f>CHOOSE(uxb_works!$B$46,Scores_2014_O!AX33,Scores_2014_N!AX33,Scores_2017!AX33)</f>
        <v>90.3577176509129</v>
      </c>
      <c r="AY33" s="561">
        <f>CHOOSE(uxb_works!$B$46,Scores_2014_O!AY33,Scores_2014_N!AY33,Scores_2017!AY33)</f>
        <v>76.3566505829332</v>
      </c>
      <c r="AZ33" s="561">
        <f>CHOOSE(uxb_works!$B$46,Scores_2014_O!AZ33,Scores_2014_N!AZ33,Scores_2017!AZ33)</f>
        <v>59.1170075735975</v>
      </c>
      <c r="BA33" s="561">
        <f>CHOOSE(uxb_works!$B$46,Scores_2014_O!BA33,Scores_2014_N!BA33,Scores_2017!BA33)</f>
        <v>88.3905540917254</v>
      </c>
      <c r="BB33" s="561">
        <f>CHOOSE(uxb_works!$B$46,Scores_2014_O!BB33,Scores_2014_N!BB33,Scores_2017!BB33)</f>
        <v>94.6122129030779</v>
      </c>
      <c r="BC33" s="561">
        <f>CHOOSE(uxb_works!$B$46,Scores_2014_O!BC33,Scores_2014_N!BC33,Scores_2017!BC33)</f>
        <v>89.9016034450361</v>
      </c>
      <c r="BD33" s="561">
        <f>CHOOSE(uxb_works!$B$46,Scores_2014_O!BD33,Scores_2014_N!BD33,Scores_2017!BD33)</f>
        <v>52.027548819922</v>
      </c>
      <c r="BE33" s="561">
        <f>CHOOSE(uxb_works!$B$46,Scores_2014_O!BE33,Scores_2014_N!BE33,Scores_2017!BE33)</f>
        <v>79.5340170368527</v>
      </c>
      <c r="BF33" s="561">
        <f>CHOOSE(uxb_works!$B$46,Scores_2014_O!BF33,Scores_2014_N!BF33,Scores_2017!BF33)</f>
        <v>56.8775341607706</v>
      </c>
      <c r="BG33" s="561">
        <f>CHOOSE(uxb_works!$B$46,Scores_2014_O!BG33,Scores_2014_N!BG33,Scores_2017!BG33)</f>
        <v>92.3052195815775</v>
      </c>
      <c r="BH33" s="561">
        <f>CHOOSE(uxb_works!$B$46,Scores_2014_O!BH33,Scores_2014_N!BH33,Scores_2017!BH33)</f>
        <v>91.2085493589534</v>
      </c>
      <c r="BI33" s="561">
        <f>CHOOSE(uxb_works!$B$46,Scores_2014_O!BI33,Scores_2014_N!BI33,Scores_2017!BI33)</f>
        <v>81.3495769804108</v>
      </c>
      <c r="BJ33" s="561">
        <f>CHOOSE(uxb_works!$B$46,Scores_2014_O!BJ33,Scores_2014_N!BJ33,Scores_2017!BJ33)</f>
        <v>79.4362885203413</v>
      </c>
      <c r="BK33" s="561">
        <f>CHOOSE(uxb_works!$B$46,Scores_2014_O!BK33,Scores_2014_N!BK33,Scores_2017!BK33)</f>
        <v>87.933656523691</v>
      </c>
      <c r="BL33" s="561">
        <f>CHOOSE(uxb_works!$B$46,Scores_2014_O!BL33,Scores_2014_N!BL33,Scores_2017!BL33)</f>
        <v>74.3020368488188</v>
      </c>
      <c r="BM33" s="561">
        <f>CHOOSE(uxb_works!$B$46,Scores_2014_O!BM33,Scores_2014_N!BM33,Scores_2017!BM33)</f>
        <v>97.0468547330032</v>
      </c>
      <c r="BN33" s="561">
        <f>CHOOSE(uxb_works!$B$46,Scores_2014_O!BN33,Scores_2014_N!BN33,Scores_2017!BN33)</f>
        <v>96.1824658208614</v>
      </c>
      <c r="BO33" s="561">
        <f>CHOOSE(uxb_works!$B$46,Scores_2014_O!BO33,Scores_2014_N!BO33,Scores_2017!BO33)</f>
        <v>95.7258767842671</v>
      </c>
      <c r="BP33" s="561">
        <f>CHOOSE(uxb_works!$B$46,Scores_2014_O!BP33,Scores_2014_N!BP33,Scores_2017!BP33)</f>
        <v>87.586180456734</v>
      </c>
      <c r="BQ33" s="561">
        <f>CHOOSE(uxb_works!$B$46,Scores_2014_O!BQ33,Scores_2014_N!BQ33,Scores_2017!BQ33)</f>
        <v>63.9497260688569</v>
      </c>
      <c r="BR33" s="561">
        <f>CHOOSE(uxb_works!$B$46,Scores_2014_O!BR33,Scores_2014_N!BR33,Scores_2017!BR33)</f>
        <v>93.5920142551198</v>
      </c>
      <c r="BS33" s="561">
        <f>CHOOSE(uxb_works!$B$46,Scores_2014_O!BS33,Scores_2014_N!BS33,Scores_2017!BS33)</f>
        <v>92.7542869033763</v>
      </c>
      <c r="BT33" s="561">
        <f>CHOOSE(uxb_works!$B$46,Scores_2014_O!BT33,Scores_2014_N!BT33,Scores_2017!BT33)</f>
        <v>82.3799009185844</v>
      </c>
      <c r="BU33" s="561">
        <f>CHOOSE(uxb_works!$B$46,Scores_2014_O!BU33,Scores_2014_N!BU33,Scores_2017!BU33)</f>
        <v>96.132600317862</v>
      </c>
      <c r="BV33" s="561">
        <f>CHOOSE(uxb_works!$B$46,Scores_2014_O!BV33,Scores_2014_N!BV33,Scores_2017!BV33)</f>
        <v>48.5783090960745</v>
      </c>
      <c r="BW33" s="561">
        <f>CHOOSE(uxb_works!$B$46,Scores_2014_O!BW33,Scores_2014_N!BW33,Scores_2017!BW33)</f>
        <v>95.7118450134872</v>
      </c>
      <c r="BX33" s="561">
        <f>CHOOSE(uxb_works!$B$46,Scores_2014_O!BX33,Scores_2014_N!BX33,Scores_2017!BX33)</f>
        <v>94.663422892713</v>
      </c>
      <c r="BY33"/>
      <c r="BZ33" s="214"/>
      <c r="CA33" s="214"/>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row>
    <row r="34" s="69" customFormat="1" ht="24.95" customHeight="1" spans="1:130">
      <c r="A34"/>
      <c r="B34" s="92">
        <f>tblIndicators!A30</f>
        <v>29</v>
      </c>
      <c r="C34" s="92"/>
      <c r="D34" s="92"/>
      <c r="E34" s="92"/>
      <c r="F34" s="92">
        <f>CHOOSE(uxb_works!$B$46,Scores_2014_O!F34,Scores_2014_N!F34,Scores_2017!F34)</f>
        <v>2</v>
      </c>
      <c r="G34" s="92"/>
      <c r="H34" s="92"/>
      <c r="I34" s="104"/>
      <c r="J34" s="92"/>
      <c r="K34" s="92"/>
      <c r="L34" s="165"/>
      <c r="M34" s="92"/>
      <c r="N34" s="105" t="str">
        <f>REPT(" ",F34)&amp;CHOOSE(uxb_works!$B$46,Scores_2014_O!N34,Scores_2014_N!N34,Scores_2017!N34)</f>
        <v>    3.1) Infrastructure security (Inputs)</v>
      </c>
      <c r="O34" s="556">
        <f>CHOOSE(uxb_works!$B$46,Scores_2014_O!O34,Scores_2014_N!O34,Scores_2017!O34)</f>
        <v>0.5</v>
      </c>
      <c r="P34" s="557">
        <f>CHOOSE(uxb_works!$B$46,Scores_2014_O!P34,Scores_2014_N!P34,Scores_2017!P34)</f>
        <v>90</v>
      </c>
      <c r="Q34" s="561">
        <f>CHOOSE(uxb_works!$B$46,Scores_2014_O!Q34,Scores_2014_N!Q34,Scores_2017!Q34)</f>
        <v>94</v>
      </c>
      <c r="R34" s="561">
        <f>CHOOSE(uxb_works!$B$46,Scores_2014_O!R34,Scores_2014_N!R34,Scores_2017!R34)</f>
        <v>72</v>
      </c>
      <c r="S34" s="561">
        <f>CHOOSE(uxb_works!$B$46,Scores_2014_O!S34,Scores_2014_N!S34,Scores_2017!S34)</f>
        <v>60.5</v>
      </c>
      <c r="T34" s="561">
        <f>CHOOSE(uxb_works!$B$46,Scores_2014_O!T34,Scores_2014_N!T34,Scores_2017!T34)</f>
        <v>96.5</v>
      </c>
      <c r="U34" s="561">
        <f>CHOOSE(uxb_works!$B$46,Scores_2014_O!U34,Scores_2014_N!U34,Scores_2017!U34)</f>
        <v>70.5</v>
      </c>
      <c r="V34" s="561">
        <f>CHOOSE(uxb_works!$B$46,Scores_2014_O!V34,Scores_2014_N!V34,Scores_2017!V34)</f>
        <v>63</v>
      </c>
      <c r="W34" s="561">
        <f>CHOOSE(uxb_works!$B$46,Scores_2014_O!W34,Scores_2014_N!W34,Scores_2017!W34)</f>
        <v>88.5</v>
      </c>
      <c r="X34" s="561">
        <f>CHOOSE(uxb_works!$B$46,Scores_2014_O!X34,Scores_2014_N!X34,Scores_2017!X34)</f>
        <v>87.5</v>
      </c>
      <c r="Y34" s="561">
        <f>CHOOSE(uxb_works!$B$46,Scores_2014_O!Z34,Scores_2014_N!Y34,Scores_2017!Y34)</f>
        <v>57</v>
      </c>
      <c r="Z34" s="561">
        <f>CHOOSE(uxb_works!$B$46,Scores_2014_O!AA34,Scores_2014_N!Z34,Scores_2017!Z34)</f>
        <v>38</v>
      </c>
      <c r="AA34" s="561">
        <f>CHOOSE(uxb_works!$B$46,Scores_2014_O!AB34,Scores_2014_N!AA34,Scores_2017!AA34)</f>
        <v>51.5</v>
      </c>
      <c r="AB34" s="561">
        <f>CHOOSE(uxb_works!$B$46,Scores_2014_O!AC34,Scores_2014_N!AB34,Scores_2017!AB34)</f>
        <v>90.5</v>
      </c>
      <c r="AC34" s="561">
        <f>CHOOSE(uxb_works!$B$46,Scores_2014_O!AD34,Scores_2014_N!AC34,Scores_2017!AC34)</f>
        <v>80.5</v>
      </c>
      <c r="AD34" s="561">
        <f>CHOOSE(uxb_works!$B$46,Scores_2014_O!AE34,Scores_2014_N!AD34,Scores_2017!AD34)</f>
        <v>37.5</v>
      </c>
      <c r="AE34" s="561">
        <f>CHOOSE(uxb_works!$B$46,Scores_2014_O!AF34,Scores_2014_N!AE34,Scores_2017!AE34)</f>
        <v>21</v>
      </c>
      <c r="AF34" s="561">
        <f>CHOOSE(uxb_works!$B$46,Scores_2014_O!AG34,Scores_2014_N!AF34,Scores_2017!AF34)</f>
        <v>75.5</v>
      </c>
      <c r="AG34" s="561">
        <f>CHOOSE(uxb_works!$B$46,Scores_2014_O!AH34,Scores_2014_N!AG34,Scores_2017!AG34)</f>
        <v>95</v>
      </c>
      <c r="AH34" s="561">
        <f>CHOOSE(uxb_works!$B$46,Scores_2014_O!AI34,Scores_2014_N!AH34,Scores_2017!AH34)</f>
        <v>43</v>
      </c>
      <c r="AI34" s="561">
        <f>CHOOSE(uxb_works!$B$46,Scores_2014_O!AJ34,Scores_2014_N!AI34,Scores_2017!AI34)</f>
        <v>95.5</v>
      </c>
      <c r="AJ34" s="561">
        <f>CHOOSE(uxb_works!$B$46,Scores_2014_O!AK34,Scores_2014_N!AJ34,Scores_2017!AJ34)</f>
        <v>66</v>
      </c>
      <c r="AK34" s="561">
        <f>CHOOSE(uxb_works!$B$46,Scores_2014_O!AL34,Scores_2014_N!AK34,Scores_2017!AK34)</f>
        <v>43</v>
      </c>
      <c r="AL34" s="561">
        <f>CHOOSE(uxb_works!$B$46,Scores_2014_O!AM34,Scores_2014_N!AL34,Scores_2017!AL34)</f>
        <v>47</v>
      </c>
      <c r="AM34" s="561">
        <f>CHOOSE(uxb_works!$B$46,Scores_2014_O!AN34,Scores_2014_N!AM34,Scores_2017!AM34)</f>
        <v>52</v>
      </c>
      <c r="AN34" s="561">
        <f>CHOOSE(uxb_works!$B$46,Scores_2014_O!AO34,Scores_2014_N!AN34,Scores_2017!AN34)</f>
        <v>26</v>
      </c>
      <c r="AO34" s="561">
        <f>CHOOSE(uxb_works!$B$46,Scores_2014_O!AP34,Scores_2014_N!AO34,Scores_2017!AO34)</f>
        <v>70</v>
      </c>
      <c r="AP34" s="561">
        <f>CHOOSE(uxb_works!$B$46,Scores_2014_O!AQ34,Scores_2014_N!AP34,Scores_2017!AP34)</f>
        <v>72.5</v>
      </c>
      <c r="AQ34" s="561">
        <f>CHOOSE(uxb_works!$B$46,Scores_2014_O!Y34,Scores_2014_N!AQ34,Scores_2017!AQ34)</f>
        <v>57.5</v>
      </c>
      <c r="AR34" s="561">
        <f>CHOOSE(uxb_works!$B$46,Scores_2014_O!AR34,Scores_2014_N!AR34,Scores_2017!AR34)</f>
        <v>92.5</v>
      </c>
      <c r="AS34" s="561">
        <f>CHOOSE(uxb_works!$B$46,Scores_2014_O!AS34,Scores_2014_N!AS34,Scores_2017!AS34)</f>
        <v>90.5</v>
      </c>
      <c r="AT34" s="561">
        <f>CHOOSE(uxb_works!$B$46,Scores_2014_O!AT34,Scores_2014_N!AT34,Scores_2017!AT34)</f>
        <v>96.5</v>
      </c>
      <c r="AU34" s="561">
        <f>CHOOSE(uxb_works!$B$46,Scores_2014_O!AU34,Scores_2014_N!AU34,Scores_2017!AU34)</f>
        <v>48.5</v>
      </c>
      <c r="AV34" s="561">
        <f>CHOOSE(uxb_works!$B$46,Scores_2014_O!AV34,Scores_2014_N!AV34,Scores_2017!AV34)</f>
        <v>95.5</v>
      </c>
      <c r="AW34" s="561">
        <f>CHOOSE(uxb_works!$B$46,Scores_2014_O!AW34,Scores_2014_N!AW34,Scores_2017!AW34)</f>
        <v>63.5</v>
      </c>
      <c r="AX34" s="561">
        <f>CHOOSE(uxb_works!$B$46,Scores_2014_O!AX34,Scores_2014_N!AX34,Scores_2017!AX34)</f>
        <v>89.5</v>
      </c>
      <c r="AY34" s="561">
        <f>CHOOSE(uxb_works!$B$46,Scores_2014_O!AY34,Scores_2014_N!AY34,Scores_2017!AY34)</f>
        <v>83.5</v>
      </c>
      <c r="AZ34" s="561">
        <f>CHOOSE(uxb_works!$B$46,Scores_2014_O!AZ34,Scores_2014_N!AZ34,Scores_2017!AZ34)</f>
        <v>32.5</v>
      </c>
      <c r="BA34" s="561">
        <f>CHOOSE(uxb_works!$B$46,Scores_2014_O!BA34,Scores_2014_N!BA34,Scores_2017!BA34)</f>
        <v>90.5</v>
      </c>
      <c r="BB34" s="561">
        <f>CHOOSE(uxb_works!$B$46,Scores_2014_O!BB34,Scores_2014_N!BB34,Scores_2017!BB34)</f>
        <v>96.5</v>
      </c>
      <c r="BC34" s="561">
        <f>CHOOSE(uxb_works!$B$46,Scores_2014_O!BC34,Scores_2014_N!BC34,Scores_2017!BC34)</f>
        <v>92.5</v>
      </c>
      <c r="BD34" s="561">
        <f>CHOOSE(uxb_works!$B$46,Scores_2014_O!BD34,Scores_2014_N!BD34,Scores_2017!BD34)</f>
        <v>41</v>
      </c>
      <c r="BE34" s="561">
        <f>CHOOSE(uxb_works!$B$46,Scores_2014_O!BE34,Scores_2014_N!BE34,Scores_2017!BE34)</f>
        <v>79</v>
      </c>
      <c r="BF34" s="561">
        <f>CHOOSE(uxb_works!$B$46,Scores_2014_O!BF34,Scores_2014_N!BF34,Scores_2017!BF34)</f>
        <v>37</v>
      </c>
      <c r="BG34" s="561">
        <f>CHOOSE(uxb_works!$B$46,Scores_2014_O!BG34,Scores_2014_N!BG34,Scores_2017!BG34)</f>
        <v>94.5</v>
      </c>
      <c r="BH34" s="561">
        <f>CHOOSE(uxb_works!$B$46,Scores_2014_O!BH34,Scores_2014_N!BH34,Scores_2017!BH34)</f>
        <v>90.5</v>
      </c>
      <c r="BI34" s="561">
        <f>CHOOSE(uxb_works!$B$46,Scores_2014_O!BI34,Scores_2014_N!BI34,Scores_2017!BI34)</f>
        <v>84</v>
      </c>
      <c r="BJ34" s="561">
        <f>CHOOSE(uxb_works!$B$46,Scores_2014_O!BJ34,Scores_2014_N!BJ34,Scores_2017!BJ34)</f>
        <v>79</v>
      </c>
      <c r="BK34" s="561">
        <f>CHOOSE(uxb_works!$B$46,Scores_2014_O!BK34,Scores_2014_N!BK34,Scores_2017!BK34)</f>
        <v>89.5</v>
      </c>
      <c r="BL34" s="561">
        <f>CHOOSE(uxb_works!$B$46,Scores_2014_O!BL34,Scores_2014_N!BL34,Scores_2017!BL34)</f>
        <v>70.5</v>
      </c>
      <c r="BM34" s="561">
        <f>CHOOSE(uxb_works!$B$46,Scores_2014_O!BM34,Scores_2014_N!BM34,Scores_2017!BM34)</f>
        <v>96.5</v>
      </c>
      <c r="BN34" s="561">
        <f>CHOOSE(uxb_works!$B$46,Scores_2014_O!BN34,Scores_2014_N!BN34,Scores_2017!BN34)</f>
        <v>95</v>
      </c>
      <c r="BO34" s="561">
        <f>CHOOSE(uxb_works!$B$46,Scores_2014_O!BO34,Scores_2014_N!BO34,Scores_2017!BO34)</f>
        <v>95.5</v>
      </c>
      <c r="BP34" s="561">
        <f>CHOOSE(uxb_works!$B$46,Scores_2014_O!BP34,Scores_2014_N!BP34,Scores_2017!BP34)</f>
        <v>80.5</v>
      </c>
      <c r="BQ34" s="561">
        <f>CHOOSE(uxb_works!$B$46,Scores_2014_O!BQ34,Scores_2014_N!BQ34,Scores_2017!BQ34)</f>
        <v>68.5</v>
      </c>
      <c r="BR34" s="561">
        <f>CHOOSE(uxb_works!$B$46,Scores_2014_O!BR34,Scores_2014_N!BR34,Scores_2017!BR34)</f>
        <v>96.5</v>
      </c>
      <c r="BS34" s="561">
        <f>CHOOSE(uxb_works!$B$46,Scores_2014_O!BS34,Scores_2014_N!BS34,Scores_2017!BS34)</f>
        <v>90.5</v>
      </c>
      <c r="BT34" s="561">
        <f>CHOOSE(uxb_works!$B$46,Scores_2014_O!BT34,Scores_2014_N!BT34,Scores_2017!BT34)</f>
        <v>90.5</v>
      </c>
      <c r="BU34" s="561">
        <f>CHOOSE(uxb_works!$B$46,Scores_2014_O!BU34,Scores_2014_N!BU34,Scores_2017!BU34)</f>
        <v>97.5</v>
      </c>
      <c r="BV34" s="561">
        <f>CHOOSE(uxb_works!$B$46,Scores_2014_O!BV34,Scores_2014_N!BV34,Scores_2017!BV34)</f>
        <v>30</v>
      </c>
      <c r="BW34" s="561">
        <f>CHOOSE(uxb_works!$B$46,Scores_2014_O!BW34,Scores_2014_N!BW34,Scores_2017!BW34)</f>
        <v>95</v>
      </c>
      <c r="BX34" s="561">
        <f>CHOOSE(uxb_works!$B$46,Scores_2014_O!BX34,Scores_2014_N!BX34,Scores_2017!BX34)</f>
        <v>96.5</v>
      </c>
      <c r="BY34"/>
      <c r="BZ34" s="214"/>
      <c r="CA34" s="21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row>
    <row r="35" s="69" customFormat="1" ht="24.95" customHeight="1" spans="1:130">
      <c r="A35"/>
      <c r="B35" s="92">
        <f>tblIndicators!A31</f>
        <v>30</v>
      </c>
      <c r="C35" s="92"/>
      <c r="D35" s="92"/>
      <c r="E35" s="92"/>
      <c r="F35" s="92">
        <f>CHOOSE(uxb_works!$B$46,Scores_2014_O!F35,Scores_2014_N!F35,Scores_2017!F35)</f>
        <v>3</v>
      </c>
      <c r="G35" s="92"/>
      <c r="H35" s="92"/>
      <c r="I35" s="104"/>
      <c r="J35" s="92"/>
      <c r="K35" s="92"/>
      <c r="L35" s="165"/>
      <c r="M35" s="92"/>
      <c r="N35" s="105" t="str">
        <f>REPT(" ",F35)&amp;CHOOSE(uxb_works!$B$46,Scores_2014_O!N35,Scores_2014_N!N35,Scores_2017!N35)</f>
        <v>      3.1.1) Enforcement of transport safety</v>
      </c>
      <c r="O35" s="556">
        <f>CHOOSE(uxb_works!$B$46,Scores_2014_O!O35,Scores_2014_N!O35,Scores_2017!O35)</f>
        <v>0.2</v>
      </c>
      <c r="P35" s="557">
        <f>CHOOSE(uxb_works!$B$46,Scores_2014_O!P35,Scores_2014_N!P35,Scores_2017!P35)</f>
        <v>100</v>
      </c>
      <c r="Q35" s="561">
        <f>CHOOSE(uxb_works!$B$46,Scores_2014_O!Q35,Scores_2014_N!Q35,Scores_2017!Q35)</f>
        <v>70</v>
      </c>
      <c r="R35" s="561">
        <f>CHOOSE(uxb_works!$B$46,Scores_2014_O!R35,Scores_2014_N!R35,Scores_2017!R35)</f>
        <v>60</v>
      </c>
      <c r="S35" s="561">
        <f>CHOOSE(uxb_works!$B$46,Scores_2014_O!S35,Scores_2014_N!S35,Scores_2017!S35)</f>
        <v>52.5</v>
      </c>
      <c r="T35" s="561">
        <f>CHOOSE(uxb_works!$B$46,Scores_2014_O!T35,Scores_2014_N!T35,Scores_2017!T35)</f>
        <v>82.5</v>
      </c>
      <c r="U35" s="561">
        <f>CHOOSE(uxb_works!$B$46,Scores_2014_O!U35,Scores_2014_N!U35,Scores_2017!U35)</f>
        <v>77.5</v>
      </c>
      <c r="V35" s="561">
        <f>CHOOSE(uxb_works!$B$46,Scores_2014_O!V35,Scores_2014_N!V35,Scores_2017!V35)</f>
        <v>40</v>
      </c>
      <c r="W35" s="561">
        <f>CHOOSE(uxb_works!$B$46,Scores_2014_O!W35,Scores_2014_N!W35,Scores_2017!W35)</f>
        <v>67.5</v>
      </c>
      <c r="X35" s="561">
        <f>CHOOSE(uxb_works!$B$46,Scores_2014_O!X35,Scores_2014_N!X35,Scores_2017!X35)</f>
        <v>62.5</v>
      </c>
      <c r="Y35" s="561">
        <f>CHOOSE(uxb_works!$B$46,Scores_2014_O!Z35,Scores_2014_N!Y35,Scores_2017!Y35)</f>
        <v>60</v>
      </c>
      <c r="Z35" s="561">
        <f>CHOOSE(uxb_works!$B$46,Scores_2014_O!AA35,Scores_2014_N!Z35,Scores_2017!Z35)</f>
        <v>40</v>
      </c>
      <c r="AA35" s="561">
        <f>CHOOSE(uxb_works!$B$46,Scores_2014_O!AB35,Scores_2014_N!AA35,Scores_2017!AA35)</f>
        <v>57.5</v>
      </c>
      <c r="AB35" s="561">
        <f>CHOOSE(uxb_works!$B$46,Scores_2014_O!AC35,Scores_2014_N!AB35,Scores_2017!AB35)</f>
        <v>77.5</v>
      </c>
      <c r="AC35" s="561">
        <f>CHOOSE(uxb_works!$B$46,Scores_2014_O!AD35,Scores_2014_N!AC35,Scores_2017!AC35)</f>
        <v>77.5</v>
      </c>
      <c r="AD35" s="561">
        <f>CHOOSE(uxb_works!$B$46,Scores_2014_O!AE35,Scores_2014_N!AD35,Scores_2017!AD35)</f>
        <v>37.5</v>
      </c>
      <c r="AE35" s="561">
        <f>CHOOSE(uxb_works!$B$46,Scores_2014_O!AF35,Scores_2014_N!AE35,Scores_2017!AE35)</f>
        <v>30</v>
      </c>
      <c r="AF35" s="561">
        <f>CHOOSE(uxb_works!$B$46,Scores_2014_O!AG35,Scores_2014_N!AF35,Scores_2017!AF35)</f>
        <v>77.5</v>
      </c>
      <c r="AG35" s="561">
        <f>CHOOSE(uxb_works!$B$46,Scores_2014_O!AH35,Scores_2014_N!AG35,Scores_2017!AG35)</f>
        <v>75</v>
      </c>
      <c r="AH35" s="561">
        <f>CHOOSE(uxb_works!$B$46,Scores_2014_O!AI35,Scores_2014_N!AH35,Scores_2017!AH35)</f>
        <v>65</v>
      </c>
      <c r="AI35" s="561">
        <f>CHOOSE(uxb_works!$B$46,Scores_2014_O!AJ35,Scores_2014_N!AI35,Scores_2017!AI35)</f>
        <v>77.5</v>
      </c>
      <c r="AJ35" s="561">
        <f>CHOOSE(uxb_works!$B$46,Scores_2014_O!AK35,Scores_2014_N!AJ35,Scores_2017!AJ35)</f>
        <v>30</v>
      </c>
      <c r="AK35" s="561">
        <f>CHOOSE(uxb_works!$B$46,Scores_2014_O!AL35,Scores_2014_N!AK35,Scores_2017!AK35)</f>
        <v>65</v>
      </c>
      <c r="AL35" s="561">
        <f>CHOOSE(uxb_works!$B$46,Scores_2014_O!AM35,Scores_2014_N!AL35,Scores_2017!AL35)</f>
        <v>60</v>
      </c>
      <c r="AM35" s="561">
        <f>CHOOSE(uxb_works!$B$46,Scores_2014_O!AN35,Scores_2014_N!AM35,Scores_2017!AM35)</f>
        <v>35</v>
      </c>
      <c r="AN35" s="561">
        <f>CHOOSE(uxb_works!$B$46,Scores_2014_O!AO35,Scores_2014_N!AN35,Scores_2017!AN35)</f>
        <v>30</v>
      </c>
      <c r="AO35" s="561">
        <f>CHOOSE(uxb_works!$B$46,Scores_2014_O!AP35,Scores_2014_N!AO35,Scores_2017!AO35)</f>
        <v>50</v>
      </c>
      <c r="AP35" s="561">
        <f>CHOOSE(uxb_works!$B$46,Scores_2014_O!AQ35,Scores_2014_N!AP35,Scores_2017!AP35)</f>
        <v>62.5</v>
      </c>
      <c r="AQ35" s="561">
        <f>CHOOSE(uxb_works!$B$46,Scores_2014_O!Y35,Scores_2014_N!AQ35,Scores_2017!AQ35)</f>
        <v>37.5</v>
      </c>
      <c r="AR35" s="561">
        <f>CHOOSE(uxb_works!$B$46,Scores_2014_O!AR35,Scores_2014_N!AR35,Scores_2017!AR35)</f>
        <v>87.5</v>
      </c>
      <c r="AS35" s="561">
        <f>CHOOSE(uxb_works!$B$46,Scores_2014_O!AS35,Scores_2014_N!AS35,Scores_2017!AS35)</f>
        <v>77.5</v>
      </c>
      <c r="AT35" s="561">
        <f>CHOOSE(uxb_works!$B$46,Scores_2014_O!AT35,Scores_2014_N!AT35,Scores_2017!AT35)</f>
        <v>82.5</v>
      </c>
      <c r="AU35" s="561">
        <f>CHOOSE(uxb_works!$B$46,Scores_2014_O!AU35,Scores_2014_N!AU35,Scores_2017!AU35)</f>
        <v>42.5</v>
      </c>
      <c r="AV35" s="561">
        <f>CHOOSE(uxb_works!$B$46,Scores_2014_O!AV35,Scores_2014_N!AV35,Scores_2017!AV35)</f>
        <v>77.5</v>
      </c>
      <c r="AW35" s="561">
        <f>CHOOSE(uxb_works!$B$46,Scores_2014_O!AW35,Scores_2014_N!AW35,Scores_2017!AW35)</f>
        <v>42.5</v>
      </c>
      <c r="AX35" s="561">
        <f>CHOOSE(uxb_works!$B$46,Scores_2014_O!AX35,Scores_2014_N!AX35,Scores_2017!AX35)</f>
        <v>72.5</v>
      </c>
      <c r="AY35" s="561">
        <f>CHOOSE(uxb_works!$B$46,Scores_2014_O!AY35,Scores_2014_N!AY35,Scores_2017!AY35)</f>
        <v>67.5</v>
      </c>
      <c r="AZ35" s="561">
        <f>CHOOSE(uxb_works!$B$46,Scores_2014_O!AZ35,Scores_2014_N!AZ35,Scores_2017!AZ35)</f>
        <v>37.5</v>
      </c>
      <c r="BA35" s="561">
        <f>CHOOSE(uxb_works!$B$46,Scores_2014_O!BA35,Scores_2014_N!BA35,Scores_2017!BA35)</f>
        <v>77.5</v>
      </c>
      <c r="BB35" s="561">
        <f>CHOOSE(uxb_works!$B$46,Scores_2014_O!BB35,Scores_2014_N!BB35,Scores_2017!BB35)</f>
        <v>82.5</v>
      </c>
      <c r="BC35" s="561">
        <f>CHOOSE(uxb_works!$B$46,Scores_2014_O!BC35,Scores_2014_N!BC35,Scores_2017!BC35)</f>
        <v>87.5</v>
      </c>
      <c r="BD35" s="561">
        <f>CHOOSE(uxb_works!$B$46,Scores_2014_O!BD35,Scores_2014_N!BD35,Scores_2017!BD35)</f>
        <v>55</v>
      </c>
      <c r="BE35" s="561">
        <f>CHOOSE(uxb_works!$B$46,Scores_2014_O!BE35,Scores_2014_N!BE35,Scores_2017!BE35)</f>
        <v>70</v>
      </c>
      <c r="BF35" s="561">
        <f>CHOOSE(uxb_works!$B$46,Scores_2014_O!BF35,Scores_2014_N!BF35,Scores_2017!BF35)</f>
        <v>60</v>
      </c>
      <c r="BG35" s="561">
        <f>CHOOSE(uxb_works!$B$46,Scores_2014_O!BG35,Scores_2014_N!BG35,Scores_2017!BG35)</f>
        <v>72.5</v>
      </c>
      <c r="BH35" s="561">
        <f>CHOOSE(uxb_works!$B$46,Scores_2014_O!BH35,Scores_2014_N!BH35,Scores_2017!BH35)</f>
        <v>77.5</v>
      </c>
      <c r="BI35" s="561">
        <f>CHOOSE(uxb_works!$B$46,Scores_2014_O!BI35,Scores_2014_N!BI35,Scores_2017!BI35)</f>
        <v>45</v>
      </c>
      <c r="BJ35" s="561">
        <f>CHOOSE(uxb_works!$B$46,Scores_2014_O!BJ35,Scores_2014_N!BJ35,Scores_2017!BJ35)</f>
        <v>70</v>
      </c>
      <c r="BK35" s="561">
        <f>CHOOSE(uxb_works!$B$46,Scores_2014_O!BK35,Scores_2014_N!BK35,Scores_2017!BK35)</f>
        <v>72.5</v>
      </c>
      <c r="BL35" s="561">
        <f>CHOOSE(uxb_works!$B$46,Scores_2014_O!BL35,Scores_2014_N!BL35,Scores_2017!BL35)</f>
        <v>77.5</v>
      </c>
      <c r="BM35" s="561">
        <f>CHOOSE(uxb_works!$B$46,Scores_2014_O!BM35,Scores_2014_N!BM35,Scores_2017!BM35)</f>
        <v>82.5</v>
      </c>
      <c r="BN35" s="561">
        <f>CHOOSE(uxb_works!$B$46,Scores_2014_O!BN35,Scores_2014_N!BN35,Scores_2017!BN35)</f>
        <v>75</v>
      </c>
      <c r="BO35" s="561">
        <f>CHOOSE(uxb_works!$B$46,Scores_2014_O!BO35,Scores_2014_N!BO35,Scores_2017!BO35)</f>
        <v>77.5</v>
      </c>
      <c r="BP35" s="561">
        <f>CHOOSE(uxb_works!$B$46,Scores_2014_O!BP35,Scores_2014_N!BP35,Scores_2017!BP35)</f>
        <v>77.5</v>
      </c>
      <c r="BQ35" s="561">
        <f>CHOOSE(uxb_works!$B$46,Scores_2014_O!BQ35,Scores_2014_N!BQ35,Scores_2017!BQ35)</f>
        <v>67.5</v>
      </c>
      <c r="BR35" s="561">
        <f>CHOOSE(uxb_works!$B$46,Scores_2014_O!BR35,Scores_2014_N!BR35,Scores_2017!BR35)</f>
        <v>82.5</v>
      </c>
      <c r="BS35" s="561">
        <f>CHOOSE(uxb_works!$B$46,Scores_2014_O!BS35,Scores_2014_N!BS35,Scores_2017!BS35)</f>
        <v>77.5</v>
      </c>
      <c r="BT35" s="561">
        <f>CHOOSE(uxb_works!$B$46,Scores_2014_O!BT35,Scores_2014_N!BT35,Scores_2017!BT35)</f>
        <v>77.5</v>
      </c>
      <c r="BU35" s="561">
        <f>CHOOSE(uxb_works!$B$46,Scores_2014_O!BU35,Scores_2014_N!BU35,Scores_2017!BU35)</f>
        <v>87.5</v>
      </c>
      <c r="BV35" s="561">
        <f>CHOOSE(uxb_works!$B$46,Scores_2014_O!BV35,Scores_2014_N!BV35,Scores_2017!BV35)</f>
        <v>50</v>
      </c>
      <c r="BW35" s="561">
        <f>CHOOSE(uxb_works!$B$46,Scores_2014_O!BW35,Scores_2014_N!BW35,Scores_2017!BW35)</f>
        <v>75</v>
      </c>
      <c r="BX35" s="561">
        <f>CHOOSE(uxb_works!$B$46,Scores_2014_O!BX35,Scores_2014_N!BX35,Scores_2017!BX35)</f>
        <v>82.5</v>
      </c>
      <c r="BY35"/>
      <c r="BZ35" s="214"/>
      <c r="CA35" s="214"/>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row>
    <row r="36" s="69" customFormat="1" ht="24.95" customHeight="1" spans="1:130">
      <c r="A36"/>
      <c r="B36" s="92">
        <f>tblIndicators!A32</f>
        <v>31</v>
      </c>
      <c r="C36" s="92"/>
      <c r="D36" s="92"/>
      <c r="E36" s="92"/>
      <c r="F36" s="92">
        <f>CHOOSE(uxb_works!$B$46,Scores_2014_O!F36,Scores_2014_N!F36,Scores_2017!F36)</f>
        <v>3</v>
      </c>
      <c r="G36" s="92"/>
      <c r="H36" s="92"/>
      <c r="I36" s="104"/>
      <c r="J36" s="92"/>
      <c r="K36" s="92"/>
      <c r="L36" s="165"/>
      <c r="M36" s="92"/>
      <c r="N36" s="105" t="str">
        <f>REPT(" ",F36)&amp;CHOOSE(uxb_works!$B$46,Scores_2014_O!N36,Scores_2014_N!N36,Scores_2017!N36)</f>
        <v>      3.1.2) Pedestrian friendliness</v>
      </c>
      <c r="O36" s="556">
        <f>CHOOSE(uxb_works!$B$46,Scores_2014_O!O36,Scores_2014_N!O36,Scores_2017!O36)</f>
        <v>0.2</v>
      </c>
      <c r="P36" s="557">
        <f>CHOOSE(uxb_works!$B$46,Scores_2014_O!P36,Scores_2014_N!P36,Scores_2017!P36)</f>
        <v>100</v>
      </c>
      <c r="Q36" s="561">
        <f>CHOOSE(uxb_works!$B$46,Scores_2014_O!Q36,Scores_2014_N!Q36,Scores_2017!Q36)</f>
        <v>100</v>
      </c>
      <c r="R36" s="561">
        <f>CHOOSE(uxb_works!$B$46,Scores_2014_O!R36,Scores_2014_N!R36,Scores_2017!R36)</f>
        <v>100</v>
      </c>
      <c r="S36" s="561">
        <f>CHOOSE(uxb_works!$B$46,Scores_2014_O!S36,Scores_2014_N!S36,Scores_2017!S36)</f>
        <v>50</v>
      </c>
      <c r="T36" s="561">
        <f>CHOOSE(uxb_works!$B$46,Scores_2014_O!T36,Scores_2014_N!T36,Scores_2017!T36)</f>
        <v>100</v>
      </c>
      <c r="U36" s="561">
        <f>CHOOSE(uxb_works!$B$46,Scores_2014_O!U36,Scores_2014_N!U36,Scores_2017!U36)</f>
        <v>50</v>
      </c>
      <c r="V36" s="561">
        <f>CHOOSE(uxb_works!$B$46,Scores_2014_O!V36,Scores_2014_N!V36,Scores_2017!V36)</f>
        <v>100</v>
      </c>
      <c r="W36" s="561">
        <f>CHOOSE(uxb_works!$B$46,Scores_2014_O!W36,Scores_2014_N!W36,Scores_2017!W36)</f>
        <v>100</v>
      </c>
      <c r="X36" s="561">
        <f>CHOOSE(uxb_works!$B$46,Scores_2014_O!X36,Scores_2014_N!X36,Scores_2017!X36)</f>
        <v>100</v>
      </c>
      <c r="Y36" s="561">
        <f>CHOOSE(uxb_works!$B$46,Scores_2014_O!Z36,Scores_2014_N!Y36,Scores_2017!Y36)</f>
        <v>50</v>
      </c>
      <c r="Z36" s="561">
        <f>CHOOSE(uxb_works!$B$46,Scores_2014_O!AA36,Scores_2014_N!Z36,Scores_2017!Z36)</f>
        <v>0</v>
      </c>
      <c r="AA36" s="561">
        <f>CHOOSE(uxb_works!$B$46,Scores_2014_O!AB36,Scores_2014_N!AA36,Scores_2017!AA36)</f>
        <v>0</v>
      </c>
      <c r="AB36" s="561">
        <f>CHOOSE(uxb_works!$B$46,Scores_2014_O!AC36,Scores_2014_N!AB36,Scores_2017!AB36)</f>
        <v>100</v>
      </c>
      <c r="AC36" s="561">
        <f>CHOOSE(uxb_works!$B$46,Scores_2014_O!AD36,Scores_2014_N!AC36,Scores_2017!AC36)</f>
        <v>50</v>
      </c>
      <c r="AD36" s="561">
        <f>CHOOSE(uxb_works!$B$46,Scores_2014_O!AE36,Scores_2014_N!AD36,Scores_2017!AD36)</f>
        <v>0</v>
      </c>
      <c r="AE36" s="561">
        <f>CHOOSE(uxb_works!$B$46,Scores_2014_O!AF36,Scores_2014_N!AE36,Scores_2017!AE36)</f>
        <v>0</v>
      </c>
      <c r="AF36" s="561">
        <f>CHOOSE(uxb_works!$B$46,Scores_2014_O!AG36,Scores_2014_N!AF36,Scores_2017!AF36)</f>
        <v>50</v>
      </c>
      <c r="AG36" s="561">
        <f>CHOOSE(uxb_works!$B$46,Scores_2014_O!AH36,Scores_2014_N!AG36,Scores_2017!AG36)</f>
        <v>100</v>
      </c>
      <c r="AH36" s="561">
        <f>CHOOSE(uxb_works!$B$46,Scores_2014_O!AI36,Scores_2014_N!AH36,Scores_2017!AH36)</f>
        <v>50</v>
      </c>
      <c r="AI36" s="561">
        <f>CHOOSE(uxb_works!$B$46,Scores_2014_O!AJ36,Scores_2014_N!AI36,Scores_2017!AI36)</f>
        <v>100</v>
      </c>
      <c r="AJ36" s="561">
        <f>CHOOSE(uxb_works!$B$46,Scores_2014_O!AK36,Scores_2014_N!AJ36,Scores_2017!AJ36)</f>
        <v>100</v>
      </c>
      <c r="AK36" s="561">
        <f>CHOOSE(uxb_works!$B$46,Scores_2014_O!AL36,Scores_2014_N!AK36,Scores_2017!AK36)</f>
        <v>0</v>
      </c>
      <c r="AL36" s="561">
        <f>CHOOSE(uxb_works!$B$46,Scores_2014_O!AM36,Scores_2014_N!AL36,Scores_2017!AL36)</f>
        <v>0</v>
      </c>
      <c r="AM36" s="561">
        <f>CHOOSE(uxb_works!$B$46,Scores_2014_O!AN36,Scores_2014_N!AM36,Scores_2017!AM36)</f>
        <v>50</v>
      </c>
      <c r="AN36" s="561">
        <f>CHOOSE(uxb_works!$B$46,Scores_2014_O!AO36,Scores_2014_N!AN36,Scores_2017!AN36)</f>
        <v>50</v>
      </c>
      <c r="AO36" s="561">
        <f>CHOOSE(uxb_works!$B$46,Scores_2014_O!AP36,Scores_2014_N!AO36,Scores_2017!AO36)</f>
        <v>50</v>
      </c>
      <c r="AP36" s="561">
        <f>CHOOSE(uxb_works!$B$46,Scores_2014_O!AQ36,Scores_2014_N!AP36,Scores_2017!AP36)</f>
        <v>50</v>
      </c>
      <c r="AQ36" s="561">
        <f>CHOOSE(uxb_works!$B$46,Scores_2014_O!Y36,Scores_2014_N!AQ36,Scores_2017!AQ36)</f>
        <v>0</v>
      </c>
      <c r="AR36" s="561">
        <f>CHOOSE(uxb_works!$B$46,Scores_2014_O!AR36,Scores_2014_N!AR36,Scores_2017!AR36)</f>
        <v>100</v>
      </c>
      <c r="AS36" s="561">
        <f>CHOOSE(uxb_works!$B$46,Scores_2014_O!AS36,Scores_2014_N!AS36,Scores_2017!AS36)</f>
        <v>100</v>
      </c>
      <c r="AT36" s="561">
        <f>CHOOSE(uxb_works!$B$46,Scores_2014_O!AT36,Scores_2014_N!AT36,Scores_2017!AT36)</f>
        <v>100</v>
      </c>
      <c r="AU36" s="561">
        <f>CHOOSE(uxb_works!$B$46,Scores_2014_O!AU36,Scores_2014_N!AU36,Scores_2017!AU36)</f>
        <v>50</v>
      </c>
      <c r="AV36" s="561">
        <f>CHOOSE(uxb_works!$B$46,Scores_2014_O!AV36,Scores_2014_N!AV36,Scores_2017!AV36)</f>
        <v>100</v>
      </c>
      <c r="AW36" s="561">
        <f>CHOOSE(uxb_works!$B$46,Scores_2014_O!AW36,Scores_2014_N!AW36,Scores_2017!AW36)</f>
        <v>100</v>
      </c>
      <c r="AX36" s="561">
        <f>CHOOSE(uxb_works!$B$46,Scores_2014_O!AX36,Scores_2014_N!AX36,Scores_2017!AX36)</f>
        <v>100</v>
      </c>
      <c r="AY36" s="561">
        <f>CHOOSE(uxb_works!$B$46,Scores_2014_O!AY36,Scores_2014_N!AY36,Scores_2017!AY36)</f>
        <v>100</v>
      </c>
      <c r="AZ36" s="561">
        <f>CHOOSE(uxb_works!$B$46,Scores_2014_O!AZ36,Scores_2014_N!AZ36,Scores_2017!AZ36)</f>
        <v>0</v>
      </c>
      <c r="BA36" s="561">
        <f>CHOOSE(uxb_works!$B$46,Scores_2014_O!BA36,Scores_2014_N!BA36,Scores_2017!BA36)</f>
        <v>100</v>
      </c>
      <c r="BB36" s="561">
        <f>CHOOSE(uxb_works!$B$46,Scores_2014_O!BB36,Scores_2014_N!BB36,Scores_2017!BB36)</f>
        <v>100</v>
      </c>
      <c r="BC36" s="561">
        <f>CHOOSE(uxb_works!$B$46,Scores_2014_O!BC36,Scores_2014_N!BC36,Scores_2017!BC36)</f>
        <v>100</v>
      </c>
      <c r="BD36" s="561">
        <f>CHOOSE(uxb_works!$B$46,Scores_2014_O!BD36,Scores_2014_N!BD36,Scores_2017!BD36)</f>
        <v>0</v>
      </c>
      <c r="BE36" s="561">
        <f>CHOOSE(uxb_works!$B$46,Scores_2014_O!BE36,Scores_2014_N!BE36,Scores_2017!BE36)</f>
        <v>100</v>
      </c>
      <c r="BF36" s="561">
        <f>CHOOSE(uxb_works!$B$46,Scores_2014_O!BF36,Scores_2014_N!BF36,Scores_2017!BF36)</f>
        <v>0</v>
      </c>
      <c r="BG36" s="561">
        <f>CHOOSE(uxb_works!$B$46,Scores_2014_O!BG36,Scores_2014_N!BG36,Scores_2017!BG36)</f>
        <v>100</v>
      </c>
      <c r="BH36" s="561">
        <f>CHOOSE(uxb_works!$B$46,Scores_2014_O!BH36,Scores_2014_N!BH36,Scores_2017!BH36)</f>
        <v>100</v>
      </c>
      <c r="BI36" s="561">
        <f>CHOOSE(uxb_works!$B$46,Scores_2014_O!BI36,Scores_2014_N!BI36,Scores_2017!BI36)</f>
        <v>100</v>
      </c>
      <c r="BJ36" s="561">
        <f>CHOOSE(uxb_works!$B$46,Scores_2014_O!BJ36,Scores_2014_N!BJ36,Scores_2017!BJ36)</f>
        <v>100</v>
      </c>
      <c r="BK36" s="561">
        <f>CHOOSE(uxb_works!$B$46,Scores_2014_O!BK36,Scores_2014_N!BK36,Scores_2017!BK36)</f>
        <v>100</v>
      </c>
      <c r="BL36" s="561">
        <f>CHOOSE(uxb_works!$B$46,Scores_2014_O!BL36,Scores_2014_N!BL36,Scores_2017!BL36)</f>
        <v>50</v>
      </c>
      <c r="BM36" s="561">
        <f>CHOOSE(uxb_works!$B$46,Scores_2014_O!BM36,Scores_2014_N!BM36,Scores_2017!BM36)</f>
        <v>100</v>
      </c>
      <c r="BN36" s="561">
        <f>CHOOSE(uxb_works!$B$46,Scores_2014_O!BN36,Scores_2014_N!BN36,Scores_2017!BN36)</f>
        <v>100</v>
      </c>
      <c r="BO36" s="561">
        <f>CHOOSE(uxb_works!$B$46,Scores_2014_O!BO36,Scores_2014_N!BO36,Scores_2017!BO36)</f>
        <v>100</v>
      </c>
      <c r="BP36" s="561">
        <f>CHOOSE(uxb_works!$B$46,Scores_2014_O!BP36,Scores_2014_N!BP36,Scores_2017!BP36)</f>
        <v>100</v>
      </c>
      <c r="BQ36" s="561">
        <f>CHOOSE(uxb_works!$B$46,Scores_2014_O!BQ36,Scores_2014_N!BQ36,Scores_2017!BQ36)</f>
        <v>100</v>
      </c>
      <c r="BR36" s="561">
        <f>CHOOSE(uxb_works!$B$46,Scores_2014_O!BR36,Scores_2014_N!BR36,Scores_2017!BR36)</f>
        <v>100</v>
      </c>
      <c r="BS36" s="561">
        <f>CHOOSE(uxb_works!$B$46,Scores_2014_O!BS36,Scores_2014_N!BS36,Scores_2017!BS36)</f>
        <v>100</v>
      </c>
      <c r="BT36" s="561">
        <f>CHOOSE(uxb_works!$B$46,Scores_2014_O!BT36,Scores_2014_N!BT36,Scores_2017!BT36)</f>
        <v>100</v>
      </c>
      <c r="BU36" s="561">
        <f>CHOOSE(uxb_works!$B$46,Scores_2014_O!BU36,Scores_2014_N!BU36,Scores_2017!BU36)</f>
        <v>100</v>
      </c>
      <c r="BV36" s="561">
        <f>CHOOSE(uxb_works!$B$46,Scores_2014_O!BV36,Scores_2014_N!BV36,Scores_2017!BV36)</f>
        <v>0</v>
      </c>
      <c r="BW36" s="561">
        <f>CHOOSE(uxb_works!$B$46,Scores_2014_O!BW36,Scores_2014_N!BW36,Scores_2017!BW36)</f>
        <v>100</v>
      </c>
      <c r="BX36" s="561">
        <f>CHOOSE(uxb_works!$B$46,Scores_2014_O!BX36,Scores_2014_N!BX36,Scores_2017!BX36)</f>
        <v>100</v>
      </c>
      <c r="BY36"/>
      <c r="BZ36" s="214"/>
      <c r="CA36" s="214"/>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row>
    <row r="37" s="69" customFormat="1" ht="24.95" customHeight="1" spans="1:130">
      <c r="A37"/>
      <c r="B37" s="92">
        <f>tblIndicators!A33</f>
        <v>32</v>
      </c>
      <c r="C37" s="92"/>
      <c r="D37" s="92"/>
      <c r="E37" s="92"/>
      <c r="F37" s="92">
        <f>CHOOSE(uxb_works!$B$46,Scores_2014_O!F37,Scores_2014_N!F37,Scores_2017!F37)</f>
        <v>3</v>
      </c>
      <c r="G37" s="92"/>
      <c r="H37" s="92"/>
      <c r="I37" s="104"/>
      <c r="J37" s="92"/>
      <c r="K37" s="92"/>
      <c r="L37" s="165"/>
      <c r="M37" s="92"/>
      <c r="N37" s="105" t="str">
        <f>REPT(" ",F37)&amp;CHOOSE(uxb_works!$B$46,Scores_2014_O!N37,Scores_2014_N!N37,Scores_2017!N37)</f>
        <v>      3.1.3) Quality of road infrastructure</v>
      </c>
      <c r="O37" s="556">
        <f>CHOOSE(uxb_works!$B$46,Scores_2014_O!O37,Scores_2014_N!O37,Scores_2017!O37)</f>
        <v>0.2</v>
      </c>
      <c r="P37" s="557">
        <f>CHOOSE(uxb_works!$B$46,Scores_2014_O!P37,Scores_2014_N!P37,Scores_2017!P37)</f>
        <v>100</v>
      </c>
      <c r="Q37" s="561">
        <f>CHOOSE(uxb_works!$B$46,Scores_2014_O!Q37,Scores_2014_N!Q37,Scores_2017!Q37)</f>
        <v>100</v>
      </c>
      <c r="R37" s="561">
        <f>CHOOSE(uxb_works!$B$46,Scores_2014_O!R37,Scores_2014_N!R37,Scores_2017!R37)</f>
        <v>50</v>
      </c>
      <c r="S37" s="561">
        <f>CHOOSE(uxb_works!$B$46,Scores_2014_O!S37,Scores_2014_N!S37,Scores_2017!S37)</f>
        <v>25</v>
      </c>
      <c r="T37" s="561">
        <f>CHOOSE(uxb_works!$B$46,Scores_2014_O!T37,Scores_2014_N!T37,Scores_2017!T37)</f>
        <v>100</v>
      </c>
      <c r="U37" s="561">
        <f>CHOOSE(uxb_works!$B$46,Scores_2014_O!U37,Scores_2014_N!U37,Scores_2017!U37)</f>
        <v>75</v>
      </c>
      <c r="V37" s="561">
        <f>CHOOSE(uxb_works!$B$46,Scores_2014_O!V37,Scores_2014_N!V37,Scores_2017!V37)</f>
        <v>50</v>
      </c>
      <c r="W37" s="561">
        <f>CHOOSE(uxb_works!$B$46,Scores_2014_O!W37,Scores_2014_N!W37,Scores_2017!W37)</f>
        <v>75</v>
      </c>
      <c r="X37" s="561">
        <f>CHOOSE(uxb_works!$B$46,Scores_2014_O!X37,Scores_2014_N!X37,Scores_2017!X37)</f>
        <v>75</v>
      </c>
      <c r="Y37" s="561">
        <f>CHOOSE(uxb_works!$B$46,Scores_2014_O!Z37,Scores_2014_N!Y37,Scores_2017!Y37)</f>
        <v>50</v>
      </c>
      <c r="Z37" s="561">
        <f>CHOOSE(uxb_works!$B$46,Scores_2014_O!AA37,Scores_2014_N!Z37,Scores_2017!Z37)</f>
        <v>50</v>
      </c>
      <c r="AA37" s="561">
        <f>CHOOSE(uxb_works!$B$46,Scores_2014_O!AB37,Scores_2014_N!AA37,Scores_2017!AA37)</f>
        <v>50</v>
      </c>
      <c r="AB37" s="561">
        <f>CHOOSE(uxb_works!$B$46,Scores_2014_O!AC37,Scores_2014_N!AB37,Scores_2017!AB37)</f>
        <v>75</v>
      </c>
      <c r="AC37" s="561">
        <f>CHOOSE(uxb_works!$B$46,Scores_2014_O!AD37,Scores_2014_N!AC37,Scores_2017!AC37)</f>
        <v>75</v>
      </c>
      <c r="AD37" s="561">
        <f>CHOOSE(uxb_works!$B$46,Scores_2014_O!AE37,Scores_2014_N!AD37,Scores_2017!AD37)</f>
        <v>50</v>
      </c>
      <c r="AE37" s="561">
        <f>CHOOSE(uxb_works!$B$46,Scores_2014_O!AF37,Scores_2014_N!AE37,Scores_2017!AE37)</f>
        <v>0</v>
      </c>
      <c r="AF37" s="561">
        <f>CHOOSE(uxb_works!$B$46,Scores_2014_O!AG37,Scores_2014_N!AF37,Scores_2017!AF37)</f>
        <v>75</v>
      </c>
      <c r="AG37" s="561">
        <f>CHOOSE(uxb_works!$B$46,Scores_2014_O!AH37,Scores_2014_N!AG37,Scores_2017!AG37)</f>
        <v>100</v>
      </c>
      <c r="AH37" s="561">
        <f>CHOOSE(uxb_works!$B$46,Scores_2014_O!AI37,Scores_2014_N!AH37,Scores_2017!AH37)</f>
        <v>25</v>
      </c>
      <c r="AI37" s="561">
        <f>CHOOSE(uxb_works!$B$46,Scores_2014_O!AJ37,Scores_2014_N!AI37,Scores_2017!AI37)</f>
        <v>100</v>
      </c>
      <c r="AJ37" s="561">
        <f>CHOOSE(uxb_works!$B$46,Scores_2014_O!AK37,Scores_2014_N!AJ37,Scores_2017!AJ37)</f>
        <v>50</v>
      </c>
      <c r="AK37" s="561">
        <f>CHOOSE(uxb_works!$B$46,Scores_2014_O!AL37,Scores_2014_N!AK37,Scores_2017!AK37)</f>
        <v>50</v>
      </c>
      <c r="AL37" s="561">
        <f>CHOOSE(uxb_works!$B$46,Scores_2014_O!AM37,Scores_2014_N!AL37,Scores_2017!AL37)</f>
        <v>75</v>
      </c>
      <c r="AM37" s="561">
        <f>CHOOSE(uxb_works!$B$46,Scores_2014_O!AN37,Scores_2014_N!AM37,Scores_2017!AM37)</f>
        <v>50</v>
      </c>
      <c r="AN37" s="561">
        <f>CHOOSE(uxb_works!$B$46,Scores_2014_O!AO37,Scores_2014_N!AN37,Scores_2017!AN37)</f>
        <v>25</v>
      </c>
      <c r="AO37" s="561">
        <f>CHOOSE(uxb_works!$B$46,Scores_2014_O!AP37,Scores_2014_N!AO37,Scores_2017!AO37)</f>
        <v>75</v>
      </c>
      <c r="AP37" s="561">
        <f>CHOOSE(uxb_works!$B$46,Scores_2014_O!AQ37,Scores_2014_N!AP37,Scores_2017!AP37)</f>
        <v>75</v>
      </c>
      <c r="AQ37" s="561">
        <f>CHOOSE(uxb_works!$B$46,Scores_2014_O!Y37,Scores_2014_N!AQ37,Scores_2017!AQ37)</f>
        <v>75</v>
      </c>
      <c r="AR37" s="561">
        <f>CHOOSE(uxb_works!$B$46,Scores_2014_O!AR37,Scores_2014_N!AR37,Scores_2017!AR37)</f>
        <v>75</v>
      </c>
      <c r="AS37" s="561">
        <f>CHOOSE(uxb_works!$B$46,Scores_2014_O!AS37,Scores_2014_N!AS37,Scores_2017!AS37)</f>
        <v>75</v>
      </c>
      <c r="AT37" s="561">
        <f>CHOOSE(uxb_works!$B$46,Scores_2014_O!AT37,Scores_2014_N!AT37,Scores_2017!AT37)</f>
        <v>100</v>
      </c>
      <c r="AU37" s="561">
        <f>CHOOSE(uxb_works!$B$46,Scores_2014_O!AU37,Scores_2014_N!AU37,Scores_2017!AU37)</f>
        <v>50</v>
      </c>
      <c r="AV37" s="561">
        <f>CHOOSE(uxb_works!$B$46,Scores_2014_O!AV37,Scores_2014_N!AV37,Scores_2017!AV37)</f>
        <v>100</v>
      </c>
      <c r="AW37" s="561">
        <f>CHOOSE(uxb_works!$B$46,Scores_2014_O!AW37,Scores_2014_N!AW37,Scores_2017!AW37)</f>
        <v>50</v>
      </c>
      <c r="AX37" s="561">
        <f>CHOOSE(uxb_works!$B$46,Scores_2014_O!AX37,Scores_2014_N!AX37,Scores_2017!AX37)</f>
        <v>75</v>
      </c>
      <c r="AY37" s="561">
        <f>CHOOSE(uxb_works!$B$46,Scores_2014_O!AY37,Scores_2014_N!AY37,Scores_2017!AY37)</f>
        <v>75</v>
      </c>
      <c r="AZ37" s="561">
        <f>CHOOSE(uxb_works!$B$46,Scores_2014_O!AZ37,Scores_2014_N!AZ37,Scores_2017!AZ37)</f>
        <v>0</v>
      </c>
      <c r="BA37" s="561">
        <f>CHOOSE(uxb_works!$B$46,Scores_2014_O!BA37,Scores_2014_N!BA37,Scores_2017!BA37)</f>
        <v>75</v>
      </c>
      <c r="BB37" s="561">
        <f>CHOOSE(uxb_works!$B$46,Scores_2014_O!BB37,Scores_2014_N!BB37,Scores_2017!BB37)</f>
        <v>100</v>
      </c>
      <c r="BC37" s="561">
        <f>CHOOSE(uxb_works!$B$46,Scores_2014_O!BC37,Scores_2014_N!BC37,Scores_2017!BC37)</f>
        <v>75</v>
      </c>
      <c r="BD37" s="561">
        <f>CHOOSE(uxb_works!$B$46,Scores_2014_O!BD37,Scores_2014_N!BD37,Scores_2017!BD37)</f>
        <v>50</v>
      </c>
      <c r="BE37" s="561">
        <f>CHOOSE(uxb_works!$B$46,Scores_2014_O!BE37,Scores_2014_N!BE37,Scores_2017!BE37)</f>
        <v>50</v>
      </c>
      <c r="BF37" s="561">
        <f>CHOOSE(uxb_works!$B$46,Scores_2014_O!BF37,Scores_2014_N!BF37,Scores_2017!BF37)</f>
        <v>50</v>
      </c>
      <c r="BG37" s="561">
        <f>CHOOSE(uxb_works!$B$46,Scores_2014_O!BG37,Scores_2014_N!BG37,Scores_2017!BG37)</f>
        <v>100</v>
      </c>
      <c r="BH37" s="561">
        <f>CHOOSE(uxb_works!$B$46,Scores_2014_O!BH37,Scores_2014_N!BH37,Scores_2017!BH37)</f>
        <v>75</v>
      </c>
      <c r="BI37" s="561">
        <f>CHOOSE(uxb_works!$B$46,Scores_2014_O!BI37,Scores_2014_N!BI37,Scores_2017!BI37)</f>
        <v>75</v>
      </c>
      <c r="BJ37" s="561">
        <f>CHOOSE(uxb_works!$B$46,Scores_2014_O!BJ37,Scores_2014_N!BJ37,Scores_2017!BJ37)</f>
        <v>75</v>
      </c>
      <c r="BK37" s="561">
        <f>CHOOSE(uxb_works!$B$46,Scores_2014_O!BK37,Scores_2014_N!BK37,Scores_2017!BK37)</f>
        <v>75</v>
      </c>
      <c r="BL37" s="561">
        <f>CHOOSE(uxb_works!$B$46,Scores_2014_O!BL37,Scores_2014_N!BL37,Scores_2017!BL37)</f>
        <v>75</v>
      </c>
      <c r="BM37" s="561">
        <f>CHOOSE(uxb_works!$B$46,Scores_2014_O!BM37,Scores_2014_N!BM37,Scores_2017!BM37)</f>
        <v>100</v>
      </c>
      <c r="BN37" s="561">
        <f>CHOOSE(uxb_works!$B$46,Scores_2014_O!BN37,Scores_2014_N!BN37,Scores_2017!BN37)</f>
        <v>100</v>
      </c>
      <c r="BO37" s="561">
        <f>CHOOSE(uxb_works!$B$46,Scores_2014_O!BO37,Scores_2014_N!BO37,Scores_2017!BO37)</f>
        <v>100</v>
      </c>
      <c r="BP37" s="561">
        <f>CHOOSE(uxb_works!$B$46,Scores_2014_O!BP37,Scores_2014_N!BP37,Scores_2017!BP37)</f>
        <v>75</v>
      </c>
      <c r="BQ37" s="561">
        <f>CHOOSE(uxb_works!$B$46,Scores_2014_O!BQ37,Scores_2014_N!BQ37,Scores_2017!BQ37)</f>
        <v>50</v>
      </c>
      <c r="BR37" s="561">
        <f>CHOOSE(uxb_works!$B$46,Scores_2014_O!BR37,Scores_2014_N!BR37,Scores_2017!BR37)</f>
        <v>100</v>
      </c>
      <c r="BS37" s="561">
        <f>CHOOSE(uxb_works!$B$46,Scores_2014_O!BS37,Scores_2014_N!BS37,Scores_2017!BS37)</f>
        <v>75</v>
      </c>
      <c r="BT37" s="561">
        <f>CHOOSE(uxb_works!$B$46,Scores_2014_O!BT37,Scores_2014_N!BT37,Scores_2017!BT37)</f>
        <v>75</v>
      </c>
      <c r="BU37" s="561">
        <f>CHOOSE(uxb_works!$B$46,Scores_2014_O!BU37,Scores_2014_N!BU37,Scores_2017!BU37)</f>
        <v>100</v>
      </c>
      <c r="BV37" s="561">
        <f>CHOOSE(uxb_works!$B$46,Scores_2014_O!BV37,Scores_2014_N!BV37,Scores_2017!BV37)</f>
        <v>25</v>
      </c>
      <c r="BW37" s="561">
        <f>CHOOSE(uxb_works!$B$46,Scores_2014_O!BW37,Scores_2014_N!BW37,Scores_2017!BW37)</f>
        <v>100</v>
      </c>
      <c r="BX37" s="561">
        <f>CHOOSE(uxb_works!$B$46,Scores_2014_O!BX37,Scores_2014_N!BX37,Scores_2017!BX37)</f>
        <v>100</v>
      </c>
      <c r="BY37"/>
      <c r="BZ37" s="214"/>
      <c r="CA37" s="214"/>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row>
    <row r="38" s="69" customFormat="1" ht="24.95" customHeight="1" spans="1:130">
      <c r="A38"/>
      <c r="B38" s="92">
        <f>tblIndicators!A34</f>
        <v>33</v>
      </c>
      <c r="C38" s="92"/>
      <c r="D38" s="92"/>
      <c r="E38" s="92"/>
      <c r="F38" s="92">
        <f>CHOOSE(uxb_works!$B$46,Scores_2014_O!F38,Scores_2014_N!F38,Scores_2017!F38)</f>
        <v>3</v>
      </c>
      <c r="G38" s="92"/>
      <c r="H38" s="92"/>
      <c r="I38" s="104"/>
      <c r="J38" s="92"/>
      <c r="K38" s="92"/>
      <c r="L38" s="165"/>
      <c r="M38" s="92"/>
      <c r="N38" s="105" t="str">
        <f>REPT(" ",F38)&amp;CHOOSE(uxb_works!$B$46,Scores_2014_O!N38,Scores_2014_N!N38,Scores_2017!N38)</f>
        <v>      3.1.4) Quality of electricity infrastructure</v>
      </c>
      <c r="O38" s="556">
        <f>CHOOSE(uxb_works!$B$46,Scores_2014_O!O38,Scores_2014_N!O38,Scores_2017!O38)</f>
        <v>0.2</v>
      </c>
      <c r="P38" s="557">
        <f>CHOOSE(uxb_works!$B$46,Scores_2014_O!P38,Scores_2014_N!P38,Scores_2017!P38)</f>
        <v>75</v>
      </c>
      <c r="Q38" s="561">
        <f>CHOOSE(uxb_works!$B$46,Scores_2014_O!Q38,Scores_2014_N!Q38,Scores_2017!Q38)</f>
        <v>100</v>
      </c>
      <c r="R38" s="561">
        <f>CHOOSE(uxb_works!$B$46,Scores_2014_O!R38,Scores_2014_N!R38,Scores_2017!R38)</f>
        <v>75</v>
      </c>
      <c r="S38" s="561">
        <f>CHOOSE(uxb_works!$B$46,Scores_2014_O!S38,Scores_2014_N!S38,Scores_2017!S38)</f>
        <v>100</v>
      </c>
      <c r="T38" s="561">
        <f>CHOOSE(uxb_works!$B$46,Scores_2014_O!T38,Scores_2014_N!T38,Scores_2017!T38)</f>
        <v>100</v>
      </c>
      <c r="U38" s="561">
        <f>CHOOSE(uxb_works!$B$46,Scores_2014_O!U38,Scores_2014_N!U38,Scores_2017!U38)</f>
        <v>100</v>
      </c>
      <c r="V38" s="561">
        <f>CHOOSE(uxb_works!$B$46,Scores_2014_O!V38,Scores_2014_N!V38,Scores_2017!V38)</f>
        <v>75</v>
      </c>
      <c r="W38" s="561">
        <f>CHOOSE(uxb_works!$B$46,Scores_2014_O!W38,Scores_2014_N!W38,Scores_2017!W38)</f>
        <v>100</v>
      </c>
      <c r="X38" s="561">
        <f>CHOOSE(uxb_works!$B$46,Scores_2014_O!X38,Scores_2014_N!X38,Scores_2017!X38)</f>
        <v>100</v>
      </c>
      <c r="Y38" s="561">
        <f>CHOOSE(uxb_works!$B$46,Scores_2014_O!Z38,Scores_2014_N!Y38,Scores_2017!Y38)</f>
        <v>75</v>
      </c>
      <c r="Z38" s="561">
        <f>CHOOSE(uxb_works!$B$46,Scores_2014_O!AA38,Scores_2014_N!Z38,Scores_2017!Z38)</f>
        <v>50</v>
      </c>
      <c r="AA38" s="561">
        <f>CHOOSE(uxb_works!$B$46,Scores_2014_O!AB38,Scores_2014_N!AA38,Scores_2017!AA38)</f>
        <v>75</v>
      </c>
      <c r="AB38" s="561">
        <f>CHOOSE(uxb_works!$B$46,Scores_2014_O!AC38,Scores_2014_N!AB38,Scores_2017!AB38)</f>
        <v>100</v>
      </c>
      <c r="AC38" s="561">
        <f>CHOOSE(uxb_works!$B$46,Scores_2014_O!AD38,Scores_2014_N!AC38,Scores_2017!AC38)</f>
        <v>100</v>
      </c>
      <c r="AD38" s="561">
        <f>CHOOSE(uxb_works!$B$46,Scores_2014_O!AE38,Scores_2014_N!AD38,Scores_2017!AD38)</f>
        <v>50</v>
      </c>
      <c r="AE38" s="561">
        <f>CHOOSE(uxb_works!$B$46,Scores_2014_O!AF38,Scores_2014_N!AE38,Scores_2017!AE38)</f>
        <v>50</v>
      </c>
      <c r="AF38" s="561">
        <f>CHOOSE(uxb_works!$B$46,Scores_2014_O!AG38,Scores_2014_N!AF38,Scores_2017!AF38)</f>
        <v>75</v>
      </c>
      <c r="AG38" s="561">
        <f>CHOOSE(uxb_works!$B$46,Scores_2014_O!AH38,Scores_2014_N!AG38,Scores_2017!AG38)</f>
        <v>100</v>
      </c>
      <c r="AH38" s="561">
        <f>CHOOSE(uxb_works!$B$46,Scores_2014_O!AI38,Scores_2014_N!AH38,Scores_2017!AH38)</f>
        <v>50</v>
      </c>
      <c r="AI38" s="561">
        <f>CHOOSE(uxb_works!$B$46,Scores_2014_O!AJ38,Scores_2014_N!AI38,Scores_2017!AI38)</f>
        <v>100</v>
      </c>
      <c r="AJ38" s="561">
        <f>CHOOSE(uxb_works!$B$46,Scores_2014_O!AK38,Scores_2014_N!AJ38,Scores_2017!AJ38)</f>
        <v>75</v>
      </c>
      <c r="AK38" s="561">
        <f>CHOOSE(uxb_works!$B$46,Scores_2014_O!AL38,Scores_2014_N!AK38,Scores_2017!AK38)</f>
        <v>50</v>
      </c>
      <c r="AL38" s="561">
        <f>CHOOSE(uxb_works!$B$46,Scores_2014_O!AM38,Scores_2014_N!AL38,Scores_2017!AL38)</f>
        <v>100</v>
      </c>
      <c r="AM38" s="561">
        <f>CHOOSE(uxb_works!$B$46,Scores_2014_O!AN38,Scores_2014_N!AM38,Scores_2017!AM38)</f>
        <v>50</v>
      </c>
      <c r="AN38" s="561">
        <f>CHOOSE(uxb_works!$B$46,Scores_2014_O!AO38,Scores_2014_N!AN38,Scores_2017!AN38)</f>
        <v>25</v>
      </c>
      <c r="AO38" s="561">
        <f>CHOOSE(uxb_works!$B$46,Scores_2014_O!AP38,Scores_2014_N!AO38,Scores_2017!AO38)</f>
        <v>100</v>
      </c>
      <c r="AP38" s="561">
        <f>CHOOSE(uxb_works!$B$46,Scores_2014_O!AQ38,Scores_2014_N!AP38,Scores_2017!AP38)</f>
        <v>100</v>
      </c>
      <c r="AQ38" s="561">
        <f>CHOOSE(uxb_works!$B$46,Scores_2014_O!Y38,Scores_2014_N!AQ38,Scores_2017!AQ38)</f>
        <v>100</v>
      </c>
      <c r="AR38" s="561">
        <f>CHOOSE(uxb_works!$B$46,Scores_2014_O!AR38,Scores_2014_N!AR38,Scores_2017!AR38)</f>
        <v>100</v>
      </c>
      <c r="AS38" s="561">
        <f>CHOOSE(uxb_works!$B$46,Scores_2014_O!AS38,Scores_2014_N!AS38,Scores_2017!AS38)</f>
        <v>100</v>
      </c>
      <c r="AT38" s="561">
        <f>CHOOSE(uxb_works!$B$46,Scores_2014_O!AT38,Scores_2014_N!AT38,Scores_2017!AT38)</f>
        <v>100</v>
      </c>
      <c r="AU38" s="561">
        <f>CHOOSE(uxb_works!$B$46,Scores_2014_O!AU38,Scores_2014_N!AU38,Scores_2017!AU38)</f>
        <v>75</v>
      </c>
      <c r="AV38" s="561">
        <f>CHOOSE(uxb_works!$B$46,Scores_2014_O!AV38,Scores_2014_N!AV38,Scores_2017!AV38)</f>
        <v>100</v>
      </c>
      <c r="AW38" s="561">
        <f>CHOOSE(uxb_works!$B$46,Scores_2014_O!AW38,Scores_2014_N!AW38,Scores_2017!AW38)</f>
        <v>50</v>
      </c>
      <c r="AX38" s="561">
        <f>CHOOSE(uxb_works!$B$46,Scores_2014_O!AX38,Scores_2014_N!AX38,Scores_2017!AX38)</f>
        <v>100</v>
      </c>
      <c r="AY38" s="561">
        <f>CHOOSE(uxb_works!$B$46,Scores_2014_O!AY38,Scores_2014_N!AY38,Scores_2017!AY38)</f>
        <v>100</v>
      </c>
      <c r="AZ38" s="561">
        <f>CHOOSE(uxb_works!$B$46,Scores_2014_O!AZ38,Scores_2014_N!AZ38,Scores_2017!AZ38)</f>
        <v>75</v>
      </c>
      <c r="BA38" s="561">
        <f>CHOOSE(uxb_works!$B$46,Scores_2014_O!BA38,Scores_2014_N!BA38,Scores_2017!BA38)</f>
        <v>100</v>
      </c>
      <c r="BB38" s="561">
        <f>CHOOSE(uxb_works!$B$46,Scores_2014_O!BB38,Scores_2014_N!BB38,Scores_2017!BB38)</f>
        <v>100</v>
      </c>
      <c r="BC38" s="561">
        <f>CHOOSE(uxb_works!$B$46,Scores_2014_O!BC38,Scores_2014_N!BC38,Scores_2017!BC38)</f>
        <v>100</v>
      </c>
      <c r="BD38" s="561">
        <f>CHOOSE(uxb_works!$B$46,Scores_2014_O!BD38,Scores_2014_N!BD38,Scores_2017!BD38)</f>
        <v>75</v>
      </c>
      <c r="BE38" s="561">
        <f>CHOOSE(uxb_works!$B$46,Scores_2014_O!BE38,Scores_2014_N!BE38,Scores_2017!BE38)</f>
        <v>100</v>
      </c>
      <c r="BF38" s="561">
        <f>CHOOSE(uxb_works!$B$46,Scores_2014_O!BF38,Scores_2014_N!BF38,Scores_2017!BF38)</f>
        <v>75</v>
      </c>
      <c r="BG38" s="561">
        <f>CHOOSE(uxb_works!$B$46,Scores_2014_O!BG38,Scores_2014_N!BG38,Scores_2017!BG38)</f>
        <v>100</v>
      </c>
      <c r="BH38" s="561">
        <f>CHOOSE(uxb_works!$B$46,Scores_2014_O!BH38,Scores_2014_N!BH38,Scores_2017!BH38)</f>
        <v>100</v>
      </c>
      <c r="BI38" s="561">
        <f>CHOOSE(uxb_works!$B$46,Scores_2014_O!BI38,Scores_2014_N!BI38,Scores_2017!BI38)</f>
        <v>100</v>
      </c>
      <c r="BJ38" s="561">
        <f>CHOOSE(uxb_works!$B$46,Scores_2014_O!BJ38,Scores_2014_N!BJ38,Scores_2017!BJ38)</f>
        <v>75</v>
      </c>
      <c r="BK38" s="561">
        <f>CHOOSE(uxb_works!$B$46,Scores_2014_O!BK38,Scores_2014_N!BK38,Scores_2017!BK38)</f>
        <v>100</v>
      </c>
      <c r="BL38" s="561">
        <f>CHOOSE(uxb_works!$B$46,Scores_2014_O!BL38,Scores_2014_N!BL38,Scores_2017!BL38)</f>
        <v>100</v>
      </c>
      <c r="BM38" s="561">
        <f>CHOOSE(uxb_works!$B$46,Scores_2014_O!BM38,Scores_2014_N!BM38,Scores_2017!BM38)</f>
        <v>100</v>
      </c>
      <c r="BN38" s="561">
        <f>CHOOSE(uxb_works!$B$46,Scores_2014_O!BN38,Scores_2014_N!BN38,Scores_2017!BN38)</f>
        <v>100</v>
      </c>
      <c r="BO38" s="561">
        <f>CHOOSE(uxb_works!$B$46,Scores_2014_O!BO38,Scores_2014_N!BO38,Scores_2017!BO38)</f>
        <v>100</v>
      </c>
      <c r="BP38" s="561">
        <f>CHOOSE(uxb_works!$B$46,Scores_2014_O!BP38,Scores_2014_N!BP38,Scores_2017!BP38)</f>
        <v>75</v>
      </c>
      <c r="BQ38" s="561">
        <f>CHOOSE(uxb_works!$B$46,Scores_2014_O!BQ38,Scores_2014_N!BQ38,Scores_2017!BQ38)</f>
        <v>50</v>
      </c>
      <c r="BR38" s="561">
        <f>CHOOSE(uxb_works!$B$46,Scores_2014_O!BR38,Scores_2014_N!BR38,Scores_2017!BR38)</f>
        <v>100</v>
      </c>
      <c r="BS38" s="561">
        <f>CHOOSE(uxb_works!$B$46,Scores_2014_O!BS38,Scores_2014_N!BS38,Scores_2017!BS38)</f>
        <v>100</v>
      </c>
      <c r="BT38" s="561">
        <f>CHOOSE(uxb_works!$B$46,Scores_2014_O!BT38,Scores_2014_N!BT38,Scores_2017!BT38)</f>
        <v>100</v>
      </c>
      <c r="BU38" s="561">
        <f>CHOOSE(uxb_works!$B$46,Scores_2014_O!BU38,Scores_2014_N!BU38,Scores_2017!BU38)</f>
        <v>100</v>
      </c>
      <c r="BV38" s="561">
        <f>CHOOSE(uxb_works!$B$46,Scores_2014_O!BV38,Scores_2014_N!BV38,Scores_2017!BV38)</f>
        <v>50</v>
      </c>
      <c r="BW38" s="561">
        <f>CHOOSE(uxb_works!$B$46,Scores_2014_O!BW38,Scores_2014_N!BW38,Scores_2017!BW38)</f>
        <v>100</v>
      </c>
      <c r="BX38" s="561">
        <f>CHOOSE(uxb_works!$B$46,Scores_2014_O!BX38,Scores_2014_N!BX38,Scores_2017!BX38)</f>
        <v>100</v>
      </c>
      <c r="BY38"/>
      <c r="BZ38" s="214"/>
      <c r="CA38" s="214"/>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row>
    <row r="39" s="69" customFormat="1" ht="24.95" customHeight="1" spans="1:130">
      <c r="A39"/>
      <c r="B39" s="92">
        <f>tblIndicators!A35</f>
        <v>34</v>
      </c>
      <c r="C39" s="92"/>
      <c r="D39" s="92"/>
      <c r="E39" s="92"/>
      <c r="F39" s="92">
        <f>CHOOSE(uxb_works!$B$46,Scores_2014_O!F39,Scores_2014_N!F39,Scores_2017!F39)</f>
        <v>3</v>
      </c>
      <c r="G39" s="92"/>
      <c r="H39" s="92"/>
      <c r="I39" s="104"/>
      <c r="J39" s="92"/>
      <c r="K39" s="92"/>
      <c r="L39" s="165"/>
      <c r="M39" s="92"/>
      <c r="N39" s="105" t="str">
        <f>REPT(" ",F39)&amp;CHOOSE(uxb_works!$B$46,Scores_2014_O!N39,Scores_2014_N!N39,Scores_2017!N39)</f>
        <v>      3.1.5) Disaster management/business continuity plan</v>
      </c>
      <c r="O39" s="556">
        <f>CHOOSE(uxb_works!$B$46,Scores_2014_O!O39,Scores_2014_N!O39,Scores_2017!O39)</f>
        <v>0.2</v>
      </c>
      <c r="P39" s="557">
        <f>CHOOSE(uxb_works!$B$46,Scores_2014_O!P39,Scores_2014_N!P39,Scores_2017!P39)</f>
        <v>75</v>
      </c>
      <c r="Q39" s="561">
        <f>CHOOSE(uxb_works!$B$46,Scores_2014_O!Q39,Scores_2014_N!Q39,Scores_2017!Q39)</f>
        <v>100</v>
      </c>
      <c r="R39" s="561">
        <f>CHOOSE(uxb_works!$B$46,Scores_2014_O!R39,Scores_2014_N!R39,Scores_2017!R39)</f>
        <v>75</v>
      </c>
      <c r="S39" s="561">
        <f>CHOOSE(uxb_works!$B$46,Scores_2014_O!S39,Scores_2014_N!S39,Scores_2017!S39)</f>
        <v>75</v>
      </c>
      <c r="T39" s="561">
        <f>CHOOSE(uxb_works!$B$46,Scores_2014_O!T39,Scores_2014_N!T39,Scores_2017!T39)</f>
        <v>100</v>
      </c>
      <c r="U39" s="561">
        <f>CHOOSE(uxb_works!$B$46,Scores_2014_O!U39,Scores_2014_N!U39,Scores_2017!U39)</f>
        <v>50</v>
      </c>
      <c r="V39" s="561">
        <f>CHOOSE(uxb_works!$B$46,Scores_2014_O!V39,Scores_2014_N!V39,Scores_2017!V39)</f>
        <v>50</v>
      </c>
      <c r="W39" s="561">
        <f>CHOOSE(uxb_works!$B$46,Scores_2014_O!W39,Scores_2014_N!W39,Scores_2017!W39)</f>
        <v>100</v>
      </c>
      <c r="X39" s="561">
        <f>CHOOSE(uxb_works!$B$46,Scores_2014_O!X39,Scores_2014_N!X39,Scores_2017!X39)</f>
        <v>100</v>
      </c>
      <c r="Y39" s="561">
        <f>CHOOSE(uxb_works!$B$46,Scores_2014_O!Z39,Scores_2014_N!Y39,Scores_2017!Y39)</f>
        <v>50</v>
      </c>
      <c r="Z39" s="561">
        <f>CHOOSE(uxb_works!$B$46,Scores_2014_O!AA39,Scores_2014_N!Z39,Scores_2017!Z39)</f>
        <v>50</v>
      </c>
      <c r="AA39" s="561">
        <f>CHOOSE(uxb_works!$B$46,Scores_2014_O!AB39,Scores_2014_N!AA39,Scores_2017!AA39)</f>
        <v>75</v>
      </c>
      <c r="AB39" s="561">
        <f>CHOOSE(uxb_works!$B$46,Scores_2014_O!AC39,Scores_2014_N!AB39,Scores_2017!AB39)</f>
        <v>100</v>
      </c>
      <c r="AC39" s="561">
        <f>CHOOSE(uxb_works!$B$46,Scores_2014_O!AD39,Scores_2014_N!AC39,Scores_2017!AC39)</f>
        <v>100</v>
      </c>
      <c r="AD39" s="561">
        <f>CHOOSE(uxb_works!$B$46,Scores_2014_O!AE39,Scores_2014_N!AD39,Scores_2017!AD39)</f>
        <v>50</v>
      </c>
      <c r="AE39" s="561">
        <f>CHOOSE(uxb_works!$B$46,Scores_2014_O!AF39,Scores_2014_N!AE39,Scores_2017!AE39)</f>
        <v>25</v>
      </c>
      <c r="AF39" s="561">
        <f>CHOOSE(uxb_works!$B$46,Scores_2014_O!AG39,Scores_2014_N!AF39,Scores_2017!AF39)</f>
        <v>100</v>
      </c>
      <c r="AG39" s="561">
        <f>CHOOSE(uxb_works!$B$46,Scores_2014_O!AH39,Scores_2014_N!AG39,Scores_2017!AG39)</f>
        <v>100</v>
      </c>
      <c r="AH39" s="561">
        <f>CHOOSE(uxb_works!$B$46,Scores_2014_O!AI39,Scores_2014_N!AH39,Scores_2017!AH39)</f>
        <v>25</v>
      </c>
      <c r="AI39" s="561">
        <f>CHOOSE(uxb_works!$B$46,Scores_2014_O!AJ39,Scores_2014_N!AI39,Scores_2017!AI39)</f>
        <v>100</v>
      </c>
      <c r="AJ39" s="561">
        <f>CHOOSE(uxb_works!$B$46,Scores_2014_O!AK39,Scores_2014_N!AJ39,Scores_2017!AJ39)</f>
        <v>75</v>
      </c>
      <c r="AK39" s="561">
        <f>CHOOSE(uxb_works!$B$46,Scores_2014_O!AL39,Scores_2014_N!AK39,Scores_2017!AK39)</f>
        <v>50</v>
      </c>
      <c r="AL39" s="561">
        <f>CHOOSE(uxb_works!$B$46,Scores_2014_O!AM39,Scores_2014_N!AL39,Scores_2017!AL39)</f>
        <v>0</v>
      </c>
      <c r="AM39" s="561">
        <f>CHOOSE(uxb_works!$B$46,Scores_2014_O!AN39,Scores_2014_N!AM39,Scores_2017!AM39)</f>
        <v>75</v>
      </c>
      <c r="AN39" s="561">
        <f>CHOOSE(uxb_works!$B$46,Scores_2014_O!AO39,Scores_2014_N!AN39,Scores_2017!AN39)</f>
        <v>0</v>
      </c>
      <c r="AO39" s="561">
        <f>CHOOSE(uxb_works!$B$46,Scores_2014_O!AP39,Scores_2014_N!AO39,Scores_2017!AO39)</f>
        <v>75</v>
      </c>
      <c r="AP39" s="561">
        <f>CHOOSE(uxb_works!$B$46,Scores_2014_O!AQ39,Scores_2014_N!AP39,Scores_2017!AP39)</f>
        <v>75</v>
      </c>
      <c r="AQ39" s="561">
        <f>CHOOSE(uxb_works!$B$46,Scores_2014_O!Y39,Scores_2014_N!AQ39,Scores_2017!AQ39)</f>
        <v>75</v>
      </c>
      <c r="AR39" s="561">
        <f>CHOOSE(uxb_works!$B$46,Scores_2014_O!AR39,Scores_2014_N!AR39,Scores_2017!AR39)</f>
        <v>100</v>
      </c>
      <c r="AS39" s="561">
        <f>CHOOSE(uxb_works!$B$46,Scores_2014_O!AS39,Scores_2014_N!AS39,Scores_2017!AS39)</f>
        <v>100</v>
      </c>
      <c r="AT39" s="561">
        <f>CHOOSE(uxb_works!$B$46,Scores_2014_O!AT39,Scores_2014_N!AT39,Scores_2017!AT39)</f>
        <v>100</v>
      </c>
      <c r="AU39" s="561">
        <f>CHOOSE(uxb_works!$B$46,Scores_2014_O!AU39,Scores_2014_N!AU39,Scores_2017!AU39)</f>
        <v>25</v>
      </c>
      <c r="AV39" s="561">
        <f>CHOOSE(uxb_works!$B$46,Scores_2014_O!AV39,Scores_2014_N!AV39,Scores_2017!AV39)</f>
        <v>100</v>
      </c>
      <c r="AW39" s="561">
        <f>CHOOSE(uxb_works!$B$46,Scores_2014_O!AW39,Scores_2014_N!AW39,Scores_2017!AW39)</f>
        <v>75</v>
      </c>
      <c r="AX39" s="561">
        <f>CHOOSE(uxb_works!$B$46,Scores_2014_O!AX39,Scores_2014_N!AX39,Scores_2017!AX39)</f>
        <v>100</v>
      </c>
      <c r="AY39" s="561">
        <f>CHOOSE(uxb_works!$B$46,Scores_2014_O!AY39,Scores_2014_N!AY39,Scores_2017!AY39)</f>
        <v>75</v>
      </c>
      <c r="AZ39" s="561">
        <f>CHOOSE(uxb_works!$B$46,Scores_2014_O!AZ39,Scores_2014_N!AZ39,Scores_2017!AZ39)</f>
        <v>50</v>
      </c>
      <c r="BA39" s="561">
        <f>CHOOSE(uxb_works!$B$46,Scores_2014_O!BA39,Scores_2014_N!BA39,Scores_2017!BA39)</f>
        <v>100</v>
      </c>
      <c r="BB39" s="561">
        <f>CHOOSE(uxb_works!$B$46,Scores_2014_O!BB39,Scores_2014_N!BB39,Scores_2017!BB39)</f>
        <v>100</v>
      </c>
      <c r="BC39" s="561">
        <f>CHOOSE(uxb_works!$B$46,Scores_2014_O!BC39,Scores_2014_N!BC39,Scores_2017!BC39)</f>
        <v>100</v>
      </c>
      <c r="BD39" s="561">
        <f>CHOOSE(uxb_works!$B$46,Scores_2014_O!BD39,Scores_2014_N!BD39,Scores_2017!BD39)</f>
        <v>25</v>
      </c>
      <c r="BE39" s="561">
        <f>CHOOSE(uxb_works!$B$46,Scores_2014_O!BE39,Scores_2014_N!BE39,Scores_2017!BE39)</f>
        <v>75</v>
      </c>
      <c r="BF39" s="561">
        <f>CHOOSE(uxb_works!$B$46,Scores_2014_O!BF39,Scores_2014_N!BF39,Scores_2017!BF39)</f>
        <v>0</v>
      </c>
      <c r="BG39" s="561">
        <f>CHOOSE(uxb_works!$B$46,Scores_2014_O!BG39,Scores_2014_N!BG39,Scores_2017!BG39)</f>
        <v>100</v>
      </c>
      <c r="BH39" s="561">
        <f>CHOOSE(uxb_works!$B$46,Scores_2014_O!BH39,Scores_2014_N!BH39,Scores_2017!BH39)</f>
        <v>100</v>
      </c>
      <c r="BI39" s="561">
        <f>CHOOSE(uxb_works!$B$46,Scores_2014_O!BI39,Scores_2014_N!BI39,Scores_2017!BI39)</f>
        <v>100</v>
      </c>
      <c r="BJ39" s="561">
        <f>CHOOSE(uxb_works!$B$46,Scores_2014_O!BJ39,Scores_2014_N!BJ39,Scores_2017!BJ39)</f>
        <v>75</v>
      </c>
      <c r="BK39" s="561">
        <f>CHOOSE(uxb_works!$B$46,Scores_2014_O!BK39,Scores_2014_N!BK39,Scores_2017!BK39)</f>
        <v>100</v>
      </c>
      <c r="BL39" s="561">
        <f>CHOOSE(uxb_works!$B$46,Scores_2014_O!BL39,Scores_2014_N!BL39,Scores_2017!BL39)</f>
        <v>50</v>
      </c>
      <c r="BM39" s="561">
        <f>CHOOSE(uxb_works!$B$46,Scores_2014_O!BM39,Scores_2014_N!BM39,Scores_2017!BM39)</f>
        <v>100</v>
      </c>
      <c r="BN39" s="561">
        <f>CHOOSE(uxb_works!$B$46,Scores_2014_O!BN39,Scores_2014_N!BN39,Scores_2017!BN39)</f>
        <v>100</v>
      </c>
      <c r="BO39" s="561">
        <f>CHOOSE(uxb_works!$B$46,Scores_2014_O!BO39,Scores_2014_N!BO39,Scores_2017!BO39)</f>
        <v>100</v>
      </c>
      <c r="BP39" s="561">
        <f>CHOOSE(uxb_works!$B$46,Scores_2014_O!BP39,Scores_2014_N!BP39,Scores_2017!BP39)</f>
        <v>75</v>
      </c>
      <c r="BQ39" s="561">
        <f>CHOOSE(uxb_works!$B$46,Scores_2014_O!BQ39,Scores_2014_N!BQ39,Scores_2017!BQ39)</f>
        <v>75</v>
      </c>
      <c r="BR39" s="561">
        <f>CHOOSE(uxb_works!$B$46,Scores_2014_O!BR39,Scores_2014_N!BR39,Scores_2017!BR39)</f>
        <v>100</v>
      </c>
      <c r="BS39" s="561">
        <f>CHOOSE(uxb_works!$B$46,Scores_2014_O!BS39,Scores_2014_N!BS39,Scores_2017!BS39)</f>
        <v>100</v>
      </c>
      <c r="BT39" s="561">
        <f>CHOOSE(uxb_works!$B$46,Scores_2014_O!BT39,Scores_2014_N!BT39,Scores_2017!BT39)</f>
        <v>100</v>
      </c>
      <c r="BU39" s="561">
        <f>CHOOSE(uxb_works!$B$46,Scores_2014_O!BU39,Scores_2014_N!BU39,Scores_2017!BU39)</f>
        <v>100</v>
      </c>
      <c r="BV39" s="561">
        <f>CHOOSE(uxb_works!$B$46,Scores_2014_O!BV39,Scores_2014_N!BV39,Scores_2017!BV39)</f>
        <v>25</v>
      </c>
      <c r="BW39" s="561">
        <f>CHOOSE(uxb_works!$B$46,Scores_2014_O!BW39,Scores_2014_N!BW39,Scores_2017!BW39)</f>
        <v>100</v>
      </c>
      <c r="BX39" s="561">
        <f>CHOOSE(uxb_works!$B$46,Scores_2014_O!BX39,Scores_2014_N!BX39,Scores_2017!BX39)</f>
        <v>100</v>
      </c>
      <c r="BY39"/>
      <c r="BZ39" s="214"/>
      <c r="CA39" s="214"/>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row>
    <row r="40" s="69" customFormat="1" ht="24.95" customHeight="1" spans="1:130">
      <c r="A40"/>
      <c r="B40" s="92">
        <f>tblIndicators!A36</f>
        <v>35</v>
      </c>
      <c r="C40" s="92"/>
      <c r="D40" s="92"/>
      <c r="E40" s="92"/>
      <c r="F40" s="92">
        <f>CHOOSE(uxb_works!$B$46,Scores_2014_O!F40,Scores_2014_N!F40,Scores_2017!F40)</f>
        <v>2</v>
      </c>
      <c r="G40" s="92"/>
      <c r="H40" s="92"/>
      <c r="I40" s="104"/>
      <c r="J40" s="92"/>
      <c r="K40" s="92"/>
      <c r="L40" s="165"/>
      <c r="M40" s="92"/>
      <c r="N40" s="105" t="str">
        <f>REPT(" ",F40)&amp;CHOOSE(uxb_works!$B$46,Scores_2014_O!N40,Scores_2014_N!N40,Scores_2017!N40)</f>
        <v>    3.2) Infrastructure security (Outputs)</v>
      </c>
      <c r="O40" s="556">
        <f>CHOOSE(uxb_works!$B$46,Scores_2014_O!O40,Scores_2014_N!O40,Scores_2017!O40)</f>
        <v>0.5</v>
      </c>
      <c r="P40" s="557">
        <f>CHOOSE(uxb_works!$B$46,Scores_2014_O!P40,Scores_2014_N!P40,Scores_2017!P40)</f>
        <v>92.728320479609</v>
      </c>
      <c r="Q40" s="561">
        <f>CHOOSE(uxb_works!$B$46,Scores_2014_O!Q40,Scores_2014_N!Q40,Scores_2017!Q40)</f>
        <v>98.0974041929841</v>
      </c>
      <c r="R40" s="561">
        <f>CHOOSE(uxb_works!$B$46,Scores_2014_O!R40,Scores_2014_N!R40,Scores_2017!R40)</f>
        <v>92.0901455341645</v>
      </c>
      <c r="S40" s="561">
        <f>CHOOSE(uxb_works!$B$46,Scores_2014_O!S40,Scores_2014_N!S40,Scores_2017!S40)</f>
        <v>76.1644621952138</v>
      </c>
      <c r="T40" s="561">
        <f>CHOOSE(uxb_works!$B$46,Scores_2014_O!T40,Scores_2014_N!T40,Scores_2017!T40)</f>
        <v>96.6865863543474</v>
      </c>
      <c r="U40" s="561">
        <f>CHOOSE(uxb_works!$B$46,Scores_2014_O!U40,Scores_2014_N!U40,Scores_2017!U40)</f>
        <v>78.479071433431</v>
      </c>
      <c r="V40" s="561">
        <f>CHOOSE(uxb_works!$B$46,Scores_2014_O!V40,Scores_2014_N!V40,Scores_2017!V40)</f>
        <v>76.5700514752331</v>
      </c>
      <c r="W40" s="561">
        <f>CHOOSE(uxb_works!$B$46,Scores_2014_O!W40,Scores_2014_N!W40,Scores_2017!W40)</f>
        <v>88.6237620157022</v>
      </c>
      <c r="X40" s="561">
        <f>CHOOSE(uxb_works!$B$46,Scores_2014_O!X40,Scores_2014_N!X40,Scores_2017!X40)</f>
        <v>88.4844347000419</v>
      </c>
      <c r="Y40" s="561">
        <f>CHOOSE(uxb_works!$B$46,Scores_2014_O!Z40,Scores_2014_N!Y40,Scores_2017!Y40)</f>
        <v>79.0037048761712</v>
      </c>
      <c r="Z40" s="561">
        <f>CHOOSE(uxb_works!$B$46,Scores_2014_O!AA40,Scores_2014_N!Z40,Scores_2017!Z40)</f>
        <v>78.8345757769841</v>
      </c>
      <c r="AA40" s="561">
        <f>CHOOSE(uxb_works!$B$46,Scores_2014_O!AB40,Scores_2014_N!AA40,Scores_2017!AA40)</f>
        <v>81.0431405309914</v>
      </c>
      <c r="AB40" s="561">
        <f>CHOOSE(uxb_works!$B$46,Scores_2014_O!AC40,Scores_2014_N!AB40,Scores_2017!AB40)</f>
        <v>84.4324062290751</v>
      </c>
      <c r="AC40" s="561">
        <f>CHOOSE(uxb_works!$B$46,Scores_2014_O!AD40,Scores_2014_N!AC40,Scores_2017!AC40)</f>
        <v>77.9562816100348</v>
      </c>
      <c r="AD40" s="561">
        <f>CHOOSE(uxb_works!$B$46,Scores_2014_O!AE40,Scores_2014_N!AD40,Scores_2017!AD40)</f>
        <v>79.4725072189882</v>
      </c>
      <c r="AE40" s="561">
        <f>CHOOSE(uxb_works!$B$46,Scores_2014_O!AF40,Scores_2014_N!AE40,Scores_2017!AE40)</f>
        <v>55.8377668207307</v>
      </c>
      <c r="AF40" s="561">
        <f>CHOOSE(uxb_works!$B$46,Scores_2014_O!AG40,Scores_2014_N!AF40,Scores_2017!AF40)</f>
        <v>87.9408066756454</v>
      </c>
      <c r="AG40" s="561">
        <f>CHOOSE(uxb_works!$B$46,Scores_2014_O!AH40,Scores_2014_N!AG40,Scores_2017!AG40)</f>
        <v>81.3169539807002</v>
      </c>
      <c r="AH40" s="561">
        <f>CHOOSE(uxb_works!$B$46,Scores_2014_O!AI40,Scores_2014_N!AH40,Scores_2017!AH40)</f>
        <v>88.4552399174901</v>
      </c>
      <c r="AI40" s="561">
        <f>CHOOSE(uxb_works!$B$46,Scores_2014_O!AJ40,Scores_2014_N!AI40,Scores_2017!AI40)</f>
        <v>96.5803341486398</v>
      </c>
      <c r="AJ40" s="561">
        <f>CHOOSE(uxb_works!$B$46,Scores_2014_O!AK40,Scores_2014_N!AJ40,Scores_2017!AJ40)</f>
        <v>75.5825925891299</v>
      </c>
      <c r="AK40" s="561">
        <f>CHOOSE(uxb_works!$B$46,Scores_2014_O!AL40,Scores_2014_N!AK40,Scores_2017!AK40)</f>
        <v>83.6379909388761</v>
      </c>
      <c r="AL40" s="561">
        <f>CHOOSE(uxb_works!$B$46,Scores_2014_O!AM40,Scores_2014_N!AL40,Scores_2017!AL40)</f>
        <v>76.4844159911773</v>
      </c>
      <c r="AM40" s="561">
        <f>CHOOSE(uxb_works!$B$46,Scores_2014_O!AN40,Scores_2014_N!AM40,Scores_2017!AM40)</f>
        <v>58.117772066576</v>
      </c>
      <c r="AN40" s="561">
        <f>CHOOSE(uxb_works!$B$46,Scores_2014_O!AO40,Scores_2014_N!AN40,Scores_2017!AN40)</f>
        <v>54.2224213818006</v>
      </c>
      <c r="AO40" s="561">
        <f>CHOOSE(uxb_works!$B$46,Scores_2014_O!AP40,Scores_2014_N!AO40,Scores_2017!AO40)</f>
        <v>86.2381519672056</v>
      </c>
      <c r="AP40" s="561">
        <f>CHOOSE(uxb_works!$B$46,Scores_2014_O!AQ40,Scores_2014_N!AP40,Scores_2017!AP40)</f>
        <v>70.8170696821966</v>
      </c>
      <c r="AQ40" s="561">
        <f>CHOOSE(uxb_works!$B$46,Scores_2014_O!Y40,Scores_2014_N!AQ40,Scores_2017!AQ40)</f>
        <v>71.4373356512661</v>
      </c>
      <c r="AR40" s="561">
        <f>CHOOSE(uxb_works!$B$46,Scores_2014_O!AR40,Scores_2014_N!AR40,Scores_2017!AR40)</f>
        <v>94.3788117743126</v>
      </c>
      <c r="AS40" s="561">
        <f>CHOOSE(uxb_works!$B$46,Scores_2014_O!AS40,Scores_2014_N!AS40,Scores_2017!AS40)</f>
        <v>86.0307882451631</v>
      </c>
      <c r="AT40" s="561">
        <f>CHOOSE(uxb_works!$B$46,Scores_2014_O!AT40,Scores_2014_N!AT40,Scores_2017!AT40)</f>
        <v>97.0282743162295</v>
      </c>
      <c r="AU40" s="561">
        <f>CHOOSE(uxb_works!$B$46,Scores_2014_O!AU40,Scores_2014_N!AU40,Scores_2017!AU40)</f>
        <v>57.2798219422398</v>
      </c>
      <c r="AV40" s="561">
        <f>CHOOSE(uxb_works!$B$46,Scores_2014_O!AV40,Scores_2014_N!AV40,Scores_2017!AV40)</f>
        <v>96.570067142473</v>
      </c>
      <c r="AW40" s="561">
        <f>CHOOSE(uxb_works!$B$46,Scores_2014_O!AW40,Scores_2014_N!AW40,Scores_2017!AW40)</f>
        <v>82.4537020281811</v>
      </c>
      <c r="AX40" s="561">
        <f>CHOOSE(uxb_works!$B$46,Scores_2014_O!AX40,Scores_2014_N!AX40,Scores_2017!AX40)</f>
        <v>91.2154353018258</v>
      </c>
      <c r="AY40" s="561">
        <f>CHOOSE(uxb_works!$B$46,Scores_2014_O!AY40,Scores_2014_N!AY40,Scores_2017!AY40)</f>
        <v>69.2133011658664</v>
      </c>
      <c r="AZ40" s="561">
        <f>CHOOSE(uxb_works!$B$46,Scores_2014_O!AZ40,Scores_2014_N!AZ40,Scores_2017!AZ40)</f>
        <v>85.7340151471951</v>
      </c>
      <c r="BA40" s="561">
        <f>CHOOSE(uxb_works!$B$46,Scores_2014_O!BA40,Scores_2014_N!BA40,Scores_2017!BA40)</f>
        <v>86.2811081834508</v>
      </c>
      <c r="BB40" s="561">
        <f>CHOOSE(uxb_works!$B$46,Scores_2014_O!BB40,Scores_2014_N!BB40,Scores_2017!BB40)</f>
        <v>92.7244258061557</v>
      </c>
      <c r="BC40" s="561">
        <f>CHOOSE(uxb_works!$B$46,Scores_2014_O!BC40,Scores_2014_N!BC40,Scores_2017!BC40)</f>
        <v>87.3032068900721</v>
      </c>
      <c r="BD40" s="561">
        <f>CHOOSE(uxb_works!$B$46,Scores_2014_O!BD40,Scores_2014_N!BD40,Scores_2017!BD40)</f>
        <v>63.0550976398439</v>
      </c>
      <c r="BE40" s="561">
        <f>CHOOSE(uxb_works!$B$46,Scores_2014_O!BE40,Scores_2014_N!BE40,Scores_2017!BE40)</f>
        <v>80.0680340737054</v>
      </c>
      <c r="BF40" s="561">
        <f>CHOOSE(uxb_works!$B$46,Scores_2014_O!BF40,Scores_2014_N!BF40,Scores_2017!BF40)</f>
        <v>76.7550683215412</v>
      </c>
      <c r="BG40" s="561">
        <f>CHOOSE(uxb_works!$B$46,Scores_2014_O!BG40,Scores_2014_N!BG40,Scores_2017!BG40)</f>
        <v>90.110439163155</v>
      </c>
      <c r="BH40" s="561">
        <f>CHOOSE(uxb_works!$B$46,Scores_2014_O!BH40,Scores_2014_N!BH40,Scores_2017!BH40)</f>
        <v>91.9170987179069</v>
      </c>
      <c r="BI40" s="561">
        <f>CHOOSE(uxb_works!$B$46,Scores_2014_O!BI40,Scores_2014_N!BI40,Scores_2017!BI40)</f>
        <v>78.6991539608217</v>
      </c>
      <c r="BJ40" s="561">
        <f>CHOOSE(uxb_works!$B$46,Scores_2014_O!BJ40,Scores_2014_N!BJ40,Scores_2017!BJ40)</f>
        <v>79.8725770406825</v>
      </c>
      <c r="BK40" s="561">
        <f>CHOOSE(uxb_works!$B$46,Scores_2014_O!BK40,Scores_2014_N!BK40,Scores_2017!BK40)</f>
        <v>86.3673130473819</v>
      </c>
      <c r="BL40" s="561">
        <f>CHOOSE(uxb_works!$B$46,Scores_2014_O!BL40,Scores_2014_N!BL40,Scores_2017!BL40)</f>
        <v>78.1040736976377</v>
      </c>
      <c r="BM40" s="561">
        <f>CHOOSE(uxb_works!$B$46,Scores_2014_O!BM40,Scores_2014_N!BM40,Scores_2017!BM40)</f>
        <v>97.5937094660064</v>
      </c>
      <c r="BN40" s="561">
        <f>CHOOSE(uxb_works!$B$46,Scores_2014_O!BN40,Scores_2014_N!BN40,Scores_2017!BN40)</f>
        <v>97.3649316417229</v>
      </c>
      <c r="BO40" s="561">
        <f>CHOOSE(uxb_works!$B$46,Scores_2014_O!BO40,Scores_2014_N!BO40,Scores_2017!BO40)</f>
        <v>95.9517535685341</v>
      </c>
      <c r="BP40" s="561">
        <f>CHOOSE(uxb_works!$B$46,Scores_2014_O!BP40,Scores_2014_N!BP40,Scores_2017!BP40)</f>
        <v>94.6723609134681</v>
      </c>
      <c r="BQ40" s="561">
        <f>CHOOSE(uxb_works!$B$46,Scores_2014_O!BQ40,Scores_2014_N!BQ40,Scores_2017!BQ40)</f>
        <v>59.3994521377138</v>
      </c>
      <c r="BR40" s="561">
        <f>CHOOSE(uxb_works!$B$46,Scores_2014_O!BR40,Scores_2014_N!BR40,Scores_2017!BR40)</f>
        <v>90.6840285102396</v>
      </c>
      <c r="BS40" s="561">
        <f>CHOOSE(uxb_works!$B$46,Scores_2014_O!BS40,Scores_2014_N!BS40,Scores_2017!BS40)</f>
        <v>95.0085738067526</v>
      </c>
      <c r="BT40" s="561">
        <f>CHOOSE(uxb_works!$B$46,Scores_2014_O!BT40,Scores_2014_N!BT40,Scores_2017!BT40)</f>
        <v>74.2598018371689</v>
      </c>
      <c r="BU40" s="561">
        <f>CHOOSE(uxb_works!$B$46,Scores_2014_O!BU40,Scores_2014_N!BU40,Scores_2017!BU40)</f>
        <v>94.7652006357239</v>
      </c>
      <c r="BV40" s="561">
        <f>CHOOSE(uxb_works!$B$46,Scores_2014_O!BV40,Scores_2014_N!BV40,Scores_2017!BV40)</f>
        <v>67.156618192149</v>
      </c>
      <c r="BW40" s="561">
        <f>CHOOSE(uxb_works!$B$46,Scores_2014_O!BW40,Scores_2014_N!BW40,Scores_2017!BW40)</f>
        <v>96.4236900269744</v>
      </c>
      <c r="BX40" s="561">
        <f>CHOOSE(uxb_works!$B$46,Scores_2014_O!BX40,Scores_2014_N!BX40,Scores_2017!BX40)</f>
        <v>92.8268457854259</v>
      </c>
      <c r="BY40"/>
      <c r="BZ40" s="214"/>
      <c r="CA40" s="214"/>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row>
    <row r="41" s="69" customFormat="1" ht="24.95" customHeight="1" spans="1:130">
      <c r="A41"/>
      <c r="B41" s="92">
        <f>tblIndicators!A37</f>
        <v>36</v>
      </c>
      <c r="C41" s="92"/>
      <c r="D41" s="92"/>
      <c r="E41" s="92"/>
      <c r="F41" s="92">
        <f>CHOOSE(uxb_works!$B$46,Scores_2014_O!F41,Scores_2014_N!F41,Scores_2017!F41)</f>
        <v>3</v>
      </c>
      <c r="G41" s="92"/>
      <c r="H41" s="92"/>
      <c r="I41" s="104"/>
      <c r="J41" s="92"/>
      <c r="K41" s="92"/>
      <c r="L41" s="165"/>
      <c r="M41" s="92"/>
      <c r="N41" s="105" t="str">
        <f>REPT(" ",F41)&amp;CHOOSE(uxb_works!$B$46,Scores_2014_O!N41,Scores_2014_N!N41,Scores_2017!N41)</f>
        <v>      3.2.1) Deaths from natural disaster</v>
      </c>
      <c r="O41" s="556">
        <f>CHOOSE(uxb_works!$B$46,Scores_2014_O!O41,Scores_2014_N!O41,Scores_2017!O41)</f>
        <v>0.2</v>
      </c>
      <c r="P41" s="557">
        <f>CHOOSE(uxb_works!$B$46,Scores_2014_O!P41,Scores_2014_N!P41,Scores_2017!P41)</f>
        <v>100</v>
      </c>
      <c r="Q41" s="561">
        <f>CHOOSE(uxb_works!$B$46,Scores_2014_O!Q41,Scores_2014_N!Q41,Scores_2017!Q41)</f>
        <v>99.7302674847486</v>
      </c>
      <c r="R41" s="561">
        <f>CHOOSE(uxb_works!$B$46,Scores_2014_O!R41,Scores_2014_N!R41,Scores_2017!R41)</f>
        <v>98.357662523222</v>
      </c>
      <c r="S41" s="561">
        <f>CHOOSE(uxb_works!$B$46,Scores_2014_O!S41,Scores_2014_N!S41,Scores_2017!S41)</f>
        <v>97.1675529390353</v>
      </c>
      <c r="T41" s="561">
        <f>CHOOSE(uxb_works!$B$46,Scores_2014_O!T41,Scores_2014_N!T41,Scores_2017!T41)</f>
        <v>99.4148749916032</v>
      </c>
      <c r="U41" s="561">
        <f>CHOOSE(uxb_works!$B$46,Scores_2014_O!U41,Scores_2014_N!U41,Scores_2017!U41)</f>
        <v>96.3506309098203</v>
      </c>
      <c r="V41" s="561">
        <f>CHOOSE(uxb_works!$B$46,Scores_2014_O!V41,Scores_2014_N!V41,Scores_2017!V41)</f>
        <v>93.1593832146824</v>
      </c>
      <c r="W41" s="561">
        <f>CHOOSE(uxb_works!$B$46,Scores_2014_O!W41,Scores_2014_N!W41,Scores_2017!W41)</f>
        <v>66.7843976527765</v>
      </c>
      <c r="X41" s="561">
        <f>CHOOSE(uxb_works!$B$46,Scores_2014_O!X41,Scores_2014_N!X41,Scores_2017!X41)</f>
        <v>97.3087114738437</v>
      </c>
      <c r="Y41" s="561">
        <f>CHOOSE(uxb_works!$B$46,Scores_2014_O!Z41,Scores_2014_N!Y41,Scores_2017!Y41)</f>
        <v>95.888585586473</v>
      </c>
      <c r="Z41" s="561">
        <f>CHOOSE(uxb_works!$B$46,Scores_2014_O!AA41,Scores_2014_N!Z41,Scores_2017!Z41)</f>
        <v>100</v>
      </c>
      <c r="AA41" s="561">
        <f>CHOOSE(uxb_works!$B$46,Scores_2014_O!AB41,Scores_2014_N!AA41,Scores_2017!AA41)</f>
        <v>97.3340366640931</v>
      </c>
      <c r="AB41" s="561">
        <f>CHOOSE(uxb_works!$B$46,Scores_2014_O!AC41,Scores_2014_N!AB41,Scores_2017!AB41)</f>
        <v>96.2868219565054</v>
      </c>
      <c r="AC41" s="561">
        <f>CHOOSE(uxb_works!$B$46,Scores_2014_O!AD41,Scores_2014_N!AC41,Scores_2017!AC41)</f>
        <v>96.2868219565054</v>
      </c>
      <c r="AD41" s="561">
        <f>CHOOSE(uxb_works!$B$46,Scores_2014_O!AE41,Scores_2014_N!AD41,Scores_2017!AD41)</f>
        <v>90.6631138175658</v>
      </c>
      <c r="AE41" s="561">
        <f>CHOOSE(uxb_works!$B$46,Scores_2014_O!AF41,Scores_2014_N!AE41,Scores_2017!AE41)</f>
        <v>95.2672919568047</v>
      </c>
      <c r="AF41" s="561">
        <f>CHOOSE(uxb_works!$B$46,Scores_2014_O!AG41,Scores_2014_N!AF41,Scores_2017!AF41)</f>
        <v>100</v>
      </c>
      <c r="AG41" s="561">
        <f>CHOOSE(uxb_works!$B$46,Scores_2014_O!AH41,Scores_2014_N!AG41,Scores_2017!AG41)</f>
        <v>99.5543106992791</v>
      </c>
      <c r="AH41" s="561">
        <f>CHOOSE(uxb_works!$B$46,Scores_2014_O!AI41,Scores_2014_N!AH41,Scores_2017!AH41)</f>
        <v>94.2269004175957</v>
      </c>
      <c r="AI41" s="561">
        <f>CHOOSE(uxb_works!$B$46,Scores_2014_O!AJ41,Scores_2014_N!AI41,Scores_2017!AI41)</f>
        <v>100</v>
      </c>
      <c r="AJ41" s="561">
        <f>CHOOSE(uxb_works!$B$46,Scores_2014_O!AK41,Scores_2014_N!AJ41,Scores_2017!AJ41)</f>
        <v>99.455581703272</v>
      </c>
      <c r="AK41" s="561">
        <f>CHOOSE(uxb_works!$B$46,Scores_2014_O!AL41,Scores_2014_N!AK41,Scores_2017!AK41)</f>
        <v>96.87602773261</v>
      </c>
      <c r="AL41" s="561">
        <f>CHOOSE(uxb_works!$B$46,Scores_2014_O!AM41,Scores_2014_N!AL41,Scores_2017!AL41)</f>
        <v>96.1754124251418</v>
      </c>
      <c r="AM41" s="561">
        <f>CHOOSE(uxb_works!$B$46,Scores_2014_O!AN41,Scores_2014_N!AM41,Scores_2017!AM41)</f>
        <v>98.7790019859775</v>
      </c>
      <c r="AN41" s="561">
        <f>CHOOSE(uxb_works!$B$46,Scores_2014_O!AO41,Scores_2014_N!AN41,Scores_2017!AN41)</f>
        <v>79.6716685712646</v>
      </c>
      <c r="AO41" s="561">
        <f>CHOOSE(uxb_works!$B$46,Scores_2014_O!AP41,Scores_2014_N!AO41,Scores_2017!AO41)</f>
        <v>98.2722082616957</v>
      </c>
      <c r="AP41" s="561">
        <f>CHOOSE(uxb_works!$B$46,Scores_2014_O!AQ41,Scores_2014_N!AP41,Scores_2017!AP41)</f>
        <v>100</v>
      </c>
      <c r="AQ41" s="561">
        <f>CHOOSE(uxb_works!$B$46,Scores_2014_O!Y41,Scores_2014_N!AQ41,Scores_2017!AQ41)</f>
        <v>70.8995467063249</v>
      </c>
      <c r="AR41" s="561">
        <f>CHOOSE(uxb_works!$B$46,Scores_2014_O!AR41,Scores_2014_N!AR41,Scores_2017!AR41)</f>
        <v>86.0549597307171</v>
      </c>
      <c r="AS41" s="561">
        <f>CHOOSE(uxb_works!$B$46,Scores_2014_O!AS41,Scores_2014_N!AS41,Scores_2017!AS41)</f>
        <v>96.2868219565054</v>
      </c>
      <c r="AT41" s="561">
        <f>CHOOSE(uxb_works!$B$46,Scores_2014_O!AT41,Scores_2014_N!AT41,Scores_2017!AT41)</f>
        <v>99.4148749916032</v>
      </c>
      <c r="AU41" s="561">
        <f>CHOOSE(uxb_works!$B$46,Scores_2014_O!AU41,Scores_2014_N!AU41,Scores_2017!AU41)</f>
        <v>0</v>
      </c>
      <c r="AV41" s="561">
        <f>CHOOSE(uxb_works!$B$46,Scores_2014_O!AV41,Scores_2014_N!AV41,Scores_2017!AV41)</f>
        <v>93.1931819184446</v>
      </c>
      <c r="AW41" s="561">
        <f>CHOOSE(uxb_works!$B$46,Scores_2014_O!AW41,Scores_2014_N!AW41,Scores_2017!AW41)</f>
        <v>97.1454473622814</v>
      </c>
      <c r="AX41" s="561">
        <f>CHOOSE(uxb_works!$B$46,Scores_2014_O!AX41,Scores_2014_N!AX41,Scores_2017!AX41)</f>
        <v>93.7379891309623</v>
      </c>
      <c r="AY41" s="561">
        <f>CHOOSE(uxb_works!$B$46,Scores_2014_O!AY41,Scores_2014_N!AY41,Scores_2017!AY41)</f>
        <v>97.1271905538822</v>
      </c>
      <c r="AZ41" s="561">
        <f>CHOOSE(uxb_works!$B$46,Scores_2014_O!AZ41,Scores_2014_N!AZ41,Scores_2017!AZ41)</f>
        <v>90.6631138175658</v>
      </c>
      <c r="BA41" s="561">
        <f>CHOOSE(uxb_works!$B$46,Scores_2014_O!BA41,Scores_2014_N!BA41,Scores_2017!BA41)</f>
        <v>96.2868219565054</v>
      </c>
      <c r="BB41" s="561">
        <f>CHOOSE(uxb_works!$B$46,Scores_2014_O!BB41,Scores_2014_N!BB41,Scores_2017!BB41)</f>
        <v>92.5796077347922</v>
      </c>
      <c r="BC41" s="561">
        <f>CHOOSE(uxb_works!$B$46,Scores_2014_O!BC41,Scores_2014_N!BC41,Scores_2017!BC41)</f>
        <v>53.0774654227666</v>
      </c>
      <c r="BD41" s="561">
        <f>CHOOSE(uxb_works!$B$46,Scores_2014_O!BD41,Scores_2014_N!BD41,Scores_2017!BD41)</f>
        <v>57.590937426768</v>
      </c>
      <c r="BE41" s="561">
        <f>CHOOSE(uxb_works!$B$46,Scores_2014_O!BE41,Scores_2014_N!BE41,Scores_2017!BE41)</f>
        <v>98.4113269962634</v>
      </c>
      <c r="BF41" s="561">
        <f>CHOOSE(uxb_works!$B$46,Scores_2014_O!BF41,Scores_2014_N!BF41,Scores_2017!BF41)</f>
        <v>96.1754124251418</v>
      </c>
      <c r="BG41" s="561">
        <f>CHOOSE(uxb_works!$B$46,Scores_2014_O!BG41,Scores_2014_N!BG41,Scores_2017!BG41)</f>
        <v>93.7379891309623</v>
      </c>
      <c r="BH41" s="561">
        <f>CHOOSE(uxb_works!$B$46,Scores_2014_O!BH41,Scores_2014_N!BH41,Scores_2017!BH41)</f>
        <v>96.2868219565054</v>
      </c>
      <c r="BI41" s="561">
        <f>CHOOSE(uxb_works!$B$46,Scores_2014_O!BI41,Scores_2014_N!BI41,Scores_2017!BI41)</f>
        <v>87.7903178100997</v>
      </c>
      <c r="BJ41" s="561">
        <f>CHOOSE(uxb_works!$B$46,Scores_2014_O!BJ41,Scores_2014_N!BJ41,Scores_2017!BJ41)</f>
        <v>98.4113269962634</v>
      </c>
      <c r="BK41" s="561">
        <f>CHOOSE(uxb_works!$B$46,Scores_2014_O!BK41,Scores_2014_N!BK41,Scores_2017!BK41)</f>
        <v>97.4058385658779</v>
      </c>
      <c r="BL41" s="561">
        <f>CHOOSE(uxb_works!$B$46,Scores_2014_O!BL41,Scores_2014_N!BL41,Scores_2017!BL41)</f>
        <v>96.3506309098203</v>
      </c>
      <c r="BM41" s="561">
        <f>CHOOSE(uxb_works!$B$46,Scores_2014_O!BM41,Scores_2014_N!BM41,Scores_2017!BM41)</f>
        <v>100</v>
      </c>
      <c r="BN41" s="561">
        <f>CHOOSE(uxb_works!$B$46,Scores_2014_O!BN41,Scores_2014_N!BN41,Scores_2017!BN41)</f>
        <v>96.7183433927719</v>
      </c>
      <c r="BO41" s="561">
        <f>CHOOSE(uxb_works!$B$46,Scores_2014_O!BO41,Scores_2014_N!BO41,Scores_2017!BO41)</f>
        <v>93.1931819184446</v>
      </c>
      <c r="BP41" s="561">
        <f>CHOOSE(uxb_works!$B$46,Scores_2014_O!BP41,Scores_2014_N!BP41,Scores_2017!BP41)</f>
        <v>90.3466741772839</v>
      </c>
      <c r="BQ41" s="561">
        <f>CHOOSE(uxb_works!$B$46,Scores_2014_O!BQ41,Scores_2014_N!BQ41,Scores_2017!BQ41)</f>
        <v>94.650419736209</v>
      </c>
      <c r="BR41" s="561">
        <f>CHOOSE(uxb_works!$B$46,Scores_2014_O!BR41,Scores_2014_N!BR41,Scores_2017!BR41)</f>
        <v>92.5796077347922</v>
      </c>
      <c r="BS41" s="561">
        <f>CHOOSE(uxb_works!$B$46,Scores_2014_O!BS41,Scores_2014_N!BS41,Scores_2017!BS41)</f>
        <v>99.6406431857052</v>
      </c>
      <c r="BT41" s="561">
        <f>CHOOSE(uxb_works!$B$46,Scores_2014_O!BT41,Scores_2014_N!BT41,Scores_2017!BT41)</f>
        <v>96.2868219565054</v>
      </c>
      <c r="BU41" s="561">
        <f>CHOOSE(uxb_works!$B$46,Scores_2014_O!BU41,Scores_2014_N!BU41,Scores_2017!BU41)</f>
        <v>98.5033680396479</v>
      </c>
      <c r="BV41" s="561">
        <f>CHOOSE(uxb_works!$B$46,Scores_2014_O!BV41,Scores_2014_N!BV41,Scores_2017!BV41)</f>
        <v>93.1659799301712</v>
      </c>
      <c r="BW41" s="561">
        <f>CHOOSE(uxb_works!$B$46,Scores_2014_O!BW41,Scores_2014_N!BW41,Scores_2017!BW41)</f>
        <v>97.5454567357917</v>
      </c>
      <c r="BX41" s="561">
        <f>CHOOSE(uxb_works!$B$46,Scores_2014_O!BX41,Scores_2014_N!BX41,Scores_2017!BX41)</f>
        <v>92.5796077347922</v>
      </c>
      <c r="BY41"/>
      <c r="BZ41" s="214"/>
      <c r="CA41" s="214"/>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row>
    <row r="42" s="69" customFormat="1" ht="24.95" customHeight="1" spans="1:130">
      <c r="A42"/>
      <c r="B42" s="92">
        <f>tblIndicators!A38</f>
        <v>37</v>
      </c>
      <c r="C42" s="92"/>
      <c r="D42" s="92"/>
      <c r="E42" s="92"/>
      <c r="F42" s="92">
        <f>CHOOSE(uxb_works!$B$46,Scores_2014_O!F42,Scores_2014_N!F42,Scores_2017!F42)</f>
        <v>3</v>
      </c>
      <c r="G42" s="92"/>
      <c r="H42" s="92"/>
      <c r="I42" s="104"/>
      <c r="J42" s="92"/>
      <c r="K42" s="92"/>
      <c r="L42" s="165"/>
      <c r="M42" s="92"/>
      <c r="N42" s="105" t="str">
        <f>REPT(" ",F42)&amp;CHOOSE(uxb_works!$B$46,Scores_2014_O!N42,Scores_2014_N!N42,Scores_2017!N42)</f>
        <v>      3.2.2) Frequency of vehicular accidents</v>
      </c>
      <c r="O42" s="556">
        <f>CHOOSE(uxb_works!$B$46,Scores_2014_O!O42,Scores_2014_N!O42,Scores_2017!O42)</f>
        <v>0.2</v>
      </c>
      <c r="P42" s="557">
        <f>CHOOSE(uxb_works!$B$46,Scores_2014_O!P42,Scores_2014_N!P42,Scores_2017!P42)</f>
        <v>95.6913364340366</v>
      </c>
      <c r="Q42" s="561">
        <f>CHOOSE(uxb_works!$B$46,Scores_2014_O!Q42,Scores_2014_N!Q42,Scores_2017!Q42)</f>
        <v>96.5643759847093</v>
      </c>
      <c r="R42" s="561">
        <f>CHOOSE(uxb_works!$B$46,Scores_2014_O!R42,Scores_2014_N!R42,Scores_2017!R42)</f>
        <v>97.163918193314</v>
      </c>
      <c r="S42" s="561">
        <f>CHOOSE(uxb_works!$B$46,Scores_2014_O!S42,Scores_2014_N!S42,Scores_2017!S42)</f>
        <v>90.5594357396239</v>
      </c>
      <c r="T42" s="561">
        <f>CHOOSE(uxb_works!$B$46,Scores_2014_O!T42,Scores_2014_N!T42,Scores_2017!T42)</f>
        <v>90.1846401179341</v>
      </c>
      <c r="U42" s="561">
        <f>CHOOSE(uxb_works!$B$46,Scores_2014_O!U42,Scores_2014_N!U42,Scores_2017!U42)</f>
        <v>99.6562767765283</v>
      </c>
      <c r="V42" s="561">
        <f>CHOOSE(uxb_works!$B$46,Scores_2014_O!V42,Scores_2014_N!V42,Scores_2017!V42)</f>
        <v>96.4367230305149</v>
      </c>
      <c r="W42" s="561">
        <f>CHOOSE(uxb_works!$B$46,Scores_2014_O!W42,Scores_2014_N!W42,Scores_2017!W42)</f>
        <v>89.0383804637213</v>
      </c>
      <c r="X42" s="561">
        <f>CHOOSE(uxb_works!$B$46,Scores_2014_O!X42,Scores_2014_N!X42,Scores_2017!X42)</f>
        <v>91.9307429044317</v>
      </c>
      <c r="Y42" s="561">
        <f>CHOOSE(uxb_works!$B$46,Scores_2014_O!Z42,Scores_2014_N!Y42,Scores_2017!Y42)</f>
        <v>99.6008430523494</v>
      </c>
      <c r="Z42" s="561">
        <f>CHOOSE(uxb_works!$B$46,Scores_2014_O!AA42,Scores_2014_N!Z42,Scores_2017!Z42)</f>
        <v>97.1180955277288</v>
      </c>
      <c r="AA42" s="561">
        <f>CHOOSE(uxb_works!$B$46,Scores_2014_O!AB42,Scores_2014_N!AA42,Scores_2017!AA42)</f>
        <v>93.549639334445</v>
      </c>
      <c r="AB42" s="561">
        <f>CHOOSE(uxb_works!$B$46,Scores_2014_O!AC42,Scores_2014_N!AB42,Scores_2017!AB42)</f>
        <v>38.443657237333</v>
      </c>
      <c r="AC42" s="561">
        <f>CHOOSE(uxb_works!$B$46,Scores_2014_O!AD42,Scores_2014_N!AC42,Scores_2017!AC42)</f>
        <v>24.756379863568</v>
      </c>
      <c r="AD42" s="561">
        <f>CHOOSE(uxb_works!$B$46,Scores_2014_O!AE42,Scores_2014_N!AD42,Scores_2017!AD42)</f>
        <v>98.8643990000553</v>
      </c>
      <c r="AE42" s="561">
        <f>CHOOSE(uxb_works!$B$46,Scores_2014_O!AF42,Scores_2014_N!AE42,Scores_2017!AE42)</f>
        <v>100</v>
      </c>
      <c r="AF42" s="561">
        <f>CHOOSE(uxb_works!$B$46,Scores_2014_O!AG42,Scores_2014_N!AF42,Scores_2017!AF42)</f>
        <v>92.6322861132457</v>
      </c>
      <c r="AG42" s="561">
        <f>CHOOSE(uxb_works!$B$46,Scores_2014_O!AH42,Scores_2014_N!AG42,Scores_2017!AG42)</f>
        <v>15.1640818282697</v>
      </c>
      <c r="AH42" s="561">
        <f>CHOOSE(uxb_works!$B$46,Scores_2014_O!AI42,Scores_2014_N!AH42,Scores_2017!AH42)</f>
        <v>99.3656453131942</v>
      </c>
      <c r="AI42" s="561">
        <f>CHOOSE(uxb_works!$B$46,Scores_2014_O!AJ42,Scores_2014_N!AI42,Scores_2017!AI42)</f>
        <v>93.9906698186194</v>
      </c>
      <c r="AJ42" s="561">
        <f>CHOOSE(uxb_works!$B$46,Scores_2014_O!AK42,Scores_2014_N!AJ42,Scores_2017!AJ42)</f>
        <v>53.9255492454926</v>
      </c>
      <c r="AK42" s="561">
        <f>CHOOSE(uxb_works!$B$46,Scores_2014_O!AL42,Scores_2014_N!AK42,Scores_2017!AK42)</f>
        <v>99.4806314144651</v>
      </c>
      <c r="AL42" s="561">
        <f>CHOOSE(uxb_works!$B$46,Scores_2014_O!AM42,Scores_2014_N!AL42,Scores_2017!AL42)</f>
        <v>49.1511535531711</v>
      </c>
      <c r="AM42" s="561">
        <f>CHOOSE(uxb_works!$B$46,Scores_2014_O!AN42,Scores_2014_N!AM42,Scores_2017!AM42)</f>
        <v>33.5521450982635</v>
      </c>
      <c r="AN42" s="561">
        <f>CHOOSE(uxb_works!$B$46,Scores_2014_O!AO42,Scores_2014_N!AN42,Scores_2017!AN42)</f>
        <v>99.9028828212598</v>
      </c>
      <c r="AO42" s="561">
        <f>CHOOSE(uxb_works!$B$46,Scores_2014_O!AP42,Scores_2014_N!AO42,Scores_2017!AO42)</f>
        <v>52.0260010175206</v>
      </c>
      <c r="AP42" s="561">
        <f>CHOOSE(uxb_works!$B$46,Scores_2014_O!AQ42,Scores_2014_N!AP42,Scores_2017!AP42)</f>
        <v>22.882789787549</v>
      </c>
      <c r="AQ42" s="561">
        <f>CHOOSE(uxb_works!$B$46,Scores_2014_O!Y42,Scores_2014_N!AQ42,Scores_2017!AQ42)</f>
        <v>86.5298571498947</v>
      </c>
      <c r="AR42" s="561">
        <f>CHOOSE(uxb_works!$B$46,Scores_2014_O!AR42,Scores_2014_N!AR42,Scores_2017!AR42)</f>
        <v>94.642242263704</v>
      </c>
      <c r="AS42" s="561">
        <f>CHOOSE(uxb_works!$B$46,Scores_2014_O!AS42,Scores_2014_N!AS42,Scores_2017!AS42)</f>
        <v>61.5899597902004</v>
      </c>
      <c r="AT42" s="561">
        <f>CHOOSE(uxb_works!$B$46,Scores_2014_O!AT42,Scores_2014_N!AT42,Scores_2017!AT42)</f>
        <v>93.3847637898114</v>
      </c>
      <c r="AU42" s="561">
        <f>CHOOSE(uxb_works!$B$46,Scores_2014_O!AU42,Scores_2014_N!AU42,Scores_2017!AU42)</f>
        <v>76.5902996952442</v>
      </c>
      <c r="AV42" s="561">
        <f>CHOOSE(uxb_works!$B$46,Scores_2014_O!AV42,Scores_2014_N!AV42,Scores_2017!AV42)</f>
        <v>93.4170483205407</v>
      </c>
      <c r="AW42" s="561">
        <f>CHOOSE(uxb_works!$B$46,Scores_2014_O!AW42,Scores_2014_N!AW42,Scores_2017!AW42)</f>
        <v>96.1685001985635</v>
      </c>
      <c r="AX42" s="561">
        <f>CHOOSE(uxb_works!$B$46,Scores_2014_O!AX42,Scores_2014_N!AX42,Scores_2017!AX42)</f>
        <v>87.9171109117521</v>
      </c>
      <c r="AY42" s="561">
        <f>CHOOSE(uxb_works!$B$46,Scores_2014_O!AY42,Scores_2014_N!AY42,Scores_2017!AY42)</f>
        <v>25.9741707387946</v>
      </c>
      <c r="AZ42" s="561">
        <f>CHOOSE(uxb_works!$B$46,Scores_2014_O!AZ42,Scores_2014_N!AZ42,Scores_2017!AZ42)</f>
        <v>96.5198382930531</v>
      </c>
      <c r="BA42" s="561">
        <f>CHOOSE(uxb_works!$B$46,Scores_2014_O!BA42,Scores_2014_N!BA42,Scores_2017!BA42)</f>
        <v>58.826321550456</v>
      </c>
      <c r="BB42" s="561">
        <f>CHOOSE(uxb_works!$B$46,Scores_2014_O!BB42,Scores_2014_N!BB42,Scores_2017!BB42)</f>
        <v>88.3235822951882</v>
      </c>
      <c r="BC42" s="561">
        <f>CHOOSE(uxb_works!$B$46,Scores_2014_O!BC42,Scores_2014_N!BC42,Scores_2017!BC42)</f>
        <v>92.417091090679</v>
      </c>
      <c r="BD42" s="561">
        <f>CHOOSE(uxb_works!$B$46,Scores_2014_O!BD42,Scores_2014_N!BD42,Scores_2017!BD42)</f>
        <v>93.9309548811824</v>
      </c>
      <c r="BE42" s="561">
        <f>CHOOSE(uxb_works!$B$46,Scores_2014_O!BE42,Scores_2014_N!BE42,Scores_2017!BE42)</f>
        <v>95.2179885669381</v>
      </c>
      <c r="BF42" s="561">
        <f>CHOOSE(uxb_works!$B$46,Scores_2014_O!BF42,Scores_2014_N!BF42,Scores_2017!BF42)</f>
        <v>50.5044152049906</v>
      </c>
      <c r="BG42" s="561">
        <f>CHOOSE(uxb_works!$B$46,Scores_2014_O!BG42,Scores_2014_N!BG42,Scores_2017!BG42)</f>
        <v>89.494640536517</v>
      </c>
      <c r="BH42" s="561">
        <f>CHOOSE(uxb_works!$B$46,Scores_2014_O!BH42,Scores_2014_N!BH42,Scores_2017!BH42)</f>
        <v>89.9316422983457</v>
      </c>
      <c r="BI42" s="561">
        <f>CHOOSE(uxb_works!$B$46,Scores_2014_O!BI42,Scores_2014_N!BI42,Scores_2017!BI42)</f>
        <v>87.7273585980597</v>
      </c>
      <c r="BJ42" s="561">
        <f>CHOOSE(uxb_works!$B$46,Scores_2014_O!BJ42,Scores_2014_N!BJ42,Scores_2017!BJ42)</f>
        <v>96.3683629762919</v>
      </c>
      <c r="BK42" s="561">
        <f>CHOOSE(uxb_works!$B$46,Scores_2014_O!BK42,Scores_2014_N!BK42,Scores_2017!BK42)</f>
        <v>87.1221960171285</v>
      </c>
      <c r="BL42" s="561">
        <f>CHOOSE(uxb_works!$B$46,Scores_2014_O!BL42,Scores_2014_N!BL42,Scores_2017!BL42)</f>
        <v>99.9089476720298</v>
      </c>
      <c r="BM42" s="561">
        <f>CHOOSE(uxb_works!$B$46,Scores_2014_O!BM42,Scores_2014_N!BM42,Scores_2017!BM42)</f>
        <v>95.896620423924</v>
      </c>
      <c r="BN42" s="561">
        <f>CHOOSE(uxb_works!$B$46,Scores_2014_O!BN42,Scores_2014_N!BN42,Scores_2017!BN42)</f>
        <v>95.2281882453205</v>
      </c>
      <c r="BO42" s="561">
        <f>CHOOSE(uxb_works!$B$46,Scores_2014_O!BO42,Scores_2014_N!BO42,Scores_2017!BO42)</f>
        <v>93.3988025176405</v>
      </c>
      <c r="BP42" s="561">
        <f>CHOOSE(uxb_works!$B$46,Scores_2014_O!BP42,Scores_2014_N!BP42,Scores_2017!BP42)</f>
        <v>91.9733237828274</v>
      </c>
      <c r="BQ42" s="561">
        <f>CHOOSE(uxb_works!$B$46,Scores_2014_O!BQ42,Scores_2014_N!BQ42,Scores_2017!BQ42)</f>
        <v>83.0999649471558</v>
      </c>
      <c r="BR42" s="561">
        <f>CHOOSE(uxb_works!$B$46,Scores_2014_O!BR42,Scores_2014_N!BR42,Scores_2017!BR42)</f>
        <v>88.3235822951882</v>
      </c>
      <c r="BS42" s="561">
        <f>CHOOSE(uxb_works!$B$46,Scores_2014_O!BS42,Scores_2014_N!BS42,Scores_2017!BS42)</f>
        <v>86.5058645167161</v>
      </c>
      <c r="BT42" s="561">
        <f>CHOOSE(uxb_works!$B$46,Scores_2014_O!BT42,Scores_2014_N!BT42,Scores_2017!BT42)</f>
        <v>0</v>
      </c>
      <c r="BU42" s="561">
        <f>CHOOSE(uxb_works!$B$46,Scores_2014_O!BU42,Scores_2014_N!BU42,Scores_2017!BU42)</f>
        <v>81.3352044145541</v>
      </c>
      <c r="BV42" s="561">
        <f>CHOOSE(uxb_works!$B$46,Scores_2014_O!BV42,Scores_2014_N!BV42,Scores_2017!BV42)</f>
        <v>90.1951439859809</v>
      </c>
      <c r="BW42" s="561">
        <f>CHOOSE(uxb_works!$B$46,Scores_2014_O!BW42,Scores_2014_N!BW42,Scores_2017!BW42)</f>
        <v>94.0953972496863</v>
      </c>
      <c r="BX42" s="561">
        <f>CHOOSE(uxb_works!$B$46,Scores_2014_O!BX42,Scores_2014_N!BX42,Scores_2017!BX42)</f>
        <v>88.3235822951882</v>
      </c>
      <c r="BY42"/>
      <c r="BZ42" s="214"/>
      <c r="CA42" s="214"/>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row>
    <row r="43" s="69" customFormat="1" ht="24.95" customHeight="1" spans="1:130">
      <c r="A43"/>
      <c r="B43" s="92">
        <f>tblIndicators!A39</f>
        <v>38</v>
      </c>
      <c r="C43" s="92"/>
      <c r="D43" s="92"/>
      <c r="E43" s="92"/>
      <c r="F43" s="92">
        <f>CHOOSE(uxb_works!$B$46,Scores_2014_O!F43,Scores_2014_N!F43,Scores_2017!F43)</f>
        <v>3</v>
      </c>
      <c r="G43" s="92"/>
      <c r="H43" s="92"/>
      <c r="I43" s="104"/>
      <c r="J43" s="92"/>
      <c r="K43" s="92"/>
      <c r="L43" s="165"/>
      <c r="M43" s="92"/>
      <c r="N43" s="105" t="str">
        <f>REPT(" ",F43)&amp;CHOOSE(uxb_works!$B$46,Scores_2014_O!N43,Scores_2014_N!N43,Scores_2017!N43)</f>
        <v>      3.2.3) Frequency of pedestrian deaths</v>
      </c>
      <c r="O43" s="556">
        <f>CHOOSE(uxb_works!$B$46,Scores_2014_O!O43,Scores_2014_N!O43,Scores_2017!O43)</f>
        <v>0.2</v>
      </c>
      <c r="P43" s="557">
        <f>CHOOSE(uxb_works!$B$46,Scores_2014_O!P43,Scores_2014_N!P43,Scores_2017!P43)</f>
        <v>67.9502659640083</v>
      </c>
      <c r="Q43" s="561">
        <f>CHOOSE(uxb_works!$B$46,Scores_2014_O!Q43,Scores_2014_N!Q43,Scores_2017!Q43)</f>
        <v>100</v>
      </c>
      <c r="R43" s="561">
        <f>CHOOSE(uxb_works!$B$46,Scores_2014_O!R43,Scores_2014_N!R43,Scores_2017!R43)</f>
        <v>84.8735420579663</v>
      </c>
      <c r="S43" s="561">
        <f>CHOOSE(uxb_works!$B$46,Scores_2014_O!S43,Scores_2014_N!S43,Scores_2017!S43)</f>
        <v>68.2546071566599</v>
      </c>
      <c r="T43" s="561">
        <f>CHOOSE(uxb_works!$B$46,Scores_2014_O!T43,Scores_2014_N!T43,Scores_2017!T43)</f>
        <v>93.8334166621995</v>
      </c>
      <c r="U43" s="561">
        <f>CHOOSE(uxb_works!$B$46,Scores_2014_O!U43,Scores_2014_N!U43,Scores_2017!U43)</f>
        <v>42.1234767040368</v>
      </c>
      <c r="V43" s="561">
        <f>CHOOSE(uxb_works!$B$46,Scores_2014_O!V43,Scores_2014_N!V43,Scores_2017!V43)</f>
        <v>42.5610206525344</v>
      </c>
      <c r="W43" s="561">
        <f>CHOOSE(uxb_works!$B$46,Scores_2014_O!W43,Scores_2014_N!W43,Scores_2017!W43)</f>
        <v>92.8719673985503</v>
      </c>
      <c r="X43" s="561">
        <f>CHOOSE(uxb_works!$B$46,Scores_2014_O!X43,Scores_2014_N!X43,Scores_2017!X43)</f>
        <v>87.7465682164238</v>
      </c>
      <c r="Y43" s="561">
        <f>CHOOSE(uxb_works!$B$46,Scores_2014_O!Z43,Scores_2014_N!Y43,Scores_2017!Y43)</f>
        <v>61.3200367776748</v>
      </c>
      <c r="Z43" s="561">
        <f>CHOOSE(uxb_works!$B$46,Scores_2014_O!AA43,Scores_2014_N!Z43,Scores_2017!Z43)</f>
        <v>55.1310084025636</v>
      </c>
      <c r="AA43" s="561">
        <f>CHOOSE(uxb_works!$B$46,Scores_2014_O!AB43,Scores_2014_N!AA43,Scores_2017!AA43)</f>
        <v>38.1069812843681</v>
      </c>
      <c r="AB43" s="561">
        <f>CHOOSE(uxb_works!$B$46,Scores_2014_O!AC43,Scores_2014_N!AB43,Scores_2017!AB43)</f>
        <v>89.7594639353298</v>
      </c>
      <c r="AC43" s="561">
        <f>CHOOSE(uxb_works!$B$46,Scores_2014_O!AD43,Scores_2014_N!AC43,Scores_2017!AC43)</f>
        <v>70.0087411590888</v>
      </c>
      <c r="AD43" s="561">
        <f>CHOOSE(uxb_works!$B$46,Scores_2014_O!AE43,Scores_2014_N!AD43,Scores_2017!AD43)</f>
        <v>59.9028303592212</v>
      </c>
      <c r="AE43" s="561">
        <f>CHOOSE(uxb_works!$B$46,Scores_2014_O!AF43,Scores_2014_N!AE43,Scores_2017!AE43)</f>
        <v>49.8789889553594</v>
      </c>
      <c r="AF43" s="561">
        <f>CHOOSE(uxb_works!$B$46,Scores_2014_O!AG43,Scores_2014_N!AF43,Scores_2017!AF43)</f>
        <v>47.0717472649813</v>
      </c>
      <c r="AG43" s="561">
        <f>CHOOSE(uxb_works!$B$46,Scores_2014_O!AH43,Scores_2014_N!AG43,Scores_2017!AG43)</f>
        <v>95.1331650347542</v>
      </c>
      <c r="AH43" s="561">
        <f>CHOOSE(uxb_works!$B$46,Scores_2014_O!AI43,Scores_2014_N!AH43,Scores_2017!AH43)</f>
        <v>98.048445145227</v>
      </c>
      <c r="AI43" s="561">
        <f>CHOOSE(uxb_works!$B$46,Scores_2014_O!AJ43,Scores_2014_N!AI43,Scores_2017!AI43)</f>
        <v>90.0661521771969</v>
      </c>
      <c r="AJ43" s="561">
        <f>CHOOSE(uxb_works!$B$46,Scores_2014_O!AK43,Scores_2014_N!AJ43,Scores_2017!AJ43)</f>
        <v>75.9161622281857</v>
      </c>
      <c r="AK43" s="561">
        <f>CHOOSE(uxb_works!$B$46,Scores_2014_O!AL43,Scores_2014_N!AK43,Scores_2017!AK43)</f>
        <v>63.5253834339332</v>
      </c>
      <c r="AL43" s="561">
        <f>CHOOSE(uxb_works!$B$46,Scores_2014_O!AM43,Scores_2014_N!AL43,Scores_2017!AL43)</f>
        <v>69.7633905655951</v>
      </c>
      <c r="AM43" s="561">
        <f>CHOOSE(uxb_works!$B$46,Scores_2014_O!AN43,Scores_2014_N!AM43,Scores_2017!AM43)</f>
        <v>0</v>
      </c>
      <c r="AN43" s="561">
        <f>CHOOSE(uxb_works!$B$46,Scores_2014_O!AO43,Scores_2014_N!AN43,Scores_2017!AN43)</f>
        <v>74.1146880028668</v>
      </c>
      <c r="AO43" s="561">
        <f>CHOOSE(uxb_works!$B$46,Scores_2014_O!AP43,Scores_2014_N!AO43,Scores_2017!AO43)</f>
        <v>84.5223146221474</v>
      </c>
      <c r="AP43" s="561">
        <f>CHOOSE(uxb_works!$B$46,Scores_2014_O!AQ43,Scores_2014_N!AP43,Scores_2017!AP43)</f>
        <v>31.202558623434</v>
      </c>
      <c r="AQ43" s="561">
        <f>CHOOSE(uxb_works!$B$46,Scores_2014_O!Y43,Scores_2014_N!AQ43,Scores_2017!AQ43)</f>
        <v>63.9538994918201</v>
      </c>
      <c r="AR43" s="561">
        <f>CHOOSE(uxb_works!$B$46,Scores_2014_O!AR43,Scores_2014_N!AR43,Scores_2017!AR43)</f>
        <v>96.0873847375117</v>
      </c>
      <c r="AS43" s="561">
        <f>CHOOSE(uxb_works!$B$46,Scores_2014_O!AS43,Scores_2014_N!AS43,Scores_2017!AS43)</f>
        <v>77.3692589638991</v>
      </c>
      <c r="AT43" s="561">
        <f>CHOOSE(uxb_works!$B$46,Scores_2014_O!AT43,Scores_2014_N!AT43,Scores_2017!AT43)</f>
        <v>93.8334166621995</v>
      </c>
      <c r="AU43" s="561">
        <f>CHOOSE(uxb_works!$B$46,Scores_2014_O!AU43,Scores_2014_N!AU43,Scores_2017!AU43)</f>
        <v>79.3187918671343</v>
      </c>
      <c r="AV43" s="561">
        <f>CHOOSE(uxb_works!$B$46,Scores_2014_O!AV43,Scores_2014_N!AV43,Scores_2017!AV43)</f>
        <v>97.3653323336338</v>
      </c>
      <c r="AW43" s="561">
        <f>CHOOSE(uxb_works!$B$46,Scores_2014_O!AW43,Scores_2014_N!AW43,Scores_2017!AW43)</f>
        <v>58.2486893128869</v>
      </c>
      <c r="AX43" s="561">
        <f>CHOOSE(uxb_works!$B$46,Scores_2014_O!AX43,Scores_2014_N!AX43,Scores_2017!AX43)</f>
        <v>91.844943980026</v>
      </c>
      <c r="AY43" s="561">
        <f>CHOOSE(uxb_works!$B$46,Scores_2014_O!AY43,Scores_2014_N!AY43,Scores_2017!AY43)</f>
        <v>37.2834053390645</v>
      </c>
      <c r="AZ43" s="561">
        <f>CHOOSE(uxb_works!$B$46,Scores_2014_O!AZ43,Scores_2014_N!AZ43,Scores_2017!AZ43)</f>
        <v>91.4272711327897</v>
      </c>
      <c r="BA43" s="561">
        <f>CHOOSE(uxb_works!$B$46,Scores_2014_O!BA43,Scores_2014_N!BA43,Scores_2017!BA43)</f>
        <v>84.239075581722</v>
      </c>
      <c r="BB43" s="561">
        <f>CHOOSE(uxb_works!$B$46,Scores_2014_O!BB43,Scores_2014_N!BB43,Scores_2017!BB43)</f>
        <v>83.2310388971492</v>
      </c>
      <c r="BC43" s="561">
        <f>CHOOSE(uxb_works!$B$46,Scores_2014_O!BC43,Scores_2014_N!BC43,Scores_2017!BC43)</f>
        <v>95.1957066120511</v>
      </c>
      <c r="BD43" s="561">
        <f>CHOOSE(uxb_works!$B$46,Scores_2014_O!BD43,Scores_2014_N!BD43,Scores_2017!BD43)</f>
        <v>29.0893490673128</v>
      </c>
      <c r="BE43" s="561">
        <f>CHOOSE(uxb_works!$B$46,Scores_2014_O!BE43,Scores_2014_N!BE43,Scores_2017!BE43)</f>
        <v>47.182724133819</v>
      </c>
      <c r="BF43" s="561">
        <f>CHOOSE(uxb_works!$B$46,Scores_2014_O!BF43,Scores_2014_N!BF43,Scores_2017!BF43)</f>
        <v>69.7633905655951</v>
      </c>
      <c r="BG43" s="561">
        <f>CHOOSE(uxb_works!$B$46,Scores_2014_O!BG43,Scores_2014_N!BG43,Scores_2017!BG43)</f>
        <v>86.8700932363754</v>
      </c>
      <c r="BH43" s="561">
        <f>CHOOSE(uxb_works!$B$46,Scores_2014_O!BH43,Scores_2014_N!BH43,Scores_2017!BH43)</f>
        <v>77.3692589638991</v>
      </c>
      <c r="BI43" s="561">
        <f>CHOOSE(uxb_works!$B$46,Scores_2014_O!BI43,Scores_2014_N!BI43,Scores_2017!BI43)</f>
        <v>44.9503295623001</v>
      </c>
      <c r="BJ43" s="561">
        <f>CHOOSE(uxb_works!$B$46,Scores_2014_O!BJ43,Scores_2014_N!BJ43,Scores_2017!BJ43)</f>
        <v>47.182724133819</v>
      </c>
      <c r="BK43" s="561">
        <f>CHOOSE(uxb_works!$B$46,Scores_2014_O!BK43,Scores_2014_N!BK43,Scores_2017!BK43)</f>
        <v>47.3324437698344</v>
      </c>
      <c r="BL43" s="561">
        <f>CHOOSE(uxb_works!$B$46,Scores_2014_O!BL43,Scores_2014_N!BL43,Scores_2017!BL43)</f>
        <v>42.1234767040368</v>
      </c>
      <c r="BM43" s="561">
        <f>CHOOSE(uxb_works!$B$46,Scores_2014_O!BM43,Scores_2014_N!BM43,Scores_2017!BM43)</f>
        <v>92.0719269061078</v>
      </c>
      <c r="BN43" s="561">
        <f>CHOOSE(uxb_works!$B$46,Scores_2014_O!BN43,Scores_2014_N!BN43,Scores_2017!BN43)</f>
        <v>98.5078906358577</v>
      </c>
      <c r="BO43" s="561">
        <f>CHOOSE(uxb_works!$B$46,Scores_2014_O!BO43,Scores_2014_N!BO43,Scores_2017!BO43)</f>
        <v>94.2920102668396</v>
      </c>
      <c r="BP43" s="561">
        <f>CHOOSE(uxb_works!$B$46,Scores_2014_O!BP43,Scores_2014_N!BP43,Scores_2017!BP43)</f>
        <v>91.041806607229</v>
      </c>
      <c r="BQ43" s="561">
        <f>CHOOSE(uxb_works!$B$46,Scores_2014_O!BQ43,Scores_2014_N!BQ43,Scores_2017!BQ43)</f>
        <v>13.4392535006667</v>
      </c>
      <c r="BR43" s="561">
        <f>CHOOSE(uxb_works!$B$46,Scores_2014_O!BR43,Scores_2014_N!BR43,Scores_2017!BR43)</f>
        <v>83.2310388971492</v>
      </c>
      <c r="BS43" s="561">
        <f>CHOOSE(uxb_works!$B$46,Scores_2014_O!BS43,Scores_2014_N!BS43,Scores_2017!BS43)</f>
        <v>92.4353812950442</v>
      </c>
      <c r="BT43" s="561">
        <f>CHOOSE(uxb_works!$B$46,Scores_2014_O!BT43,Scores_2014_N!BT43,Scores_2017!BT43)</f>
        <v>76.7558824801649</v>
      </c>
      <c r="BU43" s="561">
        <f>CHOOSE(uxb_works!$B$46,Scores_2014_O!BU43,Scores_2014_N!BU43,Scores_2017!BU43)</f>
        <v>95.2578481472852</v>
      </c>
      <c r="BV43" s="561">
        <f>CHOOSE(uxb_works!$B$46,Scores_2014_O!BV43,Scores_2014_N!BV43,Scores_2017!BV43)</f>
        <v>37.4704282563162</v>
      </c>
      <c r="BW43" s="561">
        <f>CHOOSE(uxb_works!$B$46,Scores_2014_O!BW43,Scores_2014_N!BW43,Scores_2017!BW43)</f>
        <v>93.5628956049292</v>
      </c>
      <c r="BX43" s="561">
        <f>CHOOSE(uxb_works!$B$46,Scores_2014_O!BX43,Scores_2014_N!BX43,Scores_2017!BX43)</f>
        <v>83.2310388971492</v>
      </c>
      <c r="BY43"/>
      <c r="BZ43" s="214"/>
      <c r="CA43" s="214"/>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row>
    <row r="44" s="69" customFormat="1" ht="24.95" customHeight="1" spans="1:130">
      <c r="A44"/>
      <c r="B44" s="92">
        <f>tblIndicators!A40</f>
        <v>39</v>
      </c>
      <c r="C44" s="92"/>
      <c r="D44" s="92"/>
      <c r="E44" s="92"/>
      <c r="F44" s="92">
        <f>CHOOSE(uxb_works!$B$46,Scores_2014_O!F44,Scores_2014_N!F44,Scores_2017!F44)</f>
        <v>3</v>
      </c>
      <c r="G44" s="92"/>
      <c r="H44" s="92"/>
      <c r="I44" s="104"/>
      <c r="J44" s="92"/>
      <c r="K44" s="92"/>
      <c r="L44" s="165"/>
      <c r="M44" s="92"/>
      <c r="N44" s="105" t="str">
        <f>REPT(" ",F44)&amp;CHOOSE(uxb_works!$B$46,Scores_2014_O!N44,Scores_2014_N!N44,Scores_2017!N44)</f>
        <v>      3.2.4) Percentage living in slums</v>
      </c>
      <c r="O44" s="556">
        <f>CHOOSE(uxb_works!$B$46,Scores_2014_O!O44,Scores_2014_N!O44,Scores_2017!O44)</f>
        <v>0.2</v>
      </c>
      <c r="P44" s="557">
        <f>CHOOSE(uxb_works!$B$46,Scores_2014_O!P44,Scores_2014_N!P44,Scores_2017!P44)</f>
        <v>100</v>
      </c>
      <c r="Q44" s="561">
        <f>CHOOSE(uxb_works!$B$46,Scores_2014_O!Q44,Scores_2014_N!Q44,Scores_2017!Q44)</f>
        <v>94.1923774954628</v>
      </c>
      <c r="R44" s="561">
        <f>CHOOSE(uxb_works!$B$46,Scores_2014_O!R44,Scores_2014_N!R44,Scores_2017!R44)</f>
        <v>88.5662431941924</v>
      </c>
      <c r="S44" s="561">
        <f>CHOOSE(uxb_works!$B$46,Scores_2014_O!S44,Scores_2014_N!S44,Scores_2017!S44)</f>
        <v>54.6279491833031</v>
      </c>
      <c r="T44" s="561">
        <f>CHOOSE(uxb_works!$B$46,Scores_2014_O!T44,Scores_2014_N!T44,Scores_2017!T44)</f>
        <v>100</v>
      </c>
      <c r="U44" s="561">
        <f>CHOOSE(uxb_works!$B$46,Scores_2014_O!U44,Scores_2014_N!U44,Scores_2017!U44)</f>
        <v>54.2649727767695</v>
      </c>
      <c r="V44" s="561">
        <f>CHOOSE(uxb_works!$B$46,Scores_2014_O!V44,Scores_2014_N!V44,Scores_2017!V44)</f>
        <v>76.2250453720508</v>
      </c>
      <c r="W44" s="561">
        <f>CHOOSE(uxb_works!$B$46,Scores_2014_O!W44,Scores_2014_N!W44,Scores_2017!W44)</f>
        <v>96.551724137931</v>
      </c>
      <c r="X44" s="561">
        <f>CHOOSE(uxb_works!$B$46,Scores_2014_O!X44,Scores_2014_N!X44,Scores_2017!X44)</f>
        <v>69.6914700544465</v>
      </c>
      <c r="Y44" s="561">
        <f>CHOOSE(uxb_works!$B$46,Scores_2014_O!Z44,Scores_2014_N!Y44,Scores_2017!Y44)</f>
        <v>80.7622504537205</v>
      </c>
      <c r="Z44" s="561">
        <f>CHOOSE(uxb_works!$B$46,Scores_2014_O!AA44,Scores_2014_N!Z44,Scores_2017!Z44)</f>
        <v>41.923774954628</v>
      </c>
      <c r="AA44" s="561">
        <f>CHOOSE(uxb_works!$B$46,Scores_2014_O!AB44,Scores_2014_N!AA44,Scores_2017!AA44)</f>
        <v>76.2250453720508</v>
      </c>
      <c r="AB44" s="561">
        <f>CHOOSE(uxb_works!$B$46,Scores_2014_O!AC44,Scores_2014_N!AB44,Scores_2017!AB44)</f>
        <v>97.6720880162073</v>
      </c>
      <c r="AC44" s="561">
        <f>CHOOSE(uxb_works!$B$46,Scores_2014_O!AD44,Scores_2014_N!AC44,Scores_2017!AC44)</f>
        <v>98.7294650710119</v>
      </c>
      <c r="AD44" s="561">
        <f>CHOOSE(uxb_works!$B$46,Scores_2014_O!AE44,Scores_2014_N!AD44,Scores_2017!AD44)</f>
        <v>56.442831215971</v>
      </c>
      <c r="AE44" s="561">
        <f>CHOOSE(uxb_works!$B$46,Scores_2014_O!AF44,Scores_2014_N!AE44,Scores_2017!AE44)</f>
        <v>0</v>
      </c>
      <c r="AF44" s="561">
        <f>CHOOSE(uxb_works!$B$46,Scores_2014_O!AG44,Scores_2014_N!AF44,Scores_2017!AF44)</f>
        <v>100</v>
      </c>
      <c r="AG44" s="561">
        <f>CHOOSE(uxb_works!$B$46,Scores_2014_O!AH44,Scores_2014_N!AG44,Scores_2017!AG44)</f>
        <v>96.7332123411978</v>
      </c>
      <c r="AH44" s="561">
        <f>CHOOSE(uxb_works!$B$46,Scores_2014_O!AI44,Scores_2014_N!AH44,Scores_2017!AH44)</f>
        <v>50.6352087114338</v>
      </c>
      <c r="AI44" s="561">
        <f>CHOOSE(uxb_works!$B$46,Scores_2014_O!AJ44,Scores_2014_N!AI44,Scores_2017!AI44)</f>
        <v>98.8448487473829</v>
      </c>
      <c r="AJ44" s="561">
        <f>CHOOSE(uxb_works!$B$46,Scores_2014_O!AK44,Scores_2014_N!AJ44,Scores_2017!AJ44)</f>
        <v>78.4029038112523</v>
      </c>
      <c r="AK44" s="561">
        <f>CHOOSE(uxb_works!$B$46,Scores_2014_O!AL44,Scores_2014_N!AK44,Scores_2017!AK44)</f>
        <v>60.4355716878403</v>
      </c>
      <c r="AL44" s="561">
        <f>CHOOSE(uxb_works!$B$46,Scores_2014_O!AM44,Scores_2014_N!AL44,Scores_2017!AL44)</f>
        <v>67.3321234119782</v>
      </c>
      <c r="AM44" s="561">
        <f>CHOOSE(uxb_works!$B$46,Scores_2014_O!AN44,Scores_2014_N!AM44,Scores_2017!AM44)</f>
        <v>58.2577132486388</v>
      </c>
      <c r="AN44" s="561">
        <f>CHOOSE(uxb_works!$B$46,Scores_2014_O!AO44,Scores_2014_N!AN44,Scores_2017!AN44)</f>
        <v>17.4228675136116</v>
      </c>
      <c r="AO44" s="561">
        <f>CHOOSE(uxb_works!$B$46,Scores_2014_O!AP44,Scores_2014_N!AO44,Scores_2017!AO44)</f>
        <v>96.3702359346643</v>
      </c>
      <c r="AP44" s="561">
        <f>CHOOSE(uxb_works!$B$46,Scores_2014_O!AQ44,Scores_2014_N!AP44,Scores_2017!AP44)</f>
        <v>100</v>
      </c>
      <c r="AQ44" s="561">
        <f>CHOOSE(uxb_works!$B$46,Scores_2014_O!Y44,Scores_2014_N!AQ44,Scores_2017!AQ44)</f>
        <v>37.9310344827586</v>
      </c>
      <c r="AR44" s="561">
        <f>CHOOSE(uxb_works!$B$46,Scores_2014_O!AR44,Scores_2014_N!AR44,Scores_2017!AR44)</f>
        <v>99.3647912885663</v>
      </c>
      <c r="AS44" s="561">
        <f>CHOOSE(uxb_works!$B$46,Scores_2014_O!AS44,Scores_2014_N!AS44,Scores_2017!AS44)</f>
        <v>97.0355600896785</v>
      </c>
      <c r="AT44" s="561">
        <f>CHOOSE(uxb_works!$B$46,Scores_2014_O!AT44,Scores_2014_N!AT44,Scores_2017!AT44)</f>
        <v>98.5083161375332</v>
      </c>
      <c r="AU44" s="561">
        <f>CHOOSE(uxb_works!$B$46,Scores_2014_O!AU44,Scores_2014_N!AU44,Scores_2017!AU44)</f>
        <v>30.4900181488203</v>
      </c>
      <c r="AV44" s="561">
        <f>CHOOSE(uxb_works!$B$46,Scores_2014_O!AV44,Scores_2014_N!AV44,Scores_2017!AV44)</f>
        <v>98.8747731397459</v>
      </c>
      <c r="AW44" s="561">
        <f>CHOOSE(uxb_works!$B$46,Scores_2014_O!AW44,Scores_2014_N!AW44,Scores_2017!AW44)</f>
        <v>79.8548094373866</v>
      </c>
      <c r="AX44" s="561">
        <f>CHOOSE(uxb_works!$B$46,Scores_2014_O!AX44,Scores_2014_N!AX44,Scores_2017!AX44)</f>
        <v>82.5771324863884</v>
      </c>
      <c r="AY44" s="561">
        <f>CHOOSE(uxb_works!$B$46,Scores_2014_O!AY44,Scores_2014_N!AY44,Scores_2017!AY44)</f>
        <v>94.1923774954628</v>
      </c>
      <c r="AZ44" s="561">
        <f>CHOOSE(uxb_works!$B$46,Scores_2014_O!AZ44,Scores_2014_N!AZ44,Scores_2017!AZ44)</f>
        <v>56.442831215971</v>
      </c>
      <c r="BA44" s="561">
        <f>CHOOSE(uxb_works!$B$46,Scores_2014_O!BA44,Scores_2014_N!BA44,Scores_2017!BA44)</f>
        <v>94.1809814030387</v>
      </c>
      <c r="BB44" s="561">
        <f>CHOOSE(uxb_works!$B$46,Scores_2014_O!BB44,Scores_2014_N!BB44,Scores_2017!BB44)</f>
        <v>99.487900103649</v>
      </c>
      <c r="BC44" s="561">
        <f>CHOOSE(uxb_works!$B$46,Scores_2014_O!BC44,Scores_2014_N!BC44,Scores_2017!BC44)</f>
        <v>95.8257713248639</v>
      </c>
      <c r="BD44" s="561">
        <f>CHOOSE(uxb_works!$B$46,Scores_2014_O!BD44,Scores_2014_N!BD44,Scores_2017!BD44)</f>
        <v>34.6642468239564</v>
      </c>
      <c r="BE44" s="561">
        <f>CHOOSE(uxb_works!$B$46,Scores_2014_O!BE44,Scores_2014_N!BE44,Scores_2017!BE44)</f>
        <v>59.5281306715064</v>
      </c>
      <c r="BF44" s="561">
        <f>CHOOSE(uxb_works!$B$46,Scores_2014_O!BF44,Scores_2014_N!BF44,Scores_2017!BF44)</f>
        <v>67.3321234119782</v>
      </c>
      <c r="BG44" s="561">
        <f>CHOOSE(uxb_works!$B$46,Scores_2014_O!BG44,Scores_2014_N!BG44,Scores_2017!BG44)</f>
        <v>82.5771324863884</v>
      </c>
      <c r="BH44" s="561">
        <f>CHOOSE(uxb_works!$B$46,Scores_2014_O!BH44,Scores_2014_N!BH44,Scores_2017!BH44)</f>
        <v>95.997770370784</v>
      </c>
      <c r="BI44" s="561">
        <f>CHOOSE(uxb_works!$B$46,Scores_2014_O!BI44,Scores_2014_N!BI44,Scores_2017!BI44)</f>
        <v>83.6660617059891</v>
      </c>
      <c r="BJ44" s="561">
        <f>CHOOSE(uxb_works!$B$46,Scores_2014_O!BJ44,Scores_2014_N!BJ44,Scores_2017!BJ44)</f>
        <v>59.5281306715064</v>
      </c>
      <c r="BK44" s="561">
        <f>CHOOSE(uxb_works!$B$46,Scores_2014_O!BK44,Scores_2014_N!BK44,Scores_2017!BK44)</f>
        <v>99.9760868840687</v>
      </c>
      <c r="BL44" s="561">
        <f>CHOOSE(uxb_works!$B$46,Scores_2014_O!BL44,Scores_2014_N!BL44,Scores_2017!BL44)</f>
        <v>54.2649727767695</v>
      </c>
      <c r="BM44" s="561">
        <f>CHOOSE(uxb_works!$B$46,Scores_2014_O!BM44,Scores_2014_N!BM44,Scores_2017!BM44)</f>
        <v>100</v>
      </c>
      <c r="BN44" s="561">
        <f>CHOOSE(uxb_works!$B$46,Scores_2014_O!BN44,Scores_2014_N!BN44,Scores_2017!BN44)</f>
        <v>96.3702359346643</v>
      </c>
      <c r="BO44" s="561">
        <f>CHOOSE(uxb_works!$B$46,Scores_2014_O!BO44,Scores_2014_N!BO44,Scores_2017!BO44)</f>
        <v>98.8747731397459</v>
      </c>
      <c r="BP44" s="561">
        <f>CHOOSE(uxb_works!$B$46,Scores_2014_O!BP44,Scores_2014_N!BP44,Scores_2017!BP44)</f>
        <v>100</v>
      </c>
      <c r="BQ44" s="561">
        <f>CHOOSE(uxb_works!$B$46,Scores_2014_O!BQ44,Scores_2014_N!BQ44,Scores_2017!BQ44)</f>
        <v>5.80762250453721</v>
      </c>
      <c r="BR44" s="561">
        <f>CHOOSE(uxb_works!$B$46,Scores_2014_O!BR44,Scores_2014_N!BR44,Scores_2017!BR44)</f>
        <v>99.9242114964086</v>
      </c>
      <c r="BS44" s="561">
        <f>CHOOSE(uxb_works!$B$46,Scores_2014_O!BS44,Scores_2014_N!BS44,Scores_2017!BS44)</f>
        <v>96.4609800362976</v>
      </c>
      <c r="BT44" s="561">
        <f>CHOOSE(uxb_works!$B$46,Scores_2014_O!BT44,Scores_2014_N!BT44,Scores_2017!BT44)</f>
        <v>98.2563047491741</v>
      </c>
      <c r="BU44" s="561">
        <f>CHOOSE(uxb_works!$B$46,Scores_2014_O!BU44,Scores_2014_N!BU44,Scores_2017!BU44)</f>
        <v>98.7295825771325</v>
      </c>
      <c r="BV44" s="561">
        <f>CHOOSE(uxb_works!$B$46,Scores_2014_O!BV44,Scores_2014_N!BV44,Scores_2017!BV44)</f>
        <v>25.5898366606171</v>
      </c>
      <c r="BW44" s="561">
        <f>CHOOSE(uxb_works!$B$46,Scores_2014_O!BW44,Scores_2014_N!BW44,Scores_2017!BW44)</f>
        <v>96.9147005444646</v>
      </c>
      <c r="BX44" s="561">
        <f>CHOOSE(uxb_works!$B$46,Scores_2014_O!BX44,Scores_2014_N!BX44,Scores_2017!BX44)</f>
        <v>100</v>
      </c>
      <c r="BY44"/>
      <c r="BZ44" s="214"/>
      <c r="CA44" s="21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row>
    <row r="45" s="69" customFormat="1" ht="24.95" customHeight="1" spans="1:130">
      <c r="A45"/>
      <c r="B45" s="92">
        <f>tblIndicators!A41</f>
        <v>40</v>
      </c>
      <c r="C45" s="92"/>
      <c r="D45" s="92"/>
      <c r="E45" s="92"/>
      <c r="F45" s="92">
        <f>CHOOSE(uxb_works!$B$46,Scores_2014_O!F45,Scores_2014_N!F45,Scores_2017!F45)</f>
        <v>3</v>
      </c>
      <c r="G45" s="92"/>
      <c r="H45" s="92"/>
      <c r="I45" s="104"/>
      <c r="J45" s="92"/>
      <c r="K45" s="92"/>
      <c r="L45" s="165"/>
      <c r="M45" s="92"/>
      <c r="N45" s="105" t="str">
        <f>REPT(" ",F45)&amp;CHOOSE(uxb_works!$B$46,Scores_2014_O!N45,Scores_2014_N!N45,Scores_2017!N45)</f>
        <v>      3.2.5) Number of attacks on facilities/infrastructure</v>
      </c>
      <c r="O45" s="556">
        <f>CHOOSE(uxb_works!$B$46,Scores_2014_O!O45,Scores_2014_N!O45,Scores_2017!O45)</f>
        <v>0.2</v>
      </c>
      <c r="P45" s="557">
        <f>CHOOSE(uxb_works!$B$46,Scores_2014_O!P45,Scores_2014_N!P45,Scores_2017!P45)</f>
        <v>100</v>
      </c>
      <c r="Q45" s="561">
        <f>CHOOSE(uxb_works!$B$46,Scores_2014_O!Q45,Scores_2014_N!Q45,Scores_2017!Q45)</f>
        <v>100</v>
      </c>
      <c r="R45" s="561">
        <f>CHOOSE(uxb_works!$B$46,Scores_2014_O!R45,Scores_2014_N!R45,Scores_2017!R45)</f>
        <v>91.4893617021277</v>
      </c>
      <c r="S45" s="561">
        <f>CHOOSE(uxb_works!$B$46,Scores_2014_O!S45,Scores_2014_N!S45,Scores_2017!S45)</f>
        <v>70.2127659574468</v>
      </c>
      <c r="T45" s="561">
        <f>CHOOSE(uxb_works!$B$46,Scores_2014_O!T45,Scores_2014_N!T45,Scores_2017!T45)</f>
        <v>100</v>
      </c>
      <c r="U45" s="561">
        <f>CHOOSE(uxb_works!$B$46,Scores_2014_O!U45,Scores_2014_N!U45,Scores_2017!U45)</f>
        <v>100</v>
      </c>
      <c r="V45" s="561">
        <f>CHOOSE(uxb_works!$B$46,Scores_2014_O!V45,Scores_2014_N!V45,Scores_2017!V45)</f>
        <v>74.468085106383</v>
      </c>
      <c r="W45" s="561">
        <f>CHOOSE(uxb_works!$B$46,Scores_2014_O!W45,Scores_2014_N!W45,Scores_2017!W45)</f>
        <v>97.8723404255319</v>
      </c>
      <c r="X45" s="561">
        <f>CHOOSE(uxb_works!$B$46,Scores_2014_O!X45,Scores_2014_N!X45,Scores_2017!X45)</f>
        <v>95.7446808510638</v>
      </c>
      <c r="Y45" s="561">
        <f>CHOOSE(uxb_works!$B$46,Scores_2014_O!Z45,Scores_2014_N!Y45,Scores_2017!Y45)</f>
        <v>57.4468085106383</v>
      </c>
      <c r="Z45" s="561">
        <f>CHOOSE(uxb_works!$B$46,Scores_2014_O!AA45,Scores_2014_N!Z45,Scores_2017!Z45)</f>
        <v>100</v>
      </c>
      <c r="AA45" s="561">
        <f>CHOOSE(uxb_works!$B$46,Scores_2014_O!AB45,Scores_2014_N!AA45,Scores_2017!AA45)</f>
        <v>100</v>
      </c>
      <c r="AB45" s="561">
        <f>CHOOSE(uxb_works!$B$46,Scores_2014_O!AC45,Scores_2014_N!AB45,Scores_2017!AB45)</f>
        <v>100</v>
      </c>
      <c r="AC45" s="561">
        <f>CHOOSE(uxb_works!$B$46,Scores_2014_O!AD45,Scores_2014_N!AC45,Scores_2017!AC45)</f>
        <v>100</v>
      </c>
      <c r="AD45" s="561">
        <f>CHOOSE(uxb_works!$B$46,Scores_2014_O!AE45,Scores_2014_N!AD45,Scores_2017!AD45)</f>
        <v>91.4893617021277</v>
      </c>
      <c r="AE45" s="561">
        <f>CHOOSE(uxb_works!$B$46,Scores_2014_O!AF45,Scores_2014_N!AE45,Scores_2017!AE45)</f>
        <v>34.0425531914894</v>
      </c>
      <c r="AF45" s="561">
        <f>CHOOSE(uxb_works!$B$46,Scores_2014_O!AG45,Scores_2014_N!AF45,Scores_2017!AF45)</f>
        <v>100</v>
      </c>
      <c r="AG45" s="561">
        <f>CHOOSE(uxb_works!$B$46,Scores_2014_O!AH45,Scores_2014_N!AG45,Scores_2017!AG45)</f>
        <v>100</v>
      </c>
      <c r="AH45" s="561">
        <f>CHOOSE(uxb_works!$B$46,Scores_2014_O!AI45,Scores_2014_N!AH45,Scores_2017!AH45)</f>
        <v>100</v>
      </c>
      <c r="AI45" s="561">
        <f>CHOOSE(uxb_works!$B$46,Scores_2014_O!AJ45,Scores_2014_N!AI45,Scores_2017!AI45)</f>
        <v>100</v>
      </c>
      <c r="AJ45" s="561">
        <f>CHOOSE(uxb_works!$B$46,Scores_2014_O!AK45,Scores_2014_N!AJ45,Scores_2017!AJ45)</f>
        <v>70.2127659574468</v>
      </c>
      <c r="AK45" s="561">
        <f>CHOOSE(uxb_works!$B$46,Scores_2014_O!AL45,Scores_2014_N!AK45,Scores_2017!AK45)</f>
        <v>97.8723404255319</v>
      </c>
      <c r="AL45" s="561">
        <f>CHOOSE(uxb_works!$B$46,Scores_2014_O!AM45,Scores_2014_N!AL45,Scores_2017!AL45)</f>
        <v>100</v>
      </c>
      <c r="AM45" s="561">
        <f>CHOOSE(uxb_works!$B$46,Scores_2014_O!AN45,Scores_2014_N!AM45,Scores_2017!AM45)</f>
        <v>100</v>
      </c>
      <c r="AN45" s="561">
        <f>CHOOSE(uxb_works!$B$46,Scores_2014_O!AO45,Scores_2014_N!AN45,Scores_2017!AN45)</f>
        <v>0</v>
      </c>
      <c r="AO45" s="561">
        <f>CHOOSE(uxb_works!$B$46,Scores_2014_O!AP45,Scores_2014_N!AO45,Scores_2017!AO45)</f>
        <v>100</v>
      </c>
      <c r="AP45" s="561">
        <f>CHOOSE(uxb_works!$B$46,Scores_2014_O!AQ45,Scores_2014_N!AP45,Scores_2017!AP45)</f>
        <v>100</v>
      </c>
      <c r="AQ45" s="561">
        <f>CHOOSE(uxb_works!$B$46,Scores_2014_O!Y45,Scores_2014_N!AQ45,Scores_2017!AQ45)</f>
        <v>97.8723404255319</v>
      </c>
      <c r="AR45" s="561">
        <f>CHOOSE(uxb_works!$B$46,Scores_2014_O!AR45,Scores_2014_N!AR45,Scores_2017!AR45)</f>
        <v>95.7446808510638</v>
      </c>
      <c r="AS45" s="561">
        <f>CHOOSE(uxb_works!$B$46,Scores_2014_O!AS45,Scores_2014_N!AS45,Scores_2017!AS45)</f>
        <v>97.8723404255319</v>
      </c>
      <c r="AT45" s="561">
        <f>CHOOSE(uxb_works!$B$46,Scores_2014_O!AT45,Scores_2014_N!AT45,Scores_2017!AT45)</f>
        <v>100</v>
      </c>
      <c r="AU45" s="561">
        <f>CHOOSE(uxb_works!$B$46,Scores_2014_O!AU45,Scores_2014_N!AU45,Scores_2017!AU45)</f>
        <v>100</v>
      </c>
      <c r="AV45" s="561">
        <f>CHOOSE(uxb_works!$B$46,Scores_2014_O!AV45,Scores_2014_N!AV45,Scores_2017!AV45)</f>
        <v>100</v>
      </c>
      <c r="AW45" s="561">
        <f>CHOOSE(uxb_works!$B$46,Scores_2014_O!AW45,Scores_2014_N!AW45,Scores_2017!AW45)</f>
        <v>80.8510638297872</v>
      </c>
      <c r="AX45" s="561">
        <f>CHOOSE(uxb_works!$B$46,Scores_2014_O!AX45,Scores_2014_N!AX45,Scores_2017!AX45)</f>
        <v>100</v>
      </c>
      <c r="AY45" s="561">
        <f>CHOOSE(uxb_works!$B$46,Scores_2014_O!AY45,Scores_2014_N!AY45,Scores_2017!AY45)</f>
        <v>91.4893617021277</v>
      </c>
      <c r="AZ45" s="561">
        <f>CHOOSE(uxb_works!$B$46,Scores_2014_O!AZ45,Scores_2014_N!AZ45,Scores_2017!AZ45)</f>
        <v>93.6170212765958</v>
      </c>
      <c r="BA45" s="561">
        <f>CHOOSE(uxb_works!$B$46,Scores_2014_O!BA45,Scores_2014_N!BA45,Scores_2017!BA45)</f>
        <v>97.8723404255319</v>
      </c>
      <c r="BB45" s="561">
        <f>CHOOSE(uxb_works!$B$46,Scores_2014_O!BB45,Scores_2014_N!BB45,Scores_2017!BB45)</f>
        <v>100</v>
      </c>
      <c r="BC45" s="561">
        <f>CHOOSE(uxb_works!$B$46,Scores_2014_O!BC45,Scores_2014_N!BC45,Scores_2017!BC45)</f>
        <v>100</v>
      </c>
      <c r="BD45" s="561">
        <f>CHOOSE(uxb_works!$B$46,Scores_2014_O!BD45,Scores_2014_N!BD45,Scores_2017!BD45)</f>
        <v>100</v>
      </c>
      <c r="BE45" s="561">
        <f>CHOOSE(uxb_works!$B$46,Scores_2014_O!BE45,Scores_2014_N!BE45,Scores_2017!BE45)</f>
        <v>100</v>
      </c>
      <c r="BF45" s="561">
        <f>CHOOSE(uxb_works!$B$46,Scores_2014_O!BF45,Scores_2014_N!BF45,Scores_2017!BF45)</f>
        <v>100</v>
      </c>
      <c r="BG45" s="561">
        <f>CHOOSE(uxb_works!$B$46,Scores_2014_O!BG45,Scores_2014_N!BG45,Scores_2017!BG45)</f>
        <v>97.8723404255319</v>
      </c>
      <c r="BH45" s="561">
        <f>CHOOSE(uxb_works!$B$46,Scores_2014_O!BH45,Scores_2014_N!BH45,Scores_2017!BH45)</f>
        <v>100</v>
      </c>
      <c r="BI45" s="561">
        <f>CHOOSE(uxb_works!$B$46,Scores_2014_O!BI45,Scores_2014_N!BI45,Scores_2017!BI45)</f>
        <v>89.3617021276596</v>
      </c>
      <c r="BJ45" s="561">
        <f>CHOOSE(uxb_works!$B$46,Scores_2014_O!BJ45,Scores_2014_N!BJ45,Scores_2017!BJ45)</f>
        <v>97.8723404255319</v>
      </c>
      <c r="BK45" s="561">
        <f>CHOOSE(uxb_works!$B$46,Scores_2014_O!BK45,Scores_2014_N!BK45,Scores_2017!BK45)</f>
        <v>100</v>
      </c>
      <c r="BL45" s="561">
        <f>CHOOSE(uxb_works!$B$46,Scores_2014_O!BL45,Scores_2014_N!BL45,Scores_2017!BL45)</f>
        <v>97.8723404255319</v>
      </c>
      <c r="BM45" s="561">
        <f>CHOOSE(uxb_works!$B$46,Scores_2014_O!BM45,Scores_2014_N!BM45,Scores_2017!BM45)</f>
        <v>100</v>
      </c>
      <c r="BN45" s="561">
        <f>CHOOSE(uxb_works!$B$46,Scores_2014_O!BN45,Scores_2014_N!BN45,Scores_2017!BN45)</f>
        <v>100</v>
      </c>
      <c r="BO45" s="561">
        <f>CHOOSE(uxb_works!$B$46,Scores_2014_O!BO45,Scores_2014_N!BO45,Scores_2017!BO45)</f>
        <v>100</v>
      </c>
      <c r="BP45" s="561">
        <f>CHOOSE(uxb_works!$B$46,Scores_2014_O!BP45,Scores_2014_N!BP45,Scores_2017!BP45)</f>
        <v>100</v>
      </c>
      <c r="BQ45" s="561">
        <f>CHOOSE(uxb_works!$B$46,Scores_2014_O!BQ45,Scores_2014_N!BQ45,Scores_2017!BQ45)</f>
        <v>100</v>
      </c>
      <c r="BR45" s="561">
        <f>CHOOSE(uxb_works!$B$46,Scores_2014_O!BR45,Scores_2014_N!BR45,Scores_2017!BR45)</f>
        <v>89.3617021276596</v>
      </c>
      <c r="BS45" s="561">
        <f>CHOOSE(uxb_works!$B$46,Scores_2014_O!BS45,Scores_2014_N!BS45,Scores_2017!BS45)</f>
        <v>100</v>
      </c>
      <c r="BT45" s="561">
        <f>CHOOSE(uxb_works!$B$46,Scores_2014_O!BT45,Scores_2014_N!BT45,Scores_2017!BT45)</f>
        <v>100</v>
      </c>
      <c r="BU45" s="561">
        <f>CHOOSE(uxb_works!$B$46,Scores_2014_O!BU45,Scores_2014_N!BU45,Scores_2017!BU45)</f>
        <v>100</v>
      </c>
      <c r="BV45" s="561">
        <f>CHOOSE(uxb_works!$B$46,Scores_2014_O!BV45,Scores_2014_N!BV45,Scores_2017!BV45)</f>
        <v>89.3617021276596</v>
      </c>
      <c r="BW45" s="561">
        <f>CHOOSE(uxb_works!$B$46,Scores_2014_O!BW45,Scores_2014_N!BW45,Scores_2017!BW45)</f>
        <v>100</v>
      </c>
      <c r="BX45" s="561">
        <f>CHOOSE(uxb_works!$B$46,Scores_2014_O!BX45,Scores_2014_N!BX45,Scores_2017!BX45)</f>
        <v>100</v>
      </c>
      <c r="BY45"/>
      <c r="BZ45" s="214"/>
      <c r="CA45" s="214"/>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row>
    <row r="46" s="69" customFormat="1" ht="24.95" customHeight="1" spans="1:130">
      <c r="A46"/>
      <c r="B46" s="92">
        <f>tblIndicators!A42</f>
        <v>41</v>
      </c>
      <c r="C46" s="92"/>
      <c r="D46" s="92"/>
      <c r="E46" s="92"/>
      <c r="F46" s="92">
        <f>CHOOSE(uxb_works!$B$46,Scores_2014_O!F46,Scores_2014_N!F46,Scores_2017!F46)</f>
        <v>1</v>
      </c>
      <c r="G46" s="92"/>
      <c r="H46" s="92"/>
      <c r="I46" s="104"/>
      <c r="J46" s="92"/>
      <c r="K46" s="92"/>
      <c r="L46" s="165"/>
      <c r="M46" s="92"/>
      <c r="N46" s="105" t="str">
        <f>REPT(" ",F46)&amp;CHOOSE(uxb_works!$B$46,Scores_2014_O!N46,Scores_2014_N!N46,Scores_2017!N46)</f>
        <v>  4) PERSONAL SECURITY</v>
      </c>
      <c r="O46" s="556">
        <f>CHOOSE(uxb_works!$B$46,Scores_2014_O!O46,Scores_2014_N!O46,Scores_2017!O46)</f>
        <v>0.25</v>
      </c>
      <c r="P46" s="557">
        <f>CHOOSE(uxb_works!$B$46,Scores_2014_O!P46,Scores_2014_N!P46,Scores_2017!P46)</f>
        <v>78.9514458295227</v>
      </c>
      <c r="Q46" s="561">
        <f>CHOOSE(uxb_works!$B$46,Scores_2014_O!Q46,Scores_2014_N!Q46,Scores_2017!Q46)</f>
        <v>87.4219698337159</v>
      </c>
      <c r="R46" s="561">
        <f>CHOOSE(uxb_works!$B$46,Scores_2014_O!R46,Scores_2014_N!R46,Scores_2017!R46)</f>
        <v>69.0324345967662</v>
      </c>
      <c r="S46" s="561">
        <f>CHOOSE(uxb_works!$B$46,Scores_2014_O!S46,Scores_2014_N!S46,Scores_2017!S46)</f>
        <v>60.7978490994858</v>
      </c>
      <c r="T46" s="561">
        <f>CHOOSE(uxb_works!$B$46,Scores_2014_O!T46,Scores_2014_N!T46,Scores_2017!T46)</f>
        <v>85.2825410714879</v>
      </c>
      <c r="U46" s="561">
        <f>CHOOSE(uxb_works!$B$46,Scores_2014_O!U46,Scores_2014_N!U46,Scores_2017!U46)</f>
        <v>80.7642850729642</v>
      </c>
      <c r="V46" s="561">
        <f>CHOOSE(uxb_works!$B$46,Scores_2014_O!V46,Scores_2014_N!V46,Scores_2017!V46)</f>
        <v>55.6565121114598</v>
      </c>
      <c r="W46" s="561">
        <f>CHOOSE(uxb_works!$B$46,Scores_2014_O!W46,Scores_2014_N!W46,Scores_2017!W46)</f>
        <v>82.0869189978028</v>
      </c>
      <c r="X46" s="561">
        <f>CHOOSE(uxb_works!$B$46,Scores_2014_O!X46,Scores_2014_N!X46,Scores_2017!X46)</f>
        <v>68.413704828011</v>
      </c>
      <c r="Y46" s="561">
        <f>CHOOSE(uxb_works!$B$46,Scores_2014_O!Z46,Scores_2014_N!Y46,Scores_2017!Y46)</f>
        <v>69.7518485764992</v>
      </c>
      <c r="Z46" s="561">
        <f>CHOOSE(uxb_works!$B$46,Scores_2014_O!AA46,Scores_2014_N!Z46,Scores_2017!Z46)</f>
        <v>47.3562104802896</v>
      </c>
      <c r="AA46" s="561">
        <f>CHOOSE(uxb_works!$B$46,Scores_2014_O!AB46,Scores_2014_N!AA46,Scores_2017!AA46)</f>
        <v>62.6278293401172</v>
      </c>
      <c r="AB46" s="561">
        <f>CHOOSE(uxb_works!$B$46,Scores_2014_O!AC46,Scores_2014_N!AB46,Scores_2017!AB46)</f>
        <v>82.8362864960522</v>
      </c>
      <c r="AC46" s="561">
        <f>CHOOSE(uxb_works!$B$46,Scores_2014_O!AD46,Scores_2014_N!AC46,Scores_2017!AC46)</f>
        <v>80.7564464888033</v>
      </c>
      <c r="AD46" s="561">
        <f>CHOOSE(uxb_works!$B$46,Scores_2014_O!AE46,Scores_2014_N!AD46,Scores_2017!AD46)</f>
        <v>76.6095069933926</v>
      </c>
      <c r="AE46" s="561">
        <f>CHOOSE(uxb_works!$B$46,Scores_2014_O!AF46,Scores_2014_N!AE46,Scores_2017!AE46)</f>
        <v>67.1520713436624</v>
      </c>
      <c r="AF46" s="561">
        <f>CHOOSE(uxb_works!$B$46,Scores_2014_O!AG46,Scores_2014_N!AF46,Scores_2017!AF46)</f>
        <v>86.0356161890541</v>
      </c>
      <c r="AG46" s="561">
        <f>CHOOSE(uxb_works!$B$46,Scores_2014_O!AH46,Scores_2014_N!AG46,Scores_2017!AG46)</f>
        <v>86.7032473723624</v>
      </c>
      <c r="AH46" s="561">
        <f>CHOOSE(uxb_works!$B$46,Scores_2014_O!AI46,Scores_2014_N!AH46,Scores_2017!AH46)</f>
        <v>50.5319757552615</v>
      </c>
      <c r="AI46" s="561">
        <f>CHOOSE(uxb_works!$B$46,Scores_2014_O!AJ46,Scores_2014_N!AI46,Scores_2017!AI46)</f>
        <v>89.7543433349765</v>
      </c>
      <c r="AJ46" s="561">
        <f>CHOOSE(uxb_works!$B$46,Scores_2014_O!AK46,Scores_2014_N!AJ46,Scores_2017!AJ46)</f>
        <v>65.8383242580421</v>
      </c>
      <c r="AK46" s="561">
        <f>CHOOSE(uxb_works!$B$46,Scores_2014_O!AL46,Scores_2014_N!AK46,Scores_2017!AK46)</f>
        <v>59.2421578146951</v>
      </c>
      <c r="AL46" s="561">
        <f>CHOOSE(uxb_works!$B$46,Scores_2014_O!AM46,Scores_2014_N!AL46,Scores_2017!AL46)</f>
        <v>60.0487308886517</v>
      </c>
      <c r="AM46" s="561">
        <f>CHOOSE(uxb_works!$B$46,Scores_2014_O!AN46,Scores_2014_N!AM46,Scores_2017!AM46)</f>
        <v>57.6516857047917</v>
      </c>
      <c r="AN46" s="561">
        <f>CHOOSE(uxb_works!$B$46,Scores_2014_O!AO46,Scores_2014_N!AN46,Scores_2017!AN46)</f>
        <v>31.8451369753181</v>
      </c>
      <c r="AO46" s="561">
        <f>CHOOSE(uxb_works!$B$46,Scores_2014_O!AP46,Scores_2014_N!AO46,Scores_2017!AO46)</f>
        <v>81.0154673430812</v>
      </c>
      <c r="AP46" s="561">
        <f>CHOOSE(uxb_works!$B$46,Scores_2014_O!AQ46,Scores_2014_N!AP46,Scores_2017!AP46)</f>
        <v>74.8195711402502</v>
      </c>
      <c r="AQ46" s="561">
        <f>CHOOSE(uxb_works!$B$46,Scores_2014_O!Y46,Scores_2014_N!AQ46,Scores_2017!AQ46)</f>
        <v>60.8659369620119</v>
      </c>
      <c r="AR46" s="561">
        <f>CHOOSE(uxb_works!$B$46,Scores_2014_O!AR46,Scores_2014_N!AR46,Scores_2017!AR46)</f>
        <v>85.5168446899291</v>
      </c>
      <c r="AS46" s="561">
        <f>CHOOSE(uxb_works!$B$46,Scores_2014_O!AS46,Scores_2014_N!AS46,Scores_2017!AS46)</f>
        <v>83.4035386605523</v>
      </c>
      <c r="AT46" s="561">
        <f>CHOOSE(uxb_works!$B$46,Scores_2014_O!AT46,Scores_2014_N!AT46,Scores_2017!AT46)</f>
        <v>85.608093035832</v>
      </c>
      <c r="AU46" s="561">
        <f>CHOOSE(uxb_works!$B$46,Scores_2014_O!AU46,Scores_2014_N!AU46,Scores_2017!AU46)</f>
        <v>69.8266992823552</v>
      </c>
      <c r="AV46" s="561">
        <f>CHOOSE(uxb_works!$B$46,Scores_2014_O!AV46,Scores_2014_N!AV46,Scores_2017!AV46)</f>
        <v>88.5224801709794</v>
      </c>
      <c r="AW46" s="561">
        <f>CHOOSE(uxb_works!$B$46,Scores_2014_O!AW46,Scores_2014_N!AW46,Scores_2017!AW46)</f>
        <v>64.6211674740388</v>
      </c>
      <c r="AX46" s="561">
        <f>CHOOSE(uxb_works!$B$46,Scores_2014_O!AX46,Scores_2014_N!AX46,Scores_2017!AX46)</f>
        <v>76.8316474990319</v>
      </c>
      <c r="AY46" s="561">
        <f>CHOOSE(uxb_works!$B$46,Scores_2014_O!AY46,Scores_2014_N!AY46,Scores_2017!AY46)</f>
        <v>57.9993977184282</v>
      </c>
      <c r="AZ46" s="561">
        <f>CHOOSE(uxb_works!$B$46,Scores_2014_O!AZ46,Scores_2014_N!AZ46,Scores_2017!AZ46)</f>
        <v>77.8949584013347</v>
      </c>
      <c r="BA46" s="561">
        <f>CHOOSE(uxb_works!$B$46,Scores_2014_O!BA46,Scores_2014_N!BA46,Scores_2017!BA46)</f>
        <v>80.9777990897082</v>
      </c>
      <c r="BB46" s="561">
        <f>CHOOSE(uxb_works!$B$46,Scores_2014_O!BB46,Scores_2014_N!BB46,Scores_2017!BB46)</f>
        <v>91.5887978729324</v>
      </c>
      <c r="BC46" s="561">
        <f>CHOOSE(uxb_works!$B$46,Scores_2014_O!BC46,Scores_2014_N!BC46,Scores_2017!BC46)</f>
        <v>77.226721931029</v>
      </c>
      <c r="BD46" s="561">
        <f>CHOOSE(uxb_works!$B$46,Scores_2014_O!BD46,Scores_2014_N!BD46,Scores_2017!BD46)</f>
        <v>55.4102267732664</v>
      </c>
      <c r="BE46" s="561">
        <f>CHOOSE(uxb_works!$B$46,Scores_2014_O!BE46,Scores_2014_N!BE46,Scores_2017!BE46)</f>
        <v>69.8503800052639</v>
      </c>
      <c r="BF46" s="561">
        <f>CHOOSE(uxb_works!$B$46,Scores_2014_O!BF46,Scores_2014_N!BF46,Scores_2017!BF46)</f>
        <v>61.0368360065409</v>
      </c>
      <c r="BG46" s="561">
        <f>CHOOSE(uxb_works!$B$46,Scores_2014_O!BG46,Scores_2014_N!BG46,Scores_2017!BG46)</f>
        <v>74.3914179011257</v>
      </c>
      <c r="BH46" s="561">
        <f>CHOOSE(uxb_works!$B$46,Scores_2014_O!BH46,Scores_2014_N!BH46,Scores_2017!BH46)</f>
        <v>83.7365662265586</v>
      </c>
      <c r="BI46" s="561">
        <f>CHOOSE(uxb_works!$B$46,Scores_2014_O!BI46,Scores_2014_N!BI46,Scores_2017!BI46)</f>
        <v>71.0191127102526</v>
      </c>
      <c r="BJ46" s="561">
        <f>CHOOSE(uxb_works!$B$46,Scores_2014_O!BJ46,Scores_2014_N!BJ46,Scores_2017!BJ46)</f>
        <v>70.0810985396441</v>
      </c>
      <c r="BK46" s="561">
        <f>CHOOSE(uxb_works!$B$46,Scores_2014_O!BK46,Scores_2014_N!BK46,Scores_2017!BK46)</f>
        <v>85.3400282792049</v>
      </c>
      <c r="BL46" s="561">
        <f>CHOOSE(uxb_works!$B$46,Scores_2014_O!BL46,Scores_2014_N!BL46,Scores_2017!BL46)</f>
        <v>80.0666015670571</v>
      </c>
      <c r="BM46" s="561">
        <f>CHOOSE(uxb_works!$B$46,Scores_2014_O!BM46,Scores_2014_N!BM46,Scores_2017!BM46)</f>
        <v>94.9449789045779</v>
      </c>
      <c r="BN46" s="561">
        <f>CHOOSE(uxb_works!$B$46,Scores_2014_O!BN46,Scores_2014_N!BN46,Scores_2017!BN46)</f>
        <v>87.9337670897564</v>
      </c>
      <c r="BO46" s="561">
        <f>CHOOSE(uxb_works!$B$46,Scores_2014_O!BO46,Scores_2014_N!BO46,Scores_2017!BO46)</f>
        <v>86.4623878856006</v>
      </c>
      <c r="BP46" s="561">
        <f>CHOOSE(uxb_works!$B$46,Scores_2014_O!BP46,Scores_2014_N!BP46,Scores_2017!BP46)</f>
        <v>90.0185041025186</v>
      </c>
      <c r="BQ46" s="561">
        <f>CHOOSE(uxb_works!$B$46,Scores_2014_O!BQ46,Scores_2014_N!BQ46,Scores_2017!BQ46)</f>
        <v>59.1768197555451</v>
      </c>
      <c r="BR46" s="561">
        <f>CHOOSE(uxb_works!$B$46,Scores_2014_O!BR46,Scores_2014_N!BR46,Scores_2017!BR46)</f>
        <v>91.5679794099298</v>
      </c>
      <c r="BS46" s="561">
        <f>CHOOSE(uxb_works!$B$46,Scores_2014_O!BS46,Scores_2014_N!BS46,Scores_2017!BS46)</f>
        <v>91.5173595952457</v>
      </c>
      <c r="BT46" s="561">
        <f>CHOOSE(uxb_works!$B$46,Scores_2014_O!BT46,Scores_2014_N!BT46,Scores_2017!BT46)</f>
        <v>84.8243759199369</v>
      </c>
      <c r="BU46" s="561">
        <f>CHOOSE(uxb_works!$B$46,Scores_2014_O!BU46,Scores_2014_N!BU46,Scores_2017!BU46)</f>
        <v>92.2774938567438</v>
      </c>
      <c r="BV46" s="561">
        <f>CHOOSE(uxb_works!$B$46,Scores_2014_O!BV46,Scores_2014_N!BV46,Scores_2017!BV46)</f>
        <v>52.4301152025482</v>
      </c>
      <c r="BW46" s="561">
        <f>CHOOSE(uxb_works!$B$46,Scores_2014_O!BW46,Scores_2014_N!BW46,Scores_2017!BW46)</f>
        <v>83.7196008601868</v>
      </c>
      <c r="BX46" s="561">
        <f>CHOOSE(uxb_works!$B$46,Scores_2014_O!BX46,Scores_2014_N!BX46,Scores_2017!BX46)</f>
        <v>91.5887978729324</v>
      </c>
      <c r="BY46"/>
      <c r="BZ46" s="214"/>
      <c r="CA46" s="214"/>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row>
    <row r="47" s="69" customFormat="1" ht="24.95" customHeight="1" spans="1:130">
      <c r="A47"/>
      <c r="B47" s="92">
        <f>tblIndicators!A43</f>
        <v>42</v>
      </c>
      <c r="C47" s="92"/>
      <c r="D47" s="92"/>
      <c r="E47" s="92"/>
      <c r="F47" s="92">
        <f>CHOOSE(uxb_works!$B$46,Scores_2014_O!F47,Scores_2014_N!F47,Scores_2017!F47)</f>
        <v>2</v>
      </c>
      <c r="G47" s="92"/>
      <c r="H47" s="92"/>
      <c r="I47" s="104"/>
      <c r="J47" s="92"/>
      <c r="K47" s="92"/>
      <c r="L47" s="165"/>
      <c r="M47" s="92"/>
      <c r="N47" s="105" t="str">
        <f>REPT(" ",F47)&amp;CHOOSE(uxb_works!$B$46,Scores_2014_O!N47,Scores_2014_N!N47,Scores_2017!N47)</f>
        <v>    4.1) Personal security (Inputs)</v>
      </c>
      <c r="O47" s="556">
        <f>CHOOSE(uxb_works!$B$46,Scores_2014_O!O47,Scores_2014_N!O47,Scores_2017!O47)</f>
        <v>0.5</v>
      </c>
      <c r="P47" s="557">
        <f>CHOOSE(uxb_works!$B$46,Scores_2014_O!P47,Scores_2014_N!P47,Scores_2017!P47)</f>
        <v>71.8027210884354</v>
      </c>
      <c r="Q47" s="561">
        <f>CHOOSE(uxb_works!$B$46,Scores_2014_O!Q47,Scores_2014_N!Q47,Scores_2017!Q47)</f>
        <v>92.6077097505669</v>
      </c>
      <c r="R47" s="561">
        <f>CHOOSE(uxb_works!$B$46,Scores_2014_O!R47,Scores_2014_N!R47,Scores_2017!R47)</f>
        <v>64.5351473922903</v>
      </c>
      <c r="S47" s="561">
        <f>CHOOSE(uxb_works!$B$46,Scores_2014_O!S47,Scores_2014_N!S47,Scores_2017!S47)</f>
        <v>61.6099773242631</v>
      </c>
      <c r="T47" s="561">
        <f>CHOOSE(uxb_works!$B$46,Scores_2014_O!T47,Scores_2014_N!T47,Scores_2017!T47)</f>
        <v>90.952380952381</v>
      </c>
      <c r="U47" s="561">
        <f>CHOOSE(uxb_works!$B$46,Scores_2014_O!U47,Scores_2014_N!U47,Scores_2017!U47)</f>
        <v>85</v>
      </c>
      <c r="V47" s="561">
        <f>CHOOSE(uxb_works!$B$46,Scores_2014_O!V47,Scores_2014_N!V47,Scores_2017!V47)</f>
        <v>65.1814058956916</v>
      </c>
      <c r="W47" s="561">
        <f>CHOOSE(uxb_works!$B$46,Scores_2014_O!W47,Scores_2014_N!W47,Scores_2017!W47)</f>
        <v>83.390022675737</v>
      </c>
      <c r="X47" s="561">
        <f>CHOOSE(uxb_works!$B$46,Scores_2014_O!X47,Scores_2014_N!X47,Scores_2017!X47)</f>
        <v>68.3219954648526</v>
      </c>
      <c r="Y47" s="561">
        <f>CHOOSE(uxb_works!$B$46,Scores_2014_O!Z47,Scores_2014_N!Y47,Scores_2017!Y47)</f>
        <v>77.3242630385488</v>
      </c>
      <c r="Z47" s="561">
        <f>CHOOSE(uxb_works!$B$46,Scores_2014_O!AA47,Scores_2014_N!Z47,Scores_2017!Z47)</f>
        <v>52.2108843537415</v>
      </c>
      <c r="AA47" s="561">
        <f>CHOOSE(uxb_works!$B$46,Scores_2014_O!AB47,Scores_2014_N!AA47,Scores_2017!AA47)</f>
        <v>57.1882086167801</v>
      </c>
      <c r="AB47" s="561">
        <f>CHOOSE(uxb_works!$B$46,Scores_2014_O!AC47,Scores_2014_N!AB47,Scores_2017!AB47)</f>
        <v>88.7528344671202</v>
      </c>
      <c r="AC47" s="561">
        <f>CHOOSE(uxb_works!$B$46,Scores_2014_O!AD47,Scores_2014_N!AC47,Scores_2017!AC47)</f>
        <v>82.8571428571429</v>
      </c>
      <c r="AD47" s="561">
        <f>CHOOSE(uxb_works!$B$46,Scores_2014_O!AE47,Scores_2014_N!AD47,Scores_2017!AD47)</f>
        <v>89.172335600907</v>
      </c>
      <c r="AE47" s="561">
        <f>CHOOSE(uxb_works!$B$46,Scores_2014_O!AF47,Scores_2014_N!AE47,Scores_2017!AE47)</f>
        <v>74.4557823129252</v>
      </c>
      <c r="AF47" s="561">
        <f>CHOOSE(uxb_works!$B$46,Scores_2014_O!AG47,Scores_2014_N!AF47,Scores_2017!AF47)</f>
        <v>88.6167800453515</v>
      </c>
      <c r="AG47" s="561">
        <f>CHOOSE(uxb_works!$B$46,Scores_2014_O!AH47,Scores_2014_N!AG47,Scores_2017!AG47)</f>
        <v>91.734693877551</v>
      </c>
      <c r="AH47" s="561">
        <f>CHOOSE(uxb_works!$B$46,Scores_2014_O!AI47,Scores_2014_N!AH47,Scores_2017!AH47)</f>
        <v>35</v>
      </c>
      <c r="AI47" s="561">
        <f>CHOOSE(uxb_works!$B$46,Scores_2014_O!AJ47,Scores_2014_N!AI47,Scores_2017!AI47)</f>
        <v>92.0181405895692</v>
      </c>
      <c r="AJ47" s="561">
        <f>CHOOSE(uxb_works!$B$46,Scores_2014_O!AK47,Scores_2014_N!AJ47,Scores_2017!AJ47)</f>
        <v>71.7800453514739</v>
      </c>
      <c r="AK47" s="561">
        <f>CHOOSE(uxb_works!$B$46,Scores_2014_O!AL47,Scores_2014_N!AK47,Scores_2017!AK47)</f>
        <v>54.9433106575964</v>
      </c>
      <c r="AL47" s="561">
        <f>CHOOSE(uxb_works!$B$46,Scores_2014_O!AM47,Scores_2014_N!AL47,Scores_2017!AL47)</f>
        <v>42.8231292517007</v>
      </c>
      <c r="AM47" s="561">
        <f>CHOOSE(uxb_works!$B$46,Scores_2014_O!AN47,Scores_2014_N!AM47,Scores_2017!AM47)</f>
        <v>61.0997732426304</v>
      </c>
      <c r="AN47" s="561">
        <f>CHOOSE(uxb_works!$B$46,Scores_2014_O!AO47,Scores_2014_N!AN47,Scores_2017!AN47)</f>
        <v>37.0068027210884</v>
      </c>
      <c r="AO47" s="561">
        <f>CHOOSE(uxb_works!$B$46,Scores_2014_O!AP47,Scores_2014_N!AO47,Scores_2017!AO47)</f>
        <v>84.4557823129252</v>
      </c>
      <c r="AP47" s="561">
        <f>CHOOSE(uxb_works!$B$46,Scores_2014_O!AQ47,Scores_2014_N!AP47,Scores_2017!AP47)</f>
        <v>69.4331065759637</v>
      </c>
      <c r="AQ47" s="561">
        <f>CHOOSE(uxb_works!$B$46,Scores_2014_O!Y47,Scores_2014_N!AQ47,Scores_2017!AQ47)</f>
        <v>61.0997732426304</v>
      </c>
      <c r="AR47" s="561">
        <f>CHOOSE(uxb_works!$B$46,Scores_2014_O!AR47,Scores_2014_N!AR47,Scores_2017!AR47)</f>
        <v>94.1609977324263</v>
      </c>
      <c r="AS47" s="561">
        <f>CHOOSE(uxb_works!$B$46,Scores_2014_O!AS47,Scores_2014_N!AS47,Scores_2017!AS47)</f>
        <v>89.546485260771</v>
      </c>
      <c r="AT47" s="561">
        <f>CHOOSE(uxb_works!$B$46,Scores_2014_O!AT47,Scores_2014_N!AT47,Scores_2017!AT47)</f>
        <v>90.952380952381</v>
      </c>
      <c r="AU47" s="561">
        <f>CHOOSE(uxb_works!$B$46,Scores_2014_O!AU47,Scores_2014_N!AU47,Scores_2017!AU47)</f>
        <v>75.9637188208617</v>
      </c>
      <c r="AV47" s="561">
        <f>CHOOSE(uxb_works!$B$46,Scores_2014_O!AV47,Scores_2014_N!AV47,Scores_2017!AV47)</f>
        <v>95.1700680272109</v>
      </c>
      <c r="AW47" s="561">
        <f>CHOOSE(uxb_works!$B$46,Scores_2014_O!AW47,Scores_2014_N!AW47,Scores_2017!AW47)</f>
        <v>78.0045351473923</v>
      </c>
      <c r="AX47" s="561">
        <f>CHOOSE(uxb_works!$B$46,Scores_2014_O!AX47,Scores_2014_N!AX47,Scores_2017!AX47)</f>
        <v>80.1133786848073</v>
      </c>
      <c r="AY47" s="561">
        <f>CHOOSE(uxb_works!$B$46,Scores_2014_O!AY47,Scores_2014_N!AY47,Scores_2017!AY47)</f>
        <v>56.9614512471655</v>
      </c>
      <c r="AZ47" s="561">
        <f>CHOOSE(uxb_works!$B$46,Scores_2014_O!AZ47,Scores_2014_N!AZ47,Scores_2017!AZ47)</f>
        <v>89.172335600907</v>
      </c>
      <c r="BA47" s="561">
        <f>CHOOSE(uxb_works!$B$46,Scores_2014_O!BA47,Scores_2014_N!BA47,Scores_2017!BA47)</f>
        <v>87.8458049886622</v>
      </c>
      <c r="BB47" s="561">
        <f>CHOOSE(uxb_works!$B$46,Scores_2014_O!BB47,Scores_2014_N!BB47,Scores_2017!BB47)</f>
        <v>95.5895691609977</v>
      </c>
      <c r="BC47" s="561">
        <f>CHOOSE(uxb_works!$B$46,Scores_2014_O!BC47,Scores_2014_N!BC47,Scores_2017!BC47)</f>
        <v>79.920634920635</v>
      </c>
      <c r="BD47" s="561">
        <f>CHOOSE(uxb_works!$B$46,Scores_2014_O!BD47,Scores_2014_N!BD47,Scores_2017!BD47)</f>
        <v>48.7528344671202</v>
      </c>
      <c r="BE47" s="561">
        <f>CHOOSE(uxb_works!$B$46,Scores_2014_O!BE47,Scores_2014_N!BE47,Scores_2017!BE47)</f>
        <v>80.3401360544218</v>
      </c>
      <c r="BF47" s="561">
        <f>CHOOSE(uxb_works!$B$46,Scores_2014_O!BF47,Scores_2014_N!BF47,Scores_2017!BF47)</f>
        <v>42.8231292517007</v>
      </c>
      <c r="BG47" s="561">
        <f>CHOOSE(uxb_works!$B$46,Scores_2014_O!BG47,Scores_2014_N!BG47,Scores_2017!BG47)</f>
        <v>80.1133786848073</v>
      </c>
      <c r="BH47" s="561">
        <f>CHOOSE(uxb_works!$B$46,Scores_2014_O!BH47,Scores_2014_N!BH47,Scores_2017!BH47)</f>
        <v>89.546485260771</v>
      </c>
      <c r="BI47" s="561">
        <f>CHOOSE(uxb_works!$B$46,Scores_2014_O!BI47,Scores_2014_N!BI47,Scores_2017!BI47)</f>
        <v>66.1904761904762</v>
      </c>
      <c r="BJ47" s="561">
        <f>CHOOSE(uxb_works!$B$46,Scores_2014_O!BJ47,Scores_2014_N!BJ47,Scores_2017!BJ47)</f>
        <v>80.3401360544218</v>
      </c>
      <c r="BK47" s="561">
        <f>CHOOSE(uxb_works!$B$46,Scores_2014_O!BK47,Scores_2014_N!BK47,Scores_2017!BK47)</f>
        <v>90.1700680272109</v>
      </c>
      <c r="BL47" s="561">
        <f>CHOOSE(uxb_works!$B$46,Scores_2014_O!BL47,Scores_2014_N!BL47,Scores_2017!BL47)</f>
        <v>85</v>
      </c>
      <c r="BM47" s="561">
        <f>CHOOSE(uxb_works!$B$46,Scores_2014_O!BM47,Scores_2014_N!BM47,Scores_2017!BM47)</f>
        <v>94.875283446712</v>
      </c>
      <c r="BN47" s="561">
        <f>CHOOSE(uxb_works!$B$46,Scores_2014_O!BN47,Scores_2014_N!BN47,Scores_2017!BN47)</f>
        <v>84.5918367346939</v>
      </c>
      <c r="BO47" s="561">
        <f>CHOOSE(uxb_works!$B$46,Scores_2014_O!BO47,Scores_2014_N!BO47,Scores_2017!BO47)</f>
        <v>95.1700680272109</v>
      </c>
      <c r="BP47" s="561">
        <f>CHOOSE(uxb_works!$B$46,Scores_2014_O!BP47,Scores_2014_N!BP47,Scores_2017!BP47)</f>
        <v>93.8662131519275</v>
      </c>
      <c r="BQ47" s="561">
        <f>CHOOSE(uxb_works!$B$46,Scores_2014_O!BQ47,Scores_2014_N!BQ47,Scores_2017!BQ47)</f>
        <v>47.2562358276644</v>
      </c>
      <c r="BR47" s="561">
        <f>CHOOSE(uxb_works!$B$46,Scores_2014_O!BR47,Scores_2014_N!BR47,Scores_2017!BR47)</f>
        <v>95.5895691609977</v>
      </c>
      <c r="BS47" s="561">
        <f>CHOOSE(uxb_works!$B$46,Scores_2014_O!BS47,Scores_2014_N!BS47,Scores_2017!BS47)</f>
        <v>93.6167800453515</v>
      </c>
      <c r="BT47" s="561">
        <f>CHOOSE(uxb_works!$B$46,Scores_2014_O!BT47,Scores_2014_N!BT47,Scores_2017!BT47)</f>
        <v>93.7414965986395</v>
      </c>
      <c r="BU47" s="561">
        <f>CHOOSE(uxb_works!$B$46,Scores_2014_O!BU47,Scores_2014_N!BU47,Scores_2017!BU47)</f>
        <v>94.4557823129252</v>
      </c>
      <c r="BV47" s="561">
        <f>CHOOSE(uxb_works!$B$46,Scores_2014_O!BV47,Scores_2014_N!BV47,Scores_2017!BV47)</f>
        <v>38.3219954648526</v>
      </c>
      <c r="BW47" s="561">
        <f>CHOOSE(uxb_works!$B$46,Scores_2014_O!BW47,Scores_2014_N!BW47,Scores_2017!BW47)</f>
        <v>78.3560090702948</v>
      </c>
      <c r="BX47" s="561">
        <f>CHOOSE(uxb_works!$B$46,Scores_2014_O!BX47,Scores_2014_N!BX47,Scores_2017!BX47)</f>
        <v>95.5895691609977</v>
      </c>
      <c r="BY47"/>
      <c r="BZ47" s="214"/>
      <c r="CA47" s="214"/>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row>
    <row r="48" s="69" customFormat="1" ht="24.95" customHeight="1" spans="1:130">
      <c r="A48"/>
      <c r="B48" s="92">
        <f>tblIndicators!A44</f>
        <v>43</v>
      </c>
      <c r="C48" s="92"/>
      <c r="D48" s="92"/>
      <c r="E48" s="92"/>
      <c r="F48" s="92">
        <f>CHOOSE(uxb_works!$B$46,Scores_2014_O!F48,Scores_2014_N!F48,Scores_2017!F48)</f>
        <v>3</v>
      </c>
      <c r="G48" s="92"/>
      <c r="H48" s="92"/>
      <c r="I48" s="104"/>
      <c r="J48" s="92"/>
      <c r="K48" s="92"/>
      <c r="L48" s="165"/>
      <c r="M48" s="92"/>
      <c r="N48" s="105" t="str">
        <f>REPT(" ",F48)&amp;CHOOSE(uxb_works!$B$46,Scores_2014_O!N48,Scores_2014_N!N48,Scores_2017!N48)</f>
        <v>      4.1.1) Level of police engagement</v>
      </c>
      <c r="O48" s="556">
        <f>CHOOSE(uxb_works!$B$46,Scores_2014_O!O48,Scores_2014_N!O48,Scores_2017!O48)</f>
        <v>0.142857142857143</v>
      </c>
      <c r="P48" s="557">
        <f>CHOOSE(uxb_works!$B$46,Scores_2014_O!P48,Scores_2014_N!P48,Scores_2017!P48)</f>
        <v>100</v>
      </c>
      <c r="Q48" s="561">
        <f>CHOOSE(uxb_works!$B$46,Scores_2014_O!Q48,Scores_2014_N!Q48,Scores_2017!Q48)</f>
        <v>100</v>
      </c>
      <c r="R48" s="561">
        <f>CHOOSE(uxb_works!$B$46,Scores_2014_O!R48,Scores_2014_N!R48,Scores_2017!R48)</f>
        <v>50</v>
      </c>
      <c r="S48" s="561">
        <f>CHOOSE(uxb_works!$B$46,Scores_2014_O!S48,Scores_2014_N!S48,Scores_2017!S48)</f>
        <v>50</v>
      </c>
      <c r="T48" s="561">
        <f>CHOOSE(uxb_works!$B$46,Scores_2014_O!T48,Scores_2014_N!T48,Scores_2017!T48)</f>
        <v>100</v>
      </c>
      <c r="U48" s="561">
        <f>CHOOSE(uxb_works!$B$46,Scores_2014_O!U48,Scores_2014_N!U48,Scores_2017!U48)</f>
        <v>50</v>
      </c>
      <c r="V48" s="561">
        <f>CHOOSE(uxb_works!$B$46,Scores_2014_O!V48,Scores_2014_N!V48,Scores_2017!V48)</f>
        <v>50</v>
      </c>
      <c r="W48" s="561">
        <f>CHOOSE(uxb_works!$B$46,Scores_2014_O!W48,Scores_2014_N!W48,Scores_2017!W48)</f>
        <v>50</v>
      </c>
      <c r="X48" s="561">
        <f>CHOOSE(uxb_works!$B$46,Scores_2014_O!X48,Scores_2014_N!X48,Scores_2017!X48)</f>
        <v>50</v>
      </c>
      <c r="Y48" s="561">
        <f>CHOOSE(uxb_works!$B$46,Scores_2014_O!Z48,Scores_2014_N!Y48,Scores_2017!Y48)</f>
        <v>50</v>
      </c>
      <c r="Z48" s="561">
        <f>CHOOSE(uxb_works!$B$46,Scores_2014_O!AA48,Scores_2014_N!Z48,Scores_2017!Z48)</f>
        <v>50</v>
      </c>
      <c r="AA48" s="561">
        <f>CHOOSE(uxb_works!$B$46,Scores_2014_O!AB48,Scores_2014_N!AA48,Scores_2017!AA48)</f>
        <v>100</v>
      </c>
      <c r="AB48" s="561">
        <f>CHOOSE(uxb_works!$B$46,Scores_2014_O!AC48,Scores_2014_N!AB48,Scores_2017!AB48)</f>
        <v>100</v>
      </c>
      <c r="AC48" s="561">
        <f>CHOOSE(uxb_works!$B$46,Scores_2014_O!AD48,Scores_2014_N!AC48,Scores_2017!AC48)</f>
        <v>100</v>
      </c>
      <c r="AD48" s="561">
        <f>CHOOSE(uxb_works!$B$46,Scores_2014_O!AE48,Scores_2014_N!AD48,Scores_2017!AD48)</f>
        <v>100</v>
      </c>
      <c r="AE48" s="561">
        <f>CHOOSE(uxb_works!$B$46,Scores_2014_O!AF48,Scores_2014_N!AE48,Scores_2017!AE48)</f>
        <v>100</v>
      </c>
      <c r="AF48" s="561">
        <f>CHOOSE(uxb_works!$B$46,Scores_2014_O!AG48,Scores_2014_N!AF48,Scores_2017!AF48)</f>
        <v>100</v>
      </c>
      <c r="AG48" s="561">
        <f>CHOOSE(uxb_works!$B$46,Scores_2014_O!AH48,Scores_2014_N!AG48,Scores_2017!AG48)</f>
        <v>100</v>
      </c>
      <c r="AH48" s="561">
        <f>CHOOSE(uxb_works!$B$46,Scores_2014_O!AI48,Scores_2014_N!AH48,Scores_2017!AH48)</f>
        <v>0</v>
      </c>
      <c r="AI48" s="561">
        <f>CHOOSE(uxb_works!$B$46,Scores_2014_O!AJ48,Scores_2014_N!AI48,Scores_2017!AI48)</f>
        <v>100</v>
      </c>
      <c r="AJ48" s="561">
        <f>CHOOSE(uxb_works!$B$46,Scores_2014_O!AK48,Scores_2014_N!AJ48,Scores_2017!AJ48)</f>
        <v>50</v>
      </c>
      <c r="AK48" s="561">
        <f>CHOOSE(uxb_works!$B$46,Scores_2014_O!AL48,Scores_2014_N!AK48,Scores_2017!AK48)</f>
        <v>50</v>
      </c>
      <c r="AL48" s="561">
        <f>CHOOSE(uxb_works!$B$46,Scores_2014_O!AM48,Scores_2014_N!AL48,Scores_2017!AL48)</f>
        <v>50</v>
      </c>
      <c r="AM48" s="561">
        <f>CHOOSE(uxb_works!$B$46,Scores_2014_O!AN48,Scores_2014_N!AM48,Scores_2017!AM48)</f>
        <v>50</v>
      </c>
      <c r="AN48" s="561">
        <f>CHOOSE(uxb_works!$B$46,Scores_2014_O!AO48,Scores_2014_N!AN48,Scores_2017!AN48)</f>
        <v>100</v>
      </c>
      <c r="AO48" s="561">
        <f>CHOOSE(uxb_works!$B$46,Scores_2014_O!AP48,Scores_2014_N!AO48,Scores_2017!AO48)</f>
        <v>50</v>
      </c>
      <c r="AP48" s="561">
        <f>CHOOSE(uxb_works!$B$46,Scores_2014_O!AQ48,Scores_2014_N!AP48,Scores_2017!AP48)</f>
        <v>50</v>
      </c>
      <c r="AQ48" s="561">
        <f>CHOOSE(uxb_works!$B$46,Scores_2014_O!Y48,Scores_2014_N!AQ48,Scores_2017!AQ48)</f>
        <v>50</v>
      </c>
      <c r="AR48" s="561">
        <f>CHOOSE(uxb_works!$B$46,Scores_2014_O!AR48,Scores_2014_N!AR48,Scores_2017!AR48)</f>
        <v>100</v>
      </c>
      <c r="AS48" s="561">
        <f>CHOOSE(uxb_works!$B$46,Scores_2014_O!AS48,Scores_2014_N!AS48,Scores_2017!AS48)</f>
        <v>100</v>
      </c>
      <c r="AT48" s="561">
        <f>CHOOSE(uxb_works!$B$46,Scores_2014_O!AT48,Scores_2014_N!AT48,Scores_2017!AT48)</f>
        <v>100</v>
      </c>
      <c r="AU48" s="561">
        <f>CHOOSE(uxb_works!$B$46,Scores_2014_O!AU48,Scores_2014_N!AU48,Scores_2017!AU48)</f>
        <v>50</v>
      </c>
      <c r="AV48" s="561">
        <f>CHOOSE(uxb_works!$B$46,Scores_2014_O!AV48,Scores_2014_N!AV48,Scores_2017!AV48)</f>
        <v>100</v>
      </c>
      <c r="AW48" s="561">
        <f>CHOOSE(uxb_works!$B$46,Scores_2014_O!AW48,Scores_2014_N!AW48,Scores_2017!AW48)</f>
        <v>50</v>
      </c>
      <c r="AX48" s="561">
        <f>CHOOSE(uxb_works!$B$46,Scores_2014_O!AX48,Scores_2014_N!AX48,Scores_2017!AX48)</f>
        <v>50</v>
      </c>
      <c r="AY48" s="561">
        <f>CHOOSE(uxb_works!$B$46,Scores_2014_O!AY48,Scores_2014_N!AY48,Scores_2017!AY48)</f>
        <v>0</v>
      </c>
      <c r="AZ48" s="561">
        <f>CHOOSE(uxb_works!$B$46,Scores_2014_O!AZ48,Scores_2014_N!AZ48,Scores_2017!AZ48)</f>
        <v>100</v>
      </c>
      <c r="BA48" s="561">
        <f>CHOOSE(uxb_works!$B$46,Scores_2014_O!BA48,Scores_2014_N!BA48,Scores_2017!BA48)</f>
        <v>100</v>
      </c>
      <c r="BB48" s="561">
        <f>CHOOSE(uxb_works!$B$46,Scores_2014_O!BB48,Scores_2014_N!BB48,Scores_2017!BB48)</f>
        <v>100</v>
      </c>
      <c r="BC48" s="561">
        <f>CHOOSE(uxb_works!$B$46,Scores_2014_O!BC48,Scores_2014_N!BC48,Scores_2017!BC48)</f>
        <v>50</v>
      </c>
      <c r="BD48" s="561">
        <f>CHOOSE(uxb_works!$B$46,Scores_2014_O!BD48,Scores_2014_N!BD48,Scores_2017!BD48)</f>
        <v>50</v>
      </c>
      <c r="BE48" s="561">
        <f>CHOOSE(uxb_works!$B$46,Scores_2014_O!BE48,Scores_2014_N!BE48,Scores_2017!BE48)</f>
        <v>50</v>
      </c>
      <c r="BF48" s="561">
        <f>CHOOSE(uxb_works!$B$46,Scores_2014_O!BF48,Scores_2014_N!BF48,Scores_2017!BF48)</f>
        <v>50</v>
      </c>
      <c r="BG48" s="561">
        <f>CHOOSE(uxb_works!$B$46,Scores_2014_O!BG48,Scores_2014_N!BG48,Scores_2017!BG48)</f>
        <v>50</v>
      </c>
      <c r="BH48" s="561">
        <f>CHOOSE(uxb_works!$B$46,Scores_2014_O!BH48,Scores_2014_N!BH48,Scores_2017!BH48)</f>
        <v>100</v>
      </c>
      <c r="BI48" s="561">
        <f>CHOOSE(uxb_works!$B$46,Scores_2014_O!BI48,Scores_2014_N!BI48,Scores_2017!BI48)</f>
        <v>50</v>
      </c>
      <c r="BJ48" s="561">
        <f>CHOOSE(uxb_works!$B$46,Scores_2014_O!BJ48,Scores_2014_N!BJ48,Scores_2017!BJ48)</f>
        <v>50</v>
      </c>
      <c r="BK48" s="561">
        <f>CHOOSE(uxb_works!$B$46,Scores_2014_O!BK48,Scores_2014_N!BK48,Scores_2017!BK48)</f>
        <v>100</v>
      </c>
      <c r="BL48" s="561">
        <f>CHOOSE(uxb_works!$B$46,Scores_2014_O!BL48,Scores_2014_N!BL48,Scores_2017!BL48)</f>
        <v>50</v>
      </c>
      <c r="BM48" s="561">
        <f>CHOOSE(uxb_works!$B$46,Scores_2014_O!BM48,Scores_2014_N!BM48,Scores_2017!BM48)</f>
        <v>100</v>
      </c>
      <c r="BN48" s="561">
        <f>CHOOSE(uxb_works!$B$46,Scores_2014_O!BN48,Scores_2014_N!BN48,Scores_2017!BN48)</f>
        <v>50</v>
      </c>
      <c r="BO48" s="561">
        <f>CHOOSE(uxb_works!$B$46,Scores_2014_O!BO48,Scores_2014_N!BO48,Scores_2017!BO48)</f>
        <v>100</v>
      </c>
      <c r="BP48" s="561">
        <f>CHOOSE(uxb_works!$B$46,Scores_2014_O!BP48,Scores_2014_N!BP48,Scores_2017!BP48)</f>
        <v>100</v>
      </c>
      <c r="BQ48" s="561">
        <f>CHOOSE(uxb_works!$B$46,Scores_2014_O!BQ48,Scores_2014_N!BQ48,Scores_2017!BQ48)</f>
        <v>50</v>
      </c>
      <c r="BR48" s="561">
        <f>CHOOSE(uxb_works!$B$46,Scores_2014_O!BR48,Scores_2014_N!BR48,Scores_2017!BR48)</f>
        <v>100</v>
      </c>
      <c r="BS48" s="561">
        <f>CHOOSE(uxb_works!$B$46,Scores_2014_O!BS48,Scores_2014_N!BS48,Scores_2017!BS48)</f>
        <v>100</v>
      </c>
      <c r="BT48" s="561">
        <f>CHOOSE(uxb_works!$B$46,Scores_2014_O!BT48,Scores_2014_N!BT48,Scores_2017!BT48)</f>
        <v>100</v>
      </c>
      <c r="BU48" s="561">
        <f>CHOOSE(uxb_works!$B$46,Scores_2014_O!BU48,Scores_2014_N!BU48,Scores_2017!BU48)</f>
        <v>100</v>
      </c>
      <c r="BV48" s="561">
        <f>CHOOSE(uxb_works!$B$46,Scores_2014_O!BV48,Scores_2014_N!BV48,Scores_2017!BV48)</f>
        <v>50</v>
      </c>
      <c r="BW48" s="561">
        <f>CHOOSE(uxb_works!$B$46,Scores_2014_O!BW48,Scores_2014_N!BW48,Scores_2017!BW48)</f>
        <v>50</v>
      </c>
      <c r="BX48" s="561">
        <f>CHOOSE(uxb_works!$B$46,Scores_2014_O!BX48,Scores_2014_N!BX48,Scores_2017!BX48)</f>
        <v>100</v>
      </c>
      <c r="BY48"/>
      <c r="BZ48" s="214"/>
      <c r="CA48" s="214"/>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row>
    <row r="49" s="69" customFormat="1" ht="24.95" customHeight="1" spans="1:130">
      <c r="A49"/>
      <c r="B49" s="92">
        <f>tblIndicators!A45</f>
        <v>44</v>
      </c>
      <c r="C49" s="92"/>
      <c r="D49" s="92"/>
      <c r="E49" s="92"/>
      <c r="F49" s="92">
        <f>CHOOSE(uxb_works!$B$46,Scores_2014_O!F49,Scores_2014_N!F49,Scores_2017!F49)</f>
        <v>3</v>
      </c>
      <c r="G49" s="92"/>
      <c r="H49" s="92"/>
      <c r="I49" s="104"/>
      <c r="J49" s="92"/>
      <c r="K49" s="92"/>
      <c r="L49" s="165"/>
      <c r="M49" s="92"/>
      <c r="N49" s="105" t="str">
        <f>REPT(" ",F49)&amp;CHOOSE(uxb_works!$B$46,Scores_2014_O!N49,Scores_2014_N!N49,Scores_2017!N49)</f>
        <v>      4.1.2) Community-based patrolling</v>
      </c>
      <c r="O49" s="556">
        <f>CHOOSE(uxb_works!$B$46,Scores_2014_O!O49,Scores_2014_N!O49,Scores_2017!O49)</f>
        <v>0.142857142857143</v>
      </c>
      <c r="P49" s="557">
        <f>CHOOSE(uxb_works!$B$46,Scores_2014_O!P49,Scores_2014_N!P49,Scores_2017!P49)</f>
        <v>100</v>
      </c>
      <c r="Q49" s="561">
        <f>CHOOSE(uxb_works!$B$46,Scores_2014_O!Q49,Scores_2014_N!Q49,Scores_2017!Q49)</f>
        <v>100</v>
      </c>
      <c r="R49" s="561">
        <f>CHOOSE(uxb_works!$B$46,Scores_2014_O!R49,Scores_2014_N!R49,Scores_2017!R49)</f>
        <v>0</v>
      </c>
      <c r="S49" s="561">
        <f>CHOOSE(uxb_works!$B$46,Scores_2014_O!S49,Scores_2014_N!S49,Scores_2017!S49)</f>
        <v>100</v>
      </c>
      <c r="T49" s="561">
        <f>CHOOSE(uxb_works!$B$46,Scores_2014_O!T49,Scores_2014_N!T49,Scores_2017!T49)</f>
        <v>100</v>
      </c>
      <c r="U49" s="561">
        <f>CHOOSE(uxb_works!$B$46,Scores_2014_O!U49,Scores_2014_N!U49,Scores_2017!U49)</f>
        <v>100</v>
      </c>
      <c r="V49" s="561">
        <f>CHOOSE(uxb_works!$B$46,Scores_2014_O!V49,Scores_2014_N!V49,Scores_2017!V49)</f>
        <v>100</v>
      </c>
      <c r="W49" s="561">
        <f>CHOOSE(uxb_works!$B$46,Scores_2014_O!W49,Scores_2014_N!W49,Scores_2017!W49)</f>
        <v>100</v>
      </c>
      <c r="X49" s="561">
        <f>CHOOSE(uxb_works!$B$46,Scores_2014_O!X49,Scores_2014_N!X49,Scores_2017!X49)</f>
        <v>0</v>
      </c>
      <c r="Y49" s="561">
        <f>CHOOSE(uxb_works!$B$46,Scores_2014_O!Z49,Scores_2014_N!Y49,Scores_2017!Y49)</f>
        <v>100</v>
      </c>
      <c r="Z49" s="561">
        <f>CHOOSE(uxb_works!$B$46,Scores_2014_O!AA49,Scores_2014_N!Z49,Scores_2017!Z49)</f>
        <v>100</v>
      </c>
      <c r="AA49" s="561">
        <f>CHOOSE(uxb_works!$B$46,Scores_2014_O!AB49,Scores_2014_N!AA49,Scores_2017!AA49)</f>
        <v>0</v>
      </c>
      <c r="AB49" s="561">
        <f>CHOOSE(uxb_works!$B$46,Scores_2014_O!AC49,Scores_2014_N!AB49,Scores_2017!AB49)</f>
        <v>100</v>
      </c>
      <c r="AC49" s="561">
        <f>CHOOSE(uxb_works!$B$46,Scores_2014_O!AD49,Scores_2014_N!AC49,Scores_2017!AC49)</f>
        <v>100</v>
      </c>
      <c r="AD49" s="561">
        <f>CHOOSE(uxb_works!$B$46,Scores_2014_O!AE49,Scores_2014_N!AD49,Scores_2017!AD49)</f>
        <v>100</v>
      </c>
      <c r="AE49" s="561">
        <f>CHOOSE(uxb_works!$B$46,Scores_2014_O!AF49,Scores_2014_N!AE49,Scores_2017!AE49)</f>
        <v>100</v>
      </c>
      <c r="AF49" s="561">
        <f>CHOOSE(uxb_works!$B$46,Scores_2014_O!AG49,Scores_2014_N!AF49,Scores_2017!AF49)</f>
        <v>100</v>
      </c>
      <c r="AG49" s="561">
        <f>CHOOSE(uxb_works!$B$46,Scores_2014_O!AH49,Scores_2014_N!AG49,Scores_2017!AG49)</f>
        <v>100</v>
      </c>
      <c r="AH49" s="561">
        <f>CHOOSE(uxb_works!$B$46,Scores_2014_O!AI49,Scores_2014_N!AH49,Scores_2017!AH49)</f>
        <v>0</v>
      </c>
      <c r="AI49" s="561">
        <f>CHOOSE(uxb_works!$B$46,Scores_2014_O!AJ49,Scores_2014_N!AI49,Scores_2017!AI49)</f>
        <v>100</v>
      </c>
      <c r="AJ49" s="561">
        <f>CHOOSE(uxb_works!$B$46,Scores_2014_O!AK49,Scores_2014_N!AJ49,Scores_2017!AJ49)</f>
        <v>100</v>
      </c>
      <c r="AK49" s="561">
        <f>CHOOSE(uxb_works!$B$46,Scores_2014_O!AL49,Scores_2014_N!AK49,Scores_2017!AK49)</f>
        <v>100</v>
      </c>
      <c r="AL49" s="561">
        <f>CHOOSE(uxb_works!$B$46,Scores_2014_O!AM49,Scores_2014_N!AL49,Scores_2017!AL49)</f>
        <v>100</v>
      </c>
      <c r="AM49" s="561">
        <f>CHOOSE(uxb_works!$B$46,Scores_2014_O!AN49,Scores_2014_N!AM49,Scores_2017!AM49)</f>
        <v>100</v>
      </c>
      <c r="AN49" s="561">
        <f>CHOOSE(uxb_works!$B$46,Scores_2014_O!AO49,Scores_2014_N!AN49,Scores_2017!AN49)</f>
        <v>100</v>
      </c>
      <c r="AO49" s="561">
        <f>CHOOSE(uxb_works!$B$46,Scores_2014_O!AP49,Scores_2014_N!AO49,Scores_2017!AO49)</f>
        <v>100</v>
      </c>
      <c r="AP49" s="561">
        <f>CHOOSE(uxb_works!$B$46,Scores_2014_O!AQ49,Scores_2014_N!AP49,Scores_2017!AP49)</f>
        <v>100</v>
      </c>
      <c r="AQ49" s="561">
        <f>CHOOSE(uxb_works!$B$46,Scores_2014_O!Y49,Scores_2014_N!AQ49,Scores_2017!AQ49)</f>
        <v>100</v>
      </c>
      <c r="AR49" s="561">
        <f>CHOOSE(uxb_works!$B$46,Scores_2014_O!AR49,Scores_2014_N!AR49,Scores_2017!AR49)</f>
        <v>100</v>
      </c>
      <c r="AS49" s="561">
        <f>CHOOSE(uxb_works!$B$46,Scores_2014_O!AS49,Scores_2014_N!AS49,Scores_2017!AS49)</f>
        <v>100</v>
      </c>
      <c r="AT49" s="561">
        <f>CHOOSE(uxb_works!$B$46,Scores_2014_O!AT49,Scores_2014_N!AT49,Scores_2017!AT49)</f>
        <v>100</v>
      </c>
      <c r="AU49" s="561">
        <f>CHOOSE(uxb_works!$B$46,Scores_2014_O!AU49,Scores_2014_N!AU49,Scores_2017!AU49)</f>
        <v>100</v>
      </c>
      <c r="AV49" s="561">
        <f>CHOOSE(uxb_works!$B$46,Scores_2014_O!AV49,Scores_2014_N!AV49,Scores_2017!AV49)</f>
        <v>100</v>
      </c>
      <c r="AW49" s="561">
        <f>CHOOSE(uxb_works!$B$46,Scores_2014_O!AW49,Scores_2014_N!AW49,Scores_2017!AW49)</f>
        <v>100</v>
      </c>
      <c r="AX49" s="561">
        <f>CHOOSE(uxb_works!$B$46,Scores_2014_O!AX49,Scores_2014_N!AX49,Scores_2017!AX49)</f>
        <v>100</v>
      </c>
      <c r="AY49" s="561">
        <f>CHOOSE(uxb_works!$B$46,Scores_2014_O!AY49,Scores_2014_N!AY49,Scores_2017!AY49)</f>
        <v>100</v>
      </c>
      <c r="AZ49" s="561">
        <f>CHOOSE(uxb_works!$B$46,Scores_2014_O!AZ49,Scores_2014_N!AZ49,Scores_2017!AZ49)</f>
        <v>100</v>
      </c>
      <c r="BA49" s="561">
        <f>CHOOSE(uxb_works!$B$46,Scores_2014_O!BA49,Scores_2014_N!BA49,Scores_2017!BA49)</f>
        <v>100</v>
      </c>
      <c r="BB49" s="561">
        <f>CHOOSE(uxb_works!$B$46,Scores_2014_O!BB49,Scores_2014_N!BB49,Scores_2017!BB49)</f>
        <v>100</v>
      </c>
      <c r="BC49" s="561">
        <f>CHOOSE(uxb_works!$B$46,Scores_2014_O!BC49,Scores_2014_N!BC49,Scores_2017!BC49)</f>
        <v>100</v>
      </c>
      <c r="BD49" s="561">
        <f>CHOOSE(uxb_works!$B$46,Scores_2014_O!BD49,Scores_2014_N!BD49,Scores_2017!BD49)</f>
        <v>0</v>
      </c>
      <c r="BE49" s="561">
        <f>CHOOSE(uxb_works!$B$46,Scores_2014_O!BE49,Scores_2014_N!BE49,Scores_2017!BE49)</f>
        <v>100</v>
      </c>
      <c r="BF49" s="561">
        <f>CHOOSE(uxb_works!$B$46,Scores_2014_O!BF49,Scores_2014_N!BF49,Scores_2017!BF49)</f>
        <v>100</v>
      </c>
      <c r="BG49" s="561">
        <f>CHOOSE(uxb_works!$B$46,Scores_2014_O!BG49,Scores_2014_N!BG49,Scores_2017!BG49)</f>
        <v>100</v>
      </c>
      <c r="BH49" s="561">
        <f>CHOOSE(uxb_works!$B$46,Scores_2014_O!BH49,Scores_2014_N!BH49,Scores_2017!BH49)</f>
        <v>100</v>
      </c>
      <c r="BI49" s="561">
        <f>CHOOSE(uxb_works!$B$46,Scores_2014_O!BI49,Scores_2014_N!BI49,Scores_2017!BI49)</f>
        <v>0</v>
      </c>
      <c r="BJ49" s="561">
        <f>CHOOSE(uxb_works!$B$46,Scores_2014_O!BJ49,Scores_2014_N!BJ49,Scores_2017!BJ49)</f>
        <v>100</v>
      </c>
      <c r="BK49" s="561">
        <f>CHOOSE(uxb_works!$B$46,Scores_2014_O!BK49,Scores_2014_N!BK49,Scores_2017!BK49)</f>
        <v>100</v>
      </c>
      <c r="BL49" s="561">
        <f>CHOOSE(uxb_works!$B$46,Scores_2014_O!BL49,Scores_2014_N!BL49,Scores_2017!BL49)</f>
        <v>100</v>
      </c>
      <c r="BM49" s="561">
        <f>CHOOSE(uxb_works!$B$46,Scores_2014_O!BM49,Scores_2014_N!BM49,Scores_2017!BM49)</f>
        <v>100</v>
      </c>
      <c r="BN49" s="561">
        <f>CHOOSE(uxb_works!$B$46,Scores_2014_O!BN49,Scores_2014_N!BN49,Scores_2017!BN49)</f>
        <v>100</v>
      </c>
      <c r="BO49" s="561">
        <f>CHOOSE(uxb_works!$B$46,Scores_2014_O!BO49,Scores_2014_N!BO49,Scores_2017!BO49)</f>
        <v>100</v>
      </c>
      <c r="BP49" s="561">
        <f>CHOOSE(uxb_works!$B$46,Scores_2014_O!BP49,Scores_2014_N!BP49,Scores_2017!BP49)</f>
        <v>100</v>
      </c>
      <c r="BQ49" s="561">
        <f>CHOOSE(uxb_works!$B$46,Scores_2014_O!BQ49,Scores_2014_N!BQ49,Scores_2017!BQ49)</f>
        <v>0</v>
      </c>
      <c r="BR49" s="561">
        <f>CHOOSE(uxb_works!$B$46,Scores_2014_O!BR49,Scores_2014_N!BR49,Scores_2017!BR49)</f>
        <v>100</v>
      </c>
      <c r="BS49" s="561">
        <f>CHOOSE(uxb_works!$B$46,Scores_2014_O!BS49,Scores_2014_N!BS49,Scores_2017!BS49)</f>
        <v>100</v>
      </c>
      <c r="BT49" s="561">
        <f>CHOOSE(uxb_works!$B$46,Scores_2014_O!BT49,Scores_2014_N!BT49,Scores_2017!BT49)</f>
        <v>100</v>
      </c>
      <c r="BU49" s="561">
        <f>CHOOSE(uxb_works!$B$46,Scores_2014_O!BU49,Scores_2014_N!BU49,Scores_2017!BU49)</f>
        <v>100</v>
      </c>
      <c r="BV49" s="561">
        <f>CHOOSE(uxb_works!$B$46,Scores_2014_O!BV49,Scores_2014_N!BV49,Scores_2017!BV49)</f>
        <v>100</v>
      </c>
      <c r="BW49" s="561">
        <f>CHOOSE(uxb_works!$B$46,Scores_2014_O!BW49,Scores_2014_N!BW49,Scores_2017!BW49)</f>
        <v>100</v>
      </c>
      <c r="BX49" s="561">
        <f>CHOOSE(uxb_works!$B$46,Scores_2014_O!BX49,Scores_2014_N!BX49,Scores_2017!BX49)</f>
        <v>100</v>
      </c>
      <c r="BY49"/>
      <c r="BZ49" s="214"/>
      <c r="CA49" s="214"/>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row>
    <row r="50" s="69" customFormat="1" ht="24.95" customHeight="1" spans="1:130">
      <c r="A50"/>
      <c r="B50" s="92">
        <f>tblIndicators!A46</f>
        <v>45</v>
      </c>
      <c r="C50" s="92"/>
      <c r="D50" s="92"/>
      <c r="E50" s="92"/>
      <c r="F50" s="92">
        <f>CHOOSE(uxb_works!$B$46,Scores_2014_O!F50,Scores_2014_N!F50,Scores_2017!F50)</f>
        <v>3</v>
      </c>
      <c r="G50" s="92"/>
      <c r="H50" s="92"/>
      <c r="I50" s="104"/>
      <c r="J50" s="92"/>
      <c r="K50" s="92"/>
      <c r="L50" s="165"/>
      <c r="M50" s="92"/>
      <c r="N50" s="105" t="str">
        <f>REPT(" ",F50)&amp;CHOOSE(uxb_works!$B$46,Scores_2014_O!N50,Scores_2014_N!N50,Scores_2017!N50)</f>
        <v>      4.1.3) Available street-level crime data</v>
      </c>
      <c r="O50" s="556">
        <f>CHOOSE(uxb_works!$B$46,Scores_2014_O!O50,Scores_2014_N!O50,Scores_2017!O50)</f>
        <v>0.142857142857143</v>
      </c>
      <c r="P50" s="557">
        <f>CHOOSE(uxb_works!$B$46,Scores_2014_O!P50,Scores_2014_N!P50,Scores_2017!P50)</f>
        <v>100</v>
      </c>
      <c r="Q50" s="561">
        <f>CHOOSE(uxb_works!$B$46,Scores_2014_O!Q50,Scores_2014_N!Q50,Scores_2017!Q50)</f>
        <v>100</v>
      </c>
      <c r="R50" s="561">
        <f>CHOOSE(uxb_works!$B$46,Scores_2014_O!R50,Scores_2014_N!R50,Scores_2017!R50)</f>
        <v>100</v>
      </c>
      <c r="S50" s="561">
        <f>CHOOSE(uxb_works!$B$46,Scores_2014_O!S50,Scores_2014_N!S50,Scores_2017!S50)</f>
        <v>0</v>
      </c>
      <c r="T50" s="561">
        <f>CHOOSE(uxb_works!$B$46,Scores_2014_O!T50,Scores_2014_N!T50,Scores_2017!T50)</f>
        <v>100</v>
      </c>
      <c r="U50" s="561">
        <f>CHOOSE(uxb_works!$B$46,Scores_2014_O!U50,Scores_2014_N!U50,Scores_2017!U50)</f>
        <v>100</v>
      </c>
      <c r="V50" s="561">
        <f>CHOOSE(uxb_works!$B$46,Scores_2014_O!V50,Scores_2014_N!V50,Scores_2017!V50)</f>
        <v>0</v>
      </c>
      <c r="W50" s="561">
        <f>CHOOSE(uxb_works!$B$46,Scores_2014_O!W50,Scores_2014_N!W50,Scores_2017!W50)</f>
        <v>100</v>
      </c>
      <c r="X50" s="561">
        <f>CHOOSE(uxb_works!$B$46,Scores_2014_O!X50,Scores_2014_N!X50,Scores_2017!X50)</f>
        <v>100</v>
      </c>
      <c r="Y50" s="561">
        <f>CHOOSE(uxb_works!$B$46,Scores_2014_O!Z50,Scores_2014_N!Y50,Scores_2017!Y50)</f>
        <v>100</v>
      </c>
      <c r="Z50" s="561">
        <f>CHOOSE(uxb_works!$B$46,Scores_2014_O!AA50,Scores_2014_N!Z50,Scores_2017!Z50)</f>
        <v>0</v>
      </c>
      <c r="AA50" s="561">
        <f>CHOOSE(uxb_works!$B$46,Scores_2014_O!AB50,Scores_2014_N!AA50,Scores_2017!AA50)</f>
        <v>100</v>
      </c>
      <c r="AB50" s="561">
        <f>CHOOSE(uxb_works!$B$46,Scores_2014_O!AC50,Scores_2014_N!AB50,Scores_2017!AB50)</f>
        <v>100</v>
      </c>
      <c r="AC50" s="561">
        <f>CHOOSE(uxb_works!$B$46,Scores_2014_O!AD50,Scores_2014_N!AC50,Scores_2017!AC50)</f>
        <v>100</v>
      </c>
      <c r="AD50" s="561">
        <f>CHOOSE(uxb_works!$B$46,Scores_2014_O!AE50,Scores_2014_N!AD50,Scores_2017!AD50)</f>
        <v>100</v>
      </c>
      <c r="AE50" s="561">
        <f>CHOOSE(uxb_works!$B$46,Scores_2014_O!AF50,Scores_2014_N!AE50,Scores_2017!AE50)</f>
        <v>0</v>
      </c>
      <c r="AF50" s="561">
        <f>CHOOSE(uxb_works!$B$46,Scores_2014_O!AG50,Scores_2014_N!AF50,Scores_2017!AF50)</f>
        <v>100</v>
      </c>
      <c r="AG50" s="561">
        <f>CHOOSE(uxb_works!$B$46,Scores_2014_O!AH50,Scores_2014_N!AG50,Scores_2017!AG50)</f>
        <v>100</v>
      </c>
      <c r="AH50" s="561">
        <f>CHOOSE(uxb_works!$B$46,Scores_2014_O!AI50,Scores_2014_N!AH50,Scores_2017!AH50)</f>
        <v>0</v>
      </c>
      <c r="AI50" s="561">
        <f>CHOOSE(uxb_works!$B$46,Scores_2014_O!AJ50,Scores_2014_N!AI50,Scores_2017!AI50)</f>
        <v>100</v>
      </c>
      <c r="AJ50" s="561">
        <f>CHOOSE(uxb_works!$B$46,Scores_2014_O!AK50,Scores_2014_N!AJ50,Scores_2017!AJ50)</f>
        <v>100</v>
      </c>
      <c r="AK50" s="561">
        <f>CHOOSE(uxb_works!$B$46,Scores_2014_O!AL50,Scores_2014_N!AK50,Scores_2017!AK50)</f>
        <v>100</v>
      </c>
      <c r="AL50" s="561">
        <f>CHOOSE(uxb_works!$B$46,Scores_2014_O!AM50,Scores_2014_N!AL50,Scores_2017!AL50)</f>
        <v>0</v>
      </c>
      <c r="AM50" s="561">
        <f>CHOOSE(uxb_works!$B$46,Scores_2014_O!AN50,Scores_2014_N!AM50,Scores_2017!AM50)</f>
        <v>100</v>
      </c>
      <c r="AN50" s="561">
        <f>CHOOSE(uxb_works!$B$46,Scores_2014_O!AO50,Scores_2014_N!AN50,Scores_2017!AN50)</f>
        <v>0</v>
      </c>
      <c r="AO50" s="561">
        <f>CHOOSE(uxb_works!$B$46,Scores_2014_O!AP50,Scores_2014_N!AO50,Scores_2017!AO50)</f>
        <v>100</v>
      </c>
      <c r="AP50" s="561">
        <f>CHOOSE(uxb_works!$B$46,Scores_2014_O!AQ50,Scores_2014_N!AP50,Scores_2017!AP50)</f>
        <v>100</v>
      </c>
      <c r="AQ50" s="561">
        <f>CHOOSE(uxb_works!$B$46,Scores_2014_O!Y50,Scores_2014_N!AQ50,Scores_2017!AQ50)</f>
        <v>100</v>
      </c>
      <c r="AR50" s="561">
        <f>CHOOSE(uxb_works!$B$46,Scores_2014_O!AR50,Scores_2014_N!AR50,Scores_2017!AR50)</f>
        <v>100</v>
      </c>
      <c r="AS50" s="561">
        <f>CHOOSE(uxb_works!$B$46,Scores_2014_O!AS50,Scores_2014_N!AS50,Scores_2017!AS50)</f>
        <v>100</v>
      </c>
      <c r="AT50" s="561">
        <f>CHOOSE(uxb_works!$B$46,Scores_2014_O!AT50,Scores_2014_N!AT50,Scores_2017!AT50)</f>
        <v>100</v>
      </c>
      <c r="AU50" s="561">
        <f>CHOOSE(uxb_works!$B$46,Scores_2014_O!AU50,Scores_2014_N!AU50,Scores_2017!AU50)</f>
        <v>100</v>
      </c>
      <c r="AV50" s="561">
        <f>CHOOSE(uxb_works!$B$46,Scores_2014_O!AV50,Scores_2014_N!AV50,Scores_2017!AV50)</f>
        <v>100</v>
      </c>
      <c r="AW50" s="561">
        <f>CHOOSE(uxb_works!$B$46,Scores_2014_O!AW50,Scores_2014_N!AW50,Scores_2017!AW50)</f>
        <v>100</v>
      </c>
      <c r="AX50" s="561">
        <f>CHOOSE(uxb_works!$B$46,Scores_2014_O!AX50,Scores_2014_N!AX50,Scores_2017!AX50)</f>
        <v>100</v>
      </c>
      <c r="AY50" s="561">
        <f>CHOOSE(uxb_works!$B$46,Scores_2014_O!AY50,Scores_2014_N!AY50,Scores_2017!AY50)</f>
        <v>100</v>
      </c>
      <c r="AZ50" s="561">
        <f>CHOOSE(uxb_works!$B$46,Scores_2014_O!AZ50,Scores_2014_N!AZ50,Scores_2017!AZ50)</f>
        <v>100</v>
      </c>
      <c r="BA50" s="561">
        <f>CHOOSE(uxb_works!$B$46,Scores_2014_O!BA50,Scores_2014_N!BA50,Scores_2017!BA50)</f>
        <v>100</v>
      </c>
      <c r="BB50" s="561">
        <f>CHOOSE(uxb_works!$B$46,Scores_2014_O!BB50,Scores_2014_N!BB50,Scores_2017!BB50)</f>
        <v>100</v>
      </c>
      <c r="BC50" s="561">
        <f>CHOOSE(uxb_works!$B$46,Scores_2014_O!BC50,Scores_2014_N!BC50,Scores_2017!BC50)</f>
        <v>100</v>
      </c>
      <c r="BD50" s="561">
        <f>CHOOSE(uxb_works!$B$46,Scores_2014_O!BD50,Scores_2014_N!BD50,Scores_2017!BD50)</f>
        <v>0</v>
      </c>
      <c r="BE50" s="561">
        <f>CHOOSE(uxb_works!$B$46,Scores_2014_O!BE50,Scores_2014_N!BE50,Scores_2017!BE50)</f>
        <v>100</v>
      </c>
      <c r="BF50" s="561">
        <f>CHOOSE(uxb_works!$B$46,Scores_2014_O!BF50,Scores_2014_N!BF50,Scores_2017!BF50)</f>
        <v>0</v>
      </c>
      <c r="BG50" s="561">
        <f>CHOOSE(uxb_works!$B$46,Scores_2014_O!BG50,Scores_2014_N!BG50,Scores_2017!BG50)</f>
        <v>100</v>
      </c>
      <c r="BH50" s="561">
        <f>CHOOSE(uxb_works!$B$46,Scores_2014_O!BH50,Scores_2014_N!BH50,Scores_2017!BH50)</f>
        <v>100</v>
      </c>
      <c r="BI50" s="561">
        <f>CHOOSE(uxb_works!$B$46,Scores_2014_O!BI50,Scores_2014_N!BI50,Scores_2017!BI50)</f>
        <v>100</v>
      </c>
      <c r="BJ50" s="561">
        <f>CHOOSE(uxb_works!$B$46,Scores_2014_O!BJ50,Scores_2014_N!BJ50,Scores_2017!BJ50)</f>
        <v>100</v>
      </c>
      <c r="BK50" s="561">
        <f>CHOOSE(uxb_works!$B$46,Scores_2014_O!BK50,Scores_2014_N!BK50,Scores_2017!BK50)</f>
        <v>100</v>
      </c>
      <c r="BL50" s="561">
        <f>CHOOSE(uxb_works!$B$46,Scores_2014_O!BL50,Scores_2014_N!BL50,Scores_2017!BL50)</f>
        <v>100</v>
      </c>
      <c r="BM50" s="561">
        <f>CHOOSE(uxb_works!$B$46,Scores_2014_O!BM50,Scores_2014_N!BM50,Scores_2017!BM50)</f>
        <v>100</v>
      </c>
      <c r="BN50" s="561">
        <f>CHOOSE(uxb_works!$B$46,Scores_2014_O!BN50,Scores_2014_N!BN50,Scores_2017!BN50)</f>
        <v>100</v>
      </c>
      <c r="BO50" s="561">
        <f>CHOOSE(uxb_works!$B$46,Scores_2014_O!BO50,Scores_2014_N!BO50,Scores_2017!BO50)</f>
        <v>100</v>
      </c>
      <c r="BP50" s="561">
        <f>CHOOSE(uxb_works!$B$46,Scores_2014_O!BP50,Scores_2014_N!BP50,Scores_2017!BP50)</f>
        <v>100</v>
      </c>
      <c r="BQ50" s="561">
        <f>CHOOSE(uxb_works!$B$46,Scores_2014_O!BQ50,Scores_2014_N!BQ50,Scores_2017!BQ50)</f>
        <v>100</v>
      </c>
      <c r="BR50" s="561">
        <f>CHOOSE(uxb_works!$B$46,Scores_2014_O!BR50,Scores_2014_N!BR50,Scores_2017!BR50)</f>
        <v>100</v>
      </c>
      <c r="BS50" s="561">
        <f>CHOOSE(uxb_works!$B$46,Scores_2014_O!BS50,Scores_2014_N!BS50,Scores_2017!BS50)</f>
        <v>100</v>
      </c>
      <c r="BT50" s="561">
        <f>CHOOSE(uxb_works!$B$46,Scores_2014_O!BT50,Scores_2014_N!BT50,Scores_2017!BT50)</f>
        <v>100</v>
      </c>
      <c r="BU50" s="561">
        <f>CHOOSE(uxb_works!$B$46,Scores_2014_O!BU50,Scores_2014_N!BU50,Scores_2017!BU50)</f>
        <v>100</v>
      </c>
      <c r="BV50" s="561">
        <f>CHOOSE(uxb_works!$B$46,Scores_2014_O!BV50,Scores_2014_N!BV50,Scores_2017!BV50)</f>
        <v>0</v>
      </c>
      <c r="BW50" s="561">
        <f>CHOOSE(uxb_works!$B$46,Scores_2014_O!BW50,Scores_2014_N!BW50,Scores_2017!BW50)</f>
        <v>100</v>
      </c>
      <c r="BX50" s="561">
        <f>CHOOSE(uxb_works!$B$46,Scores_2014_O!BX50,Scores_2014_N!BX50,Scores_2017!BX50)</f>
        <v>100</v>
      </c>
      <c r="BY50"/>
      <c r="BZ50" s="214"/>
      <c r="CA50" s="214"/>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row>
    <row r="51" s="69" customFormat="1" ht="24.95" customHeight="1" spans="1:130">
      <c r="A51"/>
      <c r="B51" s="92">
        <f>tblIndicators!A47</f>
        <v>46</v>
      </c>
      <c r="C51" s="92"/>
      <c r="D51" s="92"/>
      <c r="E51" s="92"/>
      <c r="F51" s="92">
        <f>CHOOSE(uxb_works!$B$46,Scores_2014_O!F51,Scores_2014_N!F51,Scores_2017!F51)</f>
        <v>3</v>
      </c>
      <c r="G51" s="92"/>
      <c r="H51" s="92"/>
      <c r="I51" s="104"/>
      <c r="J51" s="92"/>
      <c r="K51" s="92"/>
      <c r="L51" s="165"/>
      <c r="M51" s="92"/>
      <c r="N51" s="105" t="str">
        <f>REPT(" ",F51)&amp;CHOOSE(uxb_works!$B$46,Scores_2014_O!N51,Scores_2014_N!N51,Scores_2017!N51)</f>
        <v>      4.1.4) Use of data-driven techniques for crime</v>
      </c>
      <c r="O51" s="556">
        <f>CHOOSE(uxb_works!$B$46,Scores_2014_O!O51,Scores_2014_N!O51,Scores_2017!O51)</f>
        <v>0.142857142857143</v>
      </c>
      <c r="P51" s="557">
        <f>CHOOSE(uxb_works!$B$46,Scores_2014_O!P51,Scores_2014_N!P51,Scores_2017!P51)</f>
        <v>0</v>
      </c>
      <c r="Q51" s="561">
        <f>CHOOSE(uxb_works!$B$46,Scores_2014_O!Q51,Scores_2014_N!Q51,Scores_2017!Q51)</f>
        <v>100</v>
      </c>
      <c r="R51" s="561">
        <f>CHOOSE(uxb_works!$B$46,Scores_2014_O!R51,Scores_2014_N!R51,Scores_2017!R51)</f>
        <v>100</v>
      </c>
      <c r="S51" s="561">
        <f>CHOOSE(uxb_works!$B$46,Scores_2014_O!S51,Scores_2014_N!S51,Scores_2017!S51)</f>
        <v>100</v>
      </c>
      <c r="T51" s="561">
        <f>CHOOSE(uxb_works!$B$46,Scores_2014_O!T51,Scores_2014_N!T51,Scores_2017!T51)</f>
        <v>100</v>
      </c>
      <c r="U51" s="561">
        <f>CHOOSE(uxb_works!$B$46,Scores_2014_O!U51,Scores_2014_N!U51,Scores_2017!U51)</f>
        <v>100</v>
      </c>
      <c r="V51" s="561">
        <f>CHOOSE(uxb_works!$B$46,Scores_2014_O!V51,Scores_2014_N!V51,Scores_2017!V51)</f>
        <v>100</v>
      </c>
      <c r="W51" s="561">
        <f>CHOOSE(uxb_works!$B$46,Scores_2014_O!W51,Scores_2014_N!W51,Scores_2017!W51)</f>
        <v>100</v>
      </c>
      <c r="X51" s="561">
        <f>CHOOSE(uxb_works!$B$46,Scores_2014_O!X51,Scores_2014_N!X51,Scores_2017!X51)</f>
        <v>100</v>
      </c>
      <c r="Y51" s="561">
        <f>CHOOSE(uxb_works!$B$46,Scores_2014_O!Z51,Scores_2014_N!Y51,Scores_2017!Y51)</f>
        <v>100</v>
      </c>
      <c r="Z51" s="561">
        <f>CHOOSE(uxb_works!$B$46,Scores_2014_O!AA51,Scores_2014_N!Z51,Scores_2017!Z51)</f>
        <v>0</v>
      </c>
      <c r="AA51" s="561">
        <f>CHOOSE(uxb_works!$B$46,Scores_2014_O!AB51,Scores_2014_N!AA51,Scores_2017!AA51)</f>
        <v>0</v>
      </c>
      <c r="AB51" s="561">
        <f>CHOOSE(uxb_works!$B$46,Scores_2014_O!AC51,Scores_2014_N!AB51,Scores_2017!AB51)</f>
        <v>100</v>
      </c>
      <c r="AC51" s="561">
        <f>CHOOSE(uxb_works!$B$46,Scores_2014_O!AD51,Scores_2014_N!AC51,Scores_2017!AC51)</f>
        <v>100</v>
      </c>
      <c r="AD51" s="561">
        <f>CHOOSE(uxb_works!$B$46,Scores_2014_O!AE51,Scores_2014_N!AD51,Scores_2017!AD51)</f>
        <v>100</v>
      </c>
      <c r="AE51" s="561">
        <f>CHOOSE(uxb_works!$B$46,Scores_2014_O!AF51,Scores_2014_N!AE51,Scores_2017!AE51)</f>
        <v>100</v>
      </c>
      <c r="AF51" s="561">
        <f>CHOOSE(uxb_works!$B$46,Scores_2014_O!AG51,Scores_2014_N!AF51,Scores_2017!AF51)</f>
        <v>100</v>
      </c>
      <c r="AG51" s="561">
        <f>CHOOSE(uxb_works!$B$46,Scores_2014_O!AH51,Scores_2014_N!AG51,Scores_2017!AG51)</f>
        <v>100</v>
      </c>
      <c r="AH51" s="561">
        <f>CHOOSE(uxb_works!$B$46,Scores_2014_O!AI51,Scores_2014_N!AH51,Scores_2017!AH51)</f>
        <v>0</v>
      </c>
      <c r="AI51" s="561">
        <f>CHOOSE(uxb_works!$B$46,Scores_2014_O!AJ51,Scores_2014_N!AI51,Scores_2017!AI51)</f>
        <v>100</v>
      </c>
      <c r="AJ51" s="561">
        <f>CHOOSE(uxb_works!$B$46,Scores_2014_O!AK51,Scores_2014_N!AJ51,Scores_2017!AJ51)</f>
        <v>100</v>
      </c>
      <c r="AK51" s="561">
        <f>CHOOSE(uxb_works!$B$46,Scores_2014_O!AL51,Scores_2014_N!AK51,Scores_2017!AK51)</f>
        <v>0</v>
      </c>
      <c r="AL51" s="561">
        <f>CHOOSE(uxb_works!$B$46,Scores_2014_O!AM51,Scores_2014_N!AL51,Scores_2017!AL51)</f>
        <v>100</v>
      </c>
      <c r="AM51" s="561">
        <f>CHOOSE(uxb_works!$B$46,Scores_2014_O!AN51,Scores_2014_N!AM51,Scores_2017!AM51)</f>
        <v>0</v>
      </c>
      <c r="AN51" s="561">
        <f>CHOOSE(uxb_works!$B$46,Scores_2014_O!AO51,Scores_2014_N!AN51,Scores_2017!AN51)</f>
        <v>0</v>
      </c>
      <c r="AO51" s="561">
        <f>CHOOSE(uxb_works!$B$46,Scores_2014_O!AP51,Scores_2014_N!AO51,Scores_2017!AO51)</f>
        <v>100</v>
      </c>
      <c r="AP51" s="561">
        <f>CHOOSE(uxb_works!$B$46,Scores_2014_O!AQ51,Scores_2014_N!AP51,Scores_2017!AP51)</f>
        <v>0</v>
      </c>
      <c r="AQ51" s="561">
        <f>CHOOSE(uxb_works!$B$46,Scores_2014_O!Y51,Scores_2014_N!AQ51,Scores_2017!AQ51)</f>
        <v>0</v>
      </c>
      <c r="AR51" s="561">
        <f>CHOOSE(uxb_works!$B$46,Scores_2014_O!AR51,Scores_2014_N!AR51,Scores_2017!AR51)</f>
        <v>100</v>
      </c>
      <c r="AS51" s="561">
        <f>CHOOSE(uxb_works!$B$46,Scores_2014_O!AS51,Scores_2014_N!AS51,Scores_2017!AS51)</f>
        <v>100</v>
      </c>
      <c r="AT51" s="561">
        <f>CHOOSE(uxb_works!$B$46,Scores_2014_O!AT51,Scores_2014_N!AT51,Scores_2017!AT51)</f>
        <v>100</v>
      </c>
      <c r="AU51" s="561">
        <f>CHOOSE(uxb_works!$B$46,Scores_2014_O!AU51,Scores_2014_N!AU51,Scores_2017!AU51)</f>
        <v>100</v>
      </c>
      <c r="AV51" s="561">
        <f>CHOOSE(uxb_works!$B$46,Scores_2014_O!AV51,Scores_2014_N!AV51,Scores_2017!AV51)</f>
        <v>100</v>
      </c>
      <c r="AW51" s="561">
        <f>CHOOSE(uxb_works!$B$46,Scores_2014_O!AW51,Scores_2014_N!AW51,Scores_2017!AW51)</f>
        <v>100</v>
      </c>
      <c r="AX51" s="561">
        <f>CHOOSE(uxb_works!$B$46,Scores_2014_O!AX51,Scores_2014_N!AX51,Scores_2017!AX51)</f>
        <v>100</v>
      </c>
      <c r="AY51" s="561">
        <f>CHOOSE(uxb_works!$B$46,Scores_2014_O!AY51,Scores_2014_N!AY51,Scores_2017!AY51)</f>
        <v>0</v>
      </c>
      <c r="AZ51" s="561">
        <f>CHOOSE(uxb_works!$B$46,Scores_2014_O!AZ51,Scores_2014_N!AZ51,Scores_2017!AZ51)</f>
        <v>100</v>
      </c>
      <c r="BA51" s="561">
        <f>CHOOSE(uxb_works!$B$46,Scores_2014_O!BA51,Scores_2014_N!BA51,Scores_2017!BA51)</f>
        <v>100</v>
      </c>
      <c r="BB51" s="561">
        <f>CHOOSE(uxb_works!$B$46,Scores_2014_O!BB51,Scores_2014_N!BB51,Scores_2017!BB51)</f>
        <v>100</v>
      </c>
      <c r="BC51" s="561">
        <f>CHOOSE(uxb_works!$B$46,Scores_2014_O!BC51,Scores_2014_N!BC51,Scores_2017!BC51)</f>
        <v>100</v>
      </c>
      <c r="BD51" s="561">
        <f>CHOOSE(uxb_works!$B$46,Scores_2014_O!BD51,Scores_2014_N!BD51,Scores_2017!BD51)</f>
        <v>100</v>
      </c>
      <c r="BE51" s="561">
        <f>CHOOSE(uxb_works!$B$46,Scores_2014_O!BE51,Scores_2014_N!BE51,Scores_2017!BE51)</f>
        <v>100</v>
      </c>
      <c r="BF51" s="561">
        <f>CHOOSE(uxb_works!$B$46,Scores_2014_O!BF51,Scores_2014_N!BF51,Scores_2017!BF51)</f>
        <v>100</v>
      </c>
      <c r="BG51" s="561">
        <f>CHOOSE(uxb_works!$B$46,Scores_2014_O!BG51,Scores_2014_N!BG51,Scores_2017!BG51)</f>
        <v>100</v>
      </c>
      <c r="BH51" s="561">
        <f>CHOOSE(uxb_works!$B$46,Scores_2014_O!BH51,Scores_2014_N!BH51,Scores_2017!BH51)</f>
        <v>100</v>
      </c>
      <c r="BI51" s="561">
        <f>CHOOSE(uxb_works!$B$46,Scores_2014_O!BI51,Scores_2014_N!BI51,Scores_2017!BI51)</f>
        <v>100</v>
      </c>
      <c r="BJ51" s="561">
        <f>CHOOSE(uxb_works!$B$46,Scores_2014_O!BJ51,Scores_2014_N!BJ51,Scores_2017!BJ51)</f>
        <v>100</v>
      </c>
      <c r="BK51" s="561">
        <f>CHOOSE(uxb_works!$B$46,Scores_2014_O!BK51,Scores_2014_N!BK51,Scores_2017!BK51)</f>
        <v>100</v>
      </c>
      <c r="BL51" s="561">
        <f>CHOOSE(uxb_works!$B$46,Scores_2014_O!BL51,Scores_2014_N!BL51,Scores_2017!BL51)</f>
        <v>100</v>
      </c>
      <c r="BM51" s="561">
        <f>CHOOSE(uxb_works!$B$46,Scores_2014_O!BM51,Scores_2014_N!BM51,Scores_2017!BM51)</f>
        <v>100</v>
      </c>
      <c r="BN51" s="561">
        <f>CHOOSE(uxb_works!$B$46,Scores_2014_O!BN51,Scores_2014_N!BN51,Scores_2017!BN51)</f>
        <v>100</v>
      </c>
      <c r="BO51" s="561">
        <f>CHOOSE(uxb_works!$B$46,Scores_2014_O!BO51,Scores_2014_N!BO51,Scores_2017!BO51)</f>
        <v>100</v>
      </c>
      <c r="BP51" s="561">
        <f>CHOOSE(uxb_works!$B$46,Scores_2014_O!BP51,Scores_2014_N!BP51,Scores_2017!BP51)</f>
        <v>100</v>
      </c>
      <c r="BQ51" s="561">
        <f>CHOOSE(uxb_works!$B$46,Scores_2014_O!BQ51,Scores_2014_N!BQ51,Scores_2017!BQ51)</f>
        <v>0</v>
      </c>
      <c r="BR51" s="561">
        <f>CHOOSE(uxb_works!$B$46,Scores_2014_O!BR51,Scores_2014_N!BR51,Scores_2017!BR51)</f>
        <v>100</v>
      </c>
      <c r="BS51" s="561">
        <f>CHOOSE(uxb_works!$B$46,Scores_2014_O!BS51,Scores_2014_N!BS51,Scores_2017!BS51)</f>
        <v>100</v>
      </c>
      <c r="BT51" s="561">
        <f>CHOOSE(uxb_works!$B$46,Scores_2014_O!BT51,Scores_2014_N!BT51,Scores_2017!BT51)</f>
        <v>100</v>
      </c>
      <c r="BU51" s="561">
        <f>CHOOSE(uxb_works!$B$46,Scores_2014_O!BU51,Scores_2014_N!BU51,Scores_2017!BU51)</f>
        <v>100</v>
      </c>
      <c r="BV51" s="561">
        <f>CHOOSE(uxb_works!$B$46,Scores_2014_O!BV51,Scores_2014_N!BV51,Scores_2017!BV51)</f>
        <v>0</v>
      </c>
      <c r="BW51" s="561">
        <f>CHOOSE(uxb_works!$B$46,Scores_2014_O!BW51,Scores_2014_N!BW51,Scores_2017!BW51)</f>
        <v>100</v>
      </c>
      <c r="BX51" s="561">
        <f>CHOOSE(uxb_works!$B$46,Scores_2014_O!BX51,Scores_2014_N!BX51,Scores_2017!BX51)</f>
        <v>100</v>
      </c>
      <c r="BY51"/>
      <c r="BZ51" s="214"/>
      <c r="CA51" s="214"/>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row>
    <row r="52" s="69" customFormat="1" ht="24.95" customHeight="1" spans="1:130">
      <c r="A52"/>
      <c r="B52" s="92">
        <f>tblIndicators!A48</f>
        <v>47</v>
      </c>
      <c r="C52" s="92"/>
      <c r="D52" s="92"/>
      <c r="E52" s="92"/>
      <c r="F52" s="92">
        <f>CHOOSE(uxb_works!$B$46,Scores_2014_O!F52,Scores_2014_N!F52,Scores_2017!F52)</f>
        <v>3</v>
      </c>
      <c r="G52" s="92"/>
      <c r="H52" s="92"/>
      <c r="I52" s="104"/>
      <c r="J52" s="92"/>
      <c r="K52" s="92"/>
      <c r="L52" s="165"/>
      <c r="M52" s="92"/>
      <c r="N52" s="105" t="str">
        <f>REPT(" ",F52)&amp;CHOOSE(uxb_works!$B$46,Scores_2014_O!N52,Scores_2014_N!N52,Scores_2017!N52)</f>
        <v>      4.1.5) Private security measures</v>
      </c>
      <c r="O52" s="556">
        <f>CHOOSE(uxb_works!$B$46,Scores_2014_O!O52,Scores_2014_N!O52,Scores_2017!O52)</f>
        <v>0.142857142857143</v>
      </c>
      <c r="P52" s="557">
        <f>CHOOSE(uxb_works!$B$46,Scores_2014_O!P52,Scores_2014_N!P52,Scores_2017!P52)</f>
        <v>100</v>
      </c>
      <c r="Q52" s="561">
        <f>CHOOSE(uxb_works!$B$46,Scores_2014_O!Q52,Scores_2014_N!Q52,Scores_2017!Q52)</f>
        <v>100</v>
      </c>
      <c r="R52" s="561">
        <f>CHOOSE(uxb_works!$B$46,Scores_2014_O!R52,Scores_2014_N!R52,Scores_2017!R52)</f>
        <v>100</v>
      </c>
      <c r="S52" s="561">
        <f>CHOOSE(uxb_works!$B$46,Scores_2014_O!S52,Scores_2014_N!S52,Scores_2017!S52)</f>
        <v>100</v>
      </c>
      <c r="T52" s="561">
        <f>CHOOSE(uxb_works!$B$46,Scores_2014_O!T52,Scores_2014_N!T52,Scores_2017!T52)</f>
        <v>100</v>
      </c>
      <c r="U52" s="561">
        <f>CHOOSE(uxb_works!$B$46,Scores_2014_O!U52,Scores_2014_N!U52,Scores_2017!U52)</f>
        <v>100</v>
      </c>
      <c r="V52" s="561">
        <f>CHOOSE(uxb_works!$B$46,Scores_2014_O!V52,Scores_2014_N!V52,Scores_2017!V52)</f>
        <v>100</v>
      </c>
      <c r="W52" s="561">
        <f>CHOOSE(uxb_works!$B$46,Scores_2014_O!W52,Scores_2014_N!W52,Scores_2017!W52)</f>
        <v>100</v>
      </c>
      <c r="X52" s="561">
        <f>CHOOSE(uxb_works!$B$46,Scores_2014_O!X52,Scores_2014_N!X52,Scores_2017!X52)</f>
        <v>100</v>
      </c>
      <c r="Y52" s="561">
        <f>CHOOSE(uxb_works!$B$46,Scores_2014_O!Z52,Scores_2014_N!Y52,Scores_2017!Y52)</f>
        <v>100</v>
      </c>
      <c r="Z52" s="561">
        <f>CHOOSE(uxb_works!$B$46,Scores_2014_O!AA52,Scores_2014_N!Z52,Scores_2017!Z52)</f>
        <v>100</v>
      </c>
      <c r="AA52" s="561">
        <f>CHOOSE(uxb_works!$B$46,Scores_2014_O!AB52,Scores_2014_N!AA52,Scores_2017!AA52)</f>
        <v>100</v>
      </c>
      <c r="AB52" s="561">
        <f>CHOOSE(uxb_works!$B$46,Scores_2014_O!AC52,Scores_2014_N!AB52,Scores_2017!AB52)</f>
        <v>100</v>
      </c>
      <c r="AC52" s="561">
        <f>CHOOSE(uxb_works!$B$46,Scores_2014_O!AD52,Scores_2014_N!AC52,Scores_2017!AC52)</f>
        <v>100</v>
      </c>
      <c r="AD52" s="561">
        <f>CHOOSE(uxb_works!$B$46,Scores_2014_O!AE52,Scores_2014_N!AD52,Scores_2017!AD52)</f>
        <v>100</v>
      </c>
      <c r="AE52" s="561">
        <f>CHOOSE(uxb_works!$B$46,Scores_2014_O!AF52,Scores_2014_N!AE52,Scores_2017!AE52)</f>
        <v>100</v>
      </c>
      <c r="AF52" s="561">
        <f>CHOOSE(uxb_works!$B$46,Scores_2014_O!AG52,Scores_2014_N!AF52,Scores_2017!AF52)</f>
        <v>100</v>
      </c>
      <c r="AG52" s="561">
        <f>CHOOSE(uxb_works!$B$46,Scores_2014_O!AH52,Scores_2014_N!AG52,Scores_2017!AG52)</f>
        <v>100</v>
      </c>
      <c r="AH52" s="561">
        <f>CHOOSE(uxb_works!$B$46,Scores_2014_O!AI52,Scores_2014_N!AH52,Scores_2017!AH52)</f>
        <v>100</v>
      </c>
      <c r="AI52" s="561">
        <f>CHOOSE(uxb_works!$B$46,Scores_2014_O!AJ52,Scores_2014_N!AI52,Scores_2017!AI52)</f>
        <v>100</v>
      </c>
      <c r="AJ52" s="561">
        <f>CHOOSE(uxb_works!$B$46,Scores_2014_O!AK52,Scores_2014_N!AJ52,Scores_2017!AJ52)</f>
        <v>100</v>
      </c>
      <c r="AK52" s="561">
        <f>CHOOSE(uxb_works!$B$46,Scores_2014_O!AL52,Scores_2014_N!AK52,Scores_2017!AK52)</f>
        <v>0</v>
      </c>
      <c r="AL52" s="561">
        <f>CHOOSE(uxb_works!$B$46,Scores_2014_O!AM52,Scores_2014_N!AL52,Scores_2017!AL52)</f>
        <v>0</v>
      </c>
      <c r="AM52" s="561">
        <f>CHOOSE(uxb_works!$B$46,Scores_2014_O!AN52,Scores_2014_N!AM52,Scores_2017!AM52)</f>
        <v>100</v>
      </c>
      <c r="AN52" s="561">
        <f>CHOOSE(uxb_works!$B$46,Scores_2014_O!AO52,Scores_2014_N!AN52,Scores_2017!AN52)</f>
        <v>0</v>
      </c>
      <c r="AO52" s="561">
        <f>CHOOSE(uxb_works!$B$46,Scores_2014_O!AP52,Scores_2014_N!AO52,Scores_2017!AO52)</f>
        <v>100</v>
      </c>
      <c r="AP52" s="561">
        <f>CHOOSE(uxb_works!$B$46,Scores_2014_O!AQ52,Scores_2014_N!AP52,Scores_2017!AP52)</f>
        <v>100</v>
      </c>
      <c r="AQ52" s="561">
        <f>CHOOSE(uxb_works!$B$46,Scores_2014_O!Y52,Scores_2014_N!AQ52,Scores_2017!AQ52)</f>
        <v>100</v>
      </c>
      <c r="AR52" s="561">
        <f>CHOOSE(uxb_works!$B$46,Scores_2014_O!AR52,Scores_2014_N!AR52,Scores_2017!AR52)</f>
        <v>100</v>
      </c>
      <c r="AS52" s="561">
        <f>CHOOSE(uxb_works!$B$46,Scores_2014_O!AS52,Scores_2014_N!AS52,Scores_2017!AS52)</f>
        <v>100</v>
      </c>
      <c r="AT52" s="561">
        <f>CHOOSE(uxb_works!$B$46,Scores_2014_O!AT52,Scores_2014_N!AT52,Scores_2017!AT52)</f>
        <v>100</v>
      </c>
      <c r="AU52" s="561">
        <f>CHOOSE(uxb_works!$B$46,Scores_2014_O!AU52,Scores_2014_N!AU52,Scores_2017!AU52)</f>
        <v>100</v>
      </c>
      <c r="AV52" s="561">
        <f>CHOOSE(uxb_works!$B$46,Scores_2014_O!AV52,Scores_2014_N!AV52,Scores_2017!AV52)</f>
        <v>100</v>
      </c>
      <c r="AW52" s="561">
        <f>CHOOSE(uxb_works!$B$46,Scores_2014_O!AW52,Scores_2014_N!AW52,Scores_2017!AW52)</f>
        <v>100</v>
      </c>
      <c r="AX52" s="561">
        <f>CHOOSE(uxb_works!$B$46,Scores_2014_O!AX52,Scores_2014_N!AX52,Scores_2017!AX52)</f>
        <v>100</v>
      </c>
      <c r="AY52" s="561">
        <f>CHOOSE(uxb_works!$B$46,Scores_2014_O!AY52,Scores_2014_N!AY52,Scores_2017!AY52)</f>
        <v>100</v>
      </c>
      <c r="AZ52" s="561">
        <f>CHOOSE(uxb_works!$B$46,Scores_2014_O!AZ52,Scores_2014_N!AZ52,Scores_2017!AZ52)</f>
        <v>100</v>
      </c>
      <c r="BA52" s="561">
        <f>CHOOSE(uxb_works!$B$46,Scores_2014_O!BA52,Scores_2014_N!BA52,Scores_2017!BA52)</f>
        <v>100</v>
      </c>
      <c r="BB52" s="561">
        <f>CHOOSE(uxb_works!$B$46,Scores_2014_O!BB52,Scores_2014_N!BB52,Scores_2017!BB52)</f>
        <v>100</v>
      </c>
      <c r="BC52" s="561">
        <f>CHOOSE(uxb_works!$B$46,Scores_2014_O!BC52,Scores_2014_N!BC52,Scores_2017!BC52)</f>
        <v>100</v>
      </c>
      <c r="BD52" s="561">
        <f>CHOOSE(uxb_works!$B$46,Scores_2014_O!BD52,Scores_2014_N!BD52,Scores_2017!BD52)</f>
        <v>100</v>
      </c>
      <c r="BE52" s="561">
        <f>CHOOSE(uxb_works!$B$46,Scores_2014_O!BE52,Scores_2014_N!BE52,Scores_2017!BE52)</f>
        <v>100</v>
      </c>
      <c r="BF52" s="561">
        <f>CHOOSE(uxb_works!$B$46,Scores_2014_O!BF52,Scores_2014_N!BF52,Scores_2017!BF52)</f>
        <v>0</v>
      </c>
      <c r="BG52" s="561">
        <f>CHOOSE(uxb_works!$B$46,Scores_2014_O!BG52,Scores_2014_N!BG52,Scores_2017!BG52)</f>
        <v>100</v>
      </c>
      <c r="BH52" s="561">
        <f>CHOOSE(uxb_works!$B$46,Scores_2014_O!BH52,Scores_2014_N!BH52,Scores_2017!BH52)</f>
        <v>100</v>
      </c>
      <c r="BI52" s="561">
        <f>CHOOSE(uxb_works!$B$46,Scores_2014_O!BI52,Scores_2014_N!BI52,Scores_2017!BI52)</f>
        <v>100</v>
      </c>
      <c r="BJ52" s="561">
        <f>CHOOSE(uxb_works!$B$46,Scores_2014_O!BJ52,Scores_2014_N!BJ52,Scores_2017!BJ52)</f>
        <v>100</v>
      </c>
      <c r="BK52" s="561">
        <f>CHOOSE(uxb_works!$B$46,Scores_2014_O!BK52,Scores_2014_N!BK52,Scores_2017!BK52)</f>
        <v>100</v>
      </c>
      <c r="BL52" s="561">
        <f>CHOOSE(uxb_works!$B$46,Scores_2014_O!BL52,Scores_2014_N!BL52,Scores_2017!BL52)</f>
        <v>100</v>
      </c>
      <c r="BM52" s="561">
        <f>CHOOSE(uxb_works!$B$46,Scores_2014_O!BM52,Scores_2014_N!BM52,Scores_2017!BM52)</f>
        <v>100</v>
      </c>
      <c r="BN52" s="561">
        <f>CHOOSE(uxb_works!$B$46,Scores_2014_O!BN52,Scores_2014_N!BN52,Scores_2017!BN52)</f>
        <v>100</v>
      </c>
      <c r="BO52" s="561">
        <f>CHOOSE(uxb_works!$B$46,Scores_2014_O!BO52,Scores_2014_N!BO52,Scores_2017!BO52)</f>
        <v>100</v>
      </c>
      <c r="BP52" s="561">
        <f>CHOOSE(uxb_works!$B$46,Scores_2014_O!BP52,Scores_2014_N!BP52,Scores_2017!BP52)</f>
        <v>100</v>
      </c>
      <c r="BQ52" s="561">
        <f>CHOOSE(uxb_works!$B$46,Scores_2014_O!BQ52,Scores_2014_N!BQ52,Scores_2017!BQ52)</f>
        <v>100</v>
      </c>
      <c r="BR52" s="561">
        <f>CHOOSE(uxb_works!$B$46,Scores_2014_O!BR52,Scores_2014_N!BR52,Scores_2017!BR52)</f>
        <v>100</v>
      </c>
      <c r="BS52" s="561">
        <f>CHOOSE(uxb_works!$B$46,Scores_2014_O!BS52,Scores_2014_N!BS52,Scores_2017!BS52)</f>
        <v>100</v>
      </c>
      <c r="BT52" s="561">
        <f>CHOOSE(uxb_works!$B$46,Scores_2014_O!BT52,Scores_2014_N!BT52,Scores_2017!BT52)</f>
        <v>100</v>
      </c>
      <c r="BU52" s="561">
        <f>CHOOSE(uxb_works!$B$46,Scores_2014_O!BU52,Scores_2014_N!BU52,Scores_2017!BU52)</f>
        <v>100</v>
      </c>
      <c r="BV52" s="561">
        <f>CHOOSE(uxb_works!$B$46,Scores_2014_O!BV52,Scores_2014_N!BV52,Scores_2017!BV52)</f>
        <v>0</v>
      </c>
      <c r="BW52" s="561">
        <f>CHOOSE(uxb_works!$B$46,Scores_2014_O!BW52,Scores_2014_N!BW52,Scores_2017!BW52)</f>
        <v>100</v>
      </c>
      <c r="BX52" s="561">
        <f>CHOOSE(uxb_works!$B$46,Scores_2014_O!BX52,Scores_2014_N!BX52,Scores_2017!BX52)</f>
        <v>100</v>
      </c>
      <c r="BY52"/>
      <c r="BZ52" s="214"/>
      <c r="CA52" s="214"/>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row>
    <row r="53" s="69" customFormat="1" ht="24.95" customHeight="1" spans="1:130">
      <c r="A53"/>
      <c r="B53" s="92">
        <f>tblIndicators!A49</f>
        <v>48</v>
      </c>
      <c r="C53" s="92"/>
      <c r="D53" s="92"/>
      <c r="E53" s="92"/>
      <c r="F53" s="92">
        <f>CHOOSE(uxb_works!$B$46,Scores_2014_O!F53,Scores_2014_N!F53,Scores_2017!F53)</f>
        <v>3</v>
      </c>
      <c r="G53" s="92"/>
      <c r="H53" s="92"/>
      <c r="I53" s="104"/>
      <c r="J53" s="92"/>
      <c r="K53" s="92"/>
      <c r="L53" s="165"/>
      <c r="M53" s="92"/>
      <c r="N53" s="105" t="str">
        <f>REPT(" ",F53)&amp;CHOOSE(uxb_works!$B$46,Scores_2014_O!N53,Scores_2014_N!N53,Scores_2017!N53)</f>
        <v>      4.1.6) Gun regulation and enforcement</v>
      </c>
      <c r="O53" s="556">
        <f>CHOOSE(uxb_works!$B$46,Scores_2014_O!O53,Scores_2014_N!O53,Scores_2017!O53)</f>
        <v>0.142857142857143</v>
      </c>
      <c r="P53" s="557">
        <f>CHOOSE(uxb_works!$B$46,Scores_2014_O!P53,Scores_2014_N!P53,Scores_2017!P53)</f>
        <v>47.6190476190476</v>
      </c>
      <c r="Q53" s="561">
        <f>CHOOSE(uxb_works!$B$46,Scores_2014_O!Q53,Scores_2014_N!Q53,Scores_2017!Q53)</f>
        <v>68.2539682539683</v>
      </c>
      <c r="R53" s="561">
        <f>CHOOSE(uxb_works!$B$46,Scores_2014_O!R53,Scores_2014_N!R53,Scores_2017!R53)</f>
        <v>31.7460317460317</v>
      </c>
      <c r="S53" s="561">
        <f>CHOOSE(uxb_works!$B$46,Scores_2014_O!S53,Scores_2014_N!S53,Scores_2017!S53)</f>
        <v>41.2698412698413</v>
      </c>
      <c r="T53" s="561">
        <f>CHOOSE(uxb_works!$B$46,Scores_2014_O!T53,Scores_2014_N!T53,Scores_2017!T53)</f>
        <v>66.6666666666667</v>
      </c>
      <c r="U53" s="561">
        <f>CHOOSE(uxb_works!$B$46,Scores_2014_O!U53,Scores_2014_N!U53,Scores_2017!U53)</f>
        <v>100</v>
      </c>
      <c r="V53" s="561">
        <f>CHOOSE(uxb_works!$B$46,Scores_2014_O!V53,Scores_2014_N!V53,Scores_2017!V53)</f>
        <v>41.2698412698413</v>
      </c>
      <c r="W53" s="561">
        <f>CHOOSE(uxb_works!$B$46,Scores_2014_O!W53,Scores_2014_N!W53,Scores_2017!W53)</f>
        <v>58.7301587301587</v>
      </c>
      <c r="X53" s="561">
        <f>CHOOSE(uxb_works!$B$46,Scores_2014_O!X53,Scores_2014_N!X53,Scores_2017!X53)</f>
        <v>68.2539682539683</v>
      </c>
      <c r="Y53" s="561">
        <f>CHOOSE(uxb_works!$B$46,Scores_2014_O!Z53,Scores_2014_N!Y53,Scores_2017!Y53)</f>
        <v>41.2698412698413</v>
      </c>
      <c r="Z53" s="561">
        <f>CHOOSE(uxb_works!$B$46,Scores_2014_O!AA53,Scores_2014_N!Z53,Scores_2017!Z53)</f>
        <v>90.4761904761905</v>
      </c>
      <c r="AA53" s="561">
        <f>CHOOSE(uxb_works!$B$46,Scores_2014_O!AB53,Scores_2014_N!AA53,Scores_2017!AA53)</f>
        <v>60.3174603174603</v>
      </c>
      <c r="AB53" s="561">
        <f>CHOOSE(uxb_works!$B$46,Scores_2014_O!AC53,Scores_2014_N!AB53,Scores_2017!AB53)</f>
        <v>41.2698412698413</v>
      </c>
      <c r="AC53" s="561">
        <f>CHOOSE(uxb_works!$B$46,Scores_2014_O!AD53,Scores_2014_N!AC53,Scores_2017!AC53)</f>
        <v>0</v>
      </c>
      <c r="AD53" s="561">
        <f>CHOOSE(uxb_works!$B$46,Scores_2014_O!AE53,Scores_2014_N!AD53,Scores_2017!AD53)</f>
        <v>49.2063492063492</v>
      </c>
      <c r="AE53" s="561">
        <f>CHOOSE(uxb_works!$B$46,Scores_2014_O!AF53,Scores_2014_N!AE53,Scores_2017!AE53)</f>
        <v>76.1904761904762</v>
      </c>
      <c r="AF53" s="561">
        <f>CHOOSE(uxb_works!$B$46,Scores_2014_O!AG53,Scores_2014_N!AF53,Scores_2017!AF53)</f>
        <v>60.3174603174603</v>
      </c>
      <c r="AG53" s="561">
        <f>CHOOSE(uxb_works!$B$46,Scores_2014_O!AH53,Scores_2014_N!AG53,Scores_2017!AG53)</f>
        <v>57.1428571428571</v>
      </c>
      <c r="AH53" s="561">
        <f>CHOOSE(uxb_works!$B$46,Scores_2014_O!AI53,Scores_2014_N!AH53,Scores_2017!AH53)</f>
        <v>100</v>
      </c>
      <c r="AI53" s="561">
        <f>CHOOSE(uxb_works!$B$46,Scores_2014_O!AJ53,Scores_2014_N!AI53,Scores_2017!AI53)</f>
        <v>84.1269841269841</v>
      </c>
      <c r="AJ53" s="561">
        <f>CHOOSE(uxb_works!$B$46,Scores_2014_O!AK53,Scores_2014_N!AJ53,Scores_2017!AJ53)</f>
        <v>17.4603174603175</v>
      </c>
      <c r="AK53" s="561">
        <f>CHOOSE(uxb_works!$B$46,Scores_2014_O!AL53,Scores_2014_N!AK53,Scores_2017!AK53)</f>
        <v>74.6031746031746</v>
      </c>
      <c r="AL53" s="561">
        <f>CHOOSE(uxb_works!$B$46,Scores_2014_O!AM53,Scores_2014_N!AL53,Scores_2017!AL53)</f>
        <v>4.76190476190476</v>
      </c>
      <c r="AM53" s="561">
        <f>CHOOSE(uxb_works!$B$46,Scores_2014_O!AN53,Scores_2014_N!AM53,Scores_2017!AM53)</f>
        <v>12.6984126984127</v>
      </c>
      <c r="AN53" s="561">
        <f>CHOOSE(uxb_works!$B$46,Scores_2014_O!AO53,Scores_2014_N!AN53,Scores_2017!AN53)</f>
        <v>19.047619047619</v>
      </c>
      <c r="AO53" s="561">
        <f>CHOOSE(uxb_works!$B$46,Scores_2014_O!AP53,Scores_2014_N!AO53,Scores_2017!AO53)</f>
        <v>76.1904761904762</v>
      </c>
      <c r="AP53" s="561">
        <f>CHOOSE(uxb_works!$B$46,Scores_2014_O!AQ53,Scores_2014_N!AP53,Scores_2017!AP53)</f>
        <v>96.031746031746</v>
      </c>
      <c r="AQ53" s="561">
        <f>CHOOSE(uxb_works!$B$46,Scores_2014_O!Y53,Scores_2014_N!AQ53,Scores_2017!AQ53)</f>
        <v>12.6984126984127</v>
      </c>
      <c r="AR53" s="561">
        <f>CHOOSE(uxb_works!$B$46,Scores_2014_O!AR53,Scores_2014_N!AR53,Scores_2017!AR53)</f>
        <v>84.1269841269841</v>
      </c>
      <c r="AS53" s="561">
        <f>CHOOSE(uxb_works!$B$46,Scores_2014_O!AS53,Scores_2014_N!AS53,Scores_2017!AS53)</f>
        <v>46.8253968253968</v>
      </c>
      <c r="AT53" s="561">
        <f>CHOOSE(uxb_works!$B$46,Scores_2014_O!AT53,Scores_2014_N!AT53,Scores_2017!AT53)</f>
        <v>66.6666666666667</v>
      </c>
      <c r="AU53" s="561">
        <f>CHOOSE(uxb_works!$B$46,Scores_2014_O!AU53,Scores_2014_N!AU53,Scores_2017!AU53)</f>
        <v>31.7460317460317</v>
      </c>
      <c r="AV53" s="561">
        <f>CHOOSE(uxb_works!$B$46,Scores_2014_O!AV53,Scores_2014_N!AV53,Scores_2017!AV53)</f>
        <v>76.1904761904762</v>
      </c>
      <c r="AW53" s="561">
        <f>CHOOSE(uxb_works!$B$46,Scores_2014_O!AW53,Scores_2014_N!AW53,Scores_2017!AW53)</f>
        <v>46.031746031746</v>
      </c>
      <c r="AX53" s="561">
        <f>CHOOSE(uxb_works!$B$46,Scores_2014_O!AX53,Scores_2014_N!AX53,Scores_2017!AX53)</f>
        <v>50.7936507936508</v>
      </c>
      <c r="AY53" s="561">
        <f>CHOOSE(uxb_works!$B$46,Scores_2014_O!AY53,Scores_2014_N!AY53,Scores_2017!AY53)</f>
        <v>58.7301587301587</v>
      </c>
      <c r="AZ53" s="561">
        <f>CHOOSE(uxb_works!$B$46,Scores_2014_O!AZ53,Scores_2014_N!AZ53,Scores_2017!AZ53)</f>
        <v>49.2063492063492</v>
      </c>
      <c r="BA53" s="561">
        <f>CHOOSE(uxb_works!$B$46,Scores_2014_O!BA53,Scores_2014_N!BA53,Scores_2017!BA53)</f>
        <v>34.9206349206349</v>
      </c>
      <c r="BB53" s="561">
        <f>CHOOSE(uxb_works!$B$46,Scores_2014_O!BB53,Scores_2014_N!BB53,Scores_2017!BB53)</f>
        <v>84.1269841269841</v>
      </c>
      <c r="BC53" s="561">
        <f>CHOOSE(uxb_works!$B$46,Scores_2014_O!BC53,Scores_2014_N!BC53,Scores_2017!BC53)</f>
        <v>44.4444444444444</v>
      </c>
      <c r="BD53" s="561">
        <f>CHOOSE(uxb_works!$B$46,Scores_2014_O!BD53,Scores_2014_N!BD53,Scores_2017!BD53)</f>
        <v>41.2698412698413</v>
      </c>
      <c r="BE53" s="561">
        <f>CHOOSE(uxb_works!$B$46,Scores_2014_O!BE53,Scores_2014_N!BE53,Scores_2017!BE53)</f>
        <v>52.3809523809524</v>
      </c>
      <c r="BF53" s="561">
        <f>CHOOSE(uxb_works!$B$46,Scores_2014_O!BF53,Scores_2014_N!BF53,Scores_2017!BF53)</f>
        <v>4.76190476190476</v>
      </c>
      <c r="BG53" s="561">
        <f>CHOOSE(uxb_works!$B$46,Scores_2014_O!BG53,Scores_2014_N!BG53,Scores_2017!BG53)</f>
        <v>50.7936507936508</v>
      </c>
      <c r="BH53" s="561">
        <f>CHOOSE(uxb_works!$B$46,Scores_2014_O!BH53,Scores_2014_N!BH53,Scores_2017!BH53)</f>
        <v>46.8253968253968</v>
      </c>
      <c r="BI53" s="561">
        <f>CHOOSE(uxb_works!$B$46,Scores_2014_O!BI53,Scores_2014_N!BI53,Scores_2017!BI53)</f>
        <v>33.3333333333333</v>
      </c>
      <c r="BJ53" s="561">
        <f>CHOOSE(uxb_works!$B$46,Scores_2014_O!BJ53,Scores_2014_N!BJ53,Scores_2017!BJ53)</f>
        <v>52.3809523809524</v>
      </c>
      <c r="BK53" s="561">
        <f>CHOOSE(uxb_works!$B$46,Scores_2014_O!BK53,Scores_2014_N!BK53,Scores_2017!BK53)</f>
        <v>76.1904761904762</v>
      </c>
      <c r="BL53" s="561">
        <f>CHOOSE(uxb_works!$B$46,Scores_2014_O!BL53,Scores_2014_N!BL53,Scores_2017!BL53)</f>
        <v>100</v>
      </c>
      <c r="BM53" s="561">
        <f>CHOOSE(uxb_works!$B$46,Scores_2014_O!BM53,Scores_2014_N!BM53,Scores_2017!BM53)</f>
        <v>84.1269841269841</v>
      </c>
      <c r="BN53" s="561">
        <f>CHOOSE(uxb_works!$B$46,Scores_2014_O!BN53,Scores_2014_N!BN53,Scores_2017!BN53)</f>
        <v>57.1428571428571</v>
      </c>
      <c r="BO53" s="561">
        <f>CHOOSE(uxb_works!$B$46,Scores_2014_O!BO53,Scores_2014_N!BO53,Scores_2017!BO53)</f>
        <v>76.1904761904762</v>
      </c>
      <c r="BP53" s="561">
        <f>CHOOSE(uxb_works!$B$46,Scores_2014_O!BP53,Scores_2014_N!BP53,Scores_2017!BP53)</f>
        <v>92.0634920634921</v>
      </c>
      <c r="BQ53" s="561">
        <f>CHOOSE(uxb_works!$B$46,Scores_2014_O!BQ53,Scores_2014_N!BQ53,Scores_2017!BQ53)</f>
        <v>50.7936507936508</v>
      </c>
      <c r="BR53" s="561">
        <f>CHOOSE(uxb_works!$B$46,Scores_2014_O!BR53,Scores_2014_N!BR53,Scores_2017!BR53)</f>
        <v>84.1269841269841</v>
      </c>
      <c r="BS53" s="561">
        <f>CHOOSE(uxb_works!$B$46,Scores_2014_O!BS53,Scores_2014_N!BS53,Scores_2017!BS53)</f>
        <v>60.3174603174603</v>
      </c>
      <c r="BT53" s="561">
        <f>CHOOSE(uxb_works!$B$46,Scores_2014_O!BT53,Scores_2014_N!BT53,Scores_2017!BT53)</f>
        <v>76.1904761904762</v>
      </c>
      <c r="BU53" s="561">
        <f>CHOOSE(uxb_works!$B$46,Scores_2014_O!BU53,Scores_2014_N!BU53,Scores_2017!BU53)</f>
        <v>76.1904761904762</v>
      </c>
      <c r="BV53" s="561">
        <f>CHOOSE(uxb_works!$B$46,Scores_2014_O!BV53,Scores_2014_N!BV53,Scores_2017!BV53)</f>
        <v>68.2539682539683</v>
      </c>
      <c r="BW53" s="561">
        <f>CHOOSE(uxb_works!$B$46,Scores_2014_O!BW53,Scores_2014_N!BW53,Scores_2017!BW53)</f>
        <v>13.4920634920635</v>
      </c>
      <c r="BX53" s="561">
        <f>CHOOSE(uxb_works!$B$46,Scores_2014_O!BX53,Scores_2014_N!BX53,Scores_2017!BX53)</f>
        <v>84.1269841269841</v>
      </c>
      <c r="BY53"/>
      <c r="BZ53" s="214"/>
      <c r="CA53" s="214"/>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row>
    <row r="54" s="69" customFormat="1" ht="24.95" customHeight="1" spans="1:130">
      <c r="A54"/>
      <c r="B54" s="92">
        <f>tblIndicators!A50</f>
        <v>49</v>
      </c>
      <c r="C54" s="92"/>
      <c r="D54" s="92"/>
      <c r="E54" s="92"/>
      <c r="F54" s="92">
        <f>CHOOSE(uxb_works!$B$46,Scores_2014_O!F54,Scores_2014_N!F54,Scores_2017!F54)</f>
        <v>3</v>
      </c>
      <c r="G54" s="92"/>
      <c r="H54" s="92"/>
      <c r="I54" s="104"/>
      <c r="J54" s="92"/>
      <c r="K54" s="92"/>
      <c r="L54" s="165"/>
      <c r="M54" s="92"/>
      <c r="N54" s="105" t="str">
        <f>REPT(" ",F54)&amp;CHOOSE(uxb_works!$B$46,Scores_2014_O!N54,Scores_2014_N!N54,Scores_2017!N54)</f>
        <v>      4.1.7) Political stability risk</v>
      </c>
      <c r="O54" s="556">
        <f>CHOOSE(uxb_works!$B$46,Scores_2014_O!O54,Scores_2014_N!O54,Scores_2017!O54)</f>
        <v>0.142857142857143</v>
      </c>
      <c r="P54" s="557">
        <f>CHOOSE(uxb_works!$B$46,Scores_2014_O!P54,Scores_2014_N!P54,Scores_2017!P54)</f>
        <v>55</v>
      </c>
      <c r="Q54" s="561">
        <f>CHOOSE(uxb_works!$B$46,Scores_2014_O!Q54,Scores_2014_N!Q54,Scores_2017!Q54)</f>
        <v>80</v>
      </c>
      <c r="R54" s="561">
        <f>CHOOSE(uxb_works!$B$46,Scores_2014_O!R54,Scores_2014_N!R54,Scores_2017!R54)</f>
        <v>70</v>
      </c>
      <c r="S54" s="561">
        <f>CHOOSE(uxb_works!$B$46,Scores_2014_O!S54,Scores_2014_N!S54,Scores_2017!S54)</f>
        <v>40</v>
      </c>
      <c r="T54" s="561">
        <f>CHOOSE(uxb_works!$B$46,Scores_2014_O!T54,Scores_2014_N!T54,Scores_2017!T54)</f>
        <v>70</v>
      </c>
      <c r="U54" s="561">
        <f>CHOOSE(uxb_works!$B$46,Scores_2014_O!U54,Scores_2014_N!U54,Scores_2017!U54)</f>
        <v>45</v>
      </c>
      <c r="V54" s="561">
        <f>CHOOSE(uxb_works!$B$46,Scores_2014_O!V54,Scores_2014_N!V54,Scores_2017!V54)</f>
        <v>65</v>
      </c>
      <c r="W54" s="561">
        <f>CHOOSE(uxb_works!$B$46,Scores_2014_O!W54,Scores_2014_N!W54,Scores_2017!W54)</f>
        <v>75</v>
      </c>
      <c r="X54" s="561">
        <f>CHOOSE(uxb_works!$B$46,Scores_2014_O!X54,Scores_2014_N!X54,Scores_2017!X54)</f>
        <v>60</v>
      </c>
      <c r="Y54" s="561">
        <f>CHOOSE(uxb_works!$B$46,Scores_2014_O!Z54,Scores_2014_N!Y54,Scores_2017!Y54)</f>
        <v>50</v>
      </c>
      <c r="Z54" s="561">
        <f>CHOOSE(uxb_works!$B$46,Scores_2014_O!AA54,Scores_2014_N!Z54,Scores_2017!Z54)</f>
        <v>25</v>
      </c>
      <c r="AA54" s="561">
        <f>CHOOSE(uxb_works!$B$46,Scores_2014_O!AB54,Scores_2014_N!AA54,Scores_2017!AA54)</f>
        <v>40</v>
      </c>
      <c r="AB54" s="561">
        <f>CHOOSE(uxb_works!$B$46,Scores_2014_O!AC54,Scores_2014_N!AB54,Scores_2017!AB54)</f>
        <v>80</v>
      </c>
      <c r="AC54" s="561">
        <f>CHOOSE(uxb_works!$B$46,Scores_2014_O!AD54,Scores_2014_N!AC54,Scores_2017!AC54)</f>
        <v>80</v>
      </c>
      <c r="AD54" s="561">
        <f>CHOOSE(uxb_works!$B$46,Scores_2014_O!AE54,Scores_2014_N!AD54,Scores_2017!AD54)</f>
        <v>75</v>
      </c>
      <c r="AE54" s="561">
        <f>CHOOSE(uxb_works!$B$46,Scores_2014_O!AF54,Scores_2014_N!AE54,Scores_2017!AE54)</f>
        <v>45</v>
      </c>
      <c r="AF54" s="561">
        <f>CHOOSE(uxb_works!$B$46,Scores_2014_O!AG54,Scores_2014_N!AF54,Scores_2017!AF54)</f>
        <v>60</v>
      </c>
      <c r="AG54" s="561">
        <f>CHOOSE(uxb_works!$B$46,Scores_2014_O!AH54,Scores_2014_N!AG54,Scores_2017!AG54)</f>
        <v>85</v>
      </c>
      <c r="AH54" s="561">
        <f>CHOOSE(uxb_works!$B$46,Scores_2014_O!AI54,Scores_2014_N!AH54,Scores_2017!AH54)</f>
        <v>45</v>
      </c>
      <c r="AI54" s="561">
        <f>CHOOSE(uxb_works!$B$46,Scores_2014_O!AJ54,Scores_2014_N!AI54,Scores_2017!AI54)</f>
        <v>60</v>
      </c>
      <c r="AJ54" s="561">
        <f>CHOOSE(uxb_works!$B$46,Scores_2014_O!AK54,Scores_2014_N!AJ54,Scores_2017!AJ54)</f>
        <v>35</v>
      </c>
      <c r="AK54" s="561">
        <f>CHOOSE(uxb_works!$B$46,Scores_2014_O!AL54,Scores_2014_N!AK54,Scores_2017!AK54)</f>
        <v>60</v>
      </c>
      <c r="AL54" s="561">
        <f>CHOOSE(uxb_works!$B$46,Scores_2014_O!AM54,Scores_2014_N!AL54,Scores_2017!AL54)</f>
        <v>45</v>
      </c>
      <c r="AM54" s="561">
        <f>CHOOSE(uxb_works!$B$46,Scores_2014_O!AN54,Scores_2014_N!AM54,Scores_2017!AM54)</f>
        <v>65</v>
      </c>
      <c r="AN54" s="561">
        <f>CHOOSE(uxb_works!$B$46,Scores_2014_O!AO54,Scores_2014_N!AN54,Scores_2017!AN54)</f>
        <v>40</v>
      </c>
      <c r="AO54" s="561">
        <f>CHOOSE(uxb_works!$B$46,Scores_2014_O!AP54,Scores_2014_N!AO54,Scores_2017!AO54)</f>
        <v>65</v>
      </c>
      <c r="AP54" s="561">
        <f>CHOOSE(uxb_works!$B$46,Scores_2014_O!AQ54,Scores_2014_N!AP54,Scores_2017!AP54)</f>
        <v>40</v>
      </c>
      <c r="AQ54" s="561">
        <f>CHOOSE(uxb_works!$B$46,Scores_2014_O!Y54,Scores_2014_N!AQ54,Scores_2017!AQ54)</f>
        <v>65</v>
      </c>
      <c r="AR54" s="561">
        <f>CHOOSE(uxb_works!$B$46,Scores_2014_O!AR54,Scores_2014_N!AR54,Scores_2017!AR54)</f>
        <v>75</v>
      </c>
      <c r="AS54" s="561">
        <f>CHOOSE(uxb_works!$B$46,Scores_2014_O!AS54,Scores_2014_N!AS54,Scores_2017!AS54)</f>
        <v>80</v>
      </c>
      <c r="AT54" s="561">
        <f>CHOOSE(uxb_works!$B$46,Scores_2014_O!AT54,Scores_2014_N!AT54,Scores_2017!AT54)</f>
        <v>70</v>
      </c>
      <c r="AU54" s="561">
        <f>CHOOSE(uxb_works!$B$46,Scores_2014_O!AU54,Scores_2014_N!AU54,Scores_2017!AU54)</f>
        <v>50</v>
      </c>
      <c r="AV54" s="561">
        <f>CHOOSE(uxb_works!$B$46,Scores_2014_O!AV54,Scores_2014_N!AV54,Scores_2017!AV54)</f>
        <v>90</v>
      </c>
      <c r="AW54" s="561">
        <f>CHOOSE(uxb_works!$B$46,Scores_2014_O!AW54,Scores_2014_N!AW54,Scores_2017!AW54)</f>
        <v>50</v>
      </c>
      <c r="AX54" s="561">
        <f>CHOOSE(uxb_works!$B$46,Scores_2014_O!AX54,Scores_2014_N!AX54,Scores_2017!AX54)</f>
        <v>60</v>
      </c>
      <c r="AY54" s="561">
        <f>CHOOSE(uxb_works!$B$46,Scores_2014_O!AY54,Scores_2014_N!AY54,Scores_2017!AY54)</f>
        <v>40</v>
      </c>
      <c r="AZ54" s="561">
        <f>CHOOSE(uxb_works!$B$46,Scores_2014_O!AZ54,Scores_2014_N!AZ54,Scores_2017!AZ54)</f>
        <v>75</v>
      </c>
      <c r="BA54" s="561">
        <f>CHOOSE(uxb_works!$B$46,Scores_2014_O!BA54,Scores_2014_N!BA54,Scores_2017!BA54)</f>
        <v>80</v>
      </c>
      <c r="BB54" s="561">
        <f>CHOOSE(uxb_works!$B$46,Scores_2014_O!BB54,Scores_2014_N!BB54,Scores_2017!BB54)</f>
        <v>85</v>
      </c>
      <c r="BC54" s="561">
        <f>CHOOSE(uxb_works!$B$46,Scores_2014_O!BC54,Scores_2014_N!BC54,Scores_2017!BC54)</f>
        <v>65</v>
      </c>
      <c r="BD54" s="561">
        <f>CHOOSE(uxb_works!$B$46,Scores_2014_O!BD54,Scores_2014_N!BD54,Scores_2017!BD54)</f>
        <v>50</v>
      </c>
      <c r="BE54" s="561">
        <f>CHOOSE(uxb_works!$B$46,Scores_2014_O!BE54,Scores_2014_N!BE54,Scores_2017!BE54)</f>
        <v>60</v>
      </c>
      <c r="BF54" s="561">
        <f>CHOOSE(uxb_works!$B$46,Scores_2014_O!BF54,Scores_2014_N!BF54,Scores_2017!BF54)</f>
        <v>45</v>
      </c>
      <c r="BG54" s="561">
        <f>CHOOSE(uxb_works!$B$46,Scores_2014_O!BG54,Scores_2014_N!BG54,Scores_2017!BG54)</f>
        <v>60</v>
      </c>
      <c r="BH54" s="561">
        <f>CHOOSE(uxb_works!$B$46,Scores_2014_O!BH54,Scores_2014_N!BH54,Scores_2017!BH54)</f>
        <v>80</v>
      </c>
      <c r="BI54" s="561">
        <f>CHOOSE(uxb_works!$B$46,Scores_2014_O!BI54,Scores_2014_N!BI54,Scores_2017!BI54)</f>
        <v>80</v>
      </c>
      <c r="BJ54" s="561">
        <f>CHOOSE(uxb_works!$B$46,Scores_2014_O!BJ54,Scores_2014_N!BJ54,Scores_2017!BJ54)</f>
        <v>60</v>
      </c>
      <c r="BK54" s="561">
        <f>CHOOSE(uxb_works!$B$46,Scores_2014_O!BK54,Scores_2014_N!BK54,Scores_2017!BK54)</f>
        <v>55</v>
      </c>
      <c r="BL54" s="561">
        <f>CHOOSE(uxb_works!$B$46,Scores_2014_O!BL54,Scores_2014_N!BL54,Scores_2017!BL54)</f>
        <v>45</v>
      </c>
      <c r="BM54" s="561">
        <f>CHOOSE(uxb_works!$B$46,Scores_2014_O!BM54,Scores_2014_N!BM54,Scores_2017!BM54)</f>
        <v>80</v>
      </c>
      <c r="BN54" s="561">
        <f>CHOOSE(uxb_works!$B$46,Scores_2014_O!BN54,Scores_2014_N!BN54,Scores_2017!BN54)</f>
        <v>85</v>
      </c>
      <c r="BO54" s="561">
        <f>CHOOSE(uxb_works!$B$46,Scores_2014_O!BO54,Scores_2014_N!BO54,Scores_2017!BO54)</f>
        <v>90</v>
      </c>
      <c r="BP54" s="561">
        <f>CHOOSE(uxb_works!$B$46,Scores_2014_O!BP54,Scores_2014_N!BP54,Scores_2017!BP54)</f>
        <v>65</v>
      </c>
      <c r="BQ54" s="561">
        <f>CHOOSE(uxb_works!$B$46,Scores_2014_O!BQ54,Scores_2014_N!BQ54,Scores_2017!BQ54)</f>
        <v>30</v>
      </c>
      <c r="BR54" s="561">
        <f>CHOOSE(uxb_works!$B$46,Scores_2014_O!BR54,Scores_2014_N!BR54,Scores_2017!BR54)</f>
        <v>85</v>
      </c>
      <c r="BS54" s="561">
        <f>CHOOSE(uxb_works!$B$46,Scores_2014_O!BS54,Scores_2014_N!BS54,Scores_2017!BS54)</f>
        <v>95</v>
      </c>
      <c r="BT54" s="561">
        <f>CHOOSE(uxb_works!$B$46,Scores_2014_O!BT54,Scores_2014_N!BT54,Scores_2017!BT54)</f>
        <v>80</v>
      </c>
      <c r="BU54" s="561">
        <f>CHOOSE(uxb_works!$B$46,Scores_2014_O!BU54,Scores_2014_N!BU54,Scores_2017!BU54)</f>
        <v>85</v>
      </c>
      <c r="BV54" s="561">
        <f>CHOOSE(uxb_works!$B$46,Scores_2014_O!BV54,Scores_2014_N!BV54,Scores_2017!BV54)</f>
        <v>50</v>
      </c>
      <c r="BW54" s="561">
        <f>CHOOSE(uxb_works!$B$46,Scores_2014_O!BW54,Scores_2014_N!BW54,Scores_2017!BW54)</f>
        <v>85</v>
      </c>
      <c r="BX54" s="561">
        <f>CHOOSE(uxb_works!$B$46,Scores_2014_O!BX54,Scores_2014_N!BX54,Scores_2017!BX54)</f>
        <v>85</v>
      </c>
      <c r="BY54"/>
      <c r="BZ54" s="214"/>
      <c r="CA54" s="21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row>
    <row r="55" s="69" customFormat="1" ht="24.95" customHeight="1" spans="1:130">
      <c r="A55"/>
      <c r="B55" s="92">
        <f>tblIndicators!A51</f>
        <v>50</v>
      </c>
      <c r="C55" s="92"/>
      <c r="D55" s="92"/>
      <c r="E55" s="92"/>
      <c r="F55" s="92">
        <f>CHOOSE(uxb_works!$B$46,Scores_2014_O!F55,Scores_2014_N!F55,Scores_2017!F55)</f>
        <v>2</v>
      </c>
      <c r="G55" s="92"/>
      <c r="H55" s="92"/>
      <c r="I55" s="104"/>
      <c r="J55" s="92"/>
      <c r="K55" s="92"/>
      <c r="L55" s="165"/>
      <c r="M55" s="92"/>
      <c r="N55" s="105" t="str">
        <f>REPT(" ",F55)&amp;CHOOSE(uxb_works!$B$46,Scores_2014_O!N55,Scores_2014_N!N55,Scores_2017!N55)</f>
        <v>    4.2) Personal security (Outputs)</v>
      </c>
      <c r="O55" s="556">
        <f>CHOOSE(uxb_works!$B$46,Scores_2014_O!O55,Scores_2014_N!O55,Scores_2017!O55)</f>
        <v>0.5</v>
      </c>
      <c r="P55" s="557">
        <f>CHOOSE(uxb_works!$B$46,Scores_2014_O!P55,Scores_2014_N!P55,Scores_2017!P55)</f>
        <v>86.10017057061</v>
      </c>
      <c r="Q55" s="561">
        <f>CHOOSE(uxb_works!$B$46,Scores_2014_O!Q55,Scores_2014_N!Q55,Scores_2017!Q55)</f>
        <v>82.2362299168649</v>
      </c>
      <c r="R55" s="561">
        <f>CHOOSE(uxb_works!$B$46,Scores_2014_O!R55,Scores_2014_N!R55,Scores_2017!R55)</f>
        <v>73.5297218012422</v>
      </c>
      <c r="S55" s="561">
        <f>CHOOSE(uxb_works!$B$46,Scores_2014_O!S55,Scores_2014_N!S55,Scores_2017!S55)</f>
        <v>59.9857208747085</v>
      </c>
      <c r="T55" s="561">
        <f>CHOOSE(uxb_works!$B$46,Scores_2014_O!T55,Scores_2014_N!T55,Scores_2017!T55)</f>
        <v>79.6127011905947</v>
      </c>
      <c r="U55" s="561">
        <f>CHOOSE(uxb_works!$B$46,Scores_2014_O!U55,Scores_2014_N!U55,Scores_2017!U55)</f>
        <v>76.5285701459284</v>
      </c>
      <c r="V55" s="561">
        <f>CHOOSE(uxb_works!$B$46,Scores_2014_O!V55,Scores_2014_N!V55,Scores_2017!V55)</f>
        <v>46.1316183272281</v>
      </c>
      <c r="W55" s="561">
        <f>CHOOSE(uxb_works!$B$46,Scores_2014_O!W55,Scores_2014_N!W55,Scores_2017!W55)</f>
        <v>80.7838153198686</v>
      </c>
      <c r="X55" s="561">
        <f>CHOOSE(uxb_works!$B$46,Scores_2014_O!X55,Scores_2014_N!X55,Scores_2017!X55)</f>
        <v>68.5054141911695</v>
      </c>
      <c r="Y55" s="561">
        <f>CHOOSE(uxb_works!$B$46,Scores_2014_O!Z55,Scores_2014_N!Y55,Scores_2017!Y55)</f>
        <v>62.1794341144497</v>
      </c>
      <c r="Z55" s="561">
        <f>CHOOSE(uxb_works!$B$46,Scores_2014_O!AA55,Scores_2014_N!Z55,Scores_2017!Z55)</f>
        <v>42.5015366068378</v>
      </c>
      <c r="AA55" s="561">
        <f>CHOOSE(uxb_works!$B$46,Scores_2014_O!AB55,Scores_2014_N!AA55,Scores_2017!AA55)</f>
        <v>68.0674500634544</v>
      </c>
      <c r="AB55" s="561">
        <f>CHOOSE(uxb_works!$B$46,Scores_2014_O!AC55,Scores_2014_N!AB55,Scores_2017!AB55)</f>
        <v>76.9197385249842</v>
      </c>
      <c r="AC55" s="561">
        <f>CHOOSE(uxb_works!$B$46,Scores_2014_O!AD55,Scores_2014_N!AC55,Scores_2017!AC55)</f>
        <v>78.6557501204637</v>
      </c>
      <c r="AD55" s="561">
        <f>CHOOSE(uxb_works!$B$46,Scores_2014_O!AE55,Scores_2014_N!AD55,Scores_2017!AD55)</f>
        <v>64.0466783858782</v>
      </c>
      <c r="AE55" s="561">
        <f>CHOOSE(uxb_works!$B$46,Scores_2014_O!AF55,Scores_2014_N!AE55,Scores_2017!AE55)</f>
        <v>59.8483603743997</v>
      </c>
      <c r="AF55" s="561">
        <f>CHOOSE(uxb_works!$B$46,Scores_2014_O!AG55,Scores_2014_N!AF55,Scores_2017!AF55)</f>
        <v>83.4544523327568</v>
      </c>
      <c r="AG55" s="561">
        <f>CHOOSE(uxb_works!$B$46,Scores_2014_O!AH55,Scores_2014_N!AG55,Scores_2017!AG55)</f>
        <v>81.6718008671738</v>
      </c>
      <c r="AH55" s="561">
        <f>CHOOSE(uxb_works!$B$46,Scores_2014_O!AI55,Scores_2014_N!AH55,Scores_2017!AH55)</f>
        <v>66.063951510523</v>
      </c>
      <c r="AI55" s="561">
        <f>CHOOSE(uxb_works!$B$46,Scores_2014_O!AJ55,Scores_2014_N!AI55,Scores_2017!AI55)</f>
        <v>87.4905460803838</v>
      </c>
      <c r="AJ55" s="561">
        <f>CHOOSE(uxb_works!$B$46,Scores_2014_O!AK55,Scores_2014_N!AJ55,Scores_2017!AJ55)</f>
        <v>59.8966031646102</v>
      </c>
      <c r="AK55" s="561">
        <f>CHOOSE(uxb_works!$B$46,Scores_2014_O!AL55,Scores_2014_N!AK55,Scores_2017!AK55)</f>
        <v>63.5410049717938</v>
      </c>
      <c r="AL55" s="561">
        <f>CHOOSE(uxb_works!$B$46,Scores_2014_O!AM55,Scores_2014_N!AL55,Scores_2017!AL55)</f>
        <v>77.2743325256026</v>
      </c>
      <c r="AM55" s="561">
        <f>CHOOSE(uxb_works!$B$46,Scores_2014_O!AN55,Scores_2014_N!AM55,Scores_2017!AM55)</f>
        <v>54.203598166953</v>
      </c>
      <c r="AN55" s="561">
        <f>CHOOSE(uxb_works!$B$46,Scores_2014_O!AO55,Scores_2014_N!AN55,Scores_2017!AN55)</f>
        <v>26.6834712295477</v>
      </c>
      <c r="AO55" s="561">
        <f>CHOOSE(uxb_works!$B$46,Scores_2014_O!AP55,Scores_2014_N!AO55,Scores_2017!AO55)</f>
        <v>77.5751523732371</v>
      </c>
      <c r="AP55" s="561">
        <f>CHOOSE(uxb_works!$B$46,Scores_2014_O!AQ55,Scores_2014_N!AP55,Scores_2017!AP55)</f>
        <v>80.2060357045367</v>
      </c>
      <c r="AQ55" s="561">
        <f>CHOOSE(uxb_works!$B$46,Scores_2014_O!Y55,Scores_2014_N!AQ55,Scores_2017!AQ55)</f>
        <v>60.6321006813934</v>
      </c>
      <c r="AR55" s="561">
        <f>CHOOSE(uxb_works!$B$46,Scores_2014_O!AR55,Scores_2014_N!AR55,Scores_2017!AR55)</f>
        <v>76.872691647432</v>
      </c>
      <c r="AS55" s="561">
        <f>CHOOSE(uxb_works!$B$46,Scores_2014_O!AS55,Scores_2014_N!AS55,Scores_2017!AS55)</f>
        <v>77.2605920603337</v>
      </c>
      <c r="AT55" s="561">
        <f>CHOOSE(uxb_works!$B$46,Scores_2014_O!AT55,Scores_2014_N!AT55,Scores_2017!AT55)</f>
        <v>80.2638051192829</v>
      </c>
      <c r="AU55" s="561">
        <f>CHOOSE(uxb_works!$B$46,Scores_2014_O!AU55,Scores_2014_N!AU55,Scores_2017!AU55)</f>
        <v>63.6896797438487</v>
      </c>
      <c r="AV55" s="561">
        <f>CHOOSE(uxb_works!$B$46,Scores_2014_O!AV55,Scores_2014_N!AV55,Scores_2017!AV55)</f>
        <v>81.8748923147478</v>
      </c>
      <c r="AW55" s="561">
        <f>CHOOSE(uxb_works!$B$46,Scores_2014_O!AW55,Scores_2014_N!AW55,Scores_2017!AW55)</f>
        <v>51.2377998006852</v>
      </c>
      <c r="AX55" s="561">
        <f>CHOOSE(uxb_works!$B$46,Scores_2014_O!AX55,Scores_2014_N!AX55,Scores_2017!AX55)</f>
        <v>73.5499163132566</v>
      </c>
      <c r="AY55" s="561">
        <f>CHOOSE(uxb_works!$B$46,Scores_2014_O!AY55,Scores_2014_N!AY55,Scores_2017!AY55)</f>
        <v>59.0373441896908</v>
      </c>
      <c r="AZ55" s="561">
        <f>CHOOSE(uxb_works!$B$46,Scores_2014_O!AZ55,Scores_2014_N!AZ55,Scores_2017!AZ55)</f>
        <v>66.6175812017623</v>
      </c>
      <c r="BA55" s="561">
        <f>CHOOSE(uxb_works!$B$46,Scores_2014_O!BA55,Scores_2014_N!BA55,Scores_2017!BA55)</f>
        <v>74.1097931907543</v>
      </c>
      <c r="BB55" s="561">
        <f>CHOOSE(uxb_works!$B$46,Scores_2014_O!BB55,Scores_2014_N!BB55,Scores_2017!BB55)</f>
        <v>87.5880265848671</v>
      </c>
      <c r="BC55" s="561">
        <f>CHOOSE(uxb_works!$B$46,Scores_2014_O!BC55,Scores_2014_N!BC55,Scores_2017!BC55)</f>
        <v>74.5328089414231</v>
      </c>
      <c r="BD55" s="561">
        <f>CHOOSE(uxb_works!$B$46,Scores_2014_O!BD55,Scores_2014_N!BD55,Scores_2017!BD55)</f>
        <v>62.0676190794125</v>
      </c>
      <c r="BE55" s="561">
        <f>CHOOSE(uxb_works!$B$46,Scores_2014_O!BE55,Scores_2014_N!BE55,Scores_2017!BE55)</f>
        <v>59.360623956106</v>
      </c>
      <c r="BF55" s="561">
        <f>CHOOSE(uxb_works!$B$46,Scores_2014_O!BF55,Scores_2014_N!BF55,Scores_2017!BF55)</f>
        <v>79.2505427613812</v>
      </c>
      <c r="BG55" s="561">
        <f>CHOOSE(uxb_works!$B$46,Scores_2014_O!BG55,Scores_2014_N!BG55,Scores_2017!BG55)</f>
        <v>68.6694571174441</v>
      </c>
      <c r="BH55" s="561">
        <f>CHOOSE(uxb_works!$B$46,Scores_2014_O!BH55,Scores_2014_N!BH55,Scores_2017!BH55)</f>
        <v>77.9266471923461</v>
      </c>
      <c r="BI55" s="561">
        <f>CHOOSE(uxb_works!$B$46,Scores_2014_O!BI55,Scores_2014_N!BI55,Scores_2017!BI55)</f>
        <v>75.847749230029</v>
      </c>
      <c r="BJ55" s="561">
        <f>CHOOSE(uxb_works!$B$46,Scores_2014_O!BJ55,Scores_2014_N!BJ55,Scores_2017!BJ55)</f>
        <v>59.8220610248664</v>
      </c>
      <c r="BK55" s="561">
        <f>CHOOSE(uxb_works!$B$46,Scores_2014_O!BK55,Scores_2014_N!BK55,Scores_2017!BK55)</f>
        <v>80.5099885311989</v>
      </c>
      <c r="BL55" s="561">
        <f>CHOOSE(uxb_works!$B$46,Scores_2014_O!BL55,Scores_2014_N!BL55,Scores_2017!BL55)</f>
        <v>75.1332031341141</v>
      </c>
      <c r="BM55" s="561">
        <f>CHOOSE(uxb_works!$B$46,Scores_2014_O!BM55,Scores_2014_N!BM55,Scores_2017!BM55)</f>
        <v>95.0146743624438</v>
      </c>
      <c r="BN55" s="561">
        <f>CHOOSE(uxb_works!$B$46,Scores_2014_O!BN55,Scores_2014_N!BN55,Scores_2017!BN55)</f>
        <v>91.2756974448189</v>
      </c>
      <c r="BO55" s="561">
        <f>CHOOSE(uxb_works!$B$46,Scores_2014_O!BO55,Scores_2014_N!BO55,Scores_2017!BO55)</f>
        <v>77.7547077439903</v>
      </c>
      <c r="BP55" s="561">
        <f>CHOOSE(uxb_works!$B$46,Scores_2014_O!BP55,Scores_2014_N!BP55,Scores_2017!BP55)</f>
        <v>86.1707950531097</v>
      </c>
      <c r="BQ55" s="561">
        <f>CHOOSE(uxb_works!$B$46,Scores_2014_O!BQ55,Scores_2014_N!BQ55,Scores_2017!BQ55)</f>
        <v>71.0974036834257</v>
      </c>
      <c r="BR55" s="561">
        <f>CHOOSE(uxb_works!$B$46,Scores_2014_O!BR55,Scores_2014_N!BR55,Scores_2017!BR55)</f>
        <v>87.5463896588618</v>
      </c>
      <c r="BS55" s="561">
        <f>CHOOSE(uxb_works!$B$46,Scores_2014_O!BS55,Scores_2014_N!BS55,Scores_2017!BS55)</f>
        <v>89.4179391451398</v>
      </c>
      <c r="BT55" s="561">
        <f>CHOOSE(uxb_works!$B$46,Scores_2014_O!BT55,Scores_2014_N!BT55,Scores_2017!BT55)</f>
        <v>75.9072552412343</v>
      </c>
      <c r="BU55" s="561">
        <f>CHOOSE(uxb_works!$B$46,Scores_2014_O!BU55,Scores_2014_N!BU55,Scores_2017!BU55)</f>
        <v>90.0992054005624</v>
      </c>
      <c r="BV55" s="561">
        <f>CHOOSE(uxb_works!$B$46,Scores_2014_O!BV55,Scores_2014_N!BV55,Scores_2017!BV55)</f>
        <v>66.5382349402438</v>
      </c>
      <c r="BW55" s="561">
        <f>CHOOSE(uxb_works!$B$46,Scores_2014_O!BW55,Scores_2014_N!BW55,Scores_2017!BW55)</f>
        <v>89.0831926500788</v>
      </c>
      <c r="BX55" s="561">
        <f>CHOOSE(uxb_works!$B$46,Scores_2014_O!BX55,Scores_2014_N!BX55,Scores_2017!BX55)</f>
        <v>87.5880265848671</v>
      </c>
      <c r="BY55"/>
      <c r="BZ55" s="214"/>
      <c r="CA55" s="214"/>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row>
    <row r="56" s="69" customFormat="1" ht="24.95" customHeight="1" spans="1:130">
      <c r="A56"/>
      <c r="B56" s="92">
        <f>tblIndicators!A52</f>
        <v>51</v>
      </c>
      <c r="C56" s="92"/>
      <c r="D56" s="92"/>
      <c r="E56" s="92"/>
      <c r="F56" s="92">
        <f>CHOOSE(uxb_works!$B$46,Scores_2014_O!F56,Scores_2014_N!F56,Scores_2017!F56)</f>
        <v>3</v>
      </c>
      <c r="G56" s="92"/>
      <c r="H56" s="92"/>
      <c r="I56" s="104"/>
      <c r="J56" s="92"/>
      <c r="K56" s="92"/>
      <c r="L56" s="165"/>
      <c r="M56" s="92"/>
      <c r="N56" s="105" t="str">
        <f>REPT(" ",F56)&amp;CHOOSE(uxb_works!$B$46,Scores_2014_O!N56,Scores_2014_N!N56,Scores_2017!N56)</f>
        <v>      4.2.1) Prevalence of petty crime</v>
      </c>
      <c r="O56" s="556">
        <f>CHOOSE(uxb_works!$B$46,Scores_2014_O!O56,Scores_2014_N!O56,Scores_2017!O56)</f>
        <v>0.0833333333333333</v>
      </c>
      <c r="P56" s="557">
        <f>CHOOSE(uxb_works!$B$46,Scores_2014_O!P56,Scores_2014_N!P56,Scores_2017!P56)</f>
        <v>75</v>
      </c>
      <c r="Q56" s="561">
        <f>CHOOSE(uxb_works!$B$46,Scores_2014_O!Q56,Scores_2014_N!Q56,Scores_2017!Q56)</f>
        <v>50</v>
      </c>
      <c r="R56" s="561">
        <f>CHOOSE(uxb_works!$B$46,Scores_2014_O!R56,Scores_2014_N!R56,Scores_2017!R56)</f>
        <v>75</v>
      </c>
      <c r="S56" s="561">
        <f>CHOOSE(uxb_works!$B$46,Scores_2014_O!S56,Scores_2014_N!S56,Scores_2017!S56)</f>
        <v>50</v>
      </c>
      <c r="T56" s="561">
        <f>CHOOSE(uxb_works!$B$46,Scores_2014_O!T56,Scores_2014_N!T56,Scores_2017!T56)</f>
        <v>75</v>
      </c>
      <c r="U56" s="561">
        <f>CHOOSE(uxb_works!$B$46,Scores_2014_O!U56,Scores_2014_N!U56,Scores_2017!U56)</f>
        <v>50</v>
      </c>
      <c r="V56" s="561">
        <f>CHOOSE(uxb_works!$B$46,Scores_2014_O!V56,Scores_2014_N!V56,Scores_2017!V56)</f>
        <v>0</v>
      </c>
      <c r="W56" s="561">
        <f>CHOOSE(uxb_works!$B$46,Scores_2014_O!W56,Scores_2014_N!W56,Scores_2017!W56)</f>
        <v>75</v>
      </c>
      <c r="X56" s="561">
        <f>CHOOSE(uxb_works!$B$46,Scores_2014_O!X56,Scores_2014_N!X56,Scores_2017!X56)</f>
        <v>50</v>
      </c>
      <c r="Y56" s="561">
        <f>CHOOSE(uxb_works!$B$46,Scores_2014_O!Z56,Scores_2014_N!Y56,Scores_2017!Y56)</f>
        <v>50</v>
      </c>
      <c r="Z56" s="561">
        <f>CHOOSE(uxb_works!$B$46,Scores_2014_O!AA56,Scores_2014_N!Z56,Scores_2017!Z56)</f>
        <v>0</v>
      </c>
      <c r="AA56" s="561">
        <f>CHOOSE(uxb_works!$B$46,Scores_2014_O!AB56,Scores_2014_N!AA56,Scores_2017!AA56)</f>
        <v>75</v>
      </c>
      <c r="AB56" s="561">
        <f>CHOOSE(uxb_works!$B$46,Scores_2014_O!AC56,Scores_2014_N!AB56,Scores_2017!AB56)</f>
        <v>75</v>
      </c>
      <c r="AC56" s="561">
        <f>CHOOSE(uxb_works!$B$46,Scores_2014_O!AD56,Scores_2014_N!AC56,Scores_2017!AC56)</f>
        <v>75</v>
      </c>
      <c r="AD56" s="561">
        <f>CHOOSE(uxb_works!$B$46,Scores_2014_O!AE56,Scores_2014_N!AD56,Scores_2017!AD56)</f>
        <v>50</v>
      </c>
      <c r="AE56" s="561">
        <f>CHOOSE(uxb_works!$B$46,Scores_2014_O!AF56,Scores_2014_N!AE56,Scores_2017!AE56)</f>
        <v>50</v>
      </c>
      <c r="AF56" s="561">
        <f>CHOOSE(uxb_works!$B$46,Scores_2014_O!AG56,Scores_2014_N!AF56,Scores_2017!AF56)</f>
        <v>75</v>
      </c>
      <c r="AG56" s="561">
        <f>CHOOSE(uxb_works!$B$46,Scores_2014_O!AH56,Scores_2014_N!AG56,Scores_2017!AG56)</f>
        <v>75</v>
      </c>
      <c r="AH56" s="561">
        <f>CHOOSE(uxb_works!$B$46,Scores_2014_O!AI56,Scores_2014_N!AH56,Scores_2017!AH56)</f>
        <v>25</v>
      </c>
      <c r="AI56" s="561">
        <f>CHOOSE(uxb_works!$B$46,Scores_2014_O!AJ56,Scores_2014_N!AI56,Scores_2017!AI56)</f>
        <v>75</v>
      </c>
      <c r="AJ56" s="561">
        <f>CHOOSE(uxb_works!$B$46,Scores_2014_O!AK56,Scores_2014_N!AJ56,Scores_2017!AJ56)</f>
        <v>50</v>
      </c>
      <c r="AK56" s="561">
        <f>CHOOSE(uxb_works!$B$46,Scores_2014_O!AL56,Scores_2014_N!AK56,Scores_2017!AK56)</f>
        <v>25</v>
      </c>
      <c r="AL56" s="561">
        <f>CHOOSE(uxb_works!$B$46,Scores_2014_O!AM56,Scores_2014_N!AL56,Scores_2017!AL56)</f>
        <v>75</v>
      </c>
      <c r="AM56" s="561">
        <f>CHOOSE(uxb_works!$B$46,Scores_2014_O!AN56,Scores_2014_N!AM56,Scores_2017!AM56)</f>
        <v>0</v>
      </c>
      <c r="AN56" s="561">
        <f>CHOOSE(uxb_works!$B$46,Scores_2014_O!AO56,Scores_2014_N!AN56,Scores_2017!AN56)</f>
        <v>25</v>
      </c>
      <c r="AO56" s="561">
        <f>CHOOSE(uxb_works!$B$46,Scores_2014_O!AP56,Scores_2014_N!AO56,Scores_2017!AO56)</f>
        <v>50</v>
      </c>
      <c r="AP56" s="561">
        <f>CHOOSE(uxb_works!$B$46,Scores_2014_O!AQ56,Scores_2014_N!AP56,Scores_2017!AP56)</f>
        <v>75</v>
      </c>
      <c r="AQ56" s="561">
        <f>CHOOSE(uxb_works!$B$46,Scores_2014_O!Y56,Scores_2014_N!AQ56,Scores_2017!AQ56)</f>
        <v>50</v>
      </c>
      <c r="AR56" s="561">
        <f>CHOOSE(uxb_works!$B$46,Scores_2014_O!AR56,Scores_2014_N!AR56,Scores_2017!AR56)</f>
        <v>50</v>
      </c>
      <c r="AS56" s="561">
        <f>CHOOSE(uxb_works!$B$46,Scores_2014_O!AS56,Scores_2014_N!AS56,Scores_2017!AS56)</f>
        <v>75</v>
      </c>
      <c r="AT56" s="561">
        <f>CHOOSE(uxb_works!$B$46,Scores_2014_O!AT56,Scores_2014_N!AT56,Scores_2017!AT56)</f>
        <v>75</v>
      </c>
      <c r="AU56" s="561">
        <f>CHOOSE(uxb_works!$B$46,Scores_2014_O!AU56,Scores_2014_N!AU56,Scores_2017!AU56)</f>
        <v>50</v>
      </c>
      <c r="AV56" s="561">
        <f>CHOOSE(uxb_works!$B$46,Scores_2014_O!AV56,Scores_2014_N!AV56,Scores_2017!AV56)</f>
        <v>75</v>
      </c>
      <c r="AW56" s="561">
        <f>CHOOSE(uxb_works!$B$46,Scores_2014_O!AW56,Scores_2014_N!AW56,Scores_2017!AW56)</f>
        <v>0</v>
      </c>
      <c r="AX56" s="561">
        <f>CHOOSE(uxb_works!$B$46,Scores_2014_O!AX56,Scores_2014_N!AX56,Scores_2017!AX56)</f>
        <v>75</v>
      </c>
      <c r="AY56" s="561">
        <f>CHOOSE(uxb_works!$B$46,Scores_2014_O!AY56,Scores_2014_N!AY56,Scores_2017!AY56)</f>
        <v>50</v>
      </c>
      <c r="AZ56" s="561">
        <f>CHOOSE(uxb_works!$B$46,Scores_2014_O!AZ56,Scores_2014_N!AZ56,Scores_2017!AZ56)</f>
        <v>25</v>
      </c>
      <c r="BA56" s="561">
        <f>CHOOSE(uxb_works!$B$46,Scores_2014_O!BA56,Scores_2014_N!BA56,Scores_2017!BA56)</f>
        <v>50</v>
      </c>
      <c r="BB56" s="561">
        <f>CHOOSE(uxb_works!$B$46,Scores_2014_O!BB56,Scores_2014_N!BB56,Scores_2017!BB56)</f>
        <v>75</v>
      </c>
      <c r="BC56" s="561">
        <f>CHOOSE(uxb_works!$B$46,Scores_2014_O!BC56,Scores_2014_N!BC56,Scores_2017!BC56)</f>
        <v>75</v>
      </c>
      <c r="BD56" s="561">
        <f>CHOOSE(uxb_works!$B$46,Scores_2014_O!BD56,Scores_2014_N!BD56,Scores_2017!BD56)</f>
        <v>0</v>
      </c>
      <c r="BE56" s="561">
        <f>CHOOSE(uxb_works!$B$46,Scores_2014_O!BE56,Scores_2014_N!BE56,Scores_2017!BE56)</f>
        <v>25</v>
      </c>
      <c r="BF56" s="561">
        <f>CHOOSE(uxb_works!$B$46,Scores_2014_O!BF56,Scores_2014_N!BF56,Scores_2017!BF56)</f>
        <v>75</v>
      </c>
      <c r="BG56" s="561">
        <f>CHOOSE(uxb_works!$B$46,Scores_2014_O!BG56,Scores_2014_N!BG56,Scores_2017!BG56)</f>
        <v>50</v>
      </c>
      <c r="BH56" s="561">
        <f>CHOOSE(uxb_works!$B$46,Scores_2014_O!BH56,Scores_2014_N!BH56,Scores_2017!BH56)</f>
        <v>75</v>
      </c>
      <c r="BI56" s="561">
        <f>CHOOSE(uxb_works!$B$46,Scores_2014_O!BI56,Scores_2014_N!BI56,Scores_2017!BI56)</f>
        <v>50</v>
      </c>
      <c r="BJ56" s="561">
        <f>CHOOSE(uxb_works!$B$46,Scores_2014_O!BJ56,Scores_2014_N!BJ56,Scores_2017!BJ56)</f>
        <v>25</v>
      </c>
      <c r="BK56" s="561">
        <f>CHOOSE(uxb_works!$B$46,Scores_2014_O!BK56,Scores_2014_N!BK56,Scores_2017!BK56)</f>
        <v>75</v>
      </c>
      <c r="BL56" s="561">
        <f>CHOOSE(uxb_works!$B$46,Scores_2014_O!BL56,Scores_2014_N!BL56,Scores_2017!BL56)</f>
        <v>50</v>
      </c>
      <c r="BM56" s="561">
        <f>CHOOSE(uxb_works!$B$46,Scores_2014_O!BM56,Scores_2014_N!BM56,Scores_2017!BM56)</f>
        <v>100</v>
      </c>
      <c r="BN56" s="561">
        <f>CHOOSE(uxb_works!$B$46,Scores_2014_O!BN56,Scores_2014_N!BN56,Scores_2017!BN56)</f>
        <v>75</v>
      </c>
      <c r="BO56" s="561">
        <f>CHOOSE(uxb_works!$B$46,Scores_2014_O!BO56,Scores_2014_N!BO56,Scores_2017!BO56)</f>
        <v>75</v>
      </c>
      <c r="BP56" s="561">
        <f>CHOOSE(uxb_works!$B$46,Scores_2014_O!BP56,Scores_2014_N!BP56,Scores_2017!BP56)</f>
        <v>75</v>
      </c>
      <c r="BQ56" s="561">
        <f>CHOOSE(uxb_works!$B$46,Scores_2014_O!BQ56,Scores_2014_N!BQ56,Scores_2017!BQ56)</f>
        <v>50</v>
      </c>
      <c r="BR56" s="561">
        <f>CHOOSE(uxb_works!$B$46,Scores_2014_O!BR56,Scores_2014_N!BR56,Scores_2017!BR56)</f>
        <v>75</v>
      </c>
      <c r="BS56" s="561">
        <f>CHOOSE(uxb_works!$B$46,Scores_2014_O!BS56,Scores_2014_N!BS56,Scores_2017!BS56)</f>
        <v>100</v>
      </c>
      <c r="BT56" s="561">
        <f>CHOOSE(uxb_works!$B$46,Scores_2014_O!BT56,Scores_2014_N!BT56,Scores_2017!BT56)</f>
        <v>75</v>
      </c>
      <c r="BU56" s="561">
        <f>CHOOSE(uxb_works!$B$46,Scores_2014_O!BU56,Scores_2014_N!BU56,Scores_2017!BU56)</f>
        <v>75</v>
      </c>
      <c r="BV56" s="561">
        <f>CHOOSE(uxb_works!$B$46,Scores_2014_O!BV56,Scores_2014_N!BV56,Scores_2017!BV56)</f>
        <v>50</v>
      </c>
      <c r="BW56" s="561">
        <f>CHOOSE(uxb_works!$B$46,Scores_2014_O!BW56,Scores_2014_N!BW56,Scores_2017!BW56)</f>
        <v>75</v>
      </c>
      <c r="BX56" s="561">
        <f>CHOOSE(uxb_works!$B$46,Scores_2014_O!BX56,Scores_2014_N!BX56,Scores_2017!BX56)</f>
        <v>75</v>
      </c>
      <c r="BY56"/>
      <c r="BZ56" s="214"/>
      <c r="CA56" s="214"/>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row>
    <row r="57" s="69" customFormat="1" ht="24.95" customHeight="1" spans="1:130">
      <c r="A57"/>
      <c r="B57" s="92">
        <f>tblIndicators!A53</f>
        <v>52</v>
      </c>
      <c r="C57" s="92"/>
      <c r="D57" s="92"/>
      <c r="E57" s="92"/>
      <c r="F57" s="92">
        <f>CHOOSE(uxb_works!$B$46,Scores_2014_O!F57,Scores_2014_N!F57,Scores_2017!F57)</f>
        <v>3</v>
      </c>
      <c r="G57" s="92"/>
      <c r="H57" s="92"/>
      <c r="I57" s="104"/>
      <c r="J57" s="92"/>
      <c r="K57" s="92"/>
      <c r="L57" s="165"/>
      <c r="M57" s="92"/>
      <c r="N57" s="105" t="str">
        <f>REPT(" ",F57)&amp;CHOOSE(uxb_works!$B$46,Scores_2014_O!N57,Scores_2014_N!N57,Scores_2017!N57)</f>
        <v>      4.2.2) Prevalence of violent crime</v>
      </c>
      <c r="O57" s="556">
        <f>CHOOSE(uxb_works!$B$46,Scores_2014_O!O57,Scores_2014_N!O57,Scores_2017!O57)</f>
        <v>0.0833333333333333</v>
      </c>
      <c r="P57" s="557">
        <f>CHOOSE(uxb_works!$B$46,Scores_2014_O!P57,Scores_2014_N!P57,Scores_2017!P57)</f>
        <v>100</v>
      </c>
      <c r="Q57" s="561">
        <f>CHOOSE(uxb_works!$B$46,Scores_2014_O!Q57,Scores_2014_N!Q57,Scores_2017!Q57)</f>
        <v>75</v>
      </c>
      <c r="R57" s="561">
        <f>CHOOSE(uxb_works!$B$46,Scores_2014_O!R57,Scores_2014_N!R57,Scores_2017!R57)</f>
        <v>100</v>
      </c>
      <c r="S57" s="561">
        <f>CHOOSE(uxb_works!$B$46,Scores_2014_O!S57,Scores_2014_N!S57,Scores_2017!S57)</f>
        <v>75</v>
      </c>
      <c r="T57" s="561">
        <f>CHOOSE(uxb_works!$B$46,Scores_2014_O!T57,Scores_2014_N!T57,Scores_2017!T57)</f>
        <v>75</v>
      </c>
      <c r="U57" s="561">
        <f>CHOOSE(uxb_works!$B$46,Scores_2014_O!U57,Scores_2014_N!U57,Scores_2017!U57)</f>
        <v>75</v>
      </c>
      <c r="V57" s="561">
        <f>CHOOSE(uxb_works!$B$46,Scores_2014_O!V57,Scores_2014_N!V57,Scores_2017!V57)</f>
        <v>25</v>
      </c>
      <c r="W57" s="561">
        <f>CHOOSE(uxb_works!$B$46,Scores_2014_O!W57,Scores_2014_N!W57,Scores_2017!W57)</f>
        <v>75</v>
      </c>
      <c r="X57" s="561">
        <f>CHOOSE(uxb_works!$B$46,Scores_2014_O!X57,Scores_2014_N!X57,Scores_2017!X57)</f>
        <v>50</v>
      </c>
      <c r="Y57" s="561">
        <f>CHOOSE(uxb_works!$B$46,Scores_2014_O!Z57,Scores_2014_N!Y57,Scores_2017!Y57)</f>
        <v>75</v>
      </c>
      <c r="Z57" s="561">
        <f>CHOOSE(uxb_works!$B$46,Scores_2014_O!AA57,Scores_2014_N!Z57,Scores_2017!Z57)</f>
        <v>0</v>
      </c>
      <c r="AA57" s="561">
        <f>CHOOSE(uxb_works!$B$46,Scores_2014_O!AB57,Scores_2014_N!AA57,Scores_2017!AA57)</f>
        <v>75</v>
      </c>
      <c r="AB57" s="561">
        <f>CHOOSE(uxb_works!$B$46,Scores_2014_O!AC57,Scores_2014_N!AB57,Scores_2017!AB57)</f>
        <v>75</v>
      </c>
      <c r="AC57" s="561">
        <f>CHOOSE(uxb_works!$B$46,Scores_2014_O!AD57,Scores_2014_N!AC57,Scores_2017!AC57)</f>
        <v>50</v>
      </c>
      <c r="AD57" s="561">
        <f>CHOOSE(uxb_works!$B$46,Scores_2014_O!AE57,Scores_2014_N!AD57,Scores_2017!AD57)</f>
        <v>50</v>
      </c>
      <c r="AE57" s="561">
        <f>CHOOSE(uxb_works!$B$46,Scores_2014_O!AF57,Scores_2014_N!AE57,Scores_2017!AE57)</f>
        <v>50</v>
      </c>
      <c r="AF57" s="561">
        <f>CHOOSE(uxb_works!$B$46,Scores_2014_O!AG57,Scores_2014_N!AF57,Scores_2017!AF57)</f>
        <v>100</v>
      </c>
      <c r="AG57" s="561">
        <f>CHOOSE(uxb_works!$B$46,Scores_2014_O!AH57,Scores_2014_N!AG57,Scores_2017!AG57)</f>
        <v>75</v>
      </c>
      <c r="AH57" s="561">
        <f>CHOOSE(uxb_works!$B$46,Scores_2014_O!AI57,Scores_2014_N!AH57,Scores_2017!AH57)</f>
        <v>50</v>
      </c>
      <c r="AI57" s="561">
        <f>CHOOSE(uxb_works!$B$46,Scores_2014_O!AJ57,Scores_2014_N!AI57,Scores_2017!AI57)</f>
        <v>100</v>
      </c>
      <c r="AJ57" s="561">
        <f>CHOOSE(uxb_works!$B$46,Scores_2014_O!AK57,Scores_2014_N!AJ57,Scores_2017!AJ57)</f>
        <v>50</v>
      </c>
      <c r="AK57" s="561">
        <f>CHOOSE(uxb_works!$B$46,Scores_2014_O!AL57,Scores_2014_N!AK57,Scores_2017!AK57)</f>
        <v>75</v>
      </c>
      <c r="AL57" s="561">
        <f>CHOOSE(uxb_works!$B$46,Scores_2014_O!AM57,Scores_2014_N!AL57,Scores_2017!AL57)</f>
        <v>100</v>
      </c>
      <c r="AM57" s="561">
        <f>CHOOSE(uxb_works!$B$46,Scores_2014_O!AN57,Scores_2014_N!AM57,Scores_2017!AM57)</f>
        <v>25</v>
      </c>
      <c r="AN57" s="561">
        <f>CHOOSE(uxb_works!$B$46,Scores_2014_O!AO57,Scores_2014_N!AN57,Scores_2017!AN57)</f>
        <v>25</v>
      </c>
      <c r="AO57" s="561">
        <f>CHOOSE(uxb_works!$B$46,Scores_2014_O!AP57,Scores_2014_N!AO57,Scores_2017!AO57)</f>
        <v>75</v>
      </c>
      <c r="AP57" s="561">
        <f>CHOOSE(uxb_works!$B$46,Scores_2014_O!AQ57,Scores_2014_N!AP57,Scores_2017!AP57)</f>
        <v>100</v>
      </c>
      <c r="AQ57" s="561">
        <f>CHOOSE(uxb_works!$B$46,Scores_2014_O!Y57,Scores_2014_N!AQ57,Scores_2017!AQ57)</f>
        <v>50</v>
      </c>
      <c r="AR57" s="561">
        <f>CHOOSE(uxb_works!$B$46,Scores_2014_O!AR57,Scores_2014_N!AR57,Scores_2017!AR57)</f>
        <v>75</v>
      </c>
      <c r="AS57" s="561">
        <f>CHOOSE(uxb_works!$B$46,Scores_2014_O!AS57,Scores_2014_N!AS57,Scores_2017!AS57)</f>
        <v>75</v>
      </c>
      <c r="AT57" s="561">
        <f>CHOOSE(uxb_works!$B$46,Scores_2014_O!AT57,Scores_2014_N!AT57,Scores_2017!AT57)</f>
        <v>75</v>
      </c>
      <c r="AU57" s="561">
        <f>CHOOSE(uxb_works!$B$46,Scores_2014_O!AU57,Scores_2014_N!AU57,Scores_2017!AU57)</f>
        <v>75</v>
      </c>
      <c r="AV57" s="561">
        <f>CHOOSE(uxb_works!$B$46,Scores_2014_O!AV57,Scores_2014_N!AV57,Scores_2017!AV57)</f>
        <v>100</v>
      </c>
      <c r="AW57" s="561">
        <f>CHOOSE(uxb_works!$B$46,Scores_2014_O!AW57,Scores_2014_N!AW57,Scores_2017!AW57)</f>
        <v>0</v>
      </c>
      <c r="AX57" s="561">
        <f>CHOOSE(uxb_works!$B$46,Scores_2014_O!AX57,Scores_2014_N!AX57,Scores_2017!AX57)</f>
        <v>75</v>
      </c>
      <c r="AY57" s="561">
        <f>CHOOSE(uxb_works!$B$46,Scores_2014_O!AY57,Scores_2014_N!AY57,Scores_2017!AY57)</f>
        <v>75</v>
      </c>
      <c r="AZ57" s="561">
        <f>CHOOSE(uxb_works!$B$46,Scores_2014_O!AZ57,Scores_2014_N!AZ57,Scores_2017!AZ57)</f>
        <v>75</v>
      </c>
      <c r="BA57" s="561">
        <f>CHOOSE(uxb_works!$B$46,Scores_2014_O!BA57,Scores_2014_N!BA57,Scores_2017!BA57)</f>
        <v>75</v>
      </c>
      <c r="BB57" s="561">
        <f>CHOOSE(uxb_works!$B$46,Scores_2014_O!BB57,Scores_2014_N!BB57,Scores_2017!BB57)</f>
        <v>100</v>
      </c>
      <c r="BC57" s="561">
        <f>CHOOSE(uxb_works!$B$46,Scores_2014_O!BC57,Scores_2014_N!BC57,Scores_2017!BC57)</f>
        <v>75</v>
      </c>
      <c r="BD57" s="561">
        <f>CHOOSE(uxb_works!$B$46,Scores_2014_O!BD57,Scores_2014_N!BD57,Scores_2017!BD57)</f>
        <v>25</v>
      </c>
      <c r="BE57" s="561">
        <f>CHOOSE(uxb_works!$B$46,Scores_2014_O!BE57,Scores_2014_N!BE57,Scores_2017!BE57)</f>
        <v>25</v>
      </c>
      <c r="BF57" s="561">
        <f>CHOOSE(uxb_works!$B$46,Scores_2014_O!BF57,Scores_2014_N!BF57,Scores_2017!BF57)</f>
        <v>100</v>
      </c>
      <c r="BG57" s="561">
        <f>CHOOSE(uxb_works!$B$46,Scores_2014_O!BG57,Scores_2014_N!BG57,Scores_2017!BG57)</f>
        <v>75</v>
      </c>
      <c r="BH57" s="561">
        <f>CHOOSE(uxb_works!$B$46,Scores_2014_O!BH57,Scores_2014_N!BH57,Scores_2017!BH57)</f>
        <v>75</v>
      </c>
      <c r="BI57" s="561">
        <f>CHOOSE(uxb_works!$B$46,Scores_2014_O!BI57,Scores_2014_N!BI57,Scores_2017!BI57)</f>
        <v>50</v>
      </c>
      <c r="BJ57" s="561">
        <f>CHOOSE(uxb_works!$B$46,Scores_2014_O!BJ57,Scores_2014_N!BJ57,Scores_2017!BJ57)</f>
        <v>25</v>
      </c>
      <c r="BK57" s="561">
        <f>CHOOSE(uxb_works!$B$46,Scores_2014_O!BK57,Scores_2014_N!BK57,Scores_2017!BK57)</f>
        <v>100</v>
      </c>
      <c r="BL57" s="561">
        <f>CHOOSE(uxb_works!$B$46,Scores_2014_O!BL57,Scores_2014_N!BL57,Scores_2017!BL57)</f>
        <v>75</v>
      </c>
      <c r="BM57" s="561">
        <f>CHOOSE(uxb_works!$B$46,Scores_2014_O!BM57,Scores_2014_N!BM57,Scores_2017!BM57)</f>
        <v>100</v>
      </c>
      <c r="BN57" s="561">
        <f>CHOOSE(uxb_works!$B$46,Scores_2014_O!BN57,Scores_2014_N!BN57,Scores_2017!BN57)</f>
        <v>100</v>
      </c>
      <c r="BO57" s="561">
        <f>CHOOSE(uxb_works!$B$46,Scores_2014_O!BO57,Scores_2014_N!BO57,Scores_2017!BO57)</f>
        <v>75</v>
      </c>
      <c r="BP57" s="561">
        <f>CHOOSE(uxb_works!$B$46,Scores_2014_O!BP57,Scores_2014_N!BP57,Scores_2017!BP57)</f>
        <v>75</v>
      </c>
      <c r="BQ57" s="561">
        <f>CHOOSE(uxb_works!$B$46,Scores_2014_O!BQ57,Scores_2014_N!BQ57,Scores_2017!BQ57)</f>
        <v>75</v>
      </c>
      <c r="BR57" s="561">
        <f>CHOOSE(uxb_works!$B$46,Scores_2014_O!BR57,Scores_2014_N!BR57,Scores_2017!BR57)</f>
        <v>100</v>
      </c>
      <c r="BS57" s="561">
        <f>CHOOSE(uxb_works!$B$46,Scores_2014_O!BS57,Scores_2014_N!BS57,Scores_2017!BS57)</f>
        <v>100</v>
      </c>
      <c r="BT57" s="561">
        <f>CHOOSE(uxb_works!$B$46,Scores_2014_O!BT57,Scores_2014_N!BT57,Scores_2017!BT57)</f>
        <v>75</v>
      </c>
      <c r="BU57" s="561">
        <f>CHOOSE(uxb_works!$B$46,Scores_2014_O!BU57,Scores_2014_N!BU57,Scores_2017!BU57)</f>
        <v>100</v>
      </c>
      <c r="BV57" s="561">
        <f>CHOOSE(uxb_works!$B$46,Scores_2014_O!BV57,Scores_2014_N!BV57,Scores_2017!BV57)</f>
        <v>75</v>
      </c>
      <c r="BW57" s="561">
        <f>CHOOSE(uxb_works!$B$46,Scores_2014_O!BW57,Scores_2014_N!BW57,Scores_2017!BW57)</f>
        <v>100</v>
      </c>
      <c r="BX57" s="561">
        <f>CHOOSE(uxb_works!$B$46,Scores_2014_O!BX57,Scores_2014_N!BX57,Scores_2017!BX57)</f>
        <v>100</v>
      </c>
      <c r="BY57"/>
      <c r="BZ57" s="214"/>
      <c r="CA57" s="214"/>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row>
    <row r="58" s="69" customFormat="1" ht="24.95" customHeight="1" spans="1:130">
      <c r="A58"/>
      <c r="B58" s="92">
        <f>tblIndicators!A54</f>
        <v>53</v>
      </c>
      <c r="C58" s="92"/>
      <c r="D58" s="92"/>
      <c r="E58" s="92"/>
      <c r="F58" s="92">
        <f>CHOOSE(uxb_works!$B$46,Scores_2014_O!F58,Scores_2014_N!F58,Scores_2017!F58)</f>
        <v>3</v>
      </c>
      <c r="G58" s="92"/>
      <c r="H58" s="92"/>
      <c r="I58" s="104"/>
      <c r="J58" s="92"/>
      <c r="K58" s="92"/>
      <c r="L58" s="165"/>
      <c r="M58" s="92"/>
      <c r="N58" s="105" t="str">
        <f>REPT(" ",F58)&amp;CHOOSE(uxb_works!$B$46,Scores_2014_O!N58,Scores_2014_N!N58,Scores_2017!N58)</f>
        <v>      4.2.3) Organised crime</v>
      </c>
      <c r="O58" s="556">
        <f>CHOOSE(uxb_works!$B$46,Scores_2014_O!O58,Scores_2014_N!O58,Scores_2017!O58)</f>
        <v>0.0833333333333333</v>
      </c>
      <c r="P58" s="557">
        <f>CHOOSE(uxb_works!$B$46,Scores_2014_O!P58,Scores_2014_N!P58,Scores_2017!P58)</f>
        <v>75</v>
      </c>
      <c r="Q58" s="561">
        <f>CHOOSE(uxb_works!$B$46,Scores_2014_O!Q58,Scores_2014_N!Q58,Scores_2017!Q58)</f>
        <v>100</v>
      </c>
      <c r="R58" s="561">
        <f>CHOOSE(uxb_works!$B$46,Scores_2014_O!R58,Scores_2014_N!R58,Scores_2017!R58)</f>
        <v>50</v>
      </c>
      <c r="S58" s="561">
        <f>CHOOSE(uxb_works!$B$46,Scores_2014_O!S58,Scores_2014_N!S58,Scores_2017!S58)</f>
        <v>50</v>
      </c>
      <c r="T58" s="561">
        <f>CHOOSE(uxb_works!$B$46,Scores_2014_O!T58,Scores_2014_N!T58,Scores_2017!T58)</f>
        <v>75</v>
      </c>
      <c r="U58" s="561">
        <f>CHOOSE(uxb_works!$B$46,Scores_2014_O!U58,Scores_2014_N!U58,Scores_2017!U58)</f>
        <v>50</v>
      </c>
      <c r="V58" s="561">
        <f>CHOOSE(uxb_works!$B$46,Scores_2014_O!V58,Scores_2014_N!V58,Scores_2017!V58)</f>
        <v>25</v>
      </c>
      <c r="W58" s="561">
        <f>CHOOSE(uxb_works!$B$46,Scores_2014_O!W58,Scores_2014_N!W58,Scores_2017!W58)</f>
        <v>75</v>
      </c>
      <c r="X58" s="561">
        <f>CHOOSE(uxb_works!$B$46,Scores_2014_O!X58,Scores_2014_N!X58,Scores_2017!X58)</f>
        <v>50</v>
      </c>
      <c r="Y58" s="561">
        <f>CHOOSE(uxb_works!$B$46,Scores_2014_O!Z58,Scores_2014_N!Y58,Scores_2017!Y58)</f>
        <v>50</v>
      </c>
      <c r="Z58" s="561">
        <f>CHOOSE(uxb_works!$B$46,Scores_2014_O!AA58,Scores_2014_N!Z58,Scores_2017!Z58)</f>
        <v>0</v>
      </c>
      <c r="AA58" s="561">
        <f>CHOOSE(uxb_works!$B$46,Scores_2014_O!AB58,Scores_2014_N!AA58,Scores_2017!AA58)</f>
        <v>25</v>
      </c>
      <c r="AB58" s="561">
        <f>CHOOSE(uxb_works!$B$46,Scores_2014_O!AC58,Scores_2014_N!AB58,Scores_2017!AB58)</f>
        <v>75</v>
      </c>
      <c r="AC58" s="561">
        <f>CHOOSE(uxb_works!$B$46,Scores_2014_O!AD58,Scores_2014_N!AC58,Scores_2017!AC58)</f>
        <v>75</v>
      </c>
      <c r="AD58" s="561">
        <f>CHOOSE(uxb_works!$B$46,Scores_2014_O!AE58,Scores_2014_N!AD58,Scores_2017!AD58)</f>
        <v>50</v>
      </c>
      <c r="AE58" s="561">
        <f>CHOOSE(uxb_works!$B$46,Scores_2014_O!AF58,Scores_2014_N!AE58,Scores_2017!AE58)</f>
        <v>75</v>
      </c>
      <c r="AF58" s="561">
        <f>CHOOSE(uxb_works!$B$46,Scores_2014_O!AG58,Scores_2014_N!AF58,Scores_2017!AF58)</f>
        <v>100</v>
      </c>
      <c r="AG58" s="561">
        <f>CHOOSE(uxb_works!$B$46,Scores_2014_O!AH58,Scores_2014_N!AG58,Scores_2017!AG58)</f>
        <v>75</v>
      </c>
      <c r="AH58" s="561">
        <f>CHOOSE(uxb_works!$B$46,Scores_2014_O!AI58,Scores_2014_N!AH58,Scores_2017!AH58)</f>
        <v>50</v>
      </c>
      <c r="AI58" s="561">
        <f>CHOOSE(uxb_works!$B$46,Scores_2014_O!AJ58,Scores_2014_N!AI58,Scores_2017!AI58)</f>
        <v>75</v>
      </c>
      <c r="AJ58" s="561">
        <f>CHOOSE(uxb_works!$B$46,Scores_2014_O!AK58,Scores_2014_N!AJ58,Scores_2017!AJ58)</f>
        <v>50</v>
      </c>
      <c r="AK58" s="561">
        <f>CHOOSE(uxb_works!$B$46,Scores_2014_O!AL58,Scores_2014_N!AK58,Scores_2017!AK58)</f>
        <v>50</v>
      </c>
      <c r="AL58" s="561">
        <f>CHOOSE(uxb_works!$B$46,Scores_2014_O!AM58,Scores_2014_N!AL58,Scores_2017!AL58)</f>
        <v>75</v>
      </c>
      <c r="AM58" s="561">
        <f>CHOOSE(uxb_works!$B$46,Scores_2014_O!AN58,Scores_2014_N!AM58,Scores_2017!AM58)</f>
        <v>25</v>
      </c>
      <c r="AN58" s="561">
        <f>CHOOSE(uxb_works!$B$46,Scores_2014_O!AO58,Scores_2014_N!AN58,Scores_2017!AN58)</f>
        <v>25</v>
      </c>
      <c r="AO58" s="561">
        <f>CHOOSE(uxb_works!$B$46,Scores_2014_O!AP58,Scores_2014_N!AO58,Scores_2017!AO58)</f>
        <v>75</v>
      </c>
      <c r="AP58" s="561">
        <f>CHOOSE(uxb_works!$B$46,Scores_2014_O!AQ58,Scores_2014_N!AP58,Scores_2017!AP58)</f>
        <v>75</v>
      </c>
      <c r="AQ58" s="561">
        <f>CHOOSE(uxb_works!$B$46,Scores_2014_O!Y58,Scores_2014_N!AQ58,Scores_2017!AQ58)</f>
        <v>25</v>
      </c>
      <c r="AR58" s="561">
        <f>CHOOSE(uxb_works!$B$46,Scores_2014_O!AR58,Scores_2014_N!AR58,Scores_2017!AR58)</f>
        <v>75</v>
      </c>
      <c r="AS58" s="561">
        <f>CHOOSE(uxb_works!$B$46,Scores_2014_O!AS58,Scores_2014_N!AS58,Scores_2017!AS58)</f>
        <v>75</v>
      </c>
      <c r="AT58" s="561">
        <f>CHOOSE(uxb_works!$B$46,Scores_2014_O!AT58,Scores_2014_N!AT58,Scores_2017!AT58)</f>
        <v>75</v>
      </c>
      <c r="AU58" s="561">
        <f>CHOOSE(uxb_works!$B$46,Scores_2014_O!AU58,Scores_2014_N!AU58,Scores_2017!AU58)</f>
        <v>25</v>
      </c>
      <c r="AV58" s="561">
        <f>CHOOSE(uxb_works!$B$46,Scores_2014_O!AV58,Scores_2014_N!AV58,Scores_2017!AV58)</f>
        <v>75</v>
      </c>
      <c r="AW58" s="561">
        <f>CHOOSE(uxb_works!$B$46,Scores_2014_O!AW58,Scores_2014_N!AW58,Scores_2017!AW58)</f>
        <v>0</v>
      </c>
      <c r="AX58" s="561">
        <f>CHOOSE(uxb_works!$B$46,Scores_2014_O!AX58,Scores_2014_N!AX58,Scores_2017!AX58)</f>
        <v>25</v>
      </c>
      <c r="AY58" s="561">
        <f>CHOOSE(uxb_works!$B$46,Scores_2014_O!AY58,Scores_2014_N!AY58,Scores_2017!AY58)</f>
        <v>25</v>
      </c>
      <c r="AZ58" s="561">
        <f>CHOOSE(uxb_works!$B$46,Scores_2014_O!AZ58,Scores_2014_N!AZ58,Scores_2017!AZ58)</f>
        <v>50</v>
      </c>
      <c r="BA58" s="561">
        <f>CHOOSE(uxb_works!$B$46,Scores_2014_O!BA58,Scores_2014_N!BA58,Scores_2017!BA58)</f>
        <v>75</v>
      </c>
      <c r="BB58" s="561">
        <f>CHOOSE(uxb_works!$B$46,Scores_2014_O!BB58,Scores_2014_N!BB58,Scores_2017!BB58)</f>
        <v>50</v>
      </c>
      <c r="BC58" s="561">
        <f>CHOOSE(uxb_works!$B$46,Scores_2014_O!BC58,Scores_2014_N!BC58,Scores_2017!BC58)</f>
        <v>75</v>
      </c>
      <c r="BD58" s="561">
        <f>CHOOSE(uxb_works!$B$46,Scores_2014_O!BD58,Scores_2014_N!BD58,Scores_2017!BD58)</f>
        <v>50</v>
      </c>
      <c r="BE58" s="561">
        <f>CHOOSE(uxb_works!$B$46,Scores_2014_O!BE58,Scores_2014_N!BE58,Scores_2017!BE58)</f>
        <v>50</v>
      </c>
      <c r="BF58" s="561">
        <f>CHOOSE(uxb_works!$B$46,Scores_2014_O!BF58,Scores_2014_N!BF58,Scores_2017!BF58)</f>
        <v>75</v>
      </c>
      <c r="BG58" s="561">
        <f>CHOOSE(uxb_works!$B$46,Scores_2014_O!BG58,Scores_2014_N!BG58,Scores_2017!BG58)</f>
        <v>25</v>
      </c>
      <c r="BH58" s="561">
        <f>CHOOSE(uxb_works!$B$46,Scores_2014_O!BH58,Scores_2014_N!BH58,Scores_2017!BH58)</f>
        <v>75</v>
      </c>
      <c r="BI58" s="561">
        <f>CHOOSE(uxb_works!$B$46,Scores_2014_O!BI58,Scores_2014_N!BI58,Scores_2017!BI58)</f>
        <v>75</v>
      </c>
      <c r="BJ58" s="561">
        <f>CHOOSE(uxb_works!$B$46,Scores_2014_O!BJ58,Scores_2014_N!BJ58,Scores_2017!BJ58)</f>
        <v>50</v>
      </c>
      <c r="BK58" s="561">
        <f>CHOOSE(uxb_works!$B$46,Scores_2014_O!BK58,Scores_2014_N!BK58,Scores_2017!BK58)</f>
        <v>75</v>
      </c>
      <c r="BL58" s="561">
        <f>CHOOSE(uxb_works!$B$46,Scores_2014_O!BL58,Scores_2014_N!BL58,Scores_2017!BL58)</f>
        <v>50</v>
      </c>
      <c r="BM58" s="561">
        <f>CHOOSE(uxb_works!$B$46,Scores_2014_O!BM58,Scores_2014_N!BM58,Scores_2017!BM58)</f>
        <v>100</v>
      </c>
      <c r="BN58" s="561">
        <f>CHOOSE(uxb_works!$B$46,Scores_2014_O!BN58,Scores_2014_N!BN58,Scores_2017!BN58)</f>
        <v>100</v>
      </c>
      <c r="BO58" s="561">
        <f>CHOOSE(uxb_works!$B$46,Scores_2014_O!BO58,Scores_2014_N!BO58,Scores_2017!BO58)</f>
        <v>75</v>
      </c>
      <c r="BP58" s="561">
        <f>CHOOSE(uxb_works!$B$46,Scores_2014_O!BP58,Scores_2014_N!BP58,Scores_2017!BP58)</f>
        <v>75</v>
      </c>
      <c r="BQ58" s="561">
        <f>CHOOSE(uxb_works!$B$46,Scores_2014_O!BQ58,Scores_2014_N!BQ58,Scores_2017!BQ58)</f>
        <v>75</v>
      </c>
      <c r="BR58" s="561">
        <f>CHOOSE(uxb_works!$B$46,Scores_2014_O!BR58,Scores_2014_N!BR58,Scores_2017!BR58)</f>
        <v>50</v>
      </c>
      <c r="BS58" s="561">
        <f>CHOOSE(uxb_works!$B$46,Scores_2014_O!BS58,Scores_2014_N!BS58,Scores_2017!BS58)</f>
        <v>75</v>
      </c>
      <c r="BT58" s="561">
        <f>CHOOSE(uxb_works!$B$46,Scores_2014_O!BT58,Scores_2014_N!BT58,Scores_2017!BT58)</f>
        <v>75</v>
      </c>
      <c r="BU58" s="561">
        <f>CHOOSE(uxb_works!$B$46,Scores_2014_O!BU58,Scores_2014_N!BU58,Scores_2017!BU58)</f>
        <v>100</v>
      </c>
      <c r="BV58" s="561">
        <f>CHOOSE(uxb_works!$B$46,Scores_2014_O!BV58,Scores_2014_N!BV58,Scores_2017!BV58)</f>
        <v>25</v>
      </c>
      <c r="BW58" s="561">
        <f>CHOOSE(uxb_works!$B$46,Scores_2014_O!BW58,Scores_2014_N!BW58,Scores_2017!BW58)</f>
        <v>75</v>
      </c>
      <c r="BX58" s="561">
        <f>CHOOSE(uxb_works!$B$46,Scores_2014_O!BX58,Scores_2014_N!BX58,Scores_2017!BX58)</f>
        <v>50</v>
      </c>
      <c r="BY58"/>
      <c r="BZ58" s="214"/>
      <c r="CA58" s="214"/>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row>
    <row r="59" s="69" customFormat="1" ht="24.95" customHeight="1" spans="1:130">
      <c r="A59"/>
      <c r="B59" s="92">
        <f>tblIndicators!A55</f>
        <v>54</v>
      </c>
      <c r="C59" s="92"/>
      <c r="D59" s="92"/>
      <c r="E59" s="92"/>
      <c r="F59" s="92">
        <f>CHOOSE(uxb_works!$B$46,Scores_2014_O!F59,Scores_2014_N!F59,Scores_2017!F59)</f>
        <v>3</v>
      </c>
      <c r="G59" s="92"/>
      <c r="H59" s="92"/>
      <c r="I59" s="104"/>
      <c r="J59" s="92"/>
      <c r="K59" s="92"/>
      <c r="L59" s="165"/>
      <c r="M59" s="92"/>
      <c r="N59" s="105" t="str">
        <f>REPT(" ",F59)&amp;CHOOSE(uxb_works!$B$46,Scores_2014_O!N59,Scores_2014_N!N59,Scores_2017!N59)</f>
        <v>      4.2.4) Level of corruption</v>
      </c>
      <c r="O59" s="556">
        <f>CHOOSE(uxb_works!$B$46,Scores_2014_O!O59,Scores_2014_N!O59,Scores_2017!O59)</f>
        <v>0.0833333333333333</v>
      </c>
      <c r="P59" s="557">
        <f>CHOOSE(uxb_works!$B$46,Scores_2014_O!P59,Scores_2014_N!P59,Scores_2017!P59)</f>
        <v>66</v>
      </c>
      <c r="Q59" s="561">
        <f>CHOOSE(uxb_works!$B$46,Scores_2014_O!Q59,Scores_2014_N!Q59,Scores_2017!Q59)</f>
        <v>83</v>
      </c>
      <c r="R59" s="561">
        <f>CHOOSE(uxb_works!$B$46,Scores_2014_O!R59,Scores_2014_N!R59,Scores_2017!R59)</f>
        <v>44</v>
      </c>
      <c r="S59" s="561">
        <f>CHOOSE(uxb_works!$B$46,Scores_2014_O!S59,Scores_2014_N!S59,Scores_2017!S59)</f>
        <v>35</v>
      </c>
      <c r="T59" s="561">
        <f>CHOOSE(uxb_works!$B$46,Scores_2014_O!T59,Scores_2014_N!T59,Scores_2017!T59)</f>
        <v>58</v>
      </c>
      <c r="U59" s="561">
        <f>CHOOSE(uxb_works!$B$46,Scores_2014_O!U59,Scores_2014_N!U59,Scores_2017!U59)</f>
        <v>40</v>
      </c>
      <c r="V59" s="561">
        <f>CHOOSE(uxb_works!$B$46,Scores_2014_O!V59,Scores_2014_N!V59,Scores_2017!V59)</f>
        <v>37</v>
      </c>
      <c r="W59" s="561">
        <f>CHOOSE(uxb_works!$B$46,Scores_2014_O!W59,Scores_2014_N!W59,Scores_2017!W59)</f>
        <v>77</v>
      </c>
      <c r="X59" s="561">
        <f>CHOOSE(uxb_works!$B$46,Scores_2014_O!X59,Scores_2014_N!X59,Scores_2017!X59)</f>
        <v>36</v>
      </c>
      <c r="Y59" s="561">
        <f>CHOOSE(uxb_works!$B$46,Scores_2014_O!Z59,Scores_2014_N!Y59,Scores_2017!Y59)</f>
        <v>34</v>
      </c>
      <c r="Z59" s="561">
        <f>CHOOSE(uxb_works!$B$46,Scores_2014_O!AA59,Scores_2014_N!Z59,Scores_2017!Z59)</f>
        <v>17</v>
      </c>
      <c r="AA59" s="561">
        <f>CHOOSE(uxb_works!$B$46,Scores_2014_O!AB59,Scores_2014_N!AA59,Scores_2017!AA59)</f>
        <v>37</v>
      </c>
      <c r="AB59" s="561">
        <f>CHOOSE(uxb_works!$B$46,Scores_2014_O!AC59,Scores_2014_N!AB59,Scores_2017!AB59)</f>
        <v>74</v>
      </c>
      <c r="AC59" s="561">
        <f>CHOOSE(uxb_works!$B$46,Scores_2014_O!AD59,Scores_2014_N!AC59,Scores_2017!AC59)</f>
        <v>74</v>
      </c>
      <c r="AD59" s="561">
        <f>CHOOSE(uxb_works!$B$46,Scores_2014_O!AE59,Scores_2014_N!AD59,Scores_2017!AD59)</f>
        <v>40</v>
      </c>
      <c r="AE59" s="561">
        <f>CHOOSE(uxb_works!$B$46,Scores_2014_O!AF59,Scores_2014_N!AE59,Scores_2017!AE59)</f>
        <v>26</v>
      </c>
      <c r="AF59" s="561">
        <f>CHOOSE(uxb_works!$B$46,Scores_2014_O!AG59,Scores_2014_N!AF59,Scores_2017!AF59)</f>
        <v>61</v>
      </c>
      <c r="AG59" s="561">
        <f>CHOOSE(uxb_works!$B$46,Scores_2014_O!AH59,Scores_2014_N!AG59,Scores_2017!AG59)</f>
        <v>81</v>
      </c>
      <c r="AH59" s="561">
        <f>CHOOSE(uxb_works!$B$46,Scores_2014_O!AI59,Scores_2014_N!AH59,Scores_2017!AH59)</f>
        <v>33</v>
      </c>
      <c r="AI59" s="561">
        <f>CHOOSE(uxb_works!$B$46,Scores_2014_O!AJ59,Scores_2014_N!AI59,Scores_2017!AI59)</f>
        <v>77</v>
      </c>
      <c r="AJ59" s="561">
        <f>CHOOSE(uxb_works!$B$46,Scores_2014_O!AK59,Scores_2014_N!AJ59,Scores_2017!AJ59)</f>
        <v>41</v>
      </c>
      <c r="AK59" s="561">
        <f>CHOOSE(uxb_works!$B$46,Scores_2014_O!AL59,Scores_2014_N!AK59,Scores_2017!AK59)</f>
        <v>37</v>
      </c>
      <c r="AL59" s="561">
        <f>CHOOSE(uxb_works!$B$46,Scores_2014_O!AM59,Scores_2014_N!AL59,Scores_2017!AL59)</f>
        <v>46</v>
      </c>
      <c r="AM59" s="561">
        <f>CHOOSE(uxb_works!$B$46,Scores_2014_O!AN59,Scores_2014_N!AM59,Scores_2017!AM59)</f>
        <v>45</v>
      </c>
      <c r="AN59" s="561">
        <f>CHOOSE(uxb_works!$B$46,Scores_2014_O!AO59,Scores_2014_N!AN59,Scores_2017!AN59)</f>
        <v>32</v>
      </c>
      <c r="AO59" s="561">
        <f>CHOOSE(uxb_works!$B$46,Scores_2014_O!AP59,Scores_2014_N!AO59,Scores_2017!AO59)</f>
        <v>49</v>
      </c>
      <c r="AP59" s="561">
        <f>CHOOSE(uxb_works!$B$46,Scores_2014_O!AQ59,Scores_2014_N!AP59,Scores_2017!AP59)</f>
        <v>41</v>
      </c>
      <c r="AQ59" s="561">
        <f>CHOOSE(uxb_works!$B$46,Scores_2014_O!Y59,Scores_2014_N!AQ59,Scores_2017!AQ59)</f>
        <v>35</v>
      </c>
      <c r="AR59" s="561">
        <f>CHOOSE(uxb_works!$B$46,Scores_2014_O!AR59,Scores_2014_N!AR59,Scores_2017!AR59)</f>
        <v>81</v>
      </c>
      <c r="AS59" s="561">
        <f>CHOOSE(uxb_works!$B$46,Scores_2014_O!AS59,Scores_2014_N!AS59,Scores_2017!AS59)</f>
        <v>74</v>
      </c>
      <c r="AT59" s="561">
        <f>CHOOSE(uxb_works!$B$46,Scores_2014_O!AT59,Scores_2014_N!AT59,Scores_2017!AT59)</f>
        <v>58</v>
      </c>
      <c r="AU59" s="561">
        <f>CHOOSE(uxb_works!$B$46,Scores_2014_O!AU59,Scores_2014_N!AU59,Scores_2017!AU59)</f>
        <v>35</v>
      </c>
      <c r="AV59" s="561">
        <f>CHOOSE(uxb_works!$B$46,Scores_2014_O!AV59,Scores_2014_N!AV59,Scores_2017!AV59)</f>
        <v>79</v>
      </c>
      <c r="AW59" s="561">
        <f>CHOOSE(uxb_works!$B$46,Scores_2014_O!AW59,Scores_2014_N!AW59,Scores_2017!AW59)</f>
        <v>30</v>
      </c>
      <c r="AX59" s="561">
        <f>CHOOSE(uxb_works!$B$46,Scores_2014_O!AX59,Scores_2014_N!AX59,Scores_2017!AX59)</f>
        <v>47</v>
      </c>
      <c r="AY59" s="561">
        <f>CHOOSE(uxb_works!$B$46,Scores_2014_O!AY59,Scores_2014_N!AY59,Scores_2017!AY59)</f>
        <v>29</v>
      </c>
      <c r="AZ59" s="561">
        <f>CHOOSE(uxb_works!$B$46,Scores_2014_O!AZ59,Scores_2014_N!AZ59,Scores_2017!AZ59)</f>
        <v>40</v>
      </c>
      <c r="BA59" s="561">
        <f>CHOOSE(uxb_works!$B$46,Scores_2014_O!BA59,Scores_2014_N!BA59,Scores_2017!BA59)</f>
        <v>74</v>
      </c>
      <c r="BB59" s="561">
        <f>CHOOSE(uxb_works!$B$46,Scores_2014_O!BB59,Scores_2014_N!BB59,Scores_2017!BB59)</f>
        <v>72</v>
      </c>
      <c r="BC59" s="561">
        <f>CHOOSE(uxb_works!$B$46,Scores_2014_O!BC59,Scores_2014_N!BC59,Scores_2017!BC59)</f>
        <v>69</v>
      </c>
      <c r="BD59" s="561">
        <f>CHOOSE(uxb_works!$B$46,Scores_2014_O!BD59,Scores_2014_N!BD59,Scores_2017!BD59)</f>
        <v>31</v>
      </c>
      <c r="BE59" s="561">
        <f>CHOOSE(uxb_works!$B$46,Scores_2014_O!BE59,Scores_2014_N!BE59,Scores_2017!BE59)</f>
        <v>40</v>
      </c>
      <c r="BF59" s="561">
        <f>CHOOSE(uxb_works!$B$46,Scores_2014_O!BF59,Scores_2014_N!BF59,Scores_2017!BF59)</f>
        <v>46</v>
      </c>
      <c r="BG59" s="561">
        <f>CHOOSE(uxb_works!$B$46,Scores_2014_O!BG59,Scores_2014_N!BG59,Scores_2017!BG59)</f>
        <v>47</v>
      </c>
      <c r="BH59" s="561">
        <f>CHOOSE(uxb_works!$B$46,Scores_2014_O!BH59,Scores_2014_N!BH59,Scores_2017!BH59)</f>
        <v>74</v>
      </c>
      <c r="BI59" s="561">
        <f>CHOOSE(uxb_works!$B$46,Scores_2014_O!BI59,Scores_2014_N!BI59,Scores_2017!BI59)</f>
        <v>66</v>
      </c>
      <c r="BJ59" s="561">
        <f>CHOOSE(uxb_works!$B$46,Scores_2014_O!BJ59,Scores_2014_N!BJ59,Scores_2017!BJ59)</f>
        <v>40</v>
      </c>
      <c r="BK59" s="561">
        <f>CHOOSE(uxb_works!$B$46,Scores_2014_O!BK59,Scores_2014_N!BK59,Scores_2017!BK59)</f>
        <v>53</v>
      </c>
      <c r="BL59" s="561">
        <f>CHOOSE(uxb_works!$B$46,Scores_2014_O!BL59,Scores_2014_N!BL59,Scores_2017!BL59)</f>
        <v>40</v>
      </c>
      <c r="BM59" s="561">
        <f>CHOOSE(uxb_works!$B$46,Scores_2014_O!BM59,Scores_2014_N!BM59,Scores_2017!BM59)</f>
        <v>84</v>
      </c>
      <c r="BN59" s="561">
        <f>CHOOSE(uxb_works!$B$46,Scores_2014_O!BN59,Scores_2014_N!BN59,Scores_2017!BN59)</f>
        <v>88</v>
      </c>
      <c r="BO59" s="561">
        <f>CHOOSE(uxb_works!$B$46,Scores_2014_O!BO59,Scores_2014_N!BO59,Scores_2017!BO59)</f>
        <v>79</v>
      </c>
      <c r="BP59" s="561">
        <f>CHOOSE(uxb_works!$B$46,Scores_2014_O!BP59,Scores_2014_N!BP59,Scores_2017!BP59)</f>
        <v>61</v>
      </c>
      <c r="BQ59" s="561">
        <f>CHOOSE(uxb_works!$B$46,Scores_2014_O!BQ59,Scores_2014_N!BQ59,Scores_2017!BQ59)</f>
        <v>29</v>
      </c>
      <c r="BR59" s="561">
        <f>CHOOSE(uxb_works!$B$46,Scores_2014_O!BR59,Scores_2014_N!BR59,Scores_2017!BR59)</f>
        <v>72</v>
      </c>
      <c r="BS59" s="561">
        <f>CHOOSE(uxb_works!$B$46,Scores_2014_O!BS59,Scores_2014_N!BS59,Scores_2017!BS59)</f>
        <v>82</v>
      </c>
      <c r="BT59" s="561">
        <f>CHOOSE(uxb_works!$B$46,Scores_2014_O!BT59,Scores_2014_N!BT59,Scores_2017!BT59)</f>
        <v>74</v>
      </c>
      <c r="BU59" s="561">
        <f>CHOOSE(uxb_works!$B$46,Scores_2014_O!BU59,Scores_2014_N!BU59,Scores_2017!BU59)</f>
        <v>90</v>
      </c>
      <c r="BV59" s="561">
        <f>CHOOSE(uxb_works!$B$46,Scores_2014_O!BV59,Scores_2014_N!BV59,Scores_2017!BV59)</f>
        <v>28</v>
      </c>
      <c r="BW59" s="561">
        <f>CHOOSE(uxb_works!$B$46,Scores_2014_O!BW59,Scores_2014_N!BW59,Scores_2017!BW59)</f>
        <v>86</v>
      </c>
      <c r="BX59" s="561">
        <f>CHOOSE(uxb_works!$B$46,Scores_2014_O!BX59,Scores_2014_N!BX59,Scores_2017!BX59)</f>
        <v>72</v>
      </c>
      <c r="BY59"/>
      <c r="BZ59" s="214"/>
      <c r="CA59" s="214"/>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row>
    <row r="60" s="69" customFormat="1" ht="24.95" customHeight="1" spans="1:130">
      <c r="A60"/>
      <c r="B60" s="92">
        <f>tblIndicators!A56</f>
        <v>55</v>
      </c>
      <c r="C60" s="92"/>
      <c r="D60" s="92"/>
      <c r="E60" s="92"/>
      <c r="F60" s="92">
        <f>CHOOSE(uxb_works!$B$46,Scores_2014_O!F60,Scores_2014_N!F60,Scores_2017!F60)</f>
        <v>3</v>
      </c>
      <c r="G60" s="92"/>
      <c r="H60" s="92"/>
      <c r="I60" s="104"/>
      <c r="J60" s="92"/>
      <c r="K60" s="92"/>
      <c r="L60" s="165"/>
      <c r="M60" s="92"/>
      <c r="N60" s="105" t="str">
        <f>REPT(" ",F60)&amp;CHOOSE(uxb_works!$B$46,Scores_2014_O!N60,Scores_2014_N!N60,Scores_2017!N60)</f>
        <v>      4.2.5) Rate of drug use </v>
      </c>
      <c r="O60" s="556">
        <f>CHOOSE(uxb_works!$B$46,Scores_2014_O!O60,Scores_2014_N!O60,Scores_2017!O60)</f>
        <v>0.0833333333333333</v>
      </c>
      <c r="P60" s="557">
        <f>CHOOSE(uxb_works!$B$46,Scores_2014_O!P60,Scores_2014_N!P60,Scores_2017!P60)</f>
        <v>86.758691206544</v>
      </c>
      <c r="Q60" s="561">
        <f>CHOOSE(uxb_works!$B$46,Scores_2014_O!Q60,Scores_2014_N!Q60,Scores_2017!Q60)</f>
        <v>64.6216768916155</v>
      </c>
      <c r="R60" s="561">
        <f>CHOOSE(uxb_works!$B$46,Scores_2014_O!R60,Scores_2014_N!R60,Scores_2017!R60)</f>
        <v>92.5102249488752</v>
      </c>
      <c r="S60" s="561">
        <f>CHOOSE(uxb_works!$B$46,Scores_2014_O!S60,Scores_2014_N!S60,Scores_2017!S60)</f>
        <v>92.4335378323108</v>
      </c>
      <c r="T60" s="561">
        <f>CHOOSE(uxb_works!$B$46,Scores_2014_O!T60,Scores_2014_N!T60,Scores_2017!T60)</f>
        <v>65.1840490797546</v>
      </c>
      <c r="U60" s="561">
        <f>CHOOSE(uxb_works!$B$46,Scores_2014_O!U60,Scores_2014_N!U60,Scores_2017!U60)</f>
        <v>100</v>
      </c>
      <c r="V60" s="561">
        <f>CHOOSE(uxb_works!$B$46,Scores_2014_O!V60,Scores_2014_N!V60,Scores_2017!V60)</f>
        <v>88.1646216768916</v>
      </c>
      <c r="W60" s="561">
        <f>CHOOSE(uxb_works!$B$46,Scores_2014_O!W60,Scores_2014_N!W60,Scores_2017!W60)</f>
        <v>83.3588957055215</v>
      </c>
      <c r="X60" s="561">
        <f>CHOOSE(uxb_works!$B$46,Scores_2014_O!X60,Scores_2014_N!X60,Scores_2017!X60)</f>
        <v>85.4038854805726</v>
      </c>
      <c r="Y60" s="561">
        <f>CHOOSE(uxb_works!$B$46,Scores_2014_O!Z60,Scores_2014_N!Y60,Scores_2017!Y60)</f>
        <v>82.1319018404908</v>
      </c>
      <c r="Z60" s="561">
        <f>CHOOSE(uxb_works!$B$46,Scores_2014_O!AA60,Scores_2014_N!Z60,Scores_2017!Z60)</f>
        <v>86.8609406952965</v>
      </c>
      <c r="AA60" s="561">
        <f>CHOOSE(uxb_works!$B$46,Scores_2014_O!AB60,Scores_2014_N!AA60,Scores_2017!AA60)</f>
        <v>88.8548057259714</v>
      </c>
      <c r="AB60" s="561">
        <f>CHOOSE(uxb_works!$B$46,Scores_2014_O!AC60,Scores_2014_N!AB60,Scores_2017!AB60)</f>
        <v>73.5102174335378</v>
      </c>
      <c r="AC60" s="561">
        <f>CHOOSE(uxb_works!$B$46,Scores_2014_O!AD60,Scores_2014_N!AC60,Scores_2017!AC60)</f>
        <v>82.9577698108384</v>
      </c>
      <c r="AD60" s="561">
        <f>CHOOSE(uxb_works!$B$46,Scores_2014_O!AE60,Scores_2014_N!AD60,Scores_2017!AD60)</f>
        <v>86.5947668113634</v>
      </c>
      <c r="AE60" s="561">
        <f>CHOOSE(uxb_works!$B$46,Scores_2014_O!AF60,Scores_2014_N!AE60,Scores_2017!AE60)</f>
        <v>90.0051124744376</v>
      </c>
      <c r="AF60" s="561">
        <f>CHOOSE(uxb_works!$B$46,Scores_2014_O!AG60,Scores_2014_N!AF60,Scores_2017!AF60)</f>
        <v>92.8169734151329</v>
      </c>
      <c r="AG60" s="561">
        <f>CHOOSE(uxb_works!$B$46,Scores_2014_O!AH60,Scores_2014_N!AG60,Scores_2017!AG60)</f>
        <v>67.7914110429448</v>
      </c>
      <c r="AH60" s="561">
        <f>CHOOSE(uxb_works!$B$46,Scores_2014_O!AI60,Scores_2014_N!AH60,Scores_2017!AH60)</f>
        <v>98.0061349693252</v>
      </c>
      <c r="AI60" s="561">
        <f>CHOOSE(uxb_works!$B$46,Scores_2014_O!AJ60,Scores_2014_N!AI60,Scores_2017!AI60)</f>
        <v>96.7535787321063</v>
      </c>
      <c r="AJ60" s="561">
        <f>CHOOSE(uxb_works!$B$46,Scores_2014_O!AK60,Scores_2014_N!AJ60,Scores_2017!AJ60)</f>
        <v>85.3271983640082</v>
      </c>
      <c r="AK60" s="561">
        <f>CHOOSE(uxb_works!$B$46,Scores_2014_O!AL60,Scores_2014_N!AK60,Scores_2017!AK60)</f>
        <v>95.8077709611452</v>
      </c>
      <c r="AL60" s="561">
        <f>CHOOSE(uxb_works!$B$46,Scores_2014_O!AM60,Scores_2014_N!AL60,Scores_2017!AL60)</f>
        <v>98.5429447852761</v>
      </c>
      <c r="AM60" s="561">
        <f>CHOOSE(uxb_works!$B$46,Scores_2014_O!AN60,Scores_2014_N!AM60,Scores_2017!AM60)</f>
        <v>82.5920245398773</v>
      </c>
      <c r="AN60" s="561">
        <f>CHOOSE(uxb_works!$B$46,Scores_2014_O!AO60,Scores_2014_N!AN60,Scores_2017!AN60)</f>
        <v>74.5910020449898</v>
      </c>
      <c r="AO60" s="561">
        <f>CHOOSE(uxb_works!$B$46,Scores_2014_O!AP60,Scores_2014_N!AO60,Scores_2017!AO60)</f>
        <v>91.4621676891616</v>
      </c>
      <c r="AP60" s="561">
        <f>CHOOSE(uxb_works!$B$46,Scores_2014_O!AQ60,Scores_2014_N!AP60,Scores_2017!AP60)</f>
        <v>91.3343558282209</v>
      </c>
      <c r="AQ60" s="561">
        <f>CHOOSE(uxb_works!$B$46,Scores_2014_O!Y60,Scores_2014_N!AQ60,Scores_2017!AQ60)</f>
        <v>91.4877300613497</v>
      </c>
      <c r="AR60" s="561">
        <f>CHOOSE(uxb_works!$B$46,Scores_2014_O!AR60,Scores_2014_N!AR60,Scores_2017!AR60)</f>
        <v>70.5095432856169</v>
      </c>
      <c r="AS60" s="561">
        <f>CHOOSE(uxb_works!$B$46,Scores_2014_O!AS60,Scores_2014_N!AS60,Scores_2017!AS60)</f>
        <v>72.5634211400818</v>
      </c>
      <c r="AT60" s="561">
        <f>CHOOSE(uxb_works!$B$46,Scores_2014_O!AT60,Scores_2014_N!AT60,Scores_2017!AT60)</f>
        <v>65.1840490797546</v>
      </c>
      <c r="AU60" s="561">
        <f>CHOOSE(uxb_works!$B$46,Scores_2014_O!AU60,Scores_2014_N!AU60,Scores_2017!AU60)</f>
        <v>92.3824130879346</v>
      </c>
      <c r="AV60" s="561">
        <f>CHOOSE(uxb_works!$B$46,Scores_2014_O!AV60,Scores_2014_N!AV60,Scores_2017!AV60)</f>
        <v>0</v>
      </c>
      <c r="AW60" s="561">
        <f>CHOOSE(uxb_works!$B$46,Scores_2014_O!AW60,Scores_2014_N!AW60,Scores_2017!AW60)</f>
        <v>93.379345603272</v>
      </c>
      <c r="AX60" s="561">
        <f>CHOOSE(uxb_works!$B$46,Scores_2014_O!AX60,Scores_2014_N!AX60,Scores_2017!AX60)</f>
        <v>35.30163599182</v>
      </c>
      <c r="AY60" s="561">
        <f>CHOOSE(uxb_works!$B$46,Scores_2014_O!AY60,Scores_2014_N!AY60,Scores_2017!AY60)</f>
        <v>78.8087934560327</v>
      </c>
      <c r="AZ60" s="561">
        <f>CHOOSE(uxb_works!$B$46,Scores_2014_O!AZ60,Scores_2014_N!AZ60,Scores_2017!AZ60)</f>
        <v>86.5947668113634</v>
      </c>
      <c r="BA60" s="561">
        <f>CHOOSE(uxb_works!$B$46,Scores_2014_O!BA60,Scores_2014_N!BA60,Scores_2017!BA60)</f>
        <v>73.8831925613497</v>
      </c>
      <c r="BB60" s="561">
        <f>CHOOSE(uxb_works!$B$46,Scores_2014_O!BB60,Scores_2014_N!BB60,Scores_2017!BB60)</f>
        <v>98.6963190184049</v>
      </c>
      <c r="BC60" s="561">
        <f>CHOOSE(uxb_works!$B$46,Scores_2014_O!BC60,Scores_2014_N!BC60,Scores_2017!BC60)</f>
        <v>64.9028629856851</v>
      </c>
      <c r="BD60" s="561">
        <f>CHOOSE(uxb_works!$B$46,Scores_2014_O!BD60,Scores_2014_N!BD60,Scores_2017!BD60)</f>
        <v>93.9161554192229</v>
      </c>
      <c r="BE60" s="561">
        <f>CHOOSE(uxb_works!$B$46,Scores_2014_O!BE60,Scores_2014_N!BE60,Scores_2017!BE60)</f>
        <v>79.7987551433046</v>
      </c>
      <c r="BF60" s="561">
        <f>CHOOSE(uxb_works!$B$46,Scores_2014_O!BF60,Scores_2014_N!BF60,Scores_2017!BF60)</f>
        <v>98.5429447852761</v>
      </c>
      <c r="BG60" s="561">
        <f>CHOOSE(uxb_works!$B$46,Scores_2014_O!BG60,Scores_2014_N!BG60,Scores_2017!BG60)</f>
        <v>35.30163599182</v>
      </c>
      <c r="BH60" s="561">
        <f>CHOOSE(uxb_works!$B$46,Scores_2014_O!BH60,Scores_2014_N!BH60,Scores_2017!BH60)</f>
        <v>50.729870194274</v>
      </c>
      <c r="BI60" s="561">
        <f>CHOOSE(uxb_works!$B$46,Scores_2014_O!BI60,Scores_2014_N!BI60,Scores_2017!BI60)</f>
        <v>59.0746421267894</v>
      </c>
      <c r="BJ60" s="561">
        <f>CHOOSE(uxb_works!$B$46,Scores_2014_O!BJ60,Scores_2014_N!BJ60,Scores_2017!BJ60)</f>
        <v>79.7987551433046</v>
      </c>
      <c r="BK60" s="561">
        <f>CHOOSE(uxb_works!$B$46,Scores_2014_O!BK60,Scores_2014_N!BK60,Scores_2017!BK60)</f>
        <v>98.9519427402863</v>
      </c>
      <c r="BL60" s="561">
        <f>CHOOSE(uxb_works!$B$46,Scores_2014_O!BL60,Scores_2014_N!BL60,Scores_2017!BL60)</f>
        <v>100</v>
      </c>
      <c r="BM60" s="561">
        <f>CHOOSE(uxb_works!$B$46,Scores_2014_O!BM60,Scores_2014_N!BM60,Scores_2017!BM60)</f>
        <v>98.8241308793456</v>
      </c>
      <c r="BN60" s="561">
        <f>CHOOSE(uxb_works!$B$46,Scores_2014_O!BN60,Scores_2014_N!BN60,Scores_2017!BN60)</f>
        <v>81.5950920245399</v>
      </c>
      <c r="BO60" s="561">
        <f>CHOOSE(uxb_works!$B$46,Scores_2014_O!BO60,Scores_2014_N!BO60,Scores_2017!BO60)</f>
        <v>0</v>
      </c>
      <c r="BP60" s="561">
        <f>CHOOSE(uxb_works!$B$46,Scores_2014_O!BP60,Scores_2014_N!BP60,Scores_2017!BP60)</f>
        <v>96.0889570552147</v>
      </c>
      <c r="BQ60" s="561">
        <f>CHOOSE(uxb_works!$B$46,Scores_2014_O!BQ60,Scores_2014_N!BQ60,Scores_2017!BQ60)</f>
        <v>94.3251533742331</v>
      </c>
      <c r="BR60" s="561">
        <f>CHOOSE(uxb_works!$B$46,Scores_2014_O!BR60,Scores_2014_N!BR60,Scores_2017!BR60)</f>
        <v>98.6963190184049</v>
      </c>
      <c r="BS60" s="561">
        <f>CHOOSE(uxb_works!$B$46,Scores_2014_O!BS60,Scores_2014_N!BS60,Scores_2017!BS60)</f>
        <v>57.3875255623722</v>
      </c>
      <c r="BT60" s="561">
        <f>CHOOSE(uxb_works!$B$46,Scores_2014_O!BT60,Scores_2014_N!BT60,Scores_2017!BT60)</f>
        <v>62.639115593047</v>
      </c>
      <c r="BU60" s="561">
        <f>CHOOSE(uxb_works!$B$46,Scores_2014_O!BU60,Scores_2014_N!BU60,Scores_2017!BU60)</f>
        <v>52.1728016359918</v>
      </c>
      <c r="BV60" s="561">
        <f>CHOOSE(uxb_works!$B$46,Scores_2014_O!BV60,Scores_2014_N!BV60,Scores_2017!BV60)</f>
        <v>95.1431492842536</v>
      </c>
      <c r="BW60" s="561">
        <f>CHOOSE(uxb_works!$B$46,Scores_2014_O!BW60,Scores_2014_N!BW60,Scores_2017!BW60)</f>
        <v>80.5725971370143</v>
      </c>
      <c r="BX60" s="561">
        <f>CHOOSE(uxb_works!$B$46,Scores_2014_O!BX60,Scores_2014_N!BX60,Scores_2017!BX60)</f>
        <v>98.6963190184049</v>
      </c>
      <c r="BY60"/>
      <c r="BZ60" s="214"/>
      <c r="CA60" s="214"/>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row>
    <row r="61" s="69" customFormat="1" ht="24.95" customHeight="1" spans="1:130">
      <c r="A61"/>
      <c r="B61" s="92">
        <f>tblIndicators!A57</f>
        <v>56</v>
      </c>
      <c r="C61" s="92"/>
      <c r="D61" s="92"/>
      <c r="E61" s="92"/>
      <c r="F61" s="92">
        <f>CHOOSE(uxb_works!$B$46,Scores_2014_O!F61,Scores_2014_N!F61,Scores_2017!F61)</f>
        <v>3</v>
      </c>
      <c r="G61" s="92"/>
      <c r="H61" s="92"/>
      <c r="I61" s="104"/>
      <c r="J61" s="92"/>
      <c r="K61" s="92"/>
      <c r="L61" s="165"/>
      <c r="M61" s="92"/>
      <c r="N61" s="105" t="str">
        <f>REPT(" ",F61)&amp;CHOOSE(uxb_works!$B$46,Scores_2014_O!N61,Scores_2014_N!N61,Scores_2017!N61)</f>
        <v>      4.2.6) Frequency of terrorist attacks </v>
      </c>
      <c r="O61" s="556">
        <f>CHOOSE(uxb_works!$B$46,Scores_2014_O!O61,Scores_2014_N!O61,Scores_2017!O61)</f>
        <v>0.0833333333333333</v>
      </c>
      <c r="P61" s="557">
        <f>CHOOSE(uxb_works!$B$46,Scores_2014_O!P61,Scores_2014_N!P61,Scores_2017!P61)</f>
        <v>99.8572448251249</v>
      </c>
      <c r="Q61" s="561">
        <f>CHOOSE(uxb_works!$B$46,Scores_2014_O!Q61,Scores_2014_N!Q61,Scores_2017!Q61)</f>
        <v>99.9286224125624</v>
      </c>
      <c r="R61" s="561">
        <f>CHOOSE(uxb_works!$B$46,Scores_2014_O!R61,Scores_2014_N!R61,Scores_2017!R61)</f>
        <v>79.6573875802998</v>
      </c>
      <c r="S61" s="561">
        <f>CHOOSE(uxb_works!$B$46,Scores_2014_O!S61,Scores_2014_N!S61,Scores_2017!S61)</f>
        <v>89.5074946466809</v>
      </c>
      <c r="T61" s="561">
        <f>CHOOSE(uxb_works!$B$46,Scores_2014_O!T61,Scores_2014_N!T61,Scores_2017!T61)</f>
        <v>100</v>
      </c>
      <c r="U61" s="561">
        <f>CHOOSE(uxb_works!$B$46,Scores_2014_O!U61,Scores_2014_N!U61,Scores_2017!U61)</f>
        <v>99.7858672376874</v>
      </c>
      <c r="V61" s="561">
        <f>CHOOSE(uxb_works!$B$46,Scores_2014_O!V61,Scores_2014_N!V61,Scores_2017!V61)</f>
        <v>95.4318344039971</v>
      </c>
      <c r="W61" s="561">
        <f>CHOOSE(uxb_works!$B$46,Scores_2014_O!W61,Scores_2014_N!W61,Scores_2017!W61)</f>
        <v>99.4289793004996</v>
      </c>
      <c r="X61" s="561">
        <f>CHOOSE(uxb_works!$B$46,Scores_2014_O!X61,Scores_2014_N!X61,Scores_2017!X61)</f>
        <v>99.4289793004996</v>
      </c>
      <c r="Y61" s="561">
        <f>CHOOSE(uxb_works!$B$46,Scores_2014_O!Z61,Scores_2014_N!Y61,Scores_2017!Y61)</f>
        <v>91.1491791577445</v>
      </c>
      <c r="Z61" s="561">
        <f>CHOOSE(uxb_works!$B$46,Scores_2014_O!AA61,Scores_2014_N!Z61,Scores_2017!Z61)</f>
        <v>99.3576017130621</v>
      </c>
      <c r="AA61" s="561">
        <f>CHOOSE(uxb_works!$B$46,Scores_2014_O!AB61,Scores_2014_N!AA61,Scores_2017!AA61)</f>
        <v>99.5717344753747</v>
      </c>
      <c r="AB61" s="561">
        <f>CHOOSE(uxb_works!$B$46,Scores_2014_O!AC61,Scores_2014_N!AB61,Scores_2017!AB61)</f>
        <v>100</v>
      </c>
      <c r="AC61" s="561">
        <f>CHOOSE(uxb_works!$B$46,Scores_2014_O!AD61,Scores_2014_N!AC61,Scores_2017!AC61)</f>
        <v>99.8572448251249</v>
      </c>
      <c r="AD61" s="561">
        <f>CHOOSE(uxb_works!$B$46,Scores_2014_O!AE61,Scores_2014_N!AD61,Scores_2017!AD61)</f>
        <v>98.3583154889365</v>
      </c>
      <c r="AE61" s="561">
        <f>CHOOSE(uxb_works!$B$46,Scores_2014_O!AF61,Scores_2014_N!AE61,Scores_2017!AE61)</f>
        <v>76.017130620985</v>
      </c>
      <c r="AF61" s="561">
        <f>CHOOSE(uxb_works!$B$46,Scores_2014_O!AG61,Scores_2014_N!AF61,Scores_2017!AF61)</f>
        <v>99.9286224125624</v>
      </c>
      <c r="AG61" s="561">
        <f>CHOOSE(uxb_works!$B$46,Scores_2014_O!AH61,Scores_2014_N!AG61,Scores_2017!AG61)</f>
        <v>99.8572448251249</v>
      </c>
      <c r="AH61" s="561">
        <f>CHOOSE(uxb_works!$B$46,Scores_2014_O!AI61,Scores_2014_N!AH61,Scores_2017!AH61)</f>
        <v>100</v>
      </c>
      <c r="AI61" s="561">
        <f>CHOOSE(uxb_works!$B$46,Scores_2014_O!AJ61,Scores_2014_N!AI61,Scores_2017!AI61)</f>
        <v>99.7144896502498</v>
      </c>
      <c r="AJ61" s="561">
        <f>CHOOSE(uxb_works!$B$46,Scores_2014_O!AK61,Scores_2014_N!AJ61,Scores_2017!AJ61)</f>
        <v>91.2919343326196</v>
      </c>
      <c r="AK61" s="561">
        <f>CHOOSE(uxb_works!$B$46,Scores_2014_O!AL61,Scores_2014_N!AK61,Scores_2017!AK61)</f>
        <v>98.5724482512491</v>
      </c>
      <c r="AL61" s="561">
        <f>CHOOSE(uxb_works!$B$46,Scores_2014_O!AM61,Scores_2014_N!AL61,Scores_2017!AL61)</f>
        <v>99.6431120628123</v>
      </c>
      <c r="AM61" s="561">
        <f>CHOOSE(uxb_works!$B$46,Scores_2014_O!AN61,Scores_2014_N!AM61,Scores_2017!AM61)</f>
        <v>99.7858672376874</v>
      </c>
      <c r="AN61" s="561">
        <f>CHOOSE(uxb_works!$B$46,Scores_2014_O!AO61,Scores_2014_N!AN61,Scores_2017!AN61)</f>
        <v>0</v>
      </c>
      <c r="AO61" s="561">
        <f>CHOOSE(uxb_works!$B$46,Scores_2014_O!AP61,Scores_2014_N!AO61,Scores_2017!AO61)</f>
        <v>99.7144896502498</v>
      </c>
      <c r="AP61" s="561">
        <f>CHOOSE(uxb_works!$B$46,Scores_2014_O!AQ61,Scores_2014_N!AP61,Scores_2017!AP61)</f>
        <v>99.9286224125624</v>
      </c>
      <c r="AQ61" s="561">
        <f>CHOOSE(uxb_works!$B$46,Scores_2014_O!Y61,Scores_2014_N!AQ61,Scores_2017!AQ61)</f>
        <v>99.7858672376874</v>
      </c>
      <c r="AR61" s="561">
        <f>CHOOSE(uxb_works!$B$46,Scores_2014_O!AR61,Scores_2014_N!AR61,Scores_2017!AR61)</f>
        <v>98.6438258386867</v>
      </c>
      <c r="AS61" s="561">
        <f>CHOOSE(uxb_works!$B$46,Scores_2014_O!AS61,Scores_2014_N!AS61,Scores_2017!AS61)</f>
        <v>99.5717344753747</v>
      </c>
      <c r="AT61" s="561">
        <f>CHOOSE(uxb_works!$B$46,Scores_2014_O!AT61,Scores_2014_N!AT61,Scores_2017!AT61)</f>
        <v>99.6431120628123</v>
      </c>
      <c r="AU61" s="561">
        <f>CHOOSE(uxb_works!$B$46,Scores_2014_O!AU61,Scores_2014_N!AU61,Scores_2017!AU61)</f>
        <v>97.7872947894361</v>
      </c>
      <c r="AV61" s="561">
        <f>CHOOSE(uxb_works!$B$46,Scores_2014_O!AV61,Scores_2014_N!AV61,Scores_2017!AV61)</f>
        <v>99.8572448251249</v>
      </c>
      <c r="AW61" s="561">
        <f>CHOOSE(uxb_works!$B$46,Scores_2014_O!AW61,Scores_2014_N!AW61,Scores_2017!AW61)</f>
        <v>98.9293361884368</v>
      </c>
      <c r="AX61" s="561">
        <f>CHOOSE(uxb_works!$B$46,Scores_2014_O!AX61,Scores_2014_N!AX61,Scores_2017!AX61)</f>
        <v>99.4289793004996</v>
      </c>
      <c r="AY61" s="561">
        <f>CHOOSE(uxb_works!$B$46,Scores_2014_O!AY61,Scores_2014_N!AY61,Scores_2017!AY61)</f>
        <v>97.8586723768737</v>
      </c>
      <c r="AZ61" s="561">
        <f>CHOOSE(uxb_works!$B$46,Scores_2014_O!AZ61,Scores_2014_N!AZ61,Scores_2017!AZ61)</f>
        <v>99.214846538187</v>
      </c>
      <c r="BA61" s="561">
        <f>CHOOSE(uxb_works!$B$46,Scores_2014_O!BA61,Scores_2014_N!BA61,Scores_2017!BA61)</f>
        <v>98.5724482512491</v>
      </c>
      <c r="BB61" s="561">
        <f>CHOOSE(uxb_works!$B$46,Scores_2014_O!BB61,Scores_2014_N!BB61,Scores_2017!BB61)</f>
        <v>100</v>
      </c>
      <c r="BC61" s="561">
        <f>CHOOSE(uxb_works!$B$46,Scores_2014_O!BC61,Scores_2014_N!BC61,Scores_2017!BC61)</f>
        <v>98.3583154889365</v>
      </c>
      <c r="BD61" s="561">
        <f>CHOOSE(uxb_works!$B$46,Scores_2014_O!BD61,Scores_2014_N!BD61,Scores_2017!BD61)</f>
        <v>99.9286224125624</v>
      </c>
      <c r="BE61" s="561">
        <f>CHOOSE(uxb_works!$B$46,Scores_2014_O!BE61,Scores_2014_N!BE61,Scores_2017!BE61)</f>
        <v>100</v>
      </c>
      <c r="BF61" s="561">
        <f>CHOOSE(uxb_works!$B$46,Scores_2014_O!BF61,Scores_2014_N!BF61,Scores_2017!BF61)</f>
        <v>98.7152034261242</v>
      </c>
      <c r="BG61" s="561">
        <f>CHOOSE(uxb_works!$B$46,Scores_2014_O!BG61,Scores_2014_N!BG61,Scores_2017!BG61)</f>
        <v>99.1434689507495</v>
      </c>
      <c r="BH61" s="561">
        <f>CHOOSE(uxb_works!$B$46,Scores_2014_O!BH61,Scores_2014_N!BH61,Scores_2017!BH61)</f>
        <v>99.9286224125624</v>
      </c>
      <c r="BI61" s="561">
        <f>CHOOSE(uxb_works!$B$46,Scores_2014_O!BI61,Scores_2014_N!BI61,Scores_2017!BI61)</f>
        <v>97.0021413276231</v>
      </c>
      <c r="BJ61" s="561">
        <f>CHOOSE(uxb_works!$B$46,Scores_2014_O!BJ61,Scores_2014_N!BJ61,Scores_2017!BJ61)</f>
        <v>99.8572448251249</v>
      </c>
      <c r="BK61" s="561">
        <f>CHOOSE(uxb_works!$B$46,Scores_2014_O!BK61,Scores_2014_N!BK61,Scores_2017!BK61)</f>
        <v>99.9286224125624</v>
      </c>
      <c r="BL61" s="561">
        <f>CHOOSE(uxb_works!$B$46,Scores_2014_O!BL61,Scores_2014_N!BL61,Scores_2017!BL61)</f>
        <v>99.9286224125624</v>
      </c>
      <c r="BM61" s="561">
        <f>CHOOSE(uxb_works!$B$46,Scores_2014_O!BM61,Scores_2014_N!BM61,Scores_2017!BM61)</f>
        <v>100</v>
      </c>
      <c r="BN61" s="561">
        <f>CHOOSE(uxb_works!$B$46,Scores_2014_O!BN61,Scores_2014_N!BN61,Scores_2017!BN61)</f>
        <v>99.6431120628123</v>
      </c>
      <c r="BO61" s="561">
        <f>CHOOSE(uxb_works!$B$46,Scores_2014_O!BO61,Scores_2014_N!BO61,Scores_2017!BO61)</f>
        <v>99.7144896502498</v>
      </c>
      <c r="BP61" s="561">
        <f>CHOOSE(uxb_works!$B$46,Scores_2014_O!BP61,Scores_2014_N!BP61,Scores_2017!BP61)</f>
        <v>99.8572448251249</v>
      </c>
      <c r="BQ61" s="561">
        <f>CHOOSE(uxb_works!$B$46,Scores_2014_O!BQ61,Scores_2014_N!BQ61,Scores_2017!BQ61)</f>
        <v>99.2862241256246</v>
      </c>
      <c r="BR61" s="561">
        <f>CHOOSE(uxb_works!$B$46,Scores_2014_O!BR61,Scores_2014_N!BR61,Scores_2017!BR61)</f>
        <v>99.5003568879372</v>
      </c>
      <c r="BS61" s="561">
        <f>CHOOSE(uxb_works!$B$46,Scores_2014_O!BS61,Scores_2014_N!BS61,Scores_2017!BS61)</f>
        <v>99.8572448251249</v>
      </c>
      <c r="BT61" s="561">
        <f>CHOOSE(uxb_works!$B$46,Scores_2014_O!BT61,Scores_2014_N!BT61,Scores_2017!BT61)</f>
        <v>99.5717344753747</v>
      </c>
      <c r="BU61" s="561">
        <f>CHOOSE(uxb_works!$B$46,Scores_2014_O!BU61,Scores_2014_N!BU61,Scores_2017!BU61)</f>
        <v>99.6431120628123</v>
      </c>
      <c r="BV61" s="561">
        <f>CHOOSE(uxb_works!$B$46,Scores_2014_O!BV61,Scores_2014_N!BV61,Scores_2017!BV61)</f>
        <v>98.5010706638116</v>
      </c>
      <c r="BW61" s="561">
        <f>CHOOSE(uxb_works!$B$46,Scores_2014_O!BW61,Scores_2014_N!BW61,Scores_2017!BW61)</f>
        <v>99.8572448251249</v>
      </c>
      <c r="BX61" s="561">
        <f>CHOOSE(uxb_works!$B$46,Scores_2014_O!BX61,Scores_2014_N!BX61,Scores_2017!BX61)</f>
        <v>100</v>
      </c>
      <c r="BY61"/>
      <c r="BZ61" s="214"/>
      <c r="CA61" s="214"/>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row>
    <row r="62" s="69" customFormat="1" ht="24.95" customHeight="1" spans="1:130">
      <c r="A62"/>
      <c r="B62" s="92">
        <f>tblIndicators!A58</f>
        <v>57</v>
      </c>
      <c r="C62" s="92"/>
      <c r="D62" s="92"/>
      <c r="E62" s="92"/>
      <c r="F62" s="92">
        <f>CHOOSE(uxb_works!$B$46,Scores_2014_O!F62,Scores_2014_N!F62,Scores_2017!F62)</f>
        <v>3</v>
      </c>
      <c r="G62" s="92"/>
      <c r="H62" s="92"/>
      <c r="I62" s="104"/>
      <c r="J62" s="92"/>
      <c r="K62" s="92"/>
      <c r="L62" s="165"/>
      <c r="M62" s="92"/>
      <c r="N62" s="105" t="str">
        <f>REPT(" ",F62)&amp;CHOOSE(uxb_works!$B$46,Scores_2014_O!N62,Scores_2014_N!N62,Scores_2017!N62)</f>
        <v>      4.2.7) Severity of terrorist attacks</v>
      </c>
      <c r="O62" s="556">
        <f>CHOOSE(uxb_works!$B$46,Scores_2014_O!O62,Scores_2014_N!O62,Scores_2017!O62)</f>
        <v>0.0833333333333333</v>
      </c>
      <c r="P62" s="557">
        <f>CHOOSE(uxb_works!$B$46,Scores_2014_O!P62,Scores_2014_N!P62,Scores_2017!P62)</f>
        <v>99.9801350814462</v>
      </c>
      <c r="Q62" s="561">
        <f>CHOOSE(uxb_works!$B$46,Scores_2014_O!Q62,Scores_2014_N!Q62,Scores_2017!Q62)</f>
        <v>100</v>
      </c>
      <c r="R62" s="561">
        <f>CHOOSE(uxb_works!$B$46,Scores_2014_O!R62,Scores_2014_N!R62,Scores_2017!R62)</f>
        <v>99.284862932062</v>
      </c>
      <c r="S62" s="561">
        <f>CHOOSE(uxb_works!$B$46,Scores_2014_O!S62,Scores_2014_N!S62,Scores_2017!S62)</f>
        <v>88.5578069129917</v>
      </c>
      <c r="T62" s="561">
        <f>CHOOSE(uxb_works!$B$46,Scores_2014_O!T62,Scores_2014_N!T62,Scores_2017!T62)</f>
        <v>100</v>
      </c>
      <c r="U62" s="561">
        <f>CHOOSE(uxb_works!$B$46,Scores_2014_O!U62,Scores_2014_N!U62,Scores_2017!U62)</f>
        <v>98.6491855383393</v>
      </c>
      <c r="V62" s="561">
        <f>CHOOSE(uxb_works!$B$46,Scores_2014_O!V62,Scores_2014_N!V62,Scores_2017!V62)</f>
        <v>96.6229638458482</v>
      </c>
      <c r="W62" s="561">
        <f>CHOOSE(uxb_works!$B$46,Scores_2014_O!W62,Scores_2014_N!W62,Scores_2017!W62)</f>
        <v>96.7222884386174</v>
      </c>
      <c r="X62" s="561">
        <f>CHOOSE(uxb_works!$B$46,Scores_2014_O!X62,Scores_2014_N!X62,Scores_2017!X62)</f>
        <v>99.9602701628923</v>
      </c>
      <c r="Y62" s="561">
        <f>CHOOSE(uxb_works!$B$46,Scores_2014_O!Z62,Scores_2014_N!Y62,Scores_2017!Y62)</f>
        <v>90.6833531982519</v>
      </c>
      <c r="Z62" s="561">
        <f>CHOOSE(uxb_works!$B$46,Scores_2014_O!AA62,Scores_2014_N!Z62,Scores_2017!Z62)</f>
        <v>99.7814858959078</v>
      </c>
      <c r="AA62" s="561">
        <f>CHOOSE(uxb_works!$B$46,Scores_2014_O!AB62,Scores_2014_N!AA62,Scores_2017!AA62)</f>
        <v>99.3444576877235</v>
      </c>
      <c r="AB62" s="561">
        <f>CHOOSE(uxb_works!$B$46,Scores_2014_O!AC62,Scores_2014_N!AB62,Scores_2017!AB62)</f>
        <v>100</v>
      </c>
      <c r="AC62" s="561">
        <f>CHOOSE(uxb_works!$B$46,Scores_2014_O!AD62,Scores_2014_N!AC62,Scores_2017!AC62)</f>
        <v>99.6821613031387</v>
      </c>
      <c r="AD62" s="561">
        <f>CHOOSE(uxb_works!$B$46,Scores_2014_O!AE62,Scores_2014_N!AD62,Scores_2017!AD62)</f>
        <v>96.3249900675407</v>
      </c>
      <c r="AE62" s="561">
        <f>CHOOSE(uxb_works!$B$46,Scores_2014_O!AF62,Scores_2014_N!AE62,Scores_2017!AE62)</f>
        <v>89.2530790623758</v>
      </c>
      <c r="AF62" s="561">
        <f>CHOOSE(uxb_works!$B$46,Scores_2014_O!AG62,Scores_2014_N!AF62,Scores_2017!AF62)</f>
        <v>99.9801350814462</v>
      </c>
      <c r="AG62" s="561">
        <f>CHOOSE(uxb_works!$B$46,Scores_2014_O!AH62,Scores_2014_N!AG62,Scores_2017!AG62)</f>
        <v>99.9205403257847</v>
      </c>
      <c r="AH62" s="561">
        <f>CHOOSE(uxb_works!$B$46,Scores_2014_O!AI62,Scores_2014_N!AH62,Scores_2017!AH62)</f>
        <v>100</v>
      </c>
      <c r="AI62" s="561">
        <f>CHOOSE(uxb_works!$B$46,Scores_2014_O!AJ62,Scores_2014_N!AI62,Scores_2017!AI62)</f>
        <v>97.9936432260628</v>
      </c>
      <c r="AJ62" s="561">
        <f>CHOOSE(uxb_works!$B$46,Scores_2014_O!AK62,Scores_2014_N!AJ62,Scores_2017!AJ62)</f>
        <v>80.5721096543504</v>
      </c>
      <c r="AK62" s="561">
        <f>CHOOSE(uxb_works!$B$46,Scores_2014_O!AL62,Scores_2014_N!AK62,Scores_2017!AK62)</f>
        <v>97.9340484704013</v>
      </c>
      <c r="AL62" s="561">
        <f>CHOOSE(uxb_works!$B$46,Scores_2014_O!AM62,Scores_2014_N!AL62,Scores_2017!AL62)</f>
        <v>99.7218911402463</v>
      </c>
      <c r="AM62" s="561">
        <f>CHOOSE(uxb_works!$B$46,Scores_2014_O!AN62,Scores_2014_N!AM62,Scores_2017!AM62)</f>
        <v>99.9006754072308</v>
      </c>
      <c r="AN62" s="561">
        <f>CHOOSE(uxb_works!$B$46,Scores_2014_O!AO62,Scores_2014_N!AN62,Scores_2017!AN62)</f>
        <v>0</v>
      </c>
      <c r="AO62" s="561">
        <f>CHOOSE(uxb_works!$B$46,Scores_2014_O!AP62,Scores_2014_N!AO62,Scores_2017!AO62)</f>
        <v>100</v>
      </c>
      <c r="AP62" s="561">
        <f>CHOOSE(uxb_works!$B$46,Scores_2014_O!AQ62,Scores_2014_N!AP62,Scores_2017!AP62)</f>
        <v>94.9344457687723</v>
      </c>
      <c r="AQ62" s="561">
        <f>CHOOSE(uxb_works!$B$46,Scores_2014_O!Y62,Scores_2014_N!AQ62,Scores_2017!AQ62)</f>
        <v>99.880810488677</v>
      </c>
      <c r="AR62" s="561">
        <f>CHOOSE(uxb_works!$B$46,Scores_2014_O!AR62,Scores_2014_N!AR62,Scores_2017!AR62)</f>
        <v>99.642431466031</v>
      </c>
      <c r="AS62" s="561">
        <f>CHOOSE(uxb_works!$B$46,Scores_2014_O!AS62,Scores_2014_N!AS62,Scores_2017!AS62)</f>
        <v>99.9006754072308</v>
      </c>
      <c r="AT62" s="561">
        <f>CHOOSE(uxb_works!$B$46,Scores_2014_O!AT62,Scores_2014_N!AT62,Scores_2017!AT62)</f>
        <v>99.9801350814462</v>
      </c>
      <c r="AU62" s="561">
        <f>CHOOSE(uxb_works!$B$46,Scores_2014_O!AU62,Scores_2014_N!AU62,Scores_2017!AU62)</f>
        <v>99.0862137465236</v>
      </c>
      <c r="AV62" s="561">
        <f>CHOOSE(uxb_works!$B$46,Scores_2014_O!AV62,Scores_2014_N!AV62,Scores_2017!AV62)</f>
        <v>99.9404052443385</v>
      </c>
      <c r="AW62" s="561">
        <f>CHOOSE(uxb_works!$B$46,Scores_2014_O!AW62,Scores_2014_N!AW62,Scores_2017!AW62)</f>
        <v>97.1394517282479</v>
      </c>
      <c r="AX62" s="561">
        <f>CHOOSE(uxb_works!$B$46,Scores_2014_O!AX62,Scores_2014_N!AX62,Scores_2017!AX62)</f>
        <v>99.880810488677</v>
      </c>
      <c r="AY62" s="561">
        <f>CHOOSE(uxb_works!$B$46,Scores_2014_O!AY62,Scores_2014_N!AY62,Scores_2017!AY62)</f>
        <v>98.0731029002781</v>
      </c>
      <c r="AZ62" s="561">
        <f>CHOOSE(uxb_works!$B$46,Scores_2014_O!AZ62,Scores_2014_N!AZ62,Scores_2017!AZ62)</f>
        <v>88.3392928088995</v>
      </c>
      <c r="BA62" s="561">
        <f>CHOOSE(uxb_works!$B$46,Scores_2014_O!BA62,Scores_2014_N!BA62,Scores_2017!BA62)</f>
        <v>99.1855383392928</v>
      </c>
      <c r="BB62" s="561">
        <f>CHOOSE(uxb_works!$B$46,Scores_2014_O!BB62,Scores_2014_N!BB62,Scores_2017!BB62)</f>
        <v>100</v>
      </c>
      <c r="BC62" s="561">
        <f>CHOOSE(uxb_works!$B$46,Scores_2014_O!BC62,Scores_2014_N!BC62,Scores_2017!BC62)</f>
        <v>93.663090981327</v>
      </c>
      <c r="BD62" s="561">
        <f>CHOOSE(uxb_works!$B$46,Scores_2014_O!BD62,Scores_2014_N!BD62,Scores_2017!BD62)</f>
        <v>100</v>
      </c>
      <c r="BE62" s="561">
        <f>CHOOSE(uxb_works!$B$46,Scores_2014_O!BE62,Scores_2014_N!BE62,Scores_2017!BE62)</f>
        <v>100</v>
      </c>
      <c r="BF62" s="561">
        <f>CHOOSE(uxb_works!$B$46,Scores_2014_O!BF62,Scores_2014_N!BF62,Scores_2017!BF62)</f>
        <v>99.3643226062773</v>
      </c>
      <c r="BG62" s="561">
        <f>CHOOSE(uxb_works!$B$46,Scores_2014_O!BG62,Scores_2014_N!BG62,Scores_2017!BG62)</f>
        <v>99.880810488677</v>
      </c>
      <c r="BH62" s="561">
        <f>CHOOSE(uxb_works!$B$46,Scores_2014_O!BH62,Scores_2014_N!BH62,Scores_2017!BH62)</f>
        <v>100</v>
      </c>
      <c r="BI62" s="561">
        <f>CHOOSE(uxb_works!$B$46,Scores_2014_O!BI62,Scores_2014_N!BI62,Scores_2017!BI62)</f>
        <v>99.6027016289233</v>
      </c>
      <c r="BJ62" s="561">
        <f>CHOOSE(uxb_works!$B$46,Scores_2014_O!BJ62,Scores_2014_N!BJ62,Scores_2017!BJ62)</f>
        <v>100</v>
      </c>
      <c r="BK62" s="561">
        <f>CHOOSE(uxb_works!$B$46,Scores_2014_O!BK62,Scores_2014_N!BK62,Scores_2017!BK62)</f>
        <v>99.9801350814462</v>
      </c>
      <c r="BL62" s="561">
        <f>CHOOSE(uxb_works!$B$46,Scores_2014_O!BL62,Scores_2014_N!BL62,Scores_2017!BL62)</f>
        <v>99.7020262216925</v>
      </c>
      <c r="BM62" s="561">
        <f>CHOOSE(uxb_works!$B$46,Scores_2014_O!BM62,Scores_2014_N!BM62,Scores_2017!BM62)</f>
        <v>100</v>
      </c>
      <c r="BN62" s="561">
        <f>CHOOSE(uxb_works!$B$46,Scores_2014_O!BN62,Scores_2014_N!BN62,Scores_2017!BN62)</f>
        <v>99.9404052443385</v>
      </c>
      <c r="BO62" s="561">
        <f>CHOOSE(uxb_works!$B$46,Scores_2014_O!BO62,Scores_2014_N!BO62,Scores_2017!BO62)</f>
        <v>99.8609455701232</v>
      </c>
      <c r="BP62" s="561">
        <f>CHOOSE(uxb_works!$B$46,Scores_2014_O!BP62,Scores_2014_N!BP62,Scores_2017!BP62)</f>
        <v>99.9801350814462</v>
      </c>
      <c r="BQ62" s="561">
        <f>CHOOSE(uxb_works!$B$46,Scores_2014_O!BQ62,Scores_2014_N!BQ62,Scores_2017!BQ62)</f>
        <v>97.9539133889551</v>
      </c>
      <c r="BR62" s="561">
        <f>CHOOSE(uxb_works!$B$46,Scores_2014_O!BR62,Scores_2014_N!BR62,Scores_2017!BR62)</f>
        <v>100</v>
      </c>
      <c r="BS62" s="561">
        <f>CHOOSE(uxb_works!$B$46,Scores_2014_O!BS62,Scores_2014_N!BS62,Scores_2017!BS62)</f>
        <v>99.9404052443385</v>
      </c>
      <c r="BT62" s="561">
        <f>CHOOSE(uxb_works!$B$46,Scores_2014_O!BT62,Scores_2014_N!BT62,Scores_2017!BT62)</f>
        <v>99.9602701628923</v>
      </c>
      <c r="BU62" s="561">
        <f>CHOOSE(uxb_works!$B$46,Scores_2014_O!BU62,Scores_2014_N!BU62,Scores_2017!BU62)</f>
        <v>100</v>
      </c>
      <c r="BV62" s="561">
        <f>CHOOSE(uxb_works!$B$46,Scores_2014_O!BV62,Scores_2014_N!BV62,Scores_2017!BV62)</f>
        <v>98.212157330155</v>
      </c>
      <c r="BW62" s="561">
        <f>CHOOSE(uxb_works!$B$46,Scores_2014_O!BW62,Scores_2014_N!BW62,Scores_2017!BW62)</f>
        <v>100</v>
      </c>
      <c r="BX62" s="561">
        <f>CHOOSE(uxb_works!$B$46,Scores_2014_O!BX62,Scores_2014_N!BX62,Scores_2017!BX62)</f>
        <v>100</v>
      </c>
      <c r="BY62"/>
      <c r="BZ62" s="214"/>
      <c r="CA62" s="214"/>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row>
    <row r="63" s="69" customFormat="1" ht="24.95" customHeight="1" spans="1:130">
      <c r="A63"/>
      <c r="B63" s="92">
        <f>tblIndicators!A59</f>
        <v>58</v>
      </c>
      <c r="C63" s="92"/>
      <c r="D63" s="92"/>
      <c r="E63" s="92"/>
      <c r="F63" s="92">
        <f>CHOOSE(uxb_works!$B$46,Scores_2014_O!F63,Scores_2014_N!F63,Scores_2017!F63)</f>
        <v>3</v>
      </c>
      <c r="G63" s="92"/>
      <c r="H63" s="92"/>
      <c r="I63" s="104"/>
      <c r="J63" s="92"/>
      <c r="K63" s="92"/>
      <c r="L63" s="165"/>
      <c r="M63" s="92"/>
      <c r="N63" s="105" t="str">
        <f>REPT(" ",F63)&amp;CHOOSE(uxb_works!$B$46,Scores_2014_O!N63,Scores_2014_N!N63,Scores_2017!N63)</f>
        <v>      4.2.8) Gender safety</v>
      </c>
      <c r="O63" s="556">
        <f>CHOOSE(uxb_works!$B$46,Scores_2014_O!O63,Scores_2014_N!O63,Scores_2017!O63)</f>
        <v>0.0833333333333333</v>
      </c>
      <c r="P63" s="557">
        <f>CHOOSE(uxb_works!$B$46,Scores_2014_O!P63,Scores_2014_N!P63,Scores_2017!P63)</f>
        <v>96.1159757342053</v>
      </c>
      <c r="Q63" s="561">
        <f>CHOOSE(uxb_works!$B$46,Scores_2014_O!Q63,Scores_2014_N!Q63,Scores_2017!Q63)</f>
        <v>96.8844596982008</v>
      </c>
      <c r="R63" s="561">
        <f>CHOOSE(uxb_works!$B$46,Scores_2014_O!R63,Scores_2014_N!R63,Scores_2017!R63)</f>
        <v>92.6241861536689</v>
      </c>
      <c r="S63" s="561">
        <f>CHOOSE(uxb_works!$B$46,Scores_2014_O!S63,Scores_2014_N!S63,Scores_2017!S63)</f>
        <v>87.889811104519</v>
      </c>
      <c r="T63" s="561">
        <f>CHOOSE(uxb_works!$B$46,Scores_2014_O!T63,Scores_2014_N!T63,Scores_2017!T63)</f>
        <v>96.8183652073824</v>
      </c>
      <c r="U63" s="561">
        <f>CHOOSE(uxb_works!$B$46,Scores_2014_O!U63,Scores_2014_N!U63,Scores_2017!U63)</f>
        <v>96.5577889751148</v>
      </c>
      <c r="V63" s="561">
        <f>CHOOSE(uxb_works!$B$46,Scores_2014_O!V63,Scores_2014_N!V63,Scores_2017!V63)</f>
        <v>0</v>
      </c>
      <c r="W63" s="561">
        <f>CHOOSE(uxb_works!$B$46,Scores_2014_O!W63,Scores_2014_N!W63,Scores_2017!W63)</f>
        <v>92.4156203937852</v>
      </c>
      <c r="X63" s="561">
        <f>CHOOSE(uxb_works!$B$46,Scores_2014_O!X63,Scores_2014_N!X63,Scores_2017!X63)</f>
        <v>87.3818353500693</v>
      </c>
      <c r="Y63" s="561">
        <f>CHOOSE(uxb_works!$B$46,Scores_2014_O!Z63,Scores_2014_N!Y63,Scores_2017!Y63)</f>
        <v>79.0987751769094</v>
      </c>
      <c r="Z63" s="561">
        <f>CHOOSE(uxb_works!$B$46,Scores_2014_O!AA63,Scores_2014_N!Z63,Scores_2017!Z63)</f>
        <v>18.6284109777866</v>
      </c>
      <c r="AA63" s="561">
        <f>CHOOSE(uxb_works!$B$46,Scores_2014_O!AB63,Scores_2014_N!AA63,Scores_2017!AA63)</f>
        <v>96.3184028723827</v>
      </c>
      <c r="AB63" s="561">
        <f>CHOOSE(uxb_works!$B$46,Scores_2014_O!AC63,Scores_2014_N!AB63,Scores_2017!AB63)</f>
        <v>65.9166448662725</v>
      </c>
      <c r="AC63" s="561">
        <f>CHOOSE(uxb_works!$B$46,Scores_2014_O!AD63,Scores_2014_N!AC63,Scores_2017!AC63)</f>
        <v>80.871825506463</v>
      </c>
      <c r="AD63" s="561">
        <f>CHOOSE(uxb_works!$B$46,Scores_2014_O!AE63,Scores_2014_N!AD63,Scores_2017!AD63)</f>
        <v>83.0720682626979</v>
      </c>
      <c r="AE63" s="561">
        <f>CHOOSE(uxb_works!$B$46,Scores_2014_O!AF63,Scores_2014_N!AE63,Scores_2017!AE63)</f>
        <v>81.0150023349975</v>
      </c>
      <c r="AF63" s="561">
        <f>CHOOSE(uxb_works!$B$46,Scores_2014_O!AG63,Scores_2014_N!AF63,Scores_2017!AF63)</f>
        <v>64.2976970839399</v>
      </c>
      <c r="AG63" s="561">
        <f>CHOOSE(uxb_works!$B$46,Scores_2014_O!AH63,Scores_2014_N!AG63,Scores_2017!AG63)</f>
        <v>95.6024142122309</v>
      </c>
      <c r="AH63" s="561">
        <f>CHOOSE(uxb_works!$B$46,Scores_2014_O!AI63,Scores_2014_N!AH63,Scores_2017!AH63)</f>
        <v>94.8712831569513</v>
      </c>
      <c r="AI63" s="561">
        <f>CHOOSE(uxb_works!$B$46,Scores_2014_O!AJ63,Scores_2014_N!AI63,Scores_2017!AI63)</f>
        <v>99.1048413561868</v>
      </c>
      <c r="AJ63" s="561">
        <f>CHOOSE(uxb_works!$B$46,Scores_2014_O!AK63,Scores_2014_N!AJ63,Scores_2017!AJ63)</f>
        <v>95.7679956243443</v>
      </c>
      <c r="AK63" s="561">
        <f>CHOOSE(uxb_works!$B$46,Scores_2014_O!AL63,Scores_2014_N!AK63,Scores_2017!AK63)</f>
        <v>85.9577919787296</v>
      </c>
      <c r="AL63" s="561">
        <f>CHOOSE(uxb_works!$B$46,Scores_2014_O!AM63,Scores_2014_N!AL63,Scores_2017!AL63)</f>
        <v>79.1940423188967</v>
      </c>
      <c r="AM63" s="561">
        <f>CHOOSE(uxb_works!$B$46,Scores_2014_O!AN63,Scores_2014_N!AM63,Scores_2017!AM63)</f>
        <v>1.65461081864104</v>
      </c>
      <c r="AN63" s="561">
        <f>CHOOSE(uxb_works!$B$46,Scores_2014_O!AO63,Scores_2014_N!AN63,Scores_2017!AN63)</f>
        <v>52.7906527095825</v>
      </c>
      <c r="AO63" s="561">
        <f>CHOOSE(uxb_works!$B$46,Scores_2014_O!AP63,Scores_2014_N!AO63,Scores_2017!AO63)</f>
        <v>85.3151711394346</v>
      </c>
      <c r="AP63" s="561">
        <f>CHOOSE(uxb_works!$B$46,Scores_2014_O!AQ63,Scores_2014_N!AP63,Scores_2017!AP63)</f>
        <v>92.965004444885</v>
      </c>
      <c r="AQ63" s="561">
        <f>CHOOSE(uxb_works!$B$46,Scores_2014_O!Y63,Scores_2014_N!AQ63,Scores_2017!AQ63)</f>
        <v>44.7008003890065</v>
      </c>
      <c r="AR63" s="561">
        <f>CHOOSE(uxb_works!$B$46,Scores_2014_O!AR63,Scores_2014_N!AR63,Scores_2017!AR63)</f>
        <v>93.8464991788494</v>
      </c>
      <c r="AS63" s="561">
        <f>CHOOSE(uxb_works!$B$46,Scores_2014_O!AS63,Scores_2014_N!AS63,Scores_2017!AS63)</f>
        <v>85.7612737013169</v>
      </c>
      <c r="AT63" s="561">
        <f>CHOOSE(uxb_works!$B$46,Scores_2014_O!AT63,Scores_2014_N!AT63,Scores_2017!AT63)</f>
        <v>96.8183652073824</v>
      </c>
      <c r="AU63" s="561">
        <f>CHOOSE(uxb_works!$B$46,Scores_2014_O!AU63,Scores_2014_N!AU63,Scores_2017!AU63)</f>
        <v>75.9402353022902</v>
      </c>
      <c r="AV63" s="561">
        <f>CHOOSE(uxb_works!$B$46,Scores_2014_O!AV63,Scores_2014_N!AV63,Scores_2017!AV63)</f>
        <v>94.7210577075109</v>
      </c>
      <c r="AW63" s="561">
        <f>CHOOSE(uxb_works!$B$46,Scores_2014_O!AW63,Scores_2014_N!AW63,Scores_2017!AW63)</f>
        <v>61.5054640882659</v>
      </c>
      <c r="AX63" s="561">
        <f>CHOOSE(uxb_works!$B$46,Scores_2014_O!AX63,Scores_2014_N!AX63,Scores_2017!AX63)</f>
        <v>98.1775699780822</v>
      </c>
      <c r="AY63" s="561">
        <f>CHOOSE(uxb_works!$B$46,Scores_2014_O!AY63,Scores_2014_N!AY63,Scores_2017!AY63)</f>
        <v>50.0275615431055</v>
      </c>
      <c r="AZ63" s="561">
        <f>CHOOSE(uxb_works!$B$46,Scores_2014_O!AZ63,Scores_2014_N!AZ63,Scores_2017!AZ63)</f>
        <v>83.0720682626979</v>
      </c>
      <c r="BA63" s="561">
        <f>CHOOSE(uxb_works!$B$46,Scores_2014_O!BA63,Scores_2014_N!BA63,Scores_2017!BA63)</f>
        <v>91.2963391371597</v>
      </c>
      <c r="BB63" s="561">
        <f>CHOOSE(uxb_works!$B$46,Scores_2014_O!BB63,Scores_2014_N!BB63,Scores_2017!BB63)</f>
        <v>100</v>
      </c>
      <c r="BC63" s="561">
        <f>CHOOSE(uxb_works!$B$46,Scores_2014_O!BC63,Scores_2014_N!BC63,Scores_2017!BC63)</f>
        <v>96.2194378411289</v>
      </c>
      <c r="BD63" s="561">
        <f>CHOOSE(uxb_works!$B$46,Scores_2014_O!BD63,Scores_2014_N!BD63,Scores_2017!BD63)</f>
        <v>74.9266511211652</v>
      </c>
      <c r="BE63" s="561">
        <f>CHOOSE(uxb_works!$B$46,Scores_2014_O!BE63,Scores_2014_N!BE63,Scores_2017!BE63)</f>
        <v>45.3987323299679</v>
      </c>
      <c r="BF63" s="561">
        <f>CHOOSE(uxb_works!$B$46,Scores_2014_O!BF63,Scores_2014_N!BF63,Scores_2017!BF63)</f>
        <v>79.1940423188967</v>
      </c>
      <c r="BG63" s="561">
        <f>CHOOSE(uxb_works!$B$46,Scores_2014_O!BG63,Scores_2014_N!BG63,Scores_2017!BG63)</f>
        <v>98.1775699780822</v>
      </c>
      <c r="BH63" s="561">
        <f>CHOOSE(uxb_works!$B$46,Scores_2014_O!BH63,Scores_2014_N!BH63,Scores_2017!BH63)</f>
        <v>85.7612737013169</v>
      </c>
      <c r="BI63" s="561">
        <f>CHOOSE(uxb_works!$B$46,Scores_2014_O!BI63,Scores_2014_N!BI63,Scores_2017!BI63)</f>
        <v>91.0435056770128</v>
      </c>
      <c r="BJ63" s="561">
        <f>CHOOSE(uxb_works!$B$46,Scores_2014_O!BJ63,Scores_2014_N!BJ63,Scores_2017!BJ63)</f>
        <v>45.3987323299679</v>
      </c>
      <c r="BK63" s="561">
        <f>CHOOSE(uxb_works!$B$46,Scores_2014_O!BK63,Scores_2014_N!BK63,Scores_2017!BK63)</f>
        <v>88.059162140092</v>
      </c>
      <c r="BL63" s="561">
        <f>CHOOSE(uxb_works!$B$46,Scores_2014_O!BL63,Scores_2014_N!BL63,Scores_2017!BL63)</f>
        <v>96.5577889751148</v>
      </c>
      <c r="BM63" s="561">
        <f>CHOOSE(uxb_works!$B$46,Scores_2014_O!BM63,Scores_2014_N!BM63,Scores_2017!BM63)</f>
        <v>98.9319614699797</v>
      </c>
      <c r="BN63" s="561">
        <f>CHOOSE(uxb_works!$B$46,Scores_2014_O!BN63,Scores_2014_N!BN63,Scores_2017!BN63)</f>
        <v>96.9097600061368</v>
      </c>
      <c r="BO63" s="561">
        <f>CHOOSE(uxb_works!$B$46,Scores_2014_O!BO63,Scores_2014_N!BO63,Scores_2017!BO63)</f>
        <v>94.7210577075109</v>
      </c>
      <c r="BP63" s="561">
        <f>CHOOSE(uxb_works!$B$46,Scores_2014_O!BP63,Scores_2014_N!BP63,Scores_2017!BP63)</f>
        <v>92.8832036755309</v>
      </c>
      <c r="BQ63" s="561">
        <f>CHOOSE(uxb_works!$B$46,Scores_2014_O!BQ63,Scores_2014_N!BQ63,Scores_2017!BQ63)</f>
        <v>88.0435533122962</v>
      </c>
      <c r="BR63" s="561">
        <f>CHOOSE(uxb_works!$B$46,Scores_2014_O!BR63,Scores_2014_N!BR63,Scores_2017!BR63)</f>
        <v>100</v>
      </c>
      <c r="BS63" s="561">
        <f>CHOOSE(uxb_works!$B$46,Scores_2014_O!BS63,Scores_2014_N!BS63,Scores_2017!BS63)</f>
        <v>93.7700941098423</v>
      </c>
      <c r="BT63" s="561">
        <f>CHOOSE(uxb_works!$B$46,Scores_2014_O!BT63,Scores_2014_N!BT63,Scores_2017!BT63)</f>
        <v>63.9059426634982</v>
      </c>
      <c r="BU63" s="561">
        <f>CHOOSE(uxb_works!$B$46,Scores_2014_O!BU63,Scores_2014_N!BU63,Scores_2017!BU63)</f>
        <v>94.224551107945</v>
      </c>
      <c r="BV63" s="561">
        <f>CHOOSE(uxb_works!$B$46,Scores_2014_O!BV63,Scores_2014_N!BV63,Scores_2017!BV63)</f>
        <v>85.3824420047052</v>
      </c>
      <c r="BW63" s="561">
        <f>CHOOSE(uxb_works!$B$46,Scores_2014_O!BW63,Scores_2014_N!BW63,Scores_2017!BW63)</f>
        <v>95.7084698388064</v>
      </c>
      <c r="BX63" s="561">
        <f>CHOOSE(uxb_works!$B$46,Scores_2014_O!BX63,Scores_2014_N!BX63,Scores_2017!BX63)</f>
        <v>100</v>
      </c>
      <c r="BY63"/>
      <c r="BZ63" s="214"/>
      <c r="CA63" s="214"/>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row>
    <row r="64" s="69" customFormat="1" ht="24.95" customHeight="1" spans="1:130">
      <c r="A64"/>
      <c r="B64" s="92">
        <f>tblIndicators!A60</f>
        <v>59</v>
      </c>
      <c r="C64" s="92"/>
      <c r="D64" s="92"/>
      <c r="E64" s="92"/>
      <c r="F64" s="92">
        <f>CHOOSE(uxb_works!$B$46,Scores_2014_O!F64,Scores_2014_N!F64,Scores_2017!F64)</f>
        <v>3</v>
      </c>
      <c r="G64" s="92"/>
      <c r="H64" s="92"/>
      <c r="I64" s="104"/>
      <c r="J64" s="92"/>
      <c r="K64" s="92"/>
      <c r="L64" s="165"/>
      <c r="M64" s="92"/>
      <c r="N64" s="105" t="str">
        <f>REPT(" ",F64)&amp;CHOOSE(uxb_works!$B$46,Scores_2014_O!N64,Scores_2014_N!N64,Scores_2017!N64)</f>
        <v>      4.2.9) Perceptions of safety</v>
      </c>
      <c r="O64" s="556">
        <f>CHOOSE(uxb_works!$B$46,Scores_2014_O!O64,Scores_2014_N!O64,Scores_2017!O64)</f>
        <v>0.0833333333333333</v>
      </c>
      <c r="P64" s="557">
        <f>CHOOSE(uxb_works!$B$46,Scores_2014_O!P64,Scores_2014_N!P64,Scores_2017!P64)</f>
        <v>84.49</v>
      </c>
      <c r="Q64" s="561">
        <f>CHOOSE(uxb_works!$B$46,Scores_2014_O!Q64,Scores_2014_N!Q64,Scores_2017!Q64)</f>
        <v>67.4</v>
      </c>
      <c r="R64" s="561">
        <f>CHOOSE(uxb_works!$B$46,Scores_2014_O!R64,Scores_2014_N!R64,Scores_2017!R64)</f>
        <v>49.28</v>
      </c>
      <c r="S64" s="561">
        <f>CHOOSE(uxb_works!$B$46,Scores_2014_O!S64,Scores_2014_N!S64,Scores_2017!S64)</f>
        <v>51.44</v>
      </c>
      <c r="T64" s="561">
        <f>CHOOSE(uxb_works!$B$46,Scores_2014_O!T64,Scores_2014_N!T64,Scores_2017!T64)</f>
        <v>60.35</v>
      </c>
      <c r="U64" s="561">
        <f>CHOOSE(uxb_works!$B$46,Scores_2014_O!U64,Scores_2014_N!U64,Scores_2017!U64)</f>
        <v>58.35</v>
      </c>
      <c r="V64" s="561">
        <f>CHOOSE(uxb_works!$B$46,Scores_2014_O!V64,Scores_2014_N!V64,Scores_2017!V64)</f>
        <v>36.36</v>
      </c>
      <c r="W64" s="561">
        <f>CHOOSE(uxb_works!$B$46,Scores_2014_O!W64,Scores_2014_N!W64,Scores_2017!W64)</f>
        <v>45.48</v>
      </c>
      <c r="X64" s="561">
        <f>CHOOSE(uxb_works!$B$46,Scores_2014_O!X64,Scores_2014_N!X64,Scores_2017!X64)</f>
        <v>38.89</v>
      </c>
      <c r="Y64" s="561">
        <f>CHOOSE(uxb_works!$B$46,Scores_2014_O!Z64,Scores_2014_N!Y64,Scores_2017!Y64)</f>
        <v>44.09</v>
      </c>
      <c r="Z64" s="561">
        <f>CHOOSE(uxb_works!$B$46,Scores_2014_O!AA64,Scores_2014_N!Z64,Scores_2017!Z64)</f>
        <v>13.39</v>
      </c>
      <c r="AA64" s="561">
        <f>CHOOSE(uxb_works!$B$46,Scores_2014_O!AB64,Scores_2014_N!AA64,Scores_2017!AA64)</f>
        <v>45.72</v>
      </c>
      <c r="AB64" s="561">
        <f>CHOOSE(uxb_works!$B$46,Scores_2014_O!AC64,Scores_2014_N!AB64,Scores_2017!AB64)</f>
        <v>34.61</v>
      </c>
      <c r="AC64" s="561">
        <f>CHOOSE(uxb_works!$B$46,Scores_2014_O!AD64,Scores_2014_N!AC64,Scores_2017!AC64)</f>
        <v>56.5</v>
      </c>
      <c r="AD64" s="561">
        <f>CHOOSE(uxb_works!$B$46,Scores_2014_O!AE64,Scores_2014_N!AD64,Scores_2017!AD64)</f>
        <v>39.21</v>
      </c>
      <c r="AE64" s="561">
        <f>CHOOSE(uxb_works!$B$46,Scores_2014_O!AF64,Scores_2014_N!AE64,Scores_2017!AE64)</f>
        <v>30.89</v>
      </c>
      <c r="AF64" s="561">
        <f>CHOOSE(uxb_works!$B$46,Scores_2014_O!AG64,Scores_2014_N!AF64,Scores_2017!AF64)</f>
        <v>83.43</v>
      </c>
      <c r="AG64" s="561">
        <f>CHOOSE(uxb_works!$B$46,Scores_2014_O!AH64,Scores_2014_N!AG64,Scores_2017!AG64)</f>
        <v>60.89</v>
      </c>
      <c r="AH64" s="561">
        <f>CHOOSE(uxb_works!$B$46,Scores_2014_O!AI64,Scores_2014_N!AH64,Scores_2017!AH64)</f>
        <v>41.89</v>
      </c>
      <c r="AI64" s="561">
        <f>CHOOSE(uxb_works!$B$46,Scores_2014_O!AJ64,Scores_2014_N!AI64,Scores_2017!AI64)</f>
        <v>79.32</v>
      </c>
      <c r="AJ64" s="561">
        <f>CHOOSE(uxb_works!$B$46,Scores_2014_O!AK64,Scores_2014_N!AJ64,Scores_2017!AJ64)</f>
        <v>49.8</v>
      </c>
      <c r="AK64" s="561">
        <f>CHOOSE(uxb_works!$B$46,Scores_2014_O!AL64,Scores_2014_N!AK64,Scores_2017!AK64)</f>
        <v>47.22</v>
      </c>
      <c r="AL64" s="561">
        <f>CHOOSE(uxb_works!$B$46,Scores_2014_O!AM64,Scores_2014_N!AL64,Scores_2017!AL64)</f>
        <v>79.19</v>
      </c>
      <c r="AM64" s="561">
        <f>CHOOSE(uxb_works!$B$46,Scores_2014_O!AN64,Scores_2014_N!AM64,Scores_2017!AM64)</f>
        <v>21.51</v>
      </c>
      <c r="AN64" s="561">
        <f>CHOOSE(uxb_works!$B$46,Scores_2014_O!AO64,Scores_2014_N!AN64,Scores_2017!AN64)</f>
        <v>35.82</v>
      </c>
      <c r="AO64" s="561">
        <f>CHOOSE(uxb_works!$B$46,Scores_2014_O!AP64,Scores_2014_N!AO64,Scores_2017!AO64)</f>
        <v>30.41</v>
      </c>
      <c r="AP64" s="561">
        <f>CHOOSE(uxb_works!$B$46,Scores_2014_O!AQ64,Scores_2014_N!AP64,Scores_2017!AP64)</f>
        <v>67.31</v>
      </c>
      <c r="AQ64" s="561">
        <f>CHOOSE(uxb_works!$B$46,Scores_2014_O!Y64,Scores_2014_N!AQ64,Scores_2017!AQ64)</f>
        <v>31.73</v>
      </c>
      <c r="AR64" s="561">
        <f>CHOOSE(uxb_works!$B$46,Scores_2014_O!AR64,Scores_2014_N!AR64,Scores_2017!AR64)</f>
        <v>53.83</v>
      </c>
      <c r="AS64" s="561">
        <f>CHOOSE(uxb_works!$B$46,Scores_2014_O!AS64,Scores_2014_N!AS64,Scores_2017!AS64)</f>
        <v>45.33</v>
      </c>
      <c r="AT64" s="561">
        <f>CHOOSE(uxb_works!$B$46,Scores_2014_O!AT64,Scores_2014_N!AT64,Scores_2017!AT64)</f>
        <v>68.54</v>
      </c>
      <c r="AU64" s="561">
        <f>CHOOSE(uxb_works!$B$46,Scores_2014_O!AU64,Scores_2014_N!AU64,Scores_2017!AU64)</f>
        <v>39.08</v>
      </c>
      <c r="AV64" s="561">
        <f>CHOOSE(uxb_works!$B$46,Scores_2014_O!AV64,Scores_2014_N!AV64,Scores_2017!AV64)</f>
        <v>58.98</v>
      </c>
      <c r="AW64" s="561">
        <f>CHOOSE(uxb_works!$B$46,Scores_2014_O!AW64,Scores_2014_N!AW64,Scores_2017!AW64)</f>
        <v>33.9</v>
      </c>
      <c r="AX64" s="561">
        <f>CHOOSE(uxb_works!$B$46,Scores_2014_O!AX64,Scores_2014_N!AX64,Scores_2017!AX64)</f>
        <v>52.81</v>
      </c>
      <c r="AY64" s="561">
        <f>CHOOSE(uxb_works!$B$46,Scores_2014_O!AY64,Scores_2014_N!AY64,Scores_2017!AY64)</f>
        <v>54.68</v>
      </c>
      <c r="AZ64" s="561">
        <f>CHOOSE(uxb_works!$B$46,Scores_2014_O!AZ64,Scores_2014_N!AZ64,Scores_2017!AZ64)</f>
        <v>52.19</v>
      </c>
      <c r="BA64" s="561">
        <f>CHOOSE(uxb_works!$B$46,Scores_2014_O!BA64,Scores_2014_N!BA64,Scores_2017!BA64)</f>
        <v>52.38</v>
      </c>
      <c r="BB64" s="561">
        <f>CHOOSE(uxb_works!$B$46,Scores_2014_O!BB64,Scores_2014_N!BB64,Scores_2017!BB64)</f>
        <v>80.36</v>
      </c>
      <c r="BC64" s="561">
        <f>CHOOSE(uxb_works!$B$46,Scores_2014_O!BC64,Scores_2014_N!BC64,Scores_2017!BC64)</f>
        <v>47.25</v>
      </c>
      <c r="BD64" s="561">
        <f>CHOOSE(uxb_works!$B$46,Scores_2014_O!BD64,Scores_2014_N!BD64,Scores_2017!BD64)</f>
        <v>45.04</v>
      </c>
      <c r="BE64" s="561">
        <f>CHOOSE(uxb_works!$B$46,Scores_2014_O!BE64,Scores_2014_N!BE64,Scores_2017!BE64)</f>
        <v>22.13</v>
      </c>
      <c r="BF64" s="561">
        <f>CHOOSE(uxb_works!$B$46,Scores_2014_O!BF64,Scores_2014_N!BF64,Scores_2017!BF64)</f>
        <v>79.19</v>
      </c>
      <c r="BG64" s="561">
        <f>CHOOSE(uxb_works!$B$46,Scores_2014_O!BG64,Scores_2014_N!BG64,Scores_2017!BG64)</f>
        <v>44.53</v>
      </c>
      <c r="BH64" s="561">
        <f>CHOOSE(uxb_works!$B$46,Scores_2014_O!BH64,Scores_2014_N!BH64,Scores_2017!BH64)</f>
        <v>49.7</v>
      </c>
      <c r="BI64" s="561">
        <f>CHOOSE(uxb_works!$B$46,Scores_2014_O!BI64,Scores_2014_N!BI64,Scores_2017!BI64)</f>
        <v>47.45</v>
      </c>
      <c r="BJ64" s="561">
        <f>CHOOSE(uxb_works!$B$46,Scores_2014_O!BJ64,Scores_2014_N!BJ64,Scores_2017!BJ64)</f>
        <v>27.81</v>
      </c>
      <c r="BK64" s="561">
        <f>CHOOSE(uxb_works!$B$46,Scores_2014_O!BK64,Scores_2014_N!BK64,Scores_2017!BK64)</f>
        <v>76.2</v>
      </c>
      <c r="BL64" s="561">
        <f>CHOOSE(uxb_works!$B$46,Scores_2014_O!BL64,Scores_2014_N!BL64,Scores_2017!BL64)</f>
        <v>65.41</v>
      </c>
      <c r="BM64" s="561">
        <f>CHOOSE(uxb_works!$B$46,Scores_2014_O!BM64,Scores_2014_N!BM64,Scores_2017!BM64)</f>
        <v>83.42</v>
      </c>
      <c r="BN64" s="561">
        <f>CHOOSE(uxb_works!$B$46,Scores_2014_O!BN64,Scores_2014_N!BN64,Scores_2017!BN64)</f>
        <v>54.22</v>
      </c>
      <c r="BO64" s="561">
        <f>CHOOSE(uxb_works!$B$46,Scores_2014_O!BO64,Scores_2014_N!BO64,Scores_2017!BO64)</f>
        <v>59.76</v>
      </c>
      <c r="BP64" s="561">
        <f>CHOOSE(uxb_works!$B$46,Scores_2014_O!BP64,Scores_2014_N!BP64,Scores_2017!BP64)</f>
        <v>84.24</v>
      </c>
      <c r="BQ64" s="561">
        <f>CHOOSE(uxb_works!$B$46,Scores_2014_O!BQ64,Scores_2014_N!BQ64,Scores_2017!BQ64)</f>
        <v>44.56</v>
      </c>
      <c r="BR64" s="561">
        <f>CHOOSE(uxb_works!$B$46,Scores_2014_O!BR64,Scores_2014_N!BR64,Scores_2017!BR64)</f>
        <v>80.36</v>
      </c>
      <c r="BS64" s="561">
        <f>CHOOSE(uxb_works!$B$46,Scores_2014_O!BS64,Scores_2014_N!BS64,Scores_2017!BS64)</f>
        <v>65.06</v>
      </c>
      <c r="BT64" s="561">
        <f>CHOOSE(uxb_works!$B$46,Scores_2014_O!BT64,Scores_2014_N!BT64,Scores_2017!BT64)</f>
        <v>35.81</v>
      </c>
      <c r="BU64" s="561">
        <f>CHOOSE(uxb_works!$B$46,Scores_2014_O!BU64,Scores_2014_N!BU64,Scores_2017!BU64)</f>
        <v>70.15</v>
      </c>
      <c r="BV64" s="561">
        <f>CHOOSE(uxb_works!$B$46,Scores_2014_O!BV64,Scores_2014_N!BV64,Scores_2017!BV64)</f>
        <v>43.22</v>
      </c>
      <c r="BW64" s="561">
        <f>CHOOSE(uxb_works!$B$46,Scores_2014_O!BW64,Scores_2014_N!BW64,Scores_2017!BW64)</f>
        <v>81.86</v>
      </c>
      <c r="BX64" s="561">
        <f>CHOOSE(uxb_works!$B$46,Scores_2014_O!BX64,Scores_2014_N!BX64,Scores_2017!BX64)</f>
        <v>80.36</v>
      </c>
      <c r="BY64"/>
      <c r="BZ64" s="214"/>
      <c r="CA64" s="21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row>
    <row r="65" s="69" customFormat="1" ht="24.95" customHeight="1" spans="1:130">
      <c r="A65"/>
      <c r="B65" s="92">
        <f>tblIndicators!A61</f>
        <v>60</v>
      </c>
      <c r="C65" s="92"/>
      <c r="D65" s="92"/>
      <c r="E65" s="92"/>
      <c r="F65" s="92">
        <f>CHOOSE(uxb_works!$B$46,Scores_2014_O!F65,Scores_2014_N!F65,Scores_2017!F65)</f>
        <v>3</v>
      </c>
      <c r="G65" s="92"/>
      <c r="H65" s="92"/>
      <c r="I65" s="104"/>
      <c r="J65" s="92"/>
      <c r="K65" s="92"/>
      <c r="L65" s="165"/>
      <c r="M65" s="92"/>
      <c r="N65" s="105" t="str">
        <f>REPT(" ",F65)&amp;CHOOSE(uxb_works!$B$46,Scores_2014_O!N65,Scores_2014_N!N65,Scores_2017!N65)</f>
        <v>      4.2.10) Threat of terrorism</v>
      </c>
      <c r="O65" s="556">
        <f>CHOOSE(uxb_works!$B$46,Scores_2014_O!O65,Scores_2014_N!O65,Scores_2017!O65)</f>
        <v>0.0833333333333333</v>
      </c>
      <c r="P65" s="557">
        <f>CHOOSE(uxb_works!$B$46,Scores_2014_O!P65,Scores_2014_N!P65,Scores_2017!P65)</f>
        <v>75</v>
      </c>
      <c r="Q65" s="561">
        <f>CHOOSE(uxb_works!$B$46,Scores_2014_O!Q65,Scores_2014_N!Q65,Scores_2017!Q65)</f>
        <v>75</v>
      </c>
      <c r="R65" s="561">
        <f>CHOOSE(uxb_works!$B$46,Scores_2014_O!R65,Scores_2014_N!R65,Scores_2017!R65)</f>
        <v>75</v>
      </c>
      <c r="S65" s="561">
        <f>CHOOSE(uxb_works!$B$46,Scores_2014_O!S65,Scores_2014_N!S65,Scores_2017!S65)</f>
        <v>25</v>
      </c>
      <c r="T65" s="561">
        <f>CHOOSE(uxb_works!$B$46,Scores_2014_O!T65,Scores_2014_N!T65,Scores_2017!T65)</f>
        <v>75</v>
      </c>
      <c r="U65" s="561">
        <f>CHOOSE(uxb_works!$B$46,Scores_2014_O!U65,Scores_2014_N!U65,Scores_2017!U65)</f>
        <v>100</v>
      </c>
      <c r="V65" s="561">
        <f>CHOOSE(uxb_works!$B$46,Scores_2014_O!V65,Scores_2014_N!V65,Scores_2017!V65)</f>
        <v>50</v>
      </c>
      <c r="W65" s="561">
        <f>CHOOSE(uxb_works!$B$46,Scores_2014_O!W65,Scores_2014_N!W65,Scores_2017!W65)</f>
        <v>50</v>
      </c>
      <c r="X65" s="561">
        <f>CHOOSE(uxb_works!$B$46,Scores_2014_O!X65,Scores_2014_N!X65,Scores_2017!X65)</f>
        <v>75</v>
      </c>
      <c r="Y65" s="561">
        <f>CHOOSE(uxb_works!$B$46,Scores_2014_O!Z65,Scores_2014_N!Y65,Scores_2017!Y65)</f>
        <v>50</v>
      </c>
      <c r="Z65" s="561">
        <f>CHOOSE(uxb_works!$B$46,Scores_2014_O!AA65,Scores_2014_N!Z65,Scores_2017!Z65)</f>
        <v>75</v>
      </c>
      <c r="AA65" s="561">
        <f>CHOOSE(uxb_works!$B$46,Scores_2014_O!AB65,Scores_2014_N!AA65,Scores_2017!AA65)</f>
        <v>50</v>
      </c>
      <c r="AB65" s="561">
        <f>CHOOSE(uxb_works!$B$46,Scores_2014_O!AC65,Scores_2014_N!AB65,Scores_2017!AB65)</f>
        <v>75</v>
      </c>
      <c r="AC65" s="561">
        <f>CHOOSE(uxb_works!$B$46,Scores_2014_O!AD65,Scores_2014_N!AC65,Scores_2017!AC65)</f>
        <v>75</v>
      </c>
      <c r="AD65" s="561">
        <f>CHOOSE(uxb_works!$B$46,Scores_2014_O!AE65,Scores_2014_N!AD65,Scores_2017!AD65)</f>
        <v>50</v>
      </c>
      <c r="AE65" s="561">
        <f>CHOOSE(uxb_works!$B$46,Scores_2014_O!AF65,Scores_2014_N!AE65,Scores_2017!AE65)</f>
        <v>25</v>
      </c>
      <c r="AF65" s="561">
        <f>CHOOSE(uxb_works!$B$46,Scores_2014_O!AG65,Scores_2014_N!AF65,Scores_2017!AF65)</f>
        <v>75</v>
      </c>
      <c r="AG65" s="561">
        <f>CHOOSE(uxb_works!$B$46,Scores_2014_O!AH65,Scores_2014_N!AG65,Scores_2017!AG65)</f>
        <v>75</v>
      </c>
      <c r="AH65" s="561">
        <f>CHOOSE(uxb_works!$B$46,Scores_2014_O!AI65,Scores_2014_N!AH65,Scores_2017!AH65)</f>
        <v>75</v>
      </c>
      <c r="AI65" s="561">
        <f>CHOOSE(uxb_works!$B$46,Scores_2014_O!AJ65,Scores_2014_N!AI65,Scores_2017!AI65)</f>
        <v>100</v>
      </c>
      <c r="AJ65" s="561">
        <f>CHOOSE(uxb_works!$B$46,Scores_2014_O!AK65,Scores_2014_N!AJ65,Scores_2017!AJ65)</f>
        <v>25</v>
      </c>
      <c r="AK65" s="561">
        <f>CHOOSE(uxb_works!$B$46,Scores_2014_O!AL65,Scores_2014_N!AK65,Scores_2017!AK65)</f>
        <v>25</v>
      </c>
      <c r="AL65" s="561">
        <f>CHOOSE(uxb_works!$B$46,Scores_2014_O!AM65,Scores_2014_N!AL65,Scores_2017!AL65)</f>
        <v>25</v>
      </c>
      <c r="AM65" s="561">
        <f>CHOOSE(uxb_works!$B$46,Scores_2014_O!AN65,Scores_2014_N!AM65,Scores_2017!AM65)</f>
        <v>75</v>
      </c>
      <c r="AN65" s="561">
        <f>CHOOSE(uxb_works!$B$46,Scores_2014_O!AO65,Scores_2014_N!AN65,Scores_2017!AN65)</f>
        <v>0</v>
      </c>
      <c r="AO65" s="561">
        <f>CHOOSE(uxb_works!$B$46,Scores_2014_O!AP65,Scores_2014_N!AO65,Scores_2017!AO65)</f>
        <v>75</v>
      </c>
      <c r="AP65" s="561">
        <f>CHOOSE(uxb_works!$B$46,Scores_2014_O!AQ65,Scores_2014_N!AP65,Scores_2017!AP65)</f>
        <v>75</v>
      </c>
      <c r="AQ65" s="561">
        <f>CHOOSE(uxb_works!$B$46,Scores_2014_O!Y65,Scores_2014_N!AQ65,Scores_2017!AQ65)</f>
        <v>75</v>
      </c>
      <c r="AR65" s="561">
        <f>CHOOSE(uxb_works!$B$46,Scores_2014_O!AR65,Scores_2014_N!AR65,Scores_2017!AR65)</f>
        <v>50</v>
      </c>
      <c r="AS65" s="561">
        <f>CHOOSE(uxb_works!$B$46,Scores_2014_O!AS65,Scores_2014_N!AS65,Scores_2017!AS65)</f>
        <v>75</v>
      </c>
      <c r="AT65" s="561">
        <f>CHOOSE(uxb_works!$B$46,Scores_2014_O!AT65,Scores_2014_N!AT65,Scores_2017!AT65)</f>
        <v>75</v>
      </c>
      <c r="AU65" s="561">
        <f>CHOOSE(uxb_works!$B$46,Scores_2014_O!AU65,Scores_2014_N!AU65,Scores_2017!AU65)</f>
        <v>50</v>
      </c>
      <c r="AV65" s="561">
        <f>CHOOSE(uxb_works!$B$46,Scores_2014_O!AV65,Scores_2014_N!AV65,Scores_2017!AV65)</f>
        <v>100</v>
      </c>
      <c r="AW65" s="561">
        <f>CHOOSE(uxb_works!$B$46,Scores_2014_O!AW65,Scores_2014_N!AW65,Scores_2017!AW65)</f>
        <v>50</v>
      </c>
      <c r="AX65" s="561">
        <f>CHOOSE(uxb_works!$B$46,Scores_2014_O!AX65,Scores_2014_N!AX65,Scores_2017!AX65)</f>
        <v>100</v>
      </c>
      <c r="AY65" s="561">
        <f>CHOOSE(uxb_works!$B$46,Scores_2014_O!AY65,Scores_2014_N!AY65,Scores_2017!AY65)</f>
        <v>50</v>
      </c>
      <c r="AZ65" s="561">
        <f>CHOOSE(uxb_works!$B$46,Scores_2014_O!AZ65,Scores_2014_N!AZ65,Scores_2017!AZ65)</f>
        <v>50</v>
      </c>
      <c r="BA65" s="561">
        <f>CHOOSE(uxb_works!$B$46,Scores_2014_O!BA65,Scores_2014_N!BA65,Scores_2017!BA65)</f>
        <v>50</v>
      </c>
      <c r="BB65" s="561">
        <f>CHOOSE(uxb_works!$B$46,Scores_2014_O!BB65,Scores_2014_N!BB65,Scores_2017!BB65)</f>
        <v>75</v>
      </c>
      <c r="BC65" s="561">
        <f>CHOOSE(uxb_works!$B$46,Scores_2014_O!BC65,Scores_2014_N!BC65,Scores_2017!BC65)</f>
        <v>25</v>
      </c>
      <c r="BD65" s="561">
        <f>CHOOSE(uxb_works!$B$46,Scores_2014_O!BD65,Scores_2014_N!BD65,Scores_2017!BD65)</f>
        <v>75</v>
      </c>
      <c r="BE65" s="561">
        <f>CHOOSE(uxb_works!$B$46,Scores_2014_O!BE65,Scores_2014_N!BE65,Scores_2017!BE65)</f>
        <v>75</v>
      </c>
      <c r="BF65" s="561">
        <f>CHOOSE(uxb_works!$B$46,Scores_2014_O!BF65,Scores_2014_N!BF65,Scores_2017!BF65)</f>
        <v>50</v>
      </c>
      <c r="BG65" s="561">
        <f>CHOOSE(uxb_works!$B$46,Scores_2014_O!BG65,Scores_2014_N!BG65,Scores_2017!BG65)</f>
        <v>75</v>
      </c>
      <c r="BH65" s="561">
        <f>CHOOSE(uxb_works!$B$46,Scores_2014_O!BH65,Scores_2014_N!BH65,Scores_2017!BH65)</f>
        <v>75</v>
      </c>
      <c r="BI65" s="561">
        <f>CHOOSE(uxb_works!$B$46,Scores_2014_O!BI65,Scores_2014_N!BI65,Scores_2017!BI65)</f>
        <v>100</v>
      </c>
      <c r="BJ65" s="561">
        <f>CHOOSE(uxb_works!$B$46,Scores_2014_O!BJ65,Scores_2014_N!BJ65,Scores_2017!BJ65)</f>
        <v>75</v>
      </c>
      <c r="BK65" s="561">
        <f>CHOOSE(uxb_works!$B$46,Scores_2014_O!BK65,Scores_2014_N!BK65,Scores_2017!BK65)</f>
        <v>75</v>
      </c>
      <c r="BL65" s="561">
        <f>CHOOSE(uxb_works!$B$46,Scores_2014_O!BL65,Scores_2014_N!BL65,Scores_2017!BL65)</f>
        <v>100</v>
      </c>
      <c r="BM65" s="561">
        <f>CHOOSE(uxb_works!$B$46,Scores_2014_O!BM65,Scores_2014_N!BM65,Scores_2017!BM65)</f>
        <v>75</v>
      </c>
      <c r="BN65" s="561">
        <f>CHOOSE(uxb_works!$B$46,Scores_2014_O!BN65,Scores_2014_N!BN65,Scores_2017!BN65)</f>
        <v>100</v>
      </c>
      <c r="BO65" s="561">
        <f>CHOOSE(uxb_works!$B$46,Scores_2014_O!BO65,Scores_2014_N!BO65,Scores_2017!BO65)</f>
        <v>75</v>
      </c>
      <c r="BP65" s="561">
        <f>CHOOSE(uxb_works!$B$46,Scores_2014_O!BP65,Scores_2014_N!BP65,Scores_2017!BP65)</f>
        <v>100</v>
      </c>
      <c r="BQ65" s="561">
        <f>CHOOSE(uxb_works!$B$46,Scores_2014_O!BQ65,Scores_2014_N!BQ65,Scores_2017!BQ65)</f>
        <v>50</v>
      </c>
      <c r="BR65" s="561">
        <f>CHOOSE(uxb_works!$B$46,Scores_2014_O!BR65,Scores_2014_N!BR65,Scores_2017!BR65)</f>
        <v>75</v>
      </c>
      <c r="BS65" s="561">
        <f>CHOOSE(uxb_works!$B$46,Scores_2014_O!BS65,Scores_2014_N!BS65,Scores_2017!BS65)</f>
        <v>100</v>
      </c>
      <c r="BT65" s="561">
        <f>CHOOSE(uxb_works!$B$46,Scores_2014_O!BT65,Scores_2014_N!BT65,Scores_2017!BT65)</f>
        <v>75</v>
      </c>
      <c r="BU65" s="561">
        <f>CHOOSE(uxb_works!$B$46,Scores_2014_O!BU65,Scores_2014_N!BU65,Scores_2017!BU65)</f>
        <v>100</v>
      </c>
      <c r="BV65" s="561">
        <f>CHOOSE(uxb_works!$B$46,Scores_2014_O!BV65,Scores_2014_N!BV65,Scores_2017!BV65)</f>
        <v>75</v>
      </c>
      <c r="BW65" s="561">
        <f>CHOOSE(uxb_works!$B$46,Scores_2014_O!BW65,Scores_2014_N!BW65,Scores_2017!BW65)</f>
        <v>75</v>
      </c>
      <c r="BX65" s="561">
        <f>CHOOSE(uxb_works!$B$46,Scores_2014_O!BX65,Scores_2014_N!BX65,Scores_2017!BX65)</f>
        <v>75</v>
      </c>
      <c r="BY65"/>
      <c r="BZ65" s="214"/>
      <c r="CA65" s="214"/>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row>
    <row r="66" s="69" customFormat="1" ht="24.95" customHeight="1" spans="1:130">
      <c r="A66"/>
      <c r="B66" s="92">
        <f>tblIndicators!A62</f>
        <v>61</v>
      </c>
      <c r="C66" s="92"/>
      <c r="D66" s="92"/>
      <c r="E66" s="92"/>
      <c r="F66" s="92">
        <f>CHOOSE(uxb_works!$B$46,Scores_2014_O!F66,Scores_2014_N!F66,Scores_2017!F66)</f>
        <v>3</v>
      </c>
      <c r="G66" s="92"/>
      <c r="H66" s="92"/>
      <c r="I66" s="104"/>
      <c r="J66" s="92"/>
      <c r="K66" s="92"/>
      <c r="L66" s="165"/>
      <c r="M66" s="92"/>
      <c r="N66" s="105" t="str">
        <f>REPT(" ",F66)&amp;CHOOSE(uxb_works!$B$46,Scores_2014_O!N66,Scores_2014_N!N66,Scores_2017!N66)</f>
        <v>      4.2.11) Threat of military conflict</v>
      </c>
      <c r="O66" s="556">
        <f>CHOOSE(uxb_works!$B$46,Scores_2014_O!O66,Scores_2014_N!O66,Scores_2017!O66)</f>
        <v>0.0833333333333333</v>
      </c>
      <c r="P66" s="557">
        <f>CHOOSE(uxb_works!$B$46,Scores_2014_O!P66,Scores_2014_N!P66,Scores_2017!P66)</f>
        <v>100</v>
      </c>
      <c r="Q66" s="561">
        <f>CHOOSE(uxb_works!$B$46,Scores_2014_O!Q66,Scores_2014_N!Q66,Scores_2017!Q66)</f>
        <v>100</v>
      </c>
      <c r="R66" s="561">
        <f>CHOOSE(uxb_works!$B$46,Scores_2014_O!R66,Scores_2014_N!R66,Scores_2017!R66)</f>
        <v>75</v>
      </c>
      <c r="S66" s="561">
        <f>CHOOSE(uxb_works!$B$46,Scores_2014_O!S66,Scores_2014_N!S66,Scores_2017!S66)</f>
        <v>50</v>
      </c>
      <c r="T66" s="561">
        <f>CHOOSE(uxb_works!$B$46,Scores_2014_O!T66,Scores_2014_N!T66,Scores_2017!T66)</f>
        <v>100</v>
      </c>
      <c r="U66" s="561">
        <f>CHOOSE(uxb_works!$B$46,Scores_2014_O!U66,Scores_2014_N!U66,Scores_2017!U66)</f>
        <v>75</v>
      </c>
      <c r="V66" s="561">
        <f>CHOOSE(uxb_works!$B$46,Scores_2014_O!V66,Scores_2014_N!V66,Scores_2017!V66)</f>
        <v>50</v>
      </c>
      <c r="W66" s="561">
        <f>CHOOSE(uxb_works!$B$46,Scores_2014_O!W66,Scores_2014_N!W66,Scores_2017!W66)</f>
        <v>100</v>
      </c>
      <c r="X66" s="561">
        <f>CHOOSE(uxb_works!$B$46,Scores_2014_O!X66,Scores_2014_N!X66,Scores_2017!X66)</f>
        <v>100</v>
      </c>
      <c r="Y66" s="561">
        <f>CHOOSE(uxb_works!$B$46,Scores_2014_O!Z66,Scores_2014_N!Y66,Scores_2017!Y66)</f>
        <v>75</v>
      </c>
      <c r="Z66" s="561">
        <f>CHOOSE(uxb_works!$B$46,Scores_2014_O!AA66,Scores_2014_N!Z66,Scores_2017!Z66)</f>
        <v>75</v>
      </c>
      <c r="AA66" s="561">
        <f>CHOOSE(uxb_works!$B$46,Scores_2014_O!AB66,Scores_2014_N!AA66,Scores_2017!AA66)</f>
        <v>75</v>
      </c>
      <c r="AB66" s="561">
        <f>CHOOSE(uxb_works!$B$46,Scores_2014_O!AC66,Scores_2014_N!AB66,Scores_2017!AB66)</f>
        <v>100</v>
      </c>
      <c r="AC66" s="561">
        <f>CHOOSE(uxb_works!$B$46,Scores_2014_O!AD66,Scores_2014_N!AC66,Scores_2017!AC66)</f>
        <v>100</v>
      </c>
      <c r="AD66" s="561">
        <f>CHOOSE(uxb_works!$B$46,Scores_2014_O!AE66,Scores_2014_N!AD66,Scores_2017!AD66)</f>
        <v>75</v>
      </c>
      <c r="AE66" s="561">
        <f>CHOOSE(uxb_works!$B$46,Scores_2014_O!AF66,Scores_2014_N!AE66,Scores_2017!AE66)</f>
        <v>75</v>
      </c>
      <c r="AF66" s="561">
        <f>CHOOSE(uxb_works!$B$46,Scores_2014_O!AG66,Scores_2014_N!AF66,Scores_2017!AF66)</f>
        <v>75</v>
      </c>
      <c r="AG66" s="561">
        <f>CHOOSE(uxb_works!$B$46,Scores_2014_O!AH66,Scores_2014_N!AG66,Scores_2017!AG66)</f>
        <v>100</v>
      </c>
      <c r="AH66" s="561">
        <f>CHOOSE(uxb_works!$B$46,Scores_2014_O!AI66,Scores_2014_N!AH66,Scores_2017!AH66)</f>
        <v>75</v>
      </c>
      <c r="AI66" s="561">
        <f>CHOOSE(uxb_works!$B$46,Scores_2014_O!AJ66,Scores_2014_N!AI66,Scores_2017!AI66)</f>
        <v>100</v>
      </c>
      <c r="AJ66" s="561">
        <f>CHOOSE(uxb_works!$B$46,Scores_2014_O!AK66,Scores_2014_N!AJ66,Scores_2017!AJ66)</f>
        <v>50</v>
      </c>
      <c r="AK66" s="561">
        <f>CHOOSE(uxb_works!$B$46,Scores_2014_O!AL66,Scores_2014_N!AK66,Scores_2017!AK66)</f>
        <v>100</v>
      </c>
      <c r="AL66" s="561">
        <f>CHOOSE(uxb_works!$B$46,Scores_2014_O!AM66,Scores_2014_N!AL66,Scores_2017!AL66)</f>
        <v>75</v>
      </c>
      <c r="AM66" s="561">
        <f>CHOOSE(uxb_works!$B$46,Scores_2014_O!AN66,Scores_2014_N!AM66,Scores_2017!AM66)</f>
        <v>100</v>
      </c>
      <c r="AN66" s="561">
        <f>CHOOSE(uxb_works!$B$46,Scores_2014_O!AO66,Scores_2014_N!AN66,Scores_2017!AN66)</f>
        <v>25</v>
      </c>
      <c r="AO66" s="561">
        <f>CHOOSE(uxb_works!$B$46,Scores_2014_O!AP66,Scores_2014_N!AO66,Scores_2017!AO66)</f>
        <v>100</v>
      </c>
      <c r="AP66" s="561">
        <f>CHOOSE(uxb_works!$B$46,Scores_2014_O!AQ66,Scores_2014_N!AP66,Scores_2017!AP66)</f>
        <v>75</v>
      </c>
      <c r="AQ66" s="561">
        <f>CHOOSE(uxb_works!$B$46,Scores_2014_O!Y66,Scores_2014_N!AQ66,Scores_2017!AQ66)</f>
        <v>75</v>
      </c>
      <c r="AR66" s="561">
        <f>CHOOSE(uxb_works!$B$46,Scores_2014_O!AR66,Scores_2014_N!AR66,Scores_2017!AR66)</f>
        <v>100</v>
      </c>
      <c r="AS66" s="561">
        <f>CHOOSE(uxb_works!$B$46,Scores_2014_O!AS66,Scores_2014_N!AS66,Scores_2017!AS66)</f>
        <v>100</v>
      </c>
      <c r="AT66" s="561">
        <f>CHOOSE(uxb_works!$B$46,Scores_2014_O!AT66,Scores_2014_N!AT66,Scores_2017!AT66)</f>
        <v>100</v>
      </c>
      <c r="AU66" s="561">
        <f>CHOOSE(uxb_works!$B$46,Scores_2014_O!AU66,Scores_2014_N!AU66,Scores_2017!AU66)</f>
        <v>75</v>
      </c>
      <c r="AV66" s="561">
        <f>CHOOSE(uxb_works!$B$46,Scores_2014_O!AV66,Scores_2014_N!AV66,Scores_2017!AV66)</f>
        <v>100</v>
      </c>
      <c r="AW66" s="561">
        <f>CHOOSE(uxb_works!$B$46,Scores_2014_O!AW66,Scores_2014_N!AW66,Scores_2017!AW66)</f>
        <v>100</v>
      </c>
      <c r="AX66" s="561">
        <f>CHOOSE(uxb_works!$B$46,Scores_2014_O!AX66,Scores_2014_N!AX66,Scores_2017!AX66)</f>
        <v>100</v>
      </c>
      <c r="AY66" s="561">
        <f>CHOOSE(uxb_works!$B$46,Scores_2014_O!AY66,Scores_2014_N!AY66,Scores_2017!AY66)</f>
        <v>50</v>
      </c>
      <c r="AZ66" s="561">
        <f>CHOOSE(uxb_works!$B$46,Scores_2014_O!AZ66,Scores_2014_N!AZ66,Scores_2017!AZ66)</f>
        <v>75</v>
      </c>
      <c r="BA66" s="561">
        <f>CHOOSE(uxb_works!$B$46,Scores_2014_O!BA66,Scores_2014_N!BA66,Scores_2017!BA66)</f>
        <v>100</v>
      </c>
      <c r="BB66" s="561">
        <f>CHOOSE(uxb_works!$B$46,Scores_2014_O!BB66,Scores_2014_N!BB66,Scores_2017!BB66)</f>
        <v>100</v>
      </c>
      <c r="BC66" s="561">
        <f>CHOOSE(uxb_works!$B$46,Scores_2014_O!BC66,Scores_2014_N!BC66,Scores_2017!BC66)</f>
        <v>100</v>
      </c>
      <c r="BD66" s="561">
        <f>CHOOSE(uxb_works!$B$46,Scores_2014_O!BD66,Scores_2014_N!BD66,Scores_2017!BD66)</f>
        <v>100</v>
      </c>
      <c r="BE66" s="561">
        <f>CHOOSE(uxb_works!$B$46,Scores_2014_O!BE66,Scores_2014_N!BE66,Scores_2017!BE66)</f>
        <v>100</v>
      </c>
      <c r="BF66" s="561">
        <f>CHOOSE(uxb_works!$B$46,Scores_2014_O!BF66,Scores_2014_N!BF66,Scores_2017!BF66)</f>
        <v>75</v>
      </c>
      <c r="BG66" s="561">
        <f>CHOOSE(uxb_works!$B$46,Scores_2014_O!BG66,Scores_2014_N!BG66,Scores_2017!BG66)</f>
        <v>100</v>
      </c>
      <c r="BH66" s="561">
        <f>CHOOSE(uxb_works!$B$46,Scores_2014_O!BH66,Scores_2014_N!BH66,Scores_2017!BH66)</f>
        <v>100</v>
      </c>
      <c r="BI66" s="561">
        <f>CHOOSE(uxb_works!$B$46,Scores_2014_O!BI66,Scores_2014_N!BI66,Scores_2017!BI66)</f>
        <v>100</v>
      </c>
      <c r="BJ66" s="561">
        <f>CHOOSE(uxb_works!$B$46,Scores_2014_O!BJ66,Scores_2014_N!BJ66,Scores_2017!BJ66)</f>
        <v>100</v>
      </c>
      <c r="BK66" s="561">
        <f>CHOOSE(uxb_works!$B$46,Scores_2014_O!BK66,Scores_2014_N!BK66,Scores_2017!BK66)</f>
        <v>50</v>
      </c>
      <c r="BL66" s="561">
        <f>CHOOSE(uxb_works!$B$46,Scores_2014_O!BL66,Scores_2014_N!BL66,Scores_2017!BL66)</f>
        <v>75</v>
      </c>
      <c r="BM66" s="561">
        <f>CHOOSE(uxb_works!$B$46,Scores_2014_O!BM66,Scores_2014_N!BM66,Scores_2017!BM66)</f>
        <v>100</v>
      </c>
      <c r="BN66" s="561">
        <f>CHOOSE(uxb_works!$B$46,Scores_2014_O!BN66,Scores_2014_N!BN66,Scores_2017!BN66)</f>
        <v>100</v>
      </c>
      <c r="BO66" s="561">
        <f>CHOOSE(uxb_works!$B$46,Scores_2014_O!BO66,Scores_2014_N!BO66,Scores_2017!BO66)</f>
        <v>100</v>
      </c>
      <c r="BP66" s="561">
        <f>CHOOSE(uxb_works!$B$46,Scores_2014_O!BP66,Scores_2014_N!BP66,Scores_2017!BP66)</f>
        <v>100</v>
      </c>
      <c r="BQ66" s="561">
        <f>CHOOSE(uxb_works!$B$46,Scores_2014_O!BQ66,Scores_2014_N!BQ66,Scores_2017!BQ66)</f>
        <v>75</v>
      </c>
      <c r="BR66" s="561">
        <f>CHOOSE(uxb_works!$B$46,Scores_2014_O!BR66,Scores_2014_N!BR66,Scores_2017!BR66)</f>
        <v>100</v>
      </c>
      <c r="BS66" s="561">
        <f>CHOOSE(uxb_works!$B$46,Scores_2014_O!BS66,Scores_2014_N!BS66,Scores_2017!BS66)</f>
        <v>100</v>
      </c>
      <c r="BT66" s="561">
        <f>CHOOSE(uxb_works!$B$46,Scores_2014_O!BT66,Scores_2014_N!BT66,Scores_2017!BT66)</f>
        <v>100</v>
      </c>
      <c r="BU66" s="561">
        <f>CHOOSE(uxb_works!$B$46,Scores_2014_O!BU66,Scores_2014_N!BU66,Scores_2017!BU66)</f>
        <v>100</v>
      </c>
      <c r="BV66" s="561">
        <f>CHOOSE(uxb_works!$B$46,Scores_2014_O!BV66,Scores_2014_N!BV66,Scores_2017!BV66)</f>
        <v>75</v>
      </c>
      <c r="BW66" s="561">
        <f>CHOOSE(uxb_works!$B$46,Scores_2014_O!BW66,Scores_2014_N!BW66,Scores_2017!BW66)</f>
        <v>100</v>
      </c>
      <c r="BX66" s="561">
        <f>CHOOSE(uxb_works!$B$46,Scores_2014_O!BX66,Scores_2014_N!BX66,Scores_2017!BX66)</f>
        <v>100</v>
      </c>
      <c r="BY66"/>
      <c r="BZ66" s="214"/>
      <c r="CA66" s="214"/>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row>
    <row r="67" s="69" customFormat="1" ht="24.95" customHeight="1" spans="1:130">
      <c r="A67"/>
      <c r="B67" s="92">
        <f>tblIndicators!A63</f>
        <v>62</v>
      </c>
      <c r="C67" s="92"/>
      <c r="D67" s="92"/>
      <c r="E67" s="92"/>
      <c r="F67" s="92">
        <f>CHOOSE(uxb_works!$B$46,Scores_2014_O!F67,Scores_2014_N!F67,Scores_2017!F67)</f>
        <v>3</v>
      </c>
      <c r="G67" s="92"/>
      <c r="H67" s="92"/>
      <c r="I67" s="104"/>
      <c r="J67" s="92"/>
      <c r="K67" s="92"/>
      <c r="L67" s="165"/>
      <c r="M67" s="92"/>
      <c r="N67" s="105" t="str">
        <f>REPT(" ",F67)&amp;CHOOSE(uxb_works!$B$46,Scores_2014_O!N67,Scores_2014_N!N67,Scores_2017!N67)</f>
        <v>      4.2.12) Threat of civil unrest</v>
      </c>
      <c r="O67" s="556">
        <f>CHOOSE(uxb_works!$B$46,Scores_2014_O!O67,Scores_2014_N!O67,Scores_2017!O67)</f>
        <v>0.0833333333333333</v>
      </c>
      <c r="P67" s="557">
        <f>CHOOSE(uxb_works!$B$46,Scores_2014_O!P67,Scores_2014_N!P67,Scores_2017!P67)</f>
        <v>75</v>
      </c>
      <c r="Q67" s="561">
        <f>CHOOSE(uxb_works!$B$46,Scores_2014_O!Q67,Scores_2014_N!Q67,Scores_2017!Q67)</f>
        <v>75</v>
      </c>
      <c r="R67" s="561">
        <f>CHOOSE(uxb_works!$B$46,Scores_2014_O!R67,Scores_2014_N!R67,Scores_2017!R67)</f>
        <v>50</v>
      </c>
      <c r="S67" s="561">
        <f>CHOOSE(uxb_works!$B$46,Scores_2014_O!S67,Scores_2014_N!S67,Scores_2017!S67)</f>
        <v>25</v>
      </c>
      <c r="T67" s="561">
        <f>CHOOSE(uxb_works!$B$46,Scores_2014_O!T67,Scores_2014_N!T67,Scores_2017!T67)</f>
        <v>75</v>
      </c>
      <c r="U67" s="561">
        <f>CHOOSE(uxb_works!$B$46,Scores_2014_O!U67,Scores_2014_N!U67,Scores_2017!U67)</f>
        <v>75</v>
      </c>
      <c r="V67" s="561">
        <f>CHOOSE(uxb_works!$B$46,Scores_2014_O!V67,Scores_2014_N!V67,Scores_2017!V67)</f>
        <v>50</v>
      </c>
      <c r="W67" s="561">
        <f>CHOOSE(uxb_works!$B$46,Scores_2014_O!W67,Scores_2014_N!W67,Scores_2017!W67)</f>
        <v>100</v>
      </c>
      <c r="X67" s="561">
        <f>CHOOSE(uxb_works!$B$46,Scores_2014_O!X67,Scores_2014_N!X67,Scores_2017!X67)</f>
        <v>50</v>
      </c>
      <c r="Y67" s="561">
        <f>CHOOSE(uxb_works!$B$46,Scores_2014_O!Z67,Scores_2014_N!Y67,Scores_2017!Y67)</f>
        <v>25</v>
      </c>
      <c r="Z67" s="561">
        <f>CHOOSE(uxb_works!$B$46,Scores_2014_O!AA67,Scores_2014_N!Z67,Scores_2017!Z67)</f>
        <v>25</v>
      </c>
      <c r="AA67" s="561">
        <f>CHOOSE(uxb_works!$B$46,Scores_2014_O!AB67,Scores_2014_N!AA67,Scores_2017!AA67)</f>
        <v>50</v>
      </c>
      <c r="AB67" s="561">
        <f>CHOOSE(uxb_works!$B$46,Scores_2014_O!AC67,Scores_2014_N!AB67,Scores_2017!AB67)</f>
        <v>75</v>
      </c>
      <c r="AC67" s="561">
        <f>CHOOSE(uxb_works!$B$46,Scores_2014_O!AD67,Scores_2014_N!AC67,Scores_2017!AC67)</f>
        <v>75</v>
      </c>
      <c r="AD67" s="561">
        <f>CHOOSE(uxb_works!$B$46,Scores_2014_O!AE67,Scores_2014_N!AD67,Scores_2017!AD67)</f>
        <v>50</v>
      </c>
      <c r="AE67" s="561">
        <f>CHOOSE(uxb_works!$B$46,Scores_2014_O!AF67,Scores_2014_N!AE67,Scores_2017!AE67)</f>
        <v>50</v>
      </c>
      <c r="AF67" s="561">
        <f>CHOOSE(uxb_works!$B$46,Scores_2014_O!AG67,Scores_2014_N!AF67,Scores_2017!AF67)</f>
        <v>75</v>
      </c>
      <c r="AG67" s="561">
        <f>CHOOSE(uxb_works!$B$46,Scores_2014_O!AH67,Scores_2014_N!AG67,Scores_2017!AG67)</f>
        <v>75</v>
      </c>
      <c r="AH67" s="561">
        <f>CHOOSE(uxb_works!$B$46,Scores_2014_O!AI67,Scores_2014_N!AH67,Scores_2017!AH67)</f>
        <v>50</v>
      </c>
      <c r="AI67" s="561">
        <f>CHOOSE(uxb_works!$B$46,Scores_2014_O!AJ67,Scores_2014_N!AI67,Scores_2017!AI67)</f>
        <v>50</v>
      </c>
      <c r="AJ67" s="561">
        <f>CHOOSE(uxb_works!$B$46,Scores_2014_O!AK67,Scores_2014_N!AJ67,Scores_2017!AJ67)</f>
        <v>50</v>
      </c>
      <c r="AK67" s="561">
        <f>CHOOSE(uxb_works!$B$46,Scores_2014_O!AL67,Scores_2014_N!AK67,Scores_2017!AK67)</f>
        <v>25</v>
      </c>
      <c r="AL67" s="561">
        <f>CHOOSE(uxb_works!$B$46,Scores_2014_O!AM67,Scores_2014_N!AL67,Scores_2017!AL67)</f>
        <v>75</v>
      </c>
      <c r="AM67" s="561">
        <f>CHOOSE(uxb_works!$B$46,Scores_2014_O!AN67,Scores_2014_N!AM67,Scores_2017!AM67)</f>
        <v>75</v>
      </c>
      <c r="AN67" s="561">
        <f>CHOOSE(uxb_works!$B$46,Scores_2014_O!AO67,Scores_2014_N!AN67,Scores_2017!AN67)</f>
        <v>25</v>
      </c>
      <c r="AO67" s="561">
        <f>CHOOSE(uxb_works!$B$46,Scores_2014_O!AP67,Scores_2014_N!AO67,Scores_2017!AO67)</f>
        <v>100</v>
      </c>
      <c r="AP67" s="561">
        <f>CHOOSE(uxb_works!$B$46,Scores_2014_O!AQ67,Scores_2014_N!AP67,Scores_2017!AP67)</f>
        <v>75</v>
      </c>
      <c r="AQ67" s="561">
        <f>CHOOSE(uxb_works!$B$46,Scores_2014_O!Y67,Scores_2014_N!AQ67,Scores_2017!AQ67)</f>
        <v>50</v>
      </c>
      <c r="AR67" s="561">
        <f>CHOOSE(uxb_works!$B$46,Scores_2014_O!AR67,Scores_2014_N!AR67,Scores_2017!AR67)</f>
        <v>75</v>
      </c>
      <c r="AS67" s="561">
        <f>CHOOSE(uxb_works!$B$46,Scores_2014_O!AS67,Scores_2014_N!AS67,Scores_2017!AS67)</f>
        <v>50</v>
      </c>
      <c r="AT67" s="561">
        <f>CHOOSE(uxb_works!$B$46,Scores_2014_O!AT67,Scores_2014_N!AT67,Scores_2017!AT67)</f>
        <v>75</v>
      </c>
      <c r="AU67" s="561">
        <f>CHOOSE(uxb_works!$B$46,Scores_2014_O!AU67,Scores_2014_N!AU67,Scores_2017!AU67)</f>
        <v>50</v>
      </c>
      <c r="AV67" s="561">
        <f>CHOOSE(uxb_works!$B$46,Scores_2014_O!AV67,Scores_2014_N!AV67,Scores_2017!AV67)</f>
        <v>100</v>
      </c>
      <c r="AW67" s="561">
        <f>CHOOSE(uxb_works!$B$46,Scores_2014_O!AW67,Scores_2014_N!AW67,Scores_2017!AW67)</f>
        <v>50</v>
      </c>
      <c r="AX67" s="561">
        <f>CHOOSE(uxb_works!$B$46,Scores_2014_O!AX67,Scores_2014_N!AX67,Scores_2017!AX67)</f>
        <v>75</v>
      </c>
      <c r="AY67" s="561">
        <f>CHOOSE(uxb_works!$B$46,Scores_2014_O!AY67,Scores_2014_N!AY67,Scores_2017!AY67)</f>
        <v>50</v>
      </c>
      <c r="AZ67" s="561">
        <f>CHOOSE(uxb_works!$B$46,Scores_2014_O!AZ67,Scores_2014_N!AZ67,Scores_2017!AZ67)</f>
        <v>75</v>
      </c>
      <c r="BA67" s="561">
        <f>CHOOSE(uxb_works!$B$46,Scores_2014_O!BA67,Scores_2014_N!BA67,Scores_2017!BA67)</f>
        <v>50</v>
      </c>
      <c r="BB67" s="561">
        <f>CHOOSE(uxb_works!$B$46,Scores_2014_O!BB67,Scores_2014_N!BB67,Scores_2017!BB67)</f>
        <v>100</v>
      </c>
      <c r="BC67" s="561">
        <f>CHOOSE(uxb_works!$B$46,Scores_2014_O!BC67,Scores_2014_N!BC67,Scores_2017!BC67)</f>
        <v>75</v>
      </c>
      <c r="BD67" s="561">
        <f>CHOOSE(uxb_works!$B$46,Scores_2014_O!BD67,Scores_2014_N!BD67,Scores_2017!BD67)</f>
        <v>50</v>
      </c>
      <c r="BE67" s="561">
        <f>CHOOSE(uxb_works!$B$46,Scores_2014_O!BE67,Scores_2014_N!BE67,Scores_2017!BE67)</f>
        <v>50</v>
      </c>
      <c r="BF67" s="561">
        <f>CHOOSE(uxb_works!$B$46,Scores_2014_O!BF67,Scores_2014_N!BF67,Scores_2017!BF67)</f>
        <v>75</v>
      </c>
      <c r="BG67" s="561">
        <f>CHOOSE(uxb_works!$B$46,Scores_2014_O!BG67,Scores_2014_N!BG67,Scores_2017!BG67)</f>
        <v>75</v>
      </c>
      <c r="BH67" s="561">
        <f>CHOOSE(uxb_works!$B$46,Scores_2014_O!BH67,Scores_2014_N!BH67,Scores_2017!BH67)</f>
        <v>75</v>
      </c>
      <c r="BI67" s="561">
        <f>CHOOSE(uxb_works!$B$46,Scores_2014_O!BI67,Scores_2014_N!BI67,Scores_2017!BI67)</f>
        <v>75</v>
      </c>
      <c r="BJ67" s="561">
        <f>CHOOSE(uxb_works!$B$46,Scores_2014_O!BJ67,Scores_2014_N!BJ67,Scores_2017!BJ67)</f>
        <v>50</v>
      </c>
      <c r="BK67" s="561">
        <f>CHOOSE(uxb_works!$B$46,Scores_2014_O!BK67,Scores_2014_N!BK67,Scores_2017!BK67)</f>
        <v>75</v>
      </c>
      <c r="BL67" s="561">
        <f>CHOOSE(uxb_works!$B$46,Scores_2014_O!BL67,Scores_2014_N!BL67,Scores_2017!BL67)</f>
        <v>50</v>
      </c>
      <c r="BM67" s="561">
        <f>CHOOSE(uxb_works!$B$46,Scores_2014_O!BM67,Scores_2014_N!BM67,Scores_2017!BM67)</f>
        <v>100</v>
      </c>
      <c r="BN67" s="561">
        <f>CHOOSE(uxb_works!$B$46,Scores_2014_O!BN67,Scores_2014_N!BN67,Scores_2017!BN67)</f>
        <v>100</v>
      </c>
      <c r="BO67" s="561">
        <f>CHOOSE(uxb_works!$B$46,Scores_2014_O!BO67,Scores_2014_N!BO67,Scores_2017!BO67)</f>
        <v>100</v>
      </c>
      <c r="BP67" s="561">
        <f>CHOOSE(uxb_works!$B$46,Scores_2014_O!BP67,Scores_2014_N!BP67,Scores_2017!BP67)</f>
        <v>75</v>
      </c>
      <c r="BQ67" s="561">
        <f>CHOOSE(uxb_works!$B$46,Scores_2014_O!BQ67,Scores_2014_N!BQ67,Scores_2017!BQ67)</f>
        <v>75</v>
      </c>
      <c r="BR67" s="561">
        <f>CHOOSE(uxb_works!$B$46,Scores_2014_O!BR67,Scores_2014_N!BR67,Scores_2017!BR67)</f>
        <v>100</v>
      </c>
      <c r="BS67" s="561">
        <f>CHOOSE(uxb_works!$B$46,Scores_2014_O!BS67,Scores_2014_N!BS67,Scores_2017!BS67)</f>
        <v>100</v>
      </c>
      <c r="BT67" s="561">
        <f>CHOOSE(uxb_works!$B$46,Scores_2014_O!BT67,Scores_2014_N!BT67,Scores_2017!BT67)</f>
        <v>75</v>
      </c>
      <c r="BU67" s="561">
        <f>CHOOSE(uxb_works!$B$46,Scores_2014_O!BU67,Scores_2014_N!BU67,Scores_2017!BU67)</f>
        <v>100</v>
      </c>
      <c r="BV67" s="561">
        <f>CHOOSE(uxb_works!$B$46,Scores_2014_O!BV67,Scores_2014_N!BV67,Scores_2017!BV67)</f>
        <v>50</v>
      </c>
      <c r="BW67" s="561">
        <f>CHOOSE(uxb_works!$B$46,Scores_2014_O!BW67,Scores_2014_N!BW67,Scores_2017!BW67)</f>
        <v>100</v>
      </c>
      <c r="BX67" s="561">
        <f>CHOOSE(uxb_works!$B$46,Scores_2014_O!BX67,Scores_2014_N!BX67,Scores_2017!BX67)</f>
        <v>100</v>
      </c>
      <c r="BY67"/>
      <c r="BZ67" s="214"/>
      <c r="CA67" s="214"/>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row>
    <row r="68" s="69" customFormat="1" ht="24.95" customHeight="1" spans="1:130">
      <c r="A68"/>
      <c r="B68" s="92"/>
      <c r="C68" s="92"/>
      <c r="D68" s="92"/>
      <c r="E68" s="92"/>
      <c r="F68" s="92"/>
      <c r="G68" s="92"/>
      <c r="H68" s="92"/>
      <c r="I68" s="104"/>
      <c r="J68" s="92"/>
      <c r="K68" s="92"/>
      <c r="L68" s="165"/>
      <c r="M68" s="92"/>
      <c r="N68" s="105"/>
      <c r="O68" s="556"/>
      <c r="P68" s="557"/>
      <c r="Q68" s="561"/>
      <c r="R68" s="561"/>
      <c r="S68" s="561"/>
      <c r="T68" s="561"/>
      <c r="U68" s="561"/>
      <c r="V68" s="561"/>
      <c r="W68" s="561"/>
      <c r="X68" s="561"/>
      <c r="Y68" s="561"/>
      <c r="Z68" s="561"/>
      <c r="AA68" s="561"/>
      <c r="AB68" s="561"/>
      <c r="AC68" s="561"/>
      <c r="AD68" s="561"/>
      <c r="AE68" s="561"/>
      <c r="AF68" s="561"/>
      <c r="AG68" s="561"/>
      <c r="AH68" s="561"/>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c r="BM68" s="561"/>
      <c r="BN68" s="561"/>
      <c r="BO68" s="561"/>
      <c r="BP68" s="561"/>
      <c r="BQ68" s="561"/>
      <c r="BR68" s="561"/>
      <c r="BS68" s="561"/>
      <c r="BT68" s="561"/>
      <c r="BU68" s="561"/>
      <c r="BV68" s="561"/>
      <c r="BW68" s="561"/>
      <c r="BX68" s="561"/>
      <c r="BY68"/>
      <c r="BZ68" s="214"/>
      <c r="CA68" s="214"/>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row>
    <row r="69" s="68" customFormat="1" spans="1:130">
      <c r="A69"/>
      <c r="N6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row>
    <row r="70" s="68" customFormat="1" spans="1:130">
      <c r="A70"/>
      <c r="N70" s="110"/>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row>
    <row r="71" s="68" customFormat="1" spans="1:130">
      <c r="A71"/>
      <c r="N71" s="110"/>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row>
    <row r="72" s="68" customFormat="1" spans="1:130">
      <c r="A72"/>
      <c r="N72" s="110"/>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09"/>
      <c r="BV72" s="109"/>
      <c r="BW72" s="109"/>
      <c r="BX72" s="109"/>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row>
    <row r="73" s="68" customFormat="1" spans="1:130">
      <c r="A73"/>
      <c r="N73" s="110"/>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row>
    <row r="74" s="68" customFormat="1" spans="1:130">
      <c r="A74"/>
      <c r="N74" s="110"/>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09"/>
      <c r="BS74" s="109"/>
      <c r="BT74" s="109"/>
      <c r="BU74" s="109"/>
      <c r="BV74" s="109"/>
      <c r="BW74" s="109"/>
      <c r="BX74" s="109"/>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row>
    <row r="75" s="68" customFormat="1" spans="1:130">
      <c r="A75"/>
      <c r="N75" s="110"/>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row>
    <row r="76" s="68" customFormat="1" spans="1:130">
      <c r="A76"/>
      <c r="N76" s="110"/>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row>
    <row r="77" s="68" customFormat="1" spans="1:130">
      <c r="A77"/>
      <c r="N77" s="110"/>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row>
    <row r="78" s="68" customFormat="1" spans="1:130">
      <c r="A78"/>
      <c r="N78" s="110"/>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09"/>
      <c r="BS78" s="109"/>
      <c r="BT78" s="109"/>
      <c r="BU78" s="109"/>
      <c r="BV78" s="109"/>
      <c r="BW78" s="109"/>
      <c r="BX78" s="109"/>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row>
    <row r="79" s="68" customFormat="1" spans="1:130">
      <c r="A79"/>
      <c r="N79" s="110"/>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09"/>
      <c r="BS79" s="109"/>
      <c r="BT79" s="109"/>
      <c r="BU79" s="109"/>
      <c r="BV79" s="109"/>
      <c r="BW79" s="109"/>
      <c r="BX79" s="10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row>
    <row r="80" s="68" customFormat="1" spans="1:130">
      <c r="A80"/>
      <c r="N80" s="110"/>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row>
    <row r="81" s="68" customFormat="1" spans="1:130">
      <c r="A81"/>
      <c r="N81" s="110"/>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row>
    <row r="82" s="68" customFormat="1" spans="1:130">
      <c r="A82"/>
      <c r="N82" s="110"/>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row>
    <row r="83" s="68" customFormat="1" spans="1:130">
      <c r="A83"/>
      <c r="N83" s="110"/>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row>
    <row r="84" s="68" customFormat="1" spans="1:130">
      <c r="A84"/>
      <c r="N84" s="110"/>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row>
    <row r="85" s="68" customFormat="1" spans="1:130">
      <c r="A85"/>
      <c r="N85" s="110"/>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row>
    <row r="86" s="68" customFormat="1" spans="1:130">
      <c r="A86"/>
      <c r="N86" s="110"/>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row>
    <row r="87" s="68" customFormat="1" spans="1:130">
      <c r="A87"/>
      <c r="N87" s="110"/>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row>
  </sheetData>
  <sheetProtection password="A0BB" sheet="1" objects="1" scenarios="1"/>
  <conditionalFormatting sqref="BI5:BX5">
    <cfRule type="expression" dxfId="13" priority="1">
      <formula>AND(BI5&lt;&gt;0,BJ5=0)</formula>
    </cfRule>
  </conditionalFormatting>
  <conditionalFormatting sqref="O6:O68">
    <cfRule type="expression" dxfId="14" priority="7">
      <formula>$F6&gt;0</formula>
    </cfRule>
  </conditionalFormatting>
  <conditionalFormatting sqref="BJ1:BX3 BJ5:BX5 BX4">
    <cfRule type="expression" dxfId="15" priority="2">
      <formula>BJ$5=0</formula>
    </cfRule>
  </conditionalFormatting>
  <conditionalFormatting sqref="N6:BX68">
    <cfRule type="expression" dxfId="16" priority="5">
      <formula>AND($F6=3,$F7=0)</formula>
    </cfRule>
    <cfRule type="expression" dxfId="15" priority="6">
      <formula>$F6=0</formula>
    </cfRule>
    <cfRule type="expression" dxfId="17" priority="8">
      <formula>$F6=3</formula>
    </cfRule>
    <cfRule type="expression" dxfId="18" priority="9">
      <formula>$F6=2</formula>
    </cfRule>
    <cfRule type="expression" dxfId="19" priority="10">
      <formula>$F6=1</formula>
    </cfRule>
    <cfRule type="expression" dxfId="20" priority="11">
      <formula>$F6=5</formula>
    </cfRule>
  </conditionalFormatting>
  <conditionalFormatting sqref="P6:BX68">
    <cfRule type="expression" dxfId="13" priority="4">
      <formula>AND(P$5&lt;&gt;0,Q$5=0,$F6&lt;&gt;0)</formula>
    </cfRule>
    <cfRule type="expression" dxfId="15" priority="3">
      <formula>P$5=0</formula>
    </cfRule>
  </conditionalFormatting>
  <pageMargins left="0.551181102362205" right="0.551181102362205" top="0.590551181102362" bottom="0.78740157480315" header="0.511811023622047" footer="0.511811023622047"/>
  <pageSetup paperSize="9" scale="12" orientation="landscape" horizontalDpi="1200" verticalDpi="1200"/>
  <headerFooter alignWithMargins="0">
    <oddHeader>&amp;RSafe Cities Index : 2017</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3407234" name="Drop Down 2" r:id="rId3">
              <controlPr print="0" defaultSize="0">
                <anchor>
                  <from>
                    <xdr:col>0</xdr:col>
                    <xdr:colOff>107950</xdr:colOff>
                    <xdr:row>2</xdr:row>
                    <xdr:rowOff>589280</xdr:rowOff>
                  </from>
                  <to>
                    <xdr:col>13</xdr:col>
                    <xdr:colOff>1410970</xdr:colOff>
                    <xdr:row>2</xdr:row>
                    <xdr:rowOff>808990</xdr:rowOff>
                  </to>
                </anchor>
              </controlPr>
            </control>
          </mc:Choice>
        </mc:AlternateContent>
        <mc:AlternateContent xmlns:mc="http://schemas.openxmlformats.org/markup-compatibility/2006">
          <mc:Choice Requires="x14">
            <control shapeId="13407233" name="SELECTION" r:id="rId4">
              <controlPr print="0" defaultSize="0">
                <anchor>
                  <from>
                    <xdr:col>21</xdr:col>
                    <xdr:colOff>235585</xdr:colOff>
                    <xdr:row>2</xdr:row>
                    <xdr:rowOff>601345</xdr:rowOff>
                  </from>
                  <to>
                    <xdr:col>23</xdr:col>
                    <xdr:colOff>18415</xdr:colOff>
                    <xdr:row>2</xdr:row>
                    <xdr:rowOff>828675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pageSetUpPr fitToPage="1" autoPageBreaks="0"/>
  </sheetPr>
  <dimension ref="A1:CA120"/>
  <sheetViews>
    <sheetView showGridLines="0" showRowColHeaders="0" zoomScale="90" zoomScaleNormal="90" workbookViewId="0">
      <pane ySplit="3" topLeftCell="A21" activePane="bottomLeft" state="frozen"/>
      <selection/>
      <selection pane="bottomLeft" activeCell="A1" sqref="A1"/>
    </sheetView>
  </sheetViews>
  <sheetFormatPr defaultColWidth="43.7142857142857" defaultRowHeight="15"/>
  <cols>
    <col min="1" max="1" width="1.71428571428571" style="68" customWidth="1"/>
    <col min="2" max="2" width="4.14285714285714" style="429" hidden="1" customWidth="1"/>
    <col min="3" max="3" width="53.8571428571429" style="68" customWidth="1"/>
    <col min="4" max="4" width="10.7142857142857" style="68" customWidth="1"/>
    <col min="5" max="5" width="9.42857142857143" style="68" customWidth="1"/>
    <col min="6" max="6" width="2" style="423" customWidth="1"/>
    <col min="7" max="7" width="53.8571428571429" style="68" customWidth="1"/>
    <col min="8" max="8" width="10.7142857142857" style="68" customWidth="1"/>
    <col min="9" max="9" width="9.42857142857143" style="68" customWidth="1"/>
    <col min="10" max="10" width="3" style="68" hidden="1" customWidth="1"/>
    <col min="11" max="11" width="53.8571428571429" style="68" customWidth="1"/>
    <col min="12" max="12" width="10.7142857142857" style="108" customWidth="1"/>
    <col min="13" max="13" width="2.28571428571429" style="108" customWidth="1"/>
    <col min="14" max="14" width="1.85714285714286" style="68" customWidth="1"/>
    <col min="15" max="16" width="7.85714285714286" style="68" customWidth="1"/>
    <col min="17" max="20" width="5.71428571428571" style="68" customWidth="1"/>
    <col min="21" max="52" width="5.71428571428571" style="68" hidden="1" customWidth="1"/>
    <col min="53" max="425" width="5.71428571428571" style="68" customWidth="1"/>
    <col min="426" max="16384" width="43.7142857142857" style="68"/>
  </cols>
  <sheetData>
    <row r="1" s="64" customFormat="1" ht="29.1" customHeight="1" spans="2:54">
      <c r="B1" s="121" t="str">
        <f>uxb_works!B90</f>
        <v>Safe Cities Index: 2017</v>
      </c>
      <c r="C1" s="79" t="str">
        <f>uxb_works!B90</f>
        <v>Safe Cities Index: 2017</v>
      </c>
      <c r="F1" s="77"/>
      <c r="M1" s="65"/>
      <c r="P1" s="93"/>
      <c r="R1" s="65"/>
      <c r="S1" s="65"/>
      <c r="V1" s="65"/>
      <c r="BA1" s="77">
        <v>3</v>
      </c>
      <c r="BB1" s="77">
        <v>0</v>
      </c>
    </row>
    <row r="2" s="64" customFormat="1" ht="29.1" customHeight="1" spans="1:54">
      <c r="A2" s="354"/>
      <c r="B2" s="93"/>
      <c r="C2" s="93"/>
      <c r="D2" s="93"/>
      <c r="E2" s="93"/>
      <c r="F2" s="498"/>
      <c r="G2" s="93"/>
      <c r="H2" s="93"/>
      <c r="I2" s="93"/>
      <c r="J2" s="93"/>
      <c r="K2" s="93"/>
      <c r="L2" s="93"/>
      <c r="M2" s="65"/>
      <c r="P2" s="93"/>
      <c r="R2" s="65"/>
      <c r="S2" s="65"/>
      <c r="V2" s="65"/>
      <c r="BA2" s="77">
        <v>2</v>
      </c>
      <c r="BB2" s="77">
        <v>0</v>
      </c>
    </row>
    <row r="3" s="65" customFormat="1" ht="71.1" customHeight="1" spans="1:16">
      <c r="A3" s="306"/>
      <c r="B3" s="306"/>
      <c r="C3" s="306"/>
      <c r="D3" s="306"/>
      <c r="E3" s="306"/>
      <c r="F3" s="436"/>
      <c r="G3" s="306"/>
      <c r="H3" s="306"/>
      <c r="I3" s="306"/>
      <c r="J3" s="306"/>
      <c r="K3" s="306"/>
      <c r="L3" s="306"/>
      <c r="P3" s="306"/>
    </row>
    <row r="4" ht="42.75" customHeight="1" spans="3:4">
      <c r="C4" s="499" t="str">
        <f ca="1">UPPER(uxb_works!C24)&amp;": "&amp;uxb_works!C46</f>
        <v>ABU DHABI: 2017</v>
      </c>
      <c r="D4" s="500" t="s">
        <v>22</v>
      </c>
    </row>
    <row r="5" s="424" customFormat="1" ht="31.5" customHeight="1" spans="2:13">
      <c r="B5" s="493"/>
      <c r="C5" s="501"/>
      <c r="D5" s="502" t="str">
        <f>iCityP!H6</f>
        <v>Rank / 60</v>
      </c>
      <c r="E5" s="503" t="str">
        <f>iCityP!I6</f>
        <v>Score  / 100</v>
      </c>
      <c r="F5" s="504"/>
      <c r="G5" s="505"/>
      <c r="H5" s="505"/>
      <c r="L5" s="528"/>
      <c r="M5" s="528"/>
    </row>
    <row r="6" s="497" customFormat="1" ht="15.75" spans="2:13">
      <c r="B6" s="506">
        <v>1</v>
      </c>
      <c r="C6" s="507" t="str">
        <f>iCityP!E8</f>
        <v>OVERALL SCORE</v>
      </c>
      <c r="D6" s="508">
        <f ca="1">iCityP!H8</f>
        <v>28</v>
      </c>
      <c r="E6" s="509">
        <f>iCityP!I8</f>
        <v>76.9075622869516</v>
      </c>
      <c r="F6" s="510"/>
      <c r="G6" s="511"/>
      <c r="H6" s="511"/>
      <c r="L6" s="529"/>
      <c r="M6" s="529"/>
    </row>
    <row r="7" s="497" customFormat="1" ht="15.75" spans="2:13">
      <c r="B7" s="506">
        <v>1</v>
      </c>
      <c r="C7" s="512" t="str">
        <f>iCityP!E9</f>
        <v>1) DIGITAL SECURITY</v>
      </c>
      <c r="D7" s="513">
        <f ca="1">iCityP!H9</f>
        <v>28</v>
      </c>
      <c r="E7" s="514">
        <f>iCityP!I9</f>
        <v>68.7742107919604</v>
      </c>
      <c r="F7" s="515"/>
      <c r="G7" s="516"/>
      <c r="H7" s="516"/>
      <c r="I7" s="516"/>
      <c r="J7" s="516"/>
      <c r="K7" s="516"/>
      <c r="L7" s="530"/>
      <c r="M7" s="530"/>
    </row>
    <row r="8" s="497" customFormat="1" ht="15.75" spans="2:13">
      <c r="B8" s="506">
        <v>1</v>
      </c>
      <c r="C8" s="512" t="str">
        <f>iCityP!E10</f>
        <v>2) HEALTH SECURITY</v>
      </c>
      <c r="D8" s="513">
        <f ca="1">iCityP!H10</f>
        <v>33</v>
      </c>
      <c r="E8" s="514">
        <f>iCityP!I10</f>
        <v>68.5404322865189</v>
      </c>
      <c r="F8" s="515"/>
      <c r="G8" s="516"/>
      <c r="H8" s="516"/>
      <c r="I8" s="516"/>
      <c r="J8" s="516"/>
      <c r="K8" s="516"/>
      <c r="L8" s="530"/>
      <c r="M8" s="530"/>
    </row>
    <row r="9" s="497" customFormat="1" ht="15.75" spans="2:13">
      <c r="B9" s="506">
        <v>1</v>
      </c>
      <c r="C9" s="512" t="str">
        <f>iCityP!E11</f>
        <v>3) INFRASTRUCTURE SECURITY</v>
      </c>
      <c r="D9" s="513">
        <f ca="1">iCityP!H11</f>
        <v>16</v>
      </c>
      <c r="E9" s="514">
        <f>iCityP!I11</f>
        <v>91.3641602398045</v>
      </c>
      <c r="F9" s="515"/>
      <c r="G9" s="516"/>
      <c r="H9" s="516"/>
      <c r="I9" s="516"/>
      <c r="J9" s="516"/>
      <c r="K9" s="516"/>
      <c r="L9" s="530"/>
      <c r="M9" s="530"/>
    </row>
    <row r="10" s="424" customFormat="1" ht="15.75" spans="1:79">
      <c r="A10" s="497"/>
      <c r="B10" s="506">
        <v>1</v>
      </c>
      <c r="C10" s="512" t="str">
        <f>iCityP!E12</f>
        <v>4) PERSONAL SECURITY</v>
      </c>
      <c r="D10" s="513">
        <f ca="1">iCityP!H12</f>
        <v>29</v>
      </c>
      <c r="E10" s="514">
        <f>iCityP!I12</f>
        <v>78.9514458295227</v>
      </c>
      <c r="F10" s="515"/>
      <c r="G10" s="516"/>
      <c r="H10" s="517"/>
      <c r="I10" s="517"/>
      <c r="J10" s="517"/>
      <c r="K10" s="517"/>
      <c r="L10" s="531"/>
      <c r="M10" s="531"/>
      <c r="BZ10" s="497"/>
      <c r="CA10" s="497"/>
    </row>
    <row r="11" customFormat="1" ht="15.75" spans="6:79">
      <c r="F11" s="423"/>
      <c r="M11" s="381"/>
      <c r="BZ11" s="497"/>
      <c r="CA11" s="497"/>
    </row>
    <row r="12" customFormat="1" ht="15.75" spans="6:79">
      <c r="F12" s="423"/>
      <c r="M12" s="381"/>
      <c r="BZ12" s="497"/>
      <c r="CA12" s="497"/>
    </row>
    <row r="13" customFormat="1" ht="15.75" spans="6:79">
      <c r="F13" s="423"/>
      <c r="M13" s="381"/>
      <c r="BZ13" s="497"/>
      <c r="CA13" s="497"/>
    </row>
    <row r="14" customFormat="1" ht="15.75" spans="6:79">
      <c r="F14" s="423"/>
      <c r="M14" s="381"/>
      <c r="BZ14" s="497"/>
      <c r="CA14" s="497"/>
    </row>
    <row r="15" s="424" customFormat="1" ht="15.75" spans="1:79">
      <c r="A15" s="490"/>
      <c r="B15" s="68"/>
      <c r="C15" s="68"/>
      <c r="D15" s="68"/>
      <c r="E15" s="68"/>
      <c r="F15" s="423"/>
      <c r="G15" s="68"/>
      <c r="H15" s="517"/>
      <c r="I15" s="517"/>
      <c r="J15" s="517"/>
      <c r="K15" s="517"/>
      <c r="L15" s="531"/>
      <c r="M15" s="531"/>
      <c r="BZ15" s="497"/>
      <c r="CA15" s="497"/>
    </row>
    <row r="16" s="424" customFormat="1" ht="15.75" hidden="1" spans="1:79">
      <c r="A16" s="490"/>
      <c r="B16" s="68"/>
      <c r="C16" s="68"/>
      <c r="D16" s="68"/>
      <c r="E16" s="68"/>
      <c r="F16" s="423"/>
      <c r="G16" s="68"/>
      <c r="H16" s="517"/>
      <c r="I16" s="517"/>
      <c r="J16" s="517"/>
      <c r="K16" s="517"/>
      <c r="L16" s="531"/>
      <c r="M16" s="531"/>
      <c r="BZ16" s="497"/>
      <c r="CA16" s="497"/>
    </row>
    <row r="17" s="424" customFormat="1" ht="15.75" hidden="1" spans="1:79">
      <c r="A17" s="490"/>
      <c r="B17" s="68"/>
      <c r="C17" s="68"/>
      <c r="D17" s="68"/>
      <c r="E17" s="68"/>
      <c r="F17" s="423"/>
      <c r="G17" s="68"/>
      <c r="H17" s="517"/>
      <c r="I17" s="517"/>
      <c r="J17" s="517"/>
      <c r="K17" s="517"/>
      <c r="L17" s="531"/>
      <c r="M17" s="531"/>
      <c r="BZ17" s="497"/>
      <c r="CA17" s="497"/>
    </row>
    <row r="18" s="424" customFormat="1" ht="24" customHeight="1" spans="1:79">
      <c r="A18" s="490"/>
      <c r="B18" s="68"/>
      <c r="C18" s="68"/>
      <c r="D18" s="68"/>
      <c r="E18" s="68"/>
      <c r="F18" s="423"/>
      <c r="G18" s="68"/>
      <c r="H18" s="517"/>
      <c r="I18" s="517"/>
      <c r="J18" s="517"/>
      <c r="K18" s="517"/>
      <c r="L18" s="531"/>
      <c r="M18" s="531"/>
      <c r="BZ18" s="497"/>
      <c r="CA18" s="497"/>
    </row>
    <row r="19" s="424" customFormat="1" ht="15.75" spans="1:79">
      <c r="A19" s="490"/>
      <c r="B19" s="68"/>
      <c r="C19" s="68"/>
      <c r="D19" s="68"/>
      <c r="E19" s="68"/>
      <c r="F19" s="423"/>
      <c r="G19" s="68"/>
      <c r="H19" s="517"/>
      <c r="I19" s="517"/>
      <c r="J19" s="517"/>
      <c r="K19" s="517"/>
      <c r="L19" s="531"/>
      <c r="M19" s="531"/>
      <c r="BZ19" s="497"/>
      <c r="CA19" s="497"/>
    </row>
    <row r="20" s="424" customFormat="1" ht="15.75" spans="1:79">
      <c r="A20" s="490"/>
      <c r="B20" s="68"/>
      <c r="C20" s="68"/>
      <c r="D20" s="68"/>
      <c r="E20" s="68"/>
      <c r="F20" s="423"/>
      <c r="G20" s="68"/>
      <c r="H20" s="517"/>
      <c r="I20" s="517"/>
      <c r="J20" s="517"/>
      <c r="K20" s="517"/>
      <c r="L20" s="531"/>
      <c r="M20" s="531"/>
      <c r="BZ20" s="497"/>
      <c r="CA20" s="497"/>
    </row>
    <row r="21" s="424" customFormat="1" ht="3.75" customHeight="1" spans="1:79">
      <c r="A21" s="490"/>
      <c r="B21" s="518"/>
      <c r="D21" s="492"/>
      <c r="E21" s="492"/>
      <c r="F21" s="490"/>
      <c r="G21" s="517"/>
      <c r="H21" s="517"/>
      <c r="I21" s="517"/>
      <c r="J21" s="517"/>
      <c r="K21" s="517"/>
      <c r="L21" s="531"/>
      <c r="M21" s="531"/>
      <c r="BZ21" s="497"/>
      <c r="CA21" s="497"/>
    </row>
    <row r="22" s="424" customFormat="1" ht="15.75" hidden="1" spans="1:79">
      <c r="A22" s="490"/>
      <c r="B22" s="493"/>
      <c r="F22" s="490"/>
      <c r="G22" s="517"/>
      <c r="H22" s="517"/>
      <c r="I22" s="517"/>
      <c r="J22" s="517"/>
      <c r="K22" s="517"/>
      <c r="L22" s="531"/>
      <c r="M22" s="531"/>
      <c r="BZ22" s="497"/>
      <c r="CA22" s="497"/>
    </row>
    <row r="23" s="424" customFormat="1" ht="15.75" hidden="1" spans="1:79">
      <c r="A23" s="490"/>
      <c r="B23" s="493"/>
      <c r="F23" s="490"/>
      <c r="G23" s="517"/>
      <c r="H23" s="517"/>
      <c r="I23" s="517"/>
      <c r="J23" s="517"/>
      <c r="K23" s="517"/>
      <c r="L23" s="531"/>
      <c r="M23" s="531"/>
      <c r="BZ23" s="497"/>
      <c r="CA23" s="497"/>
    </row>
    <row r="24" s="424" customFormat="1" ht="15.75" hidden="1" spans="1:79">
      <c r="A24" s="490"/>
      <c r="B24" s="493"/>
      <c r="F24" s="490"/>
      <c r="G24" s="517"/>
      <c r="H24" s="517"/>
      <c r="I24" s="517"/>
      <c r="J24" s="517"/>
      <c r="K24" s="517"/>
      <c r="L24" s="531"/>
      <c r="M24" s="531"/>
      <c r="BZ24" s="497"/>
      <c r="CA24" s="497"/>
    </row>
    <row r="25" s="424" customFormat="1" ht="15.75" hidden="1" spans="1:79">
      <c r="A25" s="490"/>
      <c r="B25" s="493"/>
      <c r="F25" s="490"/>
      <c r="G25" s="517"/>
      <c r="H25" s="517"/>
      <c r="I25" s="517"/>
      <c r="J25" s="517"/>
      <c r="K25" s="517"/>
      <c r="L25" s="531"/>
      <c r="M25" s="531"/>
      <c r="BZ25" s="497"/>
      <c r="CA25" s="497"/>
    </row>
    <row r="26" s="424" customFormat="1" ht="15.75" hidden="1" spans="1:79">
      <c r="A26" s="490"/>
      <c r="B26" s="493"/>
      <c r="F26" s="490"/>
      <c r="G26" s="517"/>
      <c r="H26" s="517"/>
      <c r="I26" s="517"/>
      <c r="J26" s="517"/>
      <c r="K26" s="517"/>
      <c r="L26" s="531"/>
      <c r="M26" s="531"/>
      <c r="BZ26" s="497"/>
      <c r="CA26" s="497"/>
    </row>
    <row r="27" s="424" customFormat="1" ht="15.75" hidden="1" spans="1:79">
      <c r="A27" s="490"/>
      <c r="B27" s="493"/>
      <c r="F27" s="490"/>
      <c r="G27" s="517"/>
      <c r="H27" s="517"/>
      <c r="I27" s="517"/>
      <c r="J27" s="517"/>
      <c r="K27" s="517"/>
      <c r="L27" s="531"/>
      <c r="M27" s="531"/>
      <c r="BZ27" s="497"/>
      <c r="CA27" s="497"/>
    </row>
    <row r="28" s="424" customFormat="1" ht="15.75" hidden="1" spans="2:79">
      <c r="B28" s="493"/>
      <c r="D28" s="519"/>
      <c r="F28" s="490"/>
      <c r="L28" s="528"/>
      <c r="M28" s="528"/>
      <c r="BZ28" s="497"/>
      <c r="CA28" s="497"/>
    </row>
    <row r="29" s="424" customFormat="1" ht="15.75" hidden="1" spans="2:79">
      <c r="B29" s="493"/>
      <c r="C29" s="520"/>
      <c r="F29" s="490"/>
      <c r="L29" s="528"/>
      <c r="M29" s="528"/>
      <c r="BZ29" s="497"/>
      <c r="CA29" s="497"/>
    </row>
    <row r="30" s="424" customFormat="1" ht="15.75" hidden="1" spans="2:79">
      <c r="B30" s="493"/>
      <c r="C30" s="521"/>
      <c r="F30" s="490"/>
      <c r="L30" s="528"/>
      <c r="M30" s="528"/>
      <c r="BZ30" s="497"/>
      <c r="CA30" s="497"/>
    </row>
    <row r="31" s="424" customFormat="1" ht="15.75" spans="2:79">
      <c r="B31" s="493"/>
      <c r="C31" s="520"/>
      <c r="F31" s="490"/>
      <c r="L31" s="528"/>
      <c r="M31" s="528"/>
      <c r="BZ31" s="497"/>
      <c r="CA31" s="497"/>
    </row>
    <row r="32" s="424" customFormat="1" ht="15.75" spans="2:79">
      <c r="B32" s="493"/>
      <c r="F32" s="490"/>
      <c r="L32" s="528"/>
      <c r="M32" s="528"/>
      <c r="BZ32" s="497"/>
      <c r="CA32" s="497"/>
    </row>
    <row r="33" s="424" customFormat="1" ht="15.75" customHeight="1" spans="2:79">
      <c r="B33" s="493"/>
      <c r="C33" s="522" t="str">
        <f>iCityP!T16</f>
        <v>Higher Band (scores &gt;=75)</v>
      </c>
      <c r="D33" s="522"/>
      <c r="E33" s="497"/>
      <c r="F33" s="515"/>
      <c r="G33" s="523" t="str">
        <f>iCityP!V16</f>
        <v>Modest Band (scores 25-75)</v>
      </c>
      <c r="H33" s="523"/>
      <c r="I33" s="497"/>
      <c r="J33" s="497"/>
      <c r="K33" s="532" t="str">
        <f>iCityP!X16</f>
        <v>Lower Band (scores &lt;=25)</v>
      </c>
      <c r="L33" s="532"/>
      <c r="M33" s="528"/>
      <c r="O33" s="533"/>
      <c r="BZ33" s="497"/>
      <c r="CA33" s="497"/>
    </row>
    <row r="34" s="424" customFormat="1" ht="15.75" spans="2:79">
      <c r="B34" s="493"/>
      <c r="C34" s="522"/>
      <c r="D34" s="522"/>
      <c r="E34" s="497"/>
      <c r="F34" s="515"/>
      <c r="G34" s="523"/>
      <c r="H34" s="523"/>
      <c r="I34" s="497"/>
      <c r="J34" s="497"/>
      <c r="K34" s="532"/>
      <c r="L34" s="532"/>
      <c r="M34" s="528"/>
      <c r="O34" s="533"/>
      <c r="BZ34" s="497"/>
      <c r="CA34" s="497"/>
    </row>
    <row r="35" s="492" customFormat="1" ht="24.95" customHeight="1" spans="2:79">
      <c r="B35" s="524">
        <f ca="1">IF(ISNUMBER(D35),1,0)</f>
        <v>1</v>
      </c>
      <c r="C35" s="525" t="str">
        <f ca="1">iCityP!T18</f>
        <v>   1.1.4) Level of technology employed</v>
      </c>
      <c r="D35" s="526">
        <f ca="1">iCityP!U18</f>
        <v>100</v>
      </c>
      <c r="F35" s="527">
        <f ca="1">IF(ISNUMBER(H35),1,0)</f>
        <v>1</v>
      </c>
      <c r="G35" s="525" t="str">
        <f ca="1">iCityP!V18</f>
        <v>   1.1.1) Privacy policy</v>
      </c>
      <c r="H35" s="526">
        <f ca="1">iCityP!W18</f>
        <v>50</v>
      </c>
      <c r="I35" s="68"/>
      <c r="J35" s="68">
        <f ca="1">IF(ISNUMBER(L35),1,0)</f>
        <v>1</v>
      </c>
      <c r="K35" s="525" t="str">
        <f ca="1">iCityP!X18</f>
        <v>   2.1.3) No. of beds per 1,000</v>
      </c>
      <c r="L35" s="526">
        <f ca="1">iCityP!Y18</f>
        <v>8.26514587982478</v>
      </c>
      <c r="M35" s="534"/>
      <c r="O35" s="533"/>
      <c r="BZ35" s="497"/>
      <c r="CA35" s="497"/>
    </row>
    <row r="36" s="492" customFormat="1" ht="24.95" customHeight="1" spans="2:79">
      <c r="B36" s="524">
        <f ca="1" t="shared" ref="B36:B96" si="0">IF(ISNUMBER(D36),1,0)</f>
        <v>1</v>
      </c>
      <c r="C36" s="525" t="str">
        <f ca="1">iCityP!T19</f>
        <v>   1.2.1) Frequency of identity theft</v>
      </c>
      <c r="D36" s="526">
        <f ca="1">iCityP!U19</f>
        <v>100</v>
      </c>
      <c r="F36" s="527">
        <f ca="1" t="shared" ref="F36:F96" si="1">IF(ISNUMBER(H36),1,0)</f>
        <v>1</v>
      </c>
      <c r="G36" s="525" t="str">
        <f ca="1">iCityP!V19</f>
        <v>   1.1.2) Citizen awareness of digital threats</v>
      </c>
      <c r="H36" s="526">
        <f ca="1">iCityP!W19</f>
        <v>66.6666666666667</v>
      </c>
      <c r="I36" s="68"/>
      <c r="J36" s="68">
        <f ca="1" t="shared" ref="J36:J96" si="2">IF(ISNUMBER(L36),1,0)</f>
        <v>1</v>
      </c>
      <c r="K36" s="525" t="str">
        <f ca="1">iCityP!X19</f>
        <v>   2.1.4) No. of doctors per 1,000</v>
      </c>
      <c r="L36" s="526">
        <f ca="1">iCityP!Y19</f>
        <v>16.365171249397</v>
      </c>
      <c r="M36" s="534"/>
      <c r="O36" s="533"/>
      <c r="BZ36" s="497"/>
      <c r="CA36" s="497"/>
    </row>
    <row r="37" s="492" customFormat="1" ht="24.95" customHeight="1" spans="2:79">
      <c r="B37" s="524">
        <f ca="1" t="shared" si="0"/>
        <v>1</v>
      </c>
      <c r="C37" s="525" t="str">
        <f ca="1">iCityP!T20</f>
        <v>   1.2.3) Percentage with Internet access</v>
      </c>
      <c r="D37" s="526">
        <f ca="1">iCityP!U20</f>
        <v>97.6452647517627</v>
      </c>
      <c r="F37" s="527">
        <f ca="1" t="shared" si="1"/>
        <v>1</v>
      </c>
      <c r="G37" s="525" t="str">
        <f ca="1">iCityP!V20</f>
        <v>   1.1.3) Public-private partnerships</v>
      </c>
      <c r="H37" s="526">
        <f ca="1">iCityP!W20</f>
        <v>50</v>
      </c>
      <c r="I37" s="68"/>
      <c r="J37" s="68">
        <f ca="1" t="shared" si="2"/>
        <v>1</v>
      </c>
      <c r="K37" s="525" t="str">
        <f ca="1">iCityP!X20</f>
        <v>   4.1.4) Use of data-driven techniques for crime</v>
      </c>
      <c r="L37" s="526">
        <f ca="1">iCityP!Y20</f>
        <v>0</v>
      </c>
      <c r="M37" s="534"/>
      <c r="O37" s="533"/>
      <c r="BZ37" s="497"/>
      <c r="CA37" s="497"/>
    </row>
    <row r="38" s="492" customFormat="1" ht="24.95" customHeight="1" spans="2:79">
      <c r="B38" s="524">
        <f ca="1" t="shared" si="0"/>
        <v>1</v>
      </c>
      <c r="C38" s="525" t="str">
        <f ca="1">iCityP!T21</f>
        <v>   2.1.5) Access to safe and quality food</v>
      </c>
      <c r="D38" s="526">
        <f ca="1">iCityP!U21</f>
        <v>99.7</v>
      </c>
      <c r="F38" s="527">
        <f ca="1" t="shared" si="1"/>
        <v>1</v>
      </c>
      <c r="G38" s="525" t="str">
        <f ca="1">iCityP!V21</f>
        <v>   1.1.5) Dedicated cyber security teams</v>
      </c>
      <c r="H38" s="526">
        <f ca="1">iCityP!W21</f>
        <v>50</v>
      </c>
      <c r="I38" s="68"/>
      <c r="J38" s="68">
        <f ca="1" t="shared" si="2"/>
        <v>0</v>
      </c>
      <c r="K38" s="525" t="str">
        <f ca="1">iCityP!X21</f>
        <v/>
      </c>
      <c r="L38" s="526" t="str">
        <f ca="1">iCityP!Y21</f>
        <v/>
      </c>
      <c r="M38" s="534"/>
      <c r="O38" s="533"/>
      <c r="BZ38" s="497"/>
      <c r="CA38" s="497"/>
    </row>
    <row r="39" s="492" customFormat="1" ht="24.95" customHeight="1" spans="2:79">
      <c r="B39" s="524">
        <f ca="1" t="shared" si="0"/>
        <v>1</v>
      </c>
      <c r="C39" s="525" t="str">
        <f ca="1">iCityP!T22</f>
        <v>   2.1.6) Quality of health services</v>
      </c>
      <c r="D39" s="526">
        <f ca="1">iCityP!U22</f>
        <v>75</v>
      </c>
      <c r="F39" s="527">
        <f ca="1" t="shared" si="1"/>
        <v>1</v>
      </c>
      <c r="G39" s="525" t="str">
        <f ca="1">iCityP!V22</f>
        <v>   1.2.2) Percentage of computers infected</v>
      </c>
      <c r="H39" s="526">
        <f ca="1">iCityP!W22</f>
        <v>25</v>
      </c>
      <c r="I39" s="68"/>
      <c r="J39" s="68">
        <f ca="1" t="shared" si="2"/>
        <v>0</v>
      </c>
      <c r="K39" s="525" t="str">
        <f ca="1">iCityP!X22</f>
        <v/>
      </c>
      <c r="L39" s="526" t="str">
        <f ca="1">iCityP!Y22</f>
        <v/>
      </c>
      <c r="M39" s="534"/>
      <c r="O39" s="533"/>
      <c r="BZ39" s="497"/>
      <c r="CA39" s="497"/>
    </row>
    <row r="40" s="492" customFormat="1" ht="24.95" customHeight="1" spans="2:79">
      <c r="B40" s="524">
        <f ca="1" t="shared" si="0"/>
        <v>1</v>
      </c>
      <c r="C40" s="525" t="str">
        <f ca="1">iCityP!T23</f>
        <v>   2.2.2) Water quality</v>
      </c>
      <c r="D40" s="526">
        <f ca="1">iCityP!U23</f>
        <v>91.3447138534964</v>
      </c>
      <c r="F40" s="527">
        <f ca="1" t="shared" si="1"/>
        <v>1</v>
      </c>
      <c r="G40" s="525" t="str">
        <f ca="1">iCityP!V23</f>
        <v>   2.1.1) Environmental policies</v>
      </c>
      <c r="H40" s="526">
        <f ca="1">iCityP!W23</f>
        <v>62.7906976744186</v>
      </c>
      <c r="I40" s="68"/>
      <c r="J40" s="68">
        <f ca="1" t="shared" si="2"/>
        <v>0</v>
      </c>
      <c r="K40" s="525" t="str">
        <f ca="1">iCityP!X23</f>
        <v/>
      </c>
      <c r="L40" s="526" t="str">
        <f ca="1">iCityP!Y23</f>
        <v/>
      </c>
      <c r="M40" s="534"/>
      <c r="O40" s="533"/>
      <c r="BZ40" s="497"/>
      <c r="CA40" s="497"/>
    </row>
    <row r="41" s="492" customFormat="1" ht="24.95" customHeight="1" spans="2:79">
      <c r="B41" s="524">
        <f ca="1" t="shared" si="0"/>
        <v>1</v>
      </c>
      <c r="C41" s="525" t="str">
        <f ca="1">iCityP!T24</f>
        <v>   2.2.4) Infant mortality</v>
      </c>
      <c r="D41" s="526">
        <f ca="1">iCityP!U24</f>
        <v>93.1570762052877</v>
      </c>
      <c r="F41" s="527">
        <f ca="1" t="shared" si="1"/>
        <v>1</v>
      </c>
      <c r="G41" s="525" t="str">
        <f ca="1">iCityP!V24</f>
        <v>   2.1.2) Access to healthcare</v>
      </c>
      <c r="H41" s="526">
        <f ca="1">iCityP!W24</f>
        <v>73.3333333333333</v>
      </c>
      <c r="I41" s="68"/>
      <c r="J41" s="68">
        <f ca="1" t="shared" si="2"/>
        <v>0</v>
      </c>
      <c r="K41" s="525" t="str">
        <f ca="1">iCityP!X24</f>
        <v/>
      </c>
      <c r="L41" s="526" t="str">
        <f ca="1">iCityP!Y24</f>
        <v/>
      </c>
      <c r="M41" s="534"/>
      <c r="O41" s="533"/>
      <c r="BZ41" s="497"/>
      <c r="CA41" s="497"/>
    </row>
    <row r="42" s="492" customFormat="1" ht="24.95" customHeight="1" spans="2:79">
      <c r="B42" s="524">
        <f ca="1" t="shared" si="0"/>
        <v>1</v>
      </c>
      <c r="C42" s="525" t="str">
        <f ca="1">iCityP!T25</f>
        <v>   2.2.5) Cancer mortality rate</v>
      </c>
      <c r="D42" s="526">
        <f ca="1">iCityP!U25</f>
        <v>83.4127659574468</v>
      </c>
      <c r="F42" s="527">
        <f ca="1" t="shared" si="1"/>
        <v>1</v>
      </c>
      <c r="G42" s="525" t="str">
        <f ca="1">iCityP!V25</f>
        <v>   2.2.1) Air quality (PM 2.5 levels)</v>
      </c>
      <c r="H42" s="526">
        <f ca="1">iCityP!W25</f>
        <v>44.2188213579332</v>
      </c>
      <c r="I42" s="68"/>
      <c r="J42" s="68">
        <f ca="1" t="shared" si="2"/>
        <v>0</v>
      </c>
      <c r="K42" s="525" t="str">
        <f ca="1">iCityP!X25</f>
        <v/>
      </c>
      <c r="L42" s="526" t="str">
        <f ca="1">iCityP!Y25</f>
        <v/>
      </c>
      <c r="M42" s="534"/>
      <c r="O42" s="533"/>
      <c r="BZ42" s="497"/>
      <c r="CA42" s="497"/>
    </row>
    <row r="43" s="492" customFormat="1" ht="24.95" customHeight="1" spans="2:79">
      <c r="B43" s="524">
        <f ca="1" t="shared" si="0"/>
        <v>1</v>
      </c>
      <c r="C43" s="525" t="str">
        <f ca="1">iCityP!T26</f>
        <v>   2.2.6) Number of attacks using biological, chemical and/or radiological weapons</v>
      </c>
      <c r="D43" s="526">
        <f ca="1">iCityP!U26</f>
        <v>100</v>
      </c>
      <c r="F43" s="527">
        <f ca="1" t="shared" si="1"/>
        <v>1</v>
      </c>
      <c r="G43" s="525" t="str">
        <f ca="1">iCityP!V26</f>
        <v>   2.2.3) Life expectancy years</v>
      </c>
      <c r="H43" s="526">
        <f ca="1">iCityP!W26</f>
        <v>74.8974619270887</v>
      </c>
      <c r="I43" s="68"/>
      <c r="J43" s="68">
        <f ca="1" t="shared" si="2"/>
        <v>0</v>
      </c>
      <c r="K43" s="525" t="str">
        <f ca="1">iCityP!X26</f>
        <v/>
      </c>
      <c r="L43" s="526" t="str">
        <f ca="1">iCityP!Y26</f>
        <v/>
      </c>
      <c r="M43" s="534"/>
      <c r="O43" s="533"/>
      <c r="BZ43" s="497"/>
      <c r="CA43" s="497"/>
    </row>
    <row r="44" s="492" customFormat="1" ht="24.95" customHeight="1" spans="2:79">
      <c r="B44" s="524">
        <f ca="1" t="shared" si="0"/>
        <v>1</v>
      </c>
      <c r="C44" s="525" t="str">
        <f ca="1">iCityP!T27</f>
        <v>   3.1.1) Enforcement of transport safety</v>
      </c>
      <c r="D44" s="526">
        <f ca="1">iCityP!U27</f>
        <v>100</v>
      </c>
      <c r="F44" s="527">
        <f ca="1" t="shared" si="1"/>
        <v>1</v>
      </c>
      <c r="G44" s="525" t="str">
        <f ca="1">iCityP!V27</f>
        <v>   3.2.3) Frequency of pedestrian deaths</v>
      </c>
      <c r="H44" s="526">
        <f ca="1">iCityP!W27</f>
        <v>67.9502659640083</v>
      </c>
      <c r="I44" s="68"/>
      <c r="J44" s="68">
        <f ca="1" t="shared" si="2"/>
        <v>0</v>
      </c>
      <c r="K44" s="525" t="str">
        <f ca="1">iCityP!X27</f>
        <v/>
      </c>
      <c r="L44" s="526" t="str">
        <f ca="1">iCityP!Y27</f>
        <v/>
      </c>
      <c r="M44" s="534"/>
      <c r="O44" s="533"/>
      <c r="BZ44" s="497"/>
      <c r="CA44" s="497"/>
    </row>
    <row r="45" s="492" customFormat="1" ht="24.95" customHeight="1" spans="2:79">
      <c r="B45" s="524">
        <f ca="1" t="shared" si="0"/>
        <v>1</v>
      </c>
      <c r="C45" s="525" t="str">
        <f ca="1">iCityP!T28</f>
        <v>   3.1.2) Pedestrian friendliness</v>
      </c>
      <c r="D45" s="526">
        <f ca="1">iCityP!U28</f>
        <v>100</v>
      </c>
      <c r="F45" s="527">
        <f ca="1" t="shared" si="1"/>
        <v>1</v>
      </c>
      <c r="G45" s="525" t="str">
        <f ca="1">iCityP!V28</f>
        <v>   4.1.6) Gun regulation and enforcement</v>
      </c>
      <c r="H45" s="526">
        <f ca="1">iCityP!W28</f>
        <v>47.6190476190476</v>
      </c>
      <c r="I45" s="68"/>
      <c r="J45" s="68">
        <f ca="1" t="shared" si="2"/>
        <v>0</v>
      </c>
      <c r="K45" s="525" t="str">
        <f ca="1">iCityP!X28</f>
        <v/>
      </c>
      <c r="L45" s="526" t="str">
        <f ca="1">iCityP!Y28</f>
        <v/>
      </c>
      <c r="M45" s="534"/>
      <c r="O45" s="533"/>
      <c r="BZ45" s="497"/>
      <c r="CA45" s="497"/>
    </row>
    <row r="46" s="492" customFormat="1" ht="24.95" customHeight="1" spans="2:79">
      <c r="B46" s="524">
        <f ca="1" t="shared" si="0"/>
        <v>1</v>
      </c>
      <c r="C46" s="525" t="str">
        <f ca="1">iCityP!T29</f>
        <v>   3.1.3) Quality of road infrastructure</v>
      </c>
      <c r="D46" s="526">
        <f ca="1">iCityP!U29</f>
        <v>100</v>
      </c>
      <c r="F46" s="527">
        <f ca="1" t="shared" si="1"/>
        <v>1</v>
      </c>
      <c r="G46" s="525" t="str">
        <f ca="1">iCityP!V29</f>
        <v>   4.1.7) Political stability risk</v>
      </c>
      <c r="H46" s="526">
        <f ca="1">iCityP!W29</f>
        <v>55</v>
      </c>
      <c r="I46" s="68"/>
      <c r="J46" s="68">
        <f ca="1" t="shared" si="2"/>
        <v>0</v>
      </c>
      <c r="K46" s="525" t="str">
        <f ca="1">iCityP!X29</f>
        <v/>
      </c>
      <c r="L46" s="526" t="str">
        <f ca="1">iCityP!Y29</f>
        <v/>
      </c>
      <c r="M46" s="534"/>
      <c r="O46" s="533"/>
      <c r="BZ46" s="497"/>
      <c r="CA46" s="497"/>
    </row>
    <row r="47" s="492" customFormat="1" ht="24.95" customHeight="1" spans="2:79">
      <c r="B47" s="524">
        <f ca="1" t="shared" si="0"/>
        <v>1</v>
      </c>
      <c r="C47" s="525" t="str">
        <f ca="1">iCityP!T30</f>
        <v>   3.1.4) Quality of electricity infrastructure</v>
      </c>
      <c r="D47" s="526">
        <f ca="1">iCityP!U30</f>
        <v>75</v>
      </c>
      <c r="F47" s="527">
        <f ca="1" t="shared" si="1"/>
        <v>1</v>
      </c>
      <c r="G47" s="525" t="str">
        <f ca="1">iCityP!V30</f>
        <v>   4.2.4) Level of corruption</v>
      </c>
      <c r="H47" s="526">
        <f ca="1">iCityP!W30</f>
        <v>66</v>
      </c>
      <c r="I47" s="68"/>
      <c r="J47" s="68">
        <f ca="1" t="shared" si="2"/>
        <v>0</v>
      </c>
      <c r="K47" s="525" t="str">
        <f ca="1">iCityP!X30</f>
        <v/>
      </c>
      <c r="L47" s="526" t="str">
        <f ca="1">iCityP!Y30</f>
        <v/>
      </c>
      <c r="M47" s="534"/>
      <c r="O47" s="533"/>
      <c r="BZ47" s="497"/>
      <c r="CA47" s="497"/>
    </row>
    <row r="48" s="492" customFormat="1" ht="24.95" customHeight="1" spans="2:79">
      <c r="B48" s="524">
        <f ca="1" t="shared" si="0"/>
        <v>1</v>
      </c>
      <c r="C48" s="525" t="str">
        <f ca="1">iCityP!T31</f>
        <v>   3.1.5) Disaster management/business continuity plan</v>
      </c>
      <c r="D48" s="526">
        <f ca="1">iCityP!U31</f>
        <v>75</v>
      </c>
      <c r="F48" s="527">
        <f ca="1" t="shared" si="1"/>
        <v>0</v>
      </c>
      <c r="G48" s="525" t="str">
        <f ca="1">iCityP!V31</f>
        <v/>
      </c>
      <c r="H48" s="526" t="str">
        <f ca="1">iCityP!W31</f>
        <v/>
      </c>
      <c r="I48" s="68"/>
      <c r="J48" s="68">
        <f ca="1" t="shared" si="2"/>
        <v>0</v>
      </c>
      <c r="K48" s="525" t="str">
        <f ca="1">iCityP!X31</f>
        <v/>
      </c>
      <c r="L48" s="526" t="str">
        <f ca="1">iCityP!Y31</f>
        <v/>
      </c>
      <c r="M48" s="534"/>
      <c r="O48" s="533"/>
      <c r="BZ48" s="497"/>
      <c r="CA48" s="497"/>
    </row>
    <row r="49" s="492" customFormat="1" ht="24.95" customHeight="1" spans="2:79">
      <c r="B49" s="524">
        <f ca="1" t="shared" si="0"/>
        <v>1</v>
      </c>
      <c r="C49" s="525" t="str">
        <f ca="1">iCityP!T32</f>
        <v>   3.2.1) Deaths from natural disaster</v>
      </c>
      <c r="D49" s="526">
        <f ca="1">iCityP!U32</f>
        <v>100</v>
      </c>
      <c r="F49" s="527">
        <f ca="1" t="shared" si="1"/>
        <v>0</v>
      </c>
      <c r="G49" s="525" t="str">
        <f ca="1">iCityP!V32</f>
        <v/>
      </c>
      <c r="H49" s="526" t="str">
        <f ca="1">iCityP!W32</f>
        <v/>
      </c>
      <c r="I49" s="68"/>
      <c r="J49" s="68">
        <f ca="1" t="shared" si="2"/>
        <v>0</v>
      </c>
      <c r="K49" s="525" t="str">
        <f ca="1">iCityP!X32</f>
        <v/>
      </c>
      <c r="L49" s="526" t="str">
        <f ca="1">iCityP!Y32</f>
        <v/>
      </c>
      <c r="M49" s="534"/>
      <c r="O49" s="533"/>
      <c r="BZ49" s="497"/>
      <c r="CA49" s="497"/>
    </row>
    <row r="50" s="492" customFormat="1" ht="24.95" customHeight="1" spans="2:79">
      <c r="B50" s="524">
        <f ca="1" t="shared" si="0"/>
        <v>1</v>
      </c>
      <c r="C50" s="525" t="str">
        <f ca="1">iCityP!T33</f>
        <v>   3.2.2) Frequency of vehicular accidents</v>
      </c>
      <c r="D50" s="526">
        <f ca="1">iCityP!U33</f>
        <v>95.6913364340366</v>
      </c>
      <c r="F50" s="527">
        <f ca="1" t="shared" si="1"/>
        <v>0</v>
      </c>
      <c r="G50" s="525" t="str">
        <f ca="1">iCityP!V33</f>
        <v/>
      </c>
      <c r="H50" s="526" t="str">
        <f ca="1">iCityP!W33</f>
        <v/>
      </c>
      <c r="I50" s="68"/>
      <c r="J50" s="68">
        <f ca="1" t="shared" si="2"/>
        <v>0</v>
      </c>
      <c r="K50" s="525" t="str">
        <f ca="1">iCityP!X33</f>
        <v/>
      </c>
      <c r="L50" s="526" t="str">
        <f ca="1">iCityP!Y33</f>
        <v/>
      </c>
      <c r="M50" s="534"/>
      <c r="O50" s="533"/>
      <c r="BZ50" s="497"/>
      <c r="CA50" s="497"/>
    </row>
    <row r="51" s="492" customFormat="1" ht="24.95" customHeight="1" spans="2:79">
      <c r="B51" s="524">
        <f ca="1" t="shared" si="0"/>
        <v>1</v>
      </c>
      <c r="C51" s="525" t="str">
        <f ca="1">iCityP!T34</f>
        <v>   3.2.4) Percentage living in slums</v>
      </c>
      <c r="D51" s="526">
        <f ca="1">iCityP!U34</f>
        <v>100</v>
      </c>
      <c r="F51" s="527">
        <f ca="1" t="shared" si="1"/>
        <v>0</v>
      </c>
      <c r="G51" s="525" t="str">
        <f ca="1">iCityP!V34</f>
        <v/>
      </c>
      <c r="H51" s="526" t="str">
        <f ca="1">iCityP!W34</f>
        <v/>
      </c>
      <c r="I51" s="68"/>
      <c r="J51" s="68">
        <f ca="1" t="shared" si="2"/>
        <v>0</v>
      </c>
      <c r="K51" s="525" t="str">
        <f ca="1">iCityP!X34</f>
        <v/>
      </c>
      <c r="L51" s="526" t="str">
        <f ca="1">iCityP!Y34</f>
        <v/>
      </c>
      <c r="M51" s="534"/>
      <c r="O51" s="533"/>
      <c r="BZ51" s="497"/>
      <c r="CA51" s="497"/>
    </row>
    <row r="52" s="492" customFormat="1" ht="24.95" customHeight="1" spans="2:79">
      <c r="B52" s="524">
        <f ca="1" t="shared" si="0"/>
        <v>1</v>
      </c>
      <c r="C52" s="525" t="str">
        <f ca="1">iCityP!T35</f>
        <v>   3.2.5) Number of attacks on facilities/infrastructure</v>
      </c>
      <c r="D52" s="526">
        <f ca="1">iCityP!U35</f>
        <v>100</v>
      </c>
      <c r="F52" s="527">
        <f ca="1" t="shared" si="1"/>
        <v>0</v>
      </c>
      <c r="G52" s="525" t="str">
        <f ca="1">iCityP!V35</f>
        <v/>
      </c>
      <c r="H52" s="526" t="str">
        <f ca="1">iCityP!W35</f>
        <v/>
      </c>
      <c r="I52" s="68"/>
      <c r="J52" s="68">
        <f ca="1" t="shared" si="2"/>
        <v>0</v>
      </c>
      <c r="K52" s="525" t="str">
        <f ca="1">iCityP!X35</f>
        <v/>
      </c>
      <c r="L52" s="526" t="str">
        <f ca="1">iCityP!Y35</f>
        <v/>
      </c>
      <c r="M52" s="534"/>
      <c r="O52" s="533"/>
      <c r="BZ52" s="497"/>
      <c r="CA52" s="497"/>
    </row>
    <row r="53" s="492" customFormat="1" ht="24.95" customHeight="1" spans="2:79">
      <c r="B53" s="524">
        <f ca="1" t="shared" si="0"/>
        <v>1</v>
      </c>
      <c r="C53" s="525" t="str">
        <f ca="1">iCityP!T36</f>
        <v>   4.1.1) Level of police engagement</v>
      </c>
      <c r="D53" s="526">
        <f ca="1">iCityP!U36</f>
        <v>100</v>
      </c>
      <c r="F53" s="527">
        <f ca="1" t="shared" si="1"/>
        <v>0</v>
      </c>
      <c r="G53" s="525" t="str">
        <f ca="1">iCityP!V36</f>
        <v/>
      </c>
      <c r="H53" s="526" t="str">
        <f ca="1">iCityP!W36</f>
        <v/>
      </c>
      <c r="I53" s="68"/>
      <c r="J53" s="68">
        <f ca="1" t="shared" si="2"/>
        <v>0</v>
      </c>
      <c r="K53" s="525" t="str">
        <f ca="1">iCityP!X36</f>
        <v/>
      </c>
      <c r="L53" s="526" t="str">
        <f ca="1">iCityP!Y36</f>
        <v/>
      </c>
      <c r="M53" s="534"/>
      <c r="O53" s="533"/>
      <c r="BZ53" s="497"/>
      <c r="CA53" s="497"/>
    </row>
    <row r="54" s="492" customFormat="1" ht="24.95" customHeight="1" spans="2:79">
      <c r="B54" s="524">
        <f ca="1" t="shared" si="0"/>
        <v>1</v>
      </c>
      <c r="C54" s="525" t="str">
        <f ca="1">iCityP!T37</f>
        <v>   4.1.2) Community-based patrolling</v>
      </c>
      <c r="D54" s="526">
        <f ca="1">iCityP!U37</f>
        <v>100</v>
      </c>
      <c r="F54" s="527">
        <f ca="1" t="shared" si="1"/>
        <v>0</v>
      </c>
      <c r="G54" s="525" t="str">
        <f ca="1">iCityP!V37</f>
        <v/>
      </c>
      <c r="H54" s="526" t="str">
        <f ca="1">iCityP!W37</f>
        <v/>
      </c>
      <c r="I54" s="68"/>
      <c r="J54" s="68">
        <f ca="1" t="shared" si="2"/>
        <v>0</v>
      </c>
      <c r="K54" s="525" t="str">
        <f ca="1">iCityP!X37</f>
        <v/>
      </c>
      <c r="L54" s="526" t="str">
        <f ca="1">iCityP!Y37</f>
        <v/>
      </c>
      <c r="M54" s="534"/>
      <c r="O54" s="533"/>
      <c r="BZ54" s="497"/>
      <c r="CA54" s="497"/>
    </row>
    <row r="55" s="492" customFormat="1" ht="24.95" customHeight="1" spans="2:79">
      <c r="B55" s="524">
        <f ca="1" t="shared" si="0"/>
        <v>1</v>
      </c>
      <c r="C55" s="525" t="str">
        <f ca="1">iCityP!T38</f>
        <v>   4.1.3) Available street-level crime data</v>
      </c>
      <c r="D55" s="526">
        <f ca="1">iCityP!U38</f>
        <v>100</v>
      </c>
      <c r="F55" s="527">
        <f ca="1" t="shared" si="1"/>
        <v>0</v>
      </c>
      <c r="G55" s="525" t="str">
        <f ca="1">iCityP!V38</f>
        <v/>
      </c>
      <c r="H55" s="526" t="str">
        <f ca="1">iCityP!W38</f>
        <v/>
      </c>
      <c r="I55" s="68"/>
      <c r="J55" s="68">
        <f ca="1" t="shared" si="2"/>
        <v>0</v>
      </c>
      <c r="K55" s="525" t="str">
        <f ca="1">iCityP!X38</f>
        <v/>
      </c>
      <c r="L55" s="526" t="str">
        <f ca="1">iCityP!Y38</f>
        <v/>
      </c>
      <c r="M55" s="534"/>
      <c r="O55" s="533"/>
      <c r="BZ55" s="497"/>
      <c r="CA55" s="497"/>
    </row>
    <row r="56" s="492" customFormat="1" ht="24.95" customHeight="1" spans="2:79">
      <c r="B56" s="524">
        <f ca="1" t="shared" si="0"/>
        <v>1</v>
      </c>
      <c r="C56" s="525" t="str">
        <f ca="1">iCityP!T39</f>
        <v>   4.1.5) Private security measures</v>
      </c>
      <c r="D56" s="526">
        <f ca="1">iCityP!U39</f>
        <v>100</v>
      </c>
      <c r="F56" s="527">
        <f ca="1" t="shared" si="1"/>
        <v>0</v>
      </c>
      <c r="G56" s="525" t="str">
        <f ca="1">iCityP!V39</f>
        <v/>
      </c>
      <c r="H56" s="526" t="str">
        <f ca="1">iCityP!W39</f>
        <v/>
      </c>
      <c r="I56" s="68"/>
      <c r="J56" s="68">
        <f ca="1" t="shared" si="2"/>
        <v>0</v>
      </c>
      <c r="K56" s="525" t="str">
        <f ca="1">iCityP!X39</f>
        <v/>
      </c>
      <c r="L56" s="526" t="str">
        <f ca="1">iCityP!Y39</f>
        <v/>
      </c>
      <c r="M56" s="534"/>
      <c r="O56" s="533"/>
      <c r="BZ56" s="497"/>
      <c r="CA56" s="497"/>
    </row>
    <row r="57" s="492" customFormat="1" ht="24.95" customHeight="1" spans="2:79">
      <c r="B57" s="524">
        <f ca="1" t="shared" si="0"/>
        <v>1</v>
      </c>
      <c r="C57" s="525" t="str">
        <f ca="1">iCityP!T40</f>
        <v>   4.2.1) Prevalence of petty crime</v>
      </c>
      <c r="D57" s="526">
        <f ca="1">iCityP!U40</f>
        <v>75</v>
      </c>
      <c r="F57" s="527">
        <f ca="1" t="shared" si="1"/>
        <v>0</v>
      </c>
      <c r="G57" s="525" t="str">
        <f ca="1">iCityP!V40</f>
        <v/>
      </c>
      <c r="H57" s="526" t="str">
        <f ca="1">iCityP!W40</f>
        <v/>
      </c>
      <c r="I57" s="68"/>
      <c r="J57" s="68">
        <f ca="1" t="shared" si="2"/>
        <v>0</v>
      </c>
      <c r="K57" s="525" t="str">
        <f ca="1">iCityP!X40</f>
        <v/>
      </c>
      <c r="L57" s="526" t="str">
        <f ca="1">iCityP!Y40</f>
        <v/>
      </c>
      <c r="M57" s="534"/>
      <c r="O57" s="533"/>
      <c r="BZ57" s="497"/>
      <c r="CA57" s="497"/>
    </row>
    <row r="58" s="492" customFormat="1" ht="24.95" customHeight="1" spans="2:79">
      <c r="B58" s="524">
        <f ca="1" t="shared" si="0"/>
        <v>1</v>
      </c>
      <c r="C58" s="525" t="str">
        <f ca="1">iCityP!T41</f>
        <v>   4.2.2) Prevalence of violent crime</v>
      </c>
      <c r="D58" s="526">
        <f ca="1">iCityP!U41</f>
        <v>100</v>
      </c>
      <c r="F58" s="527">
        <f ca="1" t="shared" si="1"/>
        <v>0</v>
      </c>
      <c r="G58" s="525" t="str">
        <f ca="1">iCityP!V41</f>
        <v/>
      </c>
      <c r="H58" s="526" t="str">
        <f ca="1">iCityP!W41</f>
        <v/>
      </c>
      <c r="I58" s="68"/>
      <c r="J58" s="68">
        <f ca="1" t="shared" si="2"/>
        <v>0</v>
      </c>
      <c r="K58" s="525" t="str">
        <f ca="1">iCityP!X41</f>
        <v/>
      </c>
      <c r="L58" s="526" t="str">
        <f ca="1">iCityP!Y41</f>
        <v/>
      </c>
      <c r="M58" s="534"/>
      <c r="O58" s="533"/>
      <c r="BZ58" s="497"/>
      <c r="CA58" s="497"/>
    </row>
    <row r="59" s="492" customFormat="1" ht="24.95" customHeight="1" spans="2:79">
      <c r="B59" s="524">
        <f ca="1" t="shared" si="0"/>
        <v>1</v>
      </c>
      <c r="C59" s="525" t="str">
        <f ca="1">iCityP!T42</f>
        <v>   4.2.3) Organised crime</v>
      </c>
      <c r="D59" s="526">
        <f ca="1">iCityP!U42</f>
        <v>75</v>
      </c>
      <c r="F59" s="527">
        <f ca="1" t="shared" si="1"/>
        <v>0</v>
      </c>
      <c r="G59" s="525" t="str">
        <f ca="1">iCityP!V42</f>
        <v/>
      </c>
      <c r="H59" s="526" t="str">
        <f ca="1">iCityP!W42</f>
        <v/>
      </c>
      <c r="I59" s="68"/>
      <c r="J59" s="68">
        <f ca="1" t="shared" si="2"/>
        <v>0</v>
      </c>
      <c r="K59" s="525" t="str">
        <f ca="1">iCityP!X42</f>
        <v/>
      </c>
      <c r="L59" s="526" t="str">
        <f ca="1">iCityP!Y42</f>
        <v/>
      </c>
      <c r="M59" s="534"/>
      <c r="O59" s="533"/>
      <c r="BZ59" s="497"/>
      <c r="CA59" s="497"/>
    </row>
    <row r="60" s="492" customFormat="1" ht="24.95" customHeight="1" spans="2:79">
      <c r="B60" s="524">
        <f ca="1" t="shared" si="0"/>
        <v>1</v>
      </c>
      <c r="C60" s="525" t="str">
        <f ca="1">iCityP!T43</f>
        <v>   4.2.5) Rate of drug use </v>
      </c>
      <c r="D60" s="526">
        <f ca="1">iCityP!U43</f>
        <v>86.758691206544</v>
      </c>
      <c r="F60" s="527">
        <f ca="1" t="shared" si="1"/>
        <v>0</v>
      </c>
      <c r="G60" s="525" t="str">
        <f ca="1">iCityP!V43</f>
        <v/>
      </c>
      <c r="H60" s="526" t="str">
        <f ca="1">iCityP!W43</f>
        <v/>
      </c>
      <c r="I60" s="68"/>
      <c r="J60" s="68">
        <f ca="1" t="shared" si="2"/>
        <v>0</v>
      </c>
      <c r="K60" s="525" t="str">
        <f ca="1">iCityP!X43</f>
        <v/>
      </c>
      <c r="L60" s="526" t="str">
        <f ca="1">iCityP!Y43</f>
        <v/>
      </c>
      <c r="M60" s="534"/>
      <c r="O60" s="533"/>
      <c r="BZ60" s="497"/>
      <c r="CA60" s="497"/>
    </row>
    <row r="61" s="492" customFormat="1" ht="24.95" customHeight="1" spans="2:79">
      <c r="B61" s="524">
        <f ca="1" t="shared" si="0"/>
        <v>1</v>
      </c>
      <c r="C61" s="525" t="str">
        <f ca="1">iCityP!T44</f>
        <v>   4.2.6) Frequency of terrorist attacks </v>
      </c>
      <c r="D61" s="526">
        <f ca="1">iCityP!U44</f>
        <v>99.8572448251249</v>
      </c>
      <c r="F61" s="527">
        <f ca="1" t="shared" si="1"/>
        <v>0</v>
      </c>
      <c r="G61" s="525" t="str">
        <f ca="1">iCityP!V44</f>
        <v/>
      </c>
      <c r="H61" s="526" t="str">
        <f ca="1">iCityP!W44</f>
        <v/>
      </c>
      <c r="I61" s="68"/>
      <c r="J61" s="68">
        <f ca="1" t="shared" si="2"/>
        <v>0</v>
      </c>
      <c r="K61" s="525" t="str">
        <f ca="1">iCityP!X44</f>
        <v/>
      </c>
      <c r="L61" s="526" t="str">
        <f ca="1">iCityP!Y44</f>
        <v/>
      </c>
      <c r="M61" s="534"/>
      <c r="O61" s="533"/>
      <c r="BZ61" s="497"/>
      <c r="CA61" s="497"/>
    </row>
    <row r="62" s="492" customFormat="1" ht="24.95" customHeight="1" spans="2:79">
      <c r="B62" s="524">
        <f ca="1" t="shared" si="0"/>
        <v>1</v>
      </c>
      <c r="C62" s="525" t="str">
        <f ca="1">iCityP!T45</f>
        <v>   4.2.7) Severity of terrorist attacks</v>
      </c>
      <c r="D62" s="526">
        <f ca="1">iCityP!U45</f>
        <v>99.9801350814462</v>
      </c>
      <c r="F62" s="527">
        <f ca="1" t="shared" si="1"/>
        <v>0</v>
      </c>
      <c r="G62" s="525" t="str">
        <f ca="1">iCityP!V45</f>
        <v/>
      </c>
      <c r="H62" s="526" t="str">
        <f ca="1">iCityP!W45</f>
        <v/>
      </c>
      <c r="I62" s="68"/>
      <c r="J62" s="68">
        <f ca="1" t="shared" si="2"/>
        <v>0</v>
      </c>
      <c r="K62" s="525" t="str">
        <f ca="1">iCityP!X45</f>
        <v/>
      </c>
      <c r="L62" s="526" t="str">
        <f ca="1">iCityP!Y45</f>
        <v/>
      </c>
      <c r="M62" s="534"/>
      <c r="O62" s="533"/>
      <c r="BZ62" s="497"/>
      <c r="CA62" s="497"/>
    </row>
    <row r="63" s="492" customFormat="1" ht="24.95" customHeight="1" spans="2:79">
      <c r="B63" s="524">
        <f ca="1" t="shared" si="0"/>
        <v>1</v>
      </c>
      <c r="C63" s="525" t="str">
        <f ca="1">iCityP!T46</f>
        <v>   4.2.8) Gender safety</v>
      </c>
      <c r="D63" s="526">
        <f ca="1">iCityP!U46</f>
        <v>96.1159757342053</v>
      </c>
      <c r="F63" s="527">
        <f ca="1" t="shared" si="1"/>
        <v>0</v>
      </c>
      <c r="G63" s="525" t="str">
        <f ca="1">iCityP!V46</f>
        <v/>
      </c>
      <c r="H63" s="526" t="str">
        <f ca="1">iCityP!W46</f>
        <v/>
      </c>
      <c r="I63" s="68"/>
      <c r="J63" s="68">
        <f ca="1" t="shared" si="2"/>
        <v>0</v>
      </c>
      <c r="K63" s="525" t="str">
        <f ca="1">iCityP!X46</f>
        <v/>
      </c>
      <c r="L63" s="526" t="str">
        <f ca="1">iCityP!Y46</f>
        <v/>
      </c>
      <c r="M63" s="534"/>
      <c r="O63" s="533"/>
      <c r="BZ63" s="497"/>
      <c r="CA63" s="497"/>
    </row>
    <row r="64" s="492" customFormat="1" ht="24.95" customHeight="1" spans="2:79">
      <c r="B64" s="524">
        <f ca="1" t="shared" si="0"/>
        <v>1</v>
      </c>
      <c r="C64" s="525" t="str">
        <f ca="1">iCityP!T47</f>
        <v>   4.2.9) Perceptions of safety</v>
      </c>
      <c r="D64" s="526">
        <f ca="1">iCityP!U47</f>
        <v>84.49</v>
      </c>
      <c r="F64" s="527">
        <f ca="1" t="shared" si="1"/>
        <v>0</v>
      </c>
      <c r="G64" s="525" t="str">
        <f ca="1">iCityP!V47</f>
        <v/>
      </c>
      <c r="H64" s="526" t="str">
        <f ca="1">iCityP!W47</f>
        <v/>
      </c>
      <c r="I64" s="68"/>
      <c r="J64" s="68">
        <f ca="1" t="shared" si="2"/>
        <v>0</v>
      </c>
      <c r="K64" s="525" t="str">
        <f ca="1">iCityP!X47</f>
        <v/>
      </c>
      <c r="L64" s="526" t="str">
        <f ca="1">iCityP!Y47</f>
        <v/>
      </c>
      <c r="M64" s="534"/>
      <c r="O64" s="533"/>
      <c r="BZ64" s="497"/>
      <c r="CA64" s="497"/>
    </row>
    <row r="65" s="492" customFormat="1" ht="24.95" customHeight="1" spans="2:79">
      <c r="B65" s="524">
        <f ca="1" t="shared" si="0"/>
        <v>1</v>
      </c>
      <c r="C65" s="525" t="str">
        <f ca="1">iCityP!T48</f>
        <v>   4.2.10) Threat of terrorism</v>
      </c>
      <c r="D65" s="526">
        <f ca="1">iCityP!U48</f>
        <v>75</v>
      </c>
      <c r="F65" s="527">
        <f ca="1" t="shared" si="1"/>
        <v>0</v>
      </c>
      <c r="G65" s="525" t="str">
        <f ca="1">iCityP!V48</f>
        <v/>
      </c>
      <c r="H65" s="526" t="str">
        <f ca="1">iCityP!W48</f>
        <v/>
      </c>
      <c r="I65" s="68"/>
      <c r="J65" s="68">
        <f ca="1" t="shared" si="2"/>
        <v>0</v>
      </c>
      <c r="K65" s="525" t="str">
        <f ca="1">iCityP!X48</f>
        <v/>
      </c>
      <c r="L65" s="526" t="str">
        <f ca="1">iCityP!Y48</f>
        <v/>
      </c>
      <c r="M65" s="534"/>
      <c r="O65" s="533"/>
      <c r="BZ65" s="497"/>
      <c r="CA65" s="497"/>
    </row>
    <row r="66" s="492" customFormat="1" ht="24.95" customHeight="1" spans="2:79">
      <c r="B66" s="524">
        <f ca="1" t="shared" si="0"/>
        <v>1</v>
      </c>
      <c r="C66" s="525" t="str">
        <f ca="1">iCityP!T49</f>
        <v>   4.2.11) Threat of military conflict</v>
      </c>
      <c r="D66" s="526">
        <f ca="1">iCityP!U49</f>
        <v>100</v>
      </c>
      <c r="F66" s="527">
        <f ca="1" t="shared" si="1"/>
        <v>0</v>
      </c>
      <c r="G66" s="525" t="str">
        <f ca="1">iCityP!V49</f>
        <v/>
      </c>
      <c r="H66" s="526" t="str">
        <f ca="1">iCityP!W49</f>
        <v/>
      </c>
      <c r="I66" s="68"/>
      <c r="J66" s="68">
        <f ca="1" t="shared" si="2"/>
        <v>0</v>
      </c>
      <c r="K66" s="525" t="str">
        <f ca="1">iCityP!X49</f>
        <v/>
      </c>
      <c r="L66" s="526" t="str">
        <f ca="1">iCityP!Y49</f>
        <v/>
      </c>
      <c r="M66" s="534"/>
      <c r="O66" s="533"/>
      <c r="BZ66" s="497"/>
      <c r="CA66" s="497"/>
    </row>
    <row r="67" s="492" customFormat="1" ht="24.95" customHeight="1" spans="2:79">
      <c r="B67" s="524">
        <f ca="1" t="shared" si="0"/>
        <v>1</v>
      </c>
      <c r="C67" s="525" t="str">
        <f ca="1">iCityP!T50</f>
        <v>   4.2.12) Threat of civil unrest</v>
      </c>
      <c r="D67" s="526">
        <f ca="1">iCityP!U50</f>
        <v>75</v>
      </c>
      <c r="F67" s="527">
        <f ca="1" t="shared" si="1"/>
        <v>0</v>
      </c>
      <c r="G67" s="525" t="str">
        <f ca="1">iCityP!V50</f>
        <v/>
      </c>
      <c r="H67" s="526" t="str">
        <f ca="1">iCityP!W50</f>
        <v/>
      </c>
      <c r="I67" s="68"/>
      <c r="J67" s="68">
        <f ca="1" t="shared" si="2"/>
        <v>0</v>
      </c>
      <c r="K67" s="525" t="str">
        <f ca="1">iCityP!X50</f>
        <v/>
      </c>
      <c r="L67" s="526" t="str">
        <f ca="1">iCityP!Y50</f>
        <v/>
      </c>
      <c r="M67" s="534"/>
      <c r="O67" s="533"/>
      <c r="BZ67" s="497"/>
      <c r="CA67" s="497"/>
    </row>
    <row r="68" s="492" customFormat="1" ht="24.95" customHeight="1" spans="2:79">
      <c r="B68" s="524">
        <f ca="1" t="shared" si="0"/>
        <v>0</v>
      </c>
      <c r="C68" s="525" t="str">
        <f ca="1">iCityP!T51</f>
        <v/>
      </c>
      <c r="D68" s="526" t="str">
        <f ca="1">iCityP!U51</f>
        <v/>
      </c>
      <c r="F68" s="527">
        <f ca="1" t="shared" si="1"/>
        <v>0</v>
      </c>
      <c r="G68" s="525" t="str">
        <f ca="1">iCityP!V51</f>
        <v/>
      </c>
      <c r="H68" s="526" t="str">
        <f ca="1">iCityP!W51</f>
        <v/>
      </c>
      <c r="I68" s="68"/>
      <c r="J68" s="68">
        <f ca="1" t="shared" si="2"/>
        <v>0</v>
      </c>
      <c r="K68" s="525" t="str">
        <f ca="1">iCityP!X51</f>
        <v/>
      </c>
      <c r="L68" s="526" t="str">
        <f ca="1">iCityP!Y51</f>
        <v/>
      </c>
      <c r="M68" s="534"/>
      <c r="O68" s="533"/>
      <c r="BZ68" s="497"/>
      <c r="CA68" s="497"/>
    </row>
    <row r="69" s="492" customFormat="1" ht="24.95" customHeight="1" spans="2:79">
      <c r="B69" s="524">
        <f ca="1" t="shared" si="0"/>
        <v>0</v>
      </c>
      <c r="C69" s="525" t="str">
        <f ca="1">iCityP!T52</f>
        <v/>
      </c>
      <c r="D69" s="526" t="str">
        <f ca="1">iCityP!U52</f>
        <v/>
      </c>
      <c r="F69" s="527">
        <f ca="1" t="shared" si="1"/>
        <v>0</v>
      </c>
      <c r="G69" s="525" t="str">
        <f ca="1">iCityP!V52</f>
        <v/>
      </c>
      <c r="H69" s="526" t="str">
        <f ca="1">iCityP!W52</f>
        <v/>
      </c>
      <c r="I69" s="68"/>
      <c r="J69" s="68">
        <f ca="1" t="shared" si="2"/>
        <v>0</v>
      </c>
      <c r="K69" s="525" t="str">
        <f ca="1">iCityP!X52</f>
        <v/>
      </c>
      <c r="L69" s="526" t="str">
        <f ca="1">iCityP!Y52</f>
        <v/>
      </c>
      <c r="M69" s="534"/>
      <c r="O69" s="533"/>
      <c r="BZ69" s="497"/>
      <c r="CA69" s="497"/>
    </row>
    <row r="70" s="492" customFormat="1" ht="24.95" customHeight="1" spans="2:79">
      <c r="B70" s="524">
        <f ca="1" t="shared" si="0"/>
        <v>0</v>
      </c>
      <c r="C70" s="525" t="str">
        <f ca="1">iCityP!T53</f>
        <v/>
      </c>
      <c r="D70" s="526" t="str">
        <f ca="1">iCityP!U53</f>
        <v/>
      </c>
      <c r="F70" s="527">
        <f ca="1" t="shared" si="1"/>
        <v>0</v>
      </c>
      <c r="G70" s="525" t="str">
        <f ca="1">iCityP!V53</f>
        <v/>
      </c>
      <c r="H70" s="526" t="str">
        <f ca="1">iCityP!W53</f>
        <v/>
      </c>
      <c r="I70" s="68"/>
      <c r="J70" s="68">
        <f ca="1" t="shared" si="2"/>
        <v>0</v>
      </c>
      <c r="K70" s="525" t="str">
        <f ca="1">iCityP!X53</f>
        <v/>
      </c>
      <c r="L70" s="526" t="str">
        <f ca="1">iCityP!Y53</f>
        <v/>
      </c>
      <c r="M70" s="534"/>
      <c r="O70" s="533"/>
      <c r="BZ70" s="497"/>
      <c r="CA70" s="497"/>
    </row>
    <row r="71" s="492" customFormat="1" ht="24.95" customHeight="1" spans="2:79">
      <c r="B71" s="524">
        <f ca="1" t="shared" si="0"/>
        <v>0</v>
      </c>
      <c r="C71" s="525" t="str">
        <f ca="1">iCityP!T54</f>
        <v/>
      </c>
      <c r="D71" s="526" t="str">
        <f ca="1">iCityP!U54</f>
        <v/>
      </c>
      <c r="F71" s="527">
        <f ca="1" t="shared" si="1"/>
        <v>0</v>
      </c>
      <c r="G71" s="525" t="str">
        <f ca="1">iCityP!V54</f>
        <v/>
      </c>
      <c r="H71" s="526" t="str">
        <f ca="1">iCityP!W54</f>
        <v/>
      </c>
      <c r="I71" s="68"/>
      <c r="J71" s="68">
        <f ca="1" t="shared" si="2"/>
        <v>0</v>
      </c>
      <c r="K71" s="525" t="str">
        <f ca="1">iCityP!X54</f>
        <v/>
      </c>
      <c r="L71" s="526" t="str">
        <f ca="1">iCityP!Y54</f>
        <v/>
      </c>
      <c r="M71" s="534"/>
      <c r="O71" s="533"/>
      <c r="BZ71" s="497"/>
      <c r="CA71" s="497"/>
    </row>
    <row r="72" s="492" customFormat="1" ht="24.95" customHeight="1" spans="2:79">
      <c r="B72" s="524">
        <f ca="1" t="shared" si="0"/>
        <v>0</v>
      </c>
      <c r="C72" s="525" t="str">
        <f ca="1">iCityP!T55</f>
        <v/>
      </c>
      <c r="D72" s="526" t="str">
        <f ca="1">iCityP!U55</f>
        <v/>
      </c>
      <c r="F72" s="527">
        <f ca="1" t="shared" si="1"/>
        <v>0</v>
      </c>
      <c r="G72" s="525" t="str">
        <f ca="1">iCityP!V55</f>
        <v/>
      </c>
      <c r="H72" s="526" t="str">
        <f ca="1">iCityP!W55</f>
        <v/>
      </c>
      <c r="I72" s="68"/>
      <c r="J72" s="68">
        <f ca="1" t="shared" si="2"/>
        <v>0</v>
      </c>
      <c r="K72" s="525" t="str">
        <f ca="1">iCityP!X55</f>
        <v/>
      </c>
      <c r="L72" s="526" t="str">
        <f ca="1">iCityP!Y55</f>
        <v/>
      </c>
      <c r="M72" s="534"/>
      <c r="O72" s="533"/>
      <c r="BZ72" s="497"/>
      <c r="CA72" s="497"/>
    </row>
    <row r="73" s="492" customFormat="1" ht="24.95" customHeight="1" spans="2:79">
      <c r="B73" s="524">
        <f ca="1" t="shared" si="0"/>
        <v>0</v>
      </c>
      <c r="C73" s="525" t="str">
        <f ca="1">iCityP!T56</f>
        <v/>
      </c>
      <c r="D73" s="526" t="str">
        <f ca="1">iCityP!U56</f>
        <v/>
      </c>
      <c r="F73" s="527">
        <f ca="1" t="shared" si="1"/>
        <v>0</v>
      </c>
      <c r="G73" s="525" t="str">
        <f ca="1">iCityP!V56</f>
        <v/>
      </c>
      <c r="H73" s="526" t="str">
        <f ca="1">iCityP!W56</f>
        <v/>
      </c>
      <c r="I73" s="68"/>
      <c r="J73" s="68">
        <f ca="1" t="shared" si="2"/>
        <v>0</v>
      </c>
      <c r="K73" s="525" t="str">
        <f ca="1">iCityP!X56</f>
        <v/>
      </c>
      <c r="L73" s="526" t="str">
        <f ca="1">iCityP!Y56</f>
        <v/>
      </c>
      <c r="M73" s="534"/>
      <c r="O73" s="533"/>
      <c r="BZ73" s="497"/>
      <c r="CA73" s="497"/>
    </row>
    <row r="74" s="492" customFormat="1" ht="24.95" customHeight="1" spans="2:79">
      <c r="B74" s="524">
        <f ca="1" t="shared" si="0"/>
        <v>0</v>
      </c>
      <c r="C74" s="525" t="str">
        <f ca="1">iCityP!T57</f>
        <v/>
      </c>
      <c r="D74" s="526" t="str">
        <f ca="1">iCityP!U57</f>
        <v/>
      </c>
      <c r="F74" s="527">
        <f ca="1" t="shared" si="1"/>
        <v>0</v>
      </c>
      <c r="G74" s="525" t="str">
        <f ca="1">iCityP!V57</f>
        <v/>
      </c>
      <c r="H74" s="526" t="str">
        <f ca="1">iCityP!W57</f>
        <v/>
      </c>
      <c r="I74" s="68"/>
      <c r="J74" s="68">
        <f ca="1" t="shared" si="2"/>
        <v>0</v>
      </c>
      <c r="K74" s="525" t="str">
        <f ca="1">iCityP!X57</f>
        <v/>
      </c>
      <c r="L74" s="526" t="str">
        <f ca="1">iCityP!Y57</f>
        <v/>
      </c>
      <c r="M74" s="534"/>
      <c r="O74" s="533"/>
      <c r="BZ74" s="497"/>
      <c r="CA74" s="497"/>
    </row>
    <row r="75" s="492" customFormat="1" ht="24.95" customHeight="1" spans="2:79">
      <c r="B75" s="524">
        <f ca="1" t="shared" si="0"/>
        <v>0</v>
      </c>
      <c r="C75" s="525" t="str">
        <f ca="1">iCityP!T58</f>
        <v/>
      </c>
      <c r="D75" s="526" t="str">
        <f ca="1">iCityP!U58</f>
        <v/>
      </c>
      <c r="F75" s="527">
        <f ca="1" t="shared" si="1"/>
        <v>0</v>
      </c>
      <c r="G75" s="525" t="str">
        <f ca="1">iCityP!V58</f>
        <v/>
      </c>
      <c r="H75" s="526" t="str">
        <f ca="1">iCityP!W58</f>
        <v/>
      </c>
      <c r="I75" s="68"/>
      <c r="J75" s="68">
        <f ca="1" t="shared" si="2"/>
        <v>0</v>
      </c>
      <c r="K75" s="525" t="str">
        <f ca="1">iCityP!X58</f>
        <v/>
      </c>
      <c r="L75" s="526" t="str">
        <f ca="1">iCityP!Y58</f>
        <v/>
      </c>
      <c r="M75" s="534"/>
      <c r="O75" s="533"/>
      <c r="BZ75" s="497"/>
      <c r="CA75" s="497"/>
    </row>
    <row r="76" s="492" customFormat="1" ht="24.95" customHeight="1" spans="2:79">
      <c r="B76" s="524">
        <f ca="1" t="shared" si="0"/>
        <v>0</v>
      </c>
      <c r="C76" s="525" t="str">
        <f ca="1">iCityP!T59</f>
        <v/>
      </c>
      <c r="D76" s="526" t="str">
        <f ca="1">iCityP!U59</f>
        <v/>
      </c>
      <c r="F76" s="527">
        <f ca="1" t="shared" si="1"/>
        <v>0</v>
      </c>
      <c r="G76" s="525" t="str">
        <f ca="1">iCityP!V59</f>
        <v/>
      </c>
      <c r="H76" s="526" t="str">
        <f ca="1">iCityP!W59</f>
        <v/>
      </c>
      <c r="I76" s="68"/>
      <c r="J76" s="68">
        <f ca="1" t="shared" si="2"/>
        <v>0</v>
      </c>
      <c r="K76" s="525" t="str">
        <f ca="1">iCityP!X59</f>
        <v/>
      </c>
      <c r="L76" s="526" t="str">
        <f ca="1">iCityP!Y59</f>
        <v/>
      </c>
      <c r="M76" s="534"/>
      <c r="O76" s="533"/>
      <c r="BZ76" s="497"/>
      <c r="CA76" s="497"/>
    </row>
    <row r="77" s="492" customFormat="1" ht="24.95" customHeight="1" spans="2:79">
      <c r="B77" s="524">
        <f ca="1" t="shared" si="0"/>
        <v>0</v>
      </c>
      <c r="C77" s="525" t="str">
        <f ca="1">iCityP!T60</f>
        <v/>
      </c>
      <c r="D77" s="526" t="str">
        <f ca="1">iCityP!U60</f>
        <v/>
      </c>
      <c r="F77" s="527">
        <f ca="1" t="shared" si="1"/>
        <v>0</v>
      </c>
      <c r="G77" s="525" t="str">
        <f ca="1">iCityP!V60</f>
        <v/>
      </c>
      <c r="H77" s="526" t="str">
        <f ca="1">iCityP!W60</f>
        <v/>
      </c>
      <c r="I77" s="68"/>
      <c r="J77" s="68">
        <f ca="1" t="shared" si="2"/>
        <v>0</v>
      </c>
      <c r="K77" s="525" t="str">
        <f ca="1">iCityP!X60</f>
        <v/>
      </c>
      <c r="L77" s="526" t="str">
        <f ca="1">iCityP!Y60</f>
        <v/>
      </c>
      <c r="M77" s="534"/>
      <c r="O77" s="533"/>
      <c r="BZ77" s="497"/>
      <c r="CA77" s="497"/>
    </row>
    <row r="78" s="492" customFormat="1" ht="24.95" customHeight="1" spans="2:79">
      <c r="B78" s="524">
        <f ca="1" t="shared" si="0"/>
        <v>0</v>
      </c>
      <c r="C78" s="525" t="str">
        <f ca="1">iCityP!T61</f>
        <v/>
      </c>
      <c r="D78" s="526" t="str">
        <f ca="1">iCityP!U61</f>
        <v/>
      </c>
      <c r="F78" s="527">
        <f ca="1" t="shared" si="1"/>
        <v>0</v>
      </c>
      <c r="G78" s="525" t="str">
        <f ca="1">iCityP!V61</f>
        <v/>
      </c>
      <c r="H78" s="526" t="str">
        <f ca="1">iCityP!W61</f>
        <v/>
      </c>
      <c r="I78" s="68"/>
      <c r="J78" s="68">
        <f ca="1" t="shared" si="2"/>
        <v>0</v>
      </c>
      <c r="K78" s="525" t="str">
        <f ca="1">iCityP!X61</f>
        <v/>
      </c>
      <c r="L78" s="526" t="str">
        <f ca="1">iCityP!Y61</f>
        <v/>
      </c>
      <c r="M78" s="534"/>
      <c r="O78" s="533"/>
      <c r="BZ78" s="497"/>
      <c r="CA78" s="497"/>
    </row>
    <row r="79" s="492" customFormat="1" ht="24.95" customHeight="1" spans="2:79">
      <c r="B79" s="524">
        <f ca="1" t="shared" si="0"/>
        <v>0</v>
      </c>
      <c r="C79" s="525" t="str">
        <f ca="1">iCityP!T62</f>
        <v/>
      </c>
      <c r="D79" s="526" t="str">
        <f ca="1">iCityP!U62</f>
        <v/>
      </c>
      <c r="F79" s="527">
        <f ca="1" t="shared" si="1"/>
        <v>0</v>
      </c>
      <c r="G79" s="525" t="str">
        <f ca="1">iCityP!V62</f>
        <v/>
      </c>
      <c r="H79" s="526" t="str">
        <f ca="1">iCityP!W62</f>
        <v/>
      </c>
      <c r="I79" s="68"/>
      <c r="J79" s="68">
        <f ca="1" t="shared" si="2"/>
        <v>0</v>
      </c>
      <c r="K79" s="525" t="str">
        <f ca="1">iCityP!X62</f>
        <v/>
      </c>
      <c r="L79" s="526" t="str">
        <f ca="1">iCityP!Y62</f>
        <v/>
      </c>
      <c r="M79" s="534"/>
      <c r="O79" s="533"/>
      <c r="BZ79" s="497"/>
      <c r="CA79" s="497"/>
    </row>
    <row r="80" s="492" customFormat="1" ht="24.95" customHeight="1" spans="2:79">
      <c r="B80" s="524">
        <f ca="1" t="shared" si="0"/>
        <v>0</v>
      </c>
      <c r="C80" s="525" t="str">
        <f ca="1">iCityP!T63</f>
        <v/>
      </c>
      <c r="D80" s="526" t="str">
        <f ca="1">iCityP!U63</f>
        <v/>
      </c>
      <c r="F80" s="527">
        <f ca="1" t="shared" si="1"/>
        <v>0</v>
      </c>
      <c r="G80" s="525" t="str">
        <f ca="1">iCityP!V63</f>
        <v/>
      </c>
      <c r="H80" s="526" t="str">
        <f ca="1">iCityP!W63</f>
        <v/>
      </c>
      <c r="I80" s="68"/>
      <c r="J80" s="68">
        <f ca="1" t="shared" si="2"/>
        <v>0</v>
      </c>
      <c r="K80" s="525" t="str">
        <f ca="1">iCityP!X63</f>
        <v/>
      </c>
      <c r="L80" s="526" t="str">
        <f ca="1">iCityP!Y63</f>
        <v/>
      </c>
      <c r="M80" s="534"/>
      <c r="O80" s="533"/>
      <c r="BZ80" s="497"/>
      <c r="CA80" s="497"/>
    </row>
    <row r="81" s="492" customFormat="1" ht="24.95" customHeight="1" spans="2:79">
      <c r="B81" s="524">
        <f ca="1" t="shared" si="0"/>
        <v>0</v>
      </c>
      <c r="C81" s="525" t="str">
        <f ca="1">iCityP!T64</f>
        <v/>
      </c>
      <c r="D81" s="526" t="str">
        <f ca="1">iCityP!U64</f>
        <v/>
      </c>
      <c r="F81" s="527">
        <f ca="1" t="shared" si="1"/>
        <v>0</v>
      </c>
      <c r="G81" s="525" t="str">
        <f ca="1">iCityP!V64</f>
        <v/>
      </c>
      <c r="H81" s="526" t="str">
        <f ca="1">iCityP!W64</f>
        <v/>
      </c>
      <c r="I81" s="68"/>
      <c r="J81" s="68">
        <f ca="1" t="shared" si="2"/>
        <v>0</v>
      </c>
      <c r="K81" s="525" t="str">
        <f ca="1">iCityP!X64</f>
        <v/>
      </c>
      <c r="L81" s="526" t="str">
        <f ca="1">iCityP!Y64</f>
        <v/>
      </c>
      <c r="M81" s="534"/>
      <c r="O81" s="533"/>
      <c r="BZ81" s="497"/>
      <c r="CA81" s="497"/>
    </row>
    <row r="82" s="492" customFormat="1" ht="24.95" customHeight="1" spans="2:79">
      <c r="B82" s="524">
        <f ca="1" t="shared" si="0"/>
        <v>0</v>
      </c>
      <c r="C82" s="525" t="str">
        <f ca="1">iCityP!T65</f>
        <v/>
      </c>
      <c r="D82" s="526" t="str">
        <f ca="1">iCityP!U65</f>
        <v/>
      </c>
      <c r="F82" s="527">
        <f ca="1" t="shared" si="1"/>
        <v>0</v>
      </c>
      <c r="G82" s="525" t="str">
        <f ca="1">iCityP!V65</f>
        <v/>
      </c>
      <c r="H82" s="526" t="str">
        <f ca="1">iCityP!W65</f>
        <v/>
      </c>
      <c r="I82" s="68"/>
      <c r="J82" s="68">
        <f ca="1" t="shared" si="2"/>
        <v>0</v>
      </c>
      <c r="K82" s="525" t="str">
        <f ca="1">iCityP!X65</f>
        <v/>
      </c>
      <c r="L82" s="526" t="str">
        <f ca="1">iCityP!Y65</f>
        <v/>
      </c>
      <c r="M82" s="534"/>
      <c r="O82" s="533"/>
      <c r="BZ82" s="497"/>
      <c r="CA82" s="497"/>
    </row>
    <row r="83" s="492" customFormat="1" ht="24.95" customHeight="1" spans="2:79">
      <c r="B83" s="524">
        <f ca="1" t="shared" si="0"/>
        <v>0</v>
      </c>
      <c r="C83" s="525" t="str">
        <f ca="1">iCityP!T66</f>
        <v/>
      </c>
      <c r="D83" s="526" t="str">
        <f ca="1">iCityP!U66</f>
        <v/>
      </c>
      <c r="F83" s="527">
        <f ca="1" t="shared" si="1"/>
        <v>0</v>
      </c>
      <c r="G83" s="525" t="str">
        <f ca="1">iCityP!V66</f>
        <v/>
      </c>
      <c r="H83" s="526" t="str">
        <f ca="1">iCityP!W66</f>
        <v/>
      </c>
      <c r="I83" s="68"/>
      <c r="J83" s="68">
        <f ca="1" t="shared" si="2"/>
        <v>0</v>
      </c>
      <c r="K83" s="525" t="str">
        <f ca="1">iCityP!X66</f>
        <v/>
      </c>
      <c r="L83" s="526" t="str">
        <f ca="1">iCityP!Y66</f>
        <v/>
      </c>
      <c r="M83" s="534"/>
      <c r="O83" s="533"/>
      <c r="BZ83" s="497"/>
      <c r="CA83" s="497"/>
    </row>
    <row r="84" s="492" customFormat="1" ht="24.95" customHeight="1" spans="2:79">
      <c r="B84" s="524">
        <f ca="1" t="shared" si="0"/>
        <v>0</v>
      </c>
      <c r="C84" s="525" t="str">
        <f ca="1">iCityP!T67</f>
        <v/>
      </c>
      <c r="D84" s="526" t="str">
        <f ca="1">iCityP!U67</f>
        <v/>
      </c>
      <c r="F84" s="527">
        <f ca="1" t="shared" si="1"/>
        <v>0</v>
      </c>
      <c r="G84" s="525" t="str">
        <f ca="1">iCityP!V67</f>
        <v/>
      </c>
      <c r="H84" s="526" t="str">
        <f ca="1">iCityP!W67</f>
        <v/>
      </c>
      <c r="I84" s="68"/>
      <c r="J84" s="68">
        <f ca="1" t="shared" si="2"/>
        <v>0</v>
      </c>
      <c r="K84" s="525" t="str">
        <f ca="1">iCityP!X67</f>
        <v/>
      </c>
      <c r="L84" s="526" t="str">
        <f ca="1">iCityP!Y67</f>
        <v/>
      </c>
      <c r="M84" s="534"/>
      <c r="O84" s="533"/>
      <c r="BZ84" s="497"/>
      <c r="CA84" s="497"/>
    </row>
    <row r="85" s="492" customFormat="1" ht="24.95" customHeight="1" spans="2:79">
      <c r="B85" s="524">
        <f ca="1" t="shared" si="0"/>
        <v>0</v>
      </c>
      <c r="C85" s="525" t="str">
        <f ca="1">iCityP!T68</f>
        <v/>
      </c>
      <c r="D85" s="526" t="str">
        <f ca="1">iCityP!U68</f>
        <v/>
      </c>
      <c r="F85" s="527">
        <f ca="1" t="shared" si="1"/>
        <v>0</v>
      </c>
      <c r="G85" s="525" t="str">
        <f ca="1">iCityP!V68</f>
        <v/>
      </c>
      <c r="H85" s="526" t="str">
        <f ca="1">iCityP!W68</f>
        <v/>
      </c>
      <c r="I85" s="68"/>
      <c r="J85" s="68">
        <f ca="1" t="shared" si="2"/>
        <v>0</v>
      </c>
      <c r="K85" s="525" t="str">
        <f ca="1">iCityP!X68</f>
        <v/>
      </c>
      <c r="L85" s="526" t="str">
        <f ca="1">iCityP!Y68</f>
        <v/>
      </c>
      <c r="M85" s="534"/>
      <c r="O85" s="533"/>
      <c r="BZ85" s="497"/>
      <c r="CA85" s="497"/>
    </row>
    <row r="86" s="492" customFormat="1" ht="24.95" customHeight="1" spans="2:79">
      <c r="B86" s="524">
        <f ca="1" t="shared" si="0"/>
        <v>0</v>
      </c>
      <c r="C86" s="525" t="str">
        <f ca="1">iCityP!T69</f>
        <v/>
      </c>
      <c r="D86" s="526" t="str">
        <f ca="1">iCityP!U69</f>
        <v/>
      </c>
      <c r="F86" s="527">
        <f ca="1" t="shared" si="1"/>
        <v>0</v>
      </c>
      <c r="G86" s="525" t="str">
        <f ca="1">iCityP!V69</f>
        <v/>
      </c>
      <c r="H86" s="526" t="str">
        <f ca="1">iCityP!W69</f>
        <v/>
      </c>
      <c r="I86" s="68"/>
      <c r="J86" s="68">
        <f ca="1" t="shared" si="2"/>
        <v>0</v>
      </c>
      <c r="K86" s="525" t="str">
        <f ca="1">iCityP!X69</f>
        <v/>
      </c>
      <c r="L86" s="526" t="str">
        <f ca="1">iCityP!Y69</f>
        <v/>
      </c>
      <c r="M86" s="534"/>
      <c r="O86" s="533"/>
      <c r="BZ86" s="497"/>
      <c r="CA86" s="497"/>
    </row>
    <row r="87" s="492" customFormat="1" ht="24.95" customHeight="1" spans="2:79">
      <c r="B87" s="524">
        <f ca="1" t="shared" si="0"/>
        <v>0</v>
      </c>
      <c r="C87" s="525" t="str">
        <f ca="1">iCityP!T70</f>
        <v/>
      </c>
      <c r="D87" s="526" t="str">
        <f ca="1">iCityP!U70</f>
        <v/>
      </c>
      <c r="F87" s="527">
        <f ca="1" t="shared" si="1"/>
        <v>0</v>
      </c>
      <c r="G87" s="525" t="str">
        <f ca="1">iCityP!V70</f>
        <v/>
      </c>
      <c r="H87" s="526" t="str">
        <f ca="1">iCityP!W70</f>
        <v/>
      </c>
      <c r="I87" s="68"/>
      <c r="J87" s="68">
        <f ca="1" t="shared" si="2"/>
        <v>0</v>
      </c>
      <c r="K87" s="525" t="str">
        <f ca="1">iCityP!X70</f>
        <v/>
      </c>
      <c r="L87" s="526" t="str">
        <f ca="1">iCityP!Y70</f>
        <v/>
      </c>
      <c r="M87" s="534"/>
      <c r="O87" s="533"/>
      <c r="BZ87" s="497"/>
      <c r="CA87" s="497"/>
    </row>
    <row r="88" s="492" customFormat="1" ht="24.95" customHeight="1" spans="2:79">
      <c r="B88" s="524">
        <f ca="1" t="shared" si="0"/>
        <v>0</v>
      </c>
      <c r="C88" s="525" t="str">
        <f ca="1">iCityP!T71</f>
        <v/>
      </c>
      <c r="D88" s="526" t="str">
        <f ca="1">iCityP!U71</f>
        <v/>
      </c>
      <c r="F88" s="527">
        <f ca="1" t="shared" si="1"/>
        <v>0</v>
      </c>
      <c r="G88" s="525" t="str">
        <f ca="1">iCityP!V71</f>
        <v/>
      </c>
      <c r="H88" s="526" t="str">
        <f ca="1">iCityP!W71</f>
        <v/>
      </c>
      <c r="I88" s="68"/>
      <c r="J88" s="68">
        <f ca="1" t="shared" si="2"/>
        <v>0</v>
      </c>
      <c r="K88" s="525" t="str">
        <f ca="1">iCityP!X71</f>
        <v/>
      </c>
      <c r="L88" s="526" t="str">
        <f ca="1">iCityP!Y71</f>
        <v/>
      </c>
      <c r="M88" s="534"/>
      <c r="O88" s="533"/>
      <c r="BZ88" s="497"/>
      <c r="CA88" s="497"/>
    </row>
    <row r="89" s="492" customFormat="1" ht="24.95" customHeight="1" spans="2:79">
      <c r="B89" s="524">
        <f ca="1" t="shared" si="0"/>
        <v>0</v>
      </c>
      <c r="C89" s="525" t="str">
        <f ca="1">iCityP!T72</f>
        <v/>
      </c>
      <c r="D89" s="526" t="str">
        <f ca="1">iCityP!U72</f>
        <v/>
      </c>
      <c r="F89" s="527">
        <f ca="1" t="shared" si="1"/>
        <v>0</v>
      </c>
      <c r="G89" s="525" t="str">
        <f ca="1">iCityP!V72</f>
        <v/>
      </c>
      <c r="H89" s="526" t="str">
        <f ca="1">iCityP!W72</f>
        <v/>
      </c>
      <c r="I89" s="68"/>
      <c r="J89" s="68">
        <f ca="1" t="shared" si="2"/>
        <v>0</v>
      </c>
      <c r="K89" s="525" t="str">
        <f ca="1">iCityP!X72</f>
        <v/>
      </c>
      <c r="L89" s="526" t="str">
        <f ca="1">iCityP!Y72</f>
        <v/>
      </c>
      <c r="M89" s="534"/>
      <c r="O89" s="533"/>
      <c r="BZ89" s="497"/>
      <c r="CA89" s="497"/>
    </row>
    <row r="90" s="492" customFormat="1" ht="24.95" customHeight="1" spans="2:79">
      <c r="B90" s="524">
        <f ca="1" t="shared" si="0"/>
        <v>0</v>
      </c>
      <c r="C90" s="525" t="str">
        <f ca="1">iCityP!T73</f>
        <v/>
      </c>
      <c r="D90" s="526" t="str">
        <f ca="1">iCityP!U73</f>
        <v/>
      </c>
      <c r="F90" s="527">
        <f ca="1" t="shared" si="1"/>
        <v>0</v>
      </c>
      <c r="G90" s="525" t="str">
        <f ca="1">iCityP!V73</f>
        <v/>
      </c>
      <c r="H90" s="526" t="str">
        <f ca="1">iCityP!W73</f>
        <v/>
      </c>
      <c r="I90" s="68"/>
      <c r="J90" s="68">
        <f ca="1" t="shared" si="2"/>
        <v>0</v>
      </c>
      <c r="K90" s="525" t="str">
        <f ca="1">iCityP!X73</f>
        <v/>
      </c>
      <c r="L90" s="526" t="str">
        <f ca="1">iCityP!Y73</f>
        <v/>
      </c>
      <c r="M90" s="534"/>
      <c r="O90" s="533"/>
      <c r="BZ90" s="497"/>
      <c r="CA90" s="497"/>
    </row>
    <row r="91" s="492" customFormat="1" ht="24.95" customHeight="1" spans="2:79">
      <c r="B91" s="524">
        <f ca="1" t="shared" si="0"/>
        <v>0</v>
      </c>
      <c r="C91" s="525" t="str">
        <f ca="1">iCityP!T74</f>
        <v/>
      </c>
      <c r="D91" s="526" t="str">
        <f ca="1">iCityP!U74</f>
        <v/>
      </c>
      <c r="F91" s="527">
        <f ca="1" t="shared" si="1"/>
        <v>0</v>
      </c>
      <c r="G91" s="525" t="str">
        <f ca="1">iCityP!V74</f>
        <v/>
      </c>
      <c r="H91" s="526" t="str">
        <f ca="1">iCityP!W74</f>
        <v/>
      </c>
      <c r="I91" s="68"/>
      <c r="J91" s="68">
        <f ca="1" t="shared" si="2"/>
        <v>0</v>
      </c>
      <c r="K91" s="525" t="str">
        <f ca="1">iCityP!X74</f>
        <v/>
      </c>
      <c r="L91" s="526" t="str">
        <f ca="1">iCityP!Y74</f>
        <v/>
      </c>
      <c r="M91" s="534"/>
      <c r="O91" s="533"/>
      <c r="BZ91" s="497"/>
      <c r="CA91" s="497"/>
    </row>
    <row r="92" s="492" customFormat="1" ht="24.95" customHeight="1" spans="2:79">
      <c r="B92" s="524">
        <f ca="1" t="shared" si="0"/>
        <v>0</v>
      </c>
      <c r="C92" s="525" t="str">
        <f ca="1">iCityP!T75</f>
        <v/>
      </c>
      <c r="D92" s="526" t="str">
        <f ca="1">iCityP!U75</f>
        <v/>
      </c>
      <c r="F92" s="527">
        <f ca="1" t="shared" si="1"/>
        <v>0</v>
      </c>
      <c r="G92" s="525" t="str">
        <f ca="1">iCityP!V75</f>
        <v/>
      </c>
      <c r="H92" s="526" t="str">
        <f ca="1">iCityP!W75</f>
        <v/>
      </c>
      <c r="I92" s="68"/>
      <c r="J92" s="68">
        <f ca="1" t="shared" si="2"/>
        <v>0</v>
      </c>
      <c r="K92" s="525" t="str">
        <f ca="1">iCityP!X75</f>
        <v/>
      </c>
      <c r="L92" s="526" t="str">
        <f ca="1">iCityP!Y75</f>
        <v/>
      </c>
      <c r="M92" s="534"/>
      <c r="O92" s="533"/>
      <c r="BZ92" s="497"/>
      <c r="CA92" s="497"/>
    </row>
    <row r="93" s="492" customFormat="1" ht="24.95" customHeight="1" spans="2:79">
      <c r="B93" s="524">
        <f ca="1" t="shared" si="0"/>
        <v>0</v>
      </c>
      <c r="C93" s="525" t="str">
        <f ca="1">iCityP!T76</f>
        <v/>
      </c>
      <c r="D93" s="526" t="str">
        <f ca="1">iCityP!U76</f>
        <v/>
      </c>
      <c r="F93" s="527">
        <f ca="1" t="shared" si="1"/>
        <v>0</v>
      </c>
      <c r="G93" s="525" t="str">
        <f ca="1">iCityP!V76</f>
        <v/>
      </c>
      <c r="H93" s="526" t="str">
        <f ca="1">iCityP!W76</f>
        <v/>
      </c>
      <c r="I93" s="68"/>
      <c r="J93" s="68">
        <f ca="1" t="shared" si="2"/>
        <v>0</v>
      </c>
      <c r="K93" s="525" t="str">
        <f ca="1">iCityP!X76</f>
        <v/>
      </c>
      <c r="L93" s="526" t="str">
        <f ca="1">iCityP!Y76</f>
        <v/>
      </c>
      <c r="M93" s="534"/>
      <c r="O93" s="533"/>
      <c r="BZ93" s="497"/>
      <c r="CA93" s="497"/>
    </row>
    <row r="94" s="492" customFormat="1" ht="24.95" customHeight="1" spans="2:79">
      <c r="B94" s="524">
        <f ca="1" t="shared" si="0"/>
        <v>0</v>
      </c>
      <c r="C94" s="525" t="str">
        <f ca="1">iCityP!T77</f>
        <v/>
      </c>
      <c r="D94" s="526" t="str">
        <f ca="1">iCityP!U77</f>
        <v/>
      </c>
      <c r="F94" s="527">
        <f ca="1" t="shared" si="1"/>
        <v>0</v>
      </c>
      <c r="G94" s="525" t="str">
        <f ca="1">iCityP!V77</f>
        <v/>
      </c>
      <c r="H94" s="526" t="str">
        <f ca="1">iCityP!W77</f>
        <v/>
      </c>
      <c r="I94" s="68"/>
      <c r="J94" s="68">
        <f ca="1" t="shared" si="2"/>
        <v>0</v>
      </c>
      <c r="K94" s="525" t="str">
        <f ca="1">iCityP!X77</f>
        <v/>
      </c>
      <c r="L94" s="526" t="str">
        <f ca="1">iCityP!Y77</f>
        <v/>
      </c>
      <c r="M94" s="534"/>
      <c r="O94" s="533"/>
      <c r="BZ94" s="497"/>
      <c r="CA94" s="497"/>
    </row>
    <row r="95" s="492" customFormat="1" ht="24.95" customHeight="1" spans="2:79">
      <c r="B95" s="524">
        <f ca="1" t="shared" si="0"/>
        <v>0</v>
      </c>
      <c r="C95" s="525" t="str">
        <f ca="1">iCityP!T78</f>
        <v/>
      </c>
      <c r="D95" s="526" t="str">
        <f ca="1">iCityP!U78</f>
        <v/>
      </c>
      <c r="F95" s="527">
        <f ca="1" t="shared" si="1"/>
        <v>0</v>
      </c>
      <c r="G95" s="525" t="str">
        <f ca="1">iCityP!V78</f>
        <v/>
      </c>
      <c r="H95" s="526" t="str">
        <f ca="1">iCityP!W78</f>
        <v/>
      </c>
      <c r="I95" s="68"/>
      <c r="J95" s="68">
        <f ca="1" t="shared" si="2"/>
        <v>0</v>
      </c>
      <c r="K95" s="525" t="str">
        <f ca="1">iCityP!X78</f>
        <v/>
      </c>
      <c r="L95" s="526" t="str">
        <f ca="1">iCityP!Y78</f>
        <v/>
      </c>
      <c r="M95" s="534"/>
      <c r="O95" s="533"/>
      <c r="BZ95" s="497"/>
      <c r="CA95" s="497"/>
    </row>
    <row r="96" s="492" customFormat="1" ht="24.95" customHeight="1" spans="2:79">
      <c r="B96" s="524">
        <f ca="1" t="shared" si="0"/>
        <v>0</v>
      </c>
      <c r="C96" s="525" t="str">
        <f ca="1">iCityP!T79</f>
        <v/>
      </c>
      <c r="D96" s="526" t="str">
        <f ca="1">iCityP!U79</f>
        <v/>
      </c>
      <c r="F96" s="527">
        <f ca="1" t="shared" si="1"/>
        <v>0</v>
      </c>
      <c r="G96" s="525" t="str">
        <f ca="1">iCityP!V79</f>
        <v/>
      </c>
      <c r="H96" s="526" t="str">
        <f ca="1">iCityP!W79</f>
        <v/>
      </c>
      <c r="I96" s="68"/>
      <c r="J96" s="68">
        <f ca="1" t="shared" si="2"/>
        <v>0</v>
      </c>
      <c r="K96" s="525" t="str">
        <f ca="1">iCityP!X79</f>
        <v/>
      </c>
      <c r="L96" s="526" t="str">
        <f ca="1">iCityP!Y79</f>
        <v/>
      </c>
      <c r="M96" s="534"/>
      <c r="O96" s="533"/>
      <c r="BZ96" s="497"/>
      <c r="CA96" s="497"/>
    </row>
    <row r="97" s="424" customFormat="1" spans="2:13">
      <c r="B97" s="493"/>
      <c r="F97" s="490"/>
      <c r="G97" s="68"/>
      <c r="H97" s="68"/>
      <c r="I97" s="68"/>
      <c r="J97" s="68"/>
      <c r="K97" s="68"/>
      <c r="L97" s="68"/>
      <c r="M97" s="528"/>
    </row>
    <row r="98" s="424" customFormat="1" spans="2:13">
      <c r="B98" s="493"/>
      <c r="F98" s="490"/>
      <c r="G98" s="68"/>
      <c r="H98" s="68"/>
      <c r="I98" s="68"/>
      <c r="J98" s="68"/>
      <c r="K98" s="68"/>
      <c r="L98" s="68"/>
      <c r="M98" s="528"/>
    </row>
    <row r="99" s="424" customFormat="1" spans="2:13">
      <c r="B99" s="493"/>
      <c r="F99" s="490"/>
      <c r="G99" s="68"/>
      <c r="H99" s="68"/>
      <c r="I99" s="68"/>
      <c r="J99" s="68"/>
      <c r="K99" s="68"/>
      <c r="L99" s="68"/>
      <c r="M99" s="528"/>
    </row>
    <row r="100" s="424" customFormat="1" spans="2:13">
      <c r="B100" s="493"/>
      <c r="F100" s="490"/>
      <c r="G100" s="68"/>
      <c r="H100" s="68"/>
      <c r="I100" s="68"/>
      <c r="J100" s="68"/>
      <c r="K100" s="68"/>
      <c r="L100" s="68"/>
      <c r="M100" s="528"/>
    </row>
    <row r="101" s="424" customFormat="1" spans="2:13">
      <c r="B101" s="493"/>
      <c r="F101" s="490"/>
      <c r="G101" s="68"/>
      <c r="H101" s="68"/>
      <c r="I101" s="68"/>
      <c r="J101" s="68"/>
      <c r="K101" s="68"/>
      <c r="L101" s="68"/>
      <c r="M101" s="528"/>
    </row>
    <row r="102" s="424" customFormat="1" spans="2:13">
      <c r="B102" s="493"/>
      <c r="F102" s="490"/>
      <c r="G102" s="68"/>
      <c r="H102" s="68"/>
      <c r="I102" s="68"/>
      <c r="J102" s="68"/>
      <c r="K102" s="68"/>
      <c r="L102" s="68"/>
      <c r="M102" s="528"/>
    </row>
    <row r="103" s="424" customFormat="1" spans="2:13">
      <c r="B103" s="493"/>
      <c r="F103" s="490"/>
      <c r="G103" s="68"/>
      <c r="H103" s="68"/>
      <c r="I103" s="68"/>
      <c r="J103" s="68"/>
      <c r="K103" s="68"/>
      <c r="L103" s="68"/>
      <c r="M103" s="528"/>
    </row>
    <row r="104" s="424" customFormat="1" spans="2:13">
      <c r="B104" s="493"/>
      <c r="F104" s="490"/>
      <c r="G104" s="68"/>
      <c r="H104" s="68"/>
      <c r="I104" s="68"/>
      <c r="J104" s="68"/>
      <c r="K104" s="68"/>
      <c r="L104" s="68"/>
      <c r="M104" s="528"/>
    </row>
    <row r="105" s="424" customFormat="1" spans="2:13">
      <c r="B105" s="493"/>
      <c r="F105" s="490"/>
      <c r="G105" s="68"/>
      <c r="H105" s="68"/>
      <c r="I105" s="68"/>
      <c r="J105" s="68"/>
      <c r="K105" s="68"/>
      <c r="L105" s="68"/>
      <c r="M105" s="528"/>
    </row>
    <row r="106" s="424" customFormat="1" spans="2:13">
      <c r="B106" s="493"/>
      <c r="F106" s="490"/>
      <c r="G106" s="68"/>
      <c r="H106" s="68"/>
      <c r="I106" s="68"/>
      <c r="J106" s="68"/>
      <c r="K106" s="68"/>
      <c r="L106" s="68"/>
      <c r="M106" s="528"/>
    </row>
    <row r="107" s="424" customFormat="1" spans="2:13">
      <c r="B107" s="493"/>
      <c r="F107" s="490"/>
      <c r="G107" s="68"/>
      <c r="H107" s="68"/>
      <c r="I107" s="68"/>
      <c r="J107" s="68"/>
      <c r="K107" s="68"/>
      <c r="L107" s="68"/>
      <c r="M107" s="528"/>
    </row>
    <row r="108" s="424" customFormat="1" spans="2:13">
      <c r="B108" s="493"/>
      <c r="F108" s="490"/>
      <c r="G108" s="68"/>
      <c r="H108" s="68"/>
      <c r="I108" s="68"/>
      <c r="J108" s="68"/>
      <c r="K108" s="68"/>
      <c r="L108" s="68"/>
      <c r="M108" s="528"/>
    </row>
    <row r="109" s="424" customFormat="1" spans="2:13">
      <c r="B109" s="493"/>
      <c r="F109" s="490"/>
      <c r="L109" s="528"/>
      <c r="M109" s="528"/>
    </row>
    <row r="110" s="424" customFormat="1" spans="2:13">
      <c r="B110" s="493"/>
      <c r="F110" s="490"/>
      <c r="L110" s="528"/>
      <c r="M110" s="528"/>
    </row>
    <row r="111" s="424" customFormat="1" spans="2:13">
      <c r="B111" s="493"/>
      <c r="F111" s="490"/>
      <c r="L111" s="528"/>
      <c r="M111" s="528"/>
    </row>
    <row r="112" s="424" customFormat="1" spans="2:13">
      <c r="B112" s="493"/>
      <c r="F112" s="490"/>
      <c r="L112" s="528"/>
      <c r="M112" s="528"/>
    </row>
    <row r="113" s="424" customFormat="1" spans="2:13">
      <c r="B113" s="493"/>
      <c r="F113" s="490"/>
      <c r="L113" s="528"/>
      <c r="M113" s="528"/>
    </row>
    <row r="114" s="424" customFormat="1" spans="2:13">
      <c r="B114" s="493"/>
      <c r="F114" s="490"/>
      <c r="L114" s="528"/>
      <c r="M114" s="528"/>
    </row>
    <row r="115" s="424" customFormat="1" spans="2:13">
      <c r="B115" s="493"/>
      <c r="F115" s="490"/>
      <c r="L115" s="528"/>
      <c r="M115" s="528"/>
    </row>
    <row r="116" s="424" customFormat="1" spans="2:13">
      <c r="B116" s="493"/>
      <c r="F116" s="490"/>
      <c r="L116" s="528"/>
      <c r="M116" s="528"/>
    </row>
    <row r="120" spans="1:1">
      <c r="A120" s="424"/>
    </row>
  </sheetData>
  <sheetProtection password="A0BB" sheet="1" objects="1" scenarios="1"/>
  <mergeCells count="3">
    <mergeCell ref="C33:D34"/>
    <mergeCell ref="G33:H34"/>
    <mergeCell ref="K33:L34"/>
  </mergeCells>
  <conditionalFormatting sqref="C35:D96">
    <cfRule type="expression" dxfId="21" priority="10">
      <formula>$B35=0</formula>
    </cfRule>
    <cfRule type="expression" dxfId="22" priority="7">
      <formula>$B35=2</formula>
    </cfRule>
    <cfRule type="expression" dxfId="23" priority="8">
      <formula>$B35=3</formula>
    </cfRule>
    <cfRule type="expression" dxfId="8" priority="9">
      <formula>$B35=0</formula>
    </cfRule>
  </conditionalFormatting>
  <conditionalFormatting sqref="G35:H96">
    <cfRule type="expression" dxfId="22" priority="4">
      <formula>$F35=2</formula>
    </cfRule>
    <cfRule type="expression" dxfId="23" priority="5">
      <formula>$F35=3</formula>
    </cfRule>
    <cfRule type="expression" dxfId="8" priority="6">
      <formula>$F35=0</formula>
    </cfRule>
  </conditionalFormatting>
  <conditionalFormatting sqref="K35:L96">
    <cfRule type="expression" dxfId="22" priority="1">
      <formula>$J35=2</formula>
    </cfRule>
    <cfRule type="expression" dxfId="23" priority="2">
      <formula>$J35=3</formula>
    </cfRule>
    <cfRule type="expression" dxfId="8" priority="3">
      <formula>$J35=0</formula>
    </cfRule>
  </conditionalFormatting>
  <pageMargins left="0.551181102362205" right="0.551181102362205" top="0.590551181102362" bottom="0.78740157480315" header="0.511811023622047" footer="0.511811023622047"/>
  <pageSetup paperSize="9" orientation="landscape" horizontalDpi="1200" verticalDpi="1200"/>
  <headerFooter alignWithMargins="0">
    <oddHeader>&amp;RSafe Cities Index : 2017</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3369346" name="GroupSelect" r:id="rId3">
              <controlPr print="0" defaultSize="0">
                <anchor>
                  <from>
                    <xdr:col>0</xdr:col>
                    <xdr:colOff>104140</xdr:colOff>
                    <xdr:row>2</xdr:row>
                    <xdr:rowOff>628650</xdr:rowOff>
                  </from>
                  <to>
                    <xdr:col>2</xdr:col>
                    <xdr:colOff>1458595</xdr:colOff>
                    <xdr:row>2</xdr:row>
                    <xdr:rowOff>840105</xdr:rowOff>
                  </to>
                </anchor>
              </controlPr>
            </control>
          </mc:Choice>
        </mc:AlternateContent>
        <mc:AlternateContent xmlns:mc="http://schemas.openxmlformats.org/markup-compatibility/2006">
          <mc:Choice Requires="x14">
            <control shapeId="13369349" name="Drop Down 5" r:id="rId4">
              <controlPr print="0" defaultSize="0">
                <anchor>
                  <from>
                    <xdr:col>2</xdr:col>
                    <xdr:colOff>1972945</xdr:colOff>
                    <xdr:row>2</xdr:row>
                    <xdr:rowOff>628650</xdr:rowOff>
                  </from>
                  <to>
                    <xdr:col>2</xdr:col>
                    <xdr:colOff>3382010</xdr:colOff>
                    <xdr:row>2</xdr:row>
                    <xdr:rowOff>840105</xdr:rowOff>
                  </to>
                </anchor>
              </controlPr>
            </control>
          </mc:Choice>
        </mc:AlternateContent>
        <mc:AlternateContent xmlns:mc="http://schemas.openxmlformats.org/markup-compatibility/2006">
          <mc:Choice Requires="x14">
            <control shapeId="13369348" name="Drop Down 4" r:id="rId5">
              <controlPr print="0" defaultSize="0">
                <anchor moveWithCells="1">
                  <from>
                    <xdr:col>2</xdr:col>
                    <xdr:colOff>57150</xdr:colOff>
                    <xdr:row>30</xdr:row>
                    <xdr:rowOff>66675</xdr:rowOff>
                  </from>
                  <to>
                    <xdr:col>2</xdr:col>
                    <xdr:colOff>2143125</xdr:colOff>
                    <xdr:row>31</xdr:row>
                    <xdr:rowOff>76200</xdr:rowOff>
                  </to>
                </anchor>
              </controlPr>
            </control>
          </mc:Choice>
        </mc:AlternateContent>
        <mc:AlternateContent xmlns:mc="http://schemas.openxmlformats.org/markup-compatibility/2006">
          <mc:Choice Requires="x14">
            <control shapeId="13369347" name="Drop Down 3" r:id="rId6">
              <controlPr print="0" defaultSize="0">
                <anchor>
                  <from>
                    <xdr:col>10</xdr:col>
                    <xdr:colOff>1439545</xdr:colOff>
                    <xdr:row>2</xdr:row>
                    <xdr:rowOff>637540</xdr:rowOff>
                  </from>
                  <to>
                    <xdr:col>10</xdr:col>
                    <xdr:colOff>3525520</xdr:colOff>
                    <xdr:row>2</xdr:row>
                    <xdr:rowOff>850265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CA145"/>
  <sheetViews>
    <sheetView showGridLines="0" showRowColHeaders="0" zoomScale="90" zoomScaleNormal="90" workbookViewId="0">
      <pane ySplit="3" topLeftCell="A4" activePane="bottomLeft" state="frozen"/>
      <selection/>
      <selection pane="bottomLeft" activeCell="A1" sqref="A1"/>
    </sheetView>
  </sheetViews>
  <sheetFormatPr defaultColWidth="9" defaultRowHeight="15"/>
  <cols>
    <col min="1" max="1" width="1.71428571428571" style="423" customWidth="1"/>
    <col min="2" max="2" width="4.71428571428571" style="426" hidden="1" customWidth="1"/>
    <col min="3" max="3" width="2.14285714285714" style="68" hidden="1" customWidth="1"/>
    <col min="4" max="4" width="3.28571428571429" style="68" hidden="1" customWidth="1"/>
    <col min="5" max="5" width="73.2857142857143" style="427" customWidth="1"/>
    <col min="6" max="6" width="34.7142857142857" style="428" hidden="1" customWidth="1"/>
    <col min="7" max="7" width="1.42857142857143" style="429" customWidth="1"/>
    <col min="8" max="8" width="8.28571428571429" style="428" customWidth="1"/>
    <col min="9" max="9" width="2.57142857142857" style="430" hidden="1" customWidth="1"/>
    <col min="10" max="10" width="8.28571428571429" style="431" customWidth="1"/>
    <col min="11" max="11" width="1" style="68" customWidth="1"/>
    <col min="12" max="12" width="8.28571428571429" style="428" customWidth="1"/>
    <col min="13" max="13" width="3.71428571428571" style="430" hidden="1" customWidth="1"/>
    <col min="14" max="14" width="7.71428571428571" style="431" customWidth="1"/>
    <col min="15" max="15" width="1" style="68" hidden="1" customWidth="1"/>
    <col min="16" max="16" width="8.28571428571429" style="428" hidden="1" customWidth="1"/>
    <col min="17" max="17" width="8.28571428571429" style="431" hidden="1" customWidth="1"/>
    <col min="18" max="18" width="1" style="68" hidden="1" customWidth="1"/>
    <col min="19" max="19" width="8.28571428571429" style="428" hidden="1" customWidth="1"/>
    <col min="20" max="20" width="8.28571428571429" style="431" hidden="1" customWidth="1"/>
    <col min="21" max="21" width="1" style="423" customWidth="1"/>
    <col min="22" max="23" width="9.14285714285714" style="423"/>
    <col min="24" max="24" width="50" style="432" customWidth="1"/>
    <col min="25" max="25" width="10.8571428571429" style="429" customWidth="1"/>
    <col min="26" max="29" width="2.14285714285714" style="433" hidden="1" customWidth="1"/>
    <col min="30" max="30" width="10.8571428571429" style="429" customWidth="1"/>
    <col min="31" max="31" width="14.2857142857143" style="429" hidden="1" customWidth="1"/>
    <col min="32" max="32" width="1.57142857142857" style="429" hidden="1" customWidth="1"/>
    <col min="33" max="43" width="11.4285714285714" style="429" hidden="1" customWidth="1"/>
    <col min="44" max="52" width="9" style="429" hidden="1" customWidth="1"/>
    <col min="53" max="61" width="9.14285714285714" style="429"/>
    <col min="62" max="16384" width="9.14285714285714" style="68"/>
  </cols>
  <sheetData>
    <row r="1" s="64" customFormat="1" ht="29.1" customHeight="1" spans="1:54">
      <c r="A1" s="77"/>
      <c r="B1" s="78"/>
      <c r="D1" s="79"/>
      <c r="E1" s="79" t="str">
        <f>uxb_works!B90</f>
        <v>Safe Cities Index: 2017</v>
      </c>
      <c r="P1" s="93"/>
      <c r="R1" s="65"/>
      <c r="S1" s="65"/>
      <c r="V1" s="65"/>
      <c r="BA1" s="77">
        <v>3</v>
      </c>
      <c r="BB1" s="77">
        <v>1</v>
      </c>
    </row>
    <row r="2" s="64" customFormat="1" ht="29.1" customHeight="1" spans="1:22">
      <c r="A2" s="434"/>
      <c r="B2" s="435"/>
      <c r="C2" s="93"/>
      <c r="D2" s="93"/>
      <c r="E2" s="93"/>
      <c r="F2" s="93"/>
      <c r="G2" s="93"/>
      <c r="H2" s="93"/>
      <c r="I2" s="93"/>
      <c r="J2" s="93"/>
      <c r="K2" s="93"/>
      <c r="L2" s="93"/>
      <c r="P2" s="93"/>
      <c r="R2" s="65"/>
      <c r="S2" s="65"/>
      <c r="V2" s="65"/>
    </row>
    <row r="3" s="65" customFormat="1" ht="71.1" customHeight="1" spans="1:16">
      <c r="A3" s="436"/>
      <c r="B3" s="437"/>
      <c r="C3" s="306"/>
      <c r="D3" s="306"/>
      <c r="E3" s="306"/>
      <c r="F3" s="306"/>
      <c r="G3" s="306"/>
      <c r="H3" s="306"/>
      <c r="I3" s="306"/>
      <c r="J3" s="306"/>
      <c r="K3" s="306"/>
      <c r="L3" s="306"/>
      <c r="P3" s="306"/>
    </row>
    <row r="4" s="423" customFormat="1" ht="36.75" customHeight="1" spans="2:61">
      <c r="B4" s="426"/>
      <c r="E4" s="438" t="str">
        <f>"Scores relating to "&amp;uxb_works!C46&amp;" index"</f>
        <v>Scores relating to 2017 index</v>
      </c>
      <c r="F4" s="439"/>
      <c r="H4" s="439"/>
      <c r="I4" s="459"/>
      <c r="J4" s="459"/>
      <c r="L4" s="459"/>
      <c r="M4" s="459"/>
      <c r="N4" s="460"/>
      <c r="O4" s="439">
        <f>IF(OR(iCityCompare!B1=3,iCityCompare!B1=4),1,0)</f>
        <v>0</v>
      </c>
      <c r="P4" s="439">
        <f>IF(uxb_works!$B$26=1,0,1)</f>
        <v>0</v>
      </c>
      <c r="Q4" s="439">
        <f>IF(uxb_works!$B$26=1,0,1)</f>
        <v>0</v>
      </c>
      <c r="R4" s="439">
        <f>IF(uxb_works!$B$26=1,0,1)</f>
        <v>0</v>
      </c>
      <c r="S4" s="439">
        <f>IF(uxb_works!$B$27=1,0,1)</f>
        <v>0</v>
      </c>
      <c r="T4" s="439">
        <f>IF(uxb_works!$B$27=1,0,1)</f>
        <v>0</v>
      </c>
      <c r="X4" s="432"/>
      <c r="Y4" s="429"/>
      <c r="Z4" s="433"/>
      <c r="AA4" s="433"/>
      <c r="AB4" s="433"/>
      <c r="AC4" s="433"/>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row>
    <row r="5" ht="49.5" customHeight="1" spans="5:20">
      <c r="E5" s="440" t="s">
        <v>23</v>
      </c>
      <c r="F5" s="441"/>
      <c r="H5" s="441"/>
      <c r="I5" s="461"/>
      <c r="J5" s="462"/>
      <c r="L5" s="462"/>
      <c r="M5" s="462"/>
      <c r="N5" s="463"/>
      <c r="P5" s="441"/>
      <c r="Q5" s="462"/>
      <c r="S5" s="462"/>
      <c r="T5" s="463"/>
    </row>
    <row r="6" ht="7.5" hidden="1" customHeight="1" spans="5:79">
      <c r="E6" s="442"/>
      <c r="F6" s="441"/>
      <c r="H6" s="441"/>
      <c r="I6" s="461"/>
      <c r="J6" s="462"/>
      <c r="L6" s="462"/>
      <c r="M6" s="462"/>
      <c r="N6" s="463"/>
      <c r="P6" s="441"/>
      <c r="Q6" s="462"/>
      <c r="S6" s="462"/>
      <c r="T6" s="463"/>
      <c r="BZ6" s="489"/>
      <c r="CA6" s="489"/>
    </row>
    <row r="7" s="425" customFormat="1" ht="39.75" customHeight="1" spans="1:79">
      <c r="A7" s="443"/>
      <c r="B7" s="444"/>
      <c r="E7" s="445"/>
      <c r="G7" s="429"/>
      <c r="H7" s="446" t="str">
        <f ca="1">iCityCompare!G2</f>
        <v>Abu Dhabi</v>
      </c>
      <c r="I7" s="464"/>
      <c r="J7" s="465"/>
      <c r="K7" s="466"/>
      <c r="L7" s="467" t="str">
        <f ca="1">iCityCompare!G3</f>
        <v>Abu Dhabi</v>
      </c>
      <c r="M7" s="468"/>
      <c r="N7" s="469"/>
      <c r="O7" s="466"/>
      <c r="P7" s="470" t="str">
        <f ca="1">iCityCompare!G4</f>
        <v>&lt;none&gt;</v>
      </c>
      <c r="Q7" s="478"/>
      <c r="R7" s="466"/>
      <c r="S7" s="479" t="str">
        <f ca="1">iCityCompare!G5</f>
        <v>&lt;none&gt;</v>
      </c>
      <c r="T7" s="480"/>
      <c r="U7" s="443"/>
      <c r="V7" s="443"/>
      <c r="W7" s="443"/>
      <c r="X7" s="481"/>
      <c r="Y7" s="484"/>
      <c r="Z7" s="485"/>
      <c r="AA7" s="485"/>
      <c r="AB7" s="485"/>
      <c r="AC7" s="485"/>
      <c r="AD7" s="484"/>
      <c r="AE7" s="484"/>
      <c r="AF7" s="484"/>
      <c r="AG7" s="484"/>
      <c r="AH7" s="484"/>
      <c r="AI7" s="484"/>
      <c r="AJ7" s="484"/>
      <c r="AK7" s="484"/>
      <c r="AL7" s="484"/>
      <c r="AM7" s="484"/>
      <c r="AN7" s="484"/>
      <c r="AO7" s="484"/>
      <c r="AP7" s="484"/>
      <c r="AQ7" s="484"/>
      <c r="AR7" s="484"/>
      <c r="AS7" s="484"/>
      <c r="AT7" s="484"/>
      <c r="AU7" s="484"/>
      <c r="AV7" s="484"/>
      <c r="AW7" s="484"/>
      <c r="AX7" s="484"/>
      <c r="AY7" s="484"/>
      <c r="AZ7" s="484"/>
      <c r="BA7" s="484"/>
      <c r="BB7" s="484"/>
      <c r="BC7" s="484"/>
      <c r="BD7" s="484"/>
      <c r="BE7" s="484"/>
      <c r="BF7" s="484"/>
      <c r="BG7" s="484"/>
      <c r="BH7" s="484"/>
      <c r="BI7" s="484"/>
      <c r="BZ7" s="489"/>
      <c r="CA7" s="489"/>
    </row>
    <row r="8" ht="15.75" spans="5:79">
      <c r="E8" s="447"/>
      <c r="F8" s="448"/>
      <c r="H8" s="449" t="s">
        <v>24</v>
      </c>
      <c r="I8" s="471" t="s">
        <v>25</v>
      </c>
      <c r="J8" s="472" t="s">
        <v>26</v>
      </c>
      <c r="K8" s="473"/>
      <c r="L8" s="449" t="s">
        <v>24</v>
      </c>
      <c r="M8" s="471" t="s">
        <v>25</v>
      </c>
      <c r="N8" s="472" t="s">
        <v>26</v>
      </c>
      <c r="O8" s="473"/>
      <c r="P8" s="449" t="s">
        <v>24</v>
      </c>
      <c r="Q8" s="472" t="s">
        <v>26</v>
      </c>
      <c r="R8" s="473"/>
      <c r="S8" s="449" t="s">
        <v>24</v>
      </c>
      <c r="T8" s="472" t="s">
        <v>26</v>
      </c>
      <c r="BZ8" s="489"/>
      <c r="CA8" s="489"/>
    </row>
    <row r="9" s="388" customFormat="1" ht="26.25" customHeight="1" spans="1:79">
      <c r="A9" s="450"/>
      <c r="B9" s="420"/>
      <c r="E9" s="451" t="s">
        <v>27</v>
      </c>
      <c r="F9" s="452"/>
      <c r="G9" s="414"/>
      <c r="H9" s="453">
        <f ca="1">iCityCompare!D2</f>
        <v>76.9075622869516</v>
      </c>
      <c r="I9" s="474"/>
      <c r="J9" s="475">
        <f ca="1">iCityCompare!E2</f>
        <v>28</v>
      </c>
      <c r="L9" s="453">
        <f ca="1">iCityCompare!D3</f>
        <v>76.9075622869516</v>
      </c>
      <c r="M9" s="474"/>
      <c r="N9" s="475">
        <f ca="1">iCityCompare!E3</f>
        <v>28</v>
      </c>
      <c r="P9" s="453" t="e">
        <f ca="1">iCityCompare!D4</f>
        <v>#VALUE!</v>
      </c>
      <c r="Q9" s="475">
        <f ca="1">iCityCompare!E4</f>
        <v>49</v>
      </c>
      <c r="S9" s="453" t="e">
        <f ca="1">iCityCompare!D5</f>
        <v>#VALUE!</v>
      </c>
      <c r="T9" s="475">
        <f ca="1">iCityCompare!E5</f>
        <v>49</v>
      </c>
      <c r="U9" s="450"/>
      <c r="V9" s="450"/>
      <c r="W9" s="450"/>
      <c r="X9" s="482" t="str">
        <f>E9</f>
        <v>OVERALL SCORE</v>
      </c>
      <c r="Y9" s="414"/>
      <c r="Z9" s="486"/>
      <c r="AA9" s="486"/>
      <c r="AB9" s="486"/>
      <c r="AC9" s="486"/>
      <c r="AD9" s="414"/>
      <c r="AE9" s="487"/>
      <c r="AF9" s="414"/>
      <c r="AG9" s="414"/>
      <c r="AH9" s="414"/>
      <c r="AI9" s="414"/>
      <c r="AJ9" s="414"/>
      <c r="AK9" s="414"/>
      <c r="AL9" s="414"/>
      <c r="AM9" s="414"/>
      <c r="AN9" s="414"/>
      <c r="AO9" s="414"/>
      <c r="AP9" s="414"/>
      <c r="AQ9" s="414"/>
      <c r="AR9" s="414"/>
      <c r="AS9" s="414"/>
      <c r="AT9" s="414"/>
      <c r="AU9" s="414"/>
      <c r="AV9" s="414"/>
      <c r="AW9" s="414"/>
      <c r="AX9" s="414"/>
      <c r="AY9" s="414"/>
      <c r="AZ9" s="414"/>
      <c r="BA9" s="414"/>
      <c r="BB9" s="414"/>
      <c r="BC9" s="414"/>
      <c r="BD9" s="414"/>
      <c r="BE9" s="414"/>
      <c r="BF9" s="414"/>
      <c r="BG9" s="414"/>
      <c r="BH9" s="414"/>
      <c r="BI9" s="414"/>
      <c r="BZ9" s="489"/>
      <c r="CA9" s="489"/>
    </row>
    <row r="10" s="407" customFormat="1" customHeight="1" spans="1:79">
      <c r="A10" s="454">
        <f ca="1">iCityCompare!Q11</f>
        <v>1</v>
      </c>
      <c r="B10" s="455"/>
      <c r="C10" s="407">
        <f ca="1">IF(H10="",0,1)</f>
        <v>1</v>
      </c>
      <c r="D10" s="407">
        <f ca="1">iCityCompare!T11</f>
        <v>1</v>
      </c>
      <c r="E10" s="456" t="str">
        <f ca="1">IF(iCityCompare!Y11="","",REPT(" ",A10)&amp;iCityCompare!Y11)</f>
        <v> 1) DIGITAL SECURITY</v>
      </c>
      <c r="F10" s="457">
        <f ca="1" t="shared" ref="F10:F70" si="0">IF($J10&gt;$N10,1,IF($J10&lt;$N10,2,0))</f>
        <v>0</v>
      </c>
      <c r="G10" s="280">
        <v>0</v>
      </c>
      <c r="H10" s="458">
        <f ca="1">iCityCompare!Z11</f>
        <v>68.7742107919604</v>
      </c>
      <c r="I10" s="476" t="str">
        <f ca="1">TEXT(iCityCompare!AA11,iCityCompare!AT11)</f>
        <v/>
      </c>
      <c r="J10" s="477" t="str">
        <f ca="1">iCityCompare!AH11</f>
        <v>28</v>
      </c>
      <c r="L10" s="458">
        <f ca="1">iCityCompare!AB11</f>
        <v>68.7742107919604</v>
      </c>
      <c r="M10" s="476" t="str">
        <f ca="1">TEXT(iCityCompare!AC11,iCityCompare!AT11)</f>
        <v/>
      </c>
      <c r="N10" s="477" t="str">
        <f ca="1">iCityCompare!AI11</f>
        <v>28</v>
      </c>
      <c r="P10" s="458" t="e">
        <f ca="1">iCityCompare!AD11</f>
        <v>#VALUE!</v>
      </c>
      <c r="Q10" s="477" t="str">
        <f ca="1">iCityCompare!AJ11</f>
        <v>25</v>
      </c>
      <c r="S10" s="458" t="e">
        <f ca="1">iCityCompare!AF11</f>
        <v>#VALUE!</v>
      </c>
      <c r="T10" s="477" t="str">
        <f ca="1">iCityCompare!AK11</f>
        <v>51</v>
      </c>
      <c r="U10" s="454"/>
      <c r="V10" s="454"/>
      <c r="W10" s="454"/>
      <c r="X10" s="483" t="str">
        <f ca="1">E10</f>
        <v> 1) DIGITAL SECURITY</v>
      </c>
      <c r="Y10" s="280"/>
      <c r="Z10" s="488">
        <f ca="1">iCityCompare!BC11</f>
        <v>2</v>
      </c>
      <c r="AA10" s="488">
        <f ca="1">iCityCompare!BD11</f>
        <v>2</v>
      </c>
      <c r="AB10" s="488">
        <f ca="1">iCityCompare!BE11</f>
        <v>0</v>
      </c>
      <c r="AC10" s="488">
        <f ca="1">iCityCompare!BF11</f>
        <v>1</v>
      </c>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Z10" s="489"/>
      <c r="CA10" s="489"/>
    </row>
    <row r="11" s="407" customFormat="1" customHeight="1" spans="1:79">
      <c r="A11" s="454">
        <f ca="1">iCityCompare!Q12</f>
        <v>2</v>
      </c>
      <c r="B11" s="455"/>
      <c r="C11" s="407">
        <f ca="1" t="shared" ref="C11:C70" si="1">IF(H11="",0,1)</f>
        <v>1</v>
      </c>
      <c r="D11" s="407">
        <f ca="1">iCityCompare!T12</f>
        <v>2</v>
      </c>
      <c r="E11" s="456" t="str">
        <f ca="1">IF(iCityCompare!Y12="","",REPT(" ",A11)&amp;iCityCompare!Y12)</f>
        <v>  1.1) Digital security (Inputs)</v>
      </c>
      <c r="F11" s="457">
        <f ca="1" t="shared" si="0"/>
        <v>0</v>
      </c>
      <c r="G11" s="280">
        <v>0</v>
      </c>
      <c r="H11" s="458">
        <f ca="1">iCityCompare!Z12</f>
        <v>63.3333333333333</v>
      </c>
      <c r="I11" s="476" t="str">
        <f ca="1">TEXT(iCityCompare!AA12,iCityCompare!AT12)</f>
        <v/>
      </c>
      <c r="J11" s="477" t="str">
        <f ca="1">iCityCompare!AH12</f>
        <v>=29</v>
      </c>
      <c r="L11" s="458">
        <f ca="1">iCityCompare!AB12</f>
        <v>63.3333333333333</v>
      </c>
      <c r="M11" s="476" t="str">
        <f ca="1">TEXT(iCityCompare!AC12,iCityCompare!AT12)</f>
        <v/>
      </c>
      <c r="N11" s="477" t="str">
        <f ca="1">iCityCompare!AI12</f>
        <v>=29</v>
      </c>
      <c r="P11" s="458" t="e">
        <f ca="1">iCityCompare!AD12</f>
        <v>#VALUE!</v>
      </c>
      <c r="Q11" s="477" t="str">
        <f ca="1">iCityCompare!AJ12</f>
        <v>14</v>
      </c>
      <c r="S11" s="458" t="e">
        <f ca="1">iCityCompare!AF12</f>
        <v>#VALUE!</v>
      </c>
      <c r="T11" s="477" t="str">
        <f ca="1">iCityCompare!AK12</f>
        <v>=49</v>
      </c>
      <c r="U11" s="454"/>
      <c r="V11" s="454"/>
      <c r="W11" s="454"/>
      <c r="X11" s="483" t="str">
        <f ca="1" t="shared" ref="X11:X70" si="2">E11</f>
        <v>  1.1) Digital security (Inputs)</v>
      </c>
      <c r="Y11" s="280"/>
      <c r="Z11" s="488">
        <f ca="1">iCityCompare!BC12</f>
        <v>2</v>
      </c>
      <c r="AA11" s="488">
        <f ca="1">iCityCompare!BD12</f>
        <v>2</v>
      </c>
      <c r="AB11" s="488">
        <f ca="1">iCityCompare!BE12</f>
        <v>0</v>
      </c>
      <c r="AC11" s="488">
        <f ca="1">iCityCompare!BF12</f>
        <v>1</v>
      </c>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Z11" s="489"/>
      <c r="CA11" s="489"/>
    </row>
    <row r="12" s="407" customFormat="1" customHeight="1" spans="1:79">
      <c r="A12" s="454">
        <f ca="1">iCityCompare!Q13</f>
        <v>3</v>
      </c>
      <c r="B12" s="455"/>
      <c r="C12" s="407">
        <f ca="1" t="shared" si="1"/>
        <v>1</v>
      </c>
      <c r="D12" s="407">
        <f ca="1">iCityCompare!T13</f>
        <v>3</v>
      </c>
      <c r="E12" s="456" t="str">
        <f ca="1">IF(iCityCompare!Y13="","",REPT(" ",A12)&amp;iCityCompare!Y13)</f>
        <v>   1.1.1) Privacy policy</v>
      </c>
      <c r="F12" s="457">
        <f ca="1" t="shared" si="0"/>
        <v>0</v>
      </c>
      <c r="G12" s="280">
        <v>0</v>
      </c>
      <c r="H12" s="458">
        <f ca="1">iCityCompare!Z13</f>
        <v>50</v>
      </c>
      <c r="I12" s="476" t="str">
        <f ca="1">TEXT(iCityCompare!AA13,iCityCompare!AT13)</f>
        <v/>
      </c>
      <c r="J12" s="477" t="str">
        <f ca="1">iCityCompare!AH13</f>
        <v>=33</v>
      </c>
      <c r="L12" s="458">
        <f ca="1">iCityCompare!AB13</f>
        <v>50</v>
      </c>
      <c r="M12" s="476" t="str">
        <f ca="1">TEXT(iCityCompare!AC13,iCityCompare!AT13)</f>
        <v/>
      </c>
      <c r="N12" s="477" t="str">
        <f ca="1">iCityCompare!AI13</f>
        <v>=33</v>
      </c>
      <c r="P12" s="458" t="e">
        <f ca="1">iCityCompare!AD13</f>
        <v>#VALUE!</v>
      </c>
      <c r="Q12" s="477" t="str">
        <f ca="1">iCityCompare!AJ13</f>
        <v>=1</v>
      </c>
      <c r="S12" s="458" t="e">
        <f ca="1">iCityCompare!AF13</f>
        <v>#VALUE!</v>
      </c>
      <c r="T12" s="477" t="str">
        <f ca="1">iCityCompare!AK13</f>
        <v>=33</v>
      </c>
      <c r="U12" s="454"/>
      <c r="V12" s="454"/>
      <c r="W12" s="454"/>
      <c r="X12" s="483" t="str">
        <f ca="1" t="shared" si="2"/>
        <v>   1.1.1) Privacy policy</v>
      </c>
      <c r="Y12" s="280"/>
      <c r="Z12" s="488">
        <f ca="1">iCityCompare!BC13</f>
        <v>2</v>
      </c>
      <c r="AA12" s="488">
        <f ca="1">iCityCompare!BD13</f>
        <v>2</v>
      </c>
      <c r="AB12" s="488">
        <f ca="1">iCityCompare!BE13</f>
        <v>0</v>
      </c>
      <c r="AC12" s="488">
        <f ca="1">iCityCompare!BF13</f>
        <v>1</v>
      </c>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Z12" s="489"/>
      <c r="CA12" s="489"/>
    </row>
    <row r="13" s="407" customFormat="1" customHeight="1" spans="1:79">
      <c r="A13" s="454">
        <f ca="1">iCityCompare!Q14</f>
        <v>3</v>
      </c>
      <c r="B13" s="455"/>
      <c r="C13" s="407">
        <f ca="1" t="shared" si="1"/>
        <v>1</v>
      </c>
      <c r="D13" s="407">
        <f ca="1">iCityCompare!T14</f>
        <v>4</v>
      </c>
      <c r="E13" s="456" t="str">
        <f ca="1">IF(iCityCompare!Y14="","",REPT(" ",A13)&amp;iCityCompare!Y14)</f>
        <v>   1.1.2) Citizen awareness of digital threats</v>
      </c>
      <c r="F13" s="457">
        <f ca="1" t="shared" si="0"/>
        <v>0</v>
      </c>
      <c r="G13" s="280">
        <v>0</v>
      </c>
      <c r="H13" s="458">
        <f ca="1">iCityCompare!Z14</f>
        <v>66.6666666666667</v>
      </c>
      <c r="I13" s="476" t="str">
        <f ca="1">TEXT(iCityCompare!AA14,iCityCompare!AT14)</f>
        <v/>
      </c>
      <c r="J13" s="477" t="str">
        <f ca="1">iCityCompare!AH14</f>
        <v>=24</v>
      </c>
      <c r="L13" s="458">
        <f ca="1">iCityCompare!AB14</f>
        <v>66.6666666666667</v>
      </c>
      <c r="M13" s="476" t="str">
        <f ca="1">TEXT(iCityCompare!AC14,iCityCompare!AT14)</f>
        <v/>
      </c>
      <c r="N13" s="477" t="str">
        <f ca="1">iCityCompare!AI14</f>
        <v>=24</v>
      </c>
      <c r="P13" s="458" t="e">
        <f ca="1">iCityCompare!AD14</f>
        <v>#VALUE!</v>
      </c>
      <c r="Q13" s="477" t="str">
        <f ca="1">iCityCompare!AJ14</f>
        <v>=24</v>
      </c>
      <c r="S13" s="458" t="e">
        <f ca="1">iCityCompare!AF14</f>
        <v>#VALUE!</v>
      </c>
      <c r="T13" s="477" t="str">
        <f ca="1">iCityCompare!AK14</f>
        <v>=48</v>
      </c>
      <c r="U13" s="454"/>
      <c r="V13" s="454"/>
      <c r="W13" s="454"/>
      <c r="X13" s="483" t="str">
        <f ca="1" t="shared" si="2"/>
        <v>   1.1.2) Citizen awareness of digital threats</v>
      </c>
      <c r="Y13" s="280"/>
      <c r="Z13" s="488">
        <f ca="1">iCityCompare!BC14</f>
        <v>2</v>
      </c>
      <c r="AA13" s="488">
        <f ca="1">iCityCompare!BD14</f>
        <v>2</v>
      </c>
      <c r="AB13" s="488">
        <f ca="1">iCityCompare!BE14</f>
        <v>1</v>
      </c>
      <c r="AC13" s="488">
        <f ca="1">iCityCompare!BF14</f>
        <v>1</v>
      </c>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Z13" s="489"/>
      <c r="CA13" s="489"/>
    </row>
    <row r="14" s="407" customFormat="1" customHeight="1" spans="1:79">
      <c r="A14" s="454">
        <f ca="1">iCityCompare!Q15</f>
        <v>3</v>
      </c>
      <c r="B14" s="455"/>
      <c r="C14" s="407">
        <f ca="1" t="shared" si="1"/>
        <v>1</v>
      </c>
      <c r="D14" s="407">
        <f ca="1">iCityCompare!T15</f>
        <v>5</v>
      </c>
      <c r="E14" s="456" t="str">
        <f ca="1">IF(iCityCompare!Y15="","",REPT(" ",A14)&amp;iCityCompare!Y15)</f>
        <v>   1.1.3) Public-private partnerships</v>
      </c>
      <c r="F14" s="457">
        <f ca="1" t="shared" si="0"/>
        <v>0</v>
      </c>
      <c r="G14" s="280">
        <v>0</v>
      </c>
      <c r="H14" s="458">
        <f ca="1">iCityCompare!Z15</f>
        <v>50</v>
      </c>
      <c r="I14" s="476" t="str">
        <f ca="1">TEXT(iCityCompare!AA15,iCityCompare!AT15)</f>
        <v/>
      </c>
      <c r="J14" s="477" t="str">
        <f ca="1">iCityCompare!AH15</f>
        <v>=11</v>
      </c>
      <c r="L14" s="458">
        <f ca="1">iCityCompare!AB15</f>
        <v>50</v>
      </c>
      <c r="M14" s="476" t="str">
        <f ca="1">TEXT(iCityCompare!AC15,iCityCompare!AT15)</f>
        <v/>
      </c>
      <c r="N14" s="477" t="str">
        <f ca="1">iCityCompare!AI15</f>
        <v>=11</v>
      </c>
      <c r="P14" s="458" t="e">
        <f ca="1">iCityCompare!AD15</f>
        <v>#VALUE!</v>
      </c>
      <c r="Q14" s="477" t="str">
        <f ca="1">iCityCompare!AJ15</f>
        <v>=1</v>
      </c>
      <c r="S14" s="458" t="e">
        <f ca="1">iCityCompare!AF15</f>
        <v>#VALUE!</v>
      </c>
      <c r="T14" s="477" t="str">
        <f ca="1">iCityCompare!AK15</f>
        <v>=43</v>
      </c>
      <c r="U14" s="454"/>
      <c r="V14" s="454"/>
      <c r="W14" s="454"/>
      <c r="X14" s="483" t="str">
        <f ca="1" t="shared" si="2"/>
        <v>   1.1.3) Public-private partnerships</v>
      </c>
      <c r="Y14" s="280"/>
      <c r="Z14" s="488">
        <f ca="1">iCityCompare!BC15</f>
        <v>0</v>
      </c>
      <c r="AA14" s="488">
        <f ca="1">iCityCompare!BD15</f>
        <v>0</v>
      </c>
      <c r="AB14" s="488">
        <f ca="1">iCityCompare!BE15</f>
        <v>0</v>
      </c>
      <c r="AC14" s="488">
        <f ca="1">iCityCompare!BF15</f>
        <v>0</v>
      </c>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Z14" s="489"/>
      <c r="CA14" s="489"/>
    </row>
    <row r="15" s="407" customFormat="1" customHeight="1" spans="1:79">
      <c r="A15" s="454">
        <f ca="1">iCityCompare!Q16</f>
        <v>3</v>
      </c>
      <c r="B15" s="455"/>
      <c r="C15" s="407">
        <f ca="1" t="shared" si="1"/>
        <v>1</v>
      </c>
      <c r="D15" s="407">
        <f ca="1">iCityCompare!T16</f>
        <v>6</v>
      </c>
      <c r="E15" s="456" t="str">
        <f ca="1">IF(iCityCompare!Y16="","",REPT(" ",A15)&amp;iCityCompare!Y16)</f>
        <v>   1.1.4) Level of technology employed</v>
      </c>
      <c r="F15" s="457">
        <f ca="1" t="shared" si="0"/>
        <v>0</v>
      </c>
      <c r="G15" s="280">
        <v>0</v>
      </c>
      <c r="H15" s="458">
        <f ca="1">iCityCompare!Z16</f>
        <v>100</v>
      </c>
      <c r="I15" s="476" t="str">
        <f ca="1">TEXT(iCityCompare!AA16,iCityCompare!AT16)</f>
        <v/>
      </c>
      <c r="J15" s="477" t="str">
        <f ca="1">iCityCompare!AH16</f>
        <v>=1</v>
      </c>
      <c r="L15" s="458">
        <f ca="1">iCityCompare!AB16</f>
        <v>100</v>
      </c>
      <c r="M15" s="476" t="str">
        <f ca="1">TEXT(iCityCompare!AC16,iCityCompare!AT16)</f>
        <v/>
      </c>
      <c r="N15" s="477" t="str">
        <f ca="1">iCityCompare!AI16</f>
        <v>=1</v>
      </c>
      <c r="P15" s="458" t="e">
        <f ca="1">iCityCompare!AD16</f>
        <v>#VALUE!</v>
      </c>
      <c r="Q15" s="477" t="str">
        <f ca="1">iCityCompare!AJ16</f>
        <v>=1</v>
      </c>
      <c r="S15" s="458" t="e">
        <f ca="1">iCityCompare!AF16</f>
        <v>#VALUE!</v>
      </c>
      <c r="T15" s="477" t="str">
        <f ca="1">iCityCompare!AK16</f>
        <v>=29</v>
      </c>
      <c r="U15" s="454"/>
      <c r="V15" s="454"/>
      <c r="W15" s="454"/>
      <c r="X15" s="483" t="str">
        <f ca="1" t="shared" si="2"/>
        <v>   1.1.4) Level of technology employed</v>
      </c>
      <c r="Y15" s="280"/>
      <c r="Z15" s="488">
        <f ca="1">iCityCompare!BC16</f>
        <v>0</v>
      </c>
      <c r="AA15" s="488">
        <f ca="1">iCityCompare!BD16</f>
        <v>0</v>
      </c>
      <c r="AB15" s="488">
        <f ca="1">iCityCompare!BE16</f>
        <v>0</v>
      </c>
      <c r="AC15" s="488">
        <f ca="1">iCityCompare!BF16</f>
        <v>0</v>
      </c>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Z15" s="489"/>
      <c r="CA15" s="489"/>
    </row>
    <row r="16" s="407" customFormat="1" customHeight="1" spans="1:79">
      <c r="A16" s="454">
        <f ca="1">iCityCompare!Q17</f>
        <v>3</v>
      </c>
      <c r="B16" s="455"/>
      <c r="C16" s="407">
        <f ca="1" t="shared" si="1"/>
        <v>1</v>
      </c>
      <c r="D16" s="407">
        <f ca="1">iCityCompare!T17</f>
        <v>7</v>
      </c>
      <c r="E16" s="456" t="str">
        <f ca="1">IF(iCityCompare!Y17="","",REPT(" ",A16)&amp;iCityCompare!Y17)</f>
        <v>   1.1.5) Dedicated cyber security teams</v>
      </c>
      <c r="F16" s="457">
        <f ca="1" t="shared" si="0"/>
        <v>0</v>
      </c>
      <c r="G16" s="280">
        <v>0</v>
      </c>
      <c r="H16" s="458">
        <f ca="1">iCityCompare!Z17</f>
        <v>50</v>
      </c>
      <c r="I16" s="476" t="str">
        <f ca="1">TEXT(iCityCompare!AA17,iCityCompare!AT17)</f>
        <v/>
      </c>
      <c r="J16" s="477" t="str">
        <f ca="1">iCityCompare!AH17</f>
        <v>=20</v>
      </c>
      <c r="L16" s="458">
        <f ca="1">iCityCompare!AB17</f>
        <v>50</v>
      </c>
      <c r="M16" s="476" t="str">
        <f ca="1">TEXT(iCityCompare!AC17,iCityCompare!AT17)</f>
        <v/>
      </c>
      <c r="N16" s="477" t="str">
        <f ca="1">iCityCompare!AI17</f>
        <v>=20</v>
      </c>
      <c r="P16" s="458" t="e">
        <f ca="1">iCityCompare!AD17</f>
        <v>#VALUE!</v>
      </c>
      <c r="Q16" s="477" t="str">
        <f ca="1">iCityCompare!AJ17</f>
        <v>=20</v>
      </c>
      <c r="S16" s="458" t="e">
        <f ca="1">iCityCompare!AF17</f>
        <v>#VALUE!</v>
      </c>
      <c r="T16" s="477" t="str">
        <f ca="1">iCityCompare!AK17</f>
        <v>=20</v>
      </c>
      <c r="U16" s="454"/>
      <c r="V16" s="454"/>
      <c r="W16" s="454"/>
      <c r="X16" s="483" t="str">
        <f ca="1" t="shared" si="2"/>
        <v>   1.1.5) Dedicated cyber security teams</v>
      </c>
      <c r="Y16" s="280"/>
      <c r="Z16" s="488">
        <f ca="1">iCityCompare!BC17</f>
        <v>2</v>
      </c>
      <c r="AA16" s="488">
        <f ca="1">iCityCompare!BD17</f>
        <v>2</v>
      </c>
      <c r="AB16" s="488">
        <f ca="1">iCityCompare!BE17</f>
        <v>2</v>
      </c>
      <c r="AC16" s="488">
        <f ca="1">iCityCompare!BF17</f>
        <v>1</v>
      </c>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Z16" s="489"/>
      <c r="CA16" s="489"/>
    </row>
    <row r="17" s="407" customFormat="1" customHeight="1" spans="1:79">
      <c r="A17" s="454">
        <f ca="1">iCityCompare!Q18</f>
        <v>2</v>
      </c>
      <c r="B17" s="455"/>
      <c r="C17" s="407">
        <f ca="1" t="shared" si="1"/>
        <v>1</v>
      </c>
      <c r="D17" s="407">
        <f ca="1">iCityCompare!T18</f>
        <v>8</v>
      </c>
      <c r="E17" s="456" t="str">
        <f ca="1">IF(iCityCompare!Y18="","",REPT(" ",A17)&amp;iCityCompare!Y18)</f>
        <v>  1.2) Digital security (Outputs)</v>
      </c>
      <c r="F17" s="457">
        <f ca="1" t="shared" si="0"/>
        <v>0</v>
      </c>
      <c r="G17" s="280">
        <v>0</v>
      </c>
      <c r="H17" s="458">
        <f ca="1">iCityCompare!Z18</f>
        <v>74.2150882505875</v>
      </c>
      <c r="I17" s="476" t="str">
        <f ca="1">TEXT(iCityCompare!AA18,iCityCompare!AT18)</f>
        <v/>
      </c>
      <c r="J17" s="477" t="str">
        <f ca="1">iCityCompare!AH18</f>
        <v>=16</v>
      </c>
      <c r="L17" s="458">
        <f ca="1">iCityCompare!AB18</f>
        <v>74.2150882505875</v>
      </c>
      <c r="M17" s="476" t="str">
        <f ca="1">TEXT(iCityCompare!AC18,iCityCompare!AT18)</f>
        <v/>
      </c>
      <c r="N17" s="477" t="str">
        <f ca="1">iCityCompare!AI18</f>
        <v>=16</v>
      </c>
      <c r="P17" s="458" t="e">
        <f ca="1">iCityCompare!AD18</f>
        <v>#VALUE!</v>
      </c>
      <c r="Q17" s="477" t="str">
        <f ca="1">iCityCompare!AJ18</f>
        <v>=41</v>
      </c>
      <c r="S17" s="458" t="e">
        <f ca="1">iCityCompare!AF18</f>
        <v>#VALUE!</v>
      </c>
      <c r="T17" s="477" t="str">
        <f ca="1">iCityCompare!AK18</f>
        <v>52</v>
      </c>
      <c r="U17" s="454"/>
      <c r="V17" s="454"/>
      <c r="W17" s="454"/>
      <c r="X17" s="483" t="str">
        <f ca="1" t="shared" si="2"/>
        <v>  1.2) Digital security (Outputs)</v>
      </c>
      <c r="Y17" s="280"/>
      <c r="Z17" s="488">
        <f ca="1">iCityCompare!BC18</f>
        <v>2</v>
      </c>
      <c r="AA17" s="488">
        <f ca="1">iCityCompare!BD18</f>
        <v>2</v>
      </c>
      <c r="AB17" s="488">
        <f ca="1">iCityCompare!BE18</f>
        <v>1</v>
      </c>
      <c r="AC17" s="488">
        <f ca="1">iCityCompare!BF18</f>
        <v>0</v>
      </c>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c r="BI17" s="280"/>
      <c r="BZ17" s="489"/>
      <c r="CA17" s="489"/>
    </row>
    <row r="18" s="407" customFormat="1" customHeight="1" spans="1:79">
      <c r="A18" s="454">
        <f ca="1">iCityCompare!Q19</f>
        <v>3</v>
      </c>
      <c r="B18" s="455"/>
      <c r="C18" s="407">
        <f ca="1" t="shared" si="1"/>
        <v>1</v>
      </c>
      <c r="D18" s="407">
        <f ca="1">iCityCompare!T19</f>
        <v>9</v>
      </c>
      <c r="E18" s="456" t="str">
        <f ca="1">IF(iCityCompare!Y19="","",REPT(" ",A18)&amp;iCityCompare!Y19)</f>
        <v>   1.2.1) Frequency of identity theft</v>
      </c>
      <c r="F18" s="457">
        <f ca="1" t="shared" si="0"/>
        <v>0</v>
      </c>
      <c r="G18" s="280">
        <v>0</v>
      </c>
      <c r="H18" s="458">
        <f ca="1">iCityCompare!Z19</f>
        <v>100</v>
      </c>
      <c r="I18" s="476" t="str">
        <f ca="1">TEXT(iCityCompare!AA19,iCityCompare!AT19)</f>
        <v/>
      </c>
      <c r="J18" s="477" t="str">
        <f ca="1">iCityCompare!AH19</f>
        <v>=1</v>
      </c>
      <c r="L18" s="458">
        <f ca="1">iCityCompare!AB19</f>
        <v>100</v>
      </c>
      <c r="M18" s="476" t="str">
        <f ca="1">TEXT(iCityCompare!AC19,iCityCompare!AT19)</f>
        <v/>
      </c>
      <c r="N18" s="477" t="str">
        <f ca="1">iCityCompare!AI19</f>
        <v>=1</v>
      </c>
      <c r="P18" s="458" t="e">
        <f ca="1">iCityCompare!AD19</f>
        <v>#VALUE!</v>
      </c>
      <c r="Q18" s="477" t="str">
        <f ca="1">iCityCompare!AJ19</f>
        <v>=38</v>
      </c>
      <c r="S18" s="458" t="e">
        <f ca="1">iCityCompare!AF19</f>
        <v>#VALUE!</v>
      </c>
      <c r="T18" s="477" t="str">
        <f ca="1">iCityCompare!AK19</f>
        <v>40</v>
      </c>
      <c r="U18" s="454"/>
      <c r="V18" s="454"/>
      <c r="W18" s="454"/>
      <c r="X18" s="483" t="str">
        <f ca="1" t="shared" si="2"/>
        <v>   1.2.1) Frequency of identity theft</v>
      </c>
      <c r="Y18" s="280"/>
      <c r="Z18" s="488">
        <f ca="1">iCityCompare!BC19</f>
        <v>1</v>
      </c>
      <c r="AA18" s="488">
        <f ca="1">iCityCompare!BD19</f>
        <v>1</v>
      </c>
      <c r="AB18" s="488">
        <f ca="1">iCityCompare!BE19</f>
        <v>1</v>
      </c>
      <c r="AC18" s="488">
        <f ca="1">iCityCompare!BF19</f>
        <v>2</v>
      </c>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Z18" s="489"/>
      <c r="CA18" s="489"/>
    </row>
    <row r="19" s="407" customFormat="1" customHeight="1" spans="1:79">
      <c r="A19" s="454">
        <f ca="1">iCityCompare!Q20</f>
        <v>3</v>
      </c>
      <c r="B19" s="455"/>
      <c r="C19" s="407">
        <f ca="1" t="shared" si="1"/>
        <v>1</v>
      </c>
      <c r="D19" s="407">
        <f ca="1">iCityCompare!T20</f>
        <v>10</v>
      </c>
      <c r="E19" s="456" t="str">
        <f ca="1">IF(iCityCompare!Y20="","",REPT(" ",A19)&amp;iCityCompare!Y20)</f>
        <v>   1.2.2) Percentage of computers infected</v>
      </c>
      <c r="F19" s="457">
        <f ca="1" t="shared" si="0"/>
        <v>0</v>
      </c>
      <c r="G19" s="280">
        <v>0</v>
      </c>
      <c r="H19" s="458">
        <f ca="1">iCityCompare!Z20</f>
        <v>25</v>
      </c>
      <c r="I19" s="476" t="str">
        <f ca="1">TEXT(iCityCompare!AA20,iCityCompare!AT20)</f>
        <v/>
      </c>
      <c r="J19" s="477" t="str">
        <f ca="1">iCityCompare!AH20</f>
        <v>=42</v>
      </c>
      <c r="L19" s="458">
        <f ca="1">iCityCompare!AB20</f>
        <v>25</v>
      </c>
      <c r="M19" s="476" t="str">
        <f ca="1">TEXT(iCityCompare!AC20,iCityCompare!AT20)</f>
        <v/>
      </c>
      <c r="N19" s="477" t="str">
        <f ca="1">iCityCompare!AI20</f>
        <v>=42</v>
      </c>
      <c r="P19" s="458" t="e">
        <f ca="1">iCityCompare!AD20</f>
        <v>#VALUE!</v>
      </c>
      <c r="Q19" s="477" t="str">
        <f ca="1">iCityCompare!AJ20</f>
        <v>=42</v>
      </c>
      <c r="S19" s="458" t="e">
        <f ca="1">iCityCompare!AF20</f>
        <v>#VALUE!</v>
      </c>
      <c r="T19" s="477" t="str">
        <f ca="1">iCityCompare!AK20</f>
        <v>60</v>
      </c>
      <c r="U19" s="454"/>
      <c r="V19" s="454"/>
      <c r="W19" s="454"/>
      <c r="X19" s="483" t="str">
        <f ca="1" t="shared" si="2"/>
        <v>   1.2.2) Percentage of computers infected</v>
      </c>
      <c r="Y19" s="280"/>
      <c r="Z19" s="488">
        <f ca="1">iCityCompare!BC20</f>
        <v>2</v>
      </c>
      <c r="AA19" s="488">
        <f ca="1">iCityCompare!BD20</f>
        <v>2</v>
      </c>
      <c r="AB19" s="488">
        <f ca="1">iCityCompare!BE20</f>
        <v>1</v>
      </c>
      <c r="AC19" s="488">
        <f ca="1">iCityCompare!BF20</f>
        <v>0</v>
      </c>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0"/>
      <c r="BG19" s="280"/>
      <c r="BH19" s="280"/>
      <c r="BI19" s="280"/>
      <c r="BZ19" s="489"/>
      <c r="CA19" s="489"/>
    </row>
    <row r="20" s="407" customFormat="1" customHeight="1" spans="1:79">
      <c r="A20" s="454">
        <f ca="1">iCityCompare!Q21</f>
        <v>3</v>
      </c>
      <c r="B20" s="455"/>
      <c r="C20" s="407">
        <f ca="1" t="shared" si="1"/>
        <v>1</v>
      </c>
      <c r="D20" s="407">
        <f ca="1">iCityCompare!T21</f>
        <v>11</v>
      </c>
      <c r="E20" s="456" t="str">
        <f ca="1">IF(iCityCompare!Y21="","",REPT(" ",A20)&amp;iCityCompare!Y21)</f>
        <v>   1.2.3) Percentage with Internet access</v>
      </c>
      <c r="F20" s="457">
        <f ca="1" t="shared" si="0"/>
        <v>0</v>
      </c>
      <c r="G20" s="280">
        <v>0</v>
      </c>
      <c r="H20" s="458">
        <f ca="1">iCityCompare!Z21</f>
        <v>97.6452647517627</v>
      </c>
      <c r="I20" s="476" t="str">
        <f ca="1">TEXT(iCityCompare!AA21,iCityCompare!AT21)</f>
        <v/>
      </c>
      <c r="J20" s="477" t="str">
        <f ca="1">iCityCompare!AH21</f>
        <v>4</v>
      </c>
      <c r="L20" s="458">
        <f ca="1">iCityCompare!AB21</f>
        <v>97.6452647517627</v>
      </c>
      <c r="M20" s="476" t="str">
        <f ca="1">TEXT(iCityCompare!AC21,iCityCompare!AT21)</f>
        <v/>
      </c>
      <c r="N20" s="477" t="str">
        <f ca="1">iCityCompare!AI21</f>
        <v>4</v>
      </c>
      <c r="P20" s="458" t="e">
        <f ca="1">iCityCompare!AD21</f>
        <v>#VALUE!</v>
      </c>
      <c r="Q20" s="477" t="str">
        <f ca="1">iCityCompare!AJ21</f>
        <v>=37</v>
      </c>
      <c r="S20" s="458" t="e">
        <f ca="1">iCityCompare!AF21</f>
        <v>#VALUE!</v>
      </c>
      <c r="T20" s="477" t="str">
        <f ca="1">iCityCompare!AK21</f>
        <v>32</v>
      </c>
      <c r="U20" s="454"/>
      <c r="V20" s="454"/>
      <c r="W20" s="454"/>
      <c r="X20" s="483" t="str">
        <f ca="1" t="shared" si="2"/>
        <v>   1.2.3) Percentage with Internet access</v>
      </c>
      <c r="Y20" s="280"/>
      <c r="Z20" s="488">
        <f ca="1">iCityCompare!BC21</f>
        <v>1</v>
      </c>
      <c r="AA20" s="488">
        <f ca="1">iCityCompare!BD21</f>
        <v>1</v>
      </c>
      <c r="AB20" s="488">
        <f ca="1">iCityCompare!BE21</f>
        <v>0</v>
      </c>
      <c r="AC20" s="488">
        <f ca="1">iCityCompare!BF21</f>
        <v>2</v>
      </c>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0"/>
      <c r="BZ20" s="489"/>
      <c r="CA20" s="489"/>
    </row>
    <row r="21" s="407" customFormat="1" customHeight="1" spans="1:79">
      <c r="A21" s="454">
        <f ca="1">iCityCompare!Q22</f>
        <v>1</v>
      </c>
      <c r="B21" s="455"/>
      <c r="C21" s="407">
        <f ca="1" t="shared" si="1"/>
        <v>1</v>
      </c>
      <c r="D21" s="407">
        <f ca="1">iCityCompare!T22</f>
        <v>12</v>
      </c>
      <c r="E21" s="456" t="str">
        <f ca="1">IF(iCityCompare!Y22="","",REPT(" ",A21)&amp;iCityCompare!Y22)</f>
        <v> 2) HEALTH SECURITY</v>
      </c>
      <c r="F21" s="457">
        <f ca="1" t="shared" si="0"/>
        <v>0</v>
      </c>
      <c r="G21" s="280">
        <v>0</v>
      </c>
      <c r="H21" s="458">
        <f ca="1">iCityCompare!Z22</f>
        <v>68.5404322865189</v>
      </c>
      <c r="I21" s="476" t="str">
        <f ca="1">TEXT(iCityCompare!AA22,iCityCompare!AT22)</f>
        <v/>
      </c>
      <c r="J21" s="477" t="str">
        <f ca="1">iCityCompare!AH22</f>
        <v>33</v>
      </c>
      <c r="L21" s="458">
        <f ca="1">iCityCompare!AB22</f>
        <v>68.5404322865189</v>
      </c>
      <c r="M21" s="476" t="str">
        <f ca="1">TEXT(iCityCompare!AC22,iCityCompare!AT22)</f>
        <v/>
      </c>
      <c r="N21" s="477" t="str">
        <f ca="1">iCityCompare!AI22</f>
        <v>33</v>
      </c>
      <c r="P21" s="458" t="e">
        <f ca="1">iCityCompare!AD22</f>
        <v>#VALUE!</v>
      </c>
      <c r="Q21" s="477" t="str">
        <f ca="1">iCityCompare!AJ22</f>
        <v>17</v>
      </c>
      <c r="S21" s="458" t="e">
        <f ca="1">iCityCompare!AF22</f>
        <v>#VALUE!</v>
      </c>
      <c r="T21" s="477" t="str">
        <f ca="1">iCityCompare!AK22</f>
        <v>25</v>
      </c>
      <c r="U21" s="454"/>
      <c r="V21" s="454"/>
      <c r="W21" s="454"/>
      <c r="X21" s="483" t="str">
        <f ca="1" t="shared" si="2"/>
        <v> 2) HEALTH SECURITY</v>
      </c>
      <c r="Y21" s="280"/>
      <c r="Z21" s="488">
        <f ca="1">iCityCompare!BC22</f>
        <v>2</v>
      </c>
      <c r="AA21" s="488">
        <f ca="1">iCityCompare!BD22</f>
        <v>2</v>
      </c>
      <c r="AB21" s="488">
        <f ca="1">iCityCompare!BE22</f>
        <v>0</v>
      </c>
      <c r="AC21" s="488">
        <f ca="1">iCityCompare!BF22</f>
        <v>1</v>
      </c>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c r="BI21" s="280"/>
      <c r="BZ21" s="489"/>
      <c r="CA21" s="489"/>
    </row>
    <row r="22" s="407" customFormat="1" customHeight="1" spans="1:79">
      <c r="A22" s="454">
        <f ca="1">iCityCompare!Q23</f>
        <v>2</v>
      </c>
      <c r="B22" s="455"/>
      <c r="C22" s="407">
        <f ca="1" t="shared" si="1"/>
        <v>1</v>
      </c>
      <c r="D22" s="407">
        <f ca="1">iCityCompare!T23</f>
        <v>13</v>
      </c>
      <c r="E22" s="456" t="str">
        <f ca="1">IF(iCityCompare!Y23="","",REPT(" ",A22)&amp;iCityCompare!Y23)</f>
        <v>  2.1) Health security (Inputs)</v>
      </c>
      <c r="F22" s="457">
        <f ca="1" t="shared" si="0"/>
        <v>0</v>
      </c>
      <c r="G22" s="280">
        <v>0</v>
      </c>
      <c r="H22" s="458">
        <f ca="1">iCityCompare!Z23</f>
        <v>55.909058022829</v>
      </c>
      <c r="I22" s="476" t="str">
        <f ca="1">TEXT(iCityCompare!AA23,iCityCompare!AT23)</f>
        <v/>
      </c>
      <c r="J22" s="477" t="str">
        <f ca="1">iCityCompare!AH23</f>
        <v>37</v>
      </c>
      <c r="L22" s="458">
        <f ca="1">iCityCompare!AB23</f>
        <v>55.909058022829</v>
      </c>
      <c r="M22" s="476" t="str">
        <f ca="1">TEXT(iCityCompare!AC23,iCityCompare!AT23)</f>
        <v/>
      </c>
      <c r="N22" s="477" t="str">
        <f ca="1">iCityCompare!AI23</f>
        <v>37</v>
      </c>
      <c r="P22" s="458" t="e">
        <f ca="1">iCityCompare!AD23</f>
        <v>#VALUE!</v>
      </c>
      <c r="Q22" s="477" t="str">
        <f ca="1">iCityCompare!AJ23</f>
        <v>22</v>
      </c>
      <c r="S22" s="458" t="e">
        <f ca="1">iCityCompare!AF23</f>
        <v>#VALUE!</v>
      </c>
      <c r="T22" s="477" t="str">
        <f ca="1">iCityCompare!AK23</f>
        <v>13</v>
      </c>
      <c r="U22" s="454"/>
      <c r="V22" s="454"/>
      <c r="W22" s="454"/>
      <c r="X22" s="483" t="str">
        <f ca="1" t="shared" si="2"/>
        <v>  2.1) Health security (Inputs)</v>
      </c>
      <c r="Y22" s="280"/>
      <c r="Z22" s="488">
        <f ca="1">iCityCompare!BC23</f>
        <v>2</v>
      </c>
      <c r="AA22" s="488">
        <f ca="1">iCityCompare!BD23</f>
        <v>2</v>
      </c>
      <c r="AB22" s="488">
        <f ca="1">iCityCompare!BE23</f>
        <v>0</v>
      </c>
      <c r="AC22" s="488">
        <f ca="1">iCityCompare!BF23</f>
        <v>1</v>
      </c>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Z22" s="489"/>
      <c r="CA22" s="489"/>
    </row>
    <row r="23" s="407" customFormat="1" customHeight="1" spans="1:79">
      <c r="A23" s="454">
        <f ca="1">iCityCompare!Q24</f>
        <v>3</v>
      </c>
      <c r="B23" s="455"/>
      <c r="C23" s="407">
        <f ca="1" t="shared" si="1"/>
        <v>1</v>
      </c>
      <c r="D23" s="407">
        <f ca="1">iCityCompare!T24</f>
        <v>14</v>
      </c>
      <c r="E23" s="456" t="str">
        <f ca="1">IF(iCityCompare!Y24="","",REPT(" ",A23)&amp;iCityCompare!Y24)</f>
        <v>   2.1.1) Environmental policies</v>
      </c>
      <c r="F23" s="457">
        <f ca="1" t="shared" si="0"/>
        <v>0</v>
      </c>
      <c r="G23" s="280">
        <v>0</v>
      </c>
      <c r="H23" s="458">
        <f ca="1">iCityCompare!Z24</f>
        <v>62.7906976744186</v>
      </c>
      <c r="I23" s="476" t="str">
        <f ca="1">TEXT(iCityCompare!AA24,iCityCompare!AT24)</f>
        <v/>
      </c>
      <c r="J23" s="477" t="str">
        <f ca="1">iCityCompare!AH24</f>
        <v>=38</v>
      </c>
      <c r="L23" s="458">
        <f ca="1">iCityCompare!AB24</f>
        <v>62.7906976744186</v>
      </c>
      <c r="M23" s="476" t="str">
        <f ca="1">TEXT(iCityCompare!AC24,iCityCompare!AT24)</f>
        <v/>
      </c>
      <c r="N23" s="477" t="str">
        <f ca="1">iCityCompare!AI24</f>
        <v>=38</v>
      </c>
      <c r="P23" s="458" t="e">
        <f ca="1">iCityCompare!AD24</f>
        <v>#VALUE!</v>
      </c>
      <c r="Q23" s="477" t="str">
        <f ca="1">iCityCompare!AJ24</f>
        <v>=25</v>
      </c>
      <c r="S23" s="458" t="e">
        <f ca="1">iCityCompare!AF24</f>
        <v>#VALUE!</v>
      </c>
      <c r="T23" s="477" t="str">
        <f ca="1">iCityCompare!AK24</f>
        <v>37</v>
      </c>
      <c r="U23" s="454"/>
      <c r="V23" s="454"/>
      <c r="W23" s="454"/>
      <c r="X23" s="483" t="str">
        <f ca="1" t="shared" si="2"/>
        <v>   2.1.1) Environmental policies</v>
      </c>
      <c r="Y23" s="280"/>
      <c r="Z23" s="488">
        <f ca="1">iCityCompare!BC24</f>
        <v>2</v>
      </c>
      <c r="AA23" s="488">
        <f ca="1">iCityCompare!BD24</f>
        <v>2</v>
      </c>
      <c r="AB23" s="488">
        <f ca="1">iCityCompare!BE24</f>
        <v>1</v>
      </c>
      <c r="AC23" s="488">
        <f ca="1">iCityCompare!BF24</f>
        <v>1</v>
      </c>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Z23" s="489"/>
      <c r="CA23" s="489"/>
    </row>
    <row r="24" s="407" customFormat="1" customHeight="1" spans="1:79">
      <c r="A24" s="454">
        <f ca="1">iCityCompare!Q25</f>
        <v>3</v>
      </c>
      <c r="B24" s="455"/>
      <c r="C24" s="407">
        <f ca="1" t="shared" si="1"/>
        <v>1</v>
      </c>
      <c r="D24" s="407">
        <f ca="1">iCityCompare!T25</f>
        <v>15</v>
      </c>
      <c r="E24" s="456" t="str">
        <f ca="1">IF(iCityCompare!Y25="","",REPT(" ",A24)&amp;iCityCompare!Y25)</f>
        <v>   2.1.2) Access to healthcare</v>
      </c>
      <c r="F24" s="457">
        <f ca="1" t="shared" si="0"/>
        <v>0</v>
      </c>
      <c r="G24" s="280">
        <v>0</v>
      </c>
      <c r="H24" s="458">
        <f ca="1">iCityCompare!Z25</f>
        <v>73.3333333333333</v>
      </c>
      <c r="I24" s="476" t="str">
        <f ca="1">TEXT(iCityCompare!AA25,iCityCompare!AT25)</f>
        <v/>
      </c>
      <c r="J24" s="477" t="str">
        <f ca="1">iCityCompare!AH25</f>
        <v>=43</v>
      </c>
      <c r="L24" s="458">
        <f ca="1">iCityCompare!AB25</f>
        <v>73.3333333333333</v>
      </c>
      <c r="M24" s="476" t="str">
        <f ca="1">TEXT(iCityCompare!AC25,iCityCompare!AT25)</f>
        <v/>
      </c>
      <c r="N24" s="477" t="str">
        <f ca="1">iCityCompare!AI25</f>
        <v>=43</v>
      </c>
      <c r="P24" s="458" t="e">
        <f ca="1">iCityCompare!AD25</f>
        <v>#VALUE!</v>
      </c>
      <c r="Q24" s="477" t="str">
        <f ca="1">iCityCompare!AJ25</f>
        <v>=11</v>
      </c>
      <c r="S24" s="458" t="e">
        <f ca="1">iCityCompare!AF25</f>
        <v>#VALUE!</v>
      </c>
      <c r="T24" s="477" t="str">
        <f ca="1">iCityCompare!AK25</f>
        <v>=34</v>
      </c>
      <c r="U24" s="454"/>
      <c r="V24" s="454"/>
      <c r="W24" s="454"/>
      <c r="X24" s="483" t="str">
        <f ca="1" t="shared" si="2"/>
        <v>   2.1.2) Access to healthcare</v>
      </c>
      <c r="Y24" s="280"/>
      <c r="Z24" s="488">
        <f ca="1">iCityCompare!BC25</f>
        <v>2</v>
      </c>
      <c r="AA24" s="488">
        <f ca="1">iCityCompare!BD25</f>
        <v>2</v>
      </c>
      <c r="AB24" s="488">
        <f ca="1">iCityCompare!BE25</f>
        <v>0</v>
      </c>
      <c r="AC24" s="488">
        <f ca="1">iCityCompare!BF25</f>
        <v>1</v>
      </c>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Z24" s="489"/>
      <c r="CA24" s="489"/>
    </row>
    <row r="25" s="407" customFormat="1" customHeight="1" spans="1:79">
      <c r="A25" s="454">
        <f ca="1">iCityCompare!Q26</f>
        <v>3</v>
      </c>
      <c r="B25" s="455"/>
      <c r="C25" s="407">
        <f ca="1" t="shared" si="1"/>
        <v>1</v>
      </c>
      <c r="D25" s="407">
        <f ca="1">iCityCompare!T26</f>
        <v>16</v>
      </c>
      <c r="E25" s="456" t="str">
        <f ca="1">IF(iCityCompare!Y26="","",REPT(" ",A25)&amp;iCityCompare!Y26)</f>
        <v>   2.1.3) No. of beds per 1,000</v>
      </c>
      <c r="F25" s="457">
        <f ca="1" t="shared" si="0"/>
        <v>0</v>
      </c>
      <c r="G25" s="280">
        <v>0</v>
      </c>
      <c r="H25" s="458">
        <f ca="1">iCityCompare!Z26</f>
        <v>8.26514587982478</v>
      </c>
      <c r="I25" s="476" t="str">
        <f ca="1">TEXT(iCityCompare!AA26,iCityCompare!AT26)</f>
        <v/>
      </c>
      <c r="J25" s="477" t="str">
        <f ca="1">iCityCompare!AH26</f>
        <v>51</v>
      </c>
      <c r="L25" s="458">
        <f ca="1">iCityCompare!AB26</f>
        <v>8.26514587982478</v>
      </c>
      <c r="M25" s="476" t="str">
        <f ca="1">TEXT(iCityCompare!AC26,iCityCompare!AT26)</f>
        <v/>
      </c>
      <c r="N25" s="477" t="str">
        <f ca="1">iCityCompare!AI26</f>
        <v>51</v>
      </c>
      <c r="P25" s="458" t="e">
        <f ca="1">iCityCompare!AD26</f>
        <v>#VALUE!</v>
      </c>
      <c r="Q25" s="477" t="str">
        <f ca="1">iCityCompare!AJ26</f>
        <v>=18</v>
      </c>
      <c r="S25" s="458" t="e">
        <f ca="1">iCityCompare!AF26</f>
        <v>#VALUE!</v>
      </c>
      <c r="T25" s="477" t="str">
        <f ca="1">iCityCompare!AK26</f>
        <v>2</v>
      </c>
      <c r="U25" s="454"/>
      <c r="V25" s="454"/>
      <c r="W25" s="454"/>
      <c r="X25" s="483" t="str">
        <f ca="1" t="shared" si="2"/>
        <v>   2.1.3) No. of beds per 1,000</v>
      </c>
      <c r="Y25" s="280"/>
      <c r="Z25" s="488">
        <f ca="1">iCityCompare!BC26</f>
        <v>2</v>
      </c>
      <c r="AA25" s="488">
        <f ca="1">iCityCompare!BD26</f>
        <v>2</v>
      </c>
      <c r="AB25" s="488">
        <f ca="1">iCityCompare!BE26</f>
        <v>0</v>
      </c>
      <c r="AC25" s="488">
        <f ca="1">iCityCompare!BF26</f>
        <v>1</v>
      </c>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Z25" s="489"/>
      <c r="CA25" s="489"/>
    </row>
    <row r="26" s="407" customFormat="1" customHeight="1" spans="1:79">
      <c r="A26" s="454">
        <f ca="1">iCityCompare!Q27</f>
        <v>3</v>
      </c>
      <c r="B26" s="455"/>
      <c r="C26" s="407">
        <f ca="1" t="shared" si="1"/>
        <v>1</v>
      </c>
      <c r="D26" s="407">
        <f ca="1">iCityCompare!T27</f>
        <v>17</v>
      </c>
      <c r="E26" s="456" t="str">
        <f ca="1">IF(iCityCompare!Y27="","",REPT(" ",A26)&amp;iCityCompare!Y27)</f>
        <v>   2.1.4) No. of doctors per 1,000</v>
      </c>
      <c r="F26" s="457">
        <f ca="1" t="shared" si="0"/>
        <v>0</v>
      </c>
      <c r="G26" s="280">
        <v>0</v>
      </c>
      <c r="H26" s="458">
        <f ca="1">iCityCompare!Z27</f>
        <v>16.365171249397</v>
      </c>
      <c r="I26" s="476" t="str">
        <f ca="1">TEXT(iCityCompare!AA27,iCityCompare!AT27)</f>
        <v/>
      </c>
      <c r="J26" s="477" t="str">
        <f ca="1">iCityCompare!AH27</f>
        <v>43</v>
      </c>
      <c r="L26" s="458">
        <f ca="1">iCityCompare!AB27</f>
        <v>16.365171249397</v>
      </c>
      <c r="M26" s="476" t="str">
        <f ca="1">TEXT(iCityCompare!AC27,iCityCompare!AT27)</f>
        <v/>
      </c>
      <c r="N26" s="477" t="str">
        <f ca="1">iCityCompare!AI27</f>
        <v>43</v>
      </c>
      <c r="P26" s="458" t="e">
        <f ca="1">iCityCompare!AD27</f>
        <v>#VALUE!</v>
      </c>
      <c r="Q26" s="477" t="str">
        <f ca="1">iCityCompare!AJ27</f>
        <v>=6</v>
      </c>
      <c r="S26" s="458" t="e">
        <f ca="1">iCityCompare!AF27</f>
        <v>#VALUE!</v>
      </c>
      <c r="T26" s="477" t="str">
        <f ca="1">iCityCompare!AK27</f>
        <v>16</v>
      </c>
      <c r="U26" s="454"/>
      <c r="V26" s="454"/>
      <c r="W26" s="454"/>
      <c r="X26" s="483" t="str">
        <f ca="1" t="shared" si="2"/>
        <v>   2.1.4) No. of doctors per 1,000</v>
      </c>
      <c r="Y26" s="280"/>
      <c r="Z26" s="488">
        <f ca="1">iCityCompare!BC27</f>
        <v>2</v>
      </c>
      <c r="AA26" s="488">
        <f ca="1">iCityCompare!BD27</f>
        <v>2</v>
      </c>
      <c r="AB26" s="488">
        <f ca="1">iCityCompare!BE27</f>
        <v>1</v>
      </c>
      <c r="AC26" s="488">
        <f ca="1">iCityCompare!BF27</f>
        <v>0</v>
      </c>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Z26" s="489"/>
      <c r="CA26" s="489"/>
    </row>
    <row r="27" s="407" customFormat="1" customHeight="1" spans="1:79">
      <c r="A27" s="454">
        <f ca="1">iCityCompare!Q28</f>
        <v>3</v>
      </c>
      <c r="B27" s="455"/>
      <c r="C27" s="407">
        <f ca="1" t="shared" si="1"/>
        <v>1</v>
      </c>
      <c r="D27" s="407">
        <f ca="1">iCityCompare!T28</f>
        <v>18</v>
      </c>
      <c r="E27" s="456" t="str">
        <f ca="1">IF(iCityCompare!Y28="","",REPT(" ",A27)&amp;iCityCompare!Y28)</f>
        <v>   2.1.5) Access to safe and quality food</v>
      </c>
      <c r="F27" s="457">
        <f ca="1" t="shared" si="0"/>
        <v>0</v>
      </c>
      <c r="G27" s="280">
        <v>0</v>
      </c>
      <c r="H27" s="458">
        <f ca="1">iCityCompare!Z28</f>
        <v>99.7</v>
      </c>
      <c r="I27" s="476" t="str">
        <f ca="1">TEXT(iCityCompare!AA28,iCityCompare!AT28)</f>
        <v/>
      </c>
      <c r="J27" s="477" t="str">
        <f ca="1">iCityCompare!AH28</f>
        <v>=21</v>
      </c>
      <c r="L27" s="458">
        <f ca="1">iCityCompare!AB28</f>
        <v>99.7</v>
      </c>
      <c r="M27" s="476" t="str">
        <f ca="1">TEXT(iCityCompare!AC28,iCityCompare!AT28)</f>
        <v/>
      </c>
      <c r="N27" s="477" t="str">
        <f ca="1">iCityCompare!AI28</f>
        <v>=21</v>
      </c>
      <c r="P27" s="458" t="e">
        <f ca="1">iCityCompare!AD28</f>
        <v>#VALUE!</v>
      </c>
      <c r="Q27" s="477" t="str">
        <f ca="1">iCityCompare!AJ28</f>
        <v>=1</v>
      </c>
      <c r="S27" s="458" t="e">
        <f ca="1">iCityCompare!AF28</f>
        <v>#VALUE!</v>
      </c>
      <c r="T27" s="477" t="str">
        <f ca="1">iCityCompare!AK28</f>
        <v>39</v>
      </c>
      <c r="U27" s="454"/>
      <c r="V27" s="454"/>
      <c r="W27" s="454"/>
      <c r="X27" s="483" t="str">
        <f ca="1" t="shared" si="2"/>
        <v>   2.1.5) Access to safe and quality food</v>
      </c>
      <c r="Y27" s="280"/>
      <c r="Z27" s="488">
        <f ca="1">iCityCompare!BC28</f>
        <v>2</v>
      </c>
      <c r="AA27" s="488">
        <f ca="1">iCityCompare!BD28</f>
        <v>2</v>
      </c>
      <c r="AB27" s="488">
        <f ca="1">iCityCompare!BE28</f>
        <v>1</v>
      </c>
      <c r="AC27" s="488">
        <f ca="1">iCityCompare!BF28</f>
        <v>1</v>
      </c>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Z27" s="489"/>
      <c r="CA27" s="489"/>
    </row>
    <row r="28" s="407" customFormat="1" customHeight="1" spans="1:79">
      <c r="A28" s="454">
        <f ca="1">iCityCompare!Q29</f>
        <v>3</v>
      </c>
      <c r="B28" s="455"/>
      <c r="C28" s="407">
        <f ca="1" t="shared" si="1"/>
        <v>1</v>
      </c>
      <c r="D28" s="407">
        <f ca="1">iCityCompare!T29</f>
        <v>19</v>
      </c>
      <c r="E28" s="456" t="str">
        <f ca="1">IF(iCityCompare!Y29="","",REPT(" ",A28)&amp;iCityCompare!Y29)</f>
        <v>   2.1.6) Quality of health services</v>
      </c>
      <c r="F28" s="457">
        <f ca="1" t="shared" si="0"/>
        <v>0</v>
      </c>
      <c r="G28" s="280">
        <v>0</v>
      </c>
      <c r="H28" s="458">
        <f ca="1">iCityCompare!Z29</f>
        <v>75</v>
      </c>
      <c r="I28" s="476" t="str">
        <f ca="1">TEXT(iCityCompare!AA29,iCityCompare!AT29)</f>
        <v/>
      </c>
      <c r="J28" s="477" t="str">
        <f ca="1">iCityCompare!AH29</f>
        <v>=27</v>
      </c>
      <c r="L28" s="458">
        <f ca="1">iCityCompare!AB29</f>
        <v>75</v>
      </c>
      <c r="M28" s="476" t="str">
        <f ca="1">TEXT(iCityCompare!AC29,iCityCompare!AT29)</f>
        <v/>
      </c>
      <c r="N28" s="477" t="str">
        <f ca="1">iCityCompare!AI29</f>
        <v>=27</v>
      </c>
      <c r="P28" s="458" t="e">
        <f ca="1">iCityCompare!AD29</f>
        <v>#VALUE!</v>
      </c>
      <c r="Q28" s="477" t="str">
        <f ca="1">iCityCompare!AJ29</f>
        <v>=27</v>
      </c>
      <c r="S28" s="458" t="e">
        <f ca="1">iCityCompare!AF29</f>
        <v>#VALUE!</v>
      </c>
      <c r="T28" s="477" t="str">
        <f ca="1">iCityCompare!AK29</f>
        <v>=27</v>
      </c>
      <c r="U28" s="454"/>
      <c r="V28" s="454"/>
      <c r="W28" s="454"/>
      <c r="X28" s="483" t="str">
        <f ca="1" t="shared" si="2"/>
        <v>   2.1.6) Quality of health services</v>
      </c>
      <c r="Y28" s="280"/>
      <c r="Z28" s="488">
        <f ca="1">iCityCompare!BC29</f>
        <v>2</v>
      </c>
      <c r="AA28" s="488">
        <f ca="1">iCityCompare!BD29</f>
        <v>2</v>
      </c>
      <c r="AB28" s="488">
        <f ca="1">iCityCompare!BE29</f>
        <v>0</v>
      </c>
      <c r="AC28" s="488">
        <f ca="1">iCityCompare!BF29</f>
        <v>1</v>
      </c>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Z28" s="489"/>
      <c r="CA28" s="489"/>
    </row>
    <row r="29" s="407" customFormat="1" customHeight="1" spans="1:79">
      <c r="A29" s="454">
        <f ca="1">iCityCompare!Q30</f>
        <v>2</v>
      </c>
      <c r="B29" s="455"/>
      <c r="C29" s="407">
        <f ca="1" t="shared" si="1"/>
        <v>1</v>
      </c>
      <c r="D29" s="407">
        <f ca="1">iCityCompare!T30</f>
        <v>20</v>
      </c>
      <c r="E29" s="456" t="str">
        <f ca="1">IF(iCityCompare!Y30="","",REPT(" ",A29)&amp;iCityCompare!Y30)</f>
        <v>  2.2) Health security (Outputs)</v>
      </c>
      <c r="F29" s="457">
        <f ca="1" t="shared" si="0"/>
        <v>0</v>
      </c>
      <c r="G29" s="280">
        <v>0</v>
      </c>
      <c r="H29" s="458">
        <f ca="1">iCityCompare!Z30</f>
        <v>81.1718065502088</v>
      </c>
      <c r="I29" s="476" t="str">
        <f ca="1">TEXT(iCityCompare!AA30,iCityCompare!AT30)</f>
        <v/>
      </c>
      <c r="J29" s="477" t="str">
        <f ca="1">iCityCompare!AH30</f>
        <v>22</v>
      </c>
      <c r="L29" s="458">
        <f ca="1">iCityCompare!AB30</f>
        <v>81.1718065502088</v>
      </c>
      <c r="M29" s="476" t="str">
        <f ca="1">TEXT(iCityCompare!AC30,iCityCompare!AT30)</f>
        <v/>
      </c>
      <c r="N29" s="477" t="str">
        <f ca="1">iCityCompare!AI30</f>
        <v>22</v>
      </c>
      <c r="P29" s="458" t="e">
        <f ca="1">iCityCompare!AD30</f>
        <v>#VALUE!</v>
      </c>
      <c r="Q29" s="477" t="str">
        <f ca="1">iCityCompare!AJ30</f>
        <v>16</v>
      </c>
      <c r="S29" s="458" t="e">
        <f ca="1">iCityCompare!AF30</f>
        <v>#VALUE!</v>
      </c>
      <c r="T29" s="477" t="str">
        <f ca="1">iCityCompare!AK30</f>
        <v>46</v>
      </c>
      <c r="U29" s="454"/>
      <c r="V29" s="454"/>
      <c r="W29" s="454"/>
      <c r="X29" s="483" t="str">
        <f ca="1" t="shared" si="2"/>
        <v>  2.2) Health security (Outputs)</v>
      </c>
      <c r="Y29" s="280"/>
      <c r="Z29" s="488">
        <f ca="1">iCityCompare!BC30</f>
        <v>2</v>
      </c>
      <c r="AA29" s="488">
        <f ca="1">iCityCompare!BD30</f>
        <v>2</v>
      </c>
      <c r="AB29" s="488">
        <f ca="1">iCityCompare!BE30</f>
        <v>1</v>
      </c>
      <c r="AC29" s="488">
        <f ca="1">iCityCompare!BF30</f>
        <v>0</v>
      </c>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Z29" s="489"/>
      <c r="CA29" s="489"/>
    </row>
    <row r="30" s="407" customFormat="1" customHeight="1" spans="1:79">
      <c r="A30" s="454">
        <f ca="1">iCityCompare!Q31</f>
        <v>3</v>
      </c>
      <c r="B30" s="455"/>
      <c r="C30" s="407">
        <f ca="1" t="shared" si="1"/>
        <v>1</v>
      </c>
      <c r="D30" s="407">
        <f ca="1">iCityCompare!T31</f>
        <v>21</v>
      </c>
      <c r="E30" s="456" t="str">
        <f ca="1">IF(iCityCompare!Y31="","",REPT(" ",A30)&amp;iCityCompare!Y31)</f>
        <v>   2.2.1) Air quality (PM 2.5 levels)</v>
      </c>
      <c r="F30" s="457">
        <f ca="1" t="shared" si="0"/>
        <v>0</v>
      </c>
      <c r="G30" s="280">
        <v>0</v>
      </c>
      <c r="H30" s="458">
        <f ca="1">iCityCompare!Z31</f>
        <v>44.2188213579332</v>
      </c>
      <c r="I30" s="476" t="str">
        <f ca="1">TEXT(iCityCompare!AA31,iCityCompare!AT31)</f>
        <v/>
      </c>
      <c r="J30" s="477" t="str">
        <f ca="1">iCityCompare!AH31</f>
        <v>51</v>
      </c>
      <c r="L30" s="458">
        <f ca="1">iCityCompare!AB31</f>
        <v>44.2188213579332</v>
      </c>
      <c r="M30" s="476" t="str">
        <f ca="1">TEXT(iCityCompare!AC31,iCityCompare!AT31)</f>
        <v/>
      </c>
      <c r="N30" s="477" t="str">
        <f ca="1">iCityCompare!AI31</f>
        <v>51</v>
      </c>
      <c r="P30" s="458" t="e">
        <f ca="1">iCityCompare!AD31</f>
        <v>#VALUE!</v>
      </c>
      <c r="Q30" s="477" t="str">
        <f ca="1">iCityCompare!AJ31</f>
        <v>43</v>
      </c>
      <c r="S30" s="458" t="e">
        <f ca="1">iCityCompare!AF31</f>
        <v>#VALUE!</v>
      </c>
      <c r="T30" s="477" t="str">
        <f ca="1">iCityCompare!AK31</f>
        <v>33</v>
      </c>
      <c r="U30" s="454"/>
      <c r="V30" s="454"/>
      <c r="W30" s="454"/>
      <c r="X30" s="483" t="str">
        <f ca="1" t="shared" si="2"/>
        <v>   2.2.1) Air quality (PM 2.5 levels)</v>
      </c>
      <c r="Y30" s="280"/>
      <c r="Z30" s="488">
        <f ca="1">iCityCompare!BC31</f>
        <v>2</v>
      </c>
      <c r="AA30" s="488">
        <f ca="1">iCityCompare!BD31</f>
        <v>2</v>
      </c>
      <c r="AB30" s="488">
        <f ca="1">iCityCompare!BE31</f>
        <v>1</v>
      </c>
      <c r="AC30" s="488">
        <f ca="1">iCityCompare!BF31</f>
        <v>0</v>
      </c>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Z30" s="489"/>
      <c r="CA30" s="489"/>
    </row>
    <row r="31" s="407" customFormat="1" customHeight="1" spans="1:79">
      <c r="A31" s="454">
        <f ca="1">iCityCompare!Q32</f>
        <v>3</v>
      </c>
      <c r="B31" s="455"/>
      <c r="C31" s="407">
        <f ca="1" t="shared" si="1"/>
        <v>1</v>
      </c>
      <c r="D31" s="407">
        <f ca="1">iCityCompare!T32</f>
        <v>22</v>
      </c>
      <c r="E31" s="456" t="str">
        <f ca="1">IF(iCityCompare!Y32="","",REPT(" ",A31)&amp;iCityCompare!Y32)</f>
        <v>   2.2.2) Water quality</v>
      </c>
      <c r="F31" s="457">
        <f ca="1" t="shared" si="0"/>
        <v>0</v>
      </c>
      <c r="G31" s="280">
        <v>0</v>
      </c>
      <c r="H31" s="458">
        <f ca="1">iCityCompare!Z32</f>
        <v>91.3447138534964</v>
      </c>
      <c r="I31" s="476" t="str">
        <f ca="1">TEXT(iCityCompare!AA32,iCityCompare!AT32)</f>
        <v/>
      </c>
      <c r="J31" s="477" t="str">
        <f ca="1">iCityCompare!AH32</f>
        <v>11</v>
      </c>
      <c r="L31" s="458">
        <f ca="1">iCityCompare!AB32</f>
        <v>91.3447138534964</v>
      </c>
      <c r="M31" s="476" t="str">
        <f ca="1">TEXT(iCityCompare!AC32,iCityCompare!AT32)</f>
        <v/>
      </c>
      <c r="N31" s="477" t="str">
        <f ca="1">iCityCompare!AI32</f>
        <v>11</v>
      </c>
      <c r="P31" s="458" t="e">
        <f ca="1">iCityCompare!AD32</f>
        <v>#VALUE!</v>
      </c>
      <c r="Q31" s="477" t="str">
        <f ca="1">iCityCompare!AJ32</f>
        <v>=21</v>
      </c>
      <c r="S31" s="458" t="e">
        <f ca="1">iCityCompare!AF32</f>
        <v>#VALUE!</v>
      </c>
      <c r="T31" s="477" t="str">
        <f ca="1">iCityCompare!AK32</f>
        <v>17</v>
      </c>
      <c r="U31" s="454"/>
      <c r="V31" s="454"/>
      <c r="W31" s="454"/>
      <c r="X31" s="483" t="str">
        <f ca="1" t="shared" si="2"/>
        <v>   2.2.2) Water quality</v>
      </c>
      <c r="Y31" s="280"/>
      <c r="Z31" s="488">
        <f ca="1">iCityCompare!BC32</f>
        <v>2</v>
      </c>
      <c r="AA31" s="488">
        <f ca="1">iCityCompare!BD32</f>
        <v>2</v>
      </c>
      <c r="AB31" s="488">
        <f ca="1">iCityCompare!BE32</f>
        <v>1</v>
      </c>
      <c r="AC31" s="488">
        <f ca="1">iCityCompare!BF32</f>
        <v>0</v>
      </c>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Z31" s="489"/>
      <c r="CA31" s="489"/>
    </row>
    <row r="32" s="407" customFormat="1" customHeight="1" spans="1:79">
      <c r="A32" s="454">
        <f ca="1">iCityCompare!Q33</f>
        <v>3</v>
      </c>
      <c r="B32" s="455"/>
      <c r="C32" s="407">
        <f ca="1" t="shared" si="1"/>
        <v>1</v>
      </c>
      <c r="D32" s="407">
        <f ca="1">iCityCompare!T33</f>
        <v>23</v>
      </c>
      <c r="E32" s="456" t="str">
        <f ca="1">IF(iCityCompare!Y33="","",REPT(" ",A32)&amp;iCityCompare!Y33)</f>
        <v>   2.2.3) Life expectancy years</v>
      </c>
      <c r="F32" s="457">
        <f ca="1" t="shared" si="0"/>
        <v>0</v>
      </c>
      <c r="G32" s="280">
        <v>0</v>
      </c>
      <c r="H32" s="458">
        <f ca="1">iCityCompare!Z33</f>
        <v>74.8974619270887</v>
      </c>
      <c r="I32" s="476" t="str">
        <f ca="1">TEXT(iCityCompare!AA33,iCityCompare!AT33)</f>
        <v/>
      </c>
      <c r="J32" s="477" t="str">
        <f ca="1">iCityCompare!AH33</f>
        <v>30</v>
      </c>
      <c r="L32" s="458">
        <f ca="1">iCityCompare!AB33</f>
        <v>74.8974619270887</v>
      </c>
      <c r="M32" s="476" t="str">
        <f ca="1">TEXT(iCityCompare!AC33,iCityCompare!AT33)</f>
        <v/>
      </c>
      <c r="N32" s="477" t="str">
        <f ca="1">iCityCompare!AI33</f>
        <v>30</v>
      </c>
      <c r="P32" s="458" t="e">
        <f ca="1">iCityCompare!AD33</f>
        <v>#VALUE!</v>
      </c>
      <c r="Q32" s="477" t="str">
        <f ca="1">iCityCompare!AJ33</f>
        <v>=4</v>
      </c>
      <c r="S32" s="458" t="e">
        <f ca="1">iCityCompare!AF33</f>
        <v>#VALUE!</v>
      </c>
      <c r="T32" s="477" t="str">
        <f ca="1">iCityCompare!AK33</f>
        <v>53</v>
      </c>
      <c r="U32" s="454"/>
      <c r="V32" s="454"/>
      <c r="W32" s="454"/>
      <c r="X32" s="483" t="str">
        <f ca="1" t="shared" si="2"/>
        <v>   2.2.3) Life expectancy years</v>
      </c>
      <c r="Y32" s="280"/>
      <c r="Z32" s="488">
        <f ca="1">iCityCompare!BC33</f>
        <v>2</v>
      </c>
      <c r="AA32" s="488">
        <f ca="1">iCityCompare!BD33</f>
        <v>2</v>
      </c>
      <c r="AB32" s="488">
        <f ca="1">iCityCompare!BE33</f>
        <v>1</v>
      </c>
      <c r="AC32" s="488">
        <f ca="1">iCityCompare!BF33</f>
        <v>0</v>
      </c>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Z32" s="489"/>
      <c r="CA32" s="489"/>
    </row>
    <row r="33" s="407" customFormat="1" customHeight="1" spans="1:79">
      <c r="A33" s="454">
        <f ca="1">iCityCompare!Q34</f>
        <v>3</v>
      </c>
      <c r="B33" s="455"/>
      <c r="C33" s="407">
        <f ca="1" t="shared" si="1"/>
        <v>1</v>
      </c>
      <c r="D33" s="407">
        <f ca="1">iCityCompare!T34</f>
        <v>24</v>
      </c>
      <c r="E33" s="456" t="str">
        <f ca="1">IF(iCityCompare!Y34="","",REPT(" ",A33)&amp;iCityCompare!Y34)</f>
        <v>   2.2.4) Infant mortality</v>
      </c>
      <c r="F33" s="457">
        <f ca="1" t="shared" si="0"/>
        <v>0</v>
      </c>
      <c r="G33" s="280">
        <v>0</v>
      </c>
      <c r="H33" s="458">
        <f ca="1">iCityCompare!Z34</f>
        <v>93.1570762052877</v>
      </c>
      <c r="I33" s="476" t="str">
        <f ca="1">TEXT(iCityCompare!AA34,iCityCompare!AT34)</f>
        <v/>
      </c>
      <c r="J33" s="477" t="str">
        <f ca="1">iCityCompare!AH34</f>
        <v>28</v>
      </c>
      <c r="L33" s="458">
        <f ca="1">iCityCompare!AB34</f>
        <v>93.1570762052877</v>
      </c>
      <c r="M33" s="476" t="str">
        <f ca="1">TEXT(iCityCompare!AC34,iCityCompare!AT34)</f>
        <v/>
      </c>
      <c r="N33" s="477" t="str">
        <f ca="1">iCityCompare!AI34</f>
        <v>28</v>
      </c>
      <c r="P33" s="458" t="e">
        <f ca="1">iCityCompare!AD34</f>
        <v>#VALUE!</v>
      </c>
      <c r="Q33" s="477" t="str">
        <f ca="1">iCityCompare!AJ34</f>
        <v>=6</v>
      </c>
      <c r="S33" s="458" t="e">
        <f ca="1">iCityCompare!AF34</f>
        <v>#VALUE!</v>
      </c>
      <c r="T33" s="477" t="str">
        <f ca="1">iCityCompare!AK34</f>
        <v>34</v>
      </c>
      <c r="U33" s="454"/>
      <c r="V33" s="454"/>
      <c r="W33" s="454"/>
      <c r="X33" s="483" t="str">
        <f ca="1" t="shared" si="2"/>
        <v>   2.2.4) Infant mortality</v>
      </c>
      <c r="Y33" s="280"/>
      <c r="Z33" s="488">
        <f ca="1">iCityCompare!BC34</f>
        <v>2</v>
      </c>
      <c r="AA33" s="488">
        <f ca="1">iCityCompare!BD34</f>
        <v>2</v>
      </c>
      <c r="AB33" s="488">
        <f ca="1">iCityCompare!BE34</f>
        <v>1</v>
      </c>
      <c r="AC33" s="488">
        <f ca="1">iCityCompare!BF34</f>
        <v>0</v>
      </c>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Z33" s="489"/>
      <c r="CA33" s="489"/>
    </row>
    <row r="34" s="407" customFormat="1" customHeight="1" spans="1:79">
      <c r="A34" s="454">
        <f ca="1">iCityCompare!Q35</f>
        <v>3</v>
      </c>
      <c r="B34" s="455"/>
      <c r="C34" s="407">
        <f ca="1" t="shared" si="1"/>
        <v>1</v>
      </c>
      <c r="D34" s="407">
        <f ca="1">iCityCompare!T35</f>
        <v>25</v>
      </c>
      <c r="E34" s="456" t="str">
        <f ca="1">IF(iCityCompare!Y35="","",REPT(" ",A34)&amp;iCityCompare!Y35)</f>
        <v>   2.2.5) Cancer mortality rate</v>
      </c>
      <c r="F34" s="457">
        <f ca="1" t="shared" si="0"/>
        <v>0</v>
      </c>
      <c r="G34" s="280">
        <v>0</v>
      </c>
      <c r="H34" s="458">
        <f ca="1">iCityCompare!Z35</f>
        <v>83.4127659574468</v>
      </c>
      <c r="I34" s="476" t="str">
        <f ca="1">TEXT(iCityCompare!AA35,iCityCompare!AT35)</f>
        <v/>
      </c>
      <c r="J34" s="477" t="str">
        <f ca="1">iCityCompare!AH35</f>
        <v>8</v>
      </c>
      <c r="L34" s="458">
        <f ca="1">iCityCompare!AB35</f>
        <v>83.4127659574468</v>
      </c>
      <c r="M34" s="476" t="str">
        <f ca="1">TEXT(iCityCompare!AC35,iCityCompare!AT35)</f>
        <v/>
      </c>
      <c r="N34" s="477" t="str">
        <f ca="1">iCityCompare!AI35</f>
        <v>8</v>
      </c>
      <c r="P34" s="458" t="e">
        <f ca="1">iCityCompare!AD35</f>
        <v>#VALUE!</v>
      </c>
      <c r="Q34" s="477" t="str">
        <f ca="1">iCityCompare!AJ35</f>
        <v>=40</v>
      </c>
      <c r="S34" s="458" t="e">
        <f ca="1">iCityCompare!AF35</f>
        <v>#VALUE!</v>
      </c>
      <c r="T34" s="477" t="str">
        <f ca="1">iCityCompare!AK35</f>
        <v>55</v>
      </c>
      <c r="U34" s="454"/>
      <c r="V34" s="454"/>
      <c r="W34" s="454"/>
      <c r="X34" s="483" t="str">
        <f ca="1" t="shared" si="2"/>
        <v>   2.2.5) Cancer mortality rate</v>
      </c>
      <c r="Y34" s="280"/>
      <c r="Z34" s="488">
        <f ca="1">iCityCompare!BC35</f>
        <v>1</v>
      </c>
      <c r="AA34" s="488">
        <f ca="1">iCityCompare!BD35</f>
        <v>1</v>
      </c>
      <c r="AB34" s="488">
        <f ca="1">iCityCompare!BE35</f>
        <v>2</v>
      </c>
      <c r="AC34" s="488">
        <f ca="1">iCityCompare!BF35</f>
        <v>0</v>
      </c>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Z34" s="489"/>
      <c r="CA34" s="489"/>
    </row>
    <row r="35" s="407" customFormat="1" customHeight="1" spans="1:79">
      <c r="A35" s="454">
        <f ca="1">iCityCompare!Q36</f>
        <v>3</v>
      </c>
      <c r="B35" s="455"/>
      <c r="C35" s="407">
        <f ca="1" t="shared" si="1"/>
        <v>1</v>
      </c>
      <c r="D35" s="407">
        <f ca="1">iCityCompare!T36</f>
        <v>26</v>
      </c>
      <c r="E35" s="456" t="str">
        <f ca="1">IF(iCityCompare!Y36="","",REPT(" ",A35)&amp;iCityCompare!Y36)</f>
        <v>   2.2.6) Number of attacks using biological, chemical and/or radiological weapons</v>
      </c>
      <c r="F35" s="457">
        <f ca="1" t="shared" si="0"/>
        <v>0</v>
      </c>
      <c r="G35" s="280">
        <v>0</v>
      </c>
      <c r="H35" s="458">
        <f ca="1">iCityCompare!Z36</f>
        <v>100</v>
      </c>
      <c r="I35" s="476" t="str">
        <f ca="1">TEXT(iCityCompare!AA36,iCityCompare!AT36)</f>
        <v/>
      </c>
      <c r="J35" s="477" t="str">
        <f ca="1">iCityCompare!AH36</f>
        <v>=1</v>
      </c>
      <c r="L35" s="458">
        <f ca="1">iCityCompare!AB36</f>
        <v>100</v>
      </c>
      <c r="M35" s="476" t="str">
        <f ca="1">TEXT(iCityCompare!AC36,iCityCompare!AT36)</f>
        <v/>
      </c>
      <c r="N35" s="477" t="str">
        <f ca="1">iCityCompare!AI36</f>
        <v>=1</v>
      </c>
      <c r="P35" s="458" t="e">
        <f ca="1">iCityCompare!AD36</f>
        <v>#VALUE!</v>
      </c>
      <c r="Q35" s="477" t="str">
        <f ca="1">iCityCompare!AJ36</f>
        <v>=1</v>
      </c>
      <c r="S35" s="458" t="e">
        <f ca="1">iCityCompare!AF36</f>
        <v>#VALUE!</v>
      </c>
      <c r="T35" s="477" t="str">
        <f ca="1">iCityCompare!AK36</f>
        <v>=1</v>
      </c>
      <c r="U35" s="454"/>
      <c r="V35" s="454"/>
      <c r="W35" s="454"/>
      <c r="X35" s="483" t="str">
        <f ca="1" t="shared" si="2"/>
        <v>   2.2.6) Number of attacks using biological, chemical and/or radiological weapons</v>
      </c>
      <c r="Y35" s="280"/>
      <c r="Z35" s="488">
        <f ca="1">iCityCompare!BC36</f>
        <v>0</v>
      </c>
      <c r="AA35" s="488">
        <f ca="1">iCityCompare!BD36</f>
        <v>0</v>
      </c>
      <c r="AB35" s="488">
        <f ca="1">iCityCompare!BE36</f>
        <v>0</v>
      </c>
      <c r="AC35" s="488">
        <f ca="1">iCityCompare!BF36</f>
        <v>0</v>
      </c>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Z35" s="489"/>
      <c r="CA35" s="489"/>
    </row>
    <row r="36" s="407" customFormat="1" customHeight="1" spans="1:79">
      <c r="A36" s="454">
        <f ca="1">iCityCompare!Q37</f>
        <v>1</v>
      </c>
      <c r="B36" s="455"/>
      <c r="C36" s="407">
        <f ca="1" t="shared" si="1"/>
        <v>1</v>
      </c>
      <c r="D36" s="407">
        <f ca="1">iCityCompare!T37</f>
        <v>27</v>
      </c>
      <c r="E36" s="456" t="str">
        <f ca="1">IF(iCityCompare!Y37="","",REPT(" ",A36)&amp;iCityCompare!Y37)</f>
        <v> 3) INFRASTRUCTURE SECURITY</v>
      </c>
      <c r="F36" s="457">
        <f ca="1" t="shared" si="0"/>
        <v>0</v>
      </c>
      <c r="G36" s="280">
        <v>0</v>
      </c>
      <c r="H36" s="458">
        <f ca="1">iCityCompare!Z37</f>
        <v>91.3641602398045</v>
      </c>
      <c r="I36" s="476" t="str">
        <f ca="1">TEXT(iCityCompare!AA37,iCityCompare!AT37)</f>
        <v/>
      </c>
      <c r="J36" s="477" t="str">
        <f ca="1">iCityCompare!AH37</f>
        <v>16</v>
      </c>
      <c r="L36" s="458">
        <f ca="1">iCityCompare!AB37</f>
        <v>91.3641602398045</v>
      </c>
      <c r="M36" s="476" t="str">
        <f ca="1">TEXT(iCityCompare!AC37,iCityCompare!AT37)</f>
        <v/>
      </c>
      <c r="N36" s="477" t="str">
        <f ca="1">iCityCompare!AI37</f>
        <v>16</v>
      </c>
      <c r="P36" s="458" t="e">
        <f ca="1">iCityCompare!AD37</f>
        <v>#VALUE!</v>
      </c>
      <c r="Q36" s="477" t="str">
        <f ca="1">iCityCompare!AJ37</f>
        <v>18</v>
      </c>
      <c r="S36" s="458" t="e">
        <f ca="1">iCityCompare!AF37</f>
        <v>#VALUE!</v>
      </c>
      <c r="T36" s="477" t="str">
        <f ca="1">iCityCompare!AK37</f>
        <v>36</v>
      </c>
      <c r="U36" s="454"/>
      <c r="V36" s="454"/>
      <c r="W36" s="454"/>
      <c r="X36" s="483" t="str">
        <f ca="1" t="shared" si="2"/>
        <v> 3) INFRASTRUCTURE SECURITY</v>
      </c>
      <c r="Y36" s="280"/>
      <c r="Z36" s="488">
        <f ca="1">iCityCompare!BC37</f>
        <v>2</v>
      </c>
      <c r="AA36" s="488">
        <f ca="1">iCityCompare!BD37</f>
        <v>2</v>
      </c>
      <c r="AB36" s="488">
        <f ca="1">iCityCompare!BE37</f>
        <v>1</v>
      </c>
      <c r="AC36" s="488">
        <f ca="1">iCityCompare!BF37</f>
        <v>0</v>
      </c>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Z36" s="489"/>
      <c r="CA36" s="489"/>
    </row>
    <row r="37" s="407" customFormat="1" customHeight="1" spans="1:79">
      <c r="A37" s="454">
        <f ca="1">iCityCompare!Q38</f>
        <v>2</v>
      </c>
      <c r="B37" s="455"/>
      <c r="C37" s="407">
        <f ca="1" t="shared" si="1"/>
        <v>1</v>
      </c>
      <c r="D37" s="407">
        <f ca="1">iCityCompare!T38</f>
        <v>28</v>
      </c>
      <c r="E37" s="456" t="str">
        <f ca="1">IF(iCityCompare!Y38="","",REPT(" ",A37)&amp;iCityCompare!Y38)</f>
        <v>  3.1) Infrastructure security (Inputs)</v>
      </c>
      <c r="F37" s="457">
        <f ca="1" t="shared" si="0"/>
        <v>0</v>
      </c>
      <c r="G37" s="280">
        <v>0</v>
      </c>
      <c r="H37" s="458">
        <f ca="1">iCityCompare!Z38</f>
        <v>90</v>
      </c>
      <c r="I37" s="476" t="str">
        <f ca="1">TEXT(iCityCompare!AA38,iCityCompare!AT38)</f>
        <v/>
      </c>
      <c r="J37" s="477" t="str">
        <f ca="1">iCityCompare!AH38</f>
        <v>23</v>
      </c>
      <c r="L37" s="458">
        <f ca="1">iCityCompare!AB38</f>
        <v>90</v>
      </c>
      <c r="M37" s="476" t="str">
        <f ca="1">TEXT(iCityCompare!AC38,iCityCompare!AT38)</f>
        <v/>
      </c>
      <c r="N37" s="477" t="str">
        <f ca="1">iCityCompare!AI38</f>
        <v>23</v>
      </c>
      <c r="P37" s="458" t="e">
        <f ca="1">iCityCompare!AD38</f>
        <v>#VALUE!</v>
      </c>
      <c r="Q37" s="477" t="str">
        <f ca="1">iCityCompare!AJ38</f>
        <v>=24</v>
      </c>
      <c r="S37" s="458" t="e">
        <f ca="1">iCityCompare!AF38</f>
        <v>#VALUE!</v>
      </c>
      <c r="T37" s="477" t="str">
        <f ca="1">iCityCompare!AK38</f>
        <v>29</v>
      </c>
      <c r="U37" s="454"/>
      <c r="V37" s="454"/>
      <c r="W37" s="454"/>
      <c r="X37" s="483" t="str">
        <f ca="1" t="shared" si="2"/>
        <v>  3.1) Infrastructure security (Inputs)</v>
      </c>
      <c r="Y37" s="280"/>
      <c r="Z37" s="488">
        <f ca="1">iCityCompare!BC38</f>
        <v>2</v>
      </c>
      <c r="AA37" s="488">
        <f ca="1">iCityCompare!BD38</f>
        <v>2</v>
      </c>
      <c r="AB37" s="488">
        <f ca="1">iCityCompare!BE38</f>
        <v>0</v>
      </c>
      <c r="AC37" s="488">
        <f ca="1">iCityCompare!BF38</f>
        <v>1</v>
      </c>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Z37" s="489"/>
      <c r="CA37" s="489"/>
    </row>
    <row r="38" s="407" customFormat="1" customHeight="1" spans="1:79">
      <c r="A38" s="454">
        <f ca="1">iCityCompare!Q39</f>
        <v>3</v>
      </c>
      <c r="B38" s="455"/>
      <c r="C38" s="407">
        <f ca="1" t="shared" si="1"/>
        <v>1</v>
      </c>
      <c r="D38" s="407">
        <f ca="1">iCityCompare!T39</f>
        <v>29</v>
      </c>
      <c r="E38" s="456" t="str">
        <f ca="1">IF(iCityCompare!Y39="","",REPT(" ",A38)&amp;iCityCompare!Y39)</f>
        <v>   3.1.1) Enforcement of transport safety</v>
      </c>
      <c r="F38" s="457">
        <f ca="1" t="shared" si="0"/>
        <v>0</v>
      </c>
      <c r="G38" s="280">
        <v>0</v>
      </c>
      <c r="H38" s="458">
        <f ca="1">iCityCompare!Z39</f>
        <v>100</v>
      </c>
      <c r="I38" s="476" t="str">
        <f ca="1">TEXT(iCityCompare!AA39,iCityCompare!AT39)</f>
        <v/>
      </c>
      <c r="J38" s="477" t="str">
        <f ca="1">iCityCompare!AH39</f>
        <v>1</v>
      </c>
      <c r="L38" s="458">
        <f ca="1">iCityCompare!AB39</f>
        <v>100</v>
      </c>
      <c r="M38" s="476" t="str">
        <f ca="1">TEXT(iCityCompare!AC39,iCityCompare!AT39)</f>
        <v/>
      </c>
      <c r="N38" s="477" t="str">
        <f ca="1">iCityCompare!AI39</f>
        <v>1</v>
      </c>
      <c r="P38" s="458" t="e">
        <f ca="1">iCityCompare!AD39</f>
        <v>#VALUE!</v>
      </c>
      <c r="Q38" s="477" t="str">
        <f ca="1">iCityCompare!AJ39</f>
        <v>=27</v>
      </c>
      <c r="S38" s="458" t="e">
        <f ca="1">iCityCompare!AF39</f>
        <v>#VALUE!</v>
      </c>
      <c r="T38" s="477" t="str">
        <f ca="1">iCityCompare!AK39</f>
        <v>=33</v>
      </c>
      <c r="U38" s="454"/>
      <c r="V38" s="454"/>
      <c r="W38" s="454"/>
      <c r="X38" s="483" t="str">
        <f ca="1" t="shared" si="2"/>
        <v>   3.1.1) Enforcement of transport safety</v>
      </c>
      <c r="Y38" s="280"/>
      <c r="Z38" s="488">
        <f ca="1">iCityCompare!BC39</f>
        <v>1</v>
      </c>
      <c r="AA38" s="488">
        <f ca="1">iCityCompare!BD39</f>
        <v>1</v>
      </c>
      <c r="AB38" s="488">
        <f ca="1">iCityCompare!BE39</f>
        <v>2</v>
      </c>
      <c r="AC38" s="488">
        <f ca="1">iCityCompare!BF39</f>
        <v>0</v>
      </c>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Z38" s="489"/>
      <c r="CA38" s="489"/>
    </row>
    <row r="39" s="407" customFormat="1" customHeight="1" spans="1:79">
      <c r="A39" s="454">
        <f ca="1">iCityCompare!Q40</f>
        <v>3</v>
      </c>
      <c r="B39" s="455"/>
      <c r="C39" s="407">
        <f ca="1" t="shared" si="1"/>
        <v>1</v>
      </c>
      <c r="D39" s="407">
        <f ca="1">iCityCompare!T40</f>
        <v>30</v>
      </c>
      <c r="E39" s="456" t="str">
        <f ca="1">IF(iCityCompare!Y40="","",REPT(" ",A39)&amp;iCityCompare!Y40)</f>
        <v>   3.1.2) Pedestrian friendliness</v>
      </c>
      <c r="F39" s="457">
        <f ca="1" t="shared" si="0"/>
        <v>0</v>
      </c>
      <c r="G39" s="280">
        <v>0</v>
      </c>
      <c r="H39" s="458">
        <f ca="1">iCityCompare!Z40</f>
        <v>100</v>
      </c>
      <c r="I39" s="476" t="str">
        <f ca="1">TEXT(iCityCompare!AA40,iCityCompare!AT40)</f>
        <v/>
      </c>
      <c r="J39" s="477" t="str">
        <f ca="1">iCityCompare!AH40</f>
        <v>=1</v>
      </c>
      <c r="L39" s="458">
        <f ca="1">iCityCompare!AB40</f>
        <v>100</v>
      </c>
      <c r="M39" s="476" t="str">
        <f ca="1">TEXT(iCityCompare!AC40,iCityCompare!AT40)</f>
        <v/>
      </c>
      <c r="N39" s="477" t="str">
        <f ca="1">iCityCompare!AI40</f>
        <v>=1</v>
      </c>
      <c r="P39" s="458" t="e">
        <f ca="1">iCityCompare!AD40</f>
        <v>#VALUE!</v>
      </c>
      <c r="Q39" s="477" t="str">
        <f ca="1">iCityCompare!AJ40</f>
        <v>=1</v>
      </c>
      <c r="S39" s="458" t="e">
        <f ca="1">iCityCompare!AF40</f>
        <v>#VALUE!</v>
      </c>
      <c r="T39" s="477" t="str">
        <f ca="1">iCityCompare!AK40</f>
        <v>=1</v>
      </c>
      <c r="U39" s="454"/>
      <c r="V39" s="454"/>
      <c r="W39" s="454"/>
      <c r="X39" s="483" t="str">
        <f ca="1" t="shared" si="2"/>
        <v>   3.1.2) Pedestrian friendliness</v>
      </c>
      <c r="Y39" s="280"/>
      <c r="Z39" s="488">
        <f ca="1">iCityCompare!BC40</f>
        <v>0</v>
      </c>
      <c r="AA39" s="488">
        <f ca="1">iCityCompare!BD40</f>
        <v>0</v>
      </c>
      <c r="AB39" s="488">
        <f ca="1">iCityCompare!BE40</f>
        <v>0</v>
      </c>
      <c r="AC39" s="488">
        <f ca="1">iCityCompare!BF40</f>
        <v>0</v>
      </c>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Z39" s="489"/>
      <c r="CA39" s="489"/>
    </row>
    <row r="40" s="407" customFormat="1" customHeight="1" spans="1:79">
      <c r="A40" s="454">
        <f ca="1">iCityCompare!Q41</f>
        <v>3</v>
      </c>
      <c r="B40" s="455"/>
      <c r="C40" s="407">
        <f ca="1" t="shared" si="1"/>
        <v>1</v>
      </c>
      <c r="D40" s="407">
        <f ca="1">iCityCompare!T41</f>
        <v>31</v>
      </c>
      <c r="E40" s="456" t="str">
        <f ca="1">IF(iCityCompare!Y41="","",REPT(" ",A40)&amp;iCityCompare!Y41)</f>
        <v>   3.1.3) Quality of road infrastructure</v>
      </c>
      <c r="F40" s="457">
        <f ca="1" t="shared" si="0"/>
        <v>0</v>
      </c>
      <c r="G40" s="280">
        <v>0</v>
      </c>
      <c r="H40" s="458">
        <f ca="1">iCityCompare!Z41</f>
        <v>100</v>
      </c>
      <c r="I40" s="476" t="str">
        <f ca="1">TEXT(iCityCompare!AA41,iCityCompare!AT41)</f>
        <v/>
      </c>
      <c r="J40" s="477" t="str">
        <f ca="1">iCityCompare!AH41</f>
        <v>=1</v>
      </c>
      <c r="L40" s="458">
        <f ca="1">iCityCompare!AB41</f>
        <v>100</v>
      </c>
      <c r="M40" s="476" t="str">
        <f ca="1">TEXT(iCityCompare!AC41,iCityCompare!AT41)</f>
        <v/>
      </c>
      <c r="N40" s="477" t="str">
        <f ca="1">iCityCompare!AI41</f>
        <v>=1</v>
      </c>
      <c r="P40" s="458" t="e">
        <f ca="1">iCityCompare!AD41</f>
        <v>#VALUE!</v>
      </c>
      <c r="Q40" s="477" t="str">
        <f ca="1">iCityCompare!AJ41</f>
        <v>=16</v>
      </c>
      <c r="S40" s="458" t="e">
        <f ca="1">iCityCompare!AF41</f>
        <v>#VALUE!</v>
      </c>
      <c r="T40" s="477" t="str">
        <f ca="1">iCityCompare!AK41</f>
        <v>=16</v>
      </c>
      <c r="U40" s="454"/>
      <c r="V40" s="454"/>
      <c r="W40" s="454"/>
      <c r="X40" s="483" t="str">
        <f ca="1" t="shared" si="2"/>
        <v>   3.1.3) Quality of road infrastructure</v>
      </c>
      <c r="Y40" s="280"/>
      <c r="Z40" s="488">
        <f ca="1">iCityCompare!BC41</f>
        <v>0</v>
      </c>
      <c r="AA40" s="488">
        <f ca="1">iCityCompare!BD41</f>
        <v>0</v>
      </c>
      <c r="AB40" s="488">
        <f ca="1">iCityCompare!BE41</f>
        <v>0</v>
      </c>
      <c r="AC40" s="488">
        <f ca="1">iCityCompare!BF41</f>
        <v>0</v>
      </c>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Z40" s="489"/>
      <c r="CA40" s="489"/>
    </row>
    <row r="41" s="407" customFormat="1" customHeight="1" spans="1:79">
      <c r="A41" s="454">
        <f ca="1">iCityCompare!Q42</f>
        <v>3</v>
      </c>
      <c r="B41" s="455"/>
      <c r="C41" s="407">
        <f ca="1" t="shared" si="1"/>
        <v>1</v>
      </c>
      <c r="D41" s="407">
        <f ca="1">iCityCompare!T42</f>
        <v>32</v>
      </c>
      <c r="E41" s="456" t="str">
        <f ca="1">IF(iCityCompare!Y42="","",REPT(" ",A41)&amp;iCityCompare!Y42)</f>
        <v>   3.1.4) Quality of electricity infrastructure</v>
      </c>
      <c r="F41" s="457">
        <f ca="1" t="shared" si="0"/>
        <v>0</v>
      </c>
      <c r="G41" s="280">
        <v>0</v>
      </c>
      <c r="H41" s="458">
        <f ca="1">iCityCompare!Z42</f>
        <v>75</v>
      </c>
      <c r="I41" s="476" t="str">
        <f ca="1">TEXT(iCityCompare!AA42,iCityCompare!AT42)</f>
        <v/>
      </c>
      <c r="J41" s="477" t="str">
        <f ca="1">iCityCompare!AH42</f>
        <v>=38</v>
      </c>
      <c r="L41" s="458">
        <f ca="1">iCityCompare!AB42</f>
        <v>75</v>
      </c>
      <c r="M41" s="476" t="str">
        <f ca="1">TEXT(iCityCompare!AC42,iCityCompare!AT42)</f>
        <v/>
      </c>
      <c r="N41" s="477" t="str">
        <f ca="1">iCityCompare!AI42</f>
        <v>=38</v>
      </c>
      <c r="P41" s="458" t="e">
        <f ca="1">iCityCompare!AD42</f>
        <v>#VALUE!</v>
      </c>
      <c r="Q41" s="477" t="str">
        <f ca="1">iCityCompare!AJ42</f>
        <v>=1</v>
      </c>
      <c r="S41" s="458" t="e">
        <f ca="1">iCityCompare!AF42</f>
        <v>#VALUE!</v>
      </c>
      <c r="T41" s="477" t="str">
        <f ca="1">iCityCompare!AK42</f>
        <v>=1</v>
      </c>
      <c r="U41" s="454"/>
      <c r="V41" s="454"/>
      <c r="W41" s="454"/>
      <c r="X41" s="483" t="str">
        <f ca="1" t="shared" si="2"/>
        <v>   3.1.4) Quality of electricity infrastructure</v>
      </c>
      <c r="Y41" s="280"/>
      <c r="Z41" s="488">
        <f ca="1">iCityCompare!BC42</f>
        <v>2</v>
      </c>
      <c r="AA41" s="488">
        <f ca="1">iCityCompare!BD42</f>
        <v>2</v>
      </c>
      <c r="AB41" s="488">
        <f ca="1">iCityCompare!BE42</f>
        <v>1</v>
      </c>
      <c r="AC41" s="488">
        <f ca="1">iCityCompare!BF42</f>
        <v>1</v>
      </c>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Z41" s="489"/>
      <c r="CA41" s="489"/>
    </row>
    <row r="42" s="407" customFormat="1" customHeight="1" spans="1:79">
      <c r="A42" s="454">
        <f ca="1">iCityCompare!Q43</f>
        <v>3</v>
      </c>
      <c r="B42" s="455"/>
      <c r="C42" s="407">
        <f ca="1" t="shared" si="1"/>
        <v>1</v>
      </c>
      <c r="D42" s="407">
        <f ca="1">iCityCompare!T43</f>
        <v>33</v>
      </c>
      <c r="E42" s="456" t="str">
        <f ca="1">IF(iCityCompare!Y43="","",REPT(" ",A42)&amp;iCityCompare!Y43)</f>
        <v>   3.1.5) Disaster management/business continuity plan</v>
      </c>
      <c r="F42" s="457">
        <f ca="1" t="shared" si="0"/>
        <v>0</v>
      </c>
      <c r="G42" s="280">
        <v>0</v>
      </c>
      <c r="H42" s="458">
        <f ca="1">iCityCompare!Z43</f>
        <v>75</v>
      </c>
      <c r="I42" s="476" t="str">
        <f ca="1">TEXT(iCityCompare!AA43,iCityCompare!AT43)</f>
        <v/>
      </c>
      <c r="J42" s="477" t="str">
        <f ca="1">iCityCompare!AH43</f>
        <v>=30</v>
      </c>
      <c r="L42" s="458">
        <f ca="1">iCityCompare!AB43</f>
        <v>75</v>
      </c>
      <c r="M42" s="476" t="str">
        <f ca="1">TEXT(iCityCompare!AC43,iCityCompare!AT43)</f>
        <v/>
      </c>
      <c r="N42" s="477" t="str">
        <f ca="1">iCityCompare!AI43</f>
        <v>=30</v>
      </c>
      <c r="P42" s="458" t="e">
        <f ca="1">iCityCompare!AD43</f>
        <v>#VALUE!</v>
      </c>
      <c r="Q42" s="477" t="str">
        <f ca="1">iCityCompare!AJ43</f>
        <v>=1</v>
      </c>
      <c r="S42" s="458" t="e">
        <f ca="1">iCityCompare!AF43</f>
        <v>#VALUE!</v>
      </c>
      <c r="T42" s="477" t="str">
        <f ca="1">iCityCompare!AK43</f>
        <v>=30</v>
      </c>
      <c r="U42" s="454"/>
      <c r="V42" s="454"/>
      <c r="W42" s="454"/>
      <c r="X42" s="483" t="str">
        <f ca="1" t="shared" si="2"/>
        <v>   3.1.5) Disaster management/business continuity plan</v>
      </c>
      <c r="Y42" s="280"/>
      <c r="Z42" s="488">
        <f ca="1">iCityCompare!BC43</f>
        <v>2</v>
      </c>
      <c r="AA42" s="488">
        <f ca="1">iCityCompare!BD43</f>
        <v>2</v>
      </c>
      <c r="AB42" s="488">
        <f ca="1">iCityCompare!BE43</f>
        <v>1</v>
      </c>
      <c r="AC42" s="488">
        <f ca="1">iCityCompare!BF43</f>
        <v>1</v>
      </c>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Z42" s="489"/>
      <c r="CA42" s="489"/>
    </row>
    <row r="43" s="407" customFormat="1" customHeight="1" spans="1:79">
      <c r="A43" s="454">
        <f ca="1">iCityCompare!Q44</f>
        <v>2</v>
      </c>
      <c r="B43" s="455"/>
      <c r="C43" s="407">
        <f ca="1" t="shared" si="1"/>
        <v>1</v>
      </c>
      <c r="D43" s="407">
        <f ca="1">iCityCompare!T44</f>
        <v>34</v>
      </c>
      <c r="E43" s="456" t="str">
        <f ca="1">IF(iCityCompare!Y44="","",REPT(" ",A43)&amp;iCityCompare!Y44)</f>
        <v>  3.2) Infrastructure security (Outputs)</v>
      </c>
      <c r="F43" s="457">
        <f ca="1" t="shared" si="0"/>
        <v>0</v>
      </c>
      <c r="G43" s="280">
        <v>0</v>
      </c>
      <c r="H43" s="458">
        <f ca="1">iCityCompare!Z44</f>
        <v>92.728320479609</v>
      </c>
      <c r="I43" s="476" t="str">
        <f ca="1">TEXT(iCityCompare!AA44,iCityCompare!AT44)</f>
        <v/>
      </c>
      <c r="J43" s="477" t="str">
        <f ca="1">iCityCompare!AH44</f>
        <v>=14</v>
      </c>
      <c r="L43" s="458">
        <f ca="1">iCityCompare!AB44</f>
        <v>92.728320479609</v>
      </c>
      <c r="M43" s="476" t="str">
        <f ca="1">TEXT(iCityCompare!AC44,iCityCompare!AT44)</f>
        <v/>
      </c>
      <c r="N43" s="477" t="str">
        <f ca="1">iCityCompare!AI44</f>
        <v>=14</v>
      </c>
      <c r="P43" s="458" t="e">
        <f ca="1">iCityCompare!AD44</f>
        <v>#VALUE!</v>
      </c>
      <c r="Q43" s="477" t="str">
        <f ca="1">iCityCompare!AJ44</f>
        <v>18</v>
      </c>
      <c r="S43" s="458" t="e">
        <f ca="1">iCityCompare!AF44</f>
        <v>#VALUE!</v>
      </c>
      <c r="T43" s="477" t="str">
        <f ca="1">iCityCompare!AK44</f>
        <v>53</v>
      </c>
      <c r="U43" s="454"/>
      <c r="V43" s="454"/>
      <c r="W43" s="454"/>
      <c r="X43" s="483" t="str">
        <f ca="1" t="shared" si="2"/>
        <v>  3.2) Infrastructure security (Outputs)</v>
      </c>
      <c r="Y43" s="280"/>
      <c r="Z43" s="488">
        <f ca="1">iCityCompare!BC44</f>
        <v>2</v>
      </c>
      <c r="AA43" s="488">
        <f ca="1">iCityCompare!BD44</f>
        <v>2</v>
      </c>
      <c r="AB43" s="488">
        <f ca="1">iCityCompare!BE44</f>
        <v>1</v>
      </c>
      <c r="AC43" s="488">
        <f ca="1">iCityCompare!BF44</f>
        <v>0</v>
      </c>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Z43" s="489"/>
      <c r="CA43" s="489"/>
    </row>
    <row r="44" s="407" customFormat="1" customHeight="1" spans="1:79">
      <c r="A44" s="454">
        <f ca="1">iCityCompare!Q45</f>
        <v>3</v>
      </c>
      <c r="B44" s="455"/>
      <c r="C44" s="407">
        <f ca="1" t="shared" si="1"/>
        <v>1</v>
      </c>
      <c r="D44" s="407">
        <f ca="1">iCityCompare!T45</f>
        <v>35</v>
      </c>
      <c r="E44" s="456" t="str">
        <f ca="1">IF(iCityCompare!Y45="","",REPT(" ",A44)&amp;iCityCompare!Y45)</f>
        <v>   3.2.1) Deaths from natural disaster</v>
      </c>
      <c r="F44" s="457">
        <f ca="1" t="shared" si="0"/>
        <v>0</v>
      </c>
      <c r="G44" s="280">
        <v>0</v>
      </c>
      <c r="H44" s="458">
        <f ca="1">iCityCompare!Z45</f>
        <v>100</v>
      </c>
      <c r="I44" s="476" t="str">
        <f ca="1">TEXT(iCityCompare!AA45,iCityCompare!AT45)</f>
        <v/>
      </c>
      <c r="J44" s="477" t="str">
        <f ca="1">iCityCompare!AH45</f>
        <v>=1</v>
      </c>
      <c r="L44" s="458">
        <f ca="1">iCityCompare!AB45</f>
        <v>100</v>
      </c>
      <c r="M44" s="476" t="str">
        <f ca="1">TEXT(iCityCompare!AC45,iCityCompare!AT45)</f>
        <v/>
      </c>
      <c r="N44" s="477" t="str">
        <f ca="1">iCityCompare!AI45</f>
        <v>=1</v>
      </c>
      <c r="P44" s="458" t="e">
        <f ca="1">iCityCompare!AD45</f>
        <v>#VALUE!</v>
      </c>
      <c r="Q44" s="477" t="str">
        <f ca="1">iCityCompare!AJ45</f>
        <v>=42</v>
      </c>
      <c r="S44" s="458" t="e">
        <f ca="1">iCityCompare!AF45</f>
        <v>#VALUE!</v>
      </c>
      <c r="T44" s="477" t="str">
        <f ca="1">iCityCompare!AK45</f>
        <v>25</v>
      </c>
      <c r="U44" s="454"/>
      <c r="V44" s="454"/>
      <c r="W44" s="454"/>
      <c r="X44" s="483" t="str">
        <f ca="1" t="shared" si="2"/>
        <v>   3.2.1) Deaths from natural disaster</v>
      </c>
      <c r="Y44" s="280"/>
      <c r="Z44" s="488">
        <f ca="1">iCityCompare!BC45</f>
        <v>1</v>
      </c>
      <c r="AA44" s="488">
        <f ca="1">iCityCompare!BD45</f>
        <v>1</v>
      </c>
      <c r="AB44" s="488">
        <f ca="1">iCityCompare!BE45</f>
        <v>0</v>
      </c>
      <c r="AC44" s="488">
        <f ca="1">iCityCompare!BF45</f>
        <v>2</v>
      </c>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Z44" s="489"/>
      <c r="CA44" s="489"/>
    </row>
    <row r="45" s="407" customFormat="1" customHeight="1" spans="1:79">
      <c r="A45" s="454">
        <f ca="1">iCityCompare!Q46</f>
        <v>3</v>
      </c>
      <c r="B45" s="455"/>
      <c r="C45" s="407">
        <f ca="1" t="shared" si="1"/>
        <v>1</v>
      </c>
      <c r="D45" s="407">
        <f ca="1">iCityCompare!T46</f>
        <v>36</v>
      </c>
      <c r="E45" s="456" t="str">
        <f ca="1">IF(iCityCompare!Y46="","",REPT(" ",A45)&amp;iCityCompare!Y46)</f>
        <v>   3.2.2) Frequency of vehicular accidents</v>
      </c>
      <c r="F45" s="457">
        <f ca="1" t="shared" si="0"/>
        <v>0</v>
      </c>
      <c r="G45" s="280">
        <v>0</v>
      </c>
      <c r="H45" s="458">
        <f ca="1">iCityCompare!Z46</f>
        <v>95.6913364340366</v>
      </c>
      <c r="I45" s="476" t="str">
        <f ca="1">TEXT(iCityCompare!AA46,iCityCompare!AT46)</f>
        <v/>
      </c>
      <c r="J45" s="477" t="str">
        <f ca="1">iCityCompare!AH46</f>
        <v>17</v>
      </c>
      <c r="L45" s="458">
        <f ca="1">iCityCompare!AB46</f>
        <v>95.6913364340366</v>
      </c>
      <c r="M45" s="476" t="str">
        <f ca="1">TEXT(iCityCompare!AC46,iCityCompare!AT46)</f>
        <v/>
      </c>
      <c r="N45" s="477" t="str">
        <f ca="1">iCityCompare!AI46</f>
        <v>17</v>
      </c>
      <c r="P45" s="458" t="e">
        <f ca="1">iCityCompare!AD46</f>
        <v>#VALUE!</v>
      </c>
      <c r="Q45" s="477" t="str">
        <f ca="1">iCityCompare!AJ46</f>
        <v>40</v>
      </c>
      <c r="S45" s="458" t="e">
        <f ca="1">iCityCompare!AF46</f>
        <v>#VALUE!</v>
      </c>
      <c r="T45" s="477" t="str">
        <f ca="1">iCityCompare!AK46</f>
        <v>56</v>
      </c>
      <c r="U45" s="454"/>
      <c r="V45" s="454"/>
      <c r="W45" s="454"/>
      <c r="X45" s="483" t="str">
        <f ca="1" t="shared" si="2"/>
        <v>   3.2.2) Frequency of vehicular accidents</v>
      </c>
      <c r="Y45" s="280"/>
      <c r="Z45" s="488">
        <f ca="1">iCityCompare!BC46</f>
        <v>1</v>
      </c>
      <c r="AA45" s="488">
        <f ca="1">iCityCompare!BD46</f>
        <v>1</v>
      </c>
      <c r="AB45" s="488">
        <f ca="1">iCityCompare!BE46</f>
        <v>0</v>
      </c>
      <c r="AC45" s="488">
        <f ca="1">iCityCompare!BF46</f>
        <v>2</v>
      </c>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Z45" s="489"/>
      <c r="CA45" s="489"/>
    </row>
    <row r="46" s="407" customFormat="1" customHeight="1" spans="1:79">
      <c r="A46" s="454">
        <f ca="1">iCityCompare!Q47</f>
        <v>3</v>
      </c>
      <c r="B46" s="455"/>
      <c r="C46" s="407">
        <f ca="1" t="shared" si="1"/>
        <v>1</v>
      </c>
      <c r="D46" s="407">
        <f ca="1">iCityCompare!T47</f>
        <v>37</v>
      </c>
      <c r="E46" s="456" t="str">
        <f ca="1">IF(iCityCompare!Y47="","",REPT(" ",A46)&amp;iCityCompare!Y47)</f>
        <v>   3.2.3) Frequency of pedestrian deaths</v>
      </c>
      <c r="F46" s="457">
        <f ca="1" t="shared" si="0"/>
        <v>0</v>
      </c>
      <c r="G46" s="280">
        <v>0</v>
      </c>
      <c r="H46" s="458">
        <f ca="1">iCityCompare!Z47</f>
        <v>67.9502659640083</v>
      </c>
      <c r="I46" s="476" t="str">
        <f ca="1">TEXT(iCityCompare!AA47,iCityCompare!AT47)</f>
        <v/>
      </c>
      <c r="J46" s="477" t="str">
        <f ca="1">iCityCompare!AH47</f>
        <v>38</v>
      </c>
      <c r="L46" s="458">
        <f ca="1">iCityCompare!AB47</f>
        <v>67.9502659640083</v>
      </c>
      <c r="M46" s="476" t="str">
        <f ca="1">TEXT(iCityCompare!AC47,iCityCompare!AT47)</f>
        <v/>
      </c>
      <c r="N46" s="477" t="str">
        <f ca="1">iCityCompare!AI47</f>
        <v>38</v>
      </c>
      <c r="P46" s="458" t="e">
        <f ca="1">iCityCompare!AD47</f>
        <v>#VALUE!</v>
      </c>
      <c r="Q46" s="477" t="str">
        <f ca="1">iCityCompare!AJ47</f>
        <v>16</v>
      </c>
      <c r="S46" s="458" t="e">
        <f ca="1">iCityCompare!AF47</f>
        <v>#VALUE!</v>
      </c>
      <c r="T46" s="477" t="str">
        <f ca="1">iCityCompare!AK47</f>
        <v>56</v>
      </c>
      <c r="U46" s="454"/>
      <c r="V46" s="454"/>
      <c r="W46" s="454"/>
      <c r="X46" s="483" t="str">
        <f ca="1" t="shared" si="2"/>
        <v>   3.2.3) Frequency of pedestrian deaths</v>
      </c>
      <c r="Y46" s="280"/>
      <c r="Z46" s="488">
        <f ca="1">iCityCompare!BC47</f>
        <v>2</v>
      </c>
      <c r="AA46" s="488">
        <f ca="1">iCityCompare!BD47</f>
        <v>2</v>
      </c>
      <c r="AB46" s="488">
        <f ca="1">iCityCompare!BE47</f>
        <v>1</v>
      </c>
      <c r="AC46" s="488">
        <f ca="1">iCityCompare!BF47</f>
        <v>0</v>
      </c>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Z46" s="489"/>
      <c r="CA46" s="489"/>
    </row>
    <row r="47" s="407" customFormat="1" customHeight="1" spans="1:79">
      <c r="A47" s="454">
        <f ca="1">iCityCompare!Q48</f>
        <v>3</v>
      </c>
      <c r="B47" s="455"/>
      <c r="C47" s="407">
        <f ca="1" t="shared" si="1"/>
        <v>1</v>
      </c>
      <c r="D47" s="407">
        <f ca="1">iCityCompare!T48</f>
        <v>38</v>
      </c>
      <c r="E47" s="456" t="str">
        <f ca="1">IF(iCityCompare!Y48="","",REPT(" ",A47)&amp;iCityCompare!Y48)</f>
        <v>   3.2.4) Percentage living in slums</v>
      </c>
      <c r="F47" s="457">
        <f ca="1" t="shared" si="0"/>
        <v>0</v>
      </c>
      <c r="G47" s="280">
        <v>0</v>
      </c>
      <c r="H47" s="458">
        <f ca="1">iCityCompare!Z48</f>
        <v>100</v>
      </c>
      <c r="I47" s="476" t="str">
        <f ca="1">TEXT(iCityCompare!AA48,iCityCompare!AT48)</f>
        <v/>
      </c>
      <c r="J47" s="477" t="str">
        <f ca="1">iCityCompare!AH48</f>
        <v>=1</v>
      </c>
      <c r="L47" s="458">
        <f ca="1">iCityCompare!AB48</f>
        <v>100</v>
      </c>
      <c r="M47" s="476" t="str">
        <f ca="1">TEXT(iCityCompare!AC48,iCityCompare!AT48)</f>
        <v/>
      </c>
      <c r="N47" s="477" t="str">
        <f ca="1">iCityCompare!AI48</f>
        <v>=1</v>
      </c>
      <c r="P47" s="458" t="e">
        <f ca="1">iCityCompare!AD48</f>
        <v>#VALUE!</v>
      </c>
      <c r="Q47" s="477" t="str">
        <f ca="1">iCityCompare!AJ48</f>
        <v>=33</v>
      </c>
      <c r="S47" s="458" t="e">
        <f ca="1">iCityCompare!AF48</f>
        <v>#VALUE!</v>
      </c>
      <c r="T47" s="477" t="str">
        <f ca="1">iCityCompare!AK48</f>
        <v>=28</v>
      </c>
      <c r="U47" s="454"/>
      <c r="V47" s="454"/>
      <c r="W47" s="454"/>
      <c r="X47" s="483" t="str">
        <f ca="1" t="shared" si="2"/>
        <v>   3.2.4) Percentage living in slums</v>
      </c>
      <c r="Y47" s="280"/>
      <c r="Z47" s="488">
        <f ca="1">iCityCompare!BC48</f>
        <v>1</v>
      </c>
      <c r="AA47" s="488">
        <f ca="1">iCityCompare!BD48</f>
        <v>1</v>
      </c>
      <c r="AB47" s="488">
        <f ca="1">iCityCompare!BE48</f>
        <v>2</v>
      </c>
      <c r="AC47" s="488">
        <f ca="1">iCityCompare!BF48</f>
        <v>0</v>
      </c>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Z47" s="489"/>
      <c r="CA47" s="489"/>
    </row>
    <row r="48" s="407" customFormat="1" customHeight="1" spans="1:79">
      <c r="A48" s="454">
        <f ca="1">iCityCompare!Q49</f>
        <v>3</v>
      </c>
      <c r="B48" s="455"/>
      <c r="C48" s="407">
        <f ca="1" t="shared" si="1"/>
        <v>1</v>
      </c>
      <c r="D48" s="407">
        <f ca="1">iCityCompare!T49</f>
        <v>39</v>
      </c>
      <c r="E48" s="456" t="str">
        <f ca="1">IF(iCityCompare!Y49="","",REPT(" ",A48)&amp;iCityCompare!Y49)</f>
        <v>   3.2.5) Number of attacks on facilities/infrastructure</v>
      </c>
      <c r="F48" s="457">
        <f ca="1" t="shared" si="0"/>
        <v>0</v>
      </c>
      <c r="G48" s="280">
        <v>0</v>
      </c>
      <c r="H48" s="458">
        <f ca="1">iCityCompare!Z49</f>
        <v>100</v>
      </c>
      <c r="I48" s="476" t="str">
        <f ca="1">TEXT(iCityCompare!AA49,iCityCompare!AT49)</f>
        <v/>
      </c>
      <c r="J48" s="477" t="str">
        <f ca="1">iCityCompare!AH49</f>
        <v>=1</v>
      </c>
      <c r="L48" s="458">
        <f ca="1">iCityCompare!AB49</f>
        <v>100</v>
      </c>
      <c r="M48" s="476" t="str">
        <f ca="1">TEXT(iCityCompare!AC49,iCityCompare!AT49)</f>
        <v/>
      </c>
      <c r="N48" s="477" t="str">
        <f ca="1">iCityCompare!AI49</f>
        <v>=1</v>
      </c>
      <c r="P48" s="458" t="e">
        <f ca="1">iCityCompare!AD49</f>
        <v>#VALUE!</v>
      </c>
      <c r="Q48" s="477" t="str">
        <f ca="1">iCityCompare!AJ49</f>
        <v>=1</v>
      </c>
      <c r="S48" s="458" t="e">
        <f ca="1">iCityCompare!AF49</f>
        <v>#VALUE!</v>
      </c>
      <c r="T48" s="477" t="str">
        <f ca="1">iCityCompare!AK49</f>
        <v>=48</v>
      </c>
      <c r="U48" s="454"/>
      <c r="V48" s="454"/>
      <c r="W48" s="454"/>
      <c r="X48" s="483" t="str">
        <f ca="1" t="shared" si="2"/>
        <v>   3.2.5) Number of attacks on facilities/infrastructure</v>
      </c>
      <c r="Y48" s="280"/>
      <c r="Z48" s="488">
        <f ca="1">iCityCompare!BC49</f>
        <v>0</v>
      </c>
      <c r="AA48" s="488">
        <f ca="1">iCityCompare!BD49</f>
        <v>0</v>
      </c>
      <c r="AB48" s="488">
        <f ca="1">iCityCompare!BE49</f>
        <v>0</v>
      </c>
      <c r="AC48" s="488">
        <f ca="1">iCityCompare!BF49</f>
        <v>0</v>
      </c>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Z48" s="489"/>
      <c r="CA48" s="489"/>
    </row>
    <row r="49" s="407" customFormat="1" customHeight="1" spans="1:79">
      <c r="A49" s="454">
        <f ca="1">iCityCompare!Q50</f>
        <v>1</v>
      </c>
      <c r="B49" s="455"/>
      <c r="C49" s="407">
        <f ca="1" t="shared" si="1"/>
        <v>1</v>
      </c>
      <c r="D49" s="407">
        <f ca="1">iCityCompare!T50</f>
        <v>40</v>
      </c>
      <c r="E49" s="456" t="str">
        <f ca="1">IF(iCityCompare!Y50="","",REPT(" ",A49)&amp;iCityCompare!Y50)</f>
        <v> 4) PERSONAL SECURITY</v>
      </c>
      <c r="F49" s="457">
        <f ca="1" t="shared" si="0"/>
        <v>0</v>
      </c>
      <c r="G49" s="280">
        <v>0</v>
      </c>
      <c r="H49" s="458">
        <f ca="1">iCityCompare!Z50</f>
        <v>78.9514458295227</v>
      </c>
      <c r="I49" s="476" t="str">
        <f ca="1">TEXT(iCityCompare!AA50,iCityCompare!AT50)</f>
        <v/>
      </c>
      <c r="J49" s="477" t="str">
        <f ca="1">iCityCompare!AH50</f>
        <v>29</v>
      </c>
      <c r="L49" s="458">
        <f ca="1">iCityCompare!AB50</f>
        <v>78.9514458295227</v>
      </c>
      <c r="M49" s="476" t="str">
        <f ca="1">TEXT(iCityCompare!AC50,iCityCompare!AT50)</f>
        <v/>
      </c>
      <c r="N49" s="477" t="str">
        <f ca="1">iCityCompare!AI50</f>
        <v>29</v>
      </c>
      <c r="P49" s="458" t="e">
        <f ca="1">iCityCompare!AD50</f>
        <v>#VALUE!</v>
      </c>
      <c r="Q49" s="477" t="str">
        <f ca="1">iCityCompare!AJ50</f>
        <v>32</v>
      </c>
      <c r="S49" s="458" t="e">
        <f ca="1">iCityCompare!AF50</f>
        <v>#VALUE!</v>
      </c>
      <c r="T49" s="477" t="str">
        <f ca="1">iCityCompare!AK50</f>
        <v>53</v>
      </c>
      <c r="U49" s="454"/>
      <c r="V49" s="454"/>
      <c r="W49" s="454"/>
      <c r="X49" s="483" t="str">
        <f ca="1" t="shared" si="2"/>
        <v> 4) PERSONAL SECURITY</v>
      </c>
      <c r="Y49" s="280"/>
      <c r="Z49" s="488">
        <f ca="1">iCityCompare!BC50</f>
        <v>2</v>
      </c>
      <c r="AA49" s="488">
        <f ca="1">iCityCompare!BD50</f>
        <v>2</v>
      </c>
      <c r="AB49" s="488">
        <f ca="1">iCityCompare!BE50</f>
        <v>1</v>
      </c>
      <c r="AC49" s="488">
        <f ca="1">iCityCompare!BF50</f>
        <v>0</v>
      </c>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Z49" s="489"/>
      <c r="CA49" s="489"/>
    </row>
    <row r="50" s="407" customFormat="1" customHeight="1" spans="1:79">
      <c r="A50" s="454">
        <f ca="1">iCityCompare!Q51</f>
        <v>2</v>
      </c>
      <c r="B50" s="455"/>
      <c r="C50" s="407">
        <f ca="1" t="shared" si="1"/>
        <v>1</v>
      </c>
      <c r="D50" s="407">
        <f ca="1">iCityCompare!T51</f>
        <v>41</v>
      </c>
      <c r="E50" s="456" t="str">
        <f ca="1">IF(iCityCompare!Y51="","",REPT(" ",A50)&amp;iCityCompare!Y51)</f>
        <v>  4.1) Personal security (Inputs)</v>
      </c>
      <c r="F50" s="457">
        <f ca="1" t="shared" si="0"/>
        <v>0</v>
      </c>
      <c r="G50" s="280">
        <v>0</v>
      </c>
      <c r="H50" s="458">
        <f ca="1">iCityCompare!Z51</f>
        <v>71.8027210884354</v>
      </c>
      <c r="I50" s="476" t="str">
        <f ca="1">TEXT(iCityCompare!AA51,iCityCompare!AT51)</f>
        <v/>
      </c>
      <c r="J50" s="477" t="str">
        <f ca="1">iCityCompare!AH51</f>
        <v>40</v>
      </c>
      <c r="L50" s="458">
        <f ca="1">iCityCompare!AB51</f>
        <v>71.8027210884354</v>
      </c>
      <c r="M50" s="476" t="str">
        <f ca="1">TEXT(iCityCompare!AC51,iCityCompare!AT51)</f>
        <v/>
      </c>
      <c r="N50" s="477" t="str">
        <f ca="1">iCityCompare!AI51</f>
        <v>40</v>
      </c>
      <c r="P50" s="458" t="e">
        <f ca="1">iCityCompare!AD51</f>
        <v>#VALUE!</v>
      </c>
      <c r="Q50" s="477" t="str">
        <f ca="1">iCityCompare!AJ51</f>
        <v>=32</v>
      </c>
      <c r="S50" s="458" t="e">
        <f ca="1">iCityCompare!AF51</f>
        <v>#VALUE!</v>
      </c>
      <c r="T50" s="477" t="str">
        <f ca="1">iCityCompare!AK51</f>
        <v>51</v>
      </c>
      <c r="U50" s="454"/>
      <c r="V50" s="454"/>
      <c r="W50" s="454"/>
      <c r="X50" s="483" t="str">
        <f ca="1" t="shared" si="2"/>
        <v>  4.1) Personal security (Inputs)</v>
      </c>
      <c r="Y50" s="280"/>
      <c r="Z50" s="488">
        <f ca="1">iCityCompare!BC51</f>
        <v>2</v>
      </c>
      <c r="AA50" s="488">
        <f ca="1">iCityCompare!BD51</f>
        <v>2</v>
      </c>
      <c r="AB50" s="488">
        <f ca="1">iCityCompare!BE51</f>
        <v>0</v>
      </c>
      <c r="AC50" s="488">
        <f ca="1">iCityCompare!BF51</f>
        <v>1</v>
      </c>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Z50" s="489"/>
      <c r="CA50" s="489"/>
    </row>
    <row r="51" s="407" customFormat="1" customHeight="1" spans="1:79">
      <c r="A51" s="454">
        <f ca="1">iCityCompare!Q52</f>
        <v>3</v>
      </c>
      <c r="B51" s="455"/>
      <c r="C51" s="407">
        <f ca="1" t="shared" si="1"/>
        <v>1</v>
      </c>
      <c r="D51" s="407">
        <f ca="1">iCityCompare!T52</f>
        <v>42</v>
      </c>
      <c r="E51" s="456" t="str">
        <f ca="1">IF(iCityCompare!Y52="","",REPT(" ",A51)&amp;iCityCompare!Y52)</f>
        <v>   4.1.1) Level of police engagement</v>
      </c>
      <c r="F51" s="457">
        <f ca="1" t="shared" si="0"/>
        <v>0</v>
      </c>
      <c r="G51" s="280">
        <v>0</v>
      </c>
      <c r="H51" s="458">
        <f ca="1">iCityCompare!Z52</f>
        <v>100</v>
      </c>
      <c r="I51" s="476" t="str">
        <f ca="1">TEXT(iCityCompare!AA52,iCityCompare!AT52)</f>
        <v/>
      </c>
      <c r="J51" s="477" t="str">
        <f ca="1">iCityCompare!AH52</f>
        <v>=1</v>
      </c>
      <c r="L51" s="458">
        <f ca="1">iCityCompare!AB52</f>
        <v>100</v>
      </c>
      <c r="M51" s="476" t="str">
        <f ca="1">TEXT(iCityCompare!AC52,iCityCompare!AT52)</f>
        <v/>
      </c>
      <c r="N51" s="477" t="str">
        <f ca="1">iCityCompare!AI52</f>
        <v>=1</v>
      </c>
      <c r="P51" s="458" t="e">
        <f ca="1">iCityCompare!AD52</f>
        <v>#VALUE!</v>
      </c>
      <c r="Q51" s="477" t="str">
        <f ca="1">iCityCompare!AJ52</f>
        <v>=29</v>
      </c>
      <c r="S51" s="458" t="e">
        <f ca="1">iCityCompare!AF52</f>
        <v>#VALUE!</v>
      </c>
      <c r="T51" s="477" t="str">
        <f ca="1">iCityCompare!AK52</f>
        <v>=59</v>
      </c>
      <c r="U51" s="454"/>
      <c r="V51" s="454"/>
      <c r="W51" s="454"/>
      <c r="X51" s="483" t="str">
        <f ca="1" t="shared" si="2"/>
        <v>   4.1.1) Level of police engagement</v>
      </c>
      <c r="Y51" s="280"/>
      <c r="Z51" s="488">
        <f ca="1">iCityCompare!BC52</f>
        <v>1</v>
      </c>
      <c r="AA51" s="488">
        <f ca="1">iCityCompare!BD52</f>
        <v>1</v>
      </c>
      <c r="AB51" s="488">
        <f ca="1">iCityCompare!BE52</f>
        <v>2</v>
      </c>
      <c r="AC51" s="488">
        <f ca="1">iCityCompare!BF52</f>
        <v>1</v>
      </c>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Z51" s="489"/>
      <c r="CA51" s="489"/>
    </row>
    <row r="52" s="407" customFormat="1" customHeight="1" spans="1:79">
      <c r="A52" s="454">
        <f ca="1">iCityCompare!Q53</f>
        <v>3</v>
      </c>
      <c r="B52" s="455"/>
      <c r="C52" s="407">
        <f ca="1" t="shared" si="1"/>
        <v>1</v>
      </c>
      <c r="D52" s="407">
        <f ca="1">iCityCompare!T53</f>
        <v>43</v>
      </c>
      <c r="E52" s="456" t="str">
        <f ca="1">IF(iCityCompare!Y53="","",REPT(" ",A52)&amp;iCityCompare!Y53)</f>
        <v>   4.1.2) Community-based patrolling</v>
      </c>
      <c r="F52" s="457">
        <f ca="1" t="shared" si="0"/>
        <v>0</v>
      </c>
      <c r="G52" s="280">
        <v>0</v>
      </c>
      <c r="H52" s="458">
        <f ca="1">iCityCompare!Z53</f>
        <v>100</v>
      </c>
      <c r="I52" s="476" t="str">
        <f ca="1">TEXT(iCityCompare!AA53,iCityCompare!AT53)</f>
        <v/>
      </c>
      <c r="J52" s="477" t="str">
        <f ca="1">iCityCompare!AH53</f>
        <v>=1</v>
      </c>
      <c r="L52" s="458">
        <f ca="1">iCityCompare!AB53</f>
        <v>100</v>
      </c>
      <c r="M52" s="476" t="str">
        <f ca="1">TEXT(iCityCompare!AC53,iCityCompare!AT53)</f>
        <v/>
      </c>
      <c r="N52" s="477" t="str">
        <f ca="1">iCityCompare!AI53</f>
        <v>=1</v>
      </c>
      <c r="P52" s="458" t="e">
        <f ca="1">iCityCompare!AD53</f>
        <v>#VALUE!</v>
      </c>
      <c r="Q52" s="477" t="str">
        <f ca="1">iCityCompare!AJ53</f>
        <v>=1</v>
      </c>
      <c r="S52" s="458" t="e">
        <f ca="1">iCityCompare!AF53</f>
        <v>#VALUE!</v>
      </c>
      <c r="T52" s="477" t="str">
        <f ca="1">iCityCompare!AK53</f>
        <v>=1</v>
      </c>
      <c r="U52" s="454"/>
      <c r="V52" s="454"/>
      <c r="W52" s="454"/>
      <c r="X52" s="483" t="str">
        <f ca="1" t="shared" si="2"/>
        <v>   4.1.2) Community-based patrolling</v>
      </c>
      <c r="Y52" s="280"/>
      <c r="Z52" s="488">
        <f ca="1">iCityCompare!BC53</f>
        <v>0</v>
      </c>
      <c r="AA52" s="488">
        <f ca="1">iCityCompare!BD53</f>
        <v>0</v>
      </c>
      <c r="AB52" s="488">
        <f ca="1">iCityCompare!BE53</f>
        <v>0</v>
      </c>
      <c r="AC52" s="488">
        <f ca="1">iCityCompare!BF53</f>
        <v>0</v>
      </c>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Z52" s="489"/>
      <c r="CA52" s="489"/>
    </row>
    <row r="53" s="407" customFormat="1" customHeight="1" spans="1:79">
      <c r="A53" s="454">
        <f ca="1">iCityCompare!Q54</f>
        <v>3</v>
      </c>
      <c r="B53" s="455"/>
      <c r="C53" s="407">
        <f ca="1" t="shared" si="1"/>
        <v>1</v>
      </c>
      <c r="D53" s="407">
        <f ca="1">iCityCompare!T54</f>
        <v>44</v>
      </c>
      <c r="E53" s="456" t="str">
        <f ca="1">IF(iCityCompare!Y54="","",REPT(" ",A53)&amp;iCityCompare!Y54)</f>
        <v>   4.1.3) Available street-level crime data</v>
      </c>
      <c r="F53" s="457">
        <f ca="1" t="shared" si="0"/>
        <v>0</v>
      </c>
      <c r="G53" s="280">
        <v>0</v>
      </c>
      <c r="H53" s="458">
        <f ca="1">iCityCompare!Z54</f>
        <v>100</v>
      </c>
      <c r="I53" s="476" t="str">
        <f ca="1">TEXT(iCityCompare!AA54,iCityCompare!AT54)</f>
        <v/>
      </c>
      <c r="J53" s="477" t="str">
        <f ca="1">iCityCompare!AH54</f>
        <v>=1</v>
      </c>
      <c r="L53" s="458">
        <f ca="1">iCityCompare!AB54</f>
        <v>100</v>
      </c>
      <c r="M53" s="476" t="str">
        <f ca="1">TEXT(iCityCompare!AC54,iCityCompare!AT54)</f>
        <v/>
      </c>
      <c r="N53" s="477" t="str">
        <f ca="1">iCityCompare!AI54</f>
        <v>=1</v>
      </c>
      <c r="P53" s="458" t="e">
        <f ca="1">iCityCompare!AD54</f>
        <v>#VALUE!</v>
      </c>
      <c r="Q53" s="477" t="str">
        <f ca="1">iCityCompare!AJ54</f>
        <v>=1</v>
      </c>
      <c r="S53" s="458" t="e">
        <f ca="1">iCityCompare!AF54</f>
        <v>#VALUE!</v>
      </c>
      <c r="T53" s="477" t="str">
        <f ca="1">iCityCompare!AK54</f>
        <v>=1</v>
      </c>
      <c r="U53" s="454"/>
      <c r="V53" s="454"/>
      <c r="W53" s="454"/>
      <c r="X53" s="483" t="str">
        <f ca="1" t="shared" si="2"/>
        <v>   4.1.3) Available street-level crime data</v>
      </c>
      <c r="Y53" s="280"/>
      <c r="Z53" s="488">
        <f ca="1">iCityCompare!BC54</f>
        <v>0</v>
      </c>
      <c r="AA53" s="488">
        <f ca="1">iCityCompare!BD54</f>
        <v>0</v>
      </c>
      <c r="AB53" s="488">
        <f ca="1">iCityCompare!BE54</f>
        <v>0</v>
      </c>
      <c r="AC53" s="488">
        <f ca="1">iCityCompare!BF54</f>
        <v>0</v>
      </c>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Z53" s="489"/>
      <c r="CA53" s="489"/>
    </row>
    <row r="54" s="407" customFormat="1" customHeight="1" spans="1:79">
      <c r="A54" s="454">
        <f ca="1">iCityCompare!Q55</f>
        <v>3</v>
      </c>
      <c r="B54" s="455"/>
      <c r="C54" s="407">
        <f ca="1" t="shared" si="1"/>
        <v>1</v>
      </c>
      <c r="D54" s="407">
        <f ca="1">iCityCompare!T55</f>
        <v>45</v>
      </c>
      <c r="E54" s="456" t="str">
        <f ca="1">IF(iCityCompare!Y55="","",REPT(" ",A54)&amp;iCityCompare!Y55)</f>
        <v>   4.1.4) Use of data-driven techniques for crime</v>
      </c>
      <c r="F54" s="457">
        <f ca="1" t="shared" si="0"/>
        <v>0</v>
      </c>
      <c r="G54" s="280">
        <v>0</v>
      </c>
      <c r="H54" s="458">
        <f ca="1">iCityCompare!Z55</f>
        <v>0</v>
      </c>
      <c r="I54" s="476" t="str">
        <f ca="1">TEXT(iCityCompare!AA55,iCityCompare!AT55)</f>
        <v/>
      </c>
      <c r="J54" s="477" t="str">
        <f ca="1">iCityCompare!AH55</f>
        <v>=49</v>
      </c>
      <c r="L54" s="458">
        <f ca="1">iCityCompare!AB55</f>
        <v>0</v>
      </c>
      <c r="M54" s="476" t="str">
        <f ca="1">TEXT(iCityCompare!AC55,iCityCompare!AT55)</f>
        <v/>
      </c>
      <c r="N54" s="477" t="str">
        <f ca="1">iCityCompare!AI55</f>
        <v>=49</v>
      </c>
      <c r="P54" s="458" t="e">
        <f ca="1">iCityCompare!AD55</f>
        <v>#VALUE!</v>
      </c>
      <c r="Q54" s="477" t="str">
        <f ca="1">iCityCompare!AJ55</f>
        <v>=1</v>
      </c>
      <c r="S54" s="458" t="e">
        <f ca="1">iCityCompare!AF55</f>
        <v>#VALUE!</v>
      </c>
      <c r="T54" s="477" t="str">
        <f ca="1">iCityCompare!AK55</f>
        <v>=49</v>
      </c>
      <c r="U54" s="454"/>
      <c r="V54" s="454"/>
      <c r="W54" s="454"/>
      <c r="X54" s="483" t="str">
        <f ca="1" t="shared" si="2"/>
        <v>   4.1.4) Use of data-driven techniques for crime</v>
      </c>
      <c r="Y54" s="280"/>
      <c r="Z54" s="488">
        <f ca="1">iCityCompare!BC55</f>
        <v>2</v>
      </c>
      <c r="AA54" s="488">
        <f ca="1">iCityCompare!BD55</f>
        <v>2</v>
      </c>
      <c r="AB54" s="488">
        <f ca="1">iCityCompare!BE55</f>
        <v>1</v>
      </c>
      <c r="AC54" s="488">
        <f ca="1">iCityCompare!BF55</f>
        <v>1</v>
      </c>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Z54" s="489"/>
      <c r="CA54" s="489"/>
    </row>
    <row r="55" s="407" customFormat="1" customHeight="1" spans="1:79">
      <c r="A55" s="454">
        <f ca="1">iCityCompare!Q56</f>
        <v>3</v>
      </c>
      <c r="B55" s="455"/>
      <c r="C55" s="407">
        <f ca="1" t="shared" si="1"/>
        <v>1</v>
      </c>
      <c r="D55" s="407">
        <f ca="1">iCityCompare!T56</f>
        <v>46</v>
      </c>
      <c r="E55" s="456" t="str">
        <f ca="1">IF(iCityCompare!Y56="","",REPT(" ",A55)&amp;iCityCompare!Y56)</f>
        <v>   4.1.5) Private security measures</v>
      </c>
      <c r="F55" s="457">
        <f ca="1" t="shared" si="0"/>
        <v>0</v>
      </c>
      <c r="G55" s="280">
        <v>0</v>
      </c>
      <c r="H55" s="458">
        <f ca="1">iCityCompare!Z56</f>
        <v>100</v>
      </c>
      <c r="I55" s="476" t="str">
        <f ca="1">TEXT(iCityCompare!AA56,iCityCompare!AT56)</f>
        <v/>
      </c>
      <c r="J55" s="477" t="str">
        <f ca="1">iCityCompare!AH56</f>
        <v>=1</v>
      </c>
      <c r="L55" s="458">
        <f ca="1">iCityCompare!AB56</f>
        <v>100</v>
      </c>
      <c r="M55" s="476" t="str">
        <f ca="1">TEXT(iCityCompare!AC56,iCityCompare!AT56)</f>
        <v/>
      </c>
      <c r="N55" s="477" t="str">
        <f ca="1">iCityCompare!AI56</f>
        <v>=1</v>
      </c>
      <c r="P55" s="458" t="e">
        <f ca="1">iCityCompare!AD56</f>
        <v>#VALUE!</v>
      </c>
      <c r="Q55" s="477" t="str">
        <f ca="1">iCityCompare!AJ56</f>
        <v>=1</v>
      </c>
      <c r="S55" s="458" t="e">
        <f ca="1">iCityCompare!AF56</f>
        <v>#VALUE!</v>
      </c>
      <c r="T55" s="477" t="str">
        <f ca="1">iCityCompare!AK56</f>
        <v>=1</v>
      </c>
      <c r="U55" s="454"/>
      <c r="V55" s="454"/>
      <c r="W55" s="454"/>
      <c r="X55" s="483" t="str">
        <f ca="1" t="shared" si="2"/>
        <v>   4.1.5) Private security measures</v>
      </c>
      <c r="Y55" s="280"/>
      <c r="Z55" s="488">
        <f ca="1">iCityCompare!BC56</f>
        <v>0</v>
      </c>
      <c r="AA55" s="488">
        <f ca="1">iCityCompare!BD56</f>
        <v>0</v>
      </c>
      <c r="AB55" s="488">
        <f ca="1">iCityCompare!BE56</f>
        <v>0</v>
      </c>
      <c r="AC55" s="488">
        <f ca="1">iCityCompare!BF56</f>
        <v>0</v>
      </c>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c r="BI55" s="280"/>
      <c r="BZ55" s="489"/>
      <c r="CA55" s="489"/>
    </row>
    <row r="56" s="407" customFormat="1" customHeight="1" spans="1:79">
      <c r="A56" s="454">
        <f ca="1">iCityCompare!Q57</f>
        <v>3</v>
      </c>
      <c r="B56" s="455"/>
      <c r="C56" s="407">
        <f ca="1" t="shared" si="1"/>
        <v>1</v>
      </c>
      <c r="D56" s="407">
        <f ca="1">iCityCompare!T57</f>
        <v>47</v>
      </c>
      <c r="E56" s="456" t="str">
        <f ca="1">IF(iCityCompare!Y57="","",REPT(" ",A56)&amp;iCityCompare!Y57)</f>
        <v>   4.1.6) Gun regulation and enforcement</v>
      </c>
      <c r="F56" s="457">
        <f ca="1" t="shared" si="0"/>
        <v>0</v>
      </c>
      <c r="G56" s="280">
        <v>0</v>
      </c>
      <c r="H56" s="458">
        <f ca="1">iCityCompare!Z57</f>
        <v>47.6190476190476</v>
      </c>
      <c r="I56" s="476" t="str">
        <f ca="1">TEXT(iCityCompare!AA57,iCityCompare!AT57)</f>
        <v/>
      </c>
      <c r="J56" s="477" t="str">
        <f ca="1">iCityCompare!AH57</f>
        <v>39</v>
      </c>
      <c r="L56" s="458">
        <f ca="1">iCityCompare!AB57</f>
        <v>47.6190476190476</v>
      </c>
      <c r="M56" s="476" t="str">
        <f ca="1">TEXT(iCityCompare!AC57,iCityCompare!AT57)</f>
        <v/>
      </c>
      <c r="N56" s="477" t="str">
        <f ca="1">iCityCompare!AI57</f>
        <v>39</v>
      </c>
      <c r="P56" s="458" t="e">
        <f ca="1">iCityCompare!AD57</f>
        <v>#VALUE!</v>
      </c>
      <c r="Q56" s="477" t="str">
        <f ca="1">iCityCompare!AJ57</f>
        <v>=34</v>
      </c>
      <c r="S56" s="458" t="e">
        <f ca="1">iCityCompare!AF57</f>
        <v>#VALUE!</v>
      </c>
      <c r="T56" s="477" t="str">
        <f ca="1">iCityCompare!AK57</f>
        <v>=28</v>
      </c>
      <c r="U56" s="454"/>
      <c r="V56" s="454"/>
      <c r="W56" s="454"/>
      <c r="X56" s="483" t="str">
        <f ca="1" t="shared" si="2"/>
        <v>   4.1.6) Gun regulation and enforcement</v>
      </c>
      <c r="Y56" s="280"/>
      <c r="Z56" s="488">
        <f ca="1">iCityCompare!BC57</f>
        <v>2</v>
      </c>
      <c r="AA56" s="488">
        <f ca="1">iCityCompare!BD57</f>
        <v>2</v>
      </c>
      <c r="AB56" s="488">
        <f ca="1">iCityCompare!BE57</f>
        <v>0</v>
      </c>
      <c r="AC56" s="488">
        <f ca="1">iCityCompare!BF57</f>
        <v>1</v>
      </c>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c r="BD56" s="280"/>
      <c r="BE56" s="280"/>
      <c r="BF56" s="280"/>
      <c r="BG56" s="280"/>
      <c r="BH56" s="280"/>
      <c r="BI56" s="280"/>
      <c r="BZ56" s="489"/>
      <c r="CA56" s="489"/>
    </row>
    <row r="57" s="407" customFormat="1" customHeight="1" spans="1:79">
      <c r="A57" s="454">
        <f ca="1">iCityCompare!Q58</f>
        <v>3</v>
      </c>
      <c r="B57" s="455"/>
      <c r="C57" s="407">
        <f ca="1" t="shared" si="1"/>
        <v>1</v>
      </c>
      <c r="D57" s="407">
        <f ca="1">iCityCompare!T58</f>
        <v>48</v>
      </c>
      <c r="E57" s="456" t="str">
        <f ca="1">IF(iCityCompare!Y58="","",REPT(" ",A57)&amp;iCityCompare!Y58)</f>
        <v>   4.1.7) Political stability risk</v>
      </c>
      <c r="F57" s="457">
        <f ca="1" t="shared" si="0"/>
        <v>0</v>
      </c>
      <c r="G57" s="280">
        <v>0</v>
      </c>
      <c r="H57" s="458">
        <f ca="1">iCityCompare!Z58</f>
        <v>55</v>
      </c>
      <c r="I57" s="476" t="str">
        <f ca="1">TEXT(iCityCompare!AA58,iCityCompare!AT58)</f>
        <v/>
      </c>
      <c r="J57" s="477" t="str">
        <f ca="1">iCityCompare!AH58</f>
        <v>=40</v>
      </c>
      <c r="L57" s="458">
        <f ca="1">iCityCompare!AB58</f>
        <v>55</v>
      </c>
      <c r="M57" s="476" t="str">
        <f ca="1">TEXT(iCityCompare!AC58,iCityCompare!AT58)</f>
        <v/>
      </c>
      <c r="N57" s="477" t="str">
        <f ca="1">iCityCompare!AI58</f>
        <v>=40</v>
      </c>
      <c r="P57" s="458" t="e">
        <f ca="1">iCityCompare!AD58</f>
        <v>#VALUE!</v>
      </c>
      <c r="Q57" s="477" t="str">
        <f ca="1">iCityCompare!AJ58</f>
        <v>=32</v>
      </c>
      <c r="S57" s="458" t="e">
        <f ca="1">iCityCompare!AF58</f>
        <v>#VALUE!</v>
      </c>
      <c r="T57" s="477" t="str">
        <f ca="1">iCityCompare!AK58</f>
        <v>=53</v>
      </c>
      <c r="U57" s="454"/>
      <c r="V57" s="454"/>
      <c r="W57" s="454"/>
      <c r="X57" s="483" t="str">
        <f ca="1" t="shared" si="2"/>
        <v>   4.1.7) Political stability risk</v>
      </c>
      <c r="Y57" s="280"/>
      <c r="Z57" s="488">
        <f ca="1">iCityCompare!BC58</f>
        <v>2</v>
      </c>
      <c r="AA57" s="488">
        <f ca="1">iCityCompare!BD58</f>
        <v>2</v>
      </c>
      <c r="AB57" s="488">
        <f ca="1">iCityCompare!BE58</f>
        <v>0</v>
      </c>
      <c r="AC57" s="488">
        <f ca="1">iCityCompare!BF58</f>
        <v>1</v>
      </c>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c r="BD57" s="280"/>
      <c r="BE57" s="280"/>
      <c r="BF57" s="280"/>
      <c r="BG57" s="280"/>
      <c r="BH57" s="280"/>
      <c r="BI57" s="280"/>
      <c r="BZ57" s="489"/>
      <c r="CA57" s="489"/>
    </row>
    <row r="58" s="407" customFormat="1" customHeight="1" spans="1:79">
      <c r="A58" s="454">
        <f ca="1">iCityCompare!Q59</f>
        <v>2</v>
      </c>
      <c r="B58" s="455"/>
      <c r="C58" s="407">
        <f ca="1" t="shared" si="1"/>
        <v>1</v>
      </c>
      <c r="D58" s="407">
        <f ca="1">iCityCompare!T59</f>
        <v>49</v>
      </c>
      <c r="E58" s="456" t="str">
        <f ca="1">IF(iCityCompare!Y59="","",REPT(" ",A58)&amp;iCityCompare!Y59)</f>
        <v>  4.2) Personal security (Outputs)</v>
      </c>
      <c r="F58" s="457">
        <f ca="1" t="shared" si="0"/>
        <v>0</v>
      </c>
      <c r="G58" s="280">
        <v>0</v>
      </c>
      <c r="H58" s="458">
        <f ca="1">iCityCompare!Z59</f>
        <v>86.10017057061</v>
      </c>
      <c r="I58" s="476" t="str">
        <f ca="1">TEXT(iCityCompare!AA59,iCityCompare!AT59)</f>
        <v/>
      </c>
      <c r="J58" s="477" t="str">
        <f ca="1">iCityCompare!AH59</f>
        <v>10</v>
      </c>
      <c r="L58" s="458">
        <f ca="1">iCityCompare!AB59</f>
        <v>86.10017057061</v>
      </c>
      <c r="M58" s="476" t="str">
        <f ca="1">TEXT(iCityCompare!AC59,iCityCompare!AT59)</f>
        <v/>
      </c>
      <c r="N58" s="477" t="str">
        <f ca="1">iCityCompare!AI59</f>
        <v>10</v>
      </c>
      <c r="P58" s="458" t="e">
        <f ca="1">iCityCompare!AD59</f>
        <v>#VALUE!</v>
      </c>
      <c r="Q58" s="477" t="str">
        <f ca="1">iCityCompare!AJ59</f>
        <v>35</v>
      </c>
      <c r="S58" s="458" t="e">
        <f ca="1">iCityCompare!AF59</f>
        <v>#VALUE!</v>
      </c>
      <c r="T58" s="477" t="str">
        <f ca="1">iCityCompare!AK59</f>
        <v>55</v>
      </c>
      <c r="U58" s="454"/>
      <c r="V58" s="454"/>
      <c r="W58" s="454"/>
      <c r="X58" s="483" t="str">
        <f ca="1" t="shared" si="2"/>
        <v>  4.2) Personal security (Outputs)</v>
      </c>
      <c r="Y58" s="280"/>
      <c r="Z58" s="488">
        <f ca="1">iCityCompare!BC59</f>
        <v>0</v>
      </c>
      <c r="AA58" s="488">
        <f ca="1">iCityCompare!BD59</f>
        <v>0</v>
      </c>
      <c r="AB58" s="488">
        <f ca="1">iCityCompare!BE59</f>
        <v>1</v>
      </c>
      <c r="AC58" s="488">
        <f ca="1">iCityCompare!BF59</f>
        <v>2</v>
      </c>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c r="BD58" s="280"/>
      <c r="BE58" s="280"/>
      <c r="BF58" s="280"/>
      <c r="BG58" s="280"/>
      <c r="BH58" s="280"/>
      <c r="BI58" s="280"/>
      <c r="BZ58" s="489"/>
      <c r="CA58" s="489"/>
    </row>
    <row r="59" s="407" customFormat="1" customHeight="1" spans="1:79">
      <c r="A59" s="454">
        <f ca="1">iCityCompare!Q60</f>
        <v>3</v>
      </c>
      <c r="B59" s="455"/>
      <c r="C59" s="407">
        <f ca="1" t="shared" si="1"/>
        <v>1</v>
      </c>
      <c r="D59" s="407">
        <f ca="1">iCityCompare!T60</f>
        <v>50</v>
      </c>
      <c r="E59" s="456" t="str">
        <f ca="1">IF(iCityCompare!Y60="","",REPT(" ",A59)&amp;iCityCompare!Y60)</f>
        <v>   4.2.1) Prevalence of petty crime</v>
      </c>
      <c r="F59" s="457">
        <f ca="1" t="shared" si="0"/>
        <v>0</v>
      </c>
      <c r="G59" s="280">
        <v>0</v>
      </c>
      <c r="H59" s="458">
        <f ca="1">iCityCompare!Z60</f>
        <v>75</v>
      </c>
      <c r="I59" s="476" t="str">
        <f ca="1">TEXT(iCityCompare!AA60,iCityCompare!AT60)</f>
        <v/>
      </c>
      <c r="J59" s="477" t="str">
        <f ca="1">iCityCompare!AH60</f>
        <v>=3</v>
      </c>
      <c r="L59" s="458">
        <f ca="1">iCityCompare!AB60</f>
        <v>75</v>
      </c>
      <c r="M59" s="476" t="str">
        <f ca="1">TEXT(iCityCompare!AC60,iCityCompare!AT60)</f>
        <v/>
      </c>
      <c r="N59" s="477" t="str">
        <f ca="1">iCityCompare!AI60</f>
        <v>=3</v>
      </c>
      <c r="P59" s="458" t="e">
        <f ca="1">iCityCompare!AD60</f>
        <v>#VALUE!</v>
      </c>
      <c r="Q59" s="477" t="str">
        <f ca="1">iCityCompare!AJ60</f>
        <v>=3</v>
      </c>
      <c r="S59" s="458" t="e">
        <f ca="1">iCityCompare!AF60</f>
        <v>#VALUE!</v>
      </c>
      <c r="T59" s="477" t="str">
        <f ca="1">iCityCompare!AK60</f>
        <v>=31</v>
      </c>
      <c r="U59" s="454"/>
      <c r="V59" s="454"/>
      <c r="W59" s="454"/>
      <c r="X59" s="483" t="str">
        <f ca="1" t="shared" si="2"/>
        <v>   4.2.1) Prevalence of petty crime</v>
      </c>
      <c r="Y59" s="280"/>
      <c r="Z59" s="488">
        <f ca="1">iCityCompare!BC60</f>
        <v>0</v>
      </c>
      <c r="AA59" s="488">
        <f ca="1">iCityCompare!BD60</f>
        <v>0</v>
      </c>
      <c r="AB59" s="488">
        <f ca="1">iCityCompare!BE60</f>
        <v>0</v>
      </c>
      <c r="AC59" s="488">
        <f ca="1">iCityCompare!BF60</f>
        <v>0</v>
      </c>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c r="BD59" s="280"/>
      <c r="BE59" s="280"/>
      <c r="BF59" s="280"/>
      <c r="BG59" s="280"/>
      <c r="BH59" s="280"/>
      <c r="BI59" s="280"/>
      <c r="BZ59" s="489"/>
      <c r="CA59" s="489"/>
    </row>
    <row r="60" s="407" customFormat="1" customHeight="1" spans="1:79">
      <c r="A60" s="454">
        <f ca="1">iCityCompare!Q61</f>
        <v>3</v>
      </c>
      <c r="B60" s="455"/>
      <c r="C60" s="407">
        <f ca="1" t="shared" si="1"/>
        <v>1</v>
      </c>
      <c r="D60" s="407">
        <f ca="1">iCityCompare!T61</f>
        <v>51</v>
      </c>
      <c r="E60" s="456" t="str">
        <f ca="1">IF(iCityCompare!Y61="","",REPT(" ",A60)&amp;iCityCompare!Y61)</f>
        <v>   4.2.2) Prevalence of violent crime</v>
      </c>
      <c r="F60" s="457">
        <f ca="1" t="shared" si="0"/>
        <v>0</v>
      </c>
      <c r="G60" s="280">
        <v>0</v>
      </c>
      <c r="H60" s="458">
        <f ca="1">iCityCompare!Z61</f>
        <v>100</v>
      </c>
      <c r="I60" s="476" t="str">
        <f ca="1">TEXT(iCityCompare!AA61,iCityCompare!AT61)</f>
        <v/>
      </c>
      <c r="J60" s="477" t="str">
        <f ca="1">iCityCompare!AH61</f>
        <v>=1</v>
      </c>
      <c r="L60" s="458">
        <f ca="1">iCityCompare!AB61</f>
        <v>100</v>
      </c>
      <c r="M60" s="476" t="str">
        <f ca="1">TEXT(iCityCompare!AC61,iCityCompare!AT61)</f>
        <v/>
      </c>
      <c r="N60" s="477" t="str">
        <f ca="1">iCityCompare!AI61</f>
        <v>=1</v>
      </c>
      <c r="P60" s="458" t="e">
        <f ca="1">iCityCompare!AD61</f>
        <v>#VALUE!</v>
      </c>
      <c r="Q60" s="477" t="str">
        <f ca="1">iCityCompare!AJ61</f>
        <v>=17</v>
      </c>
      <c r="S60" s="458" t="e">
        <f ca="1">iCityCompare!AF61</f>
        <v>#VALUE!</v>
      </c>
      <c r="T60" s="477" t="str">
        <f ca="1">iCityCompare!AK61</f>
        <v>=17</v>
      </c>
      <c r="U60" s="454"/>
      <c r="V60" s="454"/>
      <c r="W60" s="454"/>
      <c r="X60" s="483" t="str">
        <f ca="1" t="shared" si="2"/>
        <v>   4.2.2) Prevalence of violent crime</v>
      </c>
      <c r="Y60" s="280"/>
      <c r="Z60" s="488">
        <f ca="1">iCityCompare!BC61</f>
        <v>1</v>
      </c>
      <c r="AA60" s="488">
        <f ca="1">iCityCompare!BD61</f>
        <v>1</v>
      </c>
      <c r="AB60" s="488">
        <f ca="1">iCityCompare!BE61</f>
        <v>1</v>
      </c>
      <c r="AC60" s="488">
        <f ca="1">iCityCompare!BF61</f>
        <v>2</v>
      </c>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c r="BD60" s="280"/>
      <c r="BE60" s="280"/>
      <c r="BF60" s="280"/>
      <c r="BG60" s="280"/>
      <c r="BH60" s="280"/>
      <c r="BI60" s="280"/>
      <c r="BZ60" s="489"/>
      <c r="CA60" s="489"/>
    </row>
    <row r="61" s="407" customFormat="1" customHeight="1" spans="1:79">
      <c r="A61" s="454">
        <f ca="1">iCityCompare!Q62</f>
        <v>3</v>
      </c>
      <c r="B61" s="455"/>
      <c r="C61" s="407">
        <f ca="1" t="shared" si="1"/>
        <v>1</v>
      </c>
      <c r="D61" s="407">
        <f ca="1">iCityCompare!T62</f>
        <v>52</v>
      </c>
      <c r="E61" s="456" t="str">
        <f ca="1">IF(iCityCompare!Y62="","",REPT(" ",A61)&amp;iCityCompare!Y62)</f>
        <v>   4.2.3) Organised crime</v>
      </c>
      <c r="F61" s="457">
        <f ca="1" t="shared" si="0"/>
        <v>0</v>
      </c>
      <c r="G61" s="280">
        <v>0</v>
      </c>
      <c r="H61" s="458">
        <f ca="1">iCityCompare!Z62</f>
        <v>75</v>
      </c>
      <c r="I61" s="476" t="str">
        <f ca="1">TEXT(iCityCompare!AA62,iCityCompare!AT62)</f>
        <v/>
      </c>
      <c r="J61" s="477" t="str">
        <f ca="1">iCityCompare!AH62</f>
        <v>=6</v>
      </c>
      <c r="L61" s="458">
        <f ca="1">iCityCompare!AB62</f>
        <v>75</v>
      </c>
      <c r="M61" s="476" t="str">
        <f ca="1">TEXT(iCityCompare!AC62,iCityCompare!AT62)</f>
        <v/>
      </c>
      <c r="N61" s="477" t="str">
        <f ca="1">iCityCompare!AI62</f>
        <v>=6</v>
      </c>
      <c r="P61" s="458" t="e">
        <f ca="1">iCityCompare!AD62</f>
        <v>#VALUE!</v>
      </c>
      <c r="Q61" s="477" t="str">
        <f ca="1">iCityCompare!AJ62</f>
        <v>=49</v>
      </c>
      <c r="S61" s="458" t="e">
        <f ca="1">iCityCompare!AF62</f>
        <v>#VALUE!</v>
      </c>
      <c r="T61" s="477" t="str">
        <f ca="1">iCityCompare!AK62</f>
        <v>=49</v>
      </c>
      <c r="U61" s="454"/>
      <c r="V61" s="454"/>
      <c r="W61" s="454"/>
      <c r="X61" s="483" t="str">
        <f ca="1" t="shared" si="2"/>
        <v>   4.2.3) Organised crime</v>
      </c>
      <c r="Y61" s="280"/>
      <c r="Z61" s="488">
        <f ca="1">iCityCompare!BC62</f>
        <v>2</v>
      </c>
      <c r="AA61" s="488">
        <f ca="1">iCityCompare!BD62</f>
        <v>2</v>
      </c>
      <c r="AB61" s="488">
        <f ca="1">iCityCompare!BE62</f>
        <v>1</v>
      </c>
      <c r="AC61" s="488">
        <f ca="1">iCityCompare!BF62</f>
        <v>2</v>
      </c>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c r="BD61" s="280"/>
      <c r="BE61" s="280"/>
      <c r="BF61" s="280"/>
      <c r="BG61" s="280"/>
      <c r="BH61" s="280"/>
      <c r="BI61" s="280"/>
      <c r="BZ61" s="489"/>
      <c r="CA61" s="489"/>
    </row>
    <row r="62" s="407" customFormat="1" customHeight="1" spans="1:79">
      <c r="A62" s="454">
        <f ca="1">iCityCompare!Q63</f>
        <v>3</v>
      </c>
      <c r="B62" s="455"/>
      <c r="C62" s="407">
        <f ca="1" t="shared" si="1"/>
        <v>1</v>
      </c>
      <c r="D62" s="407">
        <f ca="1">iCityCompare!T63</f>
        <v>53</v>
      </c>
      <c r="E62" s="456" t="str">
        <f ca="1">IF(iCityCompare!Y63="","",REPT(" ",A62)&amp;iCityCompare!Y63)</f>
        <v>   4.2.4) Level of corruption</v>
      </c>
      <c r="F62" s="457">
        <f ca="1" t="shared" si="0"/>
        <v>0</v>
      </c>
      <c r="G62" s="280">
        <v>0</v>
      </c>
      <c r="H62" s="458">
        <f ca="1">iCityCompare!Z63</f>
        <v>66</v>
      </c>
      <c r="I62" s="476" t="str">
        <f ca="1">TEXT(iCityCompare!AA63,iCityCompare!AT63)</f>
        <v/>
      </c>
      <c r="J62" s="477" t="str">
        <f ca="1">iCityCompare!AH63</f>
        <v>=22</v>
      </c>
      <c r="L62" s="458">
        <f ca="1">iCityCompare!AB63</f>
        <v>66</v>
      </c>
      <c r="M62" s="476" t="str">
        <f ca="1">TEXT(iCityCompare!AC63,iCityCompare!AT63)</f>
        <v/>
      </c>
      <c r="N62" s="477" t="str">
        <f ca="1">iCityCompare!AI63</f>
        <v>=22</v>
      </c>
      <c r="P62" s="458" t="e">
        <f ca="1">iCityCompare!AD63</f>
        <v>#VALUE!</v>
      </c>
      <c r="Q62" s="477" t="str">
        <f ca="1">iCityCompare!AJ63</f>
        <v>=30</v>
      </c>
      <c r="S62" s="458" t="e">
        <f ca="1">iCityCompare!AF63</f>
        <v>#VALUE!</v>
      </c>
      <c r="T62" s="477" t="str">
        <f ca="1">iCityCompare!AK63</f>
        <v>=56</v>
      </c>
      <c r="U62" s="454"/>
      <c r="V62" s="454"/>
      <c r="W62" s="454"/>
      <c r="X62" s="483" t="str">
        <f ca="1" t="shared" si="2"/>
        <v>   4.2.4) Level of corruption</v>
      </c>
      <c r="Y62" s="280"/>
      <c r="Z62" s="488">
        <f ca="1">iCityCompare!BC63</f>
        <v>2</v>
      </c>
      <c r="AA62" s="488">
        <f ca="1">iCityCompare!BD63</f>
        <v>2</v>
      </c>
      <c r="AB62" s="488">
        <f ca="1">iCityCompare!BE63</f>
        <v>1</v>
      </c>
      <c r="AC62" s="488">
        <f ca="1">iCityCompare!BF63</f>
        <v>0</v>
      </c>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c r="BD62" s="280"/>
      <c r="BE62" s="280"/>
      <c r="BF62" s="280"/>
      <c r="BG62" s="280"/>
      <c r="BH62" s="280"/>
      <c r="BI62" s="280"/>
      <c r="BZ62" s="489"/>
      <c r="CA62" s="489"/>
    </row>
    <row r="63" s="407" customFormat="1" customHeight="1" spans="1:79">
      <c r="A63" s="454">
        <f ca="1">iCityCompare!Q64</f>
        <v>3</v>
      </c>
      <c r="B63" s="455"/>
      <c r="C63" s="407">
        <f ca="1" t="shared" si="1"/>
        <v>1</v>
      </c>
      <c r="D63" s="407">
        <f ca="1">iCityCompare!T64</f>
        <v>54</v>
      </c>
      <c r="E63" s="456" t="str">
        <f ca="1">IF(iCityCompare!Y64="","",REPT(" ",A63)&amp;iCityCompare!Y64)</f>
        <v>   4.2.5) Rate of drug use </v>
      </c>
      <c r="F63" s="457">
        <f ca="1" t="shared" si="0"/>
        <v>0</v>
      </c>
      <c r="G63" s="280">
        <v>0</v>
      </c>
      <c r="H63" s="458">
        <f ca="1">iCityCompare!Z64</f>
        <v>86.758691206544</v>
      </c>
      <c r="I63" s="476" t="str">
        <f ca="1">TEXT(iCityCompare!AA64,iCityCompare!AT64)</f>
        <v/>
      </c>
      <c r="J63" s="477" t="str">
        <f ca="1">iCityCompare!AH64</f>
        <v>28</v>
      </c>
      <c r="L63" s="458">
        <f ca="1">iCityCompare!AB64</f>
        <v>86.758691206544</v>
      </c>
      <c r="M63" s="476" t="str">
        <f ca="1">TEXT(iCityCompare!AC64,iCityCompare!AT64)</f>
        <v/>
      </c>
      <c r="N63" s="477" t="str">
        <f ca="1">iCityCompare!AI64</f>
        <v>28</v>
      </c>
      <c r="P63" s="458" t="e">
        <f ca="1">iCityCompare!AD64</f>
        <v>#VALUE!</v>
      </c>
      <c r="Q63" s="477" t="str">
        <f ca="1">iCityCompare!AJ64</f>
        <v>=57</v>
      </c>
      <c r="S63" s="458" t="e">
        <f ca="1">iCityCompare!AF64</f>
        <v>#VALUE!</v>
      </c>
      <c r="T63" s="477" t="str">
        <f ca="1">iCityCompare!AK64</f>
        <v>41</v>
      </c>
      <c r="U63" s="454"/>
      <c r="V63" s="454"/>
      <c r="W63" s="454"/>
      <c r="X63" s="483" t="str">
        <f ca="1" t="shared" si="2"/>
        <v>   4.2.5) Rate of drug use </v>
      </c>
      <c r="Y63" s="280"/>
      <c r="Z63" s="488">
        <f ca="1">iCityCompare!BC64</f>
        <v>1</v>
      </c>
      <c r="AA63" s="488">
        <f ca="1">iCityCompare!BD64</f>
        <v>1</v>
      </c>
      <c r="AB63" s="488">
        <f ca="1">iCityCompare!BE64</f>
        <v>0</v>
      </c>
      <c r="AC63" s="488">
        <f ca="1">iCityCompare!BF64</f>
        <v>2</v>
      </c>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c r="BD63" s="280"/>
      <c r="BE63" s="280"/>
      <c r="BF63" s="280"/>
      <c r="BG63" s="280"/>
      <c r="BH63" s="280"/>
      <c r="BI63" s="280"/>
      <c r="BZ63" s="489"/>
      <c r="CA63" s="489"/>
    </row>
    <row r="64" s="407" customFormat="1" customHeight="1" spans="1:79">
      <c r="A64" s="454">
        <f ca="1">iCityCompare!Q65</f>
        <v>3</v>
      </c>
      <c r="B64" s="455"/>
      <c r="C64" s="407">
        <f ca="1" t="shared" si="1"/>
        <v>1</v>
      </c>
      <c r="D64" s="407">
        <f ca="1">iCityCompare!T65</f>
        <v>55</v>
      </c>
      <c r="E64" s="456" t="str">
        <f ca="1">IF(iCityCompare!Y65="","",REPT(" ",A64)&amp;iCityCompare!Y65)</f>
        <v>   4.2.6) Frequency of terrorist attacks </v>
      </c>
      <c r="F64" s="457">
        <f ca="1" t="shared" si="0"/>
        <v>0</v>
      </c>
      <c r="G64" s="280">
        <v>0</v>
      </c>
      <c r="H64" s="458">
        <f ca="1">iCityCompare!Z65</f>
        <v>99.8572448251249</v>
      </c>
      <c r="I64" s="476" t="str">
        <f ca="1">TEXT(iCityCompare!AA65,iCityCompare!AT65)</f>
        <v/>
      </c>
      <c r="J64" s="477" t="str">
        <f ca="1">iCityCompare!AH65</f>
        <v>=14</v>
      </c>
      <c r="L64" s="458">
        <f ca="1">iCityCompare!AB65</f>
        <v>99.8572448251249</v>
      </c>
      <c r="M64" s="476" t="str">
        <f ca="1">TEXT(iCityCompare!AC65,iCityCompare!AT65)</f>
        <v/>
      </c>
      <c r="N64" s="477" t="str">
        <f ca="1">iCityCompare!AI65</f>
        <v>=14</v>
      </c>
      <c r="P64" s="458" t="e">
        <f ca="1">iCityCompare!AD65</f>
        <v>#VALUE!</v>
      </c>
      <c r="Q64" s="477" t="str">
        <f ca="1">iCityCompare!AJ65</f>
        <v>=36</v>
      </c>
      <c r="S64" s="458" t="e">
        <f ca="1">iCityCompare!AF65</f>
        <v>#VALUE!</v>
      </c>
      <c r="T64" s="477" t="str">
        <f ca="1">iCityCompare!AK65</f>
        <v>51</v>
      </c>
      <c r="U64" s="454"/>
      <c r="V64" s="454"/>
      <c r="W64" s="454"/>
      <c r="X64" s="483" t="str">
        <f ca="1" t="shared" si="2"/>
        <v>   4.2.6) Frequency of terrorist attacks </v>
      </c>
      <c r="Y64" s="280"/>
      <c r="Z64" s="488">
        <f ca="1">iCityCompare!BC65</f>
        <v>1</v>
      </c>
      <c r="AA64" s="488">
        <f ca="1">iCityCompare!BD65</f>
        <v>1</v>
      </c>
      <c r="AB64" s="488">
        <f ca="1">iCityCompare!BE65</f>
        <v>2</v>
      </c>
      <c r="AC64" s="488">
        <f ca="1">iCityCompare!BF65</f>
        <v>0</v>
      </c>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Z64" s="489"/>
      <c r="CA64" s="489"/>
    </row>
    <row r="65" s="407" customFormat="1" customHeight="1" spans="1:79">
      <c r="A65" s="454">
        <f ca="1">iCityCompare!Q66</f>
        <v>3</v>
      </c>
      <c r="B65" s="455"/>
      <c r="C65" s="407">
        <f ca="1" t="shared" si="1"/>
        <v>1</v>
      </c>
      <c r="D65" s="407">
        <f ca="1">iCityCompare!T66</f>
        <v>56</v>
      </c>
      <c r="E65" s="456" t="str">
        <f ca="1">IF(iCityCompare!Y66="","",REPT(" ",A65)&amp;iCityCompare!Y66)</f>
        <v>   4.2.7) Severity of terrorist attacks</v>
      </c>
      <c r="F65" s="457">
        <f ca="1" t="shared" si="0"/>
        <v>0</v>
      </c>
      <c r="G65" s="280">
        <v>0</v>
      </c>
      <c r="H65" s="458">
        <f ca="1">iCityCompare!Z66</f>
        <v>99.9801350814462</v>
      </c>
      <c r="I65" s="476" t="str">
        <f ca="1">TEXT(iCityCompare!AA66,iCityCompare!AT66)</f>
        <v/>
      </c>
      <c r="J65" s="477" t="str">
        <f ca="1">iCityCompare!AH66</f>
        <v>=15</v>
      </c>
      <c r="L65" s="458">
        <f ca="1">iCityCompare!AB66</f>
        <v>99.9801350814462</v>
      </c>
      <c r="M65" s="476" t="str">
        <f ca="1">TEXT(iCityCompare!AC66,iCityCompare!AT66)</f>
        <v/>
      </c>
      <c r="N65" s="477" t="str">
        <f ca="1">iCityCompare!AI66</f>
        <v>=15</v>
      </c>
      <c r="P65" s="458" t="e">
        <f ca="1">iCityCompare!AD66</f>
        <v>#VALUE!</v>
      </c>
      <c r="Q65" s="477" t="str">
        <f ca="1">iCityCompare!AJ66</f>
        <v>=28</v>
      </c>
      <c r="S65" s="458" t="e">
        <f ca="1">iCityCompare!AF66</f>
        <v>#VALUE!</v>
      </c>
      <c r="T65" s="477" t="str">
        <f ca="1">iCityCompare!AK66</f>
        <v>45</v>
      </c>
      <c r="U65" s="454"/>
      <c r="V65" s="454"/>
      <c r="W65" s="454"/>
      <c r="X65" s="483" t="str">
        <f ca="1" t="shared" si="2"/>
        <v>   4.2.7) Severity of terrorist attacks</v>
      </c>
      <c r="Y65" s="280"/>
      <c r="Z65" s="488">
        <f ca="1">iCityCompare!BC66</f>
        <v>1</v>
      </c>
      <c r="AA65" s="488">
        <f ca="1">iCityCompare!BD66</f>
        <v>1</v>
      </c>
      <c r="AB65" s="488">
        <f ca="1">iCityCompare!BE66</f>
        <v>0</v>
      </c>
      <c r="AC65" s="488">
        <f ca="1">iCityCompare!BF66</f>
        <v>2</v>
      </c>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Z65" s="489"/>
      <c r="CA65" s="489"/>
    </row>
    <row r="66" s="407" customFormat="1" customHeight="1" spans="1:79">
      <c r="A66" s="454">
        <f ca="1">iCityCompare!Q67</f>
        <v>3</v>
      </c>
      <c r="B66" s="455"/>
      <c r="C66" s="407">
        <f ca="1" t="shared" si="1"/>
        <v>1</v>
      </c>
      <c r="D66" s="407">
        <f ca="1">iCityCompare!T67</f>
        <v>57</v>
      </c>
      <c r="E66" s="456" t="str">
        <f ca="1">IF(iCityCompare!Y67="","",REPT(" ",A66)&amp;iCityCompare!Y67)</f>
        <v>   4.2.8) Gender safety</v>
      </c>
      <c r="F66" s="457">
        <f ca="1" t="shared" si="0"/>
        <v>0</v>
      </c>
      <c r="G66" s="280">
        <v>0</v>
      </c>
      <c r="H66" s="458">
        <f ca="1">iCityCompare!Z67</f>
        <v>96.1159757342053</v>
      </c>
      <c r="I66" s="476" t="str">
        <f ca="1">TEXT(iCityCompare!AA67,iCityCompare!AT67)</f>
        <v/>
      </c>
      <c r="J66" s="477" t="str">
        <f ca="1">iCityCompare!AH67</f>
        <v>15</v>
      </c>
      <c r="L66" s="458">
        <f ca="1">iCityCompare!AB67</f>
        <v>96.1159757342053</v>
      </c>
      <c r="M66" s="476" t="str">
        <f ca="1">TEXT(iCityCompare!AC67,iCityCompare!AT67)</f>
        <v/>
      </c>
      <c r="N66" s="477" t="str">
        <f ca="1">iCityCompare!AI67</f>
        <v>15</v>
      </c>
      <c r="P66" s="458" t="e">
        <f ca="1">iCityCompare!AD67</f>
        <v>#VALUE!</v>
      </c>
      <c r="Q66" s="477" t="str">
        <f ca="1">iCityCompare!AJ67</f>
        <v>=5</v>
      </c>
      <c r="S66" s="458" t="e">
        <f ca="1">iCityCompare!AF67</f>
        <v>#VALUE!</v>
      </c>
      <c r="T66" s="477" t="str">
        <f ca="1">iCityCompare!AK67</f>
        <v>54</v>
      </c>
      <c r="U66" s="454"/>
      <c r="V66" s="454"/>
      <c r="W66" s="454"/>
      <c r="X66" s="483" t="str">
        <f ca="1" t="shared" si="2"/>
        <v>   4.2.8) Gender safety</v>
      </c>
      <c r="Y66" s="280"/>
      <c r="Z66" s="488">
        <f ca="1">iCityCompare!BC67</f>
        <v>0</v>
      </c>
      <c r="AA66" s="488">
        <f ca="1">iCityCompare!BD67</f>
        <v>0</v>
      </c>
      <c r="AB66" s="488">
        <f ca="1">iCityCompare!BE67</f>
        <v>1</v>
      </c>
      <c r="AC66" s="488">
        <f ca="1">iCityCompare!BF67</f>
        <v>2</v>
      </c>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c r="BI66" s="280"/>
      <c r="BZ66" s="489"/>
      <c r="CA66" s="489"/>
    </row>
    <row r="67" s="407" customFormat="1" customHeight="1" spans="1:79">
      <c r="A67" s="454">
        <f ca="1">iCityCompare!Q68</f>
        <v>3</v>
      </c>
      <c r="B67" s="455"/>
      <c r="C67" s="407">
        <f ca="1" t="shared" si="1"/>
        <v>1</v>
      </c>
      <c r="D67" s="407">
        <f ca="1">iCityCompare!T68</f>
        <v>58</v>
      </c>
      <c r="E67" s="456" t="str">
        <f ca="1">IF(iCityCompare!Y68="","",REPT(" ",A67)&amp;iCityCompare!Y68)</f>
        <v>   4.2.9) Perceptions of safety</v>
      </c>
      <c r="F67" s="457">
        <f ca="1" t="shared" si="0"/>
        <v>0</v>
      </c>
      <c r="G67" s="280">
        <v>0</v>
      </c>
      <c r="H67" s="458">
        <f ca="1">iCityCompare!Z68</f>
        <v>84.49</v>
      </c>
      <c r="I67" s="476" t="str">
        <f ca="1">TEXT(iCityCompare!AA68,iCityCompare!AT68)</f>
        <v/>
      </c>
      <c r="J67" s="477" t="str">
        <f ca="1">iCityCompare!AH68</f>
        <v>1</v>
      </c>
      <c r="L67" s="458">
        <f ca="1">iCityCompare!AB68</f>
        <v>84.49</v>
      </c>
      <c r="M67" s="476" t="str">
        <f ca="1">TEXT(iCityCompare!AC68,iCityCompare!AT68)</f>
        <v/>
      </c>
      <c r="N67" s="477" t="str">
        <f ca="1">iCityCompare!AI68</f>
        <v>1</v>
      </c>
      <c r="P67" s="458" t="e">
        <f ca="1">iCityCompare!AD68</f>
        <v>#VALUE!</v>
      </c>
      <c r="Q67" s="477" t="str">
        <f ca="1">iCityCompare!AJ68</f>
        <v>27</v>
      </c>
      <c r="S67" s="458" t="e">
        <f ca="1">iCityCompare!AF68</f>
        <v>#VALUE!</v>
      </c>
      <c r="T67" s="477" t="str">
        <f ca="1">iCityCompare!AK68</f>
        <v>24</v>
      </c>
      <c r="U67" s="454"/>
      <c r="V67" s="454"/>
      <c r="W67" s="454"/>
      <c r="X67" s="483" t="str">
        <f ca="1" t="shared" si="2"/>
        <v>   4.2.9) Perceptions of safety</v>
      </c>
      <c r="Y67" s="280"/>
      <c r="Z67" s="488">
        <f ca="1">iCityCompare!BC68</f>
        <v>1</v>
      </c>
      <c r="AA67" s="488">
        <f ca="1">iCityCompare!BD68</f>
        <v>1</v>
      </c>
      <c r="AB67" s="488">
        <f ca="1">iCityCompare!BE68</f>
        <v>2</v>
      </c>
      <c r="AC67" s="488">
        <f ca="1">iCityCompare!BF68</f>
        <v>0</v>
      </c>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c r="BI67" s="280"/>
      <c r="BZ67" s="489"/>
      <c r="CA67" s="489"/>
    </row>
    <row r="68" s="407" customFormat="1" customHeight="1" spans="1:79">
      <c r="A68" s="454">
        <f ca="1">iCityCompare!Q69</f>
        <v>3</v>
      </c>
      <c r="B68" s="455"/>
      <c r="C68" s="407">
        <f ca="1" t="shared" si="1"/>
        <v>1</v>
      </c>
      <c r="D68" s="407">
        <f ca="1">iCityCompare!T69</f>
        <v>59</v>
      </c>
      <c r="E68" s="456" t="str">
        <f ca="1">IF(iCityCompare!Y69="","",REPT(" ",A68)&amp;iCityCompare!Y69)</f>
        <v>   4.2.10) Threat of terrorism</v>
      </c>
      <c r="F68" s="457">
        <f ca="1" t="shared" si="0"/>
        <v>0</v>
      </c>
      <c r="G68" s="280">
        <v>0</v>
      </c>
      <c r="H68" s="458">
        <f ca="1">iCityCompare!Z69</f>
        <v>75</v>
      </c>
      <c r="I68" s="476" t="str">
        <f ca="1">TEXT(iCityCompare!AA69,iCityCompare!AT69)</f>
        <v/>
      </c>
      <c r="J68" s="477" t="str">
        <f ca="1">iCityCompare!AH69</f>
        <v>=11</v>
      </c>
      <c r="L68" s="458">
        <f ca="1">iCityCompare!AB69</f>
        <v>75</v>
      </c>
      <c r="M68" s="476" t="str">
        <f ca="1">TEXT(iCityCompare!AC69,iCityCompare!AT69)</f>
        <v/>
      </c>
      <c r="N68" s="477" t="str">
        <f ca="1">iCityCompare!AI69</f>
        <v>=11</v>
      </c>
      <c r="P68" s="458" t="e">
        <f ca="1">iCityCompare!AD69</f>
        <v>#VALUE!</v>
      </c>
      <c r="Q68" s="477" t="str">
        <f ca="1">iCityCompare!AJ69</f>
        <v>=1</v>
      </c>
      <c r="S68" s="458" t="e">
        <f ca="1">iCityCompare!AF69</f>
        <v>#VALUE!</v>
      </c>
      <c r="T68" s="477" t="str">
        <f ca="1">iCityCompare!AK69</f>
        <v>=41</v>
      </c>
      <c r="U68" s="454"/>
      <c r="V68" s="454"/>
      <c r="W68" s="454"/>
      <c r="X68" s="483" t="str">
        <f ca="1" t="shared" si="2"/>
        <v>   4.2.10) Threat of terrorism</v>
      </c>
      <c r="Y68" s="280"/>
      <c r="Z68" s="488">
        <f ca="1">iCityCompare!BC69</f>
        <v>2</v>
      </c>
      <c r="AA68" s="488">
        <f ca="1">iCityCompare!BD69</f>
        <v>2</v>
      </c>
      <c r="AB68" s="488">
        <f ca="1">iCityCompare!BE69</f>
        <v>1</v>
      </c>
      <c r="AC68" s="488">
        <f ca="1">iCityCompare!BF69</f>
        <v>2</v>
      </c>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Z68" s="489"/>
      <c r="CA68" s="489"/>
    </row>
    <row r="69" s="407" customFormat="1" customHeight="1" spans="1:61">
      <c r="A69" s="454">
        <f ca="1">iCityCompare!Q70</f>
        <v>3</v>
      </c>
      <c r="B69" s="455"/>
      <c r="C69" s="407">
        <f ca="1" t="shared" si="1"/>
        <v>1</v>
      </c>
      <c r="D69" s="407">
        <f ca="1">iCityCompare!T70</f>
        <v>60</v>
      </c>
      <c r="E69" s="456" t="str">
        <f ca="1">IF(iCityCompare!Y70="","",REPT(" ",A69)&amp;iCityCompare!Y70)</f>
        <v>   4.2.11) Threat of military conflict</v>
      </c>
      <c r="F69" s="457">
        <f ca="1" t="shared" si="0"/>
        <v>0</v>
      </c>
      <c r="G69" s="280">
        <v>0</v>
      </c>
      <c r="H69" s="458">
        <f ca="1">iCityCompare!Z70</f>
        <v>100</v>
      </c>
      <c r="I69" s="476" t="str">
        <f ca="1">TEXT(iCityCompare!AA70,iCityCompare!AT70)</f>
        <v/>
      </c>
      <c r="J69" s="477" t="str">
        <f ca="1">iCityCompare!AH70</f>
        <v>=1</v>
      </c>
      <c r="L69" s="458">
        <f ca="1">iCityCompare!AB70</f>
        <v>100</v>
      </c>
      <c r="M69" s="476" t="str">
        <f ca="1">TEXT(iCityCompare!AC70,iCityCompare!AT70)</f>
        <v/>
      </c>
      <c r="N69" s="477" t="str">
        <f ca="1">iCityCompare!AI70</f>
        <v>=1</v>
      </c>
      <c r="P69" s="458" t="e">
        <f ca="1">iCityCompare!AD70</f>
        <v>#VALUE!</v>
      </c>
      <c r="Q69" s="477" t="str">
        <f ca="1">iCityCompare!AJ70</f>
        <v>=1</v>
      </c>
      <c r="S69" s="458" t="e">
        <f ca="1">iCityCompare!AF70</f>
        <v>#VALUE!</v>
      </c>
      <c r="T69" s="477" t="str">
        <f ca="1">iCityCompare!AK70</f>
        <v>=55</v>
      </c>
      <c r="U69" s="454"/>
      <c r="V69" s="454"/>
      <c r="W69" s="454"/>
      <c r="X69" s="483" t="str">
        <f ca="1" t="shared" si="2"/>
        <v>   4.2.11) Threat of military conflict</v>
      </c>
      <c r="Y69" s="280"/>
      <c r="Z69" s="488">
        <f ca="1">iCityCompare!BC70</f>
        <v>0</v>
      </c>
      <c r="AA69" s="488">
        <f ca="1">iCityCompare!BD70</f>
        <v>0</v>
      </c>
      <c r="AB69" s="488">
        <f ca="1">iCityCompare!BE70</f>
        <v>0</v>
      </c>
      <c r="AC69" s="488">
        <f ca="1">iCityCompare!BF70</f>
        <v>0</v>
      </c>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c r="BI69" s="280"/>
    </row>
    <row r="70" s="407" customFormat="1" customHeight="1" spans="1:61">
      <c r="A70" s="454">
        <f ca="1">iCityCompare!Q71</f>
        <v>3</v>
      </c>
      <c r="B70" s="455"/>
      <c r="C70" s="407">
        <f ca="1" t="shared" si="1"/>
        <v>1</v>
      </c>
      <c r="D70" s="407">
        <f ca="1">iCityCompare!T71</f>
        <v>61</v>
      </c>
      <c r="E70" s="456" t="str">
        <f ca="1">IF(iCityCompare!Y71="","",REPT(" ",A70)&amp;iCityCompare!Y71)</f>
        <v>   4.2.12) Threat of civil unrest</v>
      </c>
      <c r="F70" s="457">
        <f ca="1" t="shared" si="0"/>
        <v>0</v>
      </c>
      <c r="G70" s="280">
        <v>0</v>
      </c>
      <c r="H70" s="458">
        <f ca="1">iCityCompare!Z71</f>
        <v>75</v>
      </c>
      <c r="I70" s="476" t="str">
        <f ca="1">TEXT(iCityCompare!AA71,iCityCompare!AT71)</f>
        <v/>
      </c>
      <c r="J70" s="477" t="str">
        <f ca="1">iCityCompare!AH71</f>
        <v>=12</v>
      </c>
      <c r="L70" s="458">
        <f ca="1">iCityCompare!AB71</f>
        <v>75</v>
      </c>
      <c r="M70" s="476" t="str">
        <f ca="1">TEXT(iCityCompare!AC71,iCityCompare!AT71)</f>
        <v/>
      </c>
      <c r="N70" s="477" t="str">
        <f ca="1">iCityCompare!AI71</f>
        <v>=12</v>
      </c>
      <c r="P70" s="458" t="e">
        <f ca="1">iCityCompare!AD71</f>
        <v>#VALUE!</v>
      </c>
      <c r="Q70" s="477" t="str">
        <f ca="1">iCityCompare!AJ71</f>
        <v>=12</v>
      </c>
      <c r="S70" s="458" t="e">
        <f ca="1">iCityCompare!AF71</f>
        <v>#VALUE!</v>
      </c>
      <c r="T70" s="477" t="str">
        <f ca="1">iCityCompare!AK71</f>
        <v>=36</v>
      </c>
      <c r="U70" s="454"/>
      <c r="V70" s="454"/>
      <c r="W70" s="454"/>
      <c r="X70" s="483" t="str">
        <f ca="1" t="shared" si="2"/>
        <v>   4.2.12) Threat of civil unrest</v>
      </c>
      <c r="Y70" s="280"/>
      <c r="Z70" s="488">
        <f ca="1">iCityCompare!BC71</f>
        <v>2</v>
      </c>
      <c r="AA70" s="488">
        <f ca="1">iCityCompare!BD71</f>
        <v>2</v>
      </c>
      <c r="AB70" s="488">
        <f ca="1">iCityCompare!BE71</f>
        <v>1</v>
      </c>
      <c r="AC70" s="488">
        <f ca="1">iCityCompare!BF71</f>
        <v>1</v>
      </c>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row>
    <row r="71" s="424" customFormat="1" spans="1:61">
      <c r="A71" s="490"/>
      <c r="B71" s="491"/>
      <c r="E71" s="427"/>
      <c r="F71" s="492"/>
      <c r="G71" s="493"/>
      <c r="H71" s="492"/>
      <c r="I71" s="494"/>
      <c r="J71" s="495"/>
      <c r="L71" s="492"/>
      <c r="M71" s="494"/>
      <c r="N71" s="495"/>
      <c r="P71" s="492"/>
      <c r="Q71" s="495"/>
      <c r="S71" s="492"/>
      <c r="T71" s="495"/>
      <c r="U71" s="490"/>
      <c r="V71" s="490"/>
      <c r="W71" s="490"/>
      <c r="X71" s="432"/>
      <c r="Y71" s="493"/>
      <c r="Z71" s="496"/>
      <c r="AA71" s="496"/>
      <c r="AB71" s="496"/>
      <c r="AC71" s="496"/>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3"/>
      <c r="BA71" s="493"/>
      <c r="BB71" s="493"/>
      <c r="BC71" s="493"/>
      <c r="BD71" s="493"/>
      <c r="BE71" s="493"/>
      <c r="BF71" s="493"/>
      <c r="BG71" s="493"/>
      <c r="BH71" s="493"/>
      <c r="BI71" s="493"/>
    </row>
    <row r="72" s="424" customFormat="1" spans="1:61">
      <c r="A72" s="490"/>
      <c r="B72" s="491"/>
      <c r="E72" s="427"/>
      <c r="F72" s="492"/>
      <c r="G72" s="493"/>
      <c r="H72" s="492"/>
      <c r="I72" s="494"/>
      <c r="J72" s="495"/>
      <c r="L72" s="492"/>
      <c r="M72" s="494"/>
      <c r="N72" s="495"/>
      <c r="P72" s="492"/>
      <c r="Q72" s="495"/>
      <c r="S72" s="492"/>
      <c r="T72" s="495"/>
      <c r="U72" s="490"/>
      <c r="V72" s="490"/>
      <c r="W72" s="490"/>
      <c r="X72" s="432"/>
      <c r="Y72" s="493"/>
      <c r="Z72" s="496"/>
      <c r="AA72" s="496"/>
      <c r="AB72" s="496"/>
      <c r="AC72" s="496"/>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3"/>
      <c r="BA72" s="493"/>
      <c r="BB72" s="493"/>
      <c r="BC72" s="493"/>
      <c r="BD72" s="493"/>
      <c r="BE72" s="493"/>
      <c r="BF72" s="493"/>
      <c r="BG72" s="493"/>
      <c r="BH72" s="493"/>
      <c r="BI72" s="493"/>
    </row>
    <row r="73" s="424" customFormat="1" spans="1:61">
      <c r="A73" s="490"/>
      <c r="B73" s="491"/>
      <c r="E73" s="427"/>
      <c r="F73" s="492"/>
      <c r="G73" s="493"/>
      <c r="H73" s="492"/>
      <c r="I73" s="494"/>
      <c r="J73" s="495"/>
      <c r="L73" s="492"/>
      <c r="M73" s="494"/>
      <c r="N73" s="495"/>
      <c r="P73" s="492"/>
      <c r="Q73" s="495"/>
      <c r="S73" s="492"/>
      <c r="T73" s="495"/>
      <c r="U73" s="490"/>
      <c r="V73" s="490"/>
      <c r="W73" s="490"/>
      <c r="X73" s="432"/>
      <c r="Y73" s="493"/>
      <c r="Z73" s="496"/>
      <c r="AA73" s="496"/>
      <c r="AB73" s="496"/>
      <c r="AC73" s="496"/>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3"/>
      <c r="BF73" s="493"/>
      <c r="BG73" s="493"/>
      <c r="BH73" s="493"/>
      <c r="BI73" s="493"/>
    </row>
    <row r="74" s="424" customFormat="1" spans="1:61">
      <c r="A74" s="490"/>
      <c r="B74" s="491"/>
      <c r="E74" s="427"/>
      <c r="F74" s="492"/>
      <c r="G74" s="493"/>
      <c r="H74" s="492"/>
      <c r="I74" s="494"/>
      <c r="J74" s="495"/>
      <c r="L74" s="492"/>
      <c r="M74" s="494"/>
      <c r="N74" s="495"/>
      <c r="P74" s="492"/>
      <c r="Q74" s="495"/>
      <c r="S74" s="492"/>
      <c r="T74" s="495"/>
      <c r="U74" s="490"/>
      <c r="V74" s="490"/>
      <c r="W74" s="490"/>
      <c r="X74" s="432"/>
      <c r="Y74" s="493"/>
      <c r="Z74" s="496"/>
      <c r="AA74" s="496"/>
      <c r="AB74" s="496"/>
      <c r="AC74" s="496"/>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row>
    <row r="75" s="424" customFormat="1" spans="1:61">
      <c r="A75" s="490"/>
      <c r="B75" s="491"/>
      <c r="E75" s="427"/>
      <c r="F75" s="492"/>
      <c r="G75" s="493"/>
      <c r="H75" s="492"/>
      <c r="I75" s="494"/>
      <c r="J75" s="495"/>
      <c r="L75" s="492"/>
      <c r="M75" s="494"/>
      <c r="N75" s="495"/>
      <c r="P75" s="492"/>
      <c r="Q75" s="495"/>
      <c r="S75" s="492"/>
      <c r="T75" s="495"/>
      <c r="U75" s="490"/>
      <c r="V75" s="490"/>
      <c r="W75" s="490"/>
      <c r="X75" s="432"/>
      <c r="Y75" s="493"/>
      <c r="Z75" s="496"/>
      <c r="AA75" s="496"/>
      <c r="AB75" s="496"/>
      <c r="AC75" s="496"/>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c r="BI75" s="493"/>
    </row>
    <row r="76" s="424" customFormat="1" ht="17.25" customHeight="1" spans="1:61">
      <c r="A76" s="490"/>
      <c r="B76" s="491"/>
      <c r="E76" s="427"/>
      <c r="F76" s="492"/>
      <c r="G76" s="493"/>
      <c r="H76" s="492"/>
      <c r="I76" s="494"/>
      <c r="J76" s="495"/>
      <c r="L76" s="492"/>
      <c r="M76" s="494"/>
      <c r="N76" s="495"/>
      <c r="P76" s="492"/>
      <c r="Q76" s="495"/>
      <c r="S76" s="492"/>
      <c r="T76" s="495"/>
      <c r="U76" s="490"/>
      <c r="V76" s="490"/>
      <c r="W76" s="490"/>
      <c r="X76" s="432"/>
      <c r="Y76" s="493"/>
      <c r="Z76" s="496"/>
      <c r="AA76" s="496"/>
      <c r="AB76" s="496"/>
      <c r="AC76" s="496"/>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c r="BI76" s="493"/>
    </row>
    <row r="77" s="424" customFormat="1" ht="17.25" customHeight="1" spans="1:61">
      <c r="A77" s="490"/>
      <c r="B77" s="491"/>
      <c r="E77" s="427"/>
      <c r="F77" s="492"/>
      <c r="G77" s="493"/>
      <c r="H77" s="492"/>
      <c r="I77" s="494"/>
      <c r="J77" s="495"/>
      <c r="L77" s="492"/>
      <c r="M77" s="494"/>
      <c r="N77" s="495"/>
      <c r="P77" s="492"/>
      <c r="Q77" s="495"/>
      <c r="S77" s="492"/>
      <c r="T77" s="495"/>
      <c r="U77" s="490"/>
      <c r="V77" s="490"/>
      <c r="W77" s="490"/>
      <c r="X77" s="432"/>
      <c r="Y77" s="493"/>
      <c r="Z77" s="496"/>
      <c r="AA77" s="496"/>
      <c r="AB77" s="496"/>
      <c r="AC77" s="496"/>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c r="AZ77" s="493"/>
      <c r="BA77" s="493"/>
      <c r="BB77" s="493"/>
      <c r="BC77" s="493"/>
      <c r="BD77" s="493"/>
      <c r="BE77" s="493"/>
      <c r="BF77" s="493"/>
      <c r="BG77" s="493"/>
      <c r="BH77" s="493"/>
      <c r="BI77" s="493"/>
    </row>
    <row r="78" s="424" customFormat="1" ht="17.25" customHeight="1" spans="1:61">
      <c r="A78" s="490"/>
      <c r="B78" s="491"/>
      <c r="E78" s="427"/>
      <c r="F78" s="492"/>
      <c r="G78" s="493"/>
      <c r="H78" s="492"/>
      <c r="I78" s="494"/>
      <c r="J78" s="495"/>
      <c r="L78" s="492"/>
      <c r="M78" s="494"/>
      <c r="N78" s="495"/>
      <c r="P78" s="492"/>
      <c r="Q78" s="495"/>
      <c r="S78" s="492"/>
      <c r="T78" s="495"/>
      <c r="U78" s="490"/>
      <c r="V78" s="490"/>
      <c r="W78" s="490"/>
      <c r="X78" s="432"/>
      <c r="Y78" s="493"/>
      <c r="Z78" s="496"/>
      <c r="AA78" s="496"/>
      <c r="AB78" s="496"/>
      <c r="AC78" s="496"/>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row>
    <row r="79" s="424" customFormat="1" ht="17.25" customHeight="1" spans="1:61">
      <c r="A79" s="490"/>
      <c r="B79" s="491"/>
      <c r="E79" s="427"/>
      <c r="F79" s="492"/>
      <c r="G79" s="493"/>
      <c r="H79" s="492"/>
      <c r="I79" s="494"/>
      <c r="J79" s="495"/>
      <c r="L79" s="492"/>
      <c r="M79" s="494"/>
      <c r="N79" s="495"/>
      <c r="P79" s="492"/>
      <c r="Q79" s="495"/>
      <c r="S79" s="492"/>
      <c r="T79" s="495"/>
      <c r="U79" s="490"/>
      <c r="V79" s="490"/>
      <c r="W79" s="490"/>
      <c r="X79" s="432"/>
      <c r="Y79" s="493"/>
      <c r="Z79" s="496"/>
      <c r="AA79" s="496"/>
      <c r="AB79" s="496"/>
      <c r="AC79" s="496"/>
      <c r="AD79" s="493"/>
      <c r="AE79" s="493"/>
      <c r="AF79" s="493"/>
      <c r="AG79" s="493"/>
      <c r="AH79" s="493"/>
      <c r="AI79" s="493"/>
      <c r="AJ79" s="493"/>
      <c r="AK79" s="493"/>
      <c r="AL79" s="493"/>
      <c r="AM79" s="493"/>
      <c r="AN79" s="493"/>
      <c r="AO79" s="493"/>
      <c r="AP79" s="493"/>
      <c r="AQ79" s="493"/>
      <c r="AR79" s="493"/>
      <c r="AS79" s="493"/>
      <c r="AT79" s="493"/>
      <c r="AU79" s="493"/>
      <c r="AV79" s="493"/>
      <c r="AW79" s="493"/>
      <c r="AX79" s="493"/>
      <c r="AY79" s="493"/>
      <c r="AZ79" s="493"/>
      <c r="BA79" s="493"/>
      <c r="BB79" s="493"/>
      <c r="BC79" s="493"/>
      <c r="BD79" s="493"/>
      <c r="BE79" s="493"/>
      <c r="BF79" s="493"/>
      <c r="BG79" s="493"/>
      <c r="BH79" s="493"/>
      <c r="BI79" s="493"/>
    </row>
    <row r="80" s="424" customFormat="1" ht="17.25" customHeight="1" spans="1:61">
      <c r="A80" s="490"/>
      <c r="B80" s="491"/>
      <c r="E80" s="427"/>
      <c r="F80" s="492"/>
      <c r="G80" s="493"/>
      <c r="H80" s="492"/>
      <c r="I80" s="494"/>
      <c r="J80" s="495"/>
      <c r="L80" s="492"/>
      <c r="M80" s="494"/>
      <c r="N80" s="495"/>
      <c r="P80" s="492"/>
      <c r="Q80" s="495"/>
      <c r="S80" s="492"/>
      <c r="T80" s="495"/>
      <c r="U80" s="490"/>
      <c r="V80" s="490"/>
      <c r="W80" s="490"/>
      <c r="X80" s="432"/>
      <c r="Y80" s="493"/>
      <c r="Z80" s="496"/>
      <c r="AA80" s="496"/>
      <c r="AB80" s="496"/>
      <c r="AC80" s="496"/>
      <c r="AD80" s="493"/>
      <c r="AE80" s="493"/>
      <c r="AF80" s="493"/>
      <c r="AG80" s="493"/>
      <c r="AH80" s="493"/>
      <c r="AI80" s="493"/>
      <c r="AJ80" s="493"/>
      <c r="AK80" s="493"/>
      <c r="AL80" s="493"/>
      <c r="AM80" s="493"/>
      <c r="AN80" s="493"/>
      <c r="AO80" s="493"/>
      <c r="AP80" s="493"/>
      <c r="AQ80" s="493"/>
      <c r="AR80" s="493"/>
      <c r="AS80" s="493"/>
      <c r="AT80" s="493"/>
      <c r="AU80" s="493"/>
      <c r="AV80" s="493"/>
      <c r="AW80" s="493"/>
      <c r="AX80" s="493"/>
      <c r="AY80" s="493"/>
      <c r="AZ80" s="493"/>
      <c r="BA80" s="493"/>
      <c r="BB80" s="493"/>
      <c r="BC80" s="493"/>
      <c r="BD80" s="493"/>
      <c r="BE80" s="493"/>
      <c r="BF80" s="493"/>
      <c r="BG80" s="493"/>
      <c r="BH80" s="493"/>
      <c r="BI80" s="493"/>
    </row>
    <row r="81" s="424" customFormat="1" ht="17.25" customHeight="1" spans="1:61">
      <c r="A81" s="490"/>
      <c r="B81" s="491"/>
      <c r="E81" s="427"/>
      <c r="F81" s="492"/>
      <c r="G81" s="493"/>
      <c r="H81" s="492"/>
      <c r="I81" s="494"/>
      <c r="J81" s="495"/>
      <c r="L81" s="492"/>
      <c r="M81" s="494"/>
      <c r="N81" s="495"/>
      <c r="P81" s="492"/>
      <c r="Q81" s="495"/>
      <c r="S81" s="492"/>
      <c r="T81" s="495"/>
      <c r="U81" s="490"/>
      <c r="V81" s="490"/>
      <c r="W81" s="490"/>
      <c r="X81" s="432"/>
      <c r="Y81" s="493"/>
      <c r="Z81" s="496"/>
      <c r="AA81" s="496"/>
      <c r="AB81" s="496"/>
      <c r="AC81" s="496"/>
      <c r="AD81" s="493"/>
      <c r="AE81" s="493"/>
      <c r="AF81" s="493"/>
      <c r="AG81" s="493"/>
      <c r="AH81" s="493"/>
      <c r="AI81" s="493"/>
      <c r="AJ81" s="493"/>
      <c r="AK81" s="493"/>
      <c r="AL81" s="493"/>
      <c r="AM81" s="493"/>
      <c r="AN81" s="493"/>
      <c r="AO81" s="493"/>
      <c r="AP81" s="493"/>
      <c r="AQ81" s="493"/>
      <c r="AR81" s="493"/>
      <c r="AS81" s="493"/>
      <c r="AT81" s="493"/>
      <c r="AU81" s="493"/>
      <c r="AV81" s="493"/>
      <c r="AW81" s="493"/>
      <c r="AX81" s="493"/>
      <c r="AY81" s="493"/>
      <c r="AZ81" s="493"/>
      <c r="BA81" s="493"/>
      <c r="BB81" s="493"/>
      <c r="BC81" s="493"/>
      <c r="BD81" s="493"/>
      <c r="BE81" s="493"/>
      <c r="BF81" s="493"/>
      <c r="BG81" s="493"/>
      <c r="BH81" s="493"/>
      <c r="BI81" s="493"/>
    </row>
    <row r="82" s="424" customFormat="1" ht="17.25" customHeight="1" spans="1:61">
      <c r="A82" s="490"/>
      <c r="B82" s="491"/>
      <c r="E82" s="427"/>
      <c r="F82" s="492"/>
      <c r="G82" s="493"/>
      <c r="H82" s="492"/>
      <c r="I82" s="494"/>
      <c r="J82" s="495"/>
      <c r="L82" s="492"/>
      <c r="M82" s="494"/>
      <c r="N82" s="495"/>
      <c r="P82" s="492"/>
      <c r="Q82" s="495"/>
      <c r="S82" s="492"/>
      <c r="T82" s="495"/>
      <c r="U82" s="490"/>
      <c r="V82" s="490"/>
      <c r="W82" s="490"/>
      <c r="X82" s="432"/>
      <c r="Y82" s="493"/>
      <c r="Z82" s="496"/>
      <c r="AA82" s="496"/>
      <c r="AB82" s="496"/>
      <c r="AC82" s="496"/>
      <c r="AD82" s="493"/>
      <c r="AE82" s="493"/>
      <c r="AF82" s="493"/>
      <c r="AG82" s="493"/>
      <c r="AH82" s="493"/>
      <c r="AI82" s="493"/>
      <c r="AJ82" s="493"/>
      <c r="AK82" s="493"/>
      <c r="AL82" s="493"/>
      <c r="AM82" s="493"/>
      <c r="AN82" s="493"/>
      <c r="AO82" s="493"/>
      <c r="AP82" s="493"/>
      <c r="AQ82" s="493"/>
      <c r="AR82" s="493"/>
      <c r="AS82" s="493"/>
      <c r="AT82" s="493"/>
      <c r="AU82" s="493"/>
      <c r="AV82" s="493"/>
      <c r="AW82" s="493"/>
      <c r="AX82" s="493"/>
      <c r="AY82" s="493"/>
      <c r="AZ82" s="493"/>
      <c r="BA82" s="493"/>
      <c r="BB82" s="493"/>
      <c r="BC82" s="493"/>
      <c r="BD82" s="493"/>
      <c r="BE82" s="493"/>
      <c r="BF82" s="493"/>
      <c r="BG82" s="493"/>
      <c r="BH82" s="493"/>
      <c r="BI82" s="493"/>
    </row>
    <row r="83" s="424" customFormat="1" ht="17.25" customHeight="1" spans="1:61">
      <c r="A83" s="490"/>
      <c r="B83" s="491"/>
      <c r="E83" s="427"/>
      <c r="F83" s="492"/>
      <c r="G83" s="493"/>
      <c r="H83" s="492"/>
      <c r="I83" s="494"/>
      <c r="J83" s="495"/>
      <c r="L83" s="492"/>
      <c r="M83" s="494"/>
      <c r="N83" s="495"/>
      <c r="P83" s="492"/>
      <c r="Q83" s="495"/>
      <c r="S83" s="492"/>
      <c r="T83" s="495"/>
      <c r="U83" s="490"/>
      <c r="V83" s="490"/>
      <c r="W83" s="490"/>
      <c r="X83" s="432"/>
      <c r="Y83" s="493"/>
      <c r="Z83" s="496"/>
      <c r="AA83" s="496"/>
      <c r="AB83" s="496"/>
      <c r="AC83" s="496"/>
      <c r="AD83" s="493"/>
      <c r="AE83" s="493"/>
      <c r="AF83" s="493"/>
      <c r="AG83" s="493"/>
      <c r="AH83" s="493"/>
      <c r="AI83" s="493"/>
      <c r="AJ83" s="493"/>
      <c r="AK83" s="493"/>
      <c r="AL83" s="493"/>
      <c r="AM83" s="493"/>
      <c r="AN83" s="493"/>
      <c r="AO83" s="493"/>
      <c r="AP83" s="493"/>
      <c r="AQ83" s="493"/>
      <c r="AR83" s="493"/>
      <c r="AS83" s="493"/>
      <c r="AT83" s="493"/>
      <c r="AU83" s="493"/>
      <c r="AV83" s="493"/>
      <c r="AW83" s="493"/>
      <c r="AX83" s="493"/>
      <c r="AY83" s="493"/>
      <c r="AZ83" s="493"/>
      <c r="BA83" s="493"/>
      <c r="BB83" s="493"/>
      <c r="BC83" s="493"/>
      <c r="BD83" s="493"/>
      <c r="BE83" s="493"/>
      <c r="BF83" s="493"/>
      <c r="BG83" s="493"/>
      <c r="BH83" s="493"/>
      <c r="BI83" s="493"/>
    </row>
    <row r="84" s="424" customFormat="1" ht="17.25" customHeight="1" spans="1:61">
      <c r="A84" s="490"/>
      <c r="B84" s="491"/>
      <c r="E84" s="427"/>
      <c r="F84" s="492"/>
      <c r="G84" s="493"/>
      <c r="H84" s="492"/>
      <c r="I84" s="494"/>
      <c r="J84" s="495"/>
      <c r="L84" s="492"/>
      <c r="M84" s="494"/>
      <c r="N84" s="495"/>
      <c r="P84" s="492"/>
      <c r="Q84" s="495"/>
      <c r="S84" s="492"/>
      <c r="T84" s="495"/>
      <c r="U84" s="490"/>
      <c r="V84" s="490"/>
      <c r="W84" s="490"/>
      <c r="X84" s="432"/>
      <c r="Y84" s="493"/>
      <c r="Z84" s="496"/>
      <c r="AA84" s="496"/>
      <c r="AB84" s="496"/>
      <c r="AC84" s="496"/>
      <c r="AD84" s="493"/>
      <c r="AE84" s="493"/>
      <c r="AF84" s="493"/>
      <c r="AG84" s="493"/>
      <c r="AH84" s="493"/>
      <c r="AI84" s="493"/>
      <c r="AJ84" s="493"/>
      <c r="AK84" s="493"/>
      <c r="AL84" s="493"/>
      <c r="AM84" s="493"/>
      <c r="AN84" s="493"/>
      <c r="AO84" s="493"/>
      <c r="AP84" s="493"/>
      <c r="AQ84" s="493"/>
      <c r="AR84" s="493"/>
      <c r="AS84" s="493"/>
      <c r="AT84" s="493"/>
      <c r="AU84" s="493"/>
      <c r="AV84" s="493"/>
      <c r="AW84" s="493"/>
      <c r="AX84" s="493"/>
      <c r="AY84" s="493"/>
      <c r="AZ84" s="493"/>
      <c r="BA84" s="493"/>
      <c r="BB84" s="493"/>
      <c r="BC84" s="493"/>
      <c r="BD84" s="493"/>
      <c r="BE84" s="493"/>
      <c r="BF84" s="493"/>
      <c r="BG84" s="493"/>
      <c r="BH84" s="493"/>
      <c r="BI84" s="493"/>
    </row>
    <row r="85" s="424" customFormat="1" ht="17.25" customHeight="1" spans="1:61">
      <c r="A85" s="490"/>
      <c r="B85" s="491"/>
      <c r="E85" s="427"/>
      <c r="F85" s="492"/>
      <c r="G85" s="493"/>
      <c r="H85" s="492"/>
      <c r="I85" s="494"/>
      <c r="J85" s="495"/>
      <c r="L85" s="492"/>
      <c r="M85" s="494"/>
      <c r="N85" s="495"/>
      <c r="P85" s="492"/>
      <c r="Q85" s="495"/>
      <c r="S85" s="492"/>
      <c r="T85" s="495"/>
      <c r="U85" s="490"/>
      <c r="V85" s="490"/>
      <c r="W85" s="490"/>
      <c r="X85" s="432"/>
      <c r="Y85" s="493"/>
      <c r="Z85" s="496"/>
      <c r="AA85" s="496"/>
      <c r="AB85" s="496"/>
      <c r="AC85" s="496"/>
      <c r="AD85" s="493"/>
      <c r="AE85" s="493"/>
      <c r="AF85" s="493"/>
      <c r="AG85" s="493"/>
      <c r="AH85" s="493"/>
      <c r="AI85" s="493"/>
      <c r="AJ85" s="493"/>
      <c r="AK85" s="493"/>
      <c r="AL85" s="493"/>
      <c r="AM85" s="493"/>
      <c r="AN85" s="493"/>
      <c r="AO85" s="493"/>
      <c r="AP85" s="493"/>
      <c r="AQ85" s="493"/>
      <c r="AR85" s="493"/>
      <c r="AS85" s="493"/>
      <c r="AT85" s="493"/>
      <c r="AU85" s="493"/>
      <c r="AV85" s="493"/>
      <c r="AW85" s="493"/>
      <c r="AX85" s="493"/>
      <c r="AY85" s="493"/>
      <c r="AZ85" s="493"/>
      <c r="BA85" s="493"/>
      <c r="BB85" s="493"/>
      <c r="BC85" s="493"/>
      <c r="BD85" s="493"/>
      <c r="BE85" s="493"/>
      <c r="BF85" s="493"/>
      <c r="BG85" s="493"/>
      <c r="BH85" s="493"/>
      <c r="BI85" s="493"/>
    </row>
    <row r="86" s="424" customFormat="1" ht="17.25" customHeight="1" spans="1:61">
      <c r="A86" s="490"/>
      <c r="B86" s="491"/>
      <c r="E86" s="427"/>
      <c r="F86" s="492"/>
      <c r="G86" s="493"/>
      <c r="H86" s="492"/>
      <c r="I86" s="494"/>
      <c r="J86" s="495"/>
      <c r="L86" s="492"/>
      <c r="M86" s="494"/>
      <c r="N86" s="495"/>
      <c r="P86" s="492"/>
      <c r="Q86" s="495"/>
      <c r="S86" s="492"/>
      <c r="T86" s="495"/>
      <c r="U86" s="490"/>
      <c r="V86" s="490"/>
      <c r="W86" s="490"/>
      <c r="X86" s="432"/>
      <c r="Y86" s="493"/>
      <c r="Z86" s="496"/>
      <c r="AA86" s="496"/>
      <c r="AB86" s="496"/>
      <c r="AC86" s="496"/>
      <c r="AD86" s="493"/>
      <c r="AE86" s="493"/>
      <c r="AF86" s="493"/>
      <c r="AG86" s="493"/>
      <c r="AH86" s="493"/>
      <c r="AI86" s="493"/>
      <c r="AJ86" s="493"/>
      <c r="AK86" s="493"/>
      <c r="AL86" s="493"/>
      <c r="AM86" s="493"/>
      <c r="AN86" s="493"/>
      <c r="AO86" s="493"/>
      <c r="AP86" s="493"/>
      <c r="AQ86" s="493"/>
      <c r="AR86" s="493"/>
      <c r="AS86" s="493"/>
      <c r="AT86" s="493"/>
      <c r="AU86" s="493"/>
      <c r="AV86" s="493"/>
      <c r="AW86" s="493"/>
      <c r="AX86" s="493"/>
      <c r="AY86" s="493"/>
      <c r="AZ86" s="493"/>
      <c r="BA86" s="493"/>
      <c r="BB86" s="493"/>
      <c r="BC86" s="493"/>
      <c r="BD86" s="493"/>
      <c r="BE86" s="493"/>
      <c r="BF86" s="493"/>
      <c r="BG86" s="493"/>
      <c r="BH86" s="493"/>
      <c r="BI86" s="493"/>
    </row>
    <row r="87" s="424" customFormat="1" spans="1:61">
      <c r="A87" s="490"/>
      <c r="B87" s="491"/>
      <c r="E87" s="427"/>
      <c r="F87" s="492"/>
      <c r="G87" s="493"/>
      <c r="H87" s="492"/>
      <c r="I87" s="494"/>
      <c r="J87" s="495"/>
      <c r="L87" s="492"/>
      <c r="M87" s="494"/>
      <c r="N87" s="495"/>
      <c r="P87" s="492"/>
      <c r="Q87" s="495"/>
      <c r="S87" s="492"/>
      <c r="T87" s="495"/>
      <c r="U87" s="490"/>
      <c r="V87" s="490"/>
      <c r="W87" s="490"/>
      <c r="X87" s="432"/>
      <c r="Y87" s="493"/>
      <c r="Z87" s="496"/>
      <c r="AA87" s="496"/>
      <c r="AB87" s="496"/>
      <c r="AC87" s="496"/>
      <c r="AD87" s="493"/>
      <c r="AE87" s="493"/>
      <c r="AF87" s="493"/>
      <c r="AG87" s="493"/>
      <c r="AH87" s="493"/>
      <c r="AI87" s="493"/>
      <c r="AJ87" s="493"/>
      <c r="AK87" s="493"/>
      <c r="AL87" s="493"/>
      <c r="AM87" s="493"/>
      <c r="AN87" s="493"/>
      <c r="AO87" s="493"/>
      <c r="AP87" s="493"/>
      <c r="AQ87" s="493"/>
      <c r="AR87" s="493"/>
      <c r="AS87" s="493"/>
      <c r="AT87" s="493"/>
      <c r="AU87" s="493"/>
      <c r="AV87" s="493"/>
      <c r="AW87" s="493"/>
      <c r="AX87" s="493"/>
      <c r="AY87" s="493"/>
      <c r="AZ87" s="493"/>
      <c r="BA87" s="493"/>
      <c r="BB87" s="493"/>
      <c r="BC87" s="493"/>
      <c r="BD87" s="493"/>
      <c r="BE87" s="493"/>
      <c r="BF87" s="493"/>
      <c r="BG87" s="493"/>
      <c r="BH87" s="493"/>
      <c r="BI87" s="493"/>
    </row>
    <row r="88" s="424" customFormat="1" spans="1:61">
      <c r="A88" s="490"/>
      <c r="B88" s="491"/>
      <c r="E88" s="427"/>
      <c r="F88" s="492"/>
      <c r="G88" s="493"/>
      <c r="H88" s="492"/>
      <c r="I88" s="494"/>
      <c r="J88" s="495"/>
      <c r="L88" s="492"/>
      <c r="M88" s="494"/>
      <c r="N88" s="495"/>
      <c r="P88" s="492"/>
      <c r="Q88" s="495"/>
      <c r="S88" s="492"/>
      <c r="T88" s="495"/>
      <c r="U88" s="490"/>
      <c r="V88" s="490"/>
      <c r="W88" s="490"/>
      <c r="X88" s="432"/>
      <c r="Y88" s="493"/>
      <c r="Z88" s="496"/>
      <c r="AA88" s="496"/>
      <c r="AB88" s="496"/>
      <c r="AC88" s="496"/>
      <c r="AD88" s="493"/>
      <c r="AE88" s="493"/>
      <c r="AF88" s="493"/>
      <c r="AG88" s="493"/>
      <c r="AH88" s="493"/>
      <c r="AI88" s="493"/>
      <c r="AJ88" s="493"/>
      <c r="AK88" s="493"/>
      <c r="AL88" s="493"/>
      <c r="AM88" s="493"/>
      <c r="AN88" s="493"/>
      <c r="AO88" s="493"/>
      <c r="AP88" s="493"/>
      <c r="AQ88" s="493"/>
      <c r="AR88" s="493"/>
      <c r="AS88" s="493"/>
      <c r="AT88" s="493"/>
      <c r="AU88" s="493"/>
      <c r="AV88" s="493"/>
      <c r="AW88" s="493"/>
      <c r="AX88" s="493"/>
      <c r="AY88" s="493"/>
      <c r="AZ88" s="493"/>
      <c r="BA88" s="493"/>
      <c r="BB88" s="493"/>
      <c r="BC88" s="493"/>
      <c r="BD88" s="493"/>
      <c r="BE88" s="493"/>
      <c r="BF88" s="493"/>
      <c r="BG88" s="493"/>
      <c r="BH88" s="493"/>
      <c r="BI88" s="493"/>
    </row>
    <row r="89" s="424" customFormat="1" spans="1:61">
      <c r="A89" s="490"/>
      <c r="B89" s="491"/>
      <c r="E89" s="427"/>
      <c r="F89" s="492"/>
      <c r="G89" s="493"/>
      <c r="H89" s="492"/>
      <c r="I89" s="494"/>
      <c r="J89" s="495"/>
      <c r="L89" s="492"/>
      <c r="M89" s="494"/>
      <c r="N89" s="495"/>
      <c r="P89" s="492"/>
      <c r="Q89" s="495"/>
      <c r="S89" s="492"/>
      <c r="T89" s="495"/>
      <c r="U89" s="490"/>
      <c r="V89" s="490"/>
      <c r="W89" s="490"/>
      <c r="X89" s="432"/>
      <c r="Y89" s="493"/>
      <c r="Z89" s="496"/>
      <c r="AA89" s="496"/>
      <c r="AB89" s="496"/>
      <c r="AC89" s="496"/>
      <c r="AD89" s="493"/>
      <c r="AE89" s="493"/>
      <c r="AF89" s="493"/>
      <c r="AG89" s="493"/>
      <c r="AH89" s="493"/>
      <c r="AI89" s="493"/>
      <c r="AJ89" s="493"/>
      <c r="AK89" s="493"/>
      <c r="AL89" s="493"/>
      <c r="AM89" s="493"/>
      <c r="AN89" s="493"/>
      <c r="AO89" s="493"/>
      <c r="AP89" s="493"/>
      <c r="AQ89" s="493"/>
      <c r="AR89" s="493"/>
      <c r="AS89" s="493"/>
      <c r="AT89" s="493"/>
      <c r="AU89" s="493"/>
      <c r="AV89" s="493"/>
      <c r="AW89" s="493"/>
      <c r="AX89" s="493"/>
      <c r="AY89" s="493"/>
      <c r="AZ89" s="493"/>
      <c r="BA89" s="493"/>
      <c r="BB89" s="493"/>
      <c r="BC89" s="493"/>
      <c r="BD89" s="493"/>
      <c r="BE89" s="493"/>
      <c r="BF89" s="493"/>
      <c r="BG89" s="493"/>
      <c r="BH89" s="493"/>
      <c r="BI89" s="493"/>
    </row>
    <row r="90" s="424" customFormat="1" spans="1:61">
      <c r="A90" s="490"/>
      <c r="B90" s="491"/>
      <c r="E90" s="427"/>
      <c r="F90" s="492"/>
      <c r="G90" s="493"/>
      <c r="H90" s="492"/>
      <c r="I90" s="494"/>
      <c r="J90" s="495"/>
      <c r="L90" s="492"/>
      <c r="M90" s="494"/>
      <c r="N90" s="495"/>
      <c r="P90" s="492"/>
      <c r="Q90" s="495"/>
      <c r="S90" s="492"/>
      <c r="T90" s="495"/>
      <c r="U90" s="490"/>
      <c r="V90" s="490"/>
      <c r="W90" s="490"/>
      <c r="X90" s="432"/>
      <c r="Y90" s="493"/>
      <c r="Z90" s="496"/>
      <c r="AA90" s="496"/>
      <c r="AB90" s="496"/>
      <c r="AC90" s="496"/>
      <c r="AD90" s="493"/>
      <c r="AE90" s="493"/>
      <c r="AF90" s="493"/>
      <c r="AG90" s="493"/>
      <c r="AH90" s="493"/>
      <c r="AI90" s="493"/>
      <c r="AJ90" s="493"/>
      <c r="AK90" s="493"/>
      <c r="AL90" s="493"/>
      <c r="AM90" s="493"/>
      <c r="AN90" s="493"/>
      <c r="AO90" s="493"/>
      <c r="AP90" s="493"/>
      <c r="AQ90" s="493"/>
      <c r="AR90" s="493"/>
      <c r="AS90" s="493"/>
      <c r="AT90" s="493"/>
      <c r="AU90" s="493"/>
      <c r="AV90" s="493"/>
      <c r="AW90" s="493"/>
      <c r="AX90" s="493"/>
      <c r="AY90" s="493"/>
      <c r="AZ90" s="493"/>
      <c r="BA90" s="493"/>
      <c r="BB90" s="493"/>
      <c r="BC90" s="493"/>
      <c r="BD90" s="493"/>
      <c r="BE90" s="493"/>
      <c r="BF90" s="493"/>
      <c r="BG90" s="493"/>
      <c r="BH90" s="493"/>
      <c r="BI90" s="493"/>
    </row>
    <row r="91" s="424" customFormat="1" spans="1:61">
      <c r="A91" s="490"/>
      <c r="B91" s="491"/>
      <c r="E91" s="427"/>
      <c r="F91" s="492"/>
      <c r="G91" s="493"/>
      <c r="H91" s="492"/>
      <c r="I91" s="494"/>
      <c r="J91" s="495"/>
      <c r="L91" s="492"/>
      <c r="M91" s="494"/>
      <c r="N91" s="495"/>
      <c r="P91" s="492"/>
      <c r="Q91" s="495"/>
      <c r="S91" s="492"/>
      <c r="T91" s="495"/>
      <c r="U91" s="490"/>
      <c r="V91" s="490"/>
      <c r="W91" s="490"/>
      <c r="X91" s="432"/>
      <c r="Y91" s="493"/>
      <c r="Z91" s="496"/>
      <c r="AA91" s="496"/>
      <c r="AB91" s="496"/>
      <c r="AC91" s="496"/>
      <c r="AD91" s="493"/>
      <c r="AE91" s="493"/>
      <c r="AF91" s="493"/>
      <c r="AG91" s="493"/>
      <c r="AH91" s="493"/>
      <c r="AI91" s="493"/>
      <c r="AJ91" s="493"/>
      <c r="AK91" s="493"/>
      <c r="AL91" s="493"/>
      <c r="AM91" s="493"/>
      <c r="AN91" s="493"/>
      <c r="AO91" s="493"/>
      <c r="AP91" s="493"/>
      <c r="AQ91" s="493"/>
      <c r="AR91" s="493"/>
      <c r="AS91" s="493"/>
      <c r="AT91" s="493"/>
      <c r="AU91" s="493"/>
      <c r="AV91" s="493"/>
      <c r="AW91" s="493"/>
      <c r="AX91" s="493"/>
      <c r="AY91" s="493"/>
      <c r="AZ91" s="493"/>
      <c r="BA91" s="493"/>
      <c r="BB91" s="493"/>
      <c r="BC91" s="493"/>
      <c r="BD91" s="493"/>
      <c r="BE91" s="493"/>
      <c r="BF91" s="493"/>
      <c r="BG91" s="493"/>
      <c r="BH91" s="493"/>
      <c r="BI91" s="493"/>
    </row>
    <row r="92" s="424" customFormat="1" spans="1:61">
      <c r="A92" s="490"/>
      <c r="B92" s="491"/>
      <c r="E92" s="427"/>
      <c r="F92" s="492"/>
      <c r="G92" s="493"/>
      <c r="H92" s="492"/>
      <c r="I92" s="494"/>
      <c r="J92" s="495"/>
      <c r="L92" s="492"/>
      <c r="M92" s="494"/>
      <c r="N92" s="495"/>
      <c r="P92" s="492"/>
      <c r="Q92" s="495"/>
      <c r="S92" s="492"/>
      <c r="T92" s="495"/>
      <c r="U92" s="490"/>
      <c r="V92" s="490"/>
      <c r="W92" s="490"/>
      <c r="X92" s="432"/>
      <c r="Y92" s="493"/>
      <c r="Z92" s="496"/>
      <c r="AA92" s="496"/>
      <c r="AB92" s="496"/>
      <c r="AC92" s="496"/>
      <c r="AD92" s="493"/>
      <c r="AE92" s="493"/>
      <c r="AF92" s="493"/>
      <c r="AG92" s="493"/>
      <c r="AH92" s="493"/>
      <c r="AI92" s="493"/>
      <c r="AJ92" s="493"/>
      <c r="AK92" s="493"/>
      <c r="AL92" s="493"/>
      <c r="AM92" s="493"/>
      <c r="AN92" s="493"/>
      <c r="AO92" s="493"/>
      <c r="AP92" s="493"/>
      <c r="AQ92" s="493"/>
      <c r="AR92" s="493"/>
      <c r="AS92" s="493"/>
      <c r="AT92" s="493"/>
      <c r="AU92" s="493"/>
      <c r="AV92" s="493"/>
      <c r="AW92" s="493"/>
      <c r="AX92" s="493"/>
      <c r="AY92" s="493"/>
      <c r="AZ92" s="493"/>
      <c r="BA92" s="493"/>
      <c r="BB92" s="493"/>
      <c r="BC92" s="493"/>
      <c r="BD92" s="493"/>
      <c r="BE92" s="493"/>
      <c r="BF92" s="493"/>
      <c r="BG92" s="493"/>
      <c r="BH92" s="493"/>
      <c r="BI92" s="493"/>
    </row>
    <row r="93" s="424" customFormat="1" spans="1:61">
      <c r="A93" s="490"/>
      <c r="B93" s="491"/>
      <c r="E93" s="427"/>
      <c r="F93" s="492"/>
      <c r="G93" s="493"/>
      <c r="H93" s="492"/>
      <c r="I93" s="494"/>
      <c r="J93" s="495"/>
      <c r="L93" s="492"/>
      <c r="M93" s="494"/>
      <c r="N93" s="495"/>
      <c r="P93" s="492"/>
      <c r="Q93" s="495"/>
      <c r="S93" s="492"/>
      <c r="T93" s="495"/>
      <c r="U93" s="490"/>
      <c r="V93" s="490"/>
      <c r="W93" s="490"/>
      <c r="X93" s="432"/>
      <c r="Y93" s="493"/>
      <c r="Z93" s="496"/>
      <c r="AA93" s="496"/>
      <c r="AB93" s="496"/>
      <c r="AC93" s="496"/>
      <c r="AD93" s="493"/>
      <c r="AE93" s="493"/>
      <c r="AF93" s="493"/>
      <c r="AG93" s="493"/>
      <c r="AH93" s="493"/>
      <c r="AI93" s="493"/>
      <c r="AJ93" s="493"/>
      <c r="AK93" s="493"/>
      <c r="AL93" s="493"/>
      <c r="AM93" s="493"/>
      <c r="AN93" s="493"/>
      <c r="AO93" s="493"/>
      <c r="AP93" s="493"/>
      <c r="AQ93" s="493"/>
      <c r="AR93" s="493"/>
      <c r="AS93" s="493"/>
      <c r="AT93" s="493"/>
      <c r="AU93" s="493"/>
      <c r="AV93" s="493"/>
      <c r="AW93" s="493"/>
      <c r="AX93" s="493"/>
      <c r="AY93" s="493"/>
      <c r="AZ93" s="493"/>
      <c r="BA93" s="493"/>
      <c r="BB93" s="493"/>
      <c r="BC93" s="493"/>
      <c r="BD93" s="493"/>
      <c r="BE93" s="493"/>
      <c r="BF93" s="493"/>
      <c r="BG93" s="493"/>
      <c r="BH93" s="493"/>
      <c r="BI93" s="493"/>
    </row>
    <row r="94" s="424" customFormat="1" spans="1:61">
      <c r="A94" s="490"/>
      <c r="B94" s="491"/>
      <c r="E94" s="427"/>
      <c r="F94" s="492"/>
      <c r="G94" s="493"/>
      <c r="H94" s="492"/>
      <c r="I94" s="494"/>
      <c r="J94" s="495"/>
      <c r="L94" s="492"/>
      <c r="M94" s="494"/>
      <c r="N94" s="495"/>
      <c r="P94" s="492"/>
      <c r="Q94" s="495"/>
      <c r="S94" s="492"/>
      <c r="T94" s="495"/>
      <c r="U94" s="490"/>
      <c r="V94" s="490"/>
      <c r="W94" s="490"/>
      <c r="X94" s="432"/>
      <c r="Y94" s="493"/>
      <c r="Z94" s="496"/>
      <c r="AA94" s="496"/>
      <c r="AB94" s="496"/>
      <c r="AC94" s="496"/>
      <c r="AD94" s="493"/>
      <c r="AE94" s="493"/>
      <c r="AF94" s="493"/>
      <c r="AG94" s="493"/>
      <c r="AH94" s="493"/>
      <c r="AI94" s="493"/>
      <c r="AJ94" s="493"/>
      <c r="AK94" s="493"/>
      <c r="AL94" s="493"/>
      <c r="AM94" s="493"/>
      <c r="AN94" s="493"/>
      <c r="AO94" s="493"/>
      <c r="AP94" s="493"/>
      <c r="AQ94" s="493"/>
      <c r="AR94" s="493"/>
      <c r="AS94" s="493"/>
      <c r="AT94" s="493"/>
      <c r="AU94" s="493"/>
      <c r="AV94" s="493"/>
      <c r="AW94" s="493"/>
      <c r="AX94" s="493"/>
      <c r="AY94" s="493"/>
      <c r="AZ94" s="493"/>
      <c r="BA94" s="493"/>
      <c r="BB94" s="493"/>
      <c r="BC94" s="493"/>
      <c r="BD94" s="493"/>
      <c r="BE94" s="493"/>
      <c r="BF94" s="493"/>
      <c r="BG94" s="493"/>
      <c r="BH94" s="493"/>
      <c r="BI94" s="493"/>
    </row>
    <row r="95" s="424" customFormat="1" spans="1:61">
      <c r="A95" s="490"/>
      <c r="B95" s="491"/>
      <c r="E95" s="427"/>
      <c r="F95" s="492"/>
      <c r="G95" s="493"/>
      <c r="H95" s="492"/>
      <c r="I95" s="494"/>
      <c r="J95" s="495"/>
      <c r="L95" s="492"/>
      <c r="M95" s="494"/>
      <c r="N95" s="495"/>
      <c r="P95" s="492"/>
      <c r="Q95" s="495"/>
      <c r="S95" s="492"/>
      <c r="T95" s="495"/>
      <c r="U95" s="490"/>
      <c r="V95" s="490"/>
      <c r="W95" s="490"/>
      <c r="X95" s="432"/>
      <c r="Y95" s="493"/>
      <c r="Z95" s="496"/>
      <c r="AA95" s="496"/>
      <c r="AB95" s="496"/>
      <c r="AC95" s="496"/>
      <c r="AD95" s="493"/>
      <c r="AE95" s="493"/>
      <c r="AF95" s="493"/>
      <c r="AG95" s="493"/>
      <c r="AH95" s="493"/>
      <c r="AI95" s="493"/>
      <c r="AJ95" s="493"/>
      <c r="AK95" s="493"/>
      <c r="AL95" s="493"/>
      <c r="AM95" s="493"/>
      <c r="AN95" s="493"/>
      <c r="AO95" s="493"/>
      <c r="AP95" s="493"/>
      <c r="AQ95" s="493"/>
      <c r="AR95" s="493"/>
      <c r="AS95" s="493"/>
      <c r="AT95" s="493"/>
      <c r="AU95" s="493"/>
      <c r="AV95" s="493"/>
      <c r="AW95" s="493"/>
      <c r="AX95" s="493"/>
      <c r="AY95" s="493"/>
      <c r="AZ95" s="493"/>
      <c r="BA95" s="493"/>
      <c r="BB95" s="493"/>
      <c r="BC95" s="493"/>
      <c r="BD95" s="493"/>
      <c r="BE95" s="493"/>
      <c r="BF95" s="493"/>
      <c r="BG95" s="493"/>
      <c r="BH95" s="493"/>
      <c r="BI95" s="493"/>
    </row>
    <row r="96" s="424" customFormat="1" spans="1:61">
      <c r="A96" s="490"/>
      <c r="B96" s="491"/>
      <c r="E96" s="427"/>
      <c r="F96" s="492"/>
      <c r="G96" s="493"/>
      <c r="H96" s="492"/>
      <c r="I96" s="494"/>
      <c r="J96" s="495"/>
      <c r="L96" s="492"/>
      <c r="M96" s="494"/>
      <c r="N96" s="495"/>
      <c r="P96" s="492"/>
      <c r="Q96" s="495"/>
      <c r="S96" s="492"/>
      <c r="T96" s="495"/>
      <c r="U96" s="490"/>
      <c r="V96" s="490"/>
      <c r="W96" s="490"/>
      <c r="X96" s="432"/>
      <c r="Y96" s="493"/>
      <c r="Z96" s="496"/>
      <c r="AA96" s="496"/>
      <c r="AB96" s="496"/>
      <c r="AC96" s="496"/>
      <c r="AD96" s="493"/>
      <c r="AE96" s="493"/>
      <c r="AF96" s="493"/>
      <c r="AG96" s="493"/>
      <c r="AH96" s="493"/>
      <c r="AI96" s="493"/>
      <c r="AJ96" s="493"/>
      <c r="AK96" s="493"/>
      <c r="AL96" s="493"/>
      <c r="AM96" s="493"/>
      <c r="AN96" s="493"/>
      <c r="AO96" s="493"/>
      <c r="AP96" s="493"/>
      <c r="AQ96" s="493"/>
      <c r="AR96" s="493"/>
      <c r="AS96" s="493"/>
      <c r="AT96" s="493"/>
      <c r="AU96" s="493"/>
      <c r="AV96" s="493"/>
      <c r="AW96" s="493"/>
      <c r="AX96" s="493"/>
      <c r="AY96" s="493"/>
      <c r="AZ96" s="493"/>
      <c r="BA96" s="493"/>
      <c r="BB96" s="493"/>
      <c r="BC96" s="493"/>
      <c r="BD96" s="493"/>
      <c r="BE96" s="493"/>
      <c r="BF96" s="493"/>
      <c r="BG96" s="493"/>
      <c r="BH96" s="493"/>
      <c r="BI96" s="493"/>
    </row>
    <row r="97" s="424" customFormat="1" spans="1:61">
      <c r="A97" s="490"/>
      <c r="B97" s="491"/>
      <c r="E97" s="427"/>
      <c r="F97" s="492"/>
      <c r="G97" s="493"/>
      <c r="H97" s="492"/>
      <c r="I97" s="494"/>
      <c r="J97" s="495"/>
      <c r="L97" s="492"/>
      <c r="M97" s="494"/>
      <c r="N97" s="495"/>
      <c r="P97" s="492"/>
      <c r="Q97" s="495"/>
      <c r="S97" s="492"/>
      <c r="T97" s="495"/>
      <c r="U97" s="490"/>
      <c r="V97" s="490"/>
      <c r="W97" s="490"/>
      <c r="X97" s="432"/>
      <c r="Y97" s="493"/>
      <c r="Z97" s="496"/>
      <c r="AA97" s="496"/>
      <c r="AB97" s="496"/>
      <c r="AC97" s="496"/>
      <c r="AD97" s="493"/>
      <c r="AE97" s="493"/>
      <c r="AF97" s="493"/>
      <c r="AG97" s="493"/>
      <c r="AH97" s="493"/>
      <c r="AI97" s="493"/>
      <c r="AJ97" s="493"/>
      <c r="AK97" s="493"/>
      <c r="AL97" s="493"/>
      <c r="AM97" s="493"/>
      <c r="AN97" s="493"/>
      <c r="AO97" s="493"/>
      <c r="AP97" s="493"/>
      <c r="AQ97" s="493"/>
      <c r="AR97" s="493"/>
      <c r="AS97" s="493"/>
      <c r="AT97" s="493"/>
      <c r="AU97" s="493"/>
      <c r="AV97" s="493"/>
      <c r="AW97" s="493"/>
      <c r="AX97" s="493"/>
      <c r="AY97" s="493"/>
      <c r="AZ97" s="493"/>
      <c r="BA97" s="493"/>
      <c r="BB97" s="493"/>
      <c r="BC97" s="493"/>
      <c r="BD97" s="493"/>
      <c r="BE97" s="493"/>
      <c r="BF97" s="493"/>
      <c r="BG97" s="493"/>
      <c r="BH97" s="493"/>
      <c r="BI97" s="493"/>
    </row>
    <row r="98" s="424" customFormat="1" spans="1:61">
      <c r="A98" s="490"/>
      <c r="B98" s="491"/>
      <c r="E98" s="427"/>
      <c r="F98" s="492"/>
      <c r="G98" s="493"/>
      <c r="H98" s="492"/>
      <c r="I98" s="494"/>
      <c r="J98" s="495"/>
      <c r="L98" s="492"/>
      <c r="M98" s="494"/>
      <c r="N98" s="495"/>
      <c r="P98" s="492"/>
      <c r="Q98" s="495"/>
      <c r="S98" s="492"/>
      <c r="T98" s="495"/>
      <c r="U98" s="490"/>
      <c r="V98" s="490"/>
      <c r="W98" s="490"/>
      <c r="X98" s="432"/>
      <c r="Y98" s="493"/>
      <c r="Z98" s="496"/>
      <c r="AA98" s="496"/>
      <c r="AB98" s="496"/>
      <c r="AC98" s="496"/>
      <c r="AD98" s="493"/>
      <c r="AE98" s="493"/>
      <c r="AF98" s="493"/>
      <c r="AG98" s="493"/>
      <c r="AH98" s="493"/>
      <c r="AI98" s="493"/>
      <c r="AJ98" s="493"/>
      <c r="AK98" s="493"/>
      <c r="AL98" s="493"/>
      <c r="AM98" s="493"/>
      <c r="AN98" s="493"/>
      <c r="AO98" s="493"/>
      <c r="AP98" s="493"/>
      <c r="AQ98" s="493"/>
      <c r="AR98" s="493"/>
      <c r="AS98" s="493"/>
      <c r="AT98" s="493"/>
      <c r="AU98" s="493"/>
      <c r="AV98" s="493"/>
      <c r="AW98" s="493"/>
      <c r="AX98" s="493"/>
      <c r="AY98" s="493"/>
      <c r="AZ98" s="493"/>
      <c r="BA98" s="493"/>
      <c r="BB98" s="493"/>
      <c r="BC98" s="493"/>
      <c r="BD98" s="493"/>
      <c r="BE98" s="493"/>
      <c r="BF98" s="493"/>
      <c r="BG98" s="493"/>
      <c r="BH98" s="493"/>
      <c r="BI98" s="493"/>
    </row>
    <row r="99" s="424" customFormat="1" spans="1:61">
      <c r="A99" s="490"/>
      <c r="B99" s="491"/>
      <c r="E99" s="427"/>
      <c r="F99" s="492"/>
      <c r="G99" s="493"/>
      <c r="H99" s="492"/>
      <c r="I99" s="494"/>
      <c r="J99" s="495"/>
      <c r="L99" s="492"/>
      <c r="M99" s="494"/>
      <c r="N99" s="495"/>
      <c r="P99" s="492"/>
      <c r="Q99" s="495"/>
      <c r="S99" s="492"/>
      <c r="T99" s="495"/>
      <c r="U99" s="490"/>
      <c r="V99" s="490"/>
      <c r="W99" s="490"/>
      <c r="X99" s="432"/>
      <c r="Y99" s="493"/>
      <c r="Z99" s="496"/>
      <c r="AA99" s="496"/>
      <c r="AB99" s="496"/>
      <c r="AC99" s="496"/>
      <c r="AD99" s="493"/>
      <c r="AE99" s="493"/>
      <c r="AF99" s="493"/>
      <c r="AG99" s="493"/>
      <c r="AH99" s="493"/>
      <c r="AI99" s="493"/>
      <c r="AJ99" s="493"/>
      <c r="AK99" s="493"/>
      <c r="AL99" s="493"/>
      <c r="AM99" s="493"/>
      <c r="AN99" s="493"/>
      <c r="AO99" s="493"/>
      <c r="AP99" s="493"/>
      <c r="AQ99" s="493"/>
      <c r="AR99" s="493"/>
      <c r="AS99" s="493"/>
      <c r="AT99" s="493"/>
      <c r="AU99" s="493"/>
      <c r="AV99" s="493"/>
      <c r="AW99" s="493"/>
      <c r="AX99" s="493"/>
      <c r="AY99" s="493"/>
      <c r="AZ99" s="493"/>
      <c r="BA99" s="493"/>
      <c r="BB99" s="493"/>
      <c r="BC99" s="493"/>
      <c r="BD99" s="493"/>
      <c r="BE99" s="493"/>
      <c r="BF99" s="493"/>
      <c r="BG99" s="493"/>
      <c r="BH99" s="493"/>
      <c r="BI99" s="493"/>
    </row>
    <row r="100" s="424" customFormat="1" spans="1:61">
      <c r="A100" s="490"/>
      <c r="B100" s="491"/>
      <c r="E100" s="427"/>
      <c r="F100" s="492"/>
      <c r="G100" s="493"/>
      <c r="H100" s="492"/>
      <c r="I100" s="494"/>
      <c r="J100" s="495"/>
      <c r="L100" s="492"/>
      <c r="M100" s="494"/>
      <c r="N100" s="495"/>
      <c r="P100" s="492"/>
      <c r="Q100" s="495"/>
      <c r="S100" s="492"/>
      <c r="T100" s="495"/>
      <c r="U100" s="490"/>
      <c r="V100" s="490"/>
      <c r="W100" s="490"/>
      <c r="X100" s="432"/>
      <c r="Y100" s="493"/>
      <c r="Z100" s="496"/>
      <c r="AA100" s="496"/>
      <c r="AB100" s="496"/>
      <c r="AC100" s="496"/>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c r="BI100" s="493"/>
    </row>
    <row r="101" s="424" customFormat="1" spans="1:61">
      <c r="A101" s="490"/>
      <c r="B101" s="491"/>
      <c r="E101" s="427"/>
      <c r="F101" s="492"/>
      <c r="G101" s="493"/>
      <c r="H101" s="492"/>
      <c r="I101" s="494"/>
      <c r="J101" s="495"/>
      <c r="L101" s="492"/>
      <c r="M101" s="494"/>
      <c r="N101" s="495"/>
      <c r="P101" s="492"/>
      <c r="Q101" s="495"/>
      <c r="S101" s="492"/>
      <c r="T101" s="495"/>
      <c r="U101" s="490"/>
      <c r="V101" s="490"/>
      <c r="W101" s="490"/>
      <c r="X101" s="432"/>
      <c r="Y101" s="493"/>
      <c r="Z101" s="496"/>
      <c r="AA101" s="496"/>
      <c r="AB101" s="496"/>
      <c r="AC101" s="496"/>
      <c r="AD101" s="493"/>
      <c r="AE101" s="493"/>
      <c r="AF101" s="493"/>
      <c r="AG101" s="493"/>
      <c r="AH101" s="493"/>
      <c r="AI101" s="493"/>
      <c r="AJ101" s="493"/>
      <c r="AK101" s="493"/>
      <c r="AL101" s="493"/>
      <c r="AM101" s="493"/>
      <c r="AN101" s="493"/>
      <c r="AO101" s="493"/>
      <c r="AP101" s="493"/>
      <c r="AQ101" s="493"/>
      <c r="AR101" s="493"/>
      <c r="AS101" s="493"/>
      <c r="AT101" s="493"/>
      <c r="AU101" s="493"/>
      <c r="AV101" s="493"/>
      <c r="AW101" s="493"/>
      <c r="AX101" s="493"/>
      <c r="AY101" s="493"/>
      <c r="AZ101" s="493"/>
      <c r="BA101" s="493"/>
      <c r="BB101" s="493"/>
      <c r="BC101" s="493"/>
      <c r="BD101" s="493"/>
      <c r="BE101" s="493"/>
      <c r="BF101" s="493"/>
      <c r="BG101" s="493"/>
      <c r="BH101" s="493"/>
      <c r="BI101" s="493"/>
    </row>
    <row r="102" s="424" customFormat="1" spans="1:61">
      <c r="A102" s="490"/>
      <c r="B102" s="491"/>
      <c r="E102" s="427"/>
      <c r="F102" s="492"/>
      <c r="G102" s="493"/>
      <c r="H102" s="492"/>
      <c r="I102" s="494"/>
      <c r="J102" s="495"/>
      <c r="L102" s="492"/>
      <c r="M102" s="494"/>
      <c r="N102" s="495"/>
      <c r="P102" s="492"/>
      <c r="Q102" s="495"/>
      <c r="S102" s="492"/>
      <c r="T102" s="495"/>
      <c r="U102" s="490"/>
      <c r="V102" s="490"/>
      <c r="W102" s="490"/>
      <c r="X102" s="432"/>
      <c r="Y102" s="493"/>
      <c r="Z102" s="496"/>
      <c r="AA102" s="496"/>
      <c r="AB102" s="496"/>
      <c r="AC102" s="496"/>
      <c r="AD102" s="493"/>
      <c r="AE102" s="493"/>
      <c r="AF102" s="493"/>
      <c r="AG102" s="493"/>
      <c r="AH102" s="493"/>
      <c r="AI102" s="493"/>
      <c r="AJ102" s="493"/>
      <c r="AK102" s="493"/>
      <c r="AL102" s="493"/>
      <c r="AM102" s="493"/>
      <c r="AN102" s="493"/>
      <c r="AO102" s="493"/>
      <c r="AP102" s="493"/>
      <c r="AQ102" s="493"/>
      <c r="AR102" s="493"/>
      <c r="AS102" s="493"/>
      <c r="AT102" s="493"/>
      <c r="AU102" s="493"/>
      <c r="AV102" s="493"/>
      <c r="AW102" s="493"/>
      <c r="AX102" s="493"/>
      <c r="AY102" s="493"/>
      <c r="AZ102" s="493"/>
      <c r="BA102" s="493"/>
      <c r="BB102" s="493"/>
      <c r="BC102" s="493"/>
      <c r="BD102" s="493"/>
      <c r="BE102" s="493"/>
      <c r="BF102" s="493"/>
      <c r="BG102" s="493"/>
      <c r="BH102" s="493"/>
      <c r="BI102" s="493"/>
    </row>
    <row r="103" s="424" customFormat="1" spans="1:61">
      <c r="A103" s="490"/>
      <c r="B103" s="491"/>
      <c r="E103" s="427"/>
      <c r="F103" s="492"/>
      <c r="G103" s="493"/>
      <c r="H103" s="492"/>
      <c r="I103" s="494"/>
      <c r="J103" s="495"/>
      <c r="L103" s="492"/>
      <c r="M103" s="494"/>
      <c r="N103" s="495"/>
      <c r="P103" s="492"/>
      <c r="Q103" s="495"/>
      <c r="S103" s="492"/>
      <c r="T103" s="495"/>
      <c r="U103" s="490"/>
      <c r="V103" s="490"/>
      <c r="W103" s="490"/>
      <c r="X103" s="432"/>
      <c r="Y103" s="493"/>
      <c r="Z103" s="496"/>
      <c r="AA103" s="496"/>
      <c r="AB103" s="496"/>
      <c r="AC103" s="496"/>
      <c r="AD103" s="493"/>
      <c r="AE103" s="493"/>
      <c r="AF103" s="493"/>
      <c r="AG103" s="493"/>
      <c r="AH103" s="493"/>
      <c r="AI103" s="493"/>
      <c r="AJ103" s="493"/>
      <c r="AK103" s="493"/>
      <c r="AL103" s="493"/>
      <c r="AM103" s="493"/>
      <c r="AN103" s="493"/>
      <c r="AO103" s="493"/>
      <c r="AP103" s="493"/>
      <c r="AQ103" s="493"/>
      <c r="AR103" s="493"/>
      <c r="AS103" s="493"/>
      <c r="AT103" s="493"/>
      <c r="AU103" s="493"/>
      <c r="AV103" s="493"/>
      <c r="AW103" s="493"/>
      <c r="AX103" s="493"/>
      <c r="AY103" s="493"/>
      <c r="AZ103" s="493"/>
      <c r="BA103" s="493"/>
      <c r="BB103" s="493"/>
      <c r="BC103" s="493"/>
      <c r="BD103" s="493"/>
      <c r="BE103" s="493"/>
      <c r="BF103" s="493"/>
      <c r="BG103" s="493"/>
      <c r="BH103" s="493"/>
      <c r="BI103" s="493"/>
    </row>
    <row r="104" s="424" customFormat="1" spans="1:61">
      <c r="A104" s="490"/>
      <c r="B104" s="491"/>
      <c r="E104" s="427"/>
      <c r="F104" s="492"/>
      <c r="G104" s="493"/>
      <c r="H104" s="492"/>
      <c r="I104" s="494"/>
      <c r="J104" s="495"/>
      <c r="L104" s="492"/>
      <c r="M104" s="494"/>
      <c r="N104" s="495"/>
      <c r="P104" s="492"/>
      <c r="Q104" s="495"/>
      <c r="S104" s="492"/>
      <c r="T104" s="495"/>
      <c r="U104" s="490"/>
      <c r="V104" s="490"/>
      <c r="W104" s="490"/>
      <c r="X104" s="432"/>
      <c r="Y104" s="493"/>
      <c r="Z104" s="496"/>
      <c r="AA104" s="496"/>
      <c r="AB104" s="496"/>
      <c r="AC104" s="496"/>
      <c r="AD104" s="493"/>
      <c r="AE104" s="493"/>
      <c r="AF104" s="493"/>
      <c r="AG104" s="493"/>
      <c r="AH104" s="493"/>
      <c r="AI104" s="493"/>
      <c r="AJ104" s="493"/>
      <c r="AK104" s="493"/>
      <c r="AL104" s="493"/>
      <c r="AM104" s="493"/>
      <c r="AN104" s="493"/>
      <c r="AO104" s="493"/>
      <c r="AP104" s="493"/>
      <c r="AQ104" s="493"/>
      <c r="AR104" s="493"/>
      <c r="AS104" s="493"/>
      <c r="AT104" s="493"/>
      <c r="AU104" s="493"/>
      <c r="AV104" s="493"/>
      <c r="AW104" s="493"/>
      <c r="AX104" s="493"/>
      <c r="AY104" s="493"/>
      <c r="AZ104" s="493"/>
      <c r="BA104" s="493"/>
      <c r="BB104" s="493"/>
      <c r="BC104" s="493"/>
      <c r="BD104" s="493"/>
      <c r="BE104" s="493"/>
      <c r="BF104" s="493"/>
      <c r="BG104" s="493"/>
      <c r="BH104" s="493"/>
      <c r="BI104" s="493"/>
    </row>
    <row r="105" s="424" customFormat="1" spans="1:61">
      <c r="A105" s="490"/>
      <c r="B105" s="491"/>
      <c r="E105" s="427"/>
      <c r="F105" s="492"/>
      <c r="G105" s="493"/>
      <c r="H105" s="492"/>
      <c r="I105" s="494"/>
      <c r="J105" s="495"/>
      <c r="L105" s="492"/>
      <c r="M105" s="494"/>
      <c r="N105" s="495"/>
      <c r="P105" s="492"/>
      <c r="Q105" s="495"/>
      <c r="S105" s="492"/>
      <c r="T105" s="495"/>
      <c r="U105" s="490"/>
      <c r="V105" s="490"/>
      <c r="W105" s="490"/>
      <c r="X105" s="432"/>
      <c r="Y105" s="493"/>
      <c r="Z105" s="496"/>
      <c r="AA105" s="496"/>
      <c r="AB105" s="496"/>
      <c r="AC105" s="496"/>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row>
    <row r="106" s="424" customFormat="1" spans="1:61">
      <c r="A106" s="490"/>
      <c r="B106" s="491"/>
      <c r="E106" s="427"/>
      <c r="F106" s="492"/>
      <c r="G106" s="493"/>
      <c r="H106" s="492"/>
      <c r="I106" s="494"/>
      <c r="J106" s="495"/>
      <c r="L106" s="492"/>
      <c r="M106" s="494"/>
      <c r="N106" s="495"/>
      <c r="P106" s="492"/>
      <c r="Q106" s="495"/>
      <c r="S106" s="492"/>
      <c r="T106" s="495"/>
      <c r="U106" s="490"/>
      <c r="V106" s="490"/>
      <c r="W106" s="490"/>
      <c r="X106" s="432"/>
      <c r="Y106" s="493"/>
      <c r="Z106" s="496"/>
      <c r="AA106" s="496"/>
      <c r="AB106" s="496"/>
      <c r="AC106" s="496"/>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row>
    <row r="107" s="424" customFormat="1" spans="1:61">
      <c r="A107" s="490"/>
      <c r="B107" s="491"/>
      <c r="E107" s="427"/>
      <c r="F107" s="492"/>
      <c r="G107" s="493"/>
      <c r="H107" s="492"/>
      <c r="I107" s="494"/>
      <c r="J107" s="495"/>
      <c r="L107" s="492"/>
      <c r="M107" s="494"/>
      <c r="N107" s="495"/>
      <c r="P107" s="492"/>
      <c r="Q107" s="495"/>
      <c r="S107" s="492"/>
      <c r="T107" s="495"/>
      <c r="U107" s="490"/>
      <c r="V107" s="490"/>
      <c r="W107" s="490"/>
      <c r="X107" s="432"/>
      <c r="Y107" s="493"/>
      <c r="Z107" s="496"/>
      <c r="AA107" s="496"/>
      <c r="AB107" s="496"/>
      <c r="AC107" s="496"/>
      <c r="AD107" s="493"/>
      <c r="AE107" s="493"/>
      <c r="AF107" s="493"/>
      <c r="AG107" s="493"/>
      <c r="AH107" s="493"/>
      <c r="AI107" s="493"/>
      <c r="AJ107" s="493"/>
      <c r="AK107" s="493"/>
      <c r="AL107" s="493"/>
      <c r="AM107" s="493"/>
      <c r="AN107" s="493"/>
      <c r="AO107" s="493"/>
      <c r="AP107" s="493"/>
      <c r="AQ107" s="493"/>
      <c r="AR107" s="493"/>
      <c r="AS107" s="493"/>
      <c r="AT107" s="493"/>
      <c r="AU107" s="493"/>
      <c r="AV107" s="493"/>
      <c r="AW107" s="493"/>
      <c r="AX107" s="493"/>
      <c r="AY107" s="493"/>
      <c r="AZ107" s="493"/>
      <c r="BA107" s="493"/>
      <c r="BB107" s="493"/>
      <c r="BC107" s="493"/>
      <c r="BD107" s="493"/>
      <c r="BE107" s="493"/>
      <c r="BF107" s="493"/>
      <c r="BG107" s="493"/>
      <c r="BH107" s="493"/>
      <c r="BI107" s="493"/>
    </row>
    <row r="108" s="424" customFormat="1" spans="1:61">
      <c r="A108" s="490"/>
      <c r="B108" s="491"/>
      <c r="E108" s="427"/>
      <c r="F108" s="492"/>
      <c r="G108" s="493"/>
      <c r="H108" s="492"/>
      <c r="I108" s="494"/>
      <c r="J108" s="495"/>
      <c r="L108" s="492"/>
      <c r="M108" s="494"/>
      <c r="N108" s="495"/>
      <c r="P108" s="492"/>
      <c r="Q108" s="495"/>
      <c r="S108" s="492"/>
      <c r="T108" s="495"/>
      <c r="U108" s="490"/>
      <c r="V108" s="490"/>
      <c r="W108" s="490"/>
      <c r="X108" s="432"/>
      <c r="Y108" s="493"/>
      <c r="Z108" s="496"/>
      <c r="AA108" s="496"/>
      <c r="AB108" s="496"/>
      <c r="AC108" s="496"/>
      <c r="AD108" s="493"/>
      <c r="AE108" s="493"/>
      <c r="AF108" s="493"/>
      <c r="AG108" s="493"/>
      <c r="AH108" s="493"/>
      <c r="AI108" s="493"/>
      <c r="AJ108" s="493"/>
      <c r="AK108" s="493"/>
      <c r="AL108" s="493"/>
      <c r="AM108" s="493"/>
      <c r="AN108" s="493"/>
      <c r="AO108" s="493"/>
      <c r="AP108" s="493"/>
      <c r="AQ108" s="493"/>
      <c r="AR108" s="493"/>
      <c r="AS108" s="493"/>
      <c r="AT108" s="493"/>
      <c r="AU108" s="493"/>
      <c r="AV108" s="493"/>
      <c r="AW108" s="493"/>
      <c r="AX108" s="493"/>
      <c r="AY108" s="493"/>
      <c r="AZ108" s="493"/>
      <c r="BA108" s="493"/>
      <c r="BB108" s="493"/>
      <c r="BC108" s="493"/>
      <c r="BD108" s="493"/>
      <c r="BE108" s="493"/>
      <c r="BF108" s="493"/>
      <c r="BG108" s="493"/>
      <c r="BH108" s="493"/>
      <c r="BI108" s="493"/>
    </row>
    <row r="109" s="424" customFormat="1" spans="1:61">
      <c r="A109" s="490"/>
      <c r="B109" s="491"/>
      <c r="E109" s="427"/>
      <c r="F109" s="492"/>
      <c r="G109" s="493"/>
      <c r="H109" s="492"/>
      <c r="I109" s="494"/>
      <c r="J109" s="495"/>
      <c r="L109" s="492"/>
      <c r="M109" s="494"/>
      <c r="N109" s="495"/>
      <c r="P109" s="492"/>
      <c r="Q109" s="495"/>
      <c r="S109" s="492"/>
      <c r="T109" s="495"/>
      <c r="U109" s="490"/>
      <c r="V109" s="490"/>
      <c r="W109" s="490"/>
      <c r="X109" s="432"/>
      <c r="Y109" s="493"/>
      <c r="Z109" s="496"/>
      <c r="AA109" s="496"/>
      <c r="AB109" s="496"/>
      <c r="AC109" s="496"/>
      <c r="AD109" s="493"/>
      <c r="AE109" s="493"/>
      <c r="AF109" s="493"/>
      <c r="AG109" s="493"/>
      <c r="AH109" s="493"/>
      <c r="AI109" s="493"/>
      <c r="AJ109" s="493"/>
      <c r="AK109" s="493"/>
      <c r="AL109" s="493"/>
      <c r="AM109" s="493"/>
      <c r="AN109" s="493"/>
      <c r="AO109" s="493"/>
      <c r="AP109" s="493"/>
      <c r="AQ109" s="493"/>
      <c r="AR109" s="493"/>
      <c r="AS109" s="493"/>
      <c r="AT109" s="493"/>
      <c r="AU109" s="493"/>
      <c r="AV109" s="493"/>
      <c r="AW109" s="493"/>
      <c r="AX109" s="493"/>
      <c r="AY109" s="493"/>
      <c r="AZ109" s="493"/>
      <c r="BA109" s="493"/>
      <c r="BB109" s="493"/>
      <c r="BC109" s="493"/>
      <c r="BD109" s="493"/>
      <c r="BE109" s="493"/>
      <c r="BF109" s="493"/>
      <c r="BG109" s="493"/>
      <c r="BH109" s="493"/>
      <c r="BI109" s="493"/>
    </row>
    <row r="110" s="424" customFormat="1" spans="1:61">
      <c r="A110" s="490"/>
      <c r="B110" s="491"/>
      <c r="E110" s="427"/>
      <c r="F110" s="492"/>
      <c r="G110" s="493"/>
      <c r="H110" s="492"/>
      <c r="I110" s="494"/>
      <c r="J110" s="495"/>
      <c r="L110" s="492"/>
      <c r="M110" s="494"/>
      <c r="N110" s="495"/>
      <c r="P110" s="492"/>
      <c r="Q110" s="495"/>
      <c r="S110" s="492"/>
      <c r="T110" s="495"/>
      <c r="U110" s="490"/>
      <c r="V110" s="490"/>
      <c r="W110" s="490"/>
      <c r="X110" s="432"/>
      <c r="Y110" s="493"/>
      <c r="Z110" s="496"/>
      <c r="AA110" s="496"/>
      <c r="AB110" s="496"/>
      <c r="AC110" s="496"/>
      <c r="AD110" s="493"/>
      <c r="AE110" s="493"/>
      <c r="AF110" s="493"/>
      <c r="AG110" s="493"/>
      <c r="AH110" s="493"/>
      <c r="AI110" s="493"/>
      <c r="AJ110" s="493"/>
      <c r="AK110" s="493"/>
      <c r="AL110" s="493"/>
      <c r="AM110" s="493"/>
      <c r="AN110" s="493"/>
      <c r="AO110" s="493"/>
      <c r="AP110" s="493"/>
      <c r="AQ110" s="493"/>
      <c r="AR110" s="493"/>
      <c r="AS110" s="493"/>
      <c r="AT110" s="493"/>
      <c r="AU110" s="493"/>
      <c r="AV110" s="493"/>
      <c r="AW110" s="493"/>
      <c r="AX110" s="493"/>
      <c r="AY110" s="493"/>
      <c r="AZ110" s="493"/>
      <c r="BA110" s="493"/>
      <c r="BB110" s="493"/>
      <c r="BC110" s="493"/>
      <c r="BD110" s="493"/>
      <c r="BE110" s="493"/>
      <c r="BF110" s="493"/>
      <c r="BG110" s="493"/>
      <c r="BH110" s="493"/>
      <c r="BI110" s="493"/>
    </row>
    <row r="111" s="424" customFormat="1" spans="1:61">
      <c r="A111" s="490"/>
      <c r="B111" s="491"/>
      <c r="E111" s="427"/>
      <c r="F111" s="492"/>
      <c r="G111" s="493"/>
      <c r="H111" s="492"/>
      <c r="I111" s="494"/>
      <c r="J111" s="495"/>
      <c r="L111" s="492"/>
      <c r="M111" s="494"/>
      <c r="N111" s="495"/>
      <c r="P111" s="492"/>
      <c r="Q111" s="495"/>
      <c r="S111" s="492"/>
      <c r="T111" s="495"/>
      <c r="U111" s="490"/>
      <c r="V111" s="490"/>
      <c r="W111" s="490"/>
      <c r="X111" s="432"/>
      <c r="Y111" s="493"/>
      <c r="Z111" s="496"/>
      <c r="AA111" s="496"/>
      <c r="AB111" s="496"/>
      <c r="AC111" s="496"/>
      <c r="AD111" s="493"/>
      <c r="AE111" s="493"/>
      <c r="AF111" s="493"/>
      <c r="AG111" s="493"/>
      <c r="AH111" s="493"/>
      <c r="AI111" s="493"/>
      <c r="AJ111" s="493"/>
      <c r="AK111" s="493"/>
      <c r="AL111" s="493"/>
      <c r="AM111" s="493"/>
      <c r="AN111" s="493"/>
      <c r="AO111" s="493"/>
      <c r="AP111" s="493"/>
      <c r="AQ111" s="493"/>
      <c r="AR111" s="493"/>
      <c r="AS111" s="493"/>
      <c r="AT111" s="493"/>
      <c r="AU111" s="493"/>
      <c r="AV111" s="493"/>
      <c r="AW111" s="493"/>
      <c r="AX111" s="493"/>
      <c r="AY111" s="493"/>
      <c r="AZ111" s="493"/>
      <c r="BA111" s="493"/>
      <c r="BB111" s="493"/>
      <c r="BC111" s="493"/>
      <c r="BD111" s="493"/>
      <c r="BE111" s="493"/>
      <c r="BF111" s="493"/>
      <c r="BG111" s="493"/>
      <c r="BH111" s="493"/>
      <c r="BI111" s="493"/>
    </row>
    <row r="112" s="424" customFormat="1" spans="1:61">
      <c r="A112" s="490"/>
      <c r="B112" s="491"/>
      <c r="E112" s="427"/>
      <c r="F112" s="492"/>
      <c r="G112" s="493"/>
      <c r="H112" s="492"/>
      <c r="I112" s="494"/>
      <c r="J112" s="495"/>
      <c r="L112" s="492"/>
      <c r="M112" s="494"/>
      <c r="N112" s="495"/>
      <c r="P112" s="492"/>
      <c r="Q112" s="495"/>
      <c r="S112" s="492"/>
      <c r="T112" s="495"/>
      <c r="U112" s="490"/>
      <c r="V112" s="490"/>
      <c r="W112" s="490"/>
      <c r="X112" s="432"/>
      <c r="Y112" s="493"/>
      <c r="Z112" s="496"/>
      <c r="AA112" s="496"/>
      <c r="AB112" s="496"/>
      <c r="AC112" s="496"/>
      <c r="AD112" s="493"/>
      <c r="AE112" s="493"/>
      <c r="AF112" s="493"/>
      <c r="AG112" s="493"/>
      <c r="AH112" s="493"/>
      <c r="AI112" s="493"/>
      <c r="AJ112" s="493"/>
      <c r="AK112" s="493"/>
      <c r="AL112" s="493"/>
      <c r="AM112" s="493"/>
      <c r="AN112" s="493"/>
      <c r="AO112" s="493"/>
      <c r="AP112" s="493"/>
      <c r="AQ112" s="493"/>
      <c r="AR112" s="493"/>
      <c r="AS112" s="493"/>
      <c r="AT112" s="493"/>
      <c r="AU112" s="493"/>
      <c r="AV112" s="493"/>
      <c r="AW112" s="493"/>
      <c r="AX112" s="493"/>
      <c r="AY112" s="493"/>
      <c r="AZ112" s="493"/>
      <c r="BA112" s="493"/>
      <c r="BB112" s="493"/>
      <c r="BC112" s="493"/>
      <c r="BD112" s="493"/>
      <c r="BE112" s="493"/>
      <c r="BF112" s="493"/>
      <c r="BG112" s="493"/>
      <c r="BH112" s="493"/>
      <c r="BI112" s="493"/>
    </row>
    <row r="113" s="424" customFormat="1" spans="1:61">
      <c r="A113" s="490"/>
      <c r="B113" s="491"/>
      <c r="E113" s="427"/>
      <c r="F113" s="492"/>
      <c r="G113" s="493"/>
      <c r="H113" s="492"/>
      <c r="I113" s="494"/>
      <c r="J113" s="495"/>
      <c r="L113" s="492"/>
      <c r="M113" s="494"/>
      <c r="N113" s="495"/>
      <c r="P113" s="492"/>
      <c r="Q113" s="495"/>
      <c r="S113" s="492"/>
      <c r="T113" s="495"/>
      <c r="U113" s="490"/>
      <c r="V113" s="490"/>
      <c r="W113" s="490"/>
      <c r="X113" s="432"/>
      <c r="Y113" s="493"/>
      <c r="Z113" s="496"/>
      <c r="AA113" s="496"/>
      <c r="AB113" s="496"/>
      <c r="AC113" s="496"/>
      <c r="AD113" s="493"/>
      <c r="AE113" s="493"/>
      <c r="AF113" s="493"/>
      <c r="AG113" s="493"/>
      <c r="AH113" s="493"/>
      <c r="AI113" s="493"/>
      <c r="AJ113" s="493"/>
      <c r="AK113" s="493"/>
      <c r="AL113" s="493"/>
      <c r="AM113" s="493"/>
      <c r="AN113" s="493"/>
      <c r="AO113" s="493"/>
      <c r="AP113" s="493"/>
      <c r="AQ113" s="493"/>
      <c r="AR113" s="493"/>
      <c r="AS113" s="493"/>
      <c r="AT113" s="493"/>
      <c r="AU113" s="493"/>
      <c r="AV113" s="493"/>
      <c r="AW113" s="493"/>
      <c r="AX113" s="493"/>
      <c r="AY113" s="493"/>
      <c r="AZ113" s="493"/>
      <c r="BA113" s="493"/>
      <c r="BB113" s="493"/>
      <c r="BC113" s="493"/>
      <c r="BD113" s="493"/>
      <c r="BE113" s="493"/>
      <c r="BF113" s="493"/>
      <c r="BG113" s="493"/>
      <c r="BH113" s="493"/>
      <c r="BI113" s="493"/>
    </row>
    <row r="114" s="424" customFormat="1" spans="1:61">
      <c r="A114" s="490"/>
      <c r="B114" s="491"/>
      <c r="E114" s="427"/>
      <c r="F114" s="492"/>
      <c r="G114" s="493"/>
      <c r="H114" s="492"/>
      <c r="I114" s="494"/>
      <c r="J114" s="495"/>
      <c r="L114" s="492"/>
      <c r="M114" s="494"/>
      <c r="N114" s="495"/>
      <c r="P114" s="492"/>
      <c r="Q114" s="495"/>
      <c r="S114" s="492"/>
      <c r="T114" s="495"/>
      <c r="U114" s="490"/>
      <c r="V114" s="490"/>
      <c r="W114" s="490"/>
      <c r="X114" s="432"/>
      <c r="Y114" s="493"/>
      <c r="Z114" s="496"/>
      <c r="AA114" s="496"/>
      <c r="AB114" s="496"/>
      <c r="AC114" s="496"/>
      <c r="AD114" s="493"/>
      <c r="AE114" s="493"/>
      <c r="AF114" s="493"/>
      <c r="AG114" s="493"/>
      <c r="AH114" s="493"/>
      <c r="AI114" s="493"/>
      <c r="AJ114" s="493"/>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row>
    <row r="115" s="424" customFormat="1" spans="1:61">
      <c r="A115" s="490"/>
      <c r="B115" s="491"/>
      <c r="E115" s="427"/>
      <c r="F115" s="492"/>
      <c r="G115" s="493"/>
      <c r="H115" s="492"/>
      <c r="I115" s="494"/>
      <c r="J115" s="495"/>
      <c r="L115" s="492"/>
      <c r="M115" s="494"/>
      <c r="N115" s="495"/>
      <c r="P115" s="492"/>
      <c r="Q115" s="495"/>
      <c r="S115" s="492"/>
      <c r="T115" s="495"/>
      <c r="U115" s="490"/>
      <c r="V115" s="490"/>
      <c r="W115" s="490"/>
      <c r="X115" s="432"/>
      <c r="Y115" s="493"/>
      <c r="Z115" s="496"/>
      <c r="AA115" s="496"/>
      <c r="AB115" s="496"/>
      <c r="AC115" s="496"/>
      <c r="AD115" s="493"/>
      <c r="AE115" s="493"/>
      <c r="AF115" s="493"/>
      <c r="AG115" s="493"/>
      <c r="AH115" s="493"/>
      <c r="AI115" s="493"/>
      <c r="AJ115" s="493"/>
      <c r="AK115" s="493"/>
      <c r="AL115" s="493"/>
      <c r="AM115" s="493"/>
      <c r="AN115" s="493"/>
      <c r="AO115" s="493"/>
      <c r="AP115" s="493"/>
      <c r="AQ115" s="493"/>
      <c r="AR115" s="493"/>
      <c r="AS115" s="493"/>
      <c r="AT115" s="493"/>
      <c r="AU115" s="493"/>
      <c r="AV115" s="493"/>
      <c r="AW115" s="493"/>
      <c r="AX115" s="493"/>
      <c r="AY115" s="493"/>
      <c r="AZ115" s="493"/>
      <c r="BA115" s="493"/>
      <c r="BB115" s="493"/>
      <c r="BC115" s="493"/>
      <c r="BD115" s="493"/>
      <c r="BE115" s="493"/>
      <c r="BF115" s="493"/>
      <c r="BG115" s="493"/>
      <c r="BH115" s="493"/>
      <c r="BI115" s="493"/>
    </row>
    <row r="116" s="424" customFormat="1" spans="1:61">
      <c r="A116" s="490"/>
      <c r="B116" s="491"/>
      <c r="E116" s="427"/>
      <c r="F116" s="492"/>
      <c r="G116" s="493"/>
      <c r="H116" s="492"/>
      <c r="I116" s="494"/>
      <c r="J116" s="495"/>
      <c r="L116" s="492"/>
      <c r="M116" s="494"/>
      <c r="N116" s="495"/>
      <c r="P116" s="492"/>
      <c r="Q116" s="495"/>
      <c r="S116" s="492"/>
      <c r="T116" s="495"/>
      <c r="U116" s="490"/>
      <c r="V116" s="490"/>
      <c r="W116" s="490"/>
      <c r="X116" s="432"/>
      <c r="Y116" s="493"/>
      <c r="Z116" s="496"/>
      <c r="AA116" s="496"/>
      <c r="AB116" s="496"/>
      <c r="AC116" s="496"/>
      <c r="AD116" s="493"/>
      <c r="AE116" s="493"/>
      <c r="AF116" s="493"/>
      <c r="AG116" s="493"/>
      <c r="AH116" s="493"/>
      <c r="AI116" s="493"/>
      <c r="AJ116" s="493"/>
      <c r="AK116" s="493"/>
      <c r="AL116" s="493"/>
      <c r="AM116" s="493"/>
      <c r="AN116" s="493"/>
      <c r="AO116" s="493"/>
      <c r="AP116" s="493"/>
      <c r="AQ116" s="493"/>
      <c r="AR116" s="493"/>
      <c r="AS116" s="493"/>
      <c r="AT116" s="493"/>
      <c r="AU116" s="493"/>
      <c r="AV116" s="493"/>
      <c r="AW116" s="493"/>
      <c r="AX116" s="493"/>
      <c r="AY116" s="493"/>
      <c r="AZ116" s="493"/>
      <c r="BA116" s="493"/>
      <c r="BB116" s="493"/>
      <c r="BC116" s="493"/>
      <c r="BD116" s="493"/>
      <c r="BE116" s="493"/>
      <c r="BF116" s="493"/>
      <c r="BG116" s="493"/>
      <c r="BH116" s="493"/>
      <c r="BI116" s="493"/>
    </row>
    <row r="117" s="424" customFormat="1" spans="1:61">
      <c r="A117" s="490"/>
      <c r="B117" s="491"/>
      <c r="E117" s="427"/>
      <c r="F117" s="492"/>
      <c r="G117" s="493"/>
      <c r="H117" s="492"/>
      <c r="I117" s="494"/>
      <c r="J117" s="495"/>
      <c r="L117" s="492"/>
      <c r="M117" s="494"/>
      <c r="N117" s="495"/>
      <c r="P117" s="492"/>
      <c r="Q117" s="495"/>
      <c r="S117" s="492"/>
      <c r="T117" s="495"/>
      <c r="U117" s="490"/>
      <c r="V117" s="490"/>
      <c r="W117" s="490"/>
      <c r="X117" s="432"/>
      <c r="Y117" s="493"/>
      <c r="Z117" s="496"/>
      <c r="AA117" s="496"/>
      <c r="AB117" s="496"/>
      <c r="AC117" s="496"/>
      <c r="AD117" s="493"/>
      <c r="AE117" s="493"/>
      <c r="AF117" s="493"/>
      <c r="AG117" s="493"/>
      <c r="AH117" s="493"/>
      <c r="AI117" s="493"/>
      <c r="AJ117" s="493"/>
      <c r="AK117" s="493"/>
      <c r="AL117" s="493"/>
      <c r="AM117" s="493"/>
      <c r="AN117" s="493"/>
      <c r="AO117" s="493"/>
      <c r="AP117" s="493"/>
      <c r="AQ117" s="493"/>
      <c r="AR117" s="493"/>
      <c r="AS117" s="493"/>
      <c r="AT117" s="493"/>
      <c r="AU117" s="493"/>
      <c r="AV117" s="493"/>
      <c r="AW117" s="493"/>
      <c r="AX117" s="493"/>
      <c r="AY117" s="493"/>
      <c r="AZ117" s="493"/>
      <c r="BA117" s="493"/>
      <c r="BB117" s="493"/>
      <c r="BC117" s="493"/>
      <c r="BD117" s="493"/>
      <c r="BE117" s="493"/>
      <c r="BF117" s="493"/>
      <c r="BG117" s="493"/>
      <c r="BH117" s="493"/>
      <c r="BI117" s="493"/>
    </row>
    <row r="118" s="424" customFormat="1" spans="1:61">
      <c r="A118" s="490"/>
      <c r="B118" s="491"/>
      <c r="E118" s="427"/>
      <c r="F118" s="492"/>
      <c r="G118" s="493"/>
      <c r="H118" s="492"/>
      <c r="I118" s="494"/>
      <c r="J118" s="495"/>
      <c r="L118" s="492"/>
      <c r="M118" s="494"/>
      <c r="N118" s="495"/>
      <c r="P118" s="492"/>
      <c r="Q118" s="495"/>
      <c r="S118" s="492"/>
      <c r="T118" s="495"/>
      <c r="U118" s="490"/>
      <c r="V118" s="490"/>
      <c r="W118" s="490"/>
      <c r="X118" s="432"/>
      <c r="Y118" s="493"/>
      <c r="Z118" s="496"/>
      <c r="AA118" s="496"/>
      <c r="AB118" s="496"/>
      <c r="AC118" s="496"/>
      <c r="AD118" s="493"/>
      <c r="AE118" s="493"/>
      <c r="AF118" s="493"/>
      <c r="AG118" s="493"/>
      <c r="AH118" s="493"/>
      <c r="AI118" s="493"/>
      <c r="AJ118" s="493"/>
      <c r="AK118" s="493"/>
      <c r="AL118" s="493"/>
      <c r="AM118" s="493"/>
      <c r="AN118" s="493"/>
      <c r="AO118" s="493"/>
      <c r="AP118" s="493"/>
      <c r="AQ118" s="493"/>
      <c r="AR118" s="493"/>
      <c r="AS118" s="493"/>
      <c r="AT118" s="493"/>
      <c r="AU118" s="493"/>
      <c r="AV118" s="493"/>
      <c r="AW118" s="493"/>
      <c r="AX118" s="493"/>
      <c r="AY118" s="493"/>
      <c r="AZ118" s="493"/>
      <c r="BA118" s="493"/>
      <c r="BB118" s="493"/>
      <c r="BC118" s="493"/>
      <c r="BD118" s="493"/>
      <c r="BE118" s="493"/>
      <c r="BF118" s="493"/>
      <c r="BG118" s="493"/>
      <c r="BH118" s="493"/>
      <c r="BI118" s="493"/>
    </row>
    <row r="119" s="424" customFormat="1" spans="1:61">
      <c r="A119" s="490"/>
      <c r="B119" s="491"/>
      <c r="E119" s="427"/>
      <c r="F119" s="492"/>
      <c r="G119" s="493"/>
      <c r="H119" s="492"/>
      <c r="I119" s="494"/>
      <c r="J119" s="495"/>
      <c r="L119" s="492"/>
      <c r="M119" s="494"/>
      <c r="N119" s="495"/>
      <c r="P119" s="492"/>
      <c r="Q119" s="495"/>
      <c r="S119" s="492"/>
      <c r="T119" s="495"/>
      <c r="U119" s="490"/>
      <c r="V119" s="490"/>
      <c r="W119" s="490"/>
      <c r="X119" s="432"/>
      <c r="Y119" s="493"/>
      <c r="Z119" s="496"/>
      <c r="AA119" s="496"/>
      <c r="AB119" s="496"/>
      <c r="AC119" s="496"/>
      <c r="AD119" s="493"/>
      <c r="AE119" s="493"/>
      <c r="AF119" s="493"/>
      <c r="AG119" s="493"/>
      <c r="AH119" s="493"/>
      <c r="AI119" s="493"/>
      <c r="AJ119" s="493"/>
      <c r="AK119" s="493"/>
      <c r="AL119" s="493"/>
      <c r="AM119" s="493"/>
      <c r="AN119" s="493"/>
      <c r="AO119" s="493"/>
      <c r="AP119" s="493"/>
      <c r="AQ119" s="493"/>
      <c r="AR119" s="493"/>
      <c r="AS119" s="493"/>
      <c r="AT119" s="493"/>
      <c r="AU119" s="493"/>
      <c r="AV119" s="493"/>
      <c r="AW119" s="493"/>
      <c r="AX119" s="493"/>
      <c r="AY119" s="493"/>
      <c r="AZ119" s="493"/>
      <c r="BA119" s="493"/>
      <c r="BB119" s="493"/>
      <c r="BC119" s="493"/>
      <c r="BD119" s="493"/>
      <c r="BE119" s="493"/>
      <c r="BF119" s="493"/>
      <c r="BG119" s="493"/>
      <c r="BH119" s="493"/>
      <c r="BI119" s="493"/>
    </row>
    <row r="120" s="424" customFormat="1" spans="1:61">
      <c r="A120" s="490"/>
      <c r="B120" s="491"/>
      <c r="E120" s="427"/>
      <c r="F120" s="492"/>
      <c r="G120" s="493"/>
      <c r="H120" s="492"/>
      <c r="I120" s="494"/>
      <c r="J120" s="495"/>
      <c r="L120" s="492"/>
      <c r="M120" s="494"/>
      <c r="N120" s="495"/>
      <c r="P120" s="492"/>
      <c r="Q120" s="495"/>
      <c r="S120" s="492"/>
      <c r="T120" s="495"/>
      <c r="U120" s="490"/>
      <c r="V120" s="490"/>
      <c r="W120" s="490"/>
      <c r="X120" s="432"/>
      <c r="Y120" s="493"/>
      <c r="Z120" s="496"/>
      <c r="AA120" s="496"/>
      <c r="AB120" s="496"/>
      <c r="AC120" s="496"/>
      <c r="AD120" s="493"/>
      <c r="AE120" s="493"/>
      <c r="AF120" s="493"/>
      <c r="AG120" s="493"/>
      <c r="AH120" s="493"/>
      <c r="AI120" s="493"/>
      <c r="AJ120" s="493"/>
      <c r="AK120" s="493"/>
      <c r="AL120" s="493"/>
      <c r="AM120" s="493"/>
      <c r="AN120" s="493"/>
      <c r="AO120" s="493"/>
      <c r="AP120" s="493"/>
      <c r="AQ120" s="493"/>
      <c r="AR120" s="493"/>
      <c r="AS120" s="493"/>
      <c r="AT120" s="493"/>
      <c r="AU120" s="493"/>
      <c r="AV120" s="493"/>
      <c r="AW120" s="493"/>
      <c r="AX120" s="493"/>
      <c r="AY120" s="493"/>
      <c r="AZ120" s="493"/>
      <c r="BA120" s="493"/>
      <c r="BB120" s="493"/>
      <c r="BC120" s="493"/>
      <c r="BD120" s="493"/>
      <c r="BE120" s="493"/>
      <c r="BF120" s="493"/>
      <c r="BG120" s="493"/>
      <c r="BH120" s="493"/>
      <c r="BI120" s="493"/>
    </row>
    <row r="121" s="424" customFormat="1" spans="1:61">
      <c r="A121" s="490"/>
      <c r="B121" s="491"/>
      <c r="E121" s="427"/>
      <c r="F121" s="492"/>
      <c r="G121" s="493"/>
      <c r="H121" s="492"/>
      <c r="I121" s="494"/>
      <c r="J121" s="495"/>
      <c r="L121" s="492"/>
      <c r="M121" s="494"/>
      <c r="N121" s="495"/>
      <c r="P121" s="492"/>
      <c r="Q121" s="495"/>
      <c r="S121" s="492"/>
      <c r="T121" s="495"/>
      <c r="U121" s="490"/>
      <c r="V121" s="490"/>
      <c r="W121" s="490"/>
      <c r="X121" s="432"/>
      <c r="Y121" s="493"/>
      <c r="Z121" s="496"/>
      <c r="AA121" s="496"/>
      <c r="AB121" s="496"/>
      <c r="AC121" s="496"/>
      <c r="AD121" s="493"/>
      <c r="AE121" s="493"/>
      <c r="AF121" s="493"/>
      <c r="AG121" s="493"/>
      <c r="AH121" s="493"/>
      <c r="AI121" s="493"/>
      <c r="AJ121" s="493"/>
      <c r="AK121" s="493"/>
      <c r="AL121" s="493"/>
      <c r="AM121" s="493"/>
      <c r="AN121" s="493"/>
      <c r="AO121" s="493"/>
      <c r="AP121" s="493"/>
      <c r="AQ121" s="493"/>
      <c r="AR121" s="493"/>
      <c r="AS121" s="493"/>
      <c r="AT121" s="493"/>
      <c r="AU121" s="493"/>
      <c r="AV121" s="493"/>
      <c r="AW121" s="493"/>
      <c r="AX121" s="493"/>
      <c r="AY121" s="493"/>
      <c r="AZ121" s="493"/>
      <c r="BA121" s="493"/>
      <c r="BB121" s="493"/>
      <c r="BC121" s="493"/>
      <c r="BD121" s="493"/>
      <c r="BE121" s="493"/>
      <c r="BF121" s="493"/>
      <c r="BG121" s="493"/>
      <c r="BH121" s="493"/>
      <c r="BI121" s="493"/>
    </row>
    <row r="122" s="424" customFormat="1" spans="1:61">
      <c r="A122" s="490"/>
      <c r="B122" s="491"/>
      <c r="E122" s="427"/>
      <c r="F122" s="492"/>
      <c r="G122" s="493"/>
      <c r="H122" s="492"/>
      <c r="I122" s="494"/>
      <c r="J122" s="495"/>
      <c r="L122" s="492"/>
      <c r="M122" s="494"/>
      <c r="N122" s="495"/>
      <c r="P122" s="492"/>
      <c r="Q122" s="495"/>
      <c r="S122" s="492"/>
      <c r="T122" s="495"/>
      <c r="U122" s="490"/>
      <c r="V122" s="490"/>
      <c r="W122" s="490"/>
      <c r="X122" s="432"/>
      <c r="Y122" s="493"/>
      <c r="Z122" s="496"/>
      <c r="AA122" s="496"/>
      <c r="AB122" s="496"/>
      <c r="AC122" s="496"/>
      <c r="AD122" s="493"/>
      <c r="AE122" s="493"/>
      <c r="AF122" s="493"/>
      <c r="AG122" s="493"/>
      <c r="AH122" s="493"/>
      <c r="AI122" s="493"/>
      <c r="AJ122" s="493"/>
      <c r="AK122" s="493"/>
      <c r="AL122" s="493"/>
      <c r="AM122" s="493"/>
      <c r="AN122" s="493"/>
      <c r="AO122" s="493"/>
      <c r="AP122" s="493"/>
      <c r="AQ122" s="493"/>
      <c r="AR122" s="493"/>
      <c r="AS122" s="493"/>
      <c r="AT122" s="493"/>
      <c r="AU122" s="493"/>
      <c r="AV122" s="493"/>
      <c r="AW122" s="493"/>
      <c r="AX122" s="493"/>
      <c r="AY122" s="493"/>
      <c r="AZ122" s="493"/>
      <c r="BA122" s="493"/>
      <c r="BB122" s="493"/>
      <c r="BC122" s="493"/>
      <c r="BD122" s="493"/>
      <c r="BE122" s="493"/>
      <c r="BF122" s="493"/>
      <c r="BG122" s="493"/>
      <c r="BH122" s="493"/>
      <c r="BI122" s="493"/>
    </row>
    <row r="123" s="424" customFormat="1" spans="1:61">
      <c r="A123" s="490"/>
      <c r="B123" s="491"/>
      <c r="E123" s="427"/>
      <c r="F123" s="492"/>
      <c r="G123" s="493"/>
      <c r="H123" s="492"/>
      <c r="I123" s="494"/>
      <c r="J123" s="495"/>
      <c r="L123" s="492"/>
      <c r="M123" s="494"/>
      <c r="N123" s="495"/>
      <c r="P123" s="492"/>
      <c r="Q123" s="495"/>
      <c r="S123" s="492"/>
      <c r="T123" s="495"/>
      <c r="U123" s="490"/>
      <c r="V123" s="490"/>
      <c r="W123" s="490"/>
      <c r="X123" s="432"/>
      <c r="Y123" s="493"/>
      <c r="Z123" s="496"/>
      <c r="AA123" s="496"/>
      <c r="AB123" s="496"/>
      <c r="AC123" s="496"/>
      <c r="AD123" s="493"/>
      <c r="AE123" s="493"/>
      <c r="AF123" s="493"/>
      <c r="AG123" s="493"/>
      <c r="AH123" s="493"/>
      <c r="AI123" s="493"/>
      <c r="AJ123" s="493"/>
      <c r="AK123" s="493"/>
      <c r="AL123" s="493"/>
      <c r="AM123" s="493"/>
      <c r="AN123" s="493"/>
      <c r="AO123" s="493"/>
      <c r="AP123" s="493"/>
      <c r="AQ123" s="493"/>
      <c r="AR123" s="493"/>
      <c r="AS123" s="493"/>
      <c r="AT123" s="493"/>
      <c r="AU123" s="493"/>
      <c r="AV123" s="493"/>
      <c r="AW123" s="493"/>
      <c r="AX123" s="493"/>
      <c r="AY123" s="493"/>
      <c r="AZ123" s="493"/>
      <c r="BA123" s="493"/>
      <c r="BB123" s="493"/>
      <c r="BC123" s="493"/>
      <c r="BD123" s="493"/>
      <c r="BE123" s="493"/>
      <c r="BF123" s="493"/>
      <c r="BG123" s="493"/>
      <c r="BH123" s="493"/>
      <c r="BI123" s="493"/>
    </row>
    <row r="124" s="424" customFormat="1" spans="1:61">
      <c r="A124" s="490"/>
      <c r="B124" s="491"/>
      <c r="E124" s="427"/>
      <c r="F124" s="492"/>
      <c r="G124" s="493"/>
      <c r="H124" s="492"/>
      <c r="I124" s="494"/>
      <c r="J124" s="495"/>
      <c r="L124" s="492"/>
      <c r="M124" s="494"/>
      <c r="N124" s="495"/>
      <c r="P124" s="492"/>
      <c r="Q124" s="495"/>
      <c r="S124" s="492"/>
      <c r="T124" s="495"/>
      <c r="U124" s="490"/>
      <c r="V124" s="490"/>
      <c r="W124" s="490"/>
      <c r="X124" s="432"/>
      <c r="Y124" s="493"/>
      <c r="Z124" s="496"/>
      <c r="AA124" s="496"/>
      <c r="AB124" s="496"/>
      <c r="AC124" s="496"/>
      <c r="AD124" s="493"/>
      <c r="AE124" s="493"/>
      <c r="AF124" s="493"/>
      <c r="AG124" s="493"/>
      <c r="AH124" s="493"/>
      <c r="AI124" s="493"/>
      <c r="AJ124" s="493"/>
      <c r="AK124" s="493"/>
      <c r="AL124" s="493"/>
      <c r="AM124" s="493"/>
      <c r="AN124" s="493"/>
      <c r="AO124" s="493"/>
      <c r="AP124" s="493"/>
      <c r="AQ124" s="493"/>
      <c r="AR124" s="493"/>
      <c r="AS124" s="493"/>
      <c r="AT124" s="493"/>
      <c r="AU124" s="493"/>
      <c r="AV124" s="493"/>
      <c r="AW124" s="493"/>
      <c r="AX124" s="493"/>
      <c r="AY124" s="493"/>
      <c r="AZ124" s="493"/>
      <c r="BA124" s="493"/>
      <c r="BB124" s="493"/>
      <c r="BC124" s="493"/>
      <c r="BD124" s="493"/>
      <c r="BE124" s="493"/>
      <c r="BF124" s="493"/>
      <c r="BG124" s="493"/>
      <c r="BH124" s="493"/>
      <c r="BI124" s="493"/>
    </row>
    <row r="125" s="424" customFormat="1" spans="1:61">
      <c r="A125" s="490"/>
      <c r="B125" s="491"/>
      <c r="E125" s="427"/>
      <c r="F125" s="492"/>
      <c r="G125" s="493"/>
      <c r="H125" s="492"/>
      <c r="I125" s="494"/>
      <c r="J125" s="495"/>
      <c r="L125" s="492"/>
      <c r="M125" s="494"/>
      <c r="N125" s="495"/>
      <c r="P125" s="492"/>
      <c r="Q125" s="495"/>
      <c r="S125" s="492"/>
      <c r="T125" s="495"/>
      <c r="U125" s="490"/>
      <c r="V125" s="490"/>
      <c r="W125" s="490"/>
      <c r="X125" s="432"/>
      <c r="Y125" s="493"/>
      <c r="Z125" s="496"/>
      <c r="AA125" s="496"/>
      <c r="AB125" s="496"/>
      <c r="AC125" s="496"/>
      <c r="AD125" s="493"/>
      <c r="AE125" s="493"/>
      <c r="AF125" s="493"/>
      <c r="AG125" s="493"/>
      <c r="AH125" s="493"/>
      <c r="AI125" s="493"/>
      <c r="AJ125" s="493"/>
      <c r="AK125" s="493"/>
      <c r="AL125" s="493"/>
      <c r="AM125" s="493"/>
      <c r="AN125" s="493"/>
      <c r="AO125" s="493"/>
      <c r="AP125" s="493"/>
      <c r="AQ125" s="493"/>
      <c r="AR125" s="493"/>
      <c r="AS125" s="493"/>
      <c r="AT125" s="493"/>
      <c r="AU125" s="493"/>
      <c r="AV125" s="493"/>
      <c r="AW125" s="493"/>
      <c r="AX125" s="493"/>
      <c r="AY125" s="493"/>
      <c r="AZ125" s="493"/>
      <c r="BA125" s="493"/>
      <c r="BB125" s="493"/>
      <c r="BC125" s="493"/>
      <c r="BD125" s="493"/>
      <c r="BE125" s="493"/>
      <c r="BF125" s="493"/>
      <c r="BG125" s="493"/>
      <c r="BH125" s="493"/>
      <c r="BI125" s="493"/>
    </row>
    <row r="126" s="424" customFormat="1" spans="1:61">
      <c r="A126" s="490"/>
      <c r="B126" s="491"/>
      <c r="E126" s="427"/>
      <c r="F126" s="492"/>
      <c r="G126" s="493"/>
      <c r="H126" s="492"/>
      <c r="I126" s="494"/>
      <c r="J126" s="495"/>
      <c r="L126" s="492"/>
      <c r="M126" s="494"/>
      <c r="N126" s="495"/>
      <c r="P126" s="492"/>
      <c r="Q126" s="495"/>
      <c r="S126" s="492"/>
      <c r="T126" s="495"/>
      <c r="U126" s="490"/>
      <c r="V126" s="490"/>
      <c r="W126" s="490"/>
      <c r="X126" s="432"/>
      <c r="Y126" s="493"/>
      <c r="Z126" s="496"/>
      <c r="AA126" s="496"/>
      <c r="AB126" s="496"/>
      <c r="AC126" s="496"/>
      <c r="AD126" s="493"/>
      <c r="AE126" s="493"/>
      <c r="AF126" s="493"/>
      <c r="AG126" s="493"/>
      <c r="AH126" s="493"/>
      <c r="AI126" s="493"/>
      <c r="AJ126" s="493"/>
      <c r="AK126" s="493"/>
      <c r="AL126" s="493"/>
      <c r="AM126" s="493"/>
      <c r="AN126" s="493"/>
      <c r="AO126" s="493"/>
      <c r="AP126" s="493"/>
      <c r="AQ126" s="493"/>
      <c r="AR126" s="493"/>
      <c r="AS126" s="493"/>
      <c r="AT126" s="493"/>
      <c r="AU126" s="493"/>
      <c r="AV126" s="493"/>
      <c r="AW126" s="493"/>
      <c r="AX126" s="493"/>
      <c r="AY126" s="493"/>
      <c r="AZ126" s="493"/>
      <c r="BA126" s="493"/>
      <c r="BB126" s="493"/>
      <c r="BC126" s="493"/>
      <c r="BD126" s="493"/>
      <c r="BE126" s="493"/>
      <c r="BF126" s="493"/>
      <c r="BG126" s="493"/>
      <c r="BH126" s="493"/>
      <c r="BI126" s="493"/>
    </row>
    <row r="127" s="424" customFormat="1" spans="1:61">
      <c r="A127" s="490"/>
      <c r="B127" s="491"/>
      <c r="E127" s="427"/>
      <c r="F127" s="492"/>
      <c r="G127" s="493"/>
      <c r="H127" s="492"/>
      <c r="I127" s="494"/>
      <c r="J127" s="495"/>
      <c r="L127" s="492"/>
      <c r="M127" s="494"/>
      <c r="N127" s="495"/>
      <c r="P127" s="492"/>
      <c r="Q127" s="495"/>
      <c r="S127" s="492"/>
      <c r="T127" s="495"/>
      <c r="U127" s="490"/>
      <c r="V127" s="490"/>
      <c r="W127" s="490"/>
      <c r="X127" s="432"/>
      <c r="Y127" s="493"/>
      <c r="Z127" s="496"/>
      <c r="AA127" s="496"/>
      <c r="AB127" s="496"/>
      <c r="AC127" s="496"/>
      <c r="AD127" s="493"/>
      <c r="AE127" s="493"/>
      <c r="AF127" s="493"/>
      <c r="AG127" s="493"/>
      <c r="AH127" s="493"/>
      <c r="AI127" s="493"/>
      <c r="AJ127" s="493"/>
      <c r="AK127" s="493"/>
      <c r="AL127" s="493"/>
      <c r="AM127" s="493"/>
      <c r="AN127" s="493"/>
      <c r="AO127" s="493"/>
      <c r="AP127" s="493"/>
      <c r="AQ127" s="493"/>
      <c r="AR127" s="493"/>
      <c r="AS127" s="493"/>
      <c r="AT127" s="493"/>
      <c r="AU127" s="493"/>
      <c r="AV127" s="493"/>
      <c r="AW127" s="493"/>
      <c r="AX127" s="493"/>
      <c r="AY127" s="493"/>
      <c r="AZ127" s="493"/>
      <c r="BA127" s="493"/>
      <c r="BB127" s="493"/>
      <c r="BC127" s="493"/>
      <c r="BD127" s="493"/>
      <c r="BE127" s="493"/>
      <c r="BF127" s="493"/>
      <c r="BG127" s="493"/>
      <c r="BH127" s="493"/>
      <c r="BI127" s="493"/>
    </row>
    <row r="128" s="424" customFormat="1" spans="1:61">
      <c r="A128" s="490"/>
      <c r="B128" s="491"/>
      <c r="E128" s="427"/>
      <c r="F128" s="492"/>
      <c r="G128" s="493"/>
      <c r="H128" s="492"/>
      <c r="I128" s="494"/>
      <c r="J128" s="495"/>
      <c r="L128" s="492"/>
      <c r="M128" s="494"/>
      <c r="N128" s="495"/>
      <c r="P128" s="492"/>
      <c r="Q128" s="495"/>
      <c r="S128" s="492"/>
      <c r="T128" s="495"/>
      <c r="U128" s="490"/>
      <c r="V128" s="490"/>
      <c r="W128" s="490"/>
      <c r="X128" s="432"/>
      <c r="Y128" s="493"/>
      <c r="Z128" s="496"/>
      <c r="AA128" s="496"/>
      <c r="AB128" s="496"/>
      <c r="AC128" s="496"/>
      <c r="AD128" s="493"/>
      <c r="AE128" s="493"/>
      <c r="AF128" s="493"/>
      <c r="AG128" s="493"/>
      <c r="AH128" s="493"/>
      <c r="AI128" s="493"/>
      <c r="AJ128" s="493"/>
      <c r="AK128" s="493"/>
      <c r="AL128" s="493"/>
      <c r="AM128" s="493"/>
      <c r="AN128" s="493"/>
      <c r="AO128" s="493"/>
      <c r="AP128" s="493"/>
      <c r="AQ128" s="493"/>
      <c r="AR128" s="493"/>
      <c r="AS128" s="493"/>
      <c r="AT128" s="493"/>
      <c r="AU128" s="493"/>
      <c r="AV128" s="493"/>
      <c r="AW128" s="493"/>
      <c r="AX128" s="493"/>
      <c r="AY128" s="493"/>
      <c r="AZ128" s="493"/>
      <c r="BA128" s="493"/>
      <c r="BB128" s="493"/>
      <c r="BC128" s="493"/>
      <c r="BD128" s="493"/>
      <c r="BE128" s="493"/>
      <c r="BF128" s="493"/>
      <c r="BG128" s="493"/>
      <c r="BH128" s="493"/>
      <c r="BI128" s="493"/>
    </row>
    <row r="129" s="424" customFormat="1" spans="1:61">
      <c r="A129" s="490"/>
      <c r="B129" s="491"/>
      <c r="E129" s="427"/>
      <c r="F129" s="492"/>
      <c r="G129" s="493"/>
      <c r="H129" s="492"/>
      <c r="I129" s="494"/>
      <c r="J129" s="495"/>
      <c r="L129" s="492"/>
      <c r="M129" s="494"/>
      <c r="N129" s="495"/>
      <c r="P129" s="492"/>
      <c r="Q129" s="495"/>
      <c r="S129" s="492"/>
      <c r="T129" s="495"/>
      <c r="U129" s="490"/>
      <c r="V129" s="490"/>
      <c r="W129" s="490"/>
      <c r="X129" s="432"/>
      <c r="Y129" s="493"/>
      <c r="Z129" s="496"/>
      <c r="AA129" s="496"/>
      <c r="AB129" s="496"/>
      <c r="AC129" s="496"/>
      <c r="AD129" s="493"/>
      <c r="AE129" s="493"/>
      <c r="AF129" s="493"/>
      <c r="AG129" s="493"/>
      <c r="AH129" s="493"/>
      <c r="AI129" s="493"/>
      <c r="AJ129" s="493"/>
      <c r="AK129" s="493"/>
      <c r="AL129" s="493"/>
      <c r="AM129" s="493"/>
      <c r="AN129" s="493"/>
      <c r="AO129" s="493"/>
      <c r="AP129" s="493"/>
      <c r="AQ129" s="493"/>
      <c r="AR129" s="493"/>
      <c r="AS129" s="493"/>
      <c r="AT129" s="493"/>
      <c r="AU129" s="493"/>
      <c r="AV129" s="493"/>
      <c r="AW129" s="493"/>
      <c r="AX129" s="493"/>
      <c r="AY129" s="493"/>
      <c r="AZ129" s="493"/>
      <c r="BA129" s="493"/>
      <c r="BB129" s="493"/>
      <c r="BC129" s="493"/>
      <c r="BD129" s="493"/>
      <c r="BE129" s="493"/>
      <c r="BF129" s="493"/>
      <c r="BG129" s="493"/>
      <c r="BH129" s="493"/>
      <c r="BI129" s="493"/>
    </row>
    <row r="130" s="424" customFormat="1" spans="1:61">
      <c r="A130" s="490"/>
      <c r="B130" s="491"/>
      <c r="E130" s="427"/>
      <c r="F130" s="492"/>
      <c r="G130" s="493"/>
      <c r="H130" s="492"/>
      <c r="I130" s="494"/>
      <c r="J130" s="495"/>
      <c r="L130" s="492"/>
      <c r="M130" s="494"/>
      <c r="N130" s="495"/>
      <c r="P130" s="492"/>
      <c r="Q130" s="495"/>
      <c r="S130" s="492"/>
      <c r="T130" s="495"/>
      <c r="U130" s="490"/>
      <c r="V130" s="490"/>
      <c r="W130" s="490"/>
      <c r="X130" s="432"/>
      <c r="Y130" s="493"/>
      <c r="Z130" s="496"/>
      <c r="AA130" s="496"/>
      <c r="AB130" s="496"/>
      <c r="AC130" s="496"/>
      <c r="AD130" s="493"/>
      <c r="AE130" s="493"/>
      <c r="AF130" s="493"/>
      <c r="AG130" s="493"/>
      <c r="AH130" s="493"/>
      <c r="AI130" s="493"/>
      <c r="AJ130" s="493"/>
      <c r="AK130" s="493"/>
      <c r="AL130" s="493"/>
      <c r="AM130" s="493"/>
      <c r="AN130" s="493"/>
      <c r="AO130" s="493"/>
      <c r="AP130" s="493"/>
      <c r="AQ130" s="493"/>
      <c r="AR130" s="493"/>
      <c r="AS130" s="493"/>
      <c r="AT130" s="493"/>
      <c r="AU130" s="493"/>
      <c r="AV130" s="493"/>
      <c r="AW130" s="493"/>
      <c r="AX130" s="493"/>
      <c r="AY130" s="493"/>
      <c r="AZ130" s="493"/>
      <c r="BA130" s="493"/>
      <c r="BB130" s="493"/>
      <c r="BC130" s="493"/>
      <c r="BD130" s="493"/>
      <c r="BE130" s="493"/>
      <c r="BF130" s="493"/>
      <c r="BG130" s="493"/>
      <c r="BH130" s="493"/>
      <c r="BI130" s="493"/>
    </row>
    <row r="131" s="424" customFormat="1" spans="1:61">
      <c r="A131" s="490"/>
      <c r="B131" s="491"/>
      <c r="E131" s="427"/>
      <c r="F131" s="492"/>
      <c r="G131" s="493"/>
      <c r="H131" s="492"/>
      <c r="I131" s="494"/>
      <c r="J131" s="495"/>
      <c r="L131" s="492"/>
      <c r="M131" s="494"/>
      <c r="N131" s="495"/>
      <c r="P131" s="492"/>
      <c r="Q131" s="495"/>
      <c r="S131" s="492"/>
      <c r="T131" s="495"/>
      <c r="U131" s="490"/>
      <c r="V131" s="490"/>
      <c r="W131" s="490"/>
      <c r="X131" s="432"/>
      <c r="Y131" s="493"/>
      <c r="Z131" s="496"/>
      <c r="AA131" s="496"/>
      <c r="AB131" s="496"/>
      <c r="AC131" s="496"/>
      <c r="AD131" s="493"/>
      <c r="AE131" s="493"/>
      <c r="AF131" s="493"/>
      <c r="AG131" s="493"/>
      <c r="AH131" s="493"/>
      <c r="AI131" s="493"/>
      <c r="AJ131" s="493"/>
      <c r="AK131" s="493"/>
      <c r="AL131" s="493"/>
      <c r="AM131" s="493"/>
      <c r="AN131" s="493"/>
      <c r="AO131" s="493"/>
      <c r="AP131" s="493"/>
      <c r="AQ131" s="493"/>
      <c r="AR131" s="493"/>
      <c r="AS131" s="493"/>
      <c r="AT131" s="493"/>
      <c r="AU131" s="493"/>
      <c r="AV131" s="493"/>
      <c r="AW131" s="493"/>
      <c r="AX131" s="493"/>
      <c r="AY131" s="493"/>
      <c r="AZ131" s="493"/>
      <c r="BA131" s="493"/>
      <c r="BB131" s="493"/>
      <c r="BC131" s="493"/>
      <c r="BD131" s="493"/>
      <c r="BE131" s="493"/>
      <c r="BF131" s="493"/>
      <c r="BG131" s="493"/>
      <c r="BH131" s="493"/>
      <c r="BI131" s="493"/>
    </row>
    <row r="132" s="424" customFormat="1" spans="1:61">
      <c r="A132" s="490"/>
      <c r="B132" s="491"/>
      <c r="E132" s="427"/>
      <c r="F132" s="492"/>
      <c r="G132" s="493"/>
      <c r="H132" s="492"/>
      <c r="I132" s="494"/>
      <c r="J132" s="495"/>
      <c r="L132" s="492"/>
      <c r="M132" s="494"/>
      <c r="N132" s="495"/>
      <c r="P132" s="492"/>
      <c r="Q132" s="495"/>
      <c r="S132" s="492"/>
      <c r="T132" s="495"/>
      <c r="U132" s="490"/>
      <c r="V132" s="490"/>
      <c r="W132" s="490"/>
      <c r="X132" s="432"/>
      <c r="Y132" s="493"/>
      <c r="Z132" s="496"/>
      <c r="AA132" s="496"/>
      <c r="AB132" s="496"/>
      <c r="AC132" s="496"/>
      <c r="AD132" s="493"/>
      <c r="AE132" s="493"/>
      <c r="AF132" s="493"/>
      <c r="AG132" s="493"/>
      <c r="AH132" s="493"/>
      <c r="AI132" s="493"/>
      <c r="AJ132" s="493"/>
      <c r="AK132" s="493"/>
      <c r="AL132" s="493"/>
      <c r="AM132" s="493"/>
      <c r="AN132" s="493"/>
      <c r="AO132" s="493"/>
      <c r="AP132" s="493"/>
      <c r="AQ132" s="493"/>
      <c r="AR132" s="493"/>
      <c r="AS132" s="493"/>
      <c r="AT132" s="493"/>
      <c r="AU132" s="493"/>
      <c r="AV132" s="493"/>
      <c r="AW132" s="493"/>
      <c r="AX132" s="493"/>
      <c r="AY132" s="493"/>
      <c r="AZ132" s="493"/>
      <c r="BA132" s="493"/>
      <c r="BB132" s="493"/>
      <c r="BC132" s="493"/>
      <c r="BD132" s="493"/>
      <c r="BE132" s="493"/>
      <c r="BF132" s="493"/>
      <c r="BG132" s="493"/>
      <c r="BH132" s="493"/>
      <c r="BI132" s="493"/>
    </row>
    <row r="133" s="424" customFormat="1" spans="1:61">
      <c r="A133" s="490"/>
      <c r="B133" s="491"/>
      <c r="E133" s="427"/>
      <c r="F133" s="492"/>
      <c r="G133" s="493"/>
      <c r="H133" s="492"/>
      <c r="I133" s="494"/>
      <c r="J133" s="495"/>
      <c r="L133" s="492"/>
      <c r="M133" s="494"/>
      <c r="N133" s="495"/>
      <c r="P133" s="492"/>
      <c r="Q133" s="495"/>
      <c r="S133" s="492"/>
      <c r="T133" s="495"/>
      <c r="U133" s="490"/>
      <c r="V133" s="490"/>
      <c r="W133" s="490"/>
      <c r="X133" s="432"/>
      <c r="Y133" s="493"/>
      <c r="Z133" s="496"/>
      <c r="AA133" s="496"/>
      <c r="AB133" s="496"/>
      <c r="AC133" s="496"/>
      <c r="AD133" s="493"/>
      <c r="AE133" s="493"/>
      <c r="AF133" s="493"/>
      <c r="AG133" s="493"/>
      <c r="AH133" s="493"/>
      <c r="AI133" s="493"/>
      <c r="AJ133" s="493"/>
      <c r="AK133" s="493"/>
      <c r="AL133" s="493"/>
      <c r="AM133" s="493"/>
      <c r="AN133" s="493"/>
      <c r="AO133" s="493"/>
      <c r="AP133" s="493"/>
      <c r="AQ133" s="493"/>
      <c r="AR133" s="493"/>
      <c r="AS133" s="493"/>
      <c r="AT133" s="493"/>
      <c r="AU133" s="493"/>
      <c r="AV133" s="493"/>
      <c r="AW133" s="493"/>
      <c r="AX133" s="493"/>
      <c r="AY133" s="493"/>
      <c r="AZ133" s="493"/>
      <c r="BA133" s="493"/>
      <c r="BB133" s="493"/>
      <c r="BC133" s="493"/>
      <c r="BD133" s="493"/>
      <c r="BE133" s="493"/>
      <c r="BF133" s="493"/>
      <c r="BG133" s="493"/>
      <c r="BH133" s="493"/>
      <c r="BI133" s="493"/>
    </row>
    <row r="134" s="424" customFormat="1" spans="1:61">
      <c r="A134" s="490"/>
      <c r="B134" s="491"/>
      <c r="E134" s="427"/>
      <c r="F134" s="492"/>
      <c r="G134" s="493"/>
      <c r="H134" s="492"/>
      <c r="I134" s="494"/>
      <c r="J134" s="495"/>
      <c r="L134" s="492"/>
      <c r="M134" s="494"/>
      <c r="N134" s="495"/>
      <c r="P134" s="492"/>
      <c r="Q134" s="495"/>
      <c r="S134" s="492"/>
      <c r="T134" s="495"/>
      <c r="U134" s="490"/>
      <c r="V134" s="490"/>
      <c r="W134" s="490"/>
      <c r="X134" s="432"/>
      <c r="Y134" s="493"/>
      <c r="Z134" s="496"/>
      <c r="AA134" s="496"/>
      <c r="AB134" s="496"/>
      <c r="AC134" s="496"/>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row>
    <row r="135" s="424" customFormat="1" spans="1:61">
      <c r="A135" s="490"/>
      <c r="B135" s="491"/>
      <c r="E135" s="427"/>
      <c r="F135" s="492"/>
      <c r="G135" s="493"/>
      <c r="H135" s="492"/>
      <c r="I135" s="494"/>
      <c r="J135" s="495"/>
      <c r="L135" s="492"/>
      <c r="M135" s="494"/>
      <c r="N135" s="495"/>
      <c r="P135" s="492"/>
      <c r="Q135" s="495"/>
      <c r="S135" s="492"/>
      <c r="T135" s="495"/>
      <c r="U135" s="490"/>
      <c r="V135" s="490"/>
      <c r="W135" s="490"/>
      <c r="X135" s="432"/>
      <c r="Y135" s="493"/>
      <c r="Z135" s="496"/>
      <c r="AA135" s="496"/>
      <c r="AB135" s="496"/>
      <c r="AC135" s="496"/>
      <c r="AD135" s="493"/>
      <c r="AE135" s="493"/>
      <c r="AF135" s="493"/>
      <c r="AG135" s="493"/>
      <c r="AH135" s="493"/>
      <c r="AI135" s="493"/>
      <c r="AJ135" s="493"/>
      <c r="AK135" s="493"/>
      <c r="AL135" s="493"/>
      <c r="AM135" s="493"/>
      <c r="AN135" s="493"/>
      <c r="AO135" s="493"/>
      <c r="AP135" s="493"/>
      <c r="AQ135" s="493"/>
      <c r="AR135" s="493"/>
      <c r="AS135" s="493"/>
      <c r="AT135" s="493"/>
      <c r="AU135" s="493"/>
      <c r="AV135" s="493"/>
      <c r="AW135" s="493"/>
      <c r="AX135" s="493"/>
      <c r="AY135" s="493"/>
      <c r="AZ135" s="493"/>
      <c r="BA135" s="493"/>
      <c r="BB135" s="493"/>
      <c r="BC135" s="493"/>
      <c r="BD135" s="493"/>
      <c r="BE135" s="493"/>
      <c r="BF135" s="493"/>
      <c r="BG135" s="493"/>
      <c r="BH135" s="493"/>
      <c r="BI135" s="493"/>
    </row>
    <row r="136" s="424" customFormat="1" spans="1:61">
      <c r="A136" s="490"/>
      <c r="B136" s="491"/>
      <c r="E136" s="427"/>
      <c r="F136" s="492"/>
      <c r="G136" s="493"/>
      <c r="H136" s="492"/>
      <c r="I136" s="494"/>
      <c r="J136" s="495"/>
      <c r="L136" s="492"/>
      <c r="M136" s="494"/>
      <c r="N136" s="495"/>
      <c r="P136" s="492"/>
      <c r="Q136" s="495"/>
      <c r="S136" s="492"/>
      <c r="T136" s="495"/>
      <c r="U136" s="490"/>
      <c r="V136" s="490"/>
      <c r="W136" s="490"/>
      <c r="X136" s="432"/>
      <c r="Y136" s="493"/>
      <c r="Z136" s="496"/>
      <c r="AA136" s="496"/>
      <c r="AB136" s="496"/>
      <c r="AC136" s="496"/>
      <c r="AD136" s="493"/>
      <c r="AE136" s="493"/>
      <c r="AF136" s="493"/>
      <c r="AG136" s="493"/>
      <c r="AH136" s="493"/>
      <c r="AI136" s="493"/>
      <c r="AJ136" s="493"/>
      <c r="AK136" s="493"/>
      <c r="AL136" s="493"/>
      <c r="AM136" s="493"/>
      <c r="AN136" s="493"/>
      <c r="AO136" s="493"/>
      <c r="AP136" s="493"/>
      <c r="AQ136" s="493"/>
      <c r="AR136" s="493"/>
      <c r="AS136" s="493"/>
      <c r="AT136" s="493"/>
      <c r="AU136" s="493"/>
      <c r="AV136" s="493"/>
      <c r="AW136" s="493"/>
      <c r="AX136" s="493"/>
      <c r="AY136" s="493"/>
      <c r="AZ136" s="493"/>
      <c r="BA136" s="493"/>
      <c r="BB136" s="493"/>
      <c r="BC136" s="493"/>
      <c r="BD136" s="493"/>
      <c r="BE136" s="493"/>
      <c r="BF136" s="493"/>
      <c r="BG136" s="493"/>
      <c r="BH136" s="493"/>
      <c r="BI136" s="493"/>
    </row>
    <row r="137" s="424" customFormat="1" spans="1:61">
      <c r="A137" s="490"/>
      <c r="B137" s="491"/>
      <c r="E137" s="427"/>
      <c r="F137" s="492"/>
      <c r="G137" s="493"/>
      <c r="H137" s="492"/>
      <c r="I137" s="494"/>
      <c r="J137" s="495"/>
      <c r="L137" s="492"/>
      <c r="M137" s="494"/>
      <c r="N137" s="495"/>
      <c r="P137" s="492"/>
      <c r="Q137" s="495"/>
      <c r="S137" s="492"/>
      <c r="T137" s="495"/>
      <c r="U137" s="490"/>
      <c r="V137" s="490"/>
      <c r="W137" s="490"/>
      <c r="X137" s="432"/>
      <c r="Y137" s="493"/>
      <c r="Z137" s="496"/>
      <c r="AA137" s="496"/>
      <c r="AB137" s="496"/>
      <c r="AC137" s="496"/>
      <c r="AD137" s="493"/>
      <c r="AE137" s="493"/>
      <c r="AF137" s="493"/>
      <c r="AG137" s="493"/>
      <c r="AH137" s="493"/>
      <c r="AI137" s="493"/>
      <c r="AJ137" s="493"/>
      <c r="AK137" s="493"/>
      <c r="AL137" s="493"/>
      <c r="AM137" s="493"/>
      <c r="AN137" s="493"/>
      <c r="AO137" s="493"/>
      <c r="AP137" s="493"/>
      <c r="AQ137" s="493"/>
      <c r="AR137" s="493"/>
      <c r="AS137" s="493"/>
      <c r="AT137" s="493"/>
      <c r="AU137" s="493"/>
      <c r="AV137" s="493"/>
      <c r="AW137" s="493"/>
      <c r="AX137" s="493"/>
      <c r="AY137" s="493"/>
      <c r="AZ137" s="493"/>
      <c r="BA137" s="493"/>
      <c r="BB137" s="493"/>
      <c r="BC137" s="493"/>
      <c r="BD137" s="493"/>
      <c r="BE137" s="493"/>
      <c r="BF137" s="493"/>
      <c r="BG137" s="493"/>
      <c r="BH137" s="493"/>
      <c r="BI137" s="493"/>
    </row>
    <row r="138" s="424" customFormat="1" spans="1:61">
      <c r="A138" s="490"/>
      <c r="B138" s="491"/>
      <c r="E138" s="427"/>
      <c r="F138" s="492"/>
      <c r="G138" s="493"/>
      <c r="H138" s="492"/>
      <c r="I138" s="494"/>
      <c r="J138" s="495"/>
      <c r="L138" s="492"/>
      <c r="M138" s="494"/>
      <c r="N138" s="495"/>
      <c r="P138" s="492"/>
      <c r="Q138" s="495"/>
      <c r="S138" s="492"/>
      <c r="T138" s="495"/>
      <c r="U138" s="490"/>
      <c r="V138" s="490"/>
      <c r="W138" s="490"/>
      <c r="X138" s="432"/>
      <c r="Y138" s="493"/>
      <c r="Z138" s="496"/>
      <c r="AA138" s="496"/>
      <c r="AB138" s="496"/>
      <c r="AC138" s="496"/>
      <c r="AD138" s="493"/>
      <c r="AE138" s="493"/>
      <c r="AF138" s="493"/>
      <c r="AG138" s="493"/>
      <c r="AH138" s="493"/>
      <c r="AI138" s="493"/>
      <c r="AJ138" s="493"/>
      <c r="AK138" s="493"/>
      <c r="AL138" s="493"/>
      <c r="AM138" s="493"/>
      <c r="AN138" s="493"/>
      <c r="AO138" s="493"/>
      <c r="AP138" s="493"/>
      <c r="AQ138" s="493"/>
      <c r="AR138" s="493"/>
      <c r="AS138" s="493"/>
      <c r="AT138" s="493"/>
      <c r="AU138" s="493"/>
      <c r="AV138" s="493"/>
      <c r="AW138" s="493"/>
      <c r="AX138" s="493"/>
      <c r="AY138" s="493"/>
      <c r="AZ138" s="493"/>
      <c r="BA138" s="493"/>
      <c r="BB138" s="493"/>
      <c r="BC138" s="493"/>
      <c r="BD138" s="493"/>
      <c r="BE138" s="493"/>
      <c r="BF138" s="493"/>
      <c r="BG138" s="493"/>
      <c r="BH138" s="493"/>
      <c r="BI138" s="493"/>
    </row>
    <row r="139" s="424" customFormat="1" spans="1:61">
      <c r="A139" s="490"/>
      <c r="B139" s="491"/>
      <c r="E139" s="427"/>
      <c r="F139" s="492"/>
      <c r="G139" s="493"/>
      <c r="H139" s="492"/>
      <c r="I139" s="494"/>
      <c r="J139" s="495"/>
      <c r="L139" s="492"/>
      <c r="M139" s="494"/>
      <c r="N139" s="495"/>
      <c r="P139" s="492"/>
      <c r="Q139" s="495"/>
      <c r="S139" s="492"/>
      <c r="T139" s="495"/>
      <c r="U139" s="490"/>
      <c r="V139" s="490"/>
      <c r="W139" s="490"/>
      <c r="X139" s="432"/>
      <c r="Y139" s="493"/>
      <c r="Z139" s="496"/>
      <c r="AA139" s="496"/>
      <c r="AB139" s="496"/>
      <c r="AC139" s="496"/>
      <c r="AD139" s="493"/>
      <c r="AE139" s="493"/>
      <c r="AF139" s="493"/>
      <c r="AG139" s="493"/>
      <c r="AH139" s="493"/>
      <c r="AI139" s="493"/>
      <c r="AJ139" s="493"/>
      <c r="AK139" s="493"/>
      <c r="AL139" s="493"/>
      <c r="AM139" s="493"/>
      <c r="AN139" s="493"/>
      <c r="AO139" s="493"/>
      <c r="AP139" s="493"/>
      <c r="AQ139" s="493"/>
      <c r="AR139" s="493"/>
      <c r="AS139" s="493"/>
      <c r="AT139" s="493"/>
      <c r="AU139" s="493"/>
      <c r="AV139" s="493"/>
      <c r="AW139" s="493"/>
      <c r="AX139" s="493"/>
      <c r="AY139" s="493"/>
      <c r="AZ139" s="493"/>
      <c r="BA139" s="493"/>
      <c r="BB139" s="493"/>
      <c r="BC139" s="493"/>
      <c r="BD139" s="493"/>
      <c r="BE139" s="493"/>
      <c r="BF139" s="493"/>
      <c r="BG139" s="493"/>
      <c r="BH139" s="493"/>
      <c r="BI139" s="493"/>
    </row>
    <row r="140" s="424" customFormat="1" spans="1:61">
      <c r="A140" s="490"/>
      <c r="B140" s="491"/>
      <c r="E140" s="427"/>
      <c r="F140" s="492"/>
      <c r="G140" s="493"/>
      <c r="H140" s="492"/>
      <c r="I140" s="494"/>
      <c r="J140" s="495"/>
      <c r="L140" s="492"/>
      <c r="M140" s="494"/>
      <c r="N140" s="495"/>
      <c r="P140" s="492"/>
      <c r="Q140" s="495"/>
      <c r="S140" s="492"/>
      <c r="T140" s="495"/>
      <c r="U140" s="490"/>
      <c r="V140" s="490"/>
      <c r="W140" s="490"/>
      <c r="X140" s="432"/>
      <c r="Y140" s="493"/>
      <c r="Z140" s="496"/>
      <c r="AA140" s="496"/>
      <c r="AB140" s="496"/>
      <c r="AC140" s="496"/>
      <c r="AD140" s="493"/>
      <c r="AE140" s="493"/>
      <c r="AF140" s="493"/>
      <c r="AG140" s="493"/>
      <c r="AH140" s="493"/>
      <c r="AI140" s="493"/>
      <c r="AJ140" s="493"/>
      <c r="AK140" s="493"/>
      <c r="AL140" s="493"/>
      <c r="AM140" s="493"/>
      <c r="AN140" s="493"/>
      <c r="AO140" s="493"/>
      <c r="AP140" s="493"/>
      <c r="AQ140" s="493"/>
      <c r="AR140" s="493"/>
      <c r="AS140" s="493"/>
      <c r="AT140" s="493"/>
      <c r="AU140" s="493"/>
      <c r="AV140" s="493"/>
      <c r="AW140" s="493"/>
      <c r="AX140" s="493"/>
      <c r="AY140" s="493"/>
      <c r="AZ140" s="493"/>
      <c r="BA140" s="493"/>
      <c r="BB140" s="493"/>
      <c r="BC140" s="493"/>
      <c r="BD140" s="493"/>
      <c r="BE140" s="493"/>
      <c r="BF140" s="493"/>
      <c r="BG140" s="493"/>
      <c r="BH140" s="493"/>
      <c r="BI140" s="493"/>
    </row>
    <row r="141" s="424" customFormat="1" spans="1:61">
      <c r="A141" s="490"/>
      <c r="B141" s="491"/>
      <c r="E141" s="427"/>
      <c r="F141" s="492"/>
      <c r="G141" s="493"/>
      <c r="H141" s="492"/>
      <c r="I141" s="494"/>
      <c r="J141" s="495"/>
      <c r="L141" s="492"/>
      <c r="M141" s="494"/>
      <c r="N141" s="495"/>
      <c r="P141" s="492"/>
      <c r="Q141" s="495"/>
      <c r="S141" s="492"/>
      <c r="T141" s="495"/>
      <c r="U141" s="490"/>
      <c r="V141" s="490"/>
      <c r="W141" s="490"/>
      <c r="X141" s="432"/>
      <c r="Y141" s="493"/>
      <c r="Z141" s="496"/>
      <c r="AA141" s="496"/>
      <c r="AB141" s="496"/>
      <c r="AC141" s="496"/>
      <c r="AD141" s="493"/>
      <c r="AE141" s="493"/>
      <c r="AF141" s="493"/>
      <c r="AG141" s="493"/>
      <c r="AH141" s="493"/>
      <c r="AI141" s="493"/>
      <c r="AJ141" s="493"/>
      <c r="AK141" s="493"/>
      <c r="AL141" s="493"/>
      <c r="AM141" s="493"/>
      <c r="AN141" s="493"/>
      <c r="AO141" s="493"/>
      <c r="AP141" s="493"/>
      <c r="AQ141" s="493"/>
      <c r="AR141" s="493"/>
      <c r="AS141" s="493"/>
      <c r="AT141" s="493"/>
      <c r="AU141" s="493"/>
      <c r="AV141" s="493"/>
      <c r="AW141" s="493"/>
      <c r="AX141" s="493"/>
      <c r="AY141" s="493"/>
      <c r="AZ141" s="493"/>
      <c r="BA141" s="493"/>
      <c r="BB141" s="493"/>
      <c r="BC141" s="493"/>
      <c r="BD141" s="493"/>
      <c r="BE141" s="493"/>
      <c r="BF141" s="493"/>
      <c r="BG141" s="493"/>
      <c r="BH141" s="493"/>
      <c r="BI141" s="493"/>
    </row>
    <row r="142" s="424" customFormat="1" spans="1:61">
      <c r="A142" s="490"/>
      <c r="B142" s="491"/>
      <c r="E142" s="427"/>
      <c r="F142" s="492"/>
      <c r="G142" s="493"/>
      <c r="H142" s="492"/>
      <c r="I142" s="494"/>
      <c r="J142" s="495"/>
      <c r="L142" s="492"/>
      <c r="M142" s="494"/>
      <c r="N142" s="495"/>
      <c r="P142" s="492"/>
      <c r="Q142" s="495"/>
      <c r="S142" s="492"/>
      <c r="T142" s="495"/>
      <c r="U142" s="490"/>
      <c r="V142" s="490"/>
      <c r="W142" s="490"/>
      <c r="X142" s="432"/>
      <c r="Y142" s="493"/>
      <c r="Z142" s="496"/>
      <c r="AA142" s="496"/>
      <c r="AB142" s="496"/>
      <c r="AC142" s="496"/>
      <c r="AD142" s="493"/>
      <c r="AE142" s="493"/>
      <c r="AF142" s="493"/>
      <c r="AG142" s="493"/>
      <c r="AH142" s="493"/>
      <c r="AI142" s="493"/>
      <c r="AJ142" s="493"/>
      <c r="AK142" s="493"/>
      <c r="AL142" s="493"/>
      <c r="AM142" s="493"/>
      <c r="AN142" s="493"/>
      <c r="AO142" s="493"/>
      <c r="AP142" s="493"/>
      <c r="AQ142" s="493"/>
      <c r="AR142" s="493"/>
      <c r="AS142" s="493"/>
      <c r="AT142" s="493"/>
      <c r="AU142" s="493"/>
      <c r="AV142" s="493"/>
      <c r="AW142" s="493"/>
      <c r="AX142" s="493"/>
      <c r="AY142" s="493"/>
      <c r="AZ142" s="493"/>
      <c r="BA142" s="493"/>
      <c r="BB142" s="493"/>
      <c r="BC142" s="493"/>
      <c r="BD142" s="493"/>
      <c r="BE142" s="493"/>
      <c r="BF142" s="493"/>
      <c r="BG142" s="493"/>
      <c r="BH142" s="493"/>
      <c r="BI142" s="493"/>
    </row>
    <row r="143" s="424" customFormat="1" spans="1:61">
      <c r="A143" s="490"/>
      <c r="B143" s="491"/>
      <c r="E143" s="427"/>
      <c r="F143" s="492"/>
      <c r="G143" s="493"/>
      <c r="H143" s="492"/>
      <c r="I143" s="494"/>
      <c r="J143" s="495"/>
      <c r="L143" s="492"/>
      <c r="M143" s="494"/>
      <c r="N143" s="495"/>
      <c r="P143" s="492"/>
      <c r="Q143" s="495"/>
      <c r="S143" s="492"/>
      <c r="T143" s="495"/>
      <c r="U143" s="490"/>
      <c r="V143" s="490"/>
      <c r="W143" s="490"/>
      <c r="X143" s="432"/>
      <c r="Y143" s="493"/>
      <c r="Z143" s="496"/>
      <c r="AA143" s="496"/>
      <c r="AB143" s="496"/>
      <c r="AC143" s="496"/>
      <c r="AD143" s="493"/>
      <c r="AE143" s="493"/>
      <c r="AF143" s="493"/>
      <c r="AG143" s="493"/>
      <c r="AH143" s="493"/>
      <c r="AI143" s="493"/>
      <c r="AJ143" s="493"/>
      <c r="AK143" s="493"/>
      <c r="AL143" s="493"/>
      <c r="AM143" s="493"/>
      <c r="AN143" s="493"/>
      <c r="AO143" s="493"/>
      <c r="AP143" s="493"/>
      <c r="AQ143" s="493"/>
      <c r="AR143" s="493"/>
      <c r="AS143" s="493"/>
      <c r="AT143" s="493"/>
      <c r="AU143" s="493"/>
      <c r="AV143" s="493"/>
      <c r="AW143" s="493"/>
      <c r="AX143" s="493"/>
      <c r="AY143" s="493"/>
      <c r="AZ143" s="493"/>
      <c r="BA143" s="493"/>
      <c r="BB143" s="493"/>
      <c r="BC143" s="493"/>
      <c r="BD143" s="493"/>
      <c r="BE143" s="493"/>
      <c r="BF143" s="493"/>
      <c r="BG143" s="493"/>
      <c r="BH143" s="493"/>
      <c r="BI143" s="493"/>
    </row>
    <row r="144" s="424" customFormat="1" spans="1:61">
      <c r="A144" s="490"/>
      <c r="B144" s="491"/>
      <c r="E144" s="427"/>
      <c r="F144" s="492"/>
      <c r="G144" s="493"/>
      <c r="H144" s="492"/>
      <c r="I144" s="494"/>
      <c r="J144" s="495"/>
      <c r="L144" s="492"/>
      <c r="M144" s="494"/>
      <c r="N144" s="495"/>
      <c r="P144" s="492"/>
      <c r="Q144" s="495"/>
      <c r="S144" s="492"/>
      <c r="T144" s="495"/>
      <c r="U144" s="490"/>
      <c r="V144" s="490"/>
      <c r="W144" s="490"/>
      <c r="X144" s="432"/>
      <c r="Y144" s="493"/>
      <c r="Z144" s="496"/>
      <c r="AA144" s="496"/>
      <c r="AB144" s="496"/>
      <c r="AC144" s="496"/>
      <c r="AD144" s="493"/>
      <c r="AE144" s="493"/>
      <c r="AF144" s="493"/>
      <c r="AG144" s="493"/>
      <c r="AH144" s="493"/>
      <c r="AI144" s="493"/>
      <c r="AJ144" s="493"/>
      <c r="AK144" s="493"/>
      <c r="AL144" s="493"/>
      <c r="AM144" s="493"/>
      <c r="AN144" s="493"/>
      <c r="AO144" s="493"/>
      <c r="AP144" s="493"/>
      <c r="AQ144" s="493"/>
      <c r="AR144" s="493"/>
      <c r="AS144" s="493"/>
      <c r="AT144" s="493"/>
      <c r="AU144" s="493"/>
      <c r="AV144" s="493"/>
      <c r="AW144" s="493"/>
      <c r="AX144" s="493"/>
      <c r="AY144" s="493"/>
      <c r="AZ144" s="493"/>
      <c r="BA144" s="493"/>
      <c r="BB144" s="493"/>
      <c r="BC144" s="493"/>
      <c r="BD144" s="493"/>
      <c r="BE144" s="493"/>
      <c r="BF144" s="493"/>
      <c r="BG144" s="493"/>
      <c r="BH144" s="493"/>
      <c r="BI144" s="493"/>
    </row>
    <row r="145" s="424" customFormat="1" spans="1:61">
      <c r="A145" s="490"/>
      <c r="B145" s="491"/>
      <c r="E145" s="427"/>
      <c r="F145" s="492"/>
      <c r="G145" s="493"/>
      <c r="H145" s="492"/>
      <c r="I145" s="494"/>
      <c r="J145" s="495"/>
      <c r="L145" s="492"/>
      <c r="M145" s="494"/>
      <c r="N145" s="495"/>
      <c r="P145" s="492"/>
      <c r="Q145" s="495"/>
      <c r="S145" s="492"/>
      <c r="T145" s="495"/>
      <c r="U145" s="490"/>
      <c r="V145" s="490"/>
      <c r="W145" s="490"/>
      <c r="X145" s="432"/>
      <c r="Y145" s="493"/>
      <c r="Z145" s="496"/>
      <c r="AA145" s="496"/>
      <c r="AB145" s="496"/>
      <c r="AC145" s="496"/>
      <c r="AD145" s="493"/>
      <c r="AE145" s="493"/>
      <c r="AF145" s="493"/>
      <c r="AG145" s="493"/>
      <c r="AH145" s="493"/>
      <c r="AI145" s="493"/>
      <c r="AJ145" s="493"/>
      <c r="AK145" s="493"/>
      <c r="AL145" s="493"/>
      <c r="AM145" s="493"/>
      <c r="AN145" s="493"/>
      <c r="AO145" s="493"/>
      <c r="AP145" s="493"/>
      <c r="AQ145" s="493"/>
      <c r="AR145" s="493"/>
      <c r="AS145" s="493"/>
      <c r="AT145" s="493"/>
      <c r="AU145" s="493"/>
      <c r="AV145" s="493"/>
      <c r="AW145" s="493"/>
      <c r="AX145" s="493"/>
      <c r="AY145" s="493"/>
      <c r="AZ145" s="493"/>
      <c r="BA145" s="493"/>
      <c r="BB145" s="493"/>
      <c r="BC145" s="493"/>
      <c r="BD145" s="493"/>
      <c r="BE145" s="493"/>
      <c r="BF145" s="493"/>
      <c r="BG145" s="493"/>
      <c r="BH145" s="493"/>
      <c r="BI145" s="493"/>
    </row>
  </sheetData>
  <sheetProtection password="A0BB" sheet="1" objects="1" scenarios="1"/>
  <mergeCells count="4">
    <mergeCell ref="H7:J7"/>
    <mergeCell ref="L7:N7"/>
    <mergeCell ref="P7:Q7"/>
    <mergeCell ref="S7:T7"/>
  </mergeCells>
  <conditionalFormatting sqref="J10:J70">
    <cfRule type="expression" dxfId="2" priority="11">
      <formula>$Z10=2</formula>
    </cfRule>
    <cfRule type="expression" dxfId="1" priority="12">
      <formula>$Z10=1</formula>
    </cfRule>
  </conditionalFormatting>
  <conditionalFormatting sqref="N10:N70">
    <cfRule type="expression" dxfId="2" priority="9">
      <formula>$AA10=2</formula>
    </cfRule>
    <cfRule type="expression" dxfId="1" priority="10">
      <formula>$AA10=1</formula>
    </cfRule>
  </conditionalFormatting>
  <conditionalFormatting sqref="Q10:Q70">
    <cfRule type="expression" dxfId="2" priority="7">
      <formula>$AB10=2</formula>
    </cfRule>
    <cfRule type="expression" dxfId="1" priority="8">
      <formula>$AB10=1</formula>
    </cfRule>
  </conditionalFormatting>
  <conditionalFormatting sqref="T10:T70">
    <cfRule type="expression" dxfId="2" priority="5">
      <formula>$AC10=2</formula>
    </cfRule>
    <cfRule type="expression" dxfId="1" priority="6">
      <formula>$AC10=1</formula>
    </cfRule>
  </conditionalFormatting>
  <conditionalFormatting sqref="E10:T70">
    <cfRule type="expression" dxfId="24" priority="2">
      <formula>$C10=0</formula>
    </cfRule>
    <cfRule type="expression" dxfId="17" priority="3">
      <formula>$A10=3</formula>
    </cfRule>
    <cfRule type="expression" dxfId="25" priority="4">
      <formula>$A10=1</formula>
    </cfRule>
  </conditionalFormatting>
  <conditionalFormatting sqref="E10:E70 H10:J70 L10:N70 P10:Q70 S10:T70">
    <cfRule type="expression" dxfId="26" priority="1">
      <formula>$C10=1</formula>
    </cfRule>
  </conditionalFormatting>
  <pageMargins left="0.551181102362205" right="0.551181102362205" top="0.590551181102362" bottom="0.78740157480315" header="0.511811023622047" footer="0.511811023622047"/>
  <pageSetup paperSize="9" scale="41" orientation="landscape" horizontalDpi="1200" verticalDpi="1200"/>
  <headerFooter alignWithMargins="0">
    <oddHeader>&amp;RSafe Cities Index : 2017</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2997635" name="Drop Down 3" r:id="rId3">
              <controlPr print="0" defaultSize="0">
                <anchor>
                  <from>
                    <xdr:col>0</xdr:col>
                    <xdr:colOff>108585</xdr:colOff>
                    <xdr:row>4</xdr:row>
                    <xdr:rowOff>574675</xdr:rowOff>
                  </from>
                  <to>
                    <xdr:col>4</xdr:col>
                    <xdr:colOff>4843145</xdr:colOff>
                    <xdr:row>6</xdr:row>
                    <xdr:rowOff>231140</xdr:rowOff>
                  </to>
                </anchor>
              </controlPr>
            </control>
          </mc:Choice>
        </mc:AlternateContent>
        <mc:AlternateContent xmlns:mc="http://schemas.openxmlformats.org/markup-compatibility/2006">
          <mc:Choice Requires="x14">
            <control shapeId="12997638" name="Drop Down 6" r:id="rId4">
              <controlPr print="0" defaultSize="0">
                <anchor>
                  <from>
                    <xdr:col>4</xdr:col>
                    <xdr:colOff>3551555</xdr:colOff>
                    <xdr:row>2</xdr:row>
                    <xdr:rowOff>628650</xdr:rowOff>
                  </from>
                  <to>
                    <xdr:col>7</xdr:col>
                    <xdr:colOff>41275</xdr:colOff>
                    <xdr:row>2</xdr:row>
                    <xdr:rowOff>838835</xdr:rowOff>
                  </to>
                </anchor>
              </controlPr>
            </control>
          </mc:Choice>
        </mc:AlternateContent>
        <mc:AlternateContent xmlns:mc="http://schemas.openxmlformats.org/markup-compatibility/2006">
          <mc:Choice Requires="x14">
            <control shapeId="12997640" name="Drop Down 8" r:id="rId5">
              <controlPr print="0" defaultSize="0">
                <anchor>
                  <from>
                    <xdr:col>23</xdr:col>
                    <xdr:colOff>918210</xdr:colOff>
                    <xdr:row>2</xdr:row>
                    <xdr:rowOff>628650</xdr:rowOff>
                  </from>
                  <to>
                    <xdr:col>23</xdr:col>
                    <xdr:colOff>2557780</xdr:colOff>
                    <xdr:row>2</xdr:row>
                    <xdr:rowOff>838835</xdr:rowOff>
                  </to>
                </anchor>
              </controlPr>
            </control>
          </mc:Choice>
        </mc:AlternateContent>
        <mc:AlternateContent xmlns:mc="http://schemas.openxmlformats.org/markup-compatibility/2006">
          <mc:Choice Requires="x14">
            <control shapeId="12997641" name="Drop Down 9" r:id="rId6">
              <controlPr print="0" defaultSize="0">
                <anchor>
                  <from>
                    <xdr:col>4</xdr:col>
                    <xdr:colOff>1580515</xdr:colOff>
                    <xdr:row>2</xdr:row>
                    <xdr:rowOff>619125</xdr:rowOff>
                  </from>
                  <to>
                    <xdr:col>4</xdr:col>
                    <xdr:colOff>3054350</xdr:colOff>
                    <xdr:row>2</xdr:row>
                    <xdr:rowOff>829310</xdr:rowOff>
                  </to>
                </anchor>
              </controlPr>
            </control>
          </mc:Choice>
        </mc:AlternateContent>
        <mc:AlternateContent xmlns:mc="http://schemas.openxmlformats.org/markup-compatibility/2006">
          <mc:Choice Requires="x14">
            <control shapeId="12997644" name="Drop Down 12" r:id="rId7">
              <controlPr print="0" defaultSize="0">
                <anchor>
                  <from>
                    <xdr:col>21</xdr:col>
                    <xdr:colOff>109855</xdr:colOff>
                    <xdr:row>2</xdr:row>
                    <xdr:rowOff>628650</xdr:rowOff>
                  </from>
                  <to>
                    <xdr:col>23</xdr:col>
                    <xdr:colOff>318135</xdr:colOff>
                    <xdr:row>2</xdr:row>
                    <xdr:rowOff>838835</xdr:rowOff>
                  </to>
                </anchor>
              </controlPr>
            </control>
          </mc:Choice>
        </mc:AlternateContent>
        <mc:AlternateContent xmlns:mc="http://schemas.openxmlformats.org/markup-compatibility/2006">
          <mc:Choice Requires="x14">
            <control shapeId="12997645" name="Drop Down 13" r:id="rId8">
              <controlPr print="0" defaultSize="0">
                <anchor>
                  <from>
                    <xdr:col>7</xdr:col>
                    <xdr:colOff>500380</xdr:colOff>
                    <xdr:row>2</xdr:row>
                    <xdr:rowOff>628650</xdr:rowOff>
                  </from>
                  <to>
                    <xdr:col>13</xdr:col>
                    <xdr:colOff>249555</xdr:colOff>
                    <xdr:row>2</xdr:row>
                    <xdr:rowOff>838835</xdr:rowOff>
                  </to>
                </anchor>
              </controlPr>
            </control>
          </mc:Choice>
        </mc:AlternateContent>
        <mc:AlternateContent xmlns:mc="http://schemas.openxmlformats.org/markup-compatibility/2006">
          <mc:Choice Requires="x14">
            <control shapeId="12997646" name="Drop Down 14" r:id="rId9">
              <controlPr print="0" defaultSize="0">
                <anchor>
                  <from>
                    <xdr:col>4</xdr:col>
                    <xdr:colOff>21590</xdr:colOff>
                    <xdr:row>2</xdr:row>
                    <xdr:rowOff>619125</xdr:rowOff>
                  </from>
                  <to>
                    <xdr:col>4</xdr:col>
                    <xdr:colOff>1437005</xdr:colOff>
                    <xdr:row>2</xdr:row>
                    <xdr:rowOff>829310</xdr:rowOff>
                  </to>
                </anchor>
              </controlPr>
            </control>
          </mc:Choice>
        </mc:AlternateContent>
        <mc:AlternateContent xmlns:mc="http://schemas.openxmlformats.org/markup-compatibility/2006">
          <mc:Choice Requires="x14">
            <control shapeId="12997642" name="Drop Down 10" r:id="rId10">
              <controlPr print="0" defaultSize="0">
                <anchor>
                  <from>
                    <xdr:col>23</xdr:col>
                    <xdr:colOff>2924810</xdr:colOff>
                    <xdr:row>2</xdr:row>
                    <xdr:rowOff>638810</xdr:rowOff>
                  </from>
                  <to>
                    <xdr:col>52</xdr:col>
                    <xdr:colOff>226060</xdr:colOff>
                    <xdr:row>2</xdr:row>
                    <xdr:rowOff>847725</xdr:rowOff>
                  </to>
                </anchor>
              </controlPr>
            </control>
          </mc:Choice>
        </mc:AlternateContent>
        <mc:AlternateContent xmlns:mc="http://schemas.openxmlformats.org/markup-compatibility/2006">
          <mc:Choice Requires="x14">
            <control shapeId="12997647" name="Button 15" r:id="rId11">
              <controlPr print="0" defaultSize="0">
                <anchor>
                  <from>
                    <xdr:col>52</xdr:col>
                    <xdr:colOff>314325</xdr:colOff>
                    <xdr:row>2</xdr:row>
                    <xdr:rowOff>114300</xdr:rowOff>
                  </from>
                  <to>
                    <xdr:col>53</xdr:col>
                    <xdr:colOff>400050</xdr:colOff>
                    <xdr:row>2</xdr:row>
                    <xdr:rowOff>361950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pageSetUpPr fitToPage="1"/>
  </sheetPr>
  <dimension ref="A1:CA143"/>
  <sheetViews>
    <sheetView showGridLines="0" showRowColHeaders="0" zoomScale="90" zoomScaleNormal="90" workbookViewId="0">
      <pane ySplit="3" topLeftCell="A13" activePane="bottomLeft" state="frozen"/>
      <selection/>
      <selection pane="bottomLeft" activeCell="A1" sqref="A1"/>
    </sheetView>
  </sheetViews>
  <sheetFormatPr defaultColWidth="5.14285714285714" defaultRowHeight="15"/>
  <cols>
    <col min="1" max="1" width="1.71428571428571" style="68" customWidth="1"/>
    <col min="2" max="2" width="4.71428571428571" style="70" hidden="1" customWidth="1"/>
    <col min="3" max="3" width="65.7142857142857" style="70" customWidth="1"/>
    <col min="4" max="4" width="72.2857142857143" style="70" customWidth="1"/>
    <col min="5" max="5" width="3.14285714285714" style="70" customWidth="1"/>
    <col min="6" max="7" width="10.1428571428571" style="70" customWidth="1"/>
    <col min="8" max="8" width="3.57142857142857" style="70" customWidth="1"/>
    <col min="9" max="11" width="9.57142857142857" style="70" customWidth="1"/>
    <col min="12" max="12" width="5.14285714285714" style="70"/>
    <col min="13" max="13" width="5.14285714285714" style="68"/>
    <col min="14" max="17" width="5.14285714285714" style="70"/>
    <col min="18" max="51" width="5.14285714285714" style="70" hidden="1" customWidth="1"/>
    <col min="52" max="16384" width="5.14285714285714" style="70"/>
  </cols>
  <sheetData>
    <row r="1" s="68" customFormat="1" ht="29.1" customHeight="1" spans="1:54">
      <c r="A1" s="389"/>
      <c r="C1" s="390" t="str">
        <f>uxb_works!B90</f>
        <v>Safe Cities Index: 2017</v>
      </c>
      <c r="BA1" s="423">
        <v>3</v>
      </c>
      <c r="BB1" s="423">
        <v>2</v>
      </c>
    </row>
    <row r="2" s="384" customFormat="1" ht="29.1" customHeight="1" spans="1:15">
      <c r="A2" s="68"/>
      <c r="B2" s="391"/>
      <c r="C2" s="391"/>
      <c r="D2" s="391"/>
      <c r="E2" s="392"/>
      <c r="F2" s="392"/>
      <c r="G2" s="392"/>
      <c r="H2" s="392"/>
      <c r="I2" s="392"/>
      <c r="K2" s="418"/>
      <c r="L2" s="392"/>
      <c r="M2" s="68"/>
      <c r="N2" s="392"/>
      <c r="O2" s="392"/>
    </row>
    <row r="3" ht="71.1" customHeight="1" spans="5:14">
      <c r="E3" s="393"/>
      <c r="L3" s="68"/>
      <c r="N3" s="68"/>
    </row>
    <row r="4" ht="12" customHeight="1" spans="5:15">
      <c r="E4" s="394"/>
      <c r="K4"/>
      <c r="L4"/>
      <c r="M4"/>
      <c r="N4"/>
      <c r="O4"/>
    </row>
    <row r="5" ht="1.5" customHeight="1" spans="5:15">
      <c r="E5" s="395"/>
      <c r="K5"/>
      <c r="L5"/>
      <c r="M5"/>
      <c r="N5"/>
      <c r="O5"/>
    </row>
    <row r="6" ht="27" customHeight="1" spans="3:79">
      <c r="C6" s="396" t="str">
        <f ca="1">uxb_works!C24</f>
        <v>Abu Dhabi</v>
      </c>
      <c r="E6" s="395"/>
      <c r="K6"/>
      <c r="L6"/>
      <c r="M6"/>
      <c r="N6"/>
      <c r="O6"/>
      <c r="BZ6" s="385"/>
      <c r="CA6" s="385"/>
    </row>
    <row r="7" ht="21" spans="3:79">
      <c r="C7" s="397">
        <f>uxb_works!C46</f>
        <v>2017</v>
      </c>
      <c r="E7" s="395"/>
      <c r="F7" s="398" t="s">
        <v>24</v>
      </c>
      <c r="G7" s="398" t="str">
        <f>"Rank/"&amp;uxb_works!B1</f>
        <v>Rank/60</v>
      </c>
      <c r="J7" s="419"/>
      <c r="K7"/>
      <c r="L7"/>
      <c r="M7"/>
      <c r="N7"/>
      <c r="O7"/>
      <c r="BZ7" s="385"/>
      <c r="CA7" s="385"/>
    </row>
    <row r="8" customFormat="1" ht="35.1" customHeight="1" spans="2:79">
      <c r="B8">
        <v>1</v>
      </c>
      <c r="C8" s="399" t="str">
        <f>iCSCtbl!C3</f>
        <v>OVERALL SCORE</v>
      </c>
      <c r="D8" s="400"/>
      <c r="E8" s="400"/>
      <c r="F8" s="401">
        <f>iCSCtbl!D3</f>
        <v>76.9075622869516</v>
      </c>
      <c r="G8" s="402" t="str">
        <f>iCSCtbl!E3</f>
        <v>28</v>
      </c>
      <c r="H8" s="400"/>
      <c r="BZ8" s="385"/>
      <c r="CA8" s="385"/>
    </row>
    <row r="9" s="385" customFormat="1" ht="35.1" customHeight="1" spans="1:13">
      <c r="A9" s="388"/>
      <c r="B9" s="385">
        <f>iCSCtbl!F4</f>
        <v>1</v>
      </c>
      <c r="C9" s="403" t="str">
        <f>iCSCtbl!C4</f>
        <v> 1) DIGITAL SECURITY</v>
      </c>
      <c r="D9" s="404"/>
      <c r="E9" s="404"/>
      <c r="F9" s="405">
        <f>iCSCtbl!D4</f>
        <v>68.7742107919604</v>
      </c>
      <c r="G9" s="406" t="str">
        <f>iCSCtbl!E4</f>
        <v>28</v>
      </c>
      <c r="H9" s="404"/>
      <c r="J9" s="420"/>
      <c r="K9" s="388"/>
      <c r="M9" s="421"/>
    </row>
    <row r="10" s="386" customFormat="1" ht="30" customHeight="1" spans="1:79">
      <c r="A10" s="407"/>
      <c r="B10" s="386">
        <f>iCSCtbl!F5</f>
        <v>2</v>
      </c>
      <c r="C10" s="408" t="str">
        <f>iCSCtbl!C5</f>
        <v>  1.1) Digital security (Inputs)</v>
      </c>
      <c r="D10" s="409"/>
      <c r="E10" s="409"/>
      <c r="F10" s="410">
        <f>iCSCtbl!D5</f>
        <v>63.3333333333333</v>
      </c>
      <c r="G10" s="411" t="str">
        <f>iCSCtbl!E5</f>
        <v>=29</v>
      </c>
      <c r="H10" s="409"/>
      <c r="K10" s="407"/>
      <c r="M10" s="422"/>
      <c r="BZ10" s="385"/>
      <c r="CA10" s="385"/>
    </row>
    <row r="11" s="387" customFormat="1" ht="30" customHeight="1" spans="2:79">
      <c r="B11" s="386">
        <f>iCSCtbl!F6</f>
        <v>2</v>
      </c>
      <c r="C11" s="408" t="str">
        <f>iCSCtbl!C6</f>
        <v>  1.2) Digital security (Outputs)</v>
      </c>
      <c r="D11" s="280"/>
      <c r="E11" s="280"/>
      <c r="F11" s="412">
        <f>iCSCtbl!D6</f>
        <v>74.2150882505875</v>
      </c>
      <c r="G11" s="413" t="str">
        <f>iCSCtbl!E6</f>
        <v>=16</v>
      </c>
      <c r="H11" s="280"/>
      <c r="BZ11" s="385"/>
      <c r="CA11" s="385"/>
    </row>
    <row r="12" s="387" customFormat="1" ht="30" customHeight="1" spans="2:79">
      <c r="B12" s="386">
        <f>iCSCtbl!F7</f>
        <v>1</v>
      </c>
      <c r="C12" s="408" t="str">
        <f>iCSCtbl!C7</f>
        <v> 2) HEALTH SECURITY</v>
      </c>
      <c r="D12" s="280"/>
      <c r="E12" s="280"/>
      <c r="F12" s="412">
        <f>iCSCtbl!D7</f>
        <v>68.5404322865189</v>
      </c>
      <c r="G12" s="413" t="str">
        <f>iCSCtbl!E7</f>
        <v>33</v>
      </c>
      <c r="H12" s="280"/>
      <c r="BZ12" s="385"/>
      <c r="CA12" s="385"/>
    </row>
    <row r="13" s="387" customFormat="1" ht="30" customHeight="1" spans="2:79">
      <c r="B13" s="386">
        <f>iCSCtbl!F8</f>
        <v>2</v>
      </c>
      <c r="C13" s="408" t="str">
        <f>iCSCtbl!C8</f>
        <v>  2.1) Health security (Inputs)</v>
      </c>
      <c r="D13" s="280"/>
      <c r="E13" s="280"/>
      <c r="F13" s="412">
        <f>iCSCtbl!D8</f>
        <v>55.909058022829</v>
      </c>
      <c r="G13" s="413" t="str">
        <f>iCSCtbl!E8</f>
        <v>37</v>
      </c>
      <c r="H13" s="280"/>
      <c r="BZ13" s="385"/>
      <c r="CA13" s="385"/>
    </row>
    <row r="14" s="387" customFormat="1" ht="30" customHeight="1" spans="2:79">
      <c r="B14" s="386">
        <f>iCSCtbl!F9</f>
        <v>2</v>
      </c>
      <c r="C14" s="408" t="str">
        <f>iCSCtbl!C9</f>
        <v>  2.2) Health security (Outputs)</v>
      </c>
      <c r="D14" s="280"/>
      <c r="E14" s="280"/>
      <c r="F14" s="412">
        <f>iCSCtbl!D9</f>
        <v>81.1718065502088</v>
      </c>
      <c r="G14" s="413" t="str">
        <f>iCSCtbl!E9</f>
        <v>22</v>
      </c>
      <c r="H14" s="280"/>
      <c r="BZ14" s="385"/>
      <c r="CA14" s="385"/>
    </row>
    <row r="15" s="387" customFormat="1" ht="30" customHeight="1" spans="2:79">
      <c r="B15" s="386">
        <f>iCSCtbl!F10</f>
        <v>1</v>
      </c>
      <c r="C15" s="408" t="str">
        <f>iCSCtbl!C10</f>
        <v> 3) INFRASTRUCTURE SECURITY</v>
      </c>
      <c r="D15" s="280"/>
      <c r="E15" s="280"/>
      <c r="F15" s="412">
        <f>iCSCtbl!D10</f>
        <v>91.3641602398045</v>
      </c>
      <c r="G15" s="413" t="str">
        <f>iCSCtbl!E10</f>
        <v>16</v>
      </c>
      <c r="H15" s="280"/>
      <c r="BZ15" s="385"/>
      <c r="CA15" s="385"/>
    </row>
    <row r="16" s="388" customFormat="1" ht="35.1" customHeight="1" spans="2:79">
      <c r="B16" s="385">
        <f>iCSCtbl!F11</f>
        <v>2</v>
      </c>
      <c r="C16" s="408" t="str">
        <f>iCSCtbl!C11</f>
        <v>  3.1) Infrastructure security (Inputs)</v>
      </c>
      <c r="D16" s="414"/>
      <c r="E16" s="414"/>
      <c r="F16" s="415">
        <f>iCSCtbl!D11</f>
        <v>90</v>
      </c>
      <c r="G16" s="416" t="str">
        <f>iCSCtbl!E11</f>
        <v>23</v>
      </c>
      <c r="H16" s="414"/>
      <c r="BZ16" s="385"/>
      <c r="CA16" s="385"/>
    </row>
    <row r="17" s="387" customFormat="1" ht="30" customHeight="1" spans="2:79">
      <c r="B17" s="386">
        <f>iCSCtbl!F12</f>
        <v>2</v>
      </c>
      <c r="C17" s="408" t="str">
        <f>iCSCtbl!C12</f>
        <v>  3.2) Infrastructure security (Outputs)</v>
      </c>
      <c r="D17" s="280"/>
      <c r="E17" s="280"/>
      <c r="F17" s="412">
        <f>iCSCtbl!D12</f>
        <v>92.728320479609</v>
      </c>
      <c r="G17" s="413" t="str">
        <f>iCSCtbl!E12</f>
        <v>=14</v>
      </c>
      <c r="H17" s="280"/>
      <c r="BZ17" s="385"/>
      <c r="CA17" s="385"/>
    </row>
    <row r="18" s="387" customFormat="1" ht="30" customHeight="1" spans="2:79">
      <c r="B18" s="386">
        <f>iCSCtbl!F13</f>
        <v>1</v>
      </c>
      <c r="C18" s="408" t="str">
        <f>iCSCtbl!C13</f>
        <v> 4) PERSONAL SECURITY</v>
      </c>
      <c r="D18" s="280"/>
      <c r="E18" s="280"/>
      <c r="F18" s="412">
        <f>iCSCtbl!D13</f>
        <v>78.9514458295227</v>
      </c>
      <c r="G18" s="413" t="str">
        <f>iCSCtbl!E13</f>
        <v>29</v>
      </c>
      <c r="H18" s="280"/>
      <c r="BZ18" s="385"/>
      <c r="CA18" s="385"/>
    </row>
    <row r="19" s="387" customFormat="1" ht="30" customHeight="1" spans="2:79">
      <c r="B19" s="386">
        <f>iCSCtbl!F14</f>
        <v>2</v>
      </c>
      <c r="C19" s="408" t="str">
        <f>iCSCtbl!C14</f>
        <v>  4.1) Personal security (Inputs)</v>
      </c>
      <c r="D19" s="280"/>
      <c r="E19" s="280"/>
      <c r="F19" s="412">
        <f>iCSCtbl!D14</f>
        <v>71.8027210884354</v>
      </c>
      <c r="G19" s="413" t="str">
        <f>iCSCtbl!E14</f>
        <v>40</v>
      </c>
      <c r="H19" s="280"/>
      <c r="BZ19" s="385"/>
      <c r="CA19" s="385"/>
    </row>
    <row r="20" s="387" customFormat="1" ht="30" customHeight="1" spans="2:79">
      <c r="B20" s="386">
        <f>iCSCtbl!F15</f>
        <v>2</v>
      </c>
      <c r="C20" s="408" t="str">
        <f>iCSCtbl!C15</f>
        <v>  4.2) Personal security (Outputs)</v>
      </c>
      <c r="D20" s="280"/>
      <c r="E20" s="280"/>
      <c r="F20" s="412">
        <f>iCSCtbl!D15</f>
        <v>86.10017057061</v>
      </c>
      <c r="G20" s="413" t="str">
        <f>iCSCtbl!E15</f>
        <v>10</v>
      </c>
      <c r="H20" s="280"/>
      <c r="BZ20" s="385"/>
      <c r="CA20" s="385"/>
    </row>
    <row r="21" s="388" customFormat="1" ht="35.1" customHeight="1" spans="2:79">
      <c r="B21" s="385"/>
      <c r="C21" s="417"/>
      <c r="D21" s="414"/>
      <c r="E21" s="414"/>
      <c r="F21" s="415"/>
      <c r="G21" s="416"/>
      <c r="H21" s="414"/>
      <c r="BZ21" s="385"/>
      <c r="CA21" s="385"/>
    </row>
    <row r="22" s="387" customFormat="1" ht="30" customHeight="1" spans="2:79">
      <c r="B22" s="386"/>
      <c r="C22" s="408"/>
      <c r="D22" s="280"/>
      <c r="E22" s="280"/>
      <c r="F22" s="412"/>
      <c r="G22" s="413"/>
      <c r="H22" s="280"/>
      <c r="BZ22" s="385"/>
      <c r="CA22" s="385"/>
    </row>
    <row r="23" customFormat="1" ht="30" hidden="1" customHeight="1" spans="1:79">
      <c r="A23" s="68"/>
      <c r="B23" s="70"/>
      <c r="C23" s="70"/>
      <c r="D23" s="70"/>
      <c r="E23" s="70"/>
      <c r="F23" s="70"/>
      <c r="G23" s="70"/>
      <c r="H23" s="70"/>
      <c r="I23" s="70"/>
      <c r="J23" s="70"/>
      <c r="K23" s="70"/>
      <c r="L23" s="70"/>
      <c r="M23" s="68"/>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Z23" s="385"/>
      <c r="CA23" s="385"/>
    </row>
    <row r="24" customFormat="1" ht="30" hidden="1" customHeight="1" spans="1:79">
      <c r="A24" s="68"/>
      <c r="B24" s="70"/>
      <c r="C24" s="70"/>
      <c r="D24" s="70"/>
      <c r="E24" s="70"/>
      <c r="F24" s="70"/>
      <c r="G24" s="70"/>
      <c r="H24" s="70"/>
      <c r="I24" s="70"/>
      <c r="J24" s="70"/>
      <c r="K24" s="70"/>
      <c r="L24" s="70"/>
      <c r="M24" s="68"/>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Z24" s="385"/>
      <c r="CA24" s="385"/>
    </row>
    <row r="25" customFormat="1" ht="30" hidden="1" customHeight="1" spans="1:79">
      <c r="A25" s="68"/>
      <c r="B25" s="70"/>
      <c r="C25" s="70"/>
      <c r="D25" s="70"/>
      <c r="E25" s="70"/>
      <c r="F25" s="70"/>
      <c r="G25" s="70"/>
      <c r="H25" s="70"/>
      <c r="I25" s="70"/>
      <c r="J25" s="70"/>
      <c r="K25" s="70"/>
      <c r="L25" s="70"/>
      <c r="M25" s="68"/>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Z25" s="385"/>
      <c r="CA25" s="385"/>
    </row>
    <row r="26" customFormat="1" ht="35.1" hidden="1" customHeight="1" spans="1:79">
      <c r="A26" s="68"/>
      <c r="B26" s="70"/>
      <c r="C26" s="70"/>
      <c r="D26" s="70"/>
      <c r="E26" s="70"/>
      <c r="F26" s="70"/>
      <c r="G26" s="70"/>
      <c r="H26" s="70"/>
      <c r="I26" s="70"/>
      <c r="J26" s="70"/>
      <c r="K26" s="70"/>
      <c r="L26" s="70"/>
      <c r="M26" s="68"/>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Z26" s="385"/>
      <c r="CA26" s="385"/>
    </row>
    <row r="27" customFormat="1" ht="30" hidden="1" customHeight="1" spans="1:79">
      <c r="A27" s="68"/>
      <c r="B27" s="70"/>
      <c r="C27" s="70"/>
      <c r="D27" s="70"/>
      <c r="E27" s="70"/>
      <c r="F27" s="70"/>
      <c r="G27" s="70"/>
      <c r="H27" s="70"/>
      <c r="I27" s="70"/>
      <c r="J27" s="70"/>
      <c r="K27" s="70"/>
      <c r="L27" s="70"/>
      <c r="M27" s="68"/>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Z27" s="385"/>
      <c r="CA27" s="385"/>
    </row>
    <row r="28" customFormat="1" ht="30" hidden="1" customHeight="1" spans="1:79">
      <c r="A28" s="68"/>
      <c r="B28" s="70"/>
      <c r="C28" s="70"/>
      <c r="D28" s="70"/>
      <c r="E28" s="70"/>
      <c r="F28" s="70"/>
      <c r="G28" s="70"/>
      <c r="H28" s="70"/>
      <c r="I28" s="70"/>
      <c r="J28" s="70"/>
      <c r="K28" s="70"/>
      <c r="L28" s="70"/>
      <c r="M28" s="68"/>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Z28" s="385"/>
      <c r="CA28" s="385"/>
    </row>
    <row r="29" customFormat="1" ht="30" hidden="1" customHeight="1" spans="1:79">
      <c r="A29" s="68"/>
      <c r="B29" s="70"/>
      <c r="C29" s="70"/>
      <c r="D29" s="70"/>
      <c r="E29" s="70"/>
      <c r="F29" s="70"/>
      <c r="G29" s="70"/>
      <c r="H29" s="70"/>
      <c r="I29" s="70"/>
      <c r="J29" s="70"/>
      <c r="K29" s="70"/>
      <c r="L29" s="70"/>
      <c r="M29" s="68"/>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Z29" s="385"/>
      <c r="CA29" s="385"/>
    </row>
    <row r="30" customFormat="1" ht="30" hidden="1" customHeight="1" spans="1:79">
      <c r="A30" s="68"/>
      <c r="B30" s="70"/>
      <c r="C30" s="70"/>
      <c r="D30" s="70"/>
      <c r="E30" s="70"/>
      <c r="F30" s="70"/>
      <c r="G30" s="70"/>
      <c r="H30" s="70"/>
      <c r="I30" s="70"/>
      <c r="J30" s="70"/>
      <c r="K30" s="70"/>
      <c r="L30" s="70"/>
      <c r="M30" s="68"/>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Z30" s="385"/>
      <c r="CA30" s="385"/>
    </row>
    <row r="31" customFormat="1" ht="30" hidden="1" customHeight="1" spans="1:79">
      <c r="A31" s="68"/>
      <c r="B31" s="70"/>
      <c r="C31" s="70"/>
      <c r="D31" s="70"/>
      <c r="E31" s="70"/>
      <c r="F31" s="70"/>
      <c r="G31" s="70"/>
      <c r="H31" s="70"/>
      <c r="I31" s="70"/>
      <c r="J31" s="70"/>
      <c r="K31" s="70"/>
      <c r="L31" s="70"/>
      <c r="M31" s="68"/>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Z31" s="385"/>
      <c r="CA31" s="385"/>
    </row>
    <row r="32" customFormat="1" ht="35.1" hidden="1" customHeight="1" spans="1:79">
      <c r="A32" s="68"/>
      <c r="B32" s="70"/>
      <c r="C32" s="70"/>
      <c r="D32" s="70"/>
      <c r="E32" s="70"/>
      <c r="F32" s="70"/>
      <c r="G32" s="70"/>
      <c r="H32" s="70"/>
      <c r="I32" s="70"/>
      <c r="J32" s="70"/>
      <c r="K32" s="70"/>
      <c r="L32" s="70"/>
      <c r="M32" s="68"/>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Z32" s="385"/>
      <c r="CA32" s="385"/>
    </row>
    <row r="33" customFormat="1" ht="30" hidden="1" customHeight="1" spans="1:79">
      <c r="A33" s="68"/>
      <c r="B33" s="70"/>
      <c r="C33" s="70"/>
      <c r="D33" s="70"/>
      <c r="E33" s="70"/>
      <c r="F33" s="70"/>
      <c r="G33" s="70"/>
      <c r="H33" s="70"/>
      <c r="I33" s="70"/>
      <c r="J33" s="70"/>
      <c r="K33" s="70"/>
      <c r="L33" s="70"/>
      <c r="M33" s="68"/>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Z33" s="385"/>
      <c r="CA33" s="385"/>
    </row>
    <row r="34" customFormat="1" ht="30" hidden="1" customHeight="1" spans="1:79">
      <c r="A34" s="68"/>
      <c r="B34" s="70"/>
      <c r="C34" s="70"/>
      <c r="D34" s="70"/>
      <c r="E34" s="70"/>
      <c r="F34" s="70"/>
      <c r="G34" s="70"/>
      <c r="H34" s="70"/>
      <c r="I34" s="70"/>
      <c r="J34" s="70"/>
      <c r="K34" s="70"/>
      <c r="L34" s="70"/>
      <c r="M34" s="68"/>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Z34" s="385"/>
      <c r="CA34" s="385"/>
    </row>
    <row r="35" customFormat="1" ht="30" hidden="1" customHeight="1" spans="1:79">
      <c r="A35" s="68"/>
      <c r="B35" s="70"/>
      <c r="C35" s="70"/>
      <c r="D35" s="70"/>
      <c r="E35" s="70"/>
      <c r="F35" s="70"/>
      <c r="G35" s="70"/>
      <c r="H35" s="70"/>
      <c r="I35" s="70"/>
      <c r="J35" s="70"/>
      <c r="K35" s="70"/>
      <c r="L35" s="70"/>
      <c r="M35" s="68"/>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Z35" s="385"/>
      <c r="CA35" s="385"/>
    </row>
    <row r="36" customFormat="1" ht="30" hidden="1" customHeight="1" spans="1:79">
      <c r="A36" s="68"/>
      <c r="B36" s="70"/>
      <c r="C36" s="70"/>
      <c r="D36" s="70"/>
      <c r="E36" s="70"/>
      <c r="F36" s="70"/>
      <c r="G36" s="70"/>
      <c r="H36" s="70"/>
      <c r="I36" s="70"/>
      <c r="J36" s="70"/>
      <c r="K36" s="70"/>
      <c r="L36" s="70"/>
      <c r="M36" s="68"/>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Z36" s="385"/>
      <c r="CA36" s="385"/>
    </row>
    <row r="37" customFormat="1" hidden="1" customHeight="1" spans="1:79">
      <c r="A37" s="68"/>
      <c r="B37" s="70"/>
      <c r="C37" s="70"/>
      <c r="D37" s="70"/>
      <c r="E37" s="70"/>
      <c r="F37" s="70"/>
      <c r="G37" s="70"/>
      <c r="H37" s="70"/>
      <c r="I37" s="70"/>
      <c r="J37" s="70"/>
      <c r="K37" s="70"/>
      <c r="L37" s="70"/>
      <c r="M37" s="68"/>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Z37" s="385"/>
      <c r="CA37" s="385"/>
    </row>
    <row r="38" customFormat="1" hidden="1" customHeight="1" spans="1:79">
      <c r="A38" s="68"/>
      <c r="B38" s="70"/>
      <c r="C38" s="70"/>
      <c r="D38" s="70"/>
      <c r="E38" s="70"/>
      <c r="F38" s="70"/>
      <c r="G38" s="70"/>
      <c r="H38" s="70"/>
      <c r="I38" s="70"/>
      <c r="J38" s="70"/>
      <c r="K38" s="70"/>
      <c r="L38" s="70"/>
      <c r="M38" s="68"/>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Z38" s="385"/>
      <c r="CA38" s="385"/>
    </row>
    <row r="39" customFormat="1" hidden="1" customHeight="1" spans="1:79">
      <c r="A39" s="68"/>
      <c r="B39" s="70"/>
      <c r="C39" s="70"/>
      <c r="D39" s="70"/>
      <c r="E39" s="70"/>
      <c r="F39" s="70"/>
      <c r="G39" s="70"/>
      <c r="H39" s="70"/>
      <c r="I39" s="70"/>
      <c r="J39" s="70"/>
      <c r="K39" s="70"/>
      <c r="L39" s="70"/>
      <c r="M39" s="68"/>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Z39" s="385"/>
      <c r="CA39" s="385"/>
    </row>
    <row r="40" customFormat="1" hidden="1" customHeight="1" spans="1:79">
      <c r="A40" s="68"/>
      <c r="B40" s="70"/>
      <c r="C40" s="70"/>
      <c r="D40" s="70"/>
      <c r="E40" s="70"/>
      <c r="F40" s="70"/>
      <c r="G40" s="70"/>
      <c r="H40" s="70"/>
      <c r="I40" s="70"/>
      <c r="J40" s="70"/>
      <c r="K40" s="70"/>
      <c r="L40" s="70"/>
      <c r="M40" s="68"/>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Z40" s="385"/>
      <c r="CA40" s="385"/>
    </row>
    <row r="41" customFormat="1" hidden="1" customHeight="1" spans="1:79">
      <c r="A41" s="68"/>
      <c r="B41" s="70"/>
      <c r="C41" s="70"/>
      <c r="D41" s="70"/>
      <c r="E41" s="70"/>
      <c r="F41" s="70"/>
      <c r="G41" s="70"/>
      <c r="H41" s="70"/>
      <c r="I41" s="70"/>
      <c r="J41" s="70"/>
      <c r="K41" s="70"/>
      <c r="L41" s="70"/>
      <c r="M41" s="68"/>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Z41" s="385"/>
      <c r="CA41" s="385"/>
    </row>
    <row r="42" customFormat="1" hidden="1" customHeight="1" spans="1:79">
      <c r="A42" s="68"/>
      <c r="B42" s="70"/>
      <c r="C42" s="70"/>
      <c r="D42" s="70"/>
      <c r="E42" s="70"/>
      <c r="F42" s="70"/>
      <c r="G42" s="70"/>
      <c r="H42" s="70"/>
      <c r="I42" s="70"/>
      <c r="J42" s="70"/>
      <c r="K42" s="70"/>
      <c r="L42" s="70"/>
      <c r="M42" s="68"/>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Z42" s="385"/>
      <c r="CA42" s="385"/>
    </row>
    <row r="43" customFormat="1" hidden="1" customHeight="1" spans="1:79">
      <c r="A43" s="68"/>
      <c r="B43" s="70"/>
      <c r="C43" s="70"/>
      <c r="D43" s="70"/>
      <c r="E43" s="70"/>
      <c r="F43" s="70"/>
      <c r="G43" s="70"/>
      <c r="H43" s="70"/>
      <c r="I43" s="70"/>
      <c r="J43" s="70"/>
      <c r="K43" s="70"/>
      <c r="L43" s="70"/>
      <c r="M43" s="68"/>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Z43" s="385"/>
      <c r="CA43" s="385"/>
    </row>
    <row r="44" customFormat="1" hidden="1" customHeight="1" spans="1:79">
      <c r="A44" s="68"/>
      <c r="B44" s="70"/>
      <c r="C44" s="70"/>
      <c r="D44" s="70"/>
      <c r="E44" s="70"/>
      <c r="F44" s="70"/>
      <c r="G44" s="70"/>
      <c r="H44" s="70"/>
      <c r="I44" s="70"/>
      <c r="J44" s="70"/>
      <c r="K44" s="70"/>
      <c r="L44" s="70"/>
      <c r="M44" s="68"/>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Z44" s="385"/>
      <c r="CA44" s="385"/>
    </row>
    <row r="45" customFormat="1" hidden="1" customHeight="1" spans="1:79">
      <c r="A45" s="68"/>
      <c r="B45" s="70"/>
      <c r="C45" s="70"/>
      <c r="D45" s="70"/>
      <c r="E45" s="70"/>
      <c r="F45" s="70"/>
      <c r="G45" s="70"/>
      <c r="H45" s="70"/>
      <c r="I45" s="70"/>
      <c r="J45" s="70"/>
      <c r="K45" s="70"/>
      <c r="L45" s="70"/>
      <c r="M45" s="68"/>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Z45" s="385"/>
      <c r="CA45" s="385"/>
    </row>
    <row r="46" customFormat="1" hidden="1" customHeight="1" spans="1:79">
      <c r="A46" s="68"/>
      <c r="B46" s="70"/>
      <c r="C46" s="70"/>
      <c r="D46" s="70"/>
      <c r="E46" s="70"/>
      <c r="F46" s="70"/>
      <c r="G46" s="70"/>
      <c r="H46" s="70"/>
      <c r="I46" s="70"/>
      <c r="J46" s="70"/>
      <c r="K46" s="70"/>
      <c r="L46" s="70"/>
      <c r="M46" s="68"/>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Z46" s="385"/>
      <c r="CA46" s="385"/>
    </row>
    <row r="47" customFormat="1" hidden="1" customHeight="1" spans="1:79">
      <c r="A47" s="68"/>
      <c r="B47" s="70"/>
      <c r="C47" s="70"/>
      <c r="D47" s="70"/>
      <c r="E47" s="70"/>
      <c r="F47" s="70"/>
      <c r="G47" s="70"/>
      <c r="H47" s="70"/>
      <c r="I47" s="70"/>
      <c r="J47" s="70"/>
      <c r="K47" s="70"/>
      <c r="L47" s="70"/>
      <c r="M47" s="68"/>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Z47" s="385"/>
      <c r="CA47" s="385"/>
    </row>
    <row r="48" customFormat="1" hidden="1" customHeight="1" spans="1:79">
      <c r="A48" s="68"/>
      <c r="B48" s="70"/>
      <c r="C48" s="70"/>
      <c r="D48" s="70"/>
      <c r="E48" s="70"/>
      <c r="F48" s="70"/>
      <c r="G48" s="70"/>
      <c r="H48" s="70"/>
      <c r="I48" s="70"/>
      <c r="J48" s="70"/>
      <c r="K48" s="70"/>
      <c r="L48" s="70"/>
      <c r="M48" s="68"/>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Z48" s="385"/>
      <c r="CA48" s="385"/>
    </row>
    <row r="49" customFormat="1" hidden="1" customHeight="1" spans="1:79">
      <c r="A49" s="68"/>
      <c r="B49" s="70"/>
      <c r="C49" s="70"/>
      <c r="D49" s="70"/>
      <c r="E49" s="70"/>
      <c r="F49" s="70"/>
      <c r="G49" s="70"/>
      <c r="H49" s="70"/>
      <c r="I49" s="70"/>
      <c r="J49" s="70"/>
      <c r="K49" s="70"/>
      <c r="L49" s="70"/>
      <c r="M49" s="68"/>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Z49" s="385"/>
      <c r="CA49" s="385"/>
    </row>
    <row r="50" customFormat="1" hidden="1" customHeight="1" spans="1:79">
      <c r="A50" s="68"/>
      <c r="B50" s="70"/>
      <c r="C50" s="70"/>
      <c r="D50" s="70"/>
      <c r="E50" s="70"/>
      <c r="F50" s="70"/>
      <c r="G50" s="70"/>
      <c r="H50" s="70"/>
      <c r="I50" s="70"/>
      <c r="J50" s="70"/>
      <c r="K50" s="70"/>
      <c r="L50" s="70"/>
      <c r="M50" s="68"/>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Z50" s="385"/>
      <c r="CA50" s="385"/>
    </row>
    <row r="51" customFormat="1" ht="15.75" hidden="1" spans="1:79">
      <c r="A51" s="68"/>
      <c r="B51" s="70"/>
      <c r="C51" s="70"/>
      <c r="D51" s="70"/>
      <c r="E51" s="70"/>
      <c r="F51" s="70"/>
      <c r="G51" s="70"/>
      <c r="H51" s="70"/>
      <c r="I51" s="70"/>
      <c r="J51" s="70"/>
      <c r="K51" s="70"/>
      <c r="L51" s="70"/>
      <c r="M51" s="68"/>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Z51" s="385"/>
      <c r="CA51" s="385"/>
    </row>
    <row r="52" customFormat="1" ht="15.75" hidden="1" spans="1:79">
      <c r="A52" s="68"/>
      <c r="B52" s="70"/>
      <c r="C52" s="70"/>
      <c r="D52" s="70"/>
      <c r="E52" s="70"/>
      <c r="F52" s="70"/>
      <c r="G52" s="70"/>
      <c r="H52" s="70"/>
      <c r="I52" s="70"/>
      <c r="J52" s="70"/>
      <c r="K52" s="70"/>
      <c r="L52" s="70"/>
      <c r="M52" s="68"/>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Z52" s="385"/>
      <c r="CA52" s="385"/>
    </row>
    <row r="53" customFormat="1" ht="15.75" hidden="1" spans="1:79">
      <c r="A53" s="68"/>
      <c r="B53" s="70"/>
      <c r="C53" s="70"/>
      <c r="D53" s="70"/>
      <c r="E53" s="70"/>
      <c r="F53" s="70"/>
      <c r="G53" s="70"/>
      <c r="H53" s="70"/>
      <c r="I53" s="70"/>
      <c r="J53" s="70"/>
      <c r="K53" s="70"/>
      <c r="L53" s="70"/>
      <c r="M53" s="68"/>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Z53" s="385"/>
      <c r="CA53" s="385"/>
    </row>
    <row r="54" customFormat="1" ht="15.75" hidden="1" spans="1:79">
      <c r="A54" s="68"/>
      <c r="B54" s="70"/>
      <c r="C54" s="70"/>
      <c r="D54" s="70"/>
      <c r="E54" s="70"/>
      <c r="F54" s="70"/>
      <c r="G54" s="70"/>
      <c r="H54" s="70"/>
      <c r="I54" s="70"/>
      <c r="J54" s="70"/>
      <c r="K54" s="70"/>
      <c r="L54" s="70"/>
      <c r="M54" s="68"/>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Z54" s="385"/>
      <c r="CA54" s="385"/>
    </row>
    <row r="55" customFormat="1" ht="15.75" hidden="1" spans="1:79">
      <c r="A55" s="68"/>
      <c r="B55" s="70"/>
      <c r="C55" s="70"/>
      <c r="D55" s="70"/>
      <c r="E55" s="70"/>
      <c r="F55" s="70"/>
      <c r="G55" s="70"/>
      <c r="H55" s="70"/>
      <c r="I55" s="70"/>
      <c r="J55" s="70"/>
      <c r="K55" s="70"/>
      <c r="L55" s="70"/>
      <c r="M55" s="68"/>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Z55" s="385"/>
      <c r="CA55" s="385"/>
    </row>
    <row r="56" customFormat="1" ht="15.75" hidden="1" spans="1:79">
      <c r="A56" s="68"/>
      <c r="B56" s="70"/>
      <c r="C56" s="70"/>
      <c r="D56" s="70"/>
      <c r="E56" s="70"/>
      <c r="F56" s="70"/>
      <c r="G56" s="70"/>
      <c r="H56" s="70"/>
      <c r="I56" s="70"/>
      <c r="J56" s="70"/>
      <c r="K56" s="70"/>
      <c r="L56" s="70"/>
      <c r="M56" s="68"/>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Z56" s="385"/>
      <c r="CA56" s="385"/>
    </row>
    <row r="57" customFormat="1" ht="15.75" hidden="1" spans="1:79">
      <c r="A57" s="68"/>
      <c r="B57" s="70"/>
      <c r="C57" s="70"/>
      <c r="D57" s="70"/>
      <c r="E57" s="70"/>
      <c r="F57" s="70"/>
      <c r="G57" s="70"/>
      <c r="H57" s="70"/>
      <c r="I57" s="70"/>
      <c r="J57" s="70"/>
      <c r="K57" s="70"/>
      <c r="L57" s="70"/>
      <c r="M57" s="68"/>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Z57" s="385"/>
      <c r="CA57" s="385"/>
    </row>
    <row r="58" customFormat="1" ht="15.75" hidden="1" spans="1:79">
      <c r="A58" s="68"/>
      <c r="B58" s="70"/>
      <c r="C58" s="70"/>
      <c r="D58" s="70"/>
      <c r="E58" s="70"/>
      <c r="F58" s="70"/>
      <c r="G58" s="70"/>
      <c r="H58" s="70"/>
      <c r="I58" s="70"/>
      <c r="J58" s="70"/>
      <c r="K58" s="70"/>
      <c r="L58" s="70"/>
      <c r="M58" s="68"/>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Z58" s="385"/>
      <c r="CA58" s="385"/>
    </row>
    <row r="59" customFormat="1" ht="15.75" hidden="1" spans="1:79">
      <c r="A59" s="68"/>
      <c r="B59" s="70"/>
      <c r="C59" s="70"/>
      <c r="D59" s="70"/>
      <c r="E59" s="70"/>
      <c r="F59" s="70"/>
      <c r="G59" s="70"/>
      <c r="H59" s="70"/>
      <c r="I59" s="70"/>
      <c r="J59" s="70"/>
      <c r="K59" s="70"/>
      <c r="L59" s="70"/>
      <c r="M59" s="68"/>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Z59" s="385"/>
      <c r="CA59" s="385"/>
    </row>
    <row r="60" customFormat="1" ht="15.75" hidden="1" spans="1:79">
      <c r="A60" s="68"/>
      <c r="B60" s="70"/>
      <c r="C60" s="70"/>
      <c r="D60" s="70"/>
      <c r="E60" s="70"/>
      <c r="F60" s="70"/>
      <c r="G60" s="70"/>
      <c r="H60" s="70"/>
      <c r="I60" s="70"/>
      <c r="J60" s="70"/>
      <c r="K60" s="70"/>
      <c r="L60" s="70"/>
      <c r="M60" s="68"/>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Z60" s="385"/>
      <c r="CA60" s="385"/>
    </row>
    <row r="61" customFormat="1" ht="15.75" hidden="1" spans="1:79">
      <c r="A61" s="68"/>
      <c r="B61" s="70"/>
      <c r="C61" s="70"/>
      <c r="D61" s="70"/>
      <c r="E61" s="70"/>
      <c r="F61" s="70"/>
      <c r="G61" s="70"/>
      <c r="H61" s="70"/>
      <c r="I61" s="70"/>
      <c r="J61" s="70"/>
      <c r="K61" s="70"/>
      <c r="L61" s="70"/>
      <c r="M61" s="68"/>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Z61" s="385"/>
      <c r="CA61" s="385"/>
    </row>
    <row r="62" customFormat="1" ht="15.75" hidden="1" spans="1:79">
      <c r="A62" s="68"/>
      <c r="B62" s="70"/>
      <c r="C62" s="70"/>
      <c r="D62" s="70"/>
      <c r="E62" s="70"/>
      <c r="F62" s="70"/>
      <c r="G62" s="70"/>
      <c r="H62" s="70"/>
      <c r="I62" s="70"/>
      <c r="J62" s="70"/>
      <c r="K62" s="70"/>
      <c r="L62" s="70"/>
      <c r="M62" s="68"/>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Z62" s="385"/>
      <c r="CA62" s="385"/>
    </row>
    <row r="63" customFormat="1" ht="15.75" hidden="1" spans="1:79">
      <c r="A63" s="68"/>
      <c r="B63" s="70"/>
      <c r="C63" s="70"/>
      <c r="D63" s="70"/>
      <c r="E63" s="70"/>
      <c r="F63" s="70"/>
      <c r="G63" s="70"/>
      <c r="H63" s="70"/>
      <c r="I63" s="70"/>
      <c r="J63" s="70"/>
      <c r="K63" s="70"/>
      <c r="L63" s="70"/>
      <c r="M63" s="68"/>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Z63" s="385"/>
      <c r="CA63" s="385"/>
    </row>
    <row r="64" customFormat="1" ht="15.75" hidden="1" spans="1:79">
      <c r="A64" s="68"/>
      <c r="B64" s="70"/>
      <c r="C64" s="70"/>
      <c r="D64" s="70"/>
      <c r="E64" s="70"/>
      <c r="F64" s="70"/>
      <c r="G64" s="70"/>
      <c r="H64" s="70"/>
      <c r="I64" s="70"/>
      <c r="J64" s="70"/>
      <c r="K64" s="70"/>
      <c r="L64" s="70"/>
      <c r="M64" s="68"/>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Z64" s="385"/>
      <c r="CA64" s="385"/>
    </row>
    <row r="65" customFormat="1" ht="15.75" hidden="1" spans="1:79">
      <c r="A65" s="68"/>
      <c r="B65" s="70"/>
      <c r="C65" s="70"/>
      <c r="D65" s="70"/>
      <c r="E65" s="70"/>
      <c r="F65" s="70"/>
      <c r="G65" s="70"/>
      <c r="H65" s="70"/>
      <c r="I65" s="70"/>
      <c r="J65" s="70"/>
      <c r="K65" s="70"/>
      <c r="L65" s="70"/>
      <c r="M65" s="68"/>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Z65" s="385"/>
      <c r="CA65" s="385"/>
    </row>
    <row r="66" customFormat="1" ht="15.75" hidden="1" spans="1:79">
      <c r="A66" s="68"/>
      <c r="B66" s="70"/>
      <c r="C66" s="70"/>
      <c r="D66" s="70"/>
      <c r="E66" s="70"/>
      <c r="F66" s="70"/>
      <c r="G66" s="70"/>
      <c r="H66" s="70"/>
      <c r="I66" s="70"/>
      <c r="J66" s="70"/>
      <c r="K66" s="70"/>
      <c r="L66" s="70"/>
      <c r="M66" s="68"/>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Z66" s="385"/>
      <c r="CA66" s="385"/>
    </row>
    <row r="67" customFormat="1" ht="15.75" hidden="1" spans="1:79">
      <c r="A67" s="68"/>
      <c r="B67" s="70"/>
      <c r="C67" s="70"/>
      <c r="D67" s="70"/>
      <c r="E67" s="70"/>
      <c r="F67" s="70"/>
      <c r="G67" s="70"/>
      <c r="H67" s="70"/>
      <c r="I67" s="70"/>
      <c r="J67" s="70"/>
      <c r="K67" s="70"/>
      <c r="L67" s="70"/>
      <c r="M67" s="68"/>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Z67" s="385"/>
      <c r="CA67" s="385"/>
    </row>
    <row r="68" customFormat="1" ht="15.75" hidden="1" spans="1:79">
      <c r="A68" s="68"/>
      <c r="B68" s="70"/>
      <c r="C68" s="70"/>
      <c r="D68" s="70"/>
      <c r="E68" s="70"/>
      <c r="F68" s="70"/>
      <c r="G68" s="70"/>
      <c r="H68" s="70"/>
      <c r="I68" s="70"/>
      <c r="J68" s="70"/>
      <c r="K68" s="70"/>
      <c r="L68" s="70"/>
      <c r="M68" s="68"/>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Z68" s="385"/>
      <c r="CA68" s="385"/>
    </row>
    <row r="69" customFormat="1" hidden="1" spans="1:54">
      <c r="A69" s="68"/>
      <c r="B69" s="70"/>
      <c r="C69" s="70"/>
      <c r="D69" s="70"/>
      <c r="E69" s="70"/>
      <c r="F69" s="70"/>
      <c r="G69" s="70"/>
      <c r="H69" s="70"/>
      <c r="I69" s="70"/>
      <c r="J69" s="70"/>
      <c r="K69" s="70"/>
      <c r="L69" s="70"/>
      <c r="M69" s="68"/>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row>
    <row r="70" customFormat="1" hidden="1" spans="1:54">
      <c r="A70" s="68"/>
      <c r="B70" s="70"/>
      <c r="C70" s="70"/>
      <c r="D70" s="70"/>
      <c r="E70" s="70"/>
      <c r="F70" s="70"/>
      <c r="G70" s="70"/>
      <c r="H70" s="70"/>
      <c r="I70" s="70"/>
      <c r="J70" s="70"/>
      <c r="K70" s="70"/>
      <c r="L70" s="70"/>
      <c r="M70" s="68"/>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row>
    <row r="71" customFormat="1" hidden="1" spans="1:54">
      <c r="A71" s="68"/>
      <c r="B71" s="70"/>
      <c r="C71" s="70"/>
      <c r="D71" s="70"/>
      <c r="E71" s="70"/>
      <c r="F71" s="70"/>
      <c r="G71" s="70"/>
      <c r="H71" s="70"/>
      <c r="I71" s="70"/>
      <c r="J71" s="70"/>
      <c r="K71" s="70"/>
      <c r="L71" s="70"/>
      <c r="M71" s="68"/>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row>
    <row r="72" customFormat="1" hidden="1" spans="1:54">
      <c r="A72" s="68"/>
      <c r="B72" s="70"/>
      <c r="C72" s="70"/>
      <c r="D72" s="70"/>
      <c r="E72" s="70"/>
      <c r="F72" s="70"/>
      <c r="G72" s="70"/>
      <c r="H72" s="70"/>
      <c r="I72" s="70"/>
      <c r="J72" s="70"/>
      <c r="K72" s="70"/>
      <c r="L72" s="70"/>
      <c r="M72" s="68"/>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row>
    <row r="73" customFormat="1" hidden="1" spans="1:54">
      <c r="A73" s="68"/>
      <c r="B73" s="70"/>
      <c r="C73" s="70"/>
      <c r="D73" s="70"/>
      <c r="E73" s="70"/>
      <c r="F73" s="70"/>
      <c r="G73" s="70"/>
      <c r="H73" s="70"/>
      <c r="I73" s="70"/>
      <c r="J73" s="70"/>
      <c r="K73" s="70"/>
      <c r="L73" s="70"/>
      <c r="M73" s="68"/>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row>
    <row r="74" customFormat="1" hidden="1" spans="1:54">
      <c r="A74" s="68"/>
      <c r="B74" s="70"/>
      <c r="C74" s="70"/>
      <c r="D74" s="70"/>
      <c r="E74" s="70"/>
      <c r="F74" s="70"/>
      <c r="G74" s="70"/>
      <c r="H74" s="70"/>
      <c r="I74" s="70"/>
      <c r="J74" s="70"/>
      <c r="K74" s="70"/>
      <c r="L74" s="70"/>
      <c r="M74" s="68"/>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row>
    <row r="75" customFormat="1" hidden="1" spans="1:54">
      <c r="A75" s="68"/>
      <c r="B75" s="70"/>
      <c r="C75" s="70"/>
      <c r="D75" s="70"/>
      <c r="E75" s="70"/>
      <c r="F75" s="70"/>
      <c r="G75" s="70"/>
      <c r="H75" s="70"/>
      <c r="I75" s="70"/>
      <c r="J75" s="70"/>
      <c r="K75" s="70"/>
      <c r="L75" s="70"/>
      <c r="M75" s="68"/>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row>
    <row r="76" customFormat="1" hidden="1" spans="1:54">
      <c r="A76" s="68"/>
      <c r="B76" s="70"/>
      <c r="C76" s="70"/>
      <c r="D76" s="70"/>
      <c r="E76" s="70"/>
      <c r="F76" s="70"/>
      <c r="G76" s="70"/>
      <c r="H76" s="70"/>
      <c r="I76" s="70"/>
      <c r="J76" s="70"/>
      <c r="K76" s="70"/>
      <c r="L76" s="70"/>
      <c r="M76" s="68"/>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row>
    <row r="77" customFormat="1" hidden="1" spans="1:54">
      <c r="A77" s="68"/>
      <c r="B77" s="70"/>
      <c r="C77" s="70"/>
      <c r="D77" s="70"/>
      <c r="E77" s="70"/>
      <c r="F77" s="70"/>
      <c r="G77" s="70"/>
      <c r="H77" s="70"/>
      <c r="I77" s="70"/>
      <c r="J77" s="70"/>
      <c r="K77" s="70"/>
      <c r="L77" s="70"/>
      <c r="M77" s="68"/>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row>
    <row r="78" customFormat="1" hidden="1" spans="1:54">
      <c r="A78" s="68"/>
      <c r="B78" s="70"/>
      <c r="C78" s="70"/>
      <c r="D78" s="70"/>
      <c r="E78" s="70"/>
      <c r="F78" s="70"/>
      <c r="G78" s="70"/>
      <c r="H78" s="70"/>
      <c r="I78" s="70"/>
      <c r="J78" s="70"/>
      <c r="K78" s="70"/>
      <c r="L78" s="70"/>
      <c r="M78" s="68"/>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row>
    <row r="79" customFormat="1" hidden="1" spans="1:54">
      <c r="A79" s="68"/>
      <c r="B79" s="70"/>
      <c r="C79" s="70"/>
      <c r="D79" s="70"/>
      <c r="E79" s="70"/>
      <c r="F79" s="70"/>
      <c r="G79" s="70"/>
      <c r="H79" s="70"/>
      <c r="I79" s="70"/>
      <c r="J79" s="70"/>
      <c r="K79" s="70"/>
      <c r="L79" s="70"/>
      <c r="M79" s="68"/>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row>
    <row r="80" customFormat="1" hidden="1" spans="1:54">
      <c r="A80" s="68"/>
      <c r="B80" s="70"/>
      <c r="C80" s="70"/>
      <c r="D80" s="70"/>
      <c r="E80" s="70"/>
      <c r="F80" s="70"/>
      <c r="G80" s="70"/>
      <c r="H80" s="70"/>
      <c r="I80" s="70"/>
      <c r="J80" s="70"/>
      <c r="K80" s="70"/>
      <c r="L80" s="70"/>
      <c r="M80" s="68"/>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row>
    <row r="81" customFormat="1" hidden="1" spans="1:54">
      <c r="A81" s="68"/>
      <c r="B81" s="70"/>
      <c r="C81" s="70"/>
      <c r="D81" s="70"/>
      <c r="E81" s="70"/>
      <c r="F81" s="70"/>
      <c r="G81" s="70"/>
      <c r="H81" s="70"/>
      <c r="I81" s="70"/>
      <c r="J81" s="70"/>
      <c r="K81" s="70"/>
      <c r="L81" s="70"/>
      <c r="M81" s="68"/>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row>
    <row r="82" customFormat="1" hidden="1" spans="1:54">
      <c r="A82" s="68"/>
      <c r="B82" s="70"/>
      <c r="C82" s="70"/>
      <c r="D82" s="70"/>
      <c r="E82" s="70"/>
      <c r="F82" s="70"/>
      <c r="G82" s="70"/>
      <c r="H82" s="70"/>
      <c r="I82" s="70"/>
      <c r="J82" s="70"/>
      <c r="K82" s="70"/>
      <c r="L82" s="70"/>
      <c r="M82" s="68"/>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row>
    <row r="83" customFormat="1" hidden="1" spans="1:54">
      <c r="A83" s="68"/>
      <c r="B83" s="70"/>
      <c r="C83" s="70"/>
      <c r="D83" s="70"/>
      <c r="E83" s="70"/>
      <c r="F83" s="70"/>
      <c r="G83" s="70"/>
      <c r="H83" s="70"/>
      <c r="I83" s="70"/>
      <c r="J83" s="70"/>
      <c r="K83" s="70"/>
      <c r="L83" s="70"/>
      <c r="M83" s="68"/>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row>
    <row r="84" customFormat="1" hidden="1" spans="1:54">
      <c r="A84" s="68"/>
      <c r="B84" s="70"/>
      <c r="C84" s="70"/>
      <c r="D84" s="70"/>
      <c r="E84" s="70"/>
      <c r="F84" s="70"/>
      <c r="G84" s="70"/>
      <c r="H84" s="70"/>
      <c r="I84" s="70"/>
      <c r="J84" s="70"/>
      <c r="K84" s="70"/>
      <c r="L84" s="70"/>
      <c r="M84" s="68"/>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row>
    <row r="85" customFormat="1" hidden="1" spans="1:54">
      <c r="A85" s="68"/>
      <c r="B85" s="70"/>
      <c r="C85" s="70"/>
      <c r="D85" s="70"/>
      <c r="E85" s="70"/>
      <c r="F85" s="70"/>
      <c r="G85" s="70"/>
      <c r="H85" s="70"/>
      <c r="I85" s="70"/>
      <c r="J85" s="70"/>
      <c r="K85" s="70"/>
      <c r="L85" s="70"/>
      <c r="M85" s="68"/>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row>
    <row r="86" customFormat="1" hidden="1" spans="1:54">
      <c r="A86" s="68"/>
      <c r="B86" s="70"/>
      <c r="C86" s="70"/>
      <c r="D86" s="70"/>
      <c r="E86" s="70"/>
      <c r="F86" s="70"/>
      <c r="G86" s="70"/>
      <c r="H86" s="70"/>
      <c r="I86" s="70"/>
      <c r="J86" s="70"/>
      <c r="K86" s="70"/>
      <c r="L86" s="70"/>
      <c r="M86" s="68"/>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row>
    <row r="87" customFormat="1" hidden="1" spans="1:54">
      <c r="A87" s="68"/>
      <c r="B87" s="70"/>
      <c r="C87" s="70"/>
      <c r="D87" s="70"/>
      <c r="E87" s="70"/>
      <c r="F87" s="70"/>
      <c r="G87" s="70"/>
      <c r="H87" s="70"/>
      <c r="I87" s="70"/>
      <c r="J87" s="70"/>
      <c r="K87" s="70"/>
      <c r="L87" s="70"/>
      <c r="M87" s="68"/>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row>
    <row r="88" customFormat="1" hidden="1" spans="1:54">
      <c r="A88" s="68"/>
      <c r="B88" s="70"/>
      <c r="C88" s="70"/>
      <c r="D88" s="70"/>
      <c r="E88" s="70"/>
      <c r="F88" s="70"/>
      <c r="G88" s="70"/>
      <c r="H88" s="70"/>
      <c r="I88" s="70"/>
      <c r="J88" s="70"/>
      <c r="K88" s="70"/>
      <c r="L88" s="70"/>
      <c r="M88" s="68"/>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row>
    <row r="89" customFormat="1" hidden="1" spans="1:54">
      <c r="A89" s="68"/>
      <c r="B89" s="70"/>
      <c r="C89" s="70"/>
      <c r="D89" s="70"/>
      <c r="E89" s="70"/>
      <c r="F89" s="70"/>
      <c r="G89" s="70"/>
      <c r="H89" s="70"/>
      <c r="I89" s="70"/>
      <c r="J89" s="70"/>
      <c r="K89" s="70"/>
      <c r="L89" s="70"/>
      <c r="M89" s="68"/>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row>
    <row r="90" customFormat="1" hidden="1" spans="1:54">
      <c r="A90" s="68"/>
      <c r="B90" s="70"/>
      <c r="C90" s="70"/>
      <c r="D90" s="70"/>
      <c r="E90" s="70"/>
      <c r="F90" s="70"/>
      <c r="G90" s="70"/>
      <c r="H90" s="70"/>
      <c r="I90" s="70"/>
      <c r="J90" s="70"/>
      <c r="K90" s="70"/>
      <c r="L90" s="70"/>
      <c r="M90" s="68"/>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row>
    <row r="91" customFormat="1" hidden="1" spans="1:54">
      <c r="A91" s="68"/>
      <c r="B91" s="70"/>
      <c r="C91" s="70"/>
      <c r="D91" s="70"/>
      <c r="E91" s="70"/>
      <c r="F91" s="70"/>
      <c r="G91" s="70"/>
      <c r="H91" s="70"/>
      <c r="I91" s="70"/>
      <c r="J91" s="70"/>
      <c r="K91" s="70"/>
      <c r="L91" s="70"/>
      <c r="M91" s="68"/>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row>
    <row r="92" customFormat="1" hidden="1" spans="1:54">
      <c r="A92" s="68"/>
      <c r="B92" s="70"/>
      <c r="C92" s="70"/>
      <c r="D92" s="70"/>
      <c r="E92" s="70"/>
      <c r="F92" s="70"/>
      <c r="G92" s="70"/>
      <c r="H92" s="70"/>
      <c r="I92" s="70"/>
      <c r="J92" s="70"/>
      <c r="K92" s="70"/>
      <c r="L92" s="70"/>
      <c r="M92" s="68"/>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row>
    <row r="93" customFormat="1" hidden="1" spans="1:54">
      <c r="A93" s="68"/>
      <c r="B93" s="70"/>
      <c r="C93" s="70"/>
      <c r="D93" s="70"/>
      <c r="E93" s="70"/>
      <c r="F93" s="70"/>
      <c r="G93" s="70"/>
      <c r="H93" s="70"/>
      <c r="I93" s="70"/>
      <c r="J93" s="70"/>
      <c r="K93" s="70"/>
      <c r="L93" s="70"/>
      <c r="M93" s="68"/>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row>
    <row r="94" customFormat="1" hidden="1" spans="1:54">
      <c r="A94" s="68"/>
      <c r="B94" s="70"/>
      <c r="C94" s="70"/>
      <c r="D94" s="70"/>
      <c r="E94" s="70"/>
      <c r="F94" s="70"/>
      <c r="G94" s="70"/>
      <c r="H94" s="70"/>
      <c r="I94" s="70"/>
      <c r="J94" s="70"/>
      <c r="K94" s="70"/>
      <c r="L94" s="70"/>
      <c r="M94" s="68"/>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row>
    <row r="95" customFormat="1" hidden="1" spans="1:54">
      <c r="A95" s="68"/>
      <c r="B95" s="70"/>
      <c r="C95" s="70"/>
      <c r="D95" s="70"/>
      <c r="E95" s="70"/>
      <c r="F95" s="70"/>
      <c r="G95" s="70"/>
      <c r="H95" s="70"/>
      <c r="I95" s="70"/>
      <c r="J95" s="70"/>
      <c r="K95" s="70"/>
      <c r="L95" s="70"/>
      <c r="M95" s="68"/>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row>
    <row r="96" customFormat="1" hidden="1" spans="1:54">
      <c r="A96" s="68"/>
      <c r="B96" s="70"/>
      <c r="C96" s="70"/>
      <c r="D96" s="70"/>
      <c r="E96" s="70"/>
      <c r="F96" s="70"/>
      <c r="G96" s="70"/>
      <c r="H96" s="70"/>
      <c r="I96" s="70"/>
      <c r="J96" s="70"/>
      <c r="K96" s="70"/>
      <c r="L96" s="70"/>
      <c r="M96" s="68"/>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row>
    <row r="97" customFormat="1" hidden="1" spans="1:54">
      <c r="A97" s="68"/>
      <c r="B97" s="70"/>
      <c r="C97" s="70"/>
      <c r="D97" s="70"/>
      <c r="E97" s="70"/>
      <c r="F97" s="70"/>
      <c r="G97" s="70"/>
      <c r="H97" s="70"/>
      <c r="I97" s="70"/>
      <c r="J97" s="70"/>
      <c r="K97" s="70"/>
      <c r="L97" s="70"/>
      <c r="M97" s="68"/>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row>
    <row r="98" customFormat="1" hidden="1" spans="1:54">
      <c r="A98" s="68"/>
      <c r="B98" s="70"/>
      <c r="C98" s="70"/>
      <c r="D98" s="70"/>
      <c r="E98" s="70"/>
      <c r="F98" s="70"/>
      <c r="G98" s="70"/>
      <c r="H98" s="70"/>
      <c r="I98" s="70"/>
      <c r="J98" s="70"/>
      <c r="K98" s="70"/>
      <c r="L98" s="70"/>
      <c r="M98" s="68"/>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row>
    <row r="99" customFormat="1" hidden="1" spans="1:54">
      <c r="A99" s="68"/>
      <c r="B99" s="70"/>
      <c r="C99" s="70"/>
      <c r="D99" s="70"/>
      <c r="E99" s="70"/>
      <c r="F99" s="70"/>
      <c r="G99" s="70"/>
      <c r="H99" s="70"/>
      <c r="I99" s="70"/>
      <c r="J99" s="70"/>
      <c r="K99" s="70"/>
      <c r="L99" s="70"/>
      <c r="M99" s="68"/>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row>
    <row r="100" customFormat="1" hidden="1" spans="1:54">
      <c r="A100" s="68"/>
      <c r="B100" s="70"/>
      <c r="C100" s="70"/>
      <c r="D100" s="70"/>
      <c r="E100" s="70"/>
      <c r="F100" s="70"/>
      <c r="G100" s="70"/>
      <c r="H100" s="70"/>
      <c r="I100" s="70"/>
      <c r="J100" s="70"/>
      <c r="K100" s="70"/>
      <c r="L100" s="70"/>
      <c r="M100" s="68"/>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row>
    <row r="101" customFormat="1" hidden="1" spans="1:54">
      <c r="A101" s="68"/>
      <c r="B101" s="70"/>
      <c r="C101" s="70"/>
      <c r="D101" s="70"/>
      <c r="E101" s="70"/>
      <c r="F101" s="70"/>
      <c r="G101" s="70"/>
      <c r="H101" s="70"/>
      <c r="I101" s="70"/>
      <c r="J101" s="70"/>
      <c r="K101" s="70"/>
      <c r="L101" s="70"/>
      <c r="M101" s="68"/>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row>
    <row r="102" customFormat="1" hidden="1" spans="1:54">
      <c r="A102" s="68"/>
      <c r="B102" s="70"/>
      <c r="C102" s="70"/>
      <c r="D102" s="70"/>
      <c r="E102" s="70"/>
      <c r="F102" s="70"/>
      <c r="G102" s="70"/>
      <c r="H102" s="70"/>
      <c r="I102" s="70"/>
      <c r="J102" s="70"/>
      <c r="K102" s="70"/>
      <c r="L102" s="70"/>
      <c r="M102" s="68"/>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row>
    <row r="103" customFormat="1" hidden="1" spans="1:54">
      <c r="A103" s="68"/>
      <c r="B103" s="70"/>
      <c r="C103" s="70"/>
      <c r="D103" s="70"/>
      <c r="E103" s="70"/>
      <c r="F103" s="70"/>
      <c r="G103" s="70"/>
      <c r="H103" s="70"/>
      <c r="I103" s="70"/>
      <c r="J103" s="70"/>
      <c r="K103" s="70"/>
      <c r="L103" s="70"/>
      <c r="M103" s="68"/>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row>
    <row r="104" customFormat="1" hidden="1" spans="1:54">
      <c r="A104" s="68"/>
      <c r="B104" s="70"/>
      <c r="C104" s="70"/>
      <c r="D104" s="70"/>
      <c r="E104" s="70"/>
      <c r="F104" s="70"/>
      <c r="G104" s="70"/>
      <c r="H104" s="70"/>
      <c r="I104" s="70"/>
      <c r="J104" s="70"/>
      <c r="K104" s="70"/>
      <c r="L104" s="70"/>
      <c r="M104" s="68"/>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row>
    <row r="105" customFormat="1" hidden="1" spans="1:54">
      <c r="A105" s="68"/>
      <c r="B105" s="70"/>
      <c r="C105" s="70"/>
      <c r="D105" s="70"/>
      <c r="E105" s="70"/>
      <c r="F105" s="70"/>
      <c r="G105" s="70"/>
      <c r="H105" s="70"/>
      <c r="I105" s="70"/>
      <c r="J105" s="70"/>
      <c r="K105" s="70"/>
      <c r="L105" s="70"/>
      <c r="M105" s="68"/>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row>
    <row r="106" customFormat="1" hidden="1" spans="1:54">
      <c r="A106" s="68"/>
      <c r="B106" s="70"/>
      <c r="C106" s="70"/>
      <c r="D106" s="70"/>
      <c r="E106" s="70"/>
      <c r="F106" s="70"/>
      <c r="G106" s="70"/>
      <c r="H106" s="70"/>
      <c r="I106" s="70"/>
      <c r="J106" s="70"/>
      <c r="K106" s="70"/>
      <c r="L106" s="70"/>
      <c r="M106" s="68"/>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row>
    <row r="107" customFormat="1" hidden="1" spans="1:54">
      <c r="A107" s="68"/>
      <c r="B107" s="70"/>
      <c r="C107" s="70"/>
      <c r="D107" s="70"/>
      <c r="E107" s="70"/>
      <c r="F107" s="70"/>
      <c r="G107" s="70"/>
      <c r="H107" s="70"/>
      <c r="I107" s="70"/>
      <c r="J107" s="70"/>
      <c r="K107" s="70"/>
      <c r="L107" s="70"/>
      <c r="M107" s="68"/>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row>
    <row r="108" customFormat="1" hidden="1" spans="1:54">
      <c r="A108" s="68"/>
      <c r="B108" s="70"/>
      <c r="C108" s="70"/>
      <c r="D108" s="70"/>
      <c r="E108" s="70"/>
      <c r="F108" s="70"/>
      <c r="G108" s="70"/>
      <c r="H108" s="70"/>
      <c r="I108" s="70"/>
      <c r="J108" s="70"/>
      <c r="K108" s="70"/>
      <c r="L108" s="70"/>
      <c r="M108" s="68"/>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row>
    <row r="109" customFormat="1" hidden="1" spans="1:54">
      <c r="A109" s="68"/>
      <c r="B109" s="70"/>
      <c r="C109" s="70"/>
      <c r="D109" s="70"/>
      <c r="E109" s="70"/>
      <c r="F109" s="70"/>
      <c r="G109" s="70"/>
      <c r="H109" s="70"/>
      <c r="I109" s="70"/>
      <c r="J109" s="70"/>
      <c r="K109" s="70"/>
      <c r="L109" s="70"/>
      <c r="M109" s="68"/>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row>
    <row r="110" hidden="1"/>
    <row r="111" hidden="1"/>
    <row r="112" hidden="1" spans="1:1">
      <c r="A112" s="424"/>
    </row>
    <row r="113" s="70" customFormat="1" ht="12.75" hidden="1"/>
    <row r="114" s="70" customFormat="1" ht="12.75" hidden="1"/>
    <row r="115" s="70" customFormat="1" ht="12.75" hidden="1"/>
    <row r="116" s="70" customFormat="1" ht="12.75" hidden="1"/>
    <row r="117" s="70" customFormat="1" ht="12.75" hidden="1"/>
    <row r="118" s="70" customFormat="1" ht="12.75" hidden="1"/>
    <row r="119" s="70" customFormat="1" ht="12.75" hidden="1"/>
    <row r="120" s="70" customFormat="1" ht="12.75" hidden="1"/>
    <row r="121" s="70" customFormat="1" ht="12.75" hidden="1"/>
    <row r="122" s="70" customFormat="1" ht="12.75" hidden="1"/>
    <row r="123" s="70" customFormat="1" ht="12.75" hidden="1"/>
    <row r="124" s="70" customFormat="1" ht="12.75" hidden="1"/>
    <row r="125" s="70" customFormat="1" ht="12.75" hidden="1"/>
    <row r="126" s="70" customFormat="1" ht="12.75" hidden="1"/>
    <row r="127" s="70" customFormat="1" ht="12.75" hidden="1"/>
    <row r="128" s="70" customFormat="1" ht="12.75" hidden="1"/>
    <row r="129" s="70" customFormat="1" ht="12.75" hidden="1"/>
    <row r="130" s="70" customFormat="1" ht="12.75" hidden="1"/>
    <row r="131" s="70" customFormat="1" ht="12.75" hidden="1"/>
    <row r="132" s="70" customFormat="1" ht="12.75" hidden="1"/>
    <row r="133" s="70" customFormat="1" ht="12.75" hidden="1"/>
    <row r="134" s="70" customFormat="1" ht="12.75" hidden="1"/>
    <row r="135" s="70" customFormat="1" ht="12.75" hidden="1"/>
    <row r="136" s="70" customFormat="1" ht="12.75" hidden="1"/>
    <row r="137" s="70" customFormat="1" ht="12.75" hidden="1"/>
    <row r="138" s="70" customFormat="1" ht="12.75" hidden="1"/>
    <row r="139" s="70" customFormat="1" ht="12.75" hidden="1"/>
    <row r="140" s="70" customFormat="1" ht="12.75" hidden="1"/>
    <row r="141" s="70" customFormat="1" ht="12.75" hidden="1"/>
    <row r="142" s="70" customFormat="1" ht="12.75" hidden="1"/>
    <row r="143" s="70" customFormat="1" ht="12.75" hidden="1"/>
  </sheetData>
  <sheetProtection password="A0BB" sheet="1" selectLockedCells="1" selectUnlockedCells="1" objects="1" scenarios="1"/>
  <conditionalFormatting sqref="C9:H22">
    <cfRule type="expression" dxfId="27" priority="1">
      <formula>$B9=2</formula>
    </cfRule>
    <cfRule type="expression" dxfId="28" priority="2">
      <formula>$B9=1</formula>
    </cfRule>
  </conditionalFormatting>
  <pageMargins left="0.551181102362205" right="0.551181102362205" top="0.590551181102362" bottom="0.78740157480315" header="0.511811023622047" footer="0.511811023622047"/>
  <pageSetup paperSize="9" scale="64" orientation="landscape" horizontalDpi="1200" verticalDpi="1200"/>
  <headerFooter alignWithMargins="0">
    <oddHeader>&amp;RSafe Cities Index : 2017</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13404161" name="GroupSelect" r:id="rId3">
              <controlPr print="0" defaultSize="0">
                <anchor>
                  <from>
                    <xdr:col>2</xdr:col>
                    <xdr:colOff>2119630</xdr:colOff>
                    <xdr:row>2</xdr:row>
                    <xdr:rowOff>620395</xdr:rowOff>
                  </from>
                  <to>
                    <xdr:col>2</xdr:col>
                    <xdr:colOff>3559810</xdr:colOff>
                    <xdr:row>2</xdr:row>
                    <xdr:rowOff>852170</xdr:rowOff>
                  </to>
                </anchor>
              </controlPr>
            </control>
          </mc:Choice>
        </mc:AlternateContent>
        <mc:AlternateContent xmlns:mc="http://schemas.openxmlformats.org/markup-compatibility/2006">
          <mc:Choice Requires="x14">
            <control shapeId="13404162" name="Toggle" r:id="rId4">
              <controlPr print="0" defaultSize="0">
                <anchor>
                  <from>
                    <xdr:col>3</xdr:col>
                    <xdr:colOff>93980</xdr:colOff>
                    <xdr:row>2</xdr:row>
                    <xdr:rowOff>634365</xdr:rowOff>
                  </from>
                  <to>
                    <xdr:col>3</xdr:col>
                    <xdr:colOff>4357370</xdr:colOff>
                    <xdr:row>2</xdr:row>
                    <xdr:rowOff>837565</xdr:rowOff>
                  </to>
                </anchor>
              </controlPr>
            </control>
          </mc:Choice>
        </mc:AlternateContent>
        <mc:AlternateContent xmlns:mc="http://schemas.openxmlformats.org/markup-compatibility/2006">
          <mc:Choice Requires="x14">
            <control shapeId="13404163" name="Drop Down 3" r:id="rId5">
              <controlPr print="0" defaultSize="0">
                <anchor>
                  <from>
                    <xdr:col>0</xdr:col>
                    <xdr:colOff>104775</xdr:colOff>
                    <xdr:row>2</xdr:row>
                    <xdr:rowOff>620395</xdr:rowOff>
                  </from>
                  <to>
                    <xdr:col>2</xdr:col>
                    <xdr:colOff>1403985</xdr:colOff>
                    <xdr:row>2</xdr:row>
                    <xdr:rowOff>852170</xdr:rowOff>
                  </to>
                </anchor>
              </controlPr>
            </control>
          </mc:Choice>
        </mc:AlternateContent>
        <mc:AlternateContent xmlns:mc="http://schemas.openxmlformats.org/markup-compatibility/2006">
          <mc:Choice Requires="x14">
            <control shapeId="13404164" name="Drop Down 4" r:id="rId6">
              <controlPr print="0" defaultSize="0">
                <anchor>
                  <from>
                    <xdr:col>8</xdr:col>
                    <xdr:colOff>274955</xdr:colOff>
                    <xdr:row>2</xdr:row>
                    <xdr:rowOff>622935</xdr:rowOff>
                  </from>
                  <to>
                    <xdr:col>12</xdr:col>
                    <xdr:colOff>95885</xdr:colOff>
                    <xdr:row>2</xdr:row>
                    <xdr:rowOff>831850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45</vt:i4>
      </vt:variant>
    </vt:vector>
  </HeadingPairs>
  <TitlesOfParts>
    <vt:vector size="45" baseType="lpstr">
      <vt:lpstr>Home</vt:lpstr>
      <vt:lpstr>Summary</vt:lpstr>
      <vt:lpstr>Indicator_Ranking</vt:lpstr>
      <vt:lpstr>Scatter</vt:lpstr>
      <vt:lpstr>Scatter_InOut</vt:lpstr>
      <vt:lpstr>Scores</vt:lpstr>
      <vt:lpstr>CityProfile</vt:lpstr>
      <vt:lpstr>CityCompare</vt:lpstr>
      <vt:lpstr>CityScoreCard</vt:lpstr>
      <vt:lpstr>Weights</vt:lpstr>
      <vt:lpstr>uxb_works</vt:lpstr>
      <vt:lpstr>Data</vt:lpstr>
      <vt:lpstr>tblIndiSets</vt:lpstr>
      <vt:lpstr>iSummary</vt:lpstr>
      <vt:lpstr>iIndiRank</vt:lpstr>
      <vt:lpstr>iScatter</vt:lpstr>
      <vt:lpstr>iRatios</vt:lpstr>
      <vt:lpstr>iScatter_InOut</vt:lpstr>
      <vt:lpstr>iCityP</vt:lpstr>
      <vt:lpstr>iCityCompare</vt:lpstr>
      <vt:lpstr>iCCompSpider</vt:lpstr>
      <vt:lpstr>iCSCtbl</vt:lpstr>
      <vt:lpstr>iCityScoreCard</vt:lpstr>
      <vt:lpstr>tblIndicators_2014-O</vt:lpstr>
      <vt:lpstr>tblIndicators</vt:lpstr>
      <vt:lpstr>tblIndiSets_2014_O</vt:lpstr>
      <vt:lpstr>Scores_2014_O</vt:lpstr>
      <vt:lpstr>Data_2014_N</vt:lpstr>
      <vt:lpstr>Scores_2014_N</vt:lpstr>
      <vt:lpstr>Data_2017</vt:lpstr>
      <vt:lpstr>Scores_2017</vt:lpstr>
      <vt:lpstr>iWeights</vt:lpstr>
      <vt:lpstr>tblNavHist</vt:lpstr>
      <vt:lpstr>SheetNames</vt:lpstr>
      <vt:lpstr>tblCategories</vt:lpstr>
      <vt:lpstr>tblCategories_2014</vt:lpstr>
      <vt:lpstr>tblCategories_2017</vt:lpstr>
      <vt:lpstr>tblTerritories</vt:lpstr>
      <vt:lpstr>tblTerritories_2014_O</vt:lpstr>
      <vt:lpstr>tblTerritories_2014_N</vt:lpstr>
      <vt:lpstr>tblTerritories_2017</vt:lpstr>
      <vt:lpstr>Cities_list</vt:lpstr>
      <vt:lpstr>rScores_2014_O</vt:lpstr>
      <vt:lpstr>rScores_2014_N</vt:lpstr>
      <vt:lpstr>rScores_2017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Economist Intelligence Unit</dc:creator>
  <cp:lastModifiedBy>qa</cp:lastModifiedBy>
  <dcterms:created xsi:type="dcterms:W3CDTF">2011-11-09T19:27:00Z</dcterms:created>
  <cp:lastPrinted>2017-09-27T09:42:00Z</cp:lastPrinted>
  <dcterms:modified xsi:type="dcterms:W3CDTF">2019-08-07T07:04:31Z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1033-11.2.0.8684</vt:lpwstr>
  </property>
</Properties>
</file>